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worksheets/sheet12.xml" ContentType="application/vnd.openxmlformats-officedocument.spreadsheetml.worksheet+xml"/>
  <Override PartName="/xl/worksheets/sheet10.xml" ContentType="application/vnd.openxmlformats-officedocument.spreadsheetml.worksheet+xml"/>
  <Override PartName="/xl/drawings/drawing6.xml" ContentType="application/vnd.openxmlformats-officedocument.drawing+xml"/>
  <Override PartName="/xl/worksheets/sheet11.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worksheets/sheet7.xml" ContentType="application/vnd.openxmlformats-officedocument.spreadsheetml.worksheet+xml"/>
  <Override PartName="/xl/worksheets/sheet9.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NĂM 2020\ĐIỀU CHỈNH TRUNG HẠN 2016-2020\ĐC TH 2016-2020 LẦN 3 THÁNG 9.2020\"/>
    </mc:Choice>
  </mc:AlternateContent>
  <bookViews>
    <workbookView xWindow="0" yWindow="0" windowWidth="19200" windowHeight="11505" tabRatio="427" firstSheet="7" activeTab="7"/>
  </bookViews>
  <sheets>
    <sheet name="DC TINH" sheetId="11" state="hidden" r:id="rId1"/>
    <sheet name="DC HTMT" sheetId="9" state="hidden" r:id="rId2"/>
    <sheet name="TH VON - TTr" sheetId="6" state="hidden" r:id="rId3"/>
    <sheet name="DC TINH (TTr)" sheetId="3" state="hidden" r:id="rId4"/>
    <sheet name="DC HTMT(TTR)" sheetId="5" state="hidden" r:id="rId5"/>
    <sheet name="TH VON - QĐDC (2)" sheetId="14" state="hidden" r:id="rId6"/>
    <sheet name="thong ke" sheetId="15" state="hidden" r:id="rId7"/>
    <sheet name="TH VON " sheetId="13" r:id="rId8"/>
    <sheet name="DC TINH (NQ)" sheetId="7" r:id="rId9"/>
    <sheet name="DC HTMT(NQ) (2)" sheetId="19" r:id="rId10"/>
    <sheet name="HTCK(NQ) (2)" sheetId="20" state="hidden" r:id="rId11"/>
    <sheet name="BOI CHI" sheetId="18" state="hidden" r:id="rId12"/>
    <sheet name="DC HTMT(NQ)" sheetId="8" state="hidden" r:id="rId13"/>
    <sheet name="HTCK(NQ)" sheetId="10" state="hidden" r:id="rId14"/>
    <sheet name="TINH-KG CTDT" sheetId="16" state="hidden" r:id="rId15"/>
    <sheet name="HUYEN-KG CTDT" sheetId="17" state="hidden" r:id="rId16"/>
    <sheet name="nhu cau bo sung" sheetId="12" state="hidden" r:id="rId17"/>
    <sheet name="BOI CHI 1" sheetId="22" r:id="rId18"/>
  </sheets>
  <externalReferences>
    <externalReference r:id="rId19"/>
    <externalReference r:id="rId20"/>
  </externalReferences>
  <definedNames>
    <definedName name="_xlnm._FilterDatabase" localSheetId="1" hidden="1">'DC HTMT'!$AJ$14:$AJ$503</definedName>
    <definedName name="_xlnm._FilterDatabase" localSheetId="12" hidden="1">'DC HTMT(NQ)'!$AM$15:$AO$661</definedName>
    <definedName name="_xlnm._FilterDatabase" localSheetId="9" hidden="1">'DC HTMT(NQ) (2)'!$AG$14:$AG$686</definedName>
    <definedName name="_xlnm._FilterDatabase" localSheetId="4" hidden="1">'DC HTMT(TTR)'!$AH$14:$AH$503</definedName>
    <definedName name="_xlnm._FilterDatabase" localSheetId="0" hidden="1">'DC TINH'!$AJ$17:$AJ$388</definedName>
    <definedName name="_xlnm._FilterDatabase" localSheetId="8" hidden="1">'DC TINH (NQ)'!$AP$15:$AP$441</definedName>
    <definedName name="_xlnm._FilterDatabase" localSheetId="3" hidden="1">'DC TINH (TTr)'!$AJ$17:$AJ$388</definedName>
    <definedName name="_xlnm._FilterDatabase" localSheetId="13" hidden="1">'HTCK(NQ)'!$AN$15:$AN$61</definedName>
    <definedName name="_xlnm._FilterDatabase" localSheetId="10" hidden="1">'HTCK(NQ) (2)'!$A$15:$AN$61</definedName>
    <definedName name="_xlnm._FilterDatabase" localSheetId="15" hidden="1">'HUYEN-KG CTDT'!$AM$15:$AN$25</definedName>
    <definedName name="_xlnm.Print_Area" localSheetId="11">'BOI CHI'!$A$1:$V$27</definedName>
    <definedName name="_xlnm.Print_Area" localSheetId="1">'DC HTMT'!$A$1:$AI$503</definedName>
    <definedName name="_xlnm.Print_Area" localSheetId="12">'DC HTMT(NQ)'!$A$1:$AL$661</definedName>
    <definedName name="_xlnm.Print_Area" localSheetId="9">'DC HTMT(NQ) (2)'!$A$1:$AF$680</definedName>
    <definedName name="_xlnm.Print_Area" localSheetId="4">'DC HTMT(TTR)'!$A$1:$AG$503</definedName>
    <definedName name="_xlnm.Print_Area" localSheetId="0">'DC TINH'!$A$1:$AI$382</definedName>
    <definedName name="_xlnm.Print_Area" localSheetId="8">'DC TINH (NQ)'!$A$1:$AO$436</definedName>
    <definedName name="_xlnm.Print_Area" localSheetId="3">'DC TINH (TTr)'!$A$1:$AI$382</definedName>
    <definedName name="_xlnm.Print_Area" localSheetId="13">'HTCK(NQ)'!$A$1:$AG$61</definedName>
    <definedName name="_xlnm.Print_Area" localSheetId="10">'HTCK(NQ) (2)'!$A$1:$AG$61</definedName>
    <definedName name="_xlnm.Print_Area" localSheetId="15">'HUYEN-KG CTDT'!$A$1:$AL$25</definedName>
    <definedName name="_xlnm.Print_Area" localSheetId="7">'TH VON '!$A$1:$T$34</definedName>
    <definedName name="_xlnm.Print_Area" localSheetId="14">'TINH-KG CTDT'!$A$1:$AN$27</definedName>
    <definedName name="_xlnm.Print_Titles" localSheetId="17">'BOI CHI 1'!$12:$18</definedName>
    <definedName name="_xlnm.Print_Titles" localSheetId="1">'DC HTMT'!$10:$14</definedName>
    <definedName name="_xlnm.Print_Titles" localSheetId="12">'DC HTMT(NQ)'!$10:$14</definedName>
    <definedName name="_xlnm.Print_Titles" localSheetId="9">'DC HTMT(NQ) (2)'!$10:$14</definedName>
    <definedName name="_xlnm.Print_Titles" localSheetId="4">'DC HTMT(TTR)'!$10:$14</definedName>
    <definedName name="_xlnm.Print_Titles" localSheetId="0">'DC TINH'!$12:$16</definedName>
    <definedName name="_xlnm.Print_Titles" localSheetId="8">'DC TINH (NQ)'!$10:$14</definedName>
    <definedName name="_xlnm.Print_Titles" localSheetId="3">'DC TINH (TTr)'!$12:$16</definedName>
    <definedName name="_xlnm.Print_Titles" localSheetId="13">'HTCK(NQ)'!$10:$14</definedName>
    <definedName name="_xlnm.Print_Titles" localSheetId="10">'HTCK(NQ) (2)'!$10:$14</definedName>
    <definedName name="_xlnm.Print_Titles" localSheetId="15">'HUYEN-KG CTDT'!$10:$14</definedName>
    <definedName name="_xlnm.Print_Titles" localSheetId="16">'nhu cau bo sung'!$5:$5</definedName>
    <definedName name="_xlnm.Print_Titles" localSheetId="7">'TH VON '!$8:$10</definedName>
    <definedName name="_xlnm.Print_Titles" localSheetId="5">'TH VON - QĐDC (2)'!$8:$10</definedName>
    <definedName name="_xlnm.Print_Titles" localSheetId="2">'TH VON - TTr'!$8:$10</definedName>
    <definedName name="_xlnm.Print_Titles" localSheetId="6">'thong ke'!$8:$9</definedName>
  </definedNames>
  <calcPr calcId="162913"/>
</workbook>
</file>

<file path=xl/calcChain.xml><?xml version="1.0" encoding="utf-8"?>
<calcChain xmlns="http://schemas.openxmlformats.org/spreadsheetml/2006/main">
  <c r="AC462" i="19" l="1"/>
  <c r="AC447" i="19" s="1"/>
  <c r="AC446" i="19" s="1"/>
  <c r="AC415" i="19" s="1"/>
  <c r="AB462" i="19"/>
  <c r="AB447" i="19" s="1"/>
  <c r="AB446" i="19" s="1"/>
  <c r="AB25" i="13" l="1"/>
  <c r="K24" i="13" l="1"/>
  <c r="AB683" i="19"/>
  <c r="AB682" i="19"/>
  <c r="AF8" i="19"/>
  <c r="AB684" i="19" l="1"/>
  <c r="AB685" i="19" s="1"/>
  <c r="AB686" i="19" s="1"/>
  <c r="L23" i="13"/>
  <c r="L22" i="13"/>
  <c r="AG92" i="7"/>
  <c r="AG84" i="7"/>
  <c r="AG83" i="7"/>
  <c r="AP92" i="7" l="1"/>
  <c r="AP84" i="7"/>
  <c r="AP83" i="7"/>
  <c r="AD45" i="7" l="1"/>
  <c r="AE35" i="7"/>
  <c r="AE34" i="7" s="1"/>
  <c r="AD35" i="7"/>
  <c r="AD34" i="7" s="1"/>
  <c r="AC45" i="7"/>
  <c r="AB45" i="7"/>
  <c r="AE45" i="7"/>
  <c r="AF73" i="7"/>
  <c r="AD190" i="7"/>
  <c r="AD189" i="7" s="1"/>
  <c r="AE190" i="7"/>
  <c r="AE189" i="7" s="1"/>
  <c r="AH17" i="7"/>
  <c r="AI35" i="7"/>
  <c r="AI34" i="7" s="1"/>
  <c r="AJ35" i="7"/>
  <c r="AJ34" i="7" s="1"/>
  <c r="AK35" i="7"/>
  <c r="AK34" i="7" s="1"/>
  <c r="AH38" i="7"/>
  <c r="AH39" i="7"/>
  <c r="AH40" i="7"/>
  <c r="AH41" i="7"/>
  <c r="AH43" i="7"/>
  <c r="AI45" i="7"/>
  <c r="AJ45" i="7"/>
  <c r="AK45" i="7"/>
  <c r="AH46" i="7"/>
  <c r="AH47" i="7"/>
  <c r="AH48" i="7"/>
  <c r="AH49" i="7"/>
  <c r="AH50" i="7"/>
  <c r="AH51" i="7"/>
  <c r="AH52" i="7"/>
  <c r="AH53" i="7"/>
  <c r="AH54" i="7"/>
  <c r="AH55" i="7"/>
  <c r="AH56" i="7"/>
  <c r="AH59" i="7"/>
  <c r="AH60" i="7"/>
  <c r="AH61" i="7"/>
  <c r="AI62" i="7"/>
  <c r="AJ62" i="7"/>
  <c r="AK62" i="7"/>
  <c r="AH63" i="7"/>
  <c r="AH65" i="7"/>
  <c r="AH66" i="7"/>
  <c r="AH67" i="7"/>
  <c r="AH68" i="7"/>
  <c r="AH69" i="7"/>
  <c r="AH70" i="7"/>
  <c r="AH71" i="7"/>
  <c r="AH72" i="7"/>
  <c r="AH74" i="7"/>
  <c r="AH75" i="7"/>
  <c r="AH77" i="7"/>
  <c r="AH78" i="7"/>
  <c r="AI81" i="7"/>
  <c r="AI80" i="7" s="1"/>
  <c r="AJ81" i="7"/>
  <c r="AJ80" i="7" s="1"/>
  <c r="AK81" i="7"/>
  <c r="AK80" i="7" s="1"/>
  <c r="AH82" i="7"/>
  <c r="AI83" i="7"/>
  <c r="AJ83" i="7"/>
  <c r="AK83" i="7"/>
  <c r="AH84" i="7"/>
  <c r="AH85" i="7"/>
  <c r="AH86" i="7"/>
  <c r="AH87" i="7"/>
  <c r="AH88" i="7"/>
  <c r="AH89" i="7"/>
  <c r="AH90" i="7"/>
  <c r="AH91" i="7"/>
  <c r="AH92" i="7"/>
  <c r="AH93" i="7"/>
  <c r="AH94" i="7"/>
  <c r="AI96" i="7"/>
  <c r="AJ96" i="7"/>
  <c r="AK96" i="7"/>
  <c r="AH97" i="7"/>
  <c r="AH98" i="7"/>
  <c r="AH99" i="7"/>
  <c r="AH100" i="7"/>
  <c r="AH101" i="7"/>
  <c r="AH102" i="7"/>
  <c r="AH103"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9" i="7"/>
  <c r="AH130" i="7"/>
  <c r="AH131" i="7"/>
  <c r="AH132" i="7"/>
  <c r="AH134" i="7"/>
  <c r="AH136" i="7"/>
  <c r="AH137" i="7"/>
  <c r="AH138" i="7"/>
  <c r="AH139" i="7"/>
  <c r="AH143" i="7"/>
  <c r="AI149" i="7"/>
  <c r="AJ149" i="7"/>
  <c r="AK149" i="7"/>
  <c r="AH150" i="7"/>
  <c r="AH151" i="7"/>
  <c r="AH152" i="7"/>
  <c r="AH153" i="7"/>
  <c r="AI156" i="7"/>
  <c r="AI155" i="7" s="1"/>
  <c r="AJ156" i="7"/>
  <c r="AJ155" i="7" s="1"/>
  <c r="AK156" i="7"/>
  <c r="AK155" i="7" s="1"/>
  <c r="AH157" i="7"/>
  <c r="AH158" i="7"/>
  <c r="AH159" i="7"/>
  <c r="AH160" i="7"/>
  <c r="AH161" i="7"/>
  <c r="AH162" i="7"/>
  <c r="AH163" i="7"/>
  <c r="AH164" i="7"/>
  <c r="AH165" i="7"/>
  <c r="AI167" i="7"/>
  <c r="AJ167" i="7"/>
  <c r="AK167" i="7"/>
  <c r="AH168" i="7"/>
  <c r="AH169" i="7"/>
  <c r="AH170" i="7"/>
  <c r="AH171" i="7"/>
  <c r="AH172" i="7"/>
  <c r="AH173" i="7"/>
  <c r="AH174" i="7"/>
  <c r="AH175" i="7"/>
  <c r="AH176" i="7"/>
  <c r="AH177" i="7"/>
  <c r="AH178" i="7"/>
  <c r="AH179" i="7"/>
  <c r="AH180" i="7"/>
  <c r="AH182" i="7"/>
  <c r="AH183" i="7"/>
  <c r="AI184" i="7"/>
  <c r="AJ184" i="7"/>
  <c r="AK184" i="7"/>
  <c r="AH187" i="7"/>
  <c r="AI190" i="7"/>
  <c r="AI189" i="7" s="1"/>
  <c r="AJ190" i="7"/>
  <c r="AJ189" i="7" s="1"/>
  <c r="AK190" i="7"/>
  <c r="AK189" i="7" s="1"/>
  <c r="AH191" i="7"/>
  <c r="AH192" i="7"/>
  <c r="AH193" i="7"/>
  <c r="AH194" i="7"/>
  <c r="AH195" i="7"/>
  <c r="AH196" i="7"/>
  <c r="AI198" i="7"/>
  <c r="AJ198" i="7"/>
  <c r="AK198" i="7"/>
  <c r="AH199" i="7"/>
  <c r="AH200" i="7"/>
  <c r="AH201" i="7"/>
  <c r="AH202" i="7"/>
  <c r="AH203" i="7"/>
  <c r="AH204" i="7"/>
  <c r="AH205" i="7"/>
  <c r="AH206" i="7"/>
  <c r="AH207" i="7"/>
  <c r="AH208" i="7"/>
  <c r="AH209" i="7"/>
  <c r="AH210" i="7"/>
  <c r="AH211" i="7"/>
  <c r="AH212" i="7"/>
  <c r="AH213" i="7"/>
  <c r="AH214" i="7"/>
  <c r="AH215" i="7"/>
  <c r="AI219" i="7"/>
  <c r="AJ219" i="7"/>
  <c r="AK219" i="7"/>
  <c r="AH220" i="7"/>
  <c r="AH221" i="7"/>
  <c r="AH222" i="7"/>
  <c r="AH223" i="7"/>
  <c r="AH224" i="7"/>
  <c r="AH225" i="7"/>
  <c r="AI228" i="7"/>
  <c r="AI227" i="7" s="1"/>
  <c r="AJ228" i="7"/>
  <c r="AJ227" i="7" s="1"/>
  <c r="AK228" i="7"/>
  <c r="AK227" i="7" s="1"/>
  <c r="AH229" i="7"/>
  <c r="AH230" i="7"/>
  <c r="AH231" i="7"/>
  <c r="AH232" i="7"/>
  <c r="AI234" i="7"/>
  <c r="AI233" i="7" s="1"/>
  <c r="AJ234" i="7"/>
  <c r="AJ233" i="7" s="1"/>
  <c r="AK234" i="7"/>
  <c r="AK233" i="7" s="1"/>
  <c r="AH235" i="7"/>
  <c r="AH236" i="7"/>
  <c r="AH237" i="7"/>
  <c r="AH238" i="7"/>
  <c r="AH239" i="7"/>
  <c r="AH240" i="7"/>
  <c r="AH241" i="7"/>
  <c r="AH242" i="7"/>
  <c r="AH243" i="7"/>
  <c r="AH244" i="7"/>
  <c r="AH245" i="7"/>
  <c r="AH246" i="7"/>
  <c r="AH247" i="7"/>
  <c r="AH248" i="7"/>
  <c r="AH249" i="7"/>
  <c r="AH250" i="7"/>
  <c r="AI253" i="7"/>
  <c r="AI252" i="7" s="1"/>
  <c r="AJ253" i="7"/>
  <c r="AJ252" i="7" s="1"/>
  <c r="AK253" i="7"/>
  <c r="AK252" i="7" s="1"/>
  <c r="AH254" i="7"/>
  <c r="AH255" i="7"/>
  <c r="AH256" i="7"/>
  <c r="AH253" i="7" s="1"/>
  <c r="AH252" i="7" s="1"/>
  <c r="AI258" i="7"/>
  <c r="AI257" i="7" s="1"/>
  <c r="AJ258" i="7"/>
  <c r="AJ257" i="7" s="1"/>
  <c r="AK258" i="7"/>
  <c r="AK257" i="7" s="1"/>
  <c r="AH259" i="7"/>
  <c r="AH260" i="7"/>
  <c r="AH261" i="7"/>
  <c r="AH262" i="7"/>
  <c r="AH263" i="7"/>
  <c r="AH264" i="7"/>
  <c r="AI267" i="7"/>
  <c r="AI266" i="7" s="1"/>
  <c r="AJ267" i="7"/>
  <c r="AJ266" i="7" s="1"/>
  <c r="AK267" i="7"/>
  <c r="AK266" i="7" s="1"/>
  <c r="AH268" i="7"/>
  <c r="AH269" i="7"/>
  <c r="AH270" i="7"/>
  <c r="AH271" i="7"/>
  <c r="AI273" i="7"/>
  <c r="AJ273" i="7"/>
  <c r="AK273" i="7"/>
  <c r="AH274" i="7"/>
  <c r="AH275" i="7"/>
  <c r="AH276" i="7"/>
  <c r="AH277" i="7"/>
  <c r="AH278" i="7"/>
  <c r="AH279" i="7"/>
  <c r="AH280" i="7"/>
  <c r="AH281" i="7"/>
  <c r="AH282" i="7"/>
  <c r="AH283" i="7"/>
  <c r="AH284" i="7"/>
  <c r="AH286" i="7"/>
  <c r="AH287" i="7"/>
  <c r="AH288" i="7"/>
  <c r="AH289" i="7"/>
  <c r="AH290" i="7"/>
  <c r="AH292" i="7"/>
  <c r="AH293" i="7"/>
  <c r="AH294" i="7"/>
  <c r="AH295" i="7"/>
  <c r="AH296" i="7"/>
  <c r="AH297" i="7"/>
  <c r="AH298" i="7"/>
  <c r="AI299" i="7"/>
  <c r="AJ299" i="7"/>
  <c r="AK299" i="7"/>
  <c r="AH300" i="7"/>
  <c r="AH301" i="7"/>
  <c r="AH302" i="7"/>
  <c r="AH303" i="7"/>
  <c r="AH304" i="7"/>
  <c r="AH305" i="7"/>
  <c r="AH306" i="7"/>
  <c r="AH307" i="7"/>
  <c r="AH308" i="7"/>
  <c r="AH309" i="7"/>
  <c r="AH311" i="7"/>
  <c r="AI314" i="7"/>
  <c r="AI313" i="7" s="1"/>
  <c r="AJ314" i="7"/>
  <c r="AJ313" i="7" s="1"/>
  <c r="AK314" i="7"/>
  <c r="AK313" i="7" s="1"/>
  <c r="AH315" i="7"/>
  <c r="AH316" i="7"/>
  <c r="AH317" i="7"/>
  <c r="AH318" i="7"/>
  <c r="AH319" i="7"/>
  <c r="AH320" i="7"/>
  <c r="AI322" i="7"/>
  <c r="AJ322" i="7"/>
  <c r="AK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I349" i="7"/>
  <c r="AJ349" i="7"/>
  <c r="AK349" i="7"/>
  <c r="AH350" i="7"/>
  <c r="AH351" i="7"/>
  <c r="AH352" i="7"/>
  <c r="AH353" i="7"/>
  <c r="AH354" i="7"/>
  <c r="AH355" i="7"/>
  <c r="AH356" i="7"/>
  <c r="AI359" i="7"/>
  <c r="AI358" i="7" s="1"/>
  <c r="AJ359" i="7"/>
  <c r="AJ358" i="7" s="1"/>
  <c r="AK359" i="7"/>
  <c r="AK358" i="7" s="1"/>
  <c r="AH360" i="7"/>
  <c r="AH361" i="7"/>
  <c r="AH362" i="7"/>
  <c r="AH363" i="7"/>
  <c r="AH364" i="7"/>
  <c r="AH365" i="7"/>
  <c r="AH366" i="7"/>
  <c r="AI368" i="7"/>
  <c r="AJ368" i="7"/>
  <c r="AK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5" i="7"/>
  <c r="AH416" i="7"/>
  <c r="AH417" i="7"/>
  <c r="AH419" i="7"/>
  <c r="AH420" i="7"/>
  <c r="AH423" i="7"/>
  <c r="AH424" i="7"/>
  <c r="AH425" i="7"/>
  <c r="AH426" i="7"/>
  <c r="AH427" i="7"/>
  <c r="AH428" i="7"/>
  <c r="AH429" i="7"/>
  <c r="AI430" i="7"/>
  <c r="AJ430" i="7"/>
  <c r="AK430" i="7"/>
  <c r="AH431" i="7"/>
  <c r="AH433" i="7"/>
  <c r="AH435" i="7"/>
  <c r="AH436" i="7"/>
  <c r="AH441" i="7"/>
  <c r="AJ251" i="7" l="1"/>
  <c r="AJ166" i="7"/>
  <c r="AJ154" i="7" s="1"/>
  <c r="AJ321" i="7"/>
  <c r="AJ312" i="7" s="1"/>
  <c r="AJ197" i="7"/>
  <c r="AJ188" i="7" s="1"/>
  <c r="AJ95" i="7"/>
  <c r="AJ79" i="7" s="1"/>
  <c r="AH83" i="7"/>
  <c r="AJ44" i="7"/>
  <c r="AJ33" i="7" s="1"/>
  <c r="AH322" i="7"/>
  <c r="AH258" i="7"/>
  <c r="AH257" i="7" s="1"/>
  <c r="AH251" i="7" s="1"/>
  <c r="AH156" i="7"/>
  <c r="AH155" i="7" s="1"/>
  <c r="AH359" i="7"/>
  <c r="AH358" i="7" s="1"/>
  <c r="AH349" i="7"/>
  <c r="AI321" i="7"/>
  <c r="AI312" i="7" s="1"/>
  <c r="AI272" i="7"/>
  <c r="AI265" i="7" s="1"/>
  <c r="AH228" i="7"/>
  <c r="AH227" i="7" s="1"/>
  <c r="AI197" i="7"/>
  <c r="AI188" i="7" s="1"/>
  <c r="AH190" i="7"/>
  <c r="AH189" i="7" s="1"/>
  <c r="AK166" i="7"/>
  <c r="AK154" i="7" s="1"/>
  <c r="AI95" i="7"/>
  <c r="AI79" i="7" s="1"/>
  <c r="AI44" i="7"/>
  <c r="AI33" i="7" s="1"/>
  <c r="AK367" i="7"/>
  <c r="AK357" i="7" s="1"/>
  <c r="AI367" i="7"/>
  <c r="AI357" i="7" s="1"/>
  <c r="AH314" i="7"/>
  <c r="AH313" i="7" s="1"/>
  <c r="AJ272" i="7"/>
  <c r="AJ265" i="7" s="1"/>
  <c r="AJ367" i="7"/>
  <c r="AJ357" i="7" s="1"/>
  <c r="AK321" i="7"/>
  <c r="AK312" i="7" s="1"/>
  <c r="AK272" i="7"/>
  <c r="AK265" i="7" s="1"/>
  <c r="AH267" i="7"/>
  <c r="AH266" i="7" s="1"/>
  <c r="AI251" i="7"/>
  <c r="AH234" i="7"/>
  <c r="AH233" i="7" s="1"/>
  <c r="AK226" i="7"/>
  <c r="AH219" i="7"/>
  <c r="AK197" i="7"/>
  <c r="AK188" i="7" s="1"/>
  <c r="AI166" i="7"/>
  <c r="AI154" i="7" s="1"/>
  <c r="AH149" i="7"/>
  <c r="AK95" i="7"/>
  <c r="AK79" i="7" s="1"/>
  <c r="AK44" i="7"/>
  <c r="AK33" i="7" s="1"/>
  <c r="AK251" i="7"/>
  <c r="AI226" i="7"/>
  <c r="AJ226" i="7"/>
  <c r="AH81" i="7"/>
  <c r="AH80" i="7" s="1"/>
  <c r="AF153" i="7"/>
  <c r="AH226" i="7" l="1"/>
  <c r="AI32" i="7"/>
  <c r="AI16" i="7" s="1"/>
  <c r="AH321" i="7"/>
  <c r="AH312" i="7" s="1"/>
  <c r="AJ32" i="7"/>
  <c r="AJ16" i="7" s="1"/>
  <c r="AK32" i="7"/>
  <c r="AK16" i="7" s="1"/>
  <c r="S31" i="22"/>
  <c r="S30" i="22" s="1"/>
  <c r="S29" i="22" s="1"/>
  <c r="U30" i="22"/>
  <c r="T30" i="22"/>
  <c r="T29" i="22" s="1"/>
  <c r="R30" i="22"/>
  <c r="R29" i="22" s="1"/>
  <c r="Q30" i="22"/>
  <c r="N30" i="22"/>
  <c r="M30" i="22"/>
  <c r="M29" i="22" s="1"/>
  <c r="U29" i="22"/>
  <c r="Q29" i="22"/>
  <c r="O29" i="22"/>
  <c r="N29" i="22"/>
  <c r="S28" i="22"/>
  <c r="S26" i="22" s="1"/>
  <c r="S25" i="22" s="1"/>
  <c r="U26" i="22"/>
  <c r="U25" i="22" s="1"/>
  <c r="R26" i="22"/>
  <c r="R25" i="22" s="1"/>
  <c r="Q26" i="22"/>
  <c r="Q25" i="22" s="1"/>
  <c r="N26" i="22"/>
  <c r="M26" i="22"/>
  <c r="M25" i="22" s="1"/>
  <c r="T25" i="22"/>
  <c r="P25" i="22"/>
  <c r="P20" i="22" s="1"/>
  <c r="P19" i="22" s="1"/>
  <c r="O25" i="22"/>
  <c r="N25" i="22"/>
  <c r="Q24" i="22"/>
  <c r="R24" i="22" s="1"/>
  <c r="R22" i="22" s="1"/>
  <c r="R21" i="22" s="1"/>
  <c r="R20" i="22" s="1"/>
  <c r="R19" i="22" s="1"/>
  <c r="M24" i="22"/>
  <c r="M22" i="22" s="1"/>
  <c r="M21" i="22" s="1"/>
  <c r="M20" i="22" s="1"/>
  <c r="U22" i="22"/>
  <c r="U21" i="22" s="1"/>
  <c r="S22" i="22"/>
  <c r="S21" i="22" s="1"/>
  <c r="Q22" i="22"/>
  <c r="O22" i="22"/>
  <c r="N22" i="22"/>
  <c r="N21" i="22" s="1"/>
  <c r="T21" i="22"/>
  <c r="T20" i="22" s="1"/>
  <c r="T19" i="22" s="1"/>
  <c r="Q21" i="22"/>
  <c r="Q20" i="22" s="1"/>
  <c r="Q19" i="22" s="1"/>
  <c r="P21" i="22"/>
  <c r="O21" i="22"/>
  <c r="O20" i="22" s="1"/>
  <c r="O19" i="22" s="1"/>
  <c r="N20" i="22" l="1"/>
  <c r="N19" i="22" s="1"/>
  <c r="S20" i="22"/>
  <c r="S19" i="22" s="1"/>
  <c r="M19" i="22"/>
  <c r="U20" i="22"/>
  <c r="U19" i="22" s="1"/>
  <c r="Z154" i="7"/>
  <c r="AA154" i="7"/>
  <c r="R15" i="13" l="1"/>
  <c r="J62" i="7"/>
  <c r="K62" i="7"/>
  <c r="L62" i="7"/>
  <c r="M62" i="7"/>
  <c r="O62" i="7"/>
  <c r="V62" i="7"/>
  <c r="W62" i="7"/>
  <c r="Z62" i="7"/>
  <c r="AA62" i="7"/>
  <c r="AE62" i="7"/>
  <c r="AE44" i="7" s="1"/>
  <c r="AE33" i="7" s="1"/>
  <c r="AL62" i="7"/>
  <c r="J349" i="7"/>
  <c r="K349" i="7"/>
  <c r="L349" i="7"/>
  <c r="M349" i="7"/>
  <c r="P349" i="7"/>
  <c r="Q349" i="7"/>
  <c r="V349" i="7"/>
  <c r="W349" i="7"/>
  <c r="Z349" i="7"/>
  <c r="AA349" i="7"/>
  <c r="AD349" i="7"/>
  <c r="AE349" i="7"/>
  <c r="AL349" i="7"/>
  <c r="AM349" i="7"/>
  <c r="AG356" i="7"/>
  <c r="AP356" i="7" s="1"/>
  <c r="AM432" i="7" l="1"/>
  <c r="AH432" i="7" s="1"/>
  <c r="AH430" i="7" s="1"/>
  <c r="AM430" i="7"/>
  <c r="AL430" i="7"/>
  <c r="AM422" i="7"/>
  <c r="AH422" i="7" s="1"/>
  <c r="AM421" i="7"/>
  <c r="AH421" i="7" s="1"/>
  <c r="AM418" i="7"/>
  <c r="AH418" i="7" s="1"/>
  <c r="AM414" i="7"/>
  <c r="AH414" i="7" s="1"/>
  <c r="AL368" i="7"/>
  <c r="AM359" i="7"/>
  <c r="AM358" i="7" s="1"/>
  <c r="AL359" i="7"/>
  <c r="AL358" i="7" s="1"/>
  <c r="AM322" i="7"/>
  <c r="AM321" i="7" s="1"/>
  <c r="AL322" i="7"/>
  <c r="AL321" i="7" s="1"/>
  <c r="AM314" i="7"/>
  <c r="AM313" i="7" s="1"/>
  <c r="AL314" i="7"/>
  <c r="AL313" i="7" s="1"/>
  <c r="AM310" i="7"/>
  <c r="AH310" i="7" s="1"/>
  <c r="AH299" i="7" s="1"/>
  <c r="AL299" i="7"/>
  <c r="AM291" i="7"/>
  <c r="AH291" i="7" s="1"/>
  <c r="AM285" i="7"/>
  <c r="AH285" i="7" s="1"/>
  <c r="AH273" i="7" s="1"/>
  <c r="AH272" i="7" s="1"/>
  <c r="AH265" i="7" s="1"/>
  <c r="AL273" i="7"/>
  <c r="AM267" i="7"/>
  <c r="AM266" i="7" s="1"/>
  <c r="AL267" i="7"/>
  <c r="AL266" i="7" s="1"/>
  <c r="AM258" i="7"/>
  <c r="AM257" i="7" s="1"/>
  <c r="AL258" i="7"/>
  <c r="AL257" i="7" s="1"/>
  <c r="AM253" i="7"/>
  <c r="AM252" i="7" s="1"/>
  <c r="AL253" i="7"/>
  <c r="AL252" i="7" s="1"/>
  <c r="AM234" i="7"/>
  <c r="AM233" i="7" s="1"/>
  <c r="AL234" i="7"/>
  <c r="AL233" i="7" s="1"/>
  <c r="AM228" i="7"/>
  <c r="AM227" i="7" s="1"/>
  <c r="AL228" i="7"/>
  <c r="AL227" i="7" s="1"/>
  <c r="AM219" i="7"/>
  <c r="AL219" i="7"/>
  <c r="AM218" i="7"/>
  <c r="AH218" i="7" s="1"/>
  <c r="AM217" i="7"/>
  <c r="AH217" i="7" s="1"/>
  <c r="AM216" i="7"/>
  <c r="AH216" i="7" s="1"/>
  <c r="AH198" i="7" s="1"/>
  <c r="AH197" i="7" s="1"/>
  <c r="AH188" i="7" s="1"/>
  <c r="AL198" i="7"/>
  <c r="AM190" i="7"/>
  <c r="AM189" i="7" s="1"/>
  <c r="AL190" i="7"/>
  <c r="AL189" i="7" s="1"/>
  <c r="AM186" i="7"/>
  <c r="AH186" i="7" s="1"/>
  <c r="AM185" i="7"/>
  <c r="AH185" i="7" s="1"/>
  <c r="AM184" i="7"/>
  <c r="AL184" i="7"/>
  <c r="AM181" i="7"/>
  <c r="AH181" i="7" s="1"/>
  <c r="AH167" i="7" s="1"/>
  <c r="AL167" i="7"/>
  <c r="AM156" i="7"/>
  <c r="AM155" i="7" s="1"/>
  <c r="AL156" i="7"/>
  <c r="AL155" i="7" s="1"/>
  <c r="AM149" i="7"/>
  <c r="AL149" i="7"/>
  <c r="AM148" i="7"/>
  <c r="AH148" i="7" s="1"/>
  <c r="AM147" i="7"/>
  <c r="AH147" i="7" s="1"/>
  <c r="AM146" i="7"/>
  <c r="AH146" i="7" s="1"/>
  <c r="AM145" i="7"/>
  <c r="AH145" i="7" s="1"/>
  <c r="AM144" i="7"/>
  <c r="AH144" i="7" s="1"/>
  <c r="AM142" i="7"/>
  <c r="AH142" i="7" s="1"/>
  <c r="AM141" i="7"/>
  <c r="AH141" i="7" s="1"/>
  <c r="AM140" i="7"/>
  <c r="AH140" i="7" s="1"/>
  <c r="AM135" i="7"/>
  <c r="AH135" i="7" s="1"/>
  <c r="AM133" i="7"/>
  <c r="AH133" i="7" s="1"/>
  <c r="AM128" i="7"/>
  <c r="AH128" i="7" s="1"/>
  <c r="AM104" i="7"/>
  <c r="AH104" i="7" s="1"/>
  <c r="AL96" i="7"/>
  <c r="AM83" i="7"/>
  <c r="AL83" i="7"/>
  <c r="AM81" i="7"/>
  <c r="AM80" i="7" s="1"/>
  <c r="AL81" i="7"/>
  <c r="AL80" i="7" s="1"/>
  <c r="AM76" i="7"/>
  <c r="AH76" i="7" s="1"/>
  <c r="AM73" i="7"/>
  <c r="AH73" i="7" s="1"/>
  <c r="AM64" i="7"/>
  <c r="AH64" i="7" s="1"/>
  <c r="AM58" i="7"/>
  <c r="AH58" i="7" s="1"/>
  <c r="AM57" i="7"/>
  <c r="AH57" i="7" s="1"/>
  <c r="AL45" i="7"/>
  <c r="AL44" i="7" s="1"/>
  <c r="AM42" i="7"/>
  <c r="AH42" i="7" s="1"/>
  <c r="AH35" i="7" s="1"/>
  <c r="AH34" i="7" s="1"/>
  <c r="AL35" i="7"/>
  <c r="AL34" i="7" s="1"/>
  <c r="AH45" i="7" l="1"/>
  <c r="AH44" i="7" s="1"/>
  <c r="AH33" i="7" s="1"/>
  <c r="AH62" i="7"/>
  <c r="AH96" i="7"/>
  <c r="AH95" i="7" s="1"/>
  <c r="AH79" i="7" s="1"/>
  <c r="AH184" i="7"/>
  <c r="AH166" i="7" s="1"/>
  <c r="AH154" i="7" s="1"/>
  <c r="AH368" i="7"/>
  <c r="AH367" i="7" s="1"/>
  <c r="AH357" i="7" s="1"/>
  <c r="AM226" i="7"/>
  <c r="AL226" i="7"/>
  <c r="AM35" i="7"/>
  <c r="AM34" i="7" s="1"/>
  <c r="AM62" i="7"/>
  <c r="AM273" i="7"/>
  <c r="AM167" i="7"/>
  <c r="AM166" i="7" s="1"/>
  <c r="AM154" i="7" s="1"/>
  <c r="AM299" i="7"/>
  <c r="AL367" i="7"/>
  <c r="AL357" i="7" s="1"/>
  <c r="AL166" i="7"/>
  <c r="AL154" i="7" s="1"/>
  <c r="AL95" i="7"/>
  <c r="AL79" i="7" s="1"/>
  <c r="AL33" i="7"/>
  <c r="AL251" i="7"/>
  <c r="AM312" i="7"/>
  <c r="AM251" i="7"/>
  <c r="AL312" i="7"/>
  <c r="AM198" i="7"/>
  <c r="AM197" i="7" s="1"/>
  <c r="AM188" i="7" s="1"/>
  <c r="AL197" i="7"/>
  <c r="AL188" i="7" s="1"/>
  <c r="AL272" i="7"/>
  <c r="AL265" i="7" s="1"/>
  <c r="AM45" i="7"/>
  <c r="AM96" i="7"/>
  <c r="AM95" i="7" s="1"/>
  <c r="AM79" i="7" s="1"/>
  <c r="AM368" i="7"/>
  <c r="AM367" i="7" s="1"/>
  <c r="AM357" i="7" s="1"/>
  <c r="AH32" i="7" l="1"/>
  <c r="AH16" i="7" s="1"/>
  <c r="AM272" i="7"/>
  <c r="AM265" i="7" s="1"/>
  <c r="AL32" i="7"/>
  <c r="AL16" i="7" s="1"/>
  <c r="AM44" i="7"/>
  <c r="AM33" i="7" s="1"/>
  <c r="AM32" i="7" l="1"/>
  <c r="AM16" i="7" s="1"/>
  <c r="O26" i="13"/>
  <c r="P26" i="13"/>
  <c r="J639" i="19"/>
  <c r="K639" i="19"/>
  <c r="L639" i="19"/>
  <c r="M639" i="19"/>
  <c r="N639" i="19"/>
  <c r="O639" i="19"/>
  <c r="P639" i="19"/>
  <c r="Q639" i="19"/>
  <c r="R639" i="19"/>
  <c r="S639" i="19"/>
  <c r="T639" i="19"/>
  <c r="U639" i="19"/>
  <c r="V639" i="19"/>
  <c r="W639" i="19"/>
  <c r="I642" i="19"/>
  <c r="I639" i="19" s="1"/>
  <c r="AS312" i="7" l="1"/>
  <c r="AS265" i="7"/>
  <c r="AS251" i="7"/>
  <c r="AS226" i="7"/>
  <c r="AS188" i="7"/>
  <c r="AS154" i="7"/>
  <c r="AS79" i="7"/>
  <c r="AS80" i="7" s="1"/>
  <c r="AS33" i="7"/>
  <c r="K11" i="13"/>
  <c r="L11" i="13"/>
  <c r="K17" i="13"/>
  <c r="J45" i="7"/>
  <c r="K45" i="7"/>
  <c r="L45" i="7"/>
  <c r="M45" i="7"/>
  <c r="S45" i="7"/>
  <c r="V45" i="7"/>
  <c r="W45" i="7"/>
  <c r="Z45" i="7"/>
  <c r="AA45" i="7"/>
  <c r="AG61" i="7"/>
  <c r="I61" i="7"/>
  <c r="AS423" i="7" l="1"/>
  <c r="J226" i="19" l="1"/>
  <c r="K226" i="19"/>
  <c r="L226" i="19"/>
  <c r="M226" i="19"/>
  <c r="U226" i="19"/>
  <c r="V226" i="19"/>
  <c r="W226" i="19"/>
  <c r="AC226" i="19" l="1"/>
  <c r="AB226" i="19"/>
  <c r="W133" i="19" l="1"/>
  <c r="V133" i="19"/>
  <c r="U133" i="19"/>
  <c r="T133" i="19"/>
  <c r="S133" i="19"/>
  <c r="R133" i="19"/>
  <c r="Q133" i="19"/>
  <c r="P133" i="19"/>
  <c r="O133" i="19"/>
  <c r="N133" i="19"/>
  <c r="M133" i="19"/>
  <c r="L133" i="19"/>
  <c r="K133" i="19"/>
  <c r="J133" i="19"/>
  <c r="AG173" i="19"/>
  <c r="Y415" i="7"/>
  <c r="AC25" i="13"/>
  <c r="AP436" i="7" l="1"/>
  <c r="AP59" i="7"/>
  <c r="AP31" i="7"/>
  <c r="AP30" i="7"/>
  <c r="AP29" i="7"/>
  <c r="AP28" i="7"/>
  <c r="AP27" i="7"/>
  <c r="AP26" i="7"/>
  <c r="AP25" i="7"/>
  <c r="AP24" i="7"/>
  <c r="AP23" i="7"/>
  <c r="AP22" i="7"/>
  <c r="AP21" i="7"/>
  <c r="AP20" i="7"/>
  <c r="AP19" i="7"/>
  <c r="AP18" i="7"/>
  <c r="AQ355" i="7"/>
  <c r="AQ354" i="7"/>
  <c r="AE368" i="7"/>
  <c r="AD368" i="7"/>
  <c r="AA368" i="7"/>
  <c r="Z368" i="7"/>
  <c r="W368" i="7"/>
  <c r="M368" i="7"/>
  <c r="L368" i="7"/>
  <c r="K368" i="7"/>
  <c r="J368" i="7"/>
  <c r="AO43" i="20"/>
  <c r="Y645" i="19" l="1"/>
  <c r="W645" i="19"/>
  <c r="V645" i="19"/>
  <c r="U645" i="19"/>
  <c r="R645" i="19"/>
  <c r="Q645" i="19"/>
  <c r="O645" i="19"/>
  <c r="H645" i="19"/>
  <c r="W473" i="19"/>
  <c r="V473" i="19"/>
  <c r="M473" i="19"/>
  <c r="L473" i="19"/>
  <c r="K473" i="19"/>
  <c r="J473" i="19"/>
  <c r="M611" i="19"/>
  <c r="L611" i="19"/>
  <c r="K611" i="19"/>
  <c r="J611" i="19"/>
  <c r="W611" i="19"/>
  <c r="V611" i="19"/>
  <c r="X604" i="19"/>
  <c r="W604" i="19"/>
  <c r="V604" i="19"/>
  <c r="T604" i="19"/>
  <c r="S604" i="19"/>
  <c r="R604" i="19"/>
  <c r="P604" i="19"/>
  <c r="H604" i="19"/>
  <c r="W575" i="19"/>
  <c r="T575" i="19"/>
  <c r="S575" i="19"/>
  <c r="R575" i="19"/>
  <c r="P575" i="19"/>
  <c r="M575" i="19"/>
  <c r="L575" i="19"/>
  <c r="K575" i="19"/>
  <c r="J575" i="19"/>
  <c r="L567" i="19"/>
  <c r="L566" i="19" s="1"/>
  <c r="J567" i="19"/>
  <c r="J566" i="19" s="1"/>
  <c r="H567" i="19"/>
  <c r="H566" i="19" s="1"/>
  <c r="T567" i="19"/>
  <c r="T566" i="19" s="1"/>
  <c r="S567" i="19"/>
  <c r="S566" i="19" s="1"/>
  <c r="R567" i="19"/>
  <c r="R566" i="19" s="1"/>
  <c r="P567" i="19"/>
  <c r="P566" i="19" s="1"/>
  <c r="X567" i="19"/>
  <c r="X566" i="19" s="1"/>
  <c r="W567" i="19"/>
  <c r="W566" i="19" s="1"/>
  <c r="V567" i="19"/>
  <c r="V566" i="19" s="1"/>
  <c r="AE601" i="19"/>
  <c r="Y601" i="19"/>
  <c r="U601" i="19"/>
  <c r="Q601" i="19"/>
  <c r="O601" i="19"/>
  <c r="I601" i="19"/>
  <c r="AE636" i="19"/>
  <c r="AE635" i="19"/>
  <c r="AE634" i="19"/>
  <c r="Y636" i="19"/>
  <c r="Y635" i="19"/>
  <c r="Y634" i="19"/>
  <c r="U636" i="19"/>
  <c r="U635" i="19"/>
  <c r="U634" i="19"/>
  <c r="Q636" i="19"/>
  <c r="Q635" i="19"/>
  <c r="Q634" i="19"/>
  <c r="O636" i="19"/>
  <c r="I636" i="19"/>
  <c r="O635" i="19"/>
  <c r="I635" i="19"/>
  <c r="O634" i="19"/>
  <c r="I634" i="19"/>
  <c r="AE497" i="19"/>
  <c r="AE496" i="19"/>
  <c r="U497" i="19"/>
  <c r="Y497" i="19" s="1"/>
  <c r="X497" i="19" s="1"/>
  <c r="Q497" i="19"/>
  <c r="U496" i="19"/>
  <c r="Y496" i="19" s="1"/>
  <c r="X496" i="19" s="1"/>
  <c r="Q496" i="19"/>
  <c r="O497" i="19"/>
  <c r="I497" i="19"/>
  <c r="O496" i="19"/>
  <c r="I496" i="19"/>
  <c r="AE633" i="19"/>
  <c r="AD633" i="19" s="1"/>
  <c r="AE631" i="19"/>
  <c r="AD631" i="19" s="1"/>
  <c r="U633" i="19"/>
  <c r="Y633" i="19" s="1"/>
  <c r="X633" i="19" s="1"/>
  <c r="Q633" i="19"/>
  <c r="O633" i="19"/>
  <c r="I633" i="19"/>
  <c r="U632" i="19"/>
  <c r="Y632" i="19" s="1"/>
  <c r="X632" i="19" s="1"/>
  <c r="Q632" i="19"/>
  <c r="O632" i="19"/>
  <c r="I632" i="19"/>
  <c r="U631" i="19"/>
  <c r="Y631" i="19" s="1"/>
  <c r="X631" i="19" s="1"/>
  <c r="Q631" i="19"/>
  <c r="O631" i="19"/>
  <c r="I631" i="19"/>
  <c r="U630" i="19"/>
  <c r="Y630" i="19" s="1"/>
  <c r="X630" i="19" s="1"/>
  <c r="Q630" i="19"/>
  <c r="O630" i="19"/>
  <c r="I630" i="19"/>
  <c r="AE600" i="19"/>
  <c r="AE599" i="19"/>
  <c r="Y600" i="19"/>
  <c r="Y599" i="19"/>
  <c r="U600" i="19"/>
  <c r="Q600" i="19"/>
  <c r="U599" i="19"/>
  <c r="Q599" i="19"/>
  <c r="O600" i="19"/>
  <c r="I600" i="19"/>
  <c r="O599" i="19"/>
  <c r="I599" i="19"/>
  <c r="T354" i="7"/>
  <c r="X354" i="7"/>
  <c r="T355" i="7"/>
  <c r="X355" i="7"/>
  <c r="AG355" i="7"/>
  <c r="AG354" i="7"/>
  <c r="N355" i="7"/>
  <c r="O355" i="7" s="1"/>
  <c r="H355" i="7"/>
  <c r="N354" i="7"/>
  <c r="N349" i="7" s="1"/>
  <c r="I354" i="7"/>
  <c r="AE322" i="7"/>
  <c r="AD322" i="7"/>
  <c r="AA322" i="7"/>
  <c r="Z322" i="7"/>
  <c r="W322" i="7"/>
  <c r="V322" i="7"/>
  <c r="S322" i="7"/>
  <c r="M322" i="7"/>
  <c r="L322" i="7"/>
  <c r="K322" i="7"/>
  <c r="J322" i="7"/>
  <c r="P348" i="7"/>
  <c r="U348" i="7"/>
  <c r="Y348" i="7" s="1"/>
  <c r="N348" i="7"/>
  <c r="O348" i="7" s="1"/>
  <c r="H348" i="7"/>
  <c r="U60" i="7"/>
  <c r="Y60" i="7" s="1"/>
  <c r="Q60" i="7"/>
  <c r="O60" i="7"/>
  <c r="I60" i="7"/>
  <c r="U429" i="7"/>
  <c r="Y429" i="7" s="1"/>
  <c r="X429" i="7" s="1"/>
  <c r="Q429" i="7"/>
  <c r="U428" i="7"/>
  <c r="Y428" i="7" s="1"/>
  <c r="X428" i="7" s="1"/>
  <c r="Q428" i="7"/>
  <c r="O429" i="7"/>
  <c r="I429" i="7"/>
  <c r="O428" i="7"/>
  <c r="I428" i="7"/>
  <c r="U347" i="7"/>
  <c r="Y347" i="7" s="1"/>
  <c r="X347" i="7" s="1"/>
  <c r="Q347" i="7"/>
  <c r="U346" i="7"/>
  <c r="Y346" i="7" s="1"/>
  <c r="Q346" i="7"/>
  <c r="U345" i="7"/>
  <c r="Y345" i="7" s="1"/>
  <c r="X345" i="7" s="1"/>
  <c r="Q345" i="7"/>
  <c r="O347" i="7"/>
  <c r="I347" i="7"/>
  <c r="O346" i="7"/>
  <c r="I346" i="7"/>
  <c r="O345" i="7"/>
  <c r="I345" i="7"/>
  <c r="AG344" i="7"/>
  <c r="Y344" i="7"/>
  <c r="U344" i="7"/>
  <c r="Q344" i="7"/>
  <c r="O344" i="7"/>
  <c r="I344" i="7"/>
  <c r="Y46" i="7"/>
  <c r="U46" i="7"/>
  <c r="Q46" i="7"/>
  <c r="O46" i="7"/>
  <c r="AE609" i="19"/>
  <c r="AE573" i="19"/>
  <c r="Y609" i="19"/>
  <c r="Y604" i="19" s="1"/>
  <c r="Y573" i="19"/>
  <c r="Y567" i="19" s="1"/>
  <c r="Y566" i="19" s="1"/>
  <c r="U609" i="19"/>
  <c r="U604" i="19" s="1"/>
  <c r="U573" i="19"/>
  <c r="U567" i="19" s="1"/>
  <c r="U566" i="19" s="1"/>
  <c r="Q609" i="19"/>
  <c r="Q604" i="19" s="1"/>
  <c r="Q573" i="19"/>
  <c r="Q567" i="19" s="1"/>
  <c r="Q566" i="19" s="1"/>
  <c r="O609" i="19"/>
  <c r="O604" i="19" s="1"/>
  <c r="M609" i="19"/>
  <c r="M604" i="19" s="1"/>
  <c r="K609" i="19"/>
  <c r="K604" i="19" s="1"/>
  <c r="I609" i="19"/>
  <c r="O573" i="19"/>
  <c r="O567" i="19" s="1"/>
  <c r="O566" i="19" s="1"/>
  <c r="M573" i="19"/>
  <c r="K573" i="19"/>
  <c r="I573" i="19"/>
  <c r="I567" i="19" s="1"/>
  <c r="I566" i="19" s="1"/>
  <c r="O42" i="7"/>
  <c r="Q42" i="7" s="1"/>
  <c r="U42" i="7" s="1"/>
  <c r="Y42" i="7" s="1"/>
  <c r="AE359" i="7"/>
  <c r="AD359" i="7"/>
  <c r="AA359" i="7"/>
  <c r="Z359" i="7"/>
  <c r="W359" i="7"/>
  <c r="V359" i="7"/>
  <c r="Y366" i="7"/>
  <c r="X366" i="7" s="1"/>
  <c r="T366" i="7"/>
  <c r="P366" i="7"/>
  <c r="N366" i="7"/>
  <c r="AG39" i="7"/>
  <c r="AP39" i="7" s="1"/>
  <c r="U45" i="7" l="1"/>
  <c r="O473" i="19"/>
  <c r="Q45" i="7"/>
  <c r="O45" i="7"/>
  <c r="T349" i="7"/>
  <c r="AP344" i="7"/>
  <c r="O354" i="7"/>
  <c r="O349" i="7" s="1"/>
  <c r="AF354" i="7"/>
  <c r="AP354" i="7"/>
  <c r="AF355" i="7"/>
  <c r="AP355" i="7"/>
  <c r="T348" i="7"/>
  <c r="Q611" i="19"/>
  <c r="O611" i="19"/>
  <c r="U611" i="19"/>
  <c r="U473" i="19"/>
  <c r="X346" i="7"/>
  <c r="X60" i="7"/>
  <c r="AG348" i="7"/>
  <c r="U575" i="19"/>
  <c r="I575" i="19"/>
  <c r="Q575" i="19"/>
  <c r="AE632" i="19"/>
  <c r="AD632" i="19" s="1"/>
  <c r="AE630" i="19"/>
  <c r="AD630" i="19" s="1"/>
  <c r="X348" i="7"/>
  <c r="AF348" i="7" l="1"/>
  <c r="AP348" i="7"/>
  <c r="AG428" i="7"/>
  <c r="AG346" i="7"/>
  <c r="AG366" i="7"/>
  <c r="AG345" i="7"/>
  <c r="AG429" i="7"/>
  <c r="AG347" i="7"/>
  <c r="AG60" i="7"/>
  <c r="AG646" i="19"/>
  <c r="AF429" i="7" l="1"/>
  <c r="AP429" i="7"/>
  <c r="AF60" i="7"/>
  <c r="AP60" i="7"/>
  <c r="AF366" i="7"/>
  <c r="AP366" i="7"/>
  <c r="AF428" i="7"/>
  <c r="AP428" i="7"/>
  <c r="AF347" i="7"/>
  <c r="AP347" i="7"/>
  <c r="AF345" i="7"/>
  <c r="AP345" i="7"/>
  <c r="AF346" i="7"/>
  <c r="AP346" i="7"/>
  <c r="AA22" i="20" l="1"/>
  <c r="AA23" i="20"/>
  <c r="AA24" i="20"/>
  <c r="AA25" i="20"/>
  <c r="AA26" i="20"/>
  <c r="AA27" i="20"/>
  <c r="AA28" i="20"/>
  <c r="AA29" i="20"/>
  <c r="AA30" i="20"/>
  <c r="AA31" i="20"/>
  <c r="AA32" i="20"/>
  <c r="AA33" i="20"/>
  <c r="AA34" i="20"/>
  <c r="AA35" i="20"/>
  <c r="AA36" i="20"/>
  <c r="AA37" i="20"/>
  <c r="AA38" i="20"/>
  <c r="AA39" i="20"/>
  <c r="AA40" i="20"/>
  <c r="AA41" i="20"/>
  <c r="AA42" i="20"/>
  <c r="AA43" i="20"/>
  <c r="AA44" i="20"/>
  <c r="AA45" i="20"/>
  <c r="AA46" i="20"/>
  <c r="AA47" i="20"/>
  <c r="AA48" i="20"/>
  <c r="AA49" i="20"/>
  <c r="AA50" i="20"/>
  <c r="AA51" i="20"/>
  <c r="AA52" i="20"/>
  <c r="AA53" i="20"/>
  <c r="AA54" i="20"/>
  <c r="AA55" i="20"/>
  <c r="AA56" i="20"/>
  <c r="AA57" i="20"/>
  <c r="AA58" i="20"/>
  <c r="AA59" i="20"/>
  <c r="AA60" i="20"/>
  <c r="AA21" i="20"/>
  <c r="I293" i="7" l="1"/>
  <c r="AE414" i="19" l="1"/>
  <c r="J30" i="13" s="1"/>
  <c r="AN19" i="20" l="1"/>
  <c r="AN20" i="20"/>
  <c r="AN61" i="20"/>
  <c r="AG19" i="19"/>
  <c r="AG21" i="19"/>
  <c r="AG22" i="19"/>
  <c r="AG24" i="19"/>
  <c r="AG25" i="19"/>
  <c r="AG27" i="19"/>
  <c r="AG28" i="19"/>
  <c r="AG30" i="19"/>
  <c r="AG31" i="19"/>
  <c r="AG33" i="19"/>
  <c r="AG34" i="19"/>
  <c r="AG36" i="19"/>
  <c r="AG37" i="19"/>
  <c r="AG39" i="19"/>
  <c r="AG40" i="19"/>
  <c r="AG42" i="19"/>
  <c r="AG43" i="19"/>
  <c r="AG48" i="19"/>
  <c r="AG49" i="19"/>
  <c r="AG177" i="19"/>
  <c r="AG178" i="19"/>
  <c r="AG413" i="19"/>
  <c r="AG414" i="19"/>
  <c r="AG419" i="19"/>
  <c r="AG420" i="19"/>
  <c r="AG467" i="19"/>
  <c r="AG468" i="19"/>
  <c r="AG503" i="19"/>
  <c r="AG504" i="19"/>
  <c r="AG547" i="19"/>
  <c r="AG548" i="19"/>
  <c r="AG568" i="19"/>
  <c r="AG569" i="19"/>
  <c r="AG605" i="19"/>
  <c r="AG606" i="19"/>
  <c r="AG647" i="19"/>
  <c r="AG670" i="19"/>
  <c r="AG681" i="19"/>
  <c r="O35" i="7" l="1"/>
  <c r="O34" i="7" s="1"/>
  <c r="Q35" i="7"/>
  <c r="Q34" i="7" s="1"/>
  <c r="R35" i="7"/>
  <c r="R34" i="7" s="1"/>
  <c r="S35" i="7"/>
  <c r="S34" i="7" s="1"/>
  <c r="U35" i="7"/>
  <c r="U34" i="7" s="1"/>
  <c r="V35" i="7"/>
  <c r="V34" i="7" s="1"/>
  <c r="W35" i="7"/>
  <c r="W34" i="7" s="1"/>
  <c r="Y35" i="7"/>
  <c r="Y34" i="7" s="1"/>
  <c r="Z35" i="7"/>
  <c r="Z34" i="7" s="1"/>
  <c r="AA35" i="7"/>
  <c r="AA34" i="7" s="1"/>
  <c r="AD62" i="7"/>
  <c r="AD44" i="7" s="1"/>
  <c r="AD33" i="7" s="1"/>
  <c r="Z44" i="7"/>
  <c r="AA44" i="7"/>
  <c r="U603" i="19"/>
  <c r="V603" i="19"/>
  <c r="W603" i="19"/>
  <c r="X603" i="19"/>
  <c r="Y603" i="19"/>
  <c r="P418" i="19"/>
  <c r="P417" i="19" s="1"/>
  <c r="Q418" i="19"/>
  <c r="Q417" i="19" s="1"/>
  <c r="R418" i="19"/>
  <c r="R417" i="19" s="1"/>
  <c r="S418" i="19"/>
  <c r="S417" i="19" s="1"/>
  <c r="T418" i="19"/>
  <c r="T417" i="19" s="1"/>
  <c r="U418" i="19"/>
  <c r="U417" i="19" s="1"/>
  <c r="V418" i="19"/>
  <c r="V417" i="19" s="1"/>
  <c r="W418" i="19"/>
  <c r="W417" i="19" s="1"/>
  <c r="X418" i="19"/>
  <c r="X417" i="19" s="1"/>
  <c r="Y418" i="19"/>
  <c r="Y417" i="19" s="1"/>
  <c r="Z33" i="7" l="1"/>
  <c r="AA33" i="7"/>
  <c r="W209" i="19" l="1"/>
  <c r="AB677" i="19" l="1"/>
  <c r="AC677" i="19"/>
  <c r="AB654" i="19"/>
  <c r="AC654" i="19"/>
  <c r="AB645" i="19"/>
  <c r="AB644" i="19" s="1"/>
  <c r="AC645" i="19"/>
  <c r="AC644" i="19" s="1"/>
  <c r="AB333" i="19"/>
  <c r="AB225" i="19" s="1"/>
  <c r="AB224" i="19" s="1"/>
  <c r="AB44" i="19" s="1"/>
  <c r="AC333" i="19"/>
  <c r="AC225" i="19" s="1"/>
  <c r="AC224" i="19" s="1"/>
  <c r="AC17" i="19"/>
  <c r="AB653" i="19" l="1"/>
  <c r="AB643" i="19" s="1"/>
  <c r="AB415" i="19" s="1"/>
  <c r="AC653" i="19"/>
  <c r="AC643" i="19" s="1"/>
  <c r="AB45" i="19"/>
  <c r="AC45" i="19"/>
  <c r="H50" i="7"/>
  <c r="H48" i="7"/>
  <c r="AC44" i="19" l="1"/>
  <c r="AB17" i="19"/>
  <c r="AB16" i="19" s="1"/>
  <c r="AE664" i="19"/>
  <c r="AE663" i="19"/>
  <c r="AE662" i="19"/>
  <c r="AE661" i="19"/>
  <c r="AE660" i="19"/>
  <c r="AE659" i="19"/>
  <c r="AE658" i="19"/>
  <c r="AE657" i="19"/>
  <c r="AE656" i="19"/>
  <c r="AE655" i="19"/>
  <c r="AE652" i="19"/>
  <c r="AE651" i="19"/>
  <c r="AE650" i="19"/>
  <c r="AE649" i="19"/>
  <c r="AE648" i="19"/>
  <c r="AE622" i="19"/>
  <c r="AE621" i="19"/>
  <c r="AE620" i="19"/>
  <c r="AE619" i="19"/>
  <c r="AE618" i="19"/>
  <c r="AE617" i="19"/>
  <c r="AE616" i="19"/>
  <c r="AE615" i="19"/>
  <c r="AE614" i="19"/>
  <c r="AE613" i="19"/>
  <c r="AE612" i="19"/>
  <c r="AE608" i="19"/>
  <c r="AG608" i="19" s="1"/>
  <c r="AE607" i="19"/>
  <c r="AE591" i="19"/>
  <c r="AE590" i="19"/>
  <c r="AE589" i="19"/>
  <c r="AE588" i="19"/>
  <c r="AE587" i="19"/>
  <c r="AE586" i="19"/>
  <c r="AE585" i="19"/>
  <c r="AE584" i="19"/>
  <c r="AE583" i="19"/>
  <c r="AE582" i="19"/>
  <c r="AE581" i="19"/>
  <c r="AE580" i="19"/>
  <c r="AE579" i="19"/>
  <c r="AE578" i="19"/>
  <c r="AE577" i="19"/>
  <c r="AE576" i="19"/>
  <c r="AE572" i="19"/>
  <c r="AE571" i="19"/>
  <c r="AE570" i="19"/>
  <c r="AE563" i="19"/>
  <c r="AE560" i="19"/>
  <c r="AE559" i="19"/>
  <c r="AE558" i="19"/>
  <c r="AE556" i="19"/>
  <c r="AE555" i="19"/>
  <c r="AE554" i="19"/>
  <c r="AE551" i="19"/>
  <c r="AE550" i="19"/>
  <c r="AE549" i="19"/>
  <c r="AE542" i="19"/>
  <c r="AE535" i="19"/>
  <c r="AE534" i="19"/>
  <c r="AE533" i="19"/>
  <c r="AE532" i="19"/>
  <c r="AE531" i="19"/>
  <c r="AE530" i="19"/>
  <c r="AE529" i="19"/>
  <c r="AE528" i="19"/>
  <c r="AE527" i="19"/>
  <c r="AE526" i="19"/>
  <c r="AE517" i="19"/>
  <c r="AE516" i="19"/>
  <c r="AG516" i="19" s="1"/>
  <c r="AE515" i="19"/>
  <c r="AE513" i="19"/>
  <c r="AE512" i="19"/>
  <c r="AE511" i="19"/>
  <c r="AE510" i="19"/>
  <c r="AE509" i="19"/>
  <c r="AE506" i="19"/>
  <c r="AE505" i="19"/>
  <c r="AE499" i="19"/>
  <c r="AE495" i="19"/>
  <c r="AE490" i="19"/>
  <c r="AE489" i="19"/>
  <c r="AE488" i="19"/>
  <c r="AE487" i="19"/>
  <c r="AE486" i="19"/>
  <c r="AE485" i="19"/>
  <c r="AE483" i="19"/>
  <c r="AE482" i="19"/>
  <c r="AE481" i="19"/>
  <c r="AE480" i="19"/>
  <c r="AE479" i="19"/>
  <c r="AE478" i="19"/>
  <c r="AE477" i="19"/>
  <c r="AE476" i="19"/>
  <c r="AE475" i="19"/>
  <c r="AG475" i="19" s="1"/>
  <c r="AE474" i="19"/>
  <c r="AE471" i="19"/>
  <c r="AE470" i="19"/>
  <c r="AE469" i="19"/>
  <c r="AE463" i="19"/>
  <c r="AE461" i="19"/>
  <c r="AE460" i="19"/>
  <c r="AE459" i="19"/>
  <c r="AE458" i="19"/>
  <c r="AE457" i="19"/>
  <c r="AE456" i="19"/>
  <c r="AE455" i="19"/>
  <c r="AE454" i="19"/>
  <c r="AE453" i="19"/>
  <c r="AE452" i="19"/>
  <c r="AE451" i="19"/>
  <c r="AE450" i="19"/>
  <c r="AE449" i="19"/>
  <c r="AG449" i="19" s="1"/>
  <c r="AE431" i="19"/>
  <c r="AE430" i="19"/>
  <c r="AE429" i="19"/>
  <c r="AE428" i="19"/>
  <c r="AE427" i="19"/>
  <c r="AE426" i="19"/>
  <c r="AE425" i="19"/>
  <c r="AE422" i="19"/>
  <c r="AE421" i="19"/>
  <c r="AE411" i="19"/>
  <c r="AE410" i="19"/>
  <c r="AE409" i="19"/>
  <c r="AE408" i="19"/>
  <c r="AE407" i="19"/>
  <c r="AE406" i="19"/>
  <c r="AE404" i="19"/>
  <c r="AE403" i="19"/>
  <c r="AE402" i="19"/>
  <c r="AE401" i="19"/>
  <c r="AE361" i="19"/>
  <c r="AE362" i="19"/>
  <c r="AE363" i="19"/>
  <c r="AE364" i="19"/>
  <c r="AE365" i="19"/>
  <c r="AE366" i="19"/>
  <c r="AE367" i="19"/>
  <c r="AE368" i="19"/>
  <c r="AE349" i="19"/>
  <c r="AE350" i="19"/>
  <c r="AE351" i="19"/>
  <c r="AE352" i="19"/>
  <c r="AE353" i="19"/>
  <c r="AE355" i="19"/>
  <c r="AE356" i="19"/>
  <c r="AE357" i="19"/>
  <c r="AE358" i="19"/>
  <c r="AE359" i="19"/>
  <c r="AE348" i="19"/>
  <c r="AE347" i="19"/>
  <c r="AE346" i="19"/>
  <c r="AE345" i="19"/>
  <c r="AE344" i="19"/>
  <c r="AE343" i="19"/>
  <c r="AE342" i="19"/>
  <c r="AE341" i="19"/>
  <c r="AE340" i="19"/>
  <c r="AE336" i="19"/>
  <c r="AE335" i="19"/>
  <c r="AE334" i="19"/>
  <c r="AG334" i="19" s="1"/>
  <c r="AE272" i="19"/>
  <c r="AE273" i="19"/>
  <c r="AE274" i="19"/>
  <c r="AE275" i="19"/>
  <c r="AE276" i="19"/>
  <c r="AE277" i="19"/>
  <c r="AE278" i="19"/>
  <c r="AE279" i="19"/>
  <c r="AE280" i="19"/>
  <c r="AE281" i="19"/>
  <c r="AE282" i="19"/>
  <c r="AE283" i="19"/>
  <c r="AE284" i="19"/>
  <c r="AE285" i="19"/>
  <c r="AE286" i="19"/>
  <c r="AE287" i="19"/>
  <c r="AE288" i="19"/>
  <c r="AE289" i="19"/>
  <c r="AE290" i="19"/>
  <c r="AE291" i="19"/>
  <c r="AE292" i="19"/>
  <c r="AE293" i="19"/>
  <c r="AE294" i="19"/>
  <c r="AE295" i="19"/>
  <c r="AE296" i="19"/>
  <c r="AE297" i="19"/>
  <c r="AE298" i="19"/>
  <c r="AE299" i="19"/>
  <c r="AE300" i="19"/>
  <c r="AE301" i="19"/>
  <c r="AE302" i="19"/>
  <c r="AE303" i="19"/>
  <c r="AE304" i="19"/>
  <c r="AE305" i="19"/>
  <c r="AE306" i="19"/>
  <c r="AE307" i="19"/>
  <c r="AE308" i="19"/>
  <c r="AE309" i="19"/>
  <c r="AE310" i="19"/>
  <c r="AE311" i="19"/>
  <c r="AE312" i="19"/>
  <c r="AE313" i="19"/>
  <c r="AE314" i="19"/>
  <c r="AE315" i="19"/>
  <c r="AE316" i="19"/>
  <c r="AE317" i="19"/>
  <c r="AE318" i="19"/>
  <c r="AE319" i="19"/>
  <c r="AE320" i="19"/>
  <c r="AE321" i="19"/>
  <c r="AE322" i="19"/>
  <c r="AE323" i="19"/>
  <c r="AE324" i="19"/>
  <c r="AE325" i="19"/>
  <c r="AE326" i="19"/>
  <c r="AE327" i="19"/>
  <c r="AE329" i="19"/>
  <c r="AE261" i="19"/>
  <c r="AE262" i="19"/>
  <c r="AE263" i="19"/>
  <c r="AG263" i="19" s="1"/>
  <c r="AE264" i="19"/>
  <c r="AE265" i="19"/>
  <c r="AE266" i="19"/>
  <c r="AE267" i="19"/>
  <c r="AE268" i="19"/>
  <c r="AG268" i="19" s="1"/>
  <c r="AE269" i="19"/>
  <c r="AE270" i="19"/>
  <c r="AE271" i="19"/>
  <c r="AE255" i="19"/>
  <c r="AE256" i="19"/>
  <c r="AE257" i="19"/>
  <c r="AE258" i="19"/>
  <c r="AE259" i="19"/>
  <c r="AE260" i="19"/>
  <c r="AE250" i="19"/>
  <c r="AE251" i="19"/>
  <c r="AE252" i="19"/>
  <c r="AE253" i="19"/>
  <c r="AE254" i="19"/>
  <c r="AE244" i="19"/>
  <c r="AE245" i="19"/>
  <c r="AE246" i="19"/>
  <c r="AE247" i="19"/>
  <c r="AE248" i="19"/>
  <c r="AE249" i="19"/>
  <c r="AE238" i="19"/>
  <c r="AE239" i="19"/>
  <c r="AE240" i="19"/>
  <c r="AE241" i="19"/>
  <c r="AE242" i="19"/>
  <c r="AE243" i="19"/>
  <c r="AE232" i="19"/>
  <c r="AE233" i="19"/>
  <c r="AE234" i="19"/>
  <c r="AE235" i="19"/>
  <c r="AE236" i="19"/>
  <c r="AE237" i="19"/>
  <c r="AE228" i="19"/>
  <c r="AE229" i="19"/>
  <c r="AE230" i="19"/>
  <c r="AE231" i="19"/>
  <c r="AE227" i="19"/>
  <c r="AE190" i="19"/>
  <c r="AE189" i="19"/>
  <c r="AE187" i="19"/>
  <c r="AE186" i="19"/>
  <c r="AE185" i="19"/>
  <c r="AE180" i="19"/>
  <c r="AE181" i="19"/>
  <c r="AE182" i="19"/>
  <c r="AE179" i="19"/>
  <c r="AE102" i="19"/>
  <c r="AE103" i="19"/>
  <c r="AE104" i="19"/>
  <c r="AE105" i="19"/>
  <c r="AE106" i="19"/>
  <c r="AE107" i="19"/>
  <c r="AE108" i="19"/>
  <c r="AE109" i="19"/>
  <c r="AE110" i="19"/>
  <c r="AE111" i="19"/>
  <c r="AE112" i="19"/>
  <c r="AE113" i="19"/>
  <c r="AE114" i="19"/>
  <c r="AE115" i="19"/>
  <c r="AE116" i="19"/>
  <c r="AE117" i="19"/>
  <c r="AE118" i="19"/>
  <c r="AE119" i="19"/>
  <c r="AE120" i="19"/>
  <c r="AE121" i="19"/>
  <c r="AE122" i="19"/>
  <c r="AE123" i="19"/>
  <c r="AE124" i="19"/>
  <c r="AE125" i="19"/>
  <c r="AE126" i="19"/>
  <c r="AE127" i="19"/>
  <c r="AE128" i="19"/>
  <c r="AE129" i="19"/>
  <c r="AE130" i="19"/>
  <c r="AE131" i="19"/>
  <c r="AE132" i="19"/>
  <c r="AE89" i="19"/>
  <c r="AE90" i="19"/>
  <c r="AE91" i="19"/>
  <c r="AE92" i="19"/>
  <c r="AE93" i="19"/>
  <c r="AE94" i="19"/>
  <c r="AE95" i="19"/>
  <c r="AE96" i="19"/>
  <c r="AE97" i="19"/>
  <c r="AE98" i="19"/>
  <c r="AE99" i="19"/>
  <c r="AE100" i="19"/>
  <c r="AE101" i="19"/>
  <c r="AE78" i="19"/>
  <c r="AE79" i="19"/>
  <c r="AE80" i="19"/>
  <c r="AE81" i="19"/>
  <c r="AE82" i="19"/>
  <c r="AE83" i="19"/>
  <c r="AE84" i="19"/>
  <c r="AE85" i="19"/>
  <c r="AE86" i="19"/>
  <c r="AE87" i="19"/>
  <c r="AE88" i="19"/>
  <c r="AE72" i="19"/>
  <c r="AE73" i="19"/>
  <c r="AE74" i="19"/>
  <c r="AE75" i="19"/>
  <c r="AE76" i="19"/>
  <c r="AE77" i="19"/>
  <c r="AE69" i="19"/>
  <c r="AE70" i="19"/>
  <c r="AE71" i="19"/>
  <c r="AE67" i="19"/>
  <c r="AE68" i="19"/>
  <c r="AE65" i="19"/>
  <c r="AE66" i="19"/>
  <c r="AE59" i="19"/>
  <c r="AE60" i="19"/>
  <c r="AE61" i="19"/>
  <c r="AE62" i="19"/>
  <c r="AE63" i="19"/>
  <c r="AE64" i="19"/>
  <c r="AE58" i="19"/>
  <c r="AE57" i="19"/>
  <c r="AE56" i="19"/>
  <c r="AE55" i="19"/>
  <c r="AE54" i="19"/>
  <c r="AE51" i="19"/>
  <c r="AE50" i="19"/>
  <c r="AE171" i="19"/>
  <c r="AE172" i="19"/>
  <c r="AE167" i="19"/>
  <c r="AE168" i="19"/>
  <c r="AE169" i="19"/>
  <c r="AE170" i="19"/>
  <c r="W18" i="20"/>
  <c r="W17" i="20" s="1"/>
  <c r="X18" i="20"/>
  <c r="X17" i="20" s="1"/>
  <c r="AD498" i="19"/>
  <c r="AD414" i="19"/>
  <c r="AD83" i="7"/>
  <c r="Y84" i="7"/>
  <c r="AE81" i="7"/>
  <c r="AE80" i="7" s="1"/>
  <c r="W58" i="20"/>
  <c r="X58" i="20"/>
  <c r="W30" i="20"/>
  <c r="X30" i="20"/>
  <c r="Z22" i="20"/>
  <c r="Z23" i="20"/>
  <c r="Z24" i="20"/>
  <c r="Z25" i="20"/>
  <c r="AN25" i="20" s="1"/>
  <c r="Z26" i="20"/>
  <c r="AN26" i="20" s="1"/>
  <c r="Z32" i="20"/>
  <c r="AN32" i="20" s="1"/>
  <c r="Z40" i="20"/>
  <c r="AN40" i="20" s="1"/>
  <c r="Z54" i="20"/>
  <c r="AN54" i="20" s="1"/>
  <c r="Z55" i="20"/>
  <c r="AN55" i="20" s="1"/>
  <c r="Z56" i="20"/>
  <c r="AN56" i="20" s="1"/>
  <c r="Z59" i="20"/>
  <c r="Z60" i="20"/>
  <c r="Z21" i="20"/>
  <c r="Y32" i="20"/>
  <c r="AD430" i="7"/>
  <c r="AE430" i="7"/>
  <c r="AD358" i="7"/>
  <c r="AE358" i="7"/>
  <c r="AD314" i="7"/>
  <c r="AD313" i="7" s="1"/>
  <c r="AE314" i="7"/>
  <c r="AE313" i="7" s="1"/>
  <c r="AD299" i="7"/>
  <c r="AE299" i="7"/>
  <c r="AD273" i="7"/>
  <c r="AE273" i="7"/>
  <c r="AD267" i="7"/>
  <c r="AD266" i="7" s="1"/>
  <c r="AE267" i="7"/>
  <c r="AE266" i="7" s="1"/>
  <c r="AD258" i="7"/>
  <c r="AD257" i="7" s="1"/>
  <c r="AE258" i="7"/>
  <c r="AE257" i="7" s="1"/>
  <c r="AD253" i="7"/>
  <c r="AD252" i="7" s="1"/>
  <c r="AE253" i="7"/>
  <c r="AE252" i="7" s="1"/>
  <c r="AD234" i="7"/>
  <c r="AD233" i="7" s="1"/>
  <c r="AE234" i="7"/>
  <c r="AE233" i="7" s="1"/>
  <c r="AD228" i="7"/>
  <c r="AD227" i="7" s="1"/>
  <c r="AE228" i="7"/>
  <c r="AE227" i="7" s="1"/>
  <c r="AD219" i="7"/>
  <c r="AE219" i="7"/>
  <c r="AD198" i="7"/>
  <c r="AE198" i="7"/>
  <c r="AD184" i="7"/>
  <c r="AE184" i="7"/>
  <c r="AD167" i="7"/>
  <c r="AE167" i="7"/>
  <c r="AD156" i="7"/>
  <c r="AD155" i="7" s="1"/>
  <c r="AE156" i="7"/>
  <c r="AE155" i="7" s="1"/>
  <c r="AD96" i="7"/>
  <c r="AE96" i="7"/>
  <c r="AG435" i="7"/>
  <c r="AP435" i="7" s="1"/>
  <c r="AG361" i="7"/>
  <c r="AP361" i="7" s="1"/>
  <c r="AG360" i="7"/>
  <c r="AP360" i="7" s="1"/>
  <c r="AG316" i="7"/>
  <c r="AG315" i="7"/>
  <c r="AP315" i="7" s="1"/>
  <c r="AG269" i="7"/>
  <c r="AP269" i="7" s="1"/>
  <c r="AG268" i="7"/>
  <c r="AP268" i="7" s="1"/>
  <c r="AG255" i="7"/>
  <c r="AP255" i="7" s="1"/>
  <c r="AG254" i="7"/>
  <c r="AP254" i="7" s="1"/>
  <c r="AG230" i="7"/>
  <c r="AP230" i="7" s="1"/>
  <c r="AG229" i="7"/>
  <c r="AP229" i="7" s="1"/>
  <c r="AG192" i="7"/>
  <c r="AP192" i="7" s="1"/>
  <c r="AG191" i="7"/>
  <c r="AP191" i="7" s="1"/>
  <c r="AG158" i="7"/>
  <c r="AP158" i="7" s="1"/>
  <c r="AG157" i="7"/>
  <c r="AP157" i="7" s="1"/>
  <c r="AG91" i="7"/>
  <c r="AP91" i="7" s="1"/>
  <c r="AG86" i="7"/>
  <c r="AP86" i="7" s="1"/>
  <c r="AG85" i="7"/>
  <c r="AP85" i="7" s="1"/>
  <c r="AG82" i="7"/>
  <c r="AP82" i="7" s="1"/>
  <c r="AP36" i="7"/>
  <c r="U60" i="20"/>
  <c r="Q60" i="20"/>
  <c r="M60" i="20"/>
  <c r="N60" i="20" s="1"/>
  <c r="G60" i="20"/>
  <c r="G58" i="20" s="1"/>
  <c r="U59" i="20"/>
  <c r="Q59" i="20"/>
  <c r="Q58" i="20" s="1"/>
  <c r="M59" i="20"/>
  <c r="M58" i="20" s="1"/>
  <c r="H59" i="20"/>
  <c r="H58" i="20" s="1"/>
  <c r="V58" i="20"/>
  <c r="T58" i="20"/>
  <c r="S58" i="20"/>
  <c r="R58" i="20"/>
  <c r="P58" i="20"/>
  <c r="O58" i="20"/>
  <c r="V57" i="20"/>
  <c r="Q57" i="20"/>
  <c r="O57" i="20"/>
  <c r="O30" i="20" s="1"/>
  <c r="M57" i="20"/>
  <c r="G57" i="20"/>
  <c r="G30" i="20" s="1"/>
  <c r="H56" i="20"/>
  <c r="V53" i="20"/>
  <c r="Z53" i="20" s="1"/>
  <c r="R53" i="20"/>
  <c r="N53" i="20"/>
  <c r="H53" i="20"/>
  <c r="V52" i="20"/>
  <c r="Z52" i="20" s="1"/>
  <c r="R52" i="20"/>
  <c r="N52" i="20"/>
  <c r="H52" i="20"/>
  <c r="V51" i="20"/>
  <c r="Z51" i="20" s="1"/>
  <c r="R51" i="20"/>
  <c r="N51" i="20"/>
  <c r="H51" i="20"/>
  <c r="V50" i="20"/>
  <c r="Z50" i="20" s="1"/>
  <c r="R50" i="20"/>
  <c r="N50" i="20"/>
  <c r="H50" i="20"/>
  <c r="V49" i="20"/>
  <c r="Z49" i="20" s="1"/>
  <c r="R49" i="20"/>
  <c r="N49" i="20"/>
  <c r="H49" i="20"/>
  <c r="V48" i="20"/>
  <c r="Z48" i="20" s="1"/>
  <c r="R48" i="20"/>
  <c r="N48" i="20"/>
  <c r="H48" i="20"/>
  <c r="V47" i="20"/>
  <c r="R47" i="20"/>
  <c r="N47" i="20"/>
  <c r="H47" i="20"/>
  <c r="V46" i="20"/>
  <c r="Z46" i="20" s="1"/>
  <c r="R46" i="20"/>
  <c r="N46" i="20"/>
  <c r="H46" i="20"/>
  <c r="V45" i="20"/>
  <c r="Z45" i="20" s="1"/>
  <c r="R45" i="20"/>
  <c r="N45" i="20"/>
  <c r="H45" i="20"/>
  <c r="V44" i="20"/>
  <c r="Z44" i="20" s="1"/>
  <c r="R44" i="20"/>
  <c r="N44" i="20"/>
  <c r="H44" i="20"/>
  <c r="V43" i="20"/>
  <c r="Z43" i="20" s="1"/>
  <c r="R43" i="20"/>
  <c r="N43" i="20"/>
  <c r="H43" i="20"/>
  <c r="V42" i="20"/>
  <c r="Z42" i="20" s="1"/>
  <c r="R42" i="20"/>
  <c r="N42" i="20"/>
  <c r="H42" i="20"/>
  <c r="V41" i="20"/>
  <c r="Z41" i="20" s="1"/>
  <c r="R41" i="20"/>
  <c r="N41" i="20"/>
  <c r="H41" i="20"/>
  <c r="H40" i="20"/>
  <c r="V39" i="20"/>
  <c r="Z39" i="20" s="1"/>
  <c r="R39" i="20"/>
  <c r="N39" i="20"/>
  <c r="H39" i="20"/>
  <c r="V38" i="20"/>
  <c r="Z38" i="20" s="1"/>
  <c r="R38" i="20"/>
  <c r="N38" i="20"/>
  <c r="H38" i="20"/>
  <c r="V37" i="20"/>
  <c r="Z37" i="20" s="1"/>
  <c r="R37" i="20"/>
  <c r="N37" i="20"/>
  <c r="H37" i="20"/>
  <c r="V36" i="20"/>
  <c r="Z36" i="20" s="1"/>
  <c r="R36" i="20"/>
  <c r="N36" i="20"/>
  <c r="H36" i="20"/>
  <c r="V35" i="20"/>
  <c r="Z35" i="20" s="1"/>
  <c r="R35" i="20"/>
  <c r="N35" i="20"/>
  <c r="H35" i="20"/>
  <c r="V34" i="20"/>
  <c r="Z34" i="20" s="1"/>
  <c r="R34" i="20"/>
  <c r="N34" i="20"/>
  <c r="H34" i="20"/>
  <c r="V33" i="20"/>
  <c r="Z33" i="20" s="1"/>
  <c r="R33" i="20"/>
  <c r="N33" i="20"/>
  <c r="H33" i="20"/>
  <c r="U32" i="20"/>
  <c r="Q32" i="20"/>
  <c r="N32" i="20"/>
  <c r="H32" i="20"/>
  <c r="V31" i="20"/>
  <c r="Z31" i="20" s="1"/>
  <c r="R31" i="20"/>
  <c r="N31" i="20"/>
  <c r="H31" i="20"/>
  <c r="S30" i="20"/>
  <c r="P30" i="20"/>
  <c r="V28" i="20"/>
  <c r="Z28" i="20" s="1"/>
  <c r="R28" i="20"/>
  <c r="N28" i="20"/>
  <c r="L28" i="20"/>
  <c r="J28" i="20"/>
  <c r="H28" i="20"/>
  <c r="V27" i="20"/>
  <c r="Z27" i="20" s="1"/>
  <c r="R27" i="20"/>
  <c r="N27" i="20"/>
  <c r="L27" i="20"/>
  <c r="L18" i="20" s="1"/>
  <c r="L17" i="20" s="1"/>
  <c r="L16" i="20" s="1"/>
  <c r="J27" i="20"/>
  <c r="H27" i="20"/>
  <c r="H26" i="20"/>
  <c r="U24" i="20"/>
  <c r="U18" i="20" s="1"/>
  <c r="U17" i="20" s="1"/>
  <c r="Q24" i="20"/>
  <c r="Q18" i="20" s="1"/>
  <c r="Q17" i="20" s="1"/>
  <c r="M24" i="20"/>
  <c r="M18" i="20" s="1"/>
  <c r="M17" i="20" s="1"/>
  <c r="T18" i="20"/>
  <c r="S18" i="20"/>
  <c r="P18" i="20"/>
  <c r="O18" i="20"/>
  <c r="K18" i="20"/>
  <c r="K17" i="20" s="1"/>
  <c r="K16" i="20" s="1"/>
  <c r="I18" i="20"/>
  <c r="I17" i="20" s="1"/>
  <c r="I16" i="20" s="1"/>
  <c r="G18" i="20"/>
  <c r="G17" i="20" s="1"/>
  <c r="AL16" i="20"/>
  <c r="T16" i="20"/>
  <c r="AE203" i="19"/>
  <c r="AE201" i="19"/>
  <c r="AE199" i="19"/>
  <c r="AE196" i="19"/>
  <c r="AE195" i="19"/>
  <c r="AE194" i="19"/>
  <c r="AE412" i="19"/>
  <c r="Y679" i="19"/>
  <c r="AI679" i="19" s="1"/>
  <c r="H679" i="19"/>
  <c r="Y678" i="19"/>
  <c r="X678" i="19" s="1"/>
  <c r="H678" i="19"/>
  <c r="W677" i="19"/>
  <c r="V677" i="19"/>
  <c r="U677" i="19"/>
  <c r="T677" i="19"/>
  <c r="S677" i="19"/>
  <c r="R677" i="19"/>
  <c r="Q677" i="19"/>
  <c r="P677" i="19"/>
  <c r="O677" i="19"/>
  <c r="N677" i="19"/>
  <c r="M677" i="19"/>
  <c r="L677" i="19"/>
  <c r="K677" i="19"/>
  <c r="J677" i="19"/>
  <c r="I677" i="19"/>
  <c r="Y676" i="19"/>
  <c r="AI676" i="19" s="1"/>
  <c r="H676" i="19"/>
  <c r="Y675" i="19"/>
  <c r="H675" i="19"/>
  <c r="Y674" i="19"/>
  <c r="H674" i="19"/>
  <c r="Y673" i="19"/>
  <c r="H673" i="19"/>
  <c r="Y672" i="19"/>
  <c r="H672" i="19"/>
  <c r="Y671" i="19"/>
  <c r="H671" i="19"/>
  <c r="AI670" i="19"/>
  <c r="Y669" i="19"/>
  <c r="AI669" i="19" s="1"/>
  <c r="H669" i="19"/>
  <c r="Y668" i="19"/>
  <c r="AI668" i="19" s="1"/>
  <c r="H668" i="19"/>
  <c r="Y667" i="19"/>
  <c r="AI667" i="19" s="1"/>
  <c r="T667" i="19"/>
  <c r="R667" i="19"/>
  <c r="P667" i="19"/>
  <c r="H667" i="19"/>
  <c r="Y666" i="19"/>
  <c r="T666" i="19"/>
  <c r="R666" i="19"/>
  <c r="P666" i="19"/>
  <c r="H666" i="19"/>
  <c r="Y665" i="19"/>
  <c r="T665" i="19"/>
  <c r="R665" i="19"/>
  <c r="P665" i="19"/>
  <c r="H665" i="19"/>
  <c r="AI664" i="19"/>
  <c r="AH664" i="19"/>
  <c r="X664" i="19"/>
  <c r="T664" i="19"/>
  <c r="R664" i="19"/>
  <c r="P664" i="19"/>
  <c r="H664" i="19"/>
  <c r="AH663" i="19"/>
  <c r="Y663" i="19"/>
  <c r="T663" i="19"/>
  <c r="Q663" i="19"/>
  <c r="O663" i="19"/>
  <c r="H663" i="19"/>
  <c r="AI662" i="19"/>
  <c r="AH662" i="19"/>
  <c r="X662" i="19"/>
  <c r="T662" i="19"/>
  <c r="S662" i="19"/>
  <c r="P662" i="19"/>
  <c r="N662" i="19"/>
  <c r="AI661" i="19"/>
  <c r="AH661" i="19"/>
  <c r="X661" i="19"/>
  <c r="T661" i="19"/>
  <c r="P661" i="19"/>
  <c r="O661" i="19"/>
  <c r="S661" i="19" s="1"/>
  <c r="AH660" i="19"/>
  <c r="X660" i="19"/>
  <c r="T660" i="19"/>
  <c r="S660" i="19"/>
  <c r="P660" i="19"/>
  <c r="N660" i="19"/>
  <c r="I660" i="19"/>
  <c r="AI660" i="19" s="1"/>
  <c r="AH659" i="19"/>
  <c r="X659" i="19"/>
  <c r="T659" i="19"/>
  <c r="R659" i="19"/>
  <c r="P659" i="19"/>
  <c r="N659" i="19"/>
  <c r="I659" i="19"/>
  <c r="AI659" i="19" s="1"/>
  <c r="AH658" i="19"/>
  <c r="X658" i="19"/>
  <c r="T658" i="19"/>
  <c r="S658" i="19"/>
  <c r="P658" i="19"/>
  <c r="N658" i="19"/>
  <c r="I658" i="19"/>
  <c r="AI658" i="19" s="1"/>
  <c r="AH657" i="19"/>
  <c r="X657" i="19"/>
  <c r="T657" i="19"/>
  <c r="S657" i="19"/>
  <c r="P657" i="19"/>
  <c r="N657" i="19"/>
  <c r="I657" i="19"/>
  <c r="AH656" i="19"/>
  <c r="S656" i="19"/>
  <c r="I656" i="19"/>
  <c r="AI656" i="19" s="1"/>
  <c r="AH655" i="19"/>
  <c r="S655" i="19"/>
  <c r="I655" i="19"/>
  <c r="AI655" i="19" s="1"/>
  <c r="W654" i="19"/>
  <c r="V654" i="19"/>
  <c r="U654" i="19"/>
  <c r="M654" i="19"/>
  <c r="M653" i="19" s="1"/>
  <c r="L654" i="19"/>
  <c r="L653" i="19" s="1"/>
  <c r="K654" i="19"/>
  <c r="K653" i="19" s="1"/>
  <c r="J654" i="19"/>
  <c r="J653" i="19" s="1"/>
  <c r="AH652" i="19"/>
  <c r="S652" i="19"/>
  <c r="M652" i="19"/>
  <c r="K652" i="19"/>
  <c r="I652" i="19"/>
  <c r="AI652" i="19" s="1"/>
  <c r="AH651" i="19"/>
  <c r="X651" i="19"/>
  <c r="T651" i="19"/>
  <c r="S651" i="19"/>
  <c r="P651" i="19"/>
  <c r="N651" i="19"/>
  <c r="I651" i="19"/>
  <c r="AI651" i="19" s="1"/>
  <c r="AH650" i="19"/>
  <c r="S650" i="19"/>
  <c r="L650" i="19"/>
  <c r="J650" i="19"/>
  <c r="I650" i="19"/>
  <c r="AI650" i="19" s="1"/>
  <c r="AH649" i="19"/>
  <c r="S649" i="19"/>
  <c r="L649" i="19"/>
  <c r="J649" i="19"/>
  <c r="I649" i="19"/>
  <c r="AI649" i="19" s="1"/>
  <c r="AH648" i="19"/>
  <c r="X648" i="19"/>
  <c r="T648" i="19"/>
  <c r="S648" i="19"/>
  <c r="P648" i="19"/>
  <c r="N648" i="19"/>
  <c r="L648" i="19"/>
  <c r="J648" i="19"/>
  <c r="I648" i="19"/>
  <c r="AI647" i="19"/>
  <c r="AH647" i="19"/>
  <c r="AI646" i="19"/>
  <c r="AH646" i="19"/>
  <c r="Y644" i="19"/>
  <c r="W644" i="19"/>
  <c r="V644" i="19"/>
  <c r="U644" i="19"/>
  <c r="R644" i="19"/>
  <c r="Q644" i="19"/>
  <c r="O644" i="19"/>
  <c r="H644" i="19"/>
  <c r="Y641" i="19"/>
  <c r="H641" i="19"/>
  <c r="Y640" i="19"/>
  <c r="H640" i="19"/>
  <c r="H639" i="19" s="1"/>
  <c r="Y629" i="19"/>
  <c r="AH629" i="19" s="1"/>
  <c r="H629" i="19"/>
  <c r="Y628" i="19"/>
  <c r="H628" i="19"/>
  <c r="Y627" i="19"/>
  <c r="H627" i="19"/>
  <c r="Y626" i="19"/>
  <c r="H626" i="19"/>
  <c r="Y625" i="19"/>
  <c r="H625" i="19"/>
  <c r="Y624" i="19"/>
  <c r="X624" i="19" s="1"/>
  <c r="H624" i="19"/>
  <c r="Y623" i="19"/>
  <c r="H623" i="19"/>
  <c r="AH622" i="19"/>
  <c r="X622" i="19"/>
  <c r="T622" i="19"/>
  <c r="T611" i="19" s="1"/>
  <c r="R622" i="19"/>
  <c r="R611" i="19" s="1"/>
  <c r="P622" i="19"/>
  <c r="P611" i="19" s="1"/>
  <c r="I622" i="19"/>
  <c r="AI622" i="19" s="1"/>
  <c r="AH621" i="19"/>
  <c r="N621" i="19"/>
  <c r="I621" i="19"/>
  <c r="AI621" i="19" s="1"/>
  <c r="E621" i="19"/>
  <c r="AH620" i="19"/>
  <c r="N620" i="19"/>
  <c r="I620" i="19"/>
  <c r="AI620" i="19" s="1"/>
  <c r="E620" i="19"/>
  <c r="AH619" i="19"/>
  <c r="N619" i="19"/>
  <c r="I619" i="19"/>
  <c r="AI619" i="19" s="1"/>
  <c r="AH618" i="19"/>
  <c r="S618" i="19"/>
  <c r="S611" i="19" s="1"/>
  <c r="N618" i="19"/>
  <c r="I618" i="19"/>
  <c r="AI618" i="19" s="1"/>
  <c r="AH617" i="19"/>
  <c r="N617" i="19"/>
  <c r="I617" i="19"/>
  <c r="AI617" i="19" s="1"/>
  <c r="AH616" i="19"/>
  <c r="N616" i="19"/>
  <c r="I616" i="19"/>
  <c r="AI616" i="19" s="1"/>
  <c r="AH615" i="19"/>
  <c r="N615" i="19"/>
  <c r="I615" i="19"/>
  <c r="AI615" i="19" s="1"/>
  <c r="AH614" i="19"/>
  <c r="N614" i="19"/>
  <c r="I614" i="19"/>
  <c r="AI614" i="19" s="1"/>
  <c r="AH613" i="19"/>
  <c r="N613" i="19"/>
  <c r="I613" i="19"/>
  <c r="AI613" i="19" s="1"/>
  <c r="AH612" i="19"/>
  <c r="N612" i="19"/>
  <c r="I612" i="19"/>
  <c r="U610" i="19"/>
  <c r="U602" i="19" s="1"/>
  <c r="Q610" i="19"/>
  <c r="O610" i="19"/>
  <c r="M610" i="19"/>
  <c r="L610" i="19"/>
  <c r="K610" i="19"/>
  <c r="J610" i="19"/>
  <c r="AH608" i="19"/>
  <c r="N608" i="19"/>
  <c r="L608" i="19"/>
  <c r="J608" i="19"/>
  <c r="I608" i="19"/>
  <c r="AH607" i="19"/>
  <c r="AI606" i="19"/>
  <c r="AH606" i="19"/>
  <c r="AI605" i="19"/>
  <c r="AH605" i="19"/>
  <c r="T603" i="19"/>
  <c r="S603" i="19"/>
  <c r="R603" i="19"/>
  <c r="Q603" i="19"/>
  <c r="P603" i="19"/>
  <c r="O603" i="19"/>
  <c r="M603" i="19"/>
  <c r="K603" i="19"/>
  <c r="H603" i="19"/>
  <c r="Y598" i="19"/>
  <c r="H598" i="19"/>
  <c r="Y597" i="19"/>
  <c r="H597" i="19"/>
  <c r="Y596" i="19"/>
  <c r="H596" i="19"/>
  <c r="Y595" i="19"/>
  <c r="H595" i="19"/>
  <c r="V594" i="19"/>
  <c r="H594" i="19"/>
  <c r="Y593" i="19"/>
  <c r="H593" i="19"/>
  <c r="Y592" i="19"/>
  <c r="H592" i="19"/>
  <c r="Y591" i="19"/>
  <c r="V591" i="19"/>
  <c r="O591" i="19"/>
  <c r="AI590" i="19"/>
  <c r="AH590" i="19"/>
  <c r="O590" i="19"/>
  <c r="AI589" i="19"/>
  <c r="AH589" i="19"/>
  <c r="O589" i="19"/>
  <c r="AI588" i="19"/>
  <c r="AH588" i="19"/>
  <c r="O588" i="19"/>
  <c r="AI587" i="19"/>
  <c r="AH587" i="19"/>
  <c r="O587" i="19"/>
  <c r="AI586" i="19"/>
  <c r="AH586" i="19"/>
  <c r="O586" i="19"/>
  <c r="AI585" i="19"/>
  <c r="AH585" i="19"/>
  <c r="O585" i="19"/>
  <c r="AI584" i="19"/>
  <c r="AH584" i="19"/>
  <c r="O584" i="19"/>
  <c r="AI583" i="19"/>
  <c r="AH583" i="19"/>
  <c r="O583" i="19"/>
  <c r="AI582" i="19"/>
  <c r="AH582" i="19"/>
  <c r="O582" i="19"/>
  <c r="AI581" i="19"/>
  <c r="AH581" i="19"/>
  <c r="N581" i="19"/>
  <c r="O580" i="19"/>
  <c r="Y580" i="19" s="1"/>
  <c r="AI579" i="19"/>
  <c r="AH579" i="19"/>
  <c r="O579" i="19"/>
  <c r="AI578" i="19"/>
  <c r="AH578" i="19"/>
  <c r="AI577" i="19"/>
  <c r="AH577" i="19"/>
  <c r="AI576" i="19"/>
  <c r="AH576" i="19"/>
  <c r="W574" i="19"/>
  <c r="U574" i="19"/>
  <c r="T574" i="19"/>
  <c r="S574" i="19"/>
  <c r="R574" i="19"/>
  <c r="Q574" i="19"/>
  <c r="P574" i="19"/>
  <c r="M574" i="19"/>
  <c r="L574" i="19"/>
  <c r="K574" i="19"/>
  <c r="J574" i="19"/>
  <c r="AI572" i="19"/>
  <c r="AH572" i="19"/>
  <c r="N572" i="19"/>
  <c r="N567" i="19" s="1"/>
  <c r="N566" i="19" s="1"/>
  <c r="AI571" i="19"/>
  <c r="AH571" i="19"/>
  <c r="M571" i="19"/>
  <c r="M567" i="19" s="1"/>
  <c r="M566" i="19" s="1"/>
  <c r="K571" i="19"/>
  <c r="K567" i="19" s="1"/>
  <c r="K566" i="19" s="1"/>
  <c r="AH570" i="19"/>
  <c r="AI569" i="19"/>
  <c r="AH569" i="19"/>
  <c r="AI568" i="19"/>
  <c r="AH568" i="19"/>
  <c r="U564" i="19"/>
  <c r="P564" i="19"/>
  <c r="H564" i="19"/>
  <c r="AI563" i="19"/>
  <c r="AH563" i="19"/>
  <c r="P563" i="19"/>
  <c r="P562" i="19" s="1"/>
  <c r="O563" i="19"/>
  <c r="H563" i="19"/>
  <c r="W562" i="19"/>
  <c r="V562" i="19"/>
  <c r="S562" i="19"/>
  <c r="R562" i="19"/>
  <c r="Q562" i="19"/>
  <c r="M562" i="19"/>
  <c r="L562" i="19"/>
  <c r="K562" i="19"/>
  <c r="J562" i="19"/>
  <c r="I562" i="19"/>
  <c r="X561" i="19"/>
  <c r="AE561" i="19" s="1"/>
  <c r="H561" i="19"/>
  <c r="AI560" i="19"/>
  <c r="AH560" i="19"/>
  <c r="X560" i="19"/>
  <c r="T560" i="19"/>
  <c r="P560" i="19"/>
  <c r="H560" i="19"/>
  <c r="AI559" i="19"/>
  <c r="AH559" i="19"/>
  <c r="X559" i="19"/>
  <c r="U559" i="19"/>
  <c r="T559" i="19" s="1"/>
  <c r="P559" i="19"/>
  <c r="H559" i="19"/>
  <c r="AI558" i="19"/>
  <c r="AH558" i="19"/>
  <c r="X558" i="19"/>
  <c r="T558" i="19"/>
  <c r="S558" i="19"/>
  <c r="P558" i="19"/>
  <c r="H558" i="19"/>
  <c r="U557" i="19"/>
  <c r="N557" i="19"/>
  <c r="N553" i="19" s="1"/>
  <c r="H557" i="19"/>
  <c r="AI556" i="19"/>
  <c r="AH556" i="19"/>
  <c r="X556" i="19"/>
  <c r="T556" i="19"/>
  <c r="S556" i="19"/>
  <c r="P556" i="19"/>
  <c r="AI555" i="19"/>
  <c r="AH555" i="19"/>
  <c r="AI554" i="19"/>
  <c r="AH554" i="19"/>
  <c r="X554" i="19"/>
  <c r="T554" i="19"/>
  <c r="S554" i="19"/>
  <c r="P554" i="19"/>
  <c r="W553" i="19"/>
  <c r="V553" i="19"/>
  <c r="R553" i="19"/>
  <c r="Q553" i="19"/>
  <c r="O553" i="19"/>
  <c r="M553" i="19"/>
  <c r="L553" i="19"/>
  <c r="K553" i="19"/>
  <c r="J553" i="19"/>
  <c r="I553" i="19"/>
  <c r="AI551" i="19"/>
  <c r="AH551" i="19"/>
  <c r="L551" i="19"/>
  <c r="J551" i="19"/>
  <c r="K551" i="19" s="1"/>
  <c r="AI550" i="19"/>
  <c r="AH550" i="19"/>
  <c r="X550" i="19"/>
  <c r="X546" i="19" s="1"/>
  <c r="X545" i="19" s="1"/>
  <c r="T550" i="19"/>
  <c r="T546" i="19" s="1"/>
  <c r="T545" i="19" s="1"/>
  <c r="P550" i="19"/>
  <c r="P546" i="19" s="1"/>
  <c r="P545" i="19" s="1"/>
  <c r="M550" i="19"/>
  <c r="K550" i="19"/>
  <c r="AH549" i="19"/>
  <c r="AI548" i="19"/>
  <c r="AH548" i="19"/>
  <c r="AI547" i="19"/>
  <c r="AH547" i="19"/>
  <c r="Y546" i="19"/>
  <c r="W546" i="19"/>
  <c r="W545" i="19" s="1"/>
  <c r="V546" i="19"/>
  <c r="V545" i="19" s="1"/>
  <c r="U546" i="19"/>
  <c r="U545" i="19" s="1"/>
  <c r="S546" i="19"/>
  <c r="S545" i="19" s="1"/>
  <c r="R546" i="19"/>
  <c r="R545" i="19" s="1"/>
  <c r="Q546" i="19"/>
  <c r="Q545" i="19" s="1"/>
  <c r="O546" i="19"/>
  <c r="O545" i="19" s="1"/>
  <c r="N546" i="19"/>
  <c r="N545" i="19" s="1"/>
  <c r="I546" i="19"/>
  <c r="H546" i="19"/>
  <c r="H545" i="19" s="1"/>
  <c r="Y543" i="19"/>
  <c r="X543" i="19" s="1"/>
  <c r="X541" i="19" s="1"/>
  <c r="H543" i="19"/>
  <c r="H541" i="19" s="1"/>
  <c r="AI542" i="19"/>
  <c r="AH542" i="19"/>
  <c r="H542" i="19"/>
  <c r="W541" i="19"/>
  <c r="V541" i="19"/>
  <c r="I541" i="19"/>
  <c r="Y540" i="19"/>
  <c r="H540" i="19"/>
  <c r="Y539" i="19"/>
  <c r="H539" i="19"/>
  <c r="Y538" i="19"/>
  <c r="H538" i="19"/>
  <c r="Y537" i="19"/>
  <c r="H537" i="19"/>
  <c r="Y536" i="19"/>
  <c r="H536" i="19"/>
  <c r="AI535" i="19"/>
  <c r="AH535" i="19"/>
  <c r="X535" i="19"/>
  <c r="T535" i="19"/>
  <c r="P535" i="19"/>
  <c r="H535" i="19"/>
  <c r="AI534" i="19"/>
  <c r="AH534" i="19"/>
  <c r="S534" i="19"/>
  <c r="AI533" i="19"/>
  <c r="AH533" i="19"/>
  <c r="S533" i="19"/>
  <c r="AI532" i="19"/>
  <c r="AH532" i="19"/>
  <c r="S532" i="19"/>
  <c r="AI531" i="19"/>
  <c r="AH531" i="19"/>
  <c r="X531" i="19"/>
  <c r="T531" i="19"/>
  <c r="S531" i="19"/>
  <c r="P531" i="19"/>
  <c r="N531" i="19"/>
  <c r="AI530" i="19"/>
  <c r="AH530" i="19"/>
  <c r="X530" i="19"/>
  <c r="T530" i="19"/>
  <c r="S530" i="19"/>
  <c r="P530" i="19"/>
  <c r="H530" i="19"/>
  <c r="AI529" i="19"/>
  <c r="AH529" i="19"/>
  <c r="X529" i="19"/>
  <c r="T529" i="19"/>
  <c r="S529" i="19"/>
  <c r="Q529" i="19"/>
  <c r="Q525" i="19" s="1"/>
  <c r="Q524" i="19" s="1"/>
  <c r="Q523" i="19" s="1"/>
  <c r="N529" i="19"/>
  <c r="H529" i="19"/>
  <c r="AI528" i="19"/>
  <c r="AH528" i="19"/>
  <c r="S528" i="19"/>
  <c r="N528" i="19"/>
  <c r="AI527" i="19"/>
  <c r="AH527" i="19"/>
  <c r="X527" i="19"/>
  <c r="T527" i="19"/>
  <c r="S527" i="19"/>
  <c r="P527" i="19"/>
  <c r="N527" i="19"/>
  <c r="AH526" i="19"/>
  <c r="S526" i="19"/>
  <c r="N526" i="19"/>
  <c r="W525" i="19"/>
  <c r="W524" i="19" s="1"/>
  <c r="W523" i="19" s="1"/>
  <c r="V525" i="19"/>
  <c r="V524" i="19" s="1"/>
  <c r="V523" i="19" s="1"/>
  <c r="U525" i="19"/>
  <c r="U524" i="19" s="1"/>
  <c r="U523" i="19" s="1"/>
  <c r="R525" i="19"/>
  <c r="R524" i="19" s="1"/>
  <c r="R523" i="19" s="1"/>
  <c r="O525" i="19"/>
  <c r="O524" i="19" s="1"/>
  <c r="O523" i="19" s="1"/>
  <c r="M525" i="19"/>
  <c r="M524" i="19" s="1"/>
  <c r="M523" i="19" s="1"/>
  <c r="L525" i="19"/>
  <c r="L524" i="19" s="1"/>
  <c r="L523" i="19" s="1"/>
  <c r="K525" i="19"/>
  <c r="K524" i="19" s="1"/>
  <c r="K523" i="19" s="1"/>
  <c r="J525" i="19"/>
  <c r="J524" i="19" s="1"/>
  <c r="J523" i="19" s="1"/>
  <c r="I525" i="19"/>
  <c r="Y522" i="19"/>
  <c r="H522" i="19"/>
  <c r="Y521" i="19"/>
  <c r="H521" i="19"/>
  <c r="Y520" i="19"/>
  <c r="H520" i="19"/>
  <c r="Y519" i="19"/>
  <c r="AH519" i="19" s="1"/>
  <c r="H519" i="19"/>
  <c r="Y518" i="19"/>
  <c r="T518" i="19"/>
  <c r="R518" i="19" s="1"/>
  <c r="Q518" i="19"/>
  <c r="P518" i="19" s="1"/>
  <c r="H518" i="19"/>
  <c r="AI517" i="19"/>
  <c r="AH517" i="19"/>
  <c r="X517" i="19"/>
  <c r="T517" i="19"/>
  <c r="R517" i="19"/>
  <c r="P517" i="19"/>
  <c r="H517" i="19"/>
  <c r="AI516" i="19"/>
  <c r="AH516" i="19"/>
  <c r="X516" i="19"/>
  <c r="T516" i="19"/>
  <c r="P516" i="19"/>
  <c r="O516" i="19"/>
  <c r="R516" i="19" s="1"/>
  <c r="H516" i="19"/>
  <c r="AI515" i="19"/>
  <c r="AH515" i="19"/>
  <c r="X515" i="19"/>
  <c r="T515" i="19"/>
  <c r="S515" i="19"/>
  <c r="Q515" i="19"/>
  <c r="Q514" i="19" s="1"/>
  <c r="N515" i="19"/>
  <c r="P515" i="19" s="1"/>
  <c r="H515" i="19"/>
  <c r="Y514" i="19"/>
  <c r="AH514" i="19" s="1"/>
  <c r="U514" i="19"/>
  <c r="I514" i="19"/>
  <c r="AI513" i="19"/>
  <c r="AH513" i="19"/>
  <c r="X513" i="19"/>
  <c r="T513" i="19"/>
  <c r="S513" i="19"/>
  <c r="AI512" i="19"/>
  <c r="AH512" i="19"/>
  <c r="X512" i="19"/>
  <c r="T512" i="19"/>
  <c r="S512" i="19"/>
  <c r="Q512" i="19"/>
  <c r="P512" i="19" s="1"/>
  <c r="AI511" i="19"/>
  <c r="AH511" i="19"/>
  <c r="X511" i="19"/>
  <c r="T511" i="19"/>
  <c r="S511" i="19"/>
  <c r="AI510" i="19"/>
  <c r="AH510" i="19"/>
  <c r="X510" i="19"/>
  <c r="T510" i="19"/>
  <c r="S510" i="19"/>
  <c r="P510" i="19"/>
  <c r="H510" i="19"/>
  <c r="AI509" i="19"/>
  <c r="AH509" i="19"/>
  <c r="X509" i="19"/>
  <c r="T509" i="19"/>
  <c r="S509" i="19"/>
  <c r="P509" i="19"/>
  <c r="H509" i="19"/>
  <c r="W508" i="19"/>
  <c r="W507" i="19" s="1"/>
  <c r="V508" i="19"/>
  <c r="V507" i="19" s="1"/>
  <c r="M508" i="19"/>
  <c r="M507" i="19" s="1"/>
  <c r="L508" i="19"/>
  <c r="L507" i="19" s="1"/>
  <c r="K508" i="19"/>
  <c r="K507" i="19" s="1"/>
  <c r="J508" i="19"/>
  <c r="J507" i="19" s="1"/>
  <c r="AH506" i="19"/>
  <c r="Q506" i="19"/>
  <c r="Q502" i="19" s="1"/>
  <c r="Q501" i="19" s="1"/>
  <c r="O506" i="19"/>
  <c r="S506" i="19" s="1"/>
  <c r="S502" i="19" s="1"/>
  <c r="S501" i="19" s="1"/>
  <c r="I506" i="19"/>
  <c r="AI505" i="19"/>
  <c r="AH505" i="19"/>
  <c r="X505" i="19"/>
  <c r="X502" i="19" s="1"/>
  <c r="X501" i="19" s="1"/>
  <c r="T505" i="19"/>
  <c r="T502" i="19" s="1"/>
  <c r="T501" i="19" s="1"/>
  <c r="P505" i="19"/>
  <c r="P502" i="19" s="1"/>
  <c r="P501" i="19" s="1"/>
  <c r="O505" i="19"/>
  <c r="R505" i="19" s="1"/>
  <c r="R502" i="19" s="1"/>
  <c r="R501" i="19" s="1"/>
  <c r="H505" i="19"/>
  <c r="H502" i="19" s="1"/>
  <c r="H501" i="19" s="1"/>
  <c r="AI504" i="19"/>
  <c r="AH504" i="19"/>
  <c r="AI503" i="19"/>
  <c r="AH503" i="19"/>
  <c r="Y502" i="19"/>
  <c r="W502" i="19"/>
  <c r="W501" i="19" s="1"/>
  <c r="V502" i="19"/>
  <c r="V501" i="19" s="1"/>
  <c r="U502" i="19"/>
  <c r="U501" i="19" s="1"/>
  <c r="N502" i="19"/>
  <c r="N501" i="19" s="1"/>
  <c r="M502" i="19"/>
  <c r="M501" i="19" s="1"/>
  <c r="L502" i="19"/>
  <c r="L501" i="19" s="1"/>
  <c r="K502" i="19"/>
  <c r="K501" i="19" s="1"/>
  <c r="J502" i="19"/>
  <c r="J501" i="19" s="1"/>
  <c r="AI499" i="19"/>
  <c r="AH499" i="19"/>
  <c r="S499" i="19"/>
  <c r="S498" i="19" s="1"/>
  <c r="N499" i="19"/>
  <c r="N498" i="19" s="1"/>
  <c r="H499" i="19"/>
  <c r="H498" i="19" s="1"/>
  <c r="Y498" i="19"/>
  <c r="X498" i="19"/>
  <c r="T498" i="19"/>
  <c r="R498" i="19"/>
  <c r="Q498" i="19"/>
  <c r="P498" i="19"/>
  <c r="O498" i="19"/>
  <c r="O472" i="19" s="1"/>
  <c r="I498" i="19"/>
  <c r="Y494" i="19"/>
  <c r="H494" i="19"/>
  <c r="Y493" i="19"/>
  <c r="H493" i="19"/>
  <c r="Y492" i="19"/>
  <c r="H492" i="19"/>
  <c r="Y491" i="19"/>
  <c r="H491" i="19"/>
  <c r="AI490" i="19"/>
  <c r="AH490" i="19"/>
  <c r="X490" i="19"/>
  <c r="T490" i="19"/>
  <c r="R490" i="19"/>
  <c r="P490" i="19"/>
  <c r="H490" i="19"/>
  <c r="AH489" i="19"/>
  <c r="X489" i="19"/>
  <c r="T489" i="19"/>
  <c r="R489" i="19"/>
  <c r="P489" i="19"/>
  <c r="I489" i="19"/>
  <c r="AI488" i="19"/>
  <c r="AH488" i="19"/>
  <c r="X488" i="19"/>
  <c r="T488" i="19"/>
  <c r="R488" i="19"/>
  <c r="Q488" i="19"/>
  <c r="H488" i="19"/>
  <c r="AI487" i="19"/>
  <c r="AH487" i="19"/>
  <c r="X487" i="19"/>
  <c r="T487" i="19"/>
  <c r="R487" i="19"/>
  <c r="P487" i="19"/>
  <c r="H487" i="19"/>
  <c r="AI486" i="19"/>
  <c r="AH486" i="19"/>
  <c r="X486" i="19"/>
  <c r="T486" i="19"/>
  <c r="R486" i="19"/>
  <c r="P486" i="19"/>
  <c r="H486" i="19"/>
  <c r="AI485" i="19"/>
  <c r="AH485" i="19"/>
  <c r="X485" i="19"/>
  <c r="T485" i="19"/>
  <c r="R485" i="19"/>
  <c r="P485" i="19"/>
  <c r="H485" i="19"/>
  <c r="Y484" i="19"/>
  <c r="T484" i="19"/>
  <c r="R484" i="19"/>
  <c r="P484" i="19"/>
  <c r="H484" i="19"/>
  <c r="AI483" i="19"/>
  <c r="AH483" i="19"/>
  <c r="X483" i="19"/>
  <c r="T483" i="19"/>
  <c r="R483" i="19"/>
  <c r="P483" i="19"/>
  <c r="AI482" i="19"/>
  <c r="AH482" i="19"/>
  <c r="X482" i="19"/>
  <c r="T482" i="19"/>
  <c r="S482" i="19"/>
  <c r="P482" i="19"/>
  <c r="N482" i="19"/>
  <c r="H482" i="19"/>
  <c r="AI481" i="19"/>
  <c r="AH481" i="19"/>
  <c r="X481" i="19"/>
  <c r="T481" i="19"/>
  <c r="Q481" i="19"/>
  <c r="N481" i="19"/>
  <c r="AI480" i="19"/>
  <c r="AH480" i="19"/>
  <c r="X480" i="19"/>
  <c r="T480" i="19"/>
  <c r="S480" i="19"/>
  <c r="P480" i="19"/>
  <c r="N480" i="19"/>
  <c r="H480" i="19"/>
  <c r="AI479" i="19"/>
  <c r="AH479" i="19"/>
  <c r="X479" i="19"/>
  <c r="T479" i="19"/>
  <c r="R479" i="19"/>
  <c r="P479" i="19"/>
  <c r="N479" i="19"/>
  <c r="AI478" i="19"/>
  <c r="AH478" i="19"/>
  <c r="X478" i="19"/>
  <c r="T478" i="19"/>
  <c r="S478" i="19"/>
  <c r="P478" i="19"/>
  <c r="N478" i="19"/>
  <c r="H478" i="19"/>
  <c r="AI477" i="19"/>
  <c r="AH477" i="19"/>
  <c r="X477" i="19"/>
  <c r="T477" i="19"/>
  <c r="S477" i="19"/>
  <c r="P477" i="19"/>
  <c r="N477" i="19"/>
  <c r="H477" i="19"/>
  <c r="AI476" i="19"/>
  <c r="AH476" i="19"/>
  <c r="X476" i="19"/>
  <c r="T476" i="19"/>
  <c r="S476" i="19"/>
  <c r="P476" i="19"/>
  <c r="N476" i="19"/>
  <c r="H476" i="19"/>
  <c r="AI475" i="19"/>
  <c r="AH475" i="19"/>
  <c r="X475" i="19"/>
  <c r="T475" i="19"/>
  <c r="S475" i="19"/>
  <c r="P475" i="19"/>
  <c r="N475" i="19"/>
  <c r="H475" i="19"/>
  <c r="AI474" i="19"/>
  <c r="AH474" i="19"/>
  <c r="X474" i="19"/>
  <c r="T474" i="19"/>
  <c r="S474" i="19"/>
  <c r="P474" i="19"/>
  <c r="N474" i="19"/>
  <c r="H474" i="19"/>
  <c r="W472" i="19"/>
  <c r="W464" i="19" s="1"/>
  <c r="V472" i="19"/>
  <c r="V464" i="19" s="1"/>
  <c r="U472" i="19"/>
  <c r="M472" i="19"/>
  <c r="L472" i="19"/>
  <c r="K472" i="19"/>
  <c r="J472" i="19"/>
  <c r="AI471" i="19"/>
  <c r="AH471" i="19"/>
  <c r="X471" i="19"/>
  <c r="T471" i="19"/>
  <c r="S471" i="19"/>
  <c r="P471" i="19"/>
  <c r="N471" i="19"/>
  <c r="L471" i="19"/>
  <c r="J471" i="19"/>
  <c r="H471" i="19"/>
  <c r="AI470" i="19"/>
  <c r="AH470" i="19"/>
  <c r="X470" i="19"/>
  <c r="T470" i="19"/>
  <c r="S470" i="19"/>
  <c r="P470" i="19"/>
  <c r="N470" i="19"/>
  <c r="M470" i="19"/>
  <c r="M466" i="19" s="1"/>
  <c r="M465" i="19" s="1"/>
  <c r="K470" i="19"/>
  <c r="J470" i="19" s="1"/>
  <c r="H470" i="19"/>
  <c r="AH469" i="19"/>
  <c r="X469" i="19"/>
  <c r="T469" i="19"/>
  <c r="P469" i="19"/>
  <c r="O469" i="19"/>
  <c r="S469" i="19" s="1"/>
  <c r="AI468" i="19"/>
  <c r="AH468" i="19"/>
  <c r="AI467" i="19"/>
  <c r="AH467" i="19"/>
  <c r="Y466" i="19"/>
  <c r="U466" i="19"/>
  <c r="U465" i="19" s="1"/>
  <c r="R466" i="19"/>
  <c r="R465" i="19" s="1"/>
  <c r="Q466" i="19"/>
  <c r="Q465" i="19" s="1"/>
  <c r="I466" i="19"/>
  <c r="I465" i="19" s="1"/>
  <c r="AI463" i="19"/>
  <c r="AH463" i="19"/>
  <c r="X463" i="19"/>
  <c r="X462" i="19" s="1"/>
  <c r="R463" i="19"/>
  <c r="P463" i="19"/>
  <c r="H463" i="19"/>
  <c r="H462" i="19" s="1"/>
  <c r="Y462" i="19"/>
  <c r="V462" i="19"/>
  <c r="I462" i="19"/>
  <c r="AI461" i="19"/>
  <c r="AH461" i="19"/>
  <c r="X461" i="19"/>
  <c r="T461" i="19"/>
  <c r="R461" i="19"/>
  <c r="P461" i="19"/>
  <c r="AI460" i="19"/>
  <c r="AH460" i="19"/>
  <c r="X460" i="19"/>
  <c r="T460" i="19"/>
  <c r="R460" i="19"/>
  <c r="P460" i="19"/>
  <c r="H460" i="19"/>
  <c r="AI459" i="19"/>
  <c r="AH459" i="19"/>
  <c r="O459" i="19"/>
  <c r="S459" i="19" s="1"/>
  <c r="AI458" i="19"/>
  <c r="AH458" i="19"/>
  <c r="O458" i="19"/>
  <c r="S458" i="19" s="1"/>
  <c r="AI457" i="19"/>
  <c r="AH457" i="19"/>
  <c r="X457" i="19"/>
  <c r="T457" i="19"/>
  <c r="P457" i="19"/>
  <c r="O457" i="19"/>
  <c r="R457" i="19" s="1"/>
  <c r="H457" i="19"/>
  <c r="AI456" i="19"/>
  <c r="AH456" i="19"/>
  <c r="X456" i="19"/>
  <c r="T456" i="19"/>
  <c r="P456" i="19"/>
  <c r="O456" i="19"/>
  <c r="S456" i="19" s="1"/>
  <c r="AI455" i="19"/>
  <c r="AH455" i="19"/>
  <c r="X455" i="19"/>
  <c r="T455" i="19"/>
  <c r="P455" i="19"/>
  <c r="O455" i="19"/>
  <c r="S455" i="19" s="1"/>
  <c r="AI454" i="19"/>
  <c r="AH454" i="19"/>
  <c r="O454" i="19"/>
  <c r="S454" i="19" s="1"/>
  <c r="AI453" i="19"/>
  <c r="AH453" i="19"/>
  <c r="X453" i="19"/>
  <c r="T453" i="19"/>
  <c r="P453" i="19"/>
  <c r="O453" i="19"/>
  <c r="AI452" i="19"/>
  <c r="AH452" i="19"/>
  <c r="O452" i="19"/>
  <c r="S452" i="19" s="1"/>
  <c r="AI451" i="19"/>
  <c r="AH451" i="19"/>
  <c r="X451" i="19"/>
  <c r="T451" i="19"/>
  <c r="P451" i="19"/>
  <c r="O451" i="19"/>
  <c r="S451" i="19" s="1"/>
  <c r="AI450" i="19"/>
  <c r="AH450" i="19"/>
  <c r="X450" i="19"/>
  <c r="T450" i="19"/>
  <c r="P450" i="19"/>
  <c r="O450" i="19"/>
  <c r="R450" i="19" s="1"/>
  <c r="AI449" i="19"/>
  <c r="AH449" i="19"/>
  <c r="X449" i="19"/>
  <c r="T449" i="19"/>
  <c r="P449" i="19"/>
  <c r="O449" i="19"/>
  <c r="S449" i="19" s="1"/>
  <c r="Y448" i="19"/>
  <c r="AH448" i="19" s="1"/>
  <c r="W448" i="19"/>
  <c r="W447" i="19" s="1"/>
  <c r="W446" i="19" s="1"/>
  <c r="V448" i="19"/>
  <c r="U448" i="19"/>
  <c r="U447" i="19" s="1"/>
  <c r="U446" i="19" s="1"/>
  <c r="Q448" i="19"/>
  <c r="Q447" i="19" s="1"/>
  <c r="Q446" i="19" s="1"/>
  <c r="N448" i="19"/>
  <c r="N447" i="19" s="1"/>
  <c r="N446" i="19" s="1"/>
  <c r="M448" i="19"/>
  <c r="M447" i="19" s="1"/>
  <c r="M446" i="19" s="1"/>
  <c r="L448" i="19"/>
  <c r="L447" i="19" s="1"/>
  <c r="L446" i="19" s="1"/>
  <c r="K448" i="19"/>
  <c r="K447" i="19" s="1"/>
  <c r="K446" i="19" s="1"/>
  <c r="J448" i="19"/>
  <c r="J447" i="19" s="1"/>
  <c r="J446" i="19" s="1"/>
  <c r="I448" i="19"/>
  <c r="Y445" i="19"/>
  <c r="AH445" i="19" s="1"/>
  <c r="I445" i="19"/>
  <c r="Y444" i="19"/>
  <c r="I444" i="19"/>
  <c r="Y443" i="19"/>
  <c r="I443" i="19"/>
  <c r="Y442" i="19"/>
  <c r="I442" i="19"/>
  <c r="Y441" i="19"/>
  <c r="AH441" i="19" s="1"/>
  <c r="I441" i="19"/>
  <c r="Y440" i="19"/>
  <c r="I440" i="19"/>
  <c r="Y439" i="19"/>
  <c r="I439" i="19"/>
  <c r="Y438" i="19"/>
  <c r="I438" i="19"/>
  <c r="Y437" i="19"/>
  <c r="I437" i="19"/>
  <c r="Y436" i="19"/>
  <c r="H436" i="19"/>
  <c r="Y435" i="19"/>
  <c r="H435" i="19"/>
  <c r="Y434" i="19"/>
  <c r="I434" i="19"/>
  <c r="Y433" i="19"/>
  <c r="AH433" i="19" s="1"/>
  <c r="I433" i="19"/>
  <c r="W432" i="19"/>
  <c r="V432" i="19"/>
  <c r="U432" i="19"/>
  <c r="T432" i="19"/>
  <c r="S432" i="19"/>
  <c r="R432" i="19"/>
  <c r="Q432" i="19"/>
  <c r="P432" i="19"/>
  <c r="O432" i="19"/>
  <c r="N432" i="19"/>
  <c r="M432" i="19"/>
  <c r="L432" i="19"/>
  <c r="K432" i="19"/>
  <c r="J432" i="19"/>
  <c r="AI431" i="19"/>
  <c r="AH431" i="19"/>
  <c r="X431" i="19"/>
  <c r="T431" i="19"/>
  <c r="R431" i="19"/>
  <c r="Q431" i="19"/>
  <c r="P431" i="19" s="1"/>
  <c r="H431" i="19"/>
  <c r="AI430" i="19"/>
  <c r="AH430" i="19"/>
  <c r="X430" i="19"/>
  <c r="T430" i="19"/>
  <c r="R430" i="19"/>
  <c r="Q430" i="19"/>
  <c r="P430" i="19" s="1"/>
  <c r="H430" i="19"/>
  <c r="AI429" i="19"/>
  <c r="AH429" i="19"/>
  <c r="X429" i="19"/>
  <c r="T429" i="19"/>
  <c r="P429" i="19"/>
  <c r="O429" i="19"/>
  <c r="S429" i="19" s="1"/>
  <c r="AI428" i="19"/>
  <c r="AH428" i="19"/>
  <c r="X428" i="19"/>
  <c r="T428" i="19"/>
  <c r="P428" i="19"/>
  <c r="O428" i="19"/>
  <c r="S428" i="19" s="1"/>
  <c r="AI427" i="19"/>
  <c r="AH427" i="19"/>
  <c r="X427" i="19"/>
  <c r="T427" i="19"/>
  <c r="P427" i="19"/>
  <c r="O427" i="19"/>
  <c r="S427" i="19" s="1"/>
  <c r="AI426" i="19"/>
  <c r="AH426" i="19"/>
  <c r="X426" i="19"/>
  <c r="T426" i="19"/>
  <c r="Q426" i="19"/>
  <c r="P426" i="19"/>
  <c r="O426" i="19"/>
  <c r="S426" i="19" s="1"/>
  <c r="AI425" i="19"/>
  <c r="AH425" i="19"/>
  <c r="O425" i="19"/>
  <c r="Y424" i="19"/>
  <c r="W424" i="19"/>
  <c r="V424" i="19"/>
  <c r="U424" i="19"/>
  <c r="N424" i="19"/>
  <c r="M424" i="19"/>
  <c r="L424" i="19"/>
  <c r="K424" i="19"/>
  <c r="J424" i="19"/>
  <c r="I424" i="19"/>
  <c r="AH422" i="19"/>
  <c r="N422" i="19"/>
  <c r="N418" i="19" s="1"/>
  <c r="N417" i="19" s="1"/>
  <c r="M422" i="19"/>
  <c r="M418" i="19" s="1"/>
  <c r="M417" i="19" s="1"/>
  <c r="K422" i="19"/>
  <c r="K418" i="19" s="1"/>
  <c r="K417" i="19" s="1"/>
  <c r="I422" i="19"/>
  <c r="AI422" i="19" s="1"/>
  <c r="AH421" i="19"/>
  <c r="O421" i="19"/>
  <c r="O418" i="19" s="1"/>
  <c r="O417" i="19" s="1"/>
  <c r="L421" i="19"/>
  <c r="L418" i="19" s="1"/>
  <c r="L417" i="19" s="1"/>
  <c r="J421" i="19"/>
  <c r="J418" i="19" s="1"/>
  <c r="J417" i="19" s="1"/>
  <c r="I421" i="19"/>
  <c r="AI421" i="19" s="1"/>
  <c r="AI420" i="19"/>
  <c r="AH420" i="19"/>
  <c r="AI419" i="19"/>
  <c r="AH419" i="19"/>
  <c r="AH418" i="19"/>
  <c r="H418" i="19"/>
  <c r="H417" i="19" s="1"/>
  <c r="AH417" i="19"/>
  <c r="AH414" i="19"/>
  <c r="X414" i="19"/>
  <c r="T414" i="19"/>
  <c r="P414" i="19"/>
  <c r="O414" i="19"/>
  <c r="AI413" i="19"/>
  <c r="AH413" i="19"/>
  <c r="S413" i="19"/>
  <c r="N413" i="19"/>
  <c r="Y412" i="19"/>
  <c r="AI411" i="19"/>
  <c r="AH411" i="19"/>
  <c r="AI410" i="19"/>
  <c r="AH410" i="19"/>
  <c r="AI409" i="19"/>
  <c r="AH409" i="19"/>
  <c r="AI408" i="19"/>
  <c r="AH408" i="19"/>
  <c r="AI407" i="19"/>
  <c r="AH407" i="19"/>
  <c r="AI406" i="19"/>
  <c r="AH406" i="19"/>
  <c r="Y405" i="19"/>
  <c r="AE405" i="19" s="1"/>
  <c r="AI404" i="19"/>
  <c r="AH404" i="19"/>
  <c r="AI403" i="19"/>
  <c r="AH403" i="19"/>
  <c r="X403" i="19"/>
  <c r="T403" i="19"/>
  <c r="P403" i="19"/>
  <c r="N403" i="19"/>
  <c r="AI402" i="19"/>
  <c r="AH402" i="19"/>
  <c r="X402" i="19"/>
  <c r="T402" i="19"/>
  <c r="P402" i="19"/>
  <c r="N402" i="19"/>
  <c r="AI401" i="19"/>
  <c r="AH401" i="19"/>
  <c r="X401" i="19"/>
  <c r="T401" i="19"/>
  <c r="P401" i="19"/>
  <c r="N401" i="19"/>
  <c r="W400" i="19"/>
  <c r="V400" i="19"/>
  <c r="U400" i="19"/>
  <c r="S400" i="19"/>
  <c r="R400" i="19"/>
  <c r="Q400" i="19"/>
  <c r="O400" i="19"/>
  <c r="M400" i="19"/>
  <c r="L400" i="19"/>
  <c r="K400" i="19"/>
  <c r="J400" i="19"/>
  <c r="I400" i="19"/>
  <c r="H400" i="19"/>
  <c r="Y399" i="19"/>
  <c r="AI399" i="19" s="1"/>
  <c r="H399" i="19"/>
  <c r="H398" i="19" s="1"/>
  <c r="V398" i="19"/>
  <c r="I398" i="19"/>
  <c r="Y397" i="19"/>
  <c r="AI397" i="19" s="1"/>
  <c r="H397" i="19"/>
  <c r="Y396" i="19"/>
  <c r="H396" i="19"/>
  <c r="Y395" i="19"/>
  <c r="H395" i="19"/>
  <c r="Y394" i="19"/>
  <c r="H394" i="19"/>
  <c r="Y393" i="19"/>
  <c r="H393" i="19"/>
  <c r="V392" i="19"/>
  <c r="Y392" i="19" s="1"/>
  <c r="X392" i="19" s="1"/>
  <c r="T392" i="19"/>
  <c r="R392" i="19"/>
  <c r="H392" i="19"/>
  <c r="V391" i="19"/>
  <c r="Y391" i="19" s="1"/>
  <c r="T391" i="19"/>
  <c r="R391" i="19"/>
  <c r="H391" i="19"/>
  <c r="V390" i="19"/>
  <c r="Y390" i="19" s="1"/>
  <c r="T390" i="19"/>
  <c r="R390" i="19"/>
  <c r="H390" i="19"/>
  <c r="V389" i="19"/>
  <c r="Y389" i="19" s="1"/>
  <c r="T389" i="19"/>
  <c r="R389" i="19"/>
  <c r="H389" i="19"/>
  <c r="V388" i="19"/>
  <c r="Y388" i="19" s="1"/>
  <c r="AI388" i="19" s="1"/>
  <c r="T388" i="19"/>
  <c r="R388" i="19"/>
  <c r="H388" i="19"/>
  <c r="V387" i="19"/>
  <c r="Y387" i="19" s="1"/>
  <c r="T387" i="19"/>
  <c r="R387" i="19"/>
  <c r="H387" i="19"/>
  <c r="V386" i="19"/>
  <c r="Y386" i="19" s="1"/>
  <c r="T386" i="19"/>
  <c r="R386" i="19"/>
  <c r="H386" i="19"/>
  <c r="V385" i="19"/>
  <c r="Y385" i="19" s="1"/>
  <c r="X385" i="19" s="1"/>
  <c r="T385" i="19"/>
  <c r="R385" i="19"/>
  <c r="H385" i="19"/>
  <c r="V384" i="19"/>
  <c r="Y384" i="19" s="1"/>
  <c r="T384" i="19"/>
  <c r="R384" i="19"/>
  <c r="H384" i="19"/>
  <c r="V383" i="19"/>
  <c r="Y383" i="19" s="1"/>
  <c r="T383" i="19"/>
  <c r="R383" i="19"/>
  <c r="H383" i="19"/>
  <c r="V382" i="19"/>
  <c r="Y382" i="19" s="1"/>
  <c r="T382" i="19"/>
  <c r="R382" i="19"/>
  <c r="H382" i="19"/>
  <c r="V381" i="19"/>
  <c r="Y381" i="19" s="1"/>
  <c r="T381" i="19"/>
  <c r="R381" i="19"/>
  <c r="H381" i="19"/>
  <c r="V380" i="19"/>
  <c r="Y380" i="19" s="1"/>
  <c r="AI380" i="19" s="1"/>
  <c r="T380" i="19"/>
  <c r="R380" i="19"/>
  <c r="H380" i="19"/>
  <c r="V379" i="19"/>
  <c r="Y379" i="19" s="1"/>
  <c r="T379" i="19"/>
  <c r="R379" i="19"/>
  <c r="H379" i="19"/>
  <c r="V378" i="19"/>
  <c r="Y378" i="19" s="1"/>
  <c r="T378" i="19"/>
  <c r="R378" i="19"/>
  <c r="H378" i="19"/>
  <c r="V377" i="19"/>
  <c r="Y377" i="19" s="1"/>
  <c r="X377" i="19" s="1"/>
  <c r="T377" i="19"/>
  <c r="R377" i="19"/>
  <c r="H377" i="19"/>
  <c r="V376" i="19"/>
  <c r="Y376" i="19" s="1"/>
  <c r="T376" i="19"/>
  <c r="R376" i="19"/>
  <c r="H376" i="19"/>
  <c r="V375" i="19"/>
  <c r="Y375" i="19" s="1"/>
  <c r="T375" i="19"/>
  <c r="R375" i="19"/>
  <c r="H375" i="19"/>
  <c r="V374" i="19"/>
  <c r="Y374" i="19" s="1"/>
  <c r="T374" i="19"/>
  <c r="R374" i="19"/>
  <c r="H374" i="19"/>
  <c r="V373" i="19"/>
  <c r="Y373" i="19" s="1"/>
  <c r="AH373" i="19" s="1"/>
  <c r="T373" i="19"/>
  <c r="R373" i="19"/>
  <c r="H373" i="19"/>
  <c r="V372" i="19"/>
  <c r="Y372" i="19" s="1"/>
  <c r="AI372" i="19" s="1"/>
  <c r="T372" i="19"/>
  <c r="R372" i="19"/>
  <c r="H372" i="19"/>
  <c r="V371" i="19"/>
  <c r="Y371" i="19" s="1"/>
  <c r="T371" i="19"/>
  <c r="R371" i="19"/>
  <c r="H371" i="19"/>
  <c r="V370" i="19"/>
  <c r="Y370" i="19" s="1"/>
  <c r="T370" i="19"/>
  <c r="R370" i="19"/>
  <c r="H370" i="19"/>
  <c r="Y369" i="19"/>
  <c r="AI369" i="19" s="1"/>
  <c r="T369" i="19"/>
  <c r="R369" i="19"/>
  <c r="P369" i="19"/>
  <c r="H369" i="19"/>
  <c r="AH368" i="19"/>
  <c r="X368" i="19"/>
  <c r="V368" i="19"/>
  <c r="T368" i="19"/>
  <c r="R368" i="19"/>
  <c r="P368" i="19"/>
  <c r="I368" i="19"/>
  <c r="H368" i="19" s="1"/>
  <c r="AH367" i="19"/>
  <c r="X367" i="19"/>
  <c r="V367" i="19"/>
  <c r="T367" i="19"/>
  <c r="R367" i="19"/>
  <c r="P367" i="19"/>
  <c r="I367" i="19"/>
  <c r="AI367" i="19" s="1"/>
  <c r="AH366" i="19"/>
  <c r="X366" i="19"/>
  <c r="V366" i="19"/>
  <c r="T366" i="19"/>
  <c r="R366" i="19"/>
  <c r="P366" i="19"/>
  <c r="I366" i="19"/>
  <c r="H366" i="19" s="1"/>
  <c r="AH365" i="19"/>
  <c r="X365" i="19"/>
  <c r="V365" i="19"/>
  <c r="T365" i="19"/>
  <c r="R365" i="19"/>
  <c r="P365" i="19"/>
  <c r="I365" i="19"/>
  <c r="AI364" i="19"/>
  <c r="AH364" i="19"/>
  <c r="X364" i="19"/>
  <c r="T364" i="19"/>
  <c r="R364" i="19"/>
  <c r="P364" i="19"/>
  <c r="H364" i="19"/>
  <c r="AI363" i="19"/>
  <c r="AH363" i="19"/>
  <c r="X363" i="19"/>
  <c r="T363" i="19"/>
  <c r="R363" i="19"/>
  <c r="P363" i="19"/>
  <c r="H363" i="19"/>
  <c r="AI362" i="19"/>
  <c r="AH362" i="19"/>
  <c r="X362" i="19"/>
  <c r="T362" i="19"/>
  <c r="R362" i="19"/>
  <c r="P362" i="19"/>
  <c r="H362" i="19"/>
  <c r="AI361" i="19"/>
  <c r="AH361" i="19"/>
  <c r="X361" i="19"/>
  <c r="T361" i="19"/>
  <c r="R361" i="19"/>
  <c r="P361" i="19"/>
  <c r="H361" i="19"/>
  <c r="V360" i="19"/>
  <c r="Y360" i="19" s="1"/>
  <c r="AI360" i="19" s="1"/>
  <c r="T360" i="19"/>
  <c r="R360" i="19"/>
  <c r="P360" i="19"/>
  <c r="H360" i="19"/>
  <c r="AH359" i="19"/>
  <c r="X359" i="19"/>
  <c r="T359" i="19"/>
  <c r="S359" i="19"/>
  <c r="N359" i="19"/>
  <c r="I359" i="19"/>
  <c r="AI359" i="19" s="1"/>
  <c r="AH358" i="19"/>
  <c r="X358" i="19"/>
  <c r="T358" i="19"/>
  <c r="S358" i="19"/>
  <c r="N358" i="19"/>
  <c r="I358" i="19"/>
  <c r="AI358" i="19" s="1"/>
  <c r="AI357" i="19"/>
  <c r="AH357" i="19"/>
  <c r="X357" i="19"/>
  <c r="T357" i="19"/>
  <c r="S357" i="19"/>
  <c r="N357" i="19"/>
  <c r="AH356" i="19"/>
  <c r="X356" i="19"/>
  <c r="T356" i="19"/>
  <c r="S356" i="19"/>
  <c r="N356" i="19"/>
  <c r="I356" i="19"/>
  <c r="AI356" i="19" s="1"/>
  <c r="AH355" i="19"/>
  <c r="X355" i="19"/>
  <c r="T355" i="19"/>
  <c r="S355" i="19"/>
  <c r="N355" i="19"/>
  <c r="I355" i="19"/>
  <c r="AI355" i="19" s="1"/>
  <c r="V354" i="19"/>
  <c r="Y354" i="19" s="1"/>
  <c r="T354" i="19"/>
  <c r="S354" i="19"/>
  <c r="P354" i="19"/>
  <c r="N354" i="19"/>
  <c r="I354" i="19"/>
  <c r="AH353" i="19"/>
  <c r="X353" i="19"/>
  <c r="T353" i="19"/>
  <c r="S353" i="19"/>
  <c r="N353" i="19"/>
  <c r="I353" i="19"/>
  <c r="AI353" i="19" s="1"/>
  <c r="AH352" i="19"/>
  <c r="X352" i="19"/>
  <c r="T352" i="19"/>
  <c r="S352" i="19"/>
  <c r="N352" i="19"/>
  <c r="I352" i="19"/>
  <c r="AI352" i="19" s="1"/>
  <c r="AH351" i="19"/>
  <c r="X351" i="19"/>
  <c r="T351" i="19"/>
  <c r="S351" i="19"/>
  <c r="N351" i="19"/>
  <c r="I351" i="19"/>
  <c r="AI351" i="19" s="1"/>
  <c r="AH350" i="19"/>
  <c r="X350" i="19"/>
  <c r="T350" i="19"/>
  <c r="S350" i="19"/>
  <c r="N350" i="19"/>
  <c r="I350" i="19"/>
  <c r="AI350" i="19" s="1"/>
  <c r="AH349" i="19"/>
  <c r="X349" i="19"/>
  <c r="T349" i="19"/>
  <c r="S349" i="19"/>
  <c r="N349" i="19"/>
  <c r="I349" i="19"/>
  <c r="AI349" i="19" s="1"/>
  <c r="AH348" i="19"/>
  <c r="X348" i="19"/>
  <c r="T348" i="19"/>
  <c r="S348" i="19"/>
  <c r="N348" i="19"/>
  <c r="I348" i="19"/>
  <c r="AH347" i="19"/>
  <c r="S347" i="19"/>
  <c r="N347" i="19"/>
  <c r="I347" i="19"/>
  <c r="AI347" i="19" s="1"/>
  <c r="AI346" i="19"/>
  <c r="AH346" i="19"/>
  <c r="X346" i="19"/>
  <c r="T346" i="19"/>
  <c r="S346" i="19"/>
  <c r="P346" i="19"/>
  <c r="N346" i="19"/>
  <c r="H346" i="19"/>
  <c r="AI345" i="19"/>
  <c r="AH345" i="19"/>
  <c r="X345" i="19"/>
  <c r="T345" i="19"/>
  <c r="S345" i="19"/>
  <c r="P345" i="19"/>
  <c r="N345" i="19"/>
  <c r="H345" i="19"/>
  <c r="AI344" i="19"/>
  <c r="AH344" i="19"/>
  <c r="X344" i="19"/>
  <c r="T344" i="19"/>
  <c r="S344" i="19"/>
  <c r="P344" i="19"/>
  <c r="N344" i="19"/>
  <c r="H344" i="19"/>
  <c r="AI343" i="19"/>
  <c r="AH343" i="19"/>
  <c r="X343" i="19"/>
  <c r="T343" i="19"/>
  <c r="S343" i="19"/>
  <c r="P343" i="19"/>
  <c r="N343" i="19"/>
  <c r="H343" i="19"/>
  <c r="AI342" i="19"/>
  <c r="AH342" i="19"/>
  <c r="X342" i="19"/>
  <c r="T342" i="19"/>
  <c r="S342" i="19"/>
  <c r="N342" i="19"/>
  <c r="H342" i="19"/>
  <c r="AI341" i="19"/>
  <c r="AH341" i="19"/>
  <c r="X341" i="19"/>
  <c r="T341" i="19"/>
  <c r="S341" i="19"/>
  <c r="N341" i="19"/>
  <c r="H341" i="19"/>
  <c r="AI340" i="19"/>
  <c r="AH340" i="19"/>
  <c r="N340" i="19"/>
  <c r="H340" i="19"/>
  <c r="W339" i="19"/>
  <c r="W338" i="19" s="1"/>
  <c r="W337" i="19" s="1"/>
  <c r="U339" i="19"/>
  <c r="U338" i="19" s="1"/>
  <c r="U337" i="19" s="1"/>
  <c r="Q339" i="19"/>
  <c r="Q338" i="19" s="1"/>
  <c r="Q337" i="19" s="1"/>
  <c r="O339" i="19"/>
  <c r="O338" i="19" s="1"/>
  <c r="O337" i="19" s="1"/>
  <c r="M339" i="19"/>
  <c r="M338" i="19" s="1"/>
  <c r="M337" i="19" s="1"/>
  <c r="L339" i="19"/>
  <c r="L338" i="19" s="1"/>
  <c r="L337" i="19" s="1"/>
  <c r="K339" i="19"/>
  <c r="K338" i="19" s="1"/>
  <c r="K337" i="19" s="1"/>
  <c r="J339" i="19"/>
  <c r="J338" i="19" s="1"/>
  <c r="J337" i="19" s="1"/>
  <c r="AH336" i="19"/>
  <c r="R336" i="19"/>
  <c r="P336" i="19"/>
  <c r="P333" i="19" s="1"/>
  <c r="I336" i="19"/>
  <c r="AI336" i="19" s="1"/>
  <c r="AH335" i="19"/>
  <c r="R335" i="19"/>
  <c r="Q335" i="19"/>
  <c r="I335" i="19"/>
  <c r="AH334" i="19"/>
  <c r="R334" i="19"/>
  <c r="Q334" i="19"/>
  <c r="I334" i="19"/>
  <c r="AI334" i="19" s="1"/>
  <c r="Y333" i="19"/>
  <c r="AH333" i="19" s="1"/>
  <c r="X333" i="19"/>
  <c r="W333" i="19"/>
  <c r="V333" i="19"/>
  <c r="U333" i="19"/>
  <c r="T333" i="19"/>
  <c r="S333" i="19"/>
  <c r="O333" i="19"/>
  <c r="N333" i="19"/>
  <c r="M333" i="19"/>
  <c r="M225" i="19" s="1"/>
  <c r="M224" i="19" s="1"/>
  <c r="L333" i="19"/>
  <c r="K333" i="19"/>
  <c r="K225" i="19" s="1"/>
  <c r="K224" i="19" s="1"/>
  <c r="J333" i="19"/>
  <c r="J225" i="19" s="1"/>
  <c r="J224" i="19" s="1"/>
  <c r="H333" i="19"/>
  <c r="Y331" i="19"/>
  <c r="X331" i="19" s="1"/>
  <c r="AE331" i="19" s="1"/>
  <c r="H331" i="19"/>
  <c r="Y330" i="19"/>
  <c r="AI330" i="19" s="1"/>
  <c r="Y329" i="19"/>
  <c r="AH329" i="19" s="1"/>
  <c r="R329" i="19"/>
  <c r="Q329" i="19"/>
  <c r="I329" i="19"/>
  <c r="Y328" i="19"/>
  <c r="R328" i="19"/>
  <c r="Q328" i="19"/>
  <c r="I328" i="19"/>
  <c r="AH327" i="19"/>
  <c r="R327" i="19"/>
  <c r="Q327" i="19"/>
  <c r="I327" i="19"/>
  <c r="AI327" i="19" s="1"/>
  <c r="AH326" i="19"/>
  <c r="R326" i="19"/>
  <c r="Q326" i="19"/>
  <c r="I326" i="19"/>
  <c r="AH325" i="19"/>
  <c r="R325" i="19"/>
  <c r="Q325" i="19"/>
  <c r="I325" i="19"/>
  <c r="AI325" i="19" s="1"/>
  <c r="AH324" i="19"/>
  <c r="R324" i="19"/>
  <c r="Q324" i="19"/>
  <c r="I324" i="19"/>
  <c r="AI324" i="19" s="1"/>
  <c r="AH323" i="19"/>
  <c r="R323" i="19"/>
  <c r="Q323" i="19"/>
  <c r="I323" i="19"/>
  <c r="AI323" i="19" s="1"/>
  <c r="AH322" i="19"/>
  <c r="R322" i="19"/>
  <c r="Q322" i="19"/>
  <c r="I322" i="19"/>
  <c r="AI322" i="19" s="1"/>
  <c r="AH321" i="19"/>
  <c r="R321" i="19"/>
  <c r="Q321" i="19"/>
  <c r="I321" i="19"/>
  <c r="AI321" i="19" s="1"/>
  <c r="AH320" i="19"/>
  <c r="R320" i="19"/>
  <c r="Q320" i="19"/>
  <c r="I320" i="19"/>
  <c r="AI320" i="19" s="1"/>
  <c r="AH319" i="19"/>
  <c r="R319" i="19"/>
  <c r="Q319" i="19"/>
  <c r="I319" i="19"/>
  <c r="AI319" i="19" s="1"/>
  <c r="AH318" i="19"/>
  <c r="R318" i="19"/>
  <c r="Q318" i="19"/>
  <c r="I318" i="19"/>
  <c r="AI318" i="19" s="1"/>
  <c r="AH317" i="19"/>
  <c r="R317" i="19"/>
  <c r="Q317" i="19"/>
  <c r="I317" i="19"/>
  <c r="AI317" i="19" s="1"/>
  <c r="AH316" i="19"/>
  <c r="R316" i="19"/>
  <c r="Q316" i="19"/>
  <c r="I316" i="19"/>
  <c r="AI316" i="19" s="1"/>
  <c r="AH315" i="19"/>
  <c r="R315" i="19"/>
  <c r="Q315" i="19"/>
  <c r="I315" i="19"/>
  <c r="AI315" i="19" s="1"/>
  <c r="AH314" i="19"/>
  <c r="R314" i="19"/>
  <c r="Q314" i="19"/>
  <c r="I314" i="19"/>
  <c r="AI314" i="19" s="1"/>
  <c r="AH313" i="19"/>
  <c r="R313" i="19"/>
  <c r="Q313" i="19"/>
  <c r="I313" i="19"/>
  <c r="AI313" i="19" s="1"/>
  <c r="AH312" i="19"/>
  <c r="R312" i="19"/>
  <c r="Q312" i="19"/>
  <c r="I312" i="19"/>
  <c r="AI312" i="19" s="1"/>
  <c r="AH311" i="19"/>
  <c r="R311" i="19"/>
  <c r="Q311" i="19"/>
  <c r="I311" i="19"/>
  <c r="AI311" i="19" s="1"/>
  <c r="AH310" i="19"/>
  <c r="R310" i="19"/>
  <c r="Q310" i="19"/>
  <c r="I310" i="19"/>
  <c r="AI310" i="19" s="1"/>
  <c r="AH309" i="19"/>
  <c r="R309" i="19"/>
  <c r="Q309" i="19"/>
  <c r="I309" i="19"/>
  <c r="AI309" i="19" s="1"/>
  <c r="AH308" i="19"/>
  <c r="R308" i="19"/>
  <c r="Q308" i="19"/>
  <c r="I308" i="19"/>
  <c r="AI308" i="19" s="1"/>
  <c r="AH307" i="19"/>
  <c r="R307" i="19"/>
  <c r="Q307" i="19"/>
  <c r="I307" i="19"/>
  <c r="AI307" i="19" s="1"/>
  <c r="AH306" i="19"/>
  <c r="R306" i="19"/>
  <c r="Q306" i="19"/>
  <c r="I306" i="19"/>
  <c r="AI306" i="19" s="1"/>
  <c r="AH305" i="19"/>
  <c r="R305" i="19"/>
  <c r="Q305" i="19"/>
  <c r="I305" i="19"/>
  <c r="AI305" i="19" s="1"/>
  <c r="AH304" i="19"/>
  <c r="R304" i="19"/>
  <c r="Q304" i="19"/>
  <c r="I304" i="19"/>
  <c r="AI304" i="19" s="1"/>
  <c r="AH303" i="19"/>
  <c r="R303" i="19"/>
  <c r="Q303" i="19"/>
  <c r="I303" i="19"/>
  <c r="AI303" i="19" s="1"/>
  <c r="AH302" i="19"/>
  <c r="R302" i="19"/>
  <c r="Q302" i="19"/>
  <c r="I302" i="19"/>
  <c r="AI302" i="19" s="1"/>
  <c r="AH301" i="19"/>
  <c r="R301" i="19"/>
  <c r="Q301" i="19"/>
  <c r="I301" i="19"/>
  <c r="AI301" i="19" s="1"/>
  <c r="AH300" i="19"/>
  <c r="R300" i="19"/>
  <c r="Q300" i="19"/>
  <c r="I300" i="19"/>
  <c r="AI300" i="19" s="1"/>
  <c r="AH299" i="19"/>
  <c r="R299" i="19"/>
  <c r="Q299" i="19"/>
  <c r="I299" i="19"/>
  <c r="AI299" i="19" s="1"/>
  <c r="AH298" i="19"/>
  <c r="R298" i="19"/>
  <c r="Q298" i="19"/>
  <c r="I298" i="19"/>
  <c r="AI298" i="19" s="1"/>
  <c r="AH297" i="19"/>
  <c r="R297" i="19"/>
  <c r="Q297" i="19"/>
  <c r="I297" i="19"/>
  <c r="AI297" i="19" s="1"/>
  <c r="AH296" i="19"/>
  <c r="R296" i="19"/>
  <c r="Q296" i="19"/>
  <c r="I296" i="19"/>
  <c r="AI296" i="19" s="1"/>
  <c r="AH295" i="19"/>
  <c r="R295" i="19"/>
  <c r="Q295" i="19"/>
  <c r="I295" i="19"/>
  <c r="AI295" i="19" s="1"/>
  <c r="AH294" i="19"/>
  <c r="R294" i="19"/>
  <c r="Q294" i="19"/>
  <c r="I294" i="19"/>
  <c r="AI294" i="19" s="1"/>
  <c r="AH293" i="19"/>
  <c r="R293" i="19"/>
  <c r="Q293" i="19"/>
  <c r="I293" i="19"/>
  <c r="AI293" i="19" s="1"/>
  <c r="AH292" i="19"/>
  <c r="R292" i="19"/>
  <c r="Q292" i="19"/>
  <c r="I292" i="19"/>
  <c r="AI292" i="19" s="1"/>
  <c r="AH291" i="19"/>
  <c r="R291" i="19"/>
  <c r="Q291" i="19"/>
  <c r="I291" i="19"/>
  <c r="AI291" i="19" s="1"/>
  <c r="AH290" i="19"/>
  <c r="R290" i="19"/>
  <c r="Q290" i="19"/>
  <c r="I290" i="19"/>
  <c r="AI290" i="19" s="1"/>
  <c r="AH289" i="19"/>
  <c r="X289" i="19"/>
  <c r="T289" i="19"/>
  <c r="R289" i="19"/>
  <c r="P289" i="19"/>
  <c r="I289" i="19"/>
  <c r="AI289" i="19" s="1"/>
  <c r="AH288" i="19"/>
  <c r="X288" i="19"/>
  <c r="T288" i="19"/>
  <c r="R288" i="19"/>
  <c r="P288" i="19"/>
  <c r="I288" i="19"/>
  <c r="AI288" i="19" s="1"/>
  <c r="AH287" i="19"/>
  <c r="R287" i="19"/>
  <c r="I287" i="19"/>
  <c r="AI287" i="19" s="1"/>
  <c r="AH286" i="19"/>
  <c r="S286" i="19"/>
  <c r="Q286" i="19"/>
  <c r="N286" i="19"/>
  <c r="I286" i="19"/>
  <c r="AI286" i="19" s="1"/>
  <c r="AH285" i="19"/>
  <c r="S285" i="19"/>
  <c r="Q285" i="19"/>
  <c r="N285" i="19"/>
  <c r="I285" i="19"/>
  <c r="AI285" i="19" s="1"/>
  <c r="AH284" i="19"/>
  <c r="S284" i="19"/>
  <c r="Q284" i="19"/>
  <c r="N284" i="19"/>
  <c r="I284" i="19"/>
  <c r="AI284" i="19" s="1"/>
  <c r="AH283" i="19"/>
  <c r="S283" i="19"/>
  <c r="Q283" i="19"/>
  <c r="N283" i="19"/>
  <c r="I283" i="19"/>
  <c r="AI283" i="19" s="1"/>
  <c r="AH282" i="19"/>
  <c r="S282" i="19"/>
  <c r="Q282" i="19"/>
  <c r="N282" i="19"/>
  <c r="I282" i="19"/>
  <c r="AI282" i="19" s="1"/>
  <c r="AH281" i="19"/>
  <c r="S281" i="19"/>
  <c r="Q281" i="19"/>
  <c r="N281" i="19"/>
  <c r="I281" i="19"/>
  <c r="AI281" i="19" s="1"/>
  <c r="AH280" i="19"/>
  <c r="S280" i="19"/>
  <c r="Q280" i="19"/>
  <c r="I280" i="19"/>
  <c r="AI280" i="19" s="1"/>
  <c r="AH279" i="19"/>
  <c r="S279" i="19"/>
  <c r="Q279" i="19"/>
  <c r="N279" i="19"/>
  <c r="I279" i="19"/>
  <c r="AI279" i="19" s="1"/>
  <c r="AH278" i="19"/>
  <c r="S278" i="19"/>
  <c r="Q278" i="19"/>
  <c r="N278" i="19"/>
  <c r="I278" i="19"/>
  <c r="AI278" i="19" s="1"/>
  <c r="AH277" i="19"/>
  <c r="S277" i="19"/>
  <c r="Q277" i="19"/>
  <c r="N277" i="19"/>
  <c r="I277" i="19"/>
  <c r="AI277" i="19" s="1"/>
  <c r="AH276" i="19"/>
  <c r="S276" i="19"/>
  <c r="Q276" i="19"/>
  <c r="N276" i="19"/>
  <c r="I276" i="19"/>
  <c r="AI276" i="19" s="1"/>
  <c r="AH275" i="19"/>
  <c r="R275" i="19"/>
  <c r="Q275" i="19"/>
  <c r="N275" i="19"/>
  <c r="I275" i="19"/>
  <c r="AI275" i="19" s="1"/>
  <c r="AH274" i="19"/>
  <c r="S274" i="19"/>
  <c r="Q274" i="19"/>
  <c r="N274" i="19"/>
  <c r="I274" i="19"/>
  <c r="AI274" i="19" s="1"/>
  <c r="AH273" i="19"/>
  <c r="R273" i="19"/>
  <c r="Q273" i="19"/>
  <c r="N273" i="19"/>
  <c r="I273" i="19"/>
  <c r="AI273" i="19" s="1"/>
  <c r="AH272" i="19"/>
  <c r="S272" i="19"/>
  <c r="Q272" i="19"/>
  <c r="N272" i="19"/>
  <c r="I272" i="19"/>
  <c r="AI272" i="19" s="1"/>
  <c r="AH271" i="19"/>
  <c r="R271" i="19"/>
  <c r="Q271" i="19"/>
  <c r="N271" i="19"/>
  <c r="I271" i="19"/>
  <c r="AI271" i="19" s="1"/>
  <c r="AH270" i="19"/>
  <c r="R270" i="19"/>
  <c r="Q270" i="19"/>
  <c r="N270" i="19"/>
  <c r="I270" i="19"/>
  <c r="AI270" i="19" s="1"/>
  <c r="AH269" i="19"/>
  <c r="X269" i="19"/>
  <c r="T269" i="19"/>
  <c r="R269" i="19"/>
  <c r="P269" i="19"/>
  <c r="N269" i="19"/>
  <c r="I269" i="19"/>
  <c r="AI269" i="19" s="1"/>
  <c r="AH268" i="19"/>
  <c r="X268" i="19"/>
  <c r="T268" i="19"/>
  <c r="S268" i="19"/>
  <c r="P268" i="19"/>
  <c r="N268" i="19"/>
  <c r="I268" i="19"/>
  <c r="AI268" i="19" s="1"/>
  <c r="AI267" i="19"/>
  <c r="AH267" i="19"/>
  <c r="X267" i="19"/>
  <c r="T267" i="19"/>
  <c r="S267" i="19"/>
  <c r="P267" i="19"/>
  <c r="N267" i="19"/>
  <c r="H267" i="19"/>
  <c r="H226" i="19" s="1"/>
  <c r="AH266" i="19"/>
  <c r="I266" i="19"/>
  <c r="AH265" i="19"/>
  <c r="S265" i="19"/>
  <c r="N265" i="19"/>
  <c r="I265" i="19"/>
  <c r="AI265" i="19" s="1"/>
  <c r="AH264" i="19"/>
  <c r="I264" i="19"/>
  <c r="AH263" i="19"/>
  <c r="I263" i="19"/>
  <c r="AH262" i="19"/>
  <c r="X262" i="19"/>
  <c r="T262" i="19"/>
  <c r="S262" i="19"/>
  <c r="P262" i="19"/>
  <c r="N262" i="19"/>
  <c r="I262" i="19"/>
  <c r="AI262" i="19" s="1"/>
  <c r="AH261" i="19"/>
  <c r="X261" i="19"/>
  <c r="T261" i="19"/>
  <c r="S261" i="19"/>
  <c r="P261" i="19"/>
  <c r="N261" i="19"/>
  <c r="I261" i="19"/>
  <c r="AI261" i="19" s="1"/>
  <c r="AH260" i="19"/>
  <c r="X260" i="19"/>
  <c r="T260" i="19"/>
  <c r="S260" i="19"/>
  <c r="P260" i="19"/>
  <c r="N260" i="19"/>
  <c r="I260" i="19"/>
  <c r="AI260" i="19" s="1"/>
  <c r="AH259" i="19"/>
  <c r="X259" i="19"/>
  <c r="T259" i="19"/>
  <c r="S259" i="19"/>
  <c r="P259" i="19"/>
  <c r="N259" i="19"/>
  <c r="I259" i="19"/>
  <c r="AI259" i="19" s="1"/>
  <c r="AH258" i="19"/>
  <c r="X258" i="19"/>
  <c r="T258" i="19"/>
  <c r="S258" i="19"/>
  <c r="P258" i="19"/>
  <c r="N258" i="19"/>
  <c r="I258" i="19"/>
  <c r="AI258" i="19" s="1"/>
  <c r="AH257" i="19"/>
  <c r="X257" i="19"/>
  <c r="T257" i="19"/>
  <c r="S257" i="19"/>
  <c r="P257" i="19"/>
  <c r="N257" i="19"/>
  <c r="I257" i="19"/>
  <c r="AI257" i="19" s="1"/>
  <c r="AH256" i="19"/>
  <c r="X256" i="19"/>
  <c r="T256" i="19"/>
  <c r="S256" i="19"/>
  <c r="P256" i="19"/>
  <c r="N256" i="19"/>
  <c r="I256" i="19"/>
  <c r="AI256" i="19" s="1"/>
  <c r="AH255" i="19"/>
  <c r="X255" i="19"/>
  <c r="T255" i="19"/>
  <c r="S255" i="19"/>
  <c r="P255" i="19"/>
  <c r="N255" i="19"/>
  <c r="I255" i="19"/>
  <c r="AI255" i="19" s="1"/>
  <c r="AH254" i="19"/>
  <c r="X254" i="19"/>
  <c r="T254" i="19"/>
  <c r="S254" i="19"/>
  <c r="P254" i="19"/>
  <c r="N254" i="19"/>
  <c r="I254" i="19"/>
  <c r="AI254" i="19" s="1"/>
  <c r="AH253" i="19"/>
  <c r="X253" i="19"/>
  <c r="T253" i="19"/>
  <c r="S253" i="19"/>
  <c r="P253" i="19"/>
  <c r="N253" i="19"/>
  <c r="I253" i="19"/>
  <c r="AI253" i="19" s="1"/>
  <c r="AH252" i="19"/>
  <c r="X252" i="19"/>
  <c r="T252" i="19"/>
  <c r="S252" i="19"/>
  <c r="P252" i="19"/>
  <c r="N252" i="19"/>
  <c r="I252" i="19"/>
  <c r="AI252" i="19" s="1"/>
  <c r="AH251" i="19"/>
  <c r="N251" i="19"/>
  <c r="I251" i="19"/>
  <c r="AI251" i="19" s="1"/>
  <c r="AH250" i="19"/>
  <c r="X250" i="19"/>
  <c r="T250" i="19"/>
  <c r="S250" i="19"/>
  <c r="P250" i="19"/>
  <c r="N250" i="19"/>
  <c r="I250" i="19"/>
  <c r="AI250" i="19" s="1"/>
  <c r="AH249" i="19"/>
  <c r="N249" i="19"/>
  <c r="I249" i="19"/>
  <c r="AI249" i="19" s="1"/>
  <c r="AH248" i="19"/>
  <c r="X248" i="19"/>
  <c r="T248" i="19"/>
  <c r="R248" i="19"/>
  <c r="P248" i="19"/>
  <c r="N248" i="19"/>
  <c r="I248" i="19"/>
  <c r="AI248" i="19" s="1"/>
  <c r="AH247" i="19"/>
  <c r="X247" i="19"/>
  <c r="T247" i="19"/>
  <c r="S247" i="19"/>
  <c r="P247" i="19"/>
  <c r="N247" i="19"/>
  <c r="I247" i="19"/>
  <c r="AI247" i="19" s="1"/>
  <c r="AH246" i="19"/>
  <c r="N246" i="19"/>
  <c r="I246" i="19"/>
  <c r="AI246" i="19" s="1"/>
  <c r="AH245" i="19"/>
  <c r="X245" i="19"/>
  <c r="T245" i="19"/>
  <c r="S245" i="19"/>
  <c r="P245" i="19"/>
  <c r="N245" i="19"/>
  <c r="I245" i="19"/>
  <c r="AI245" i="19" s="1"/>
  <c r="AH244" i="19"/>
  <c r="N244" i="19"/>
  <c r="I244" i="19"/>
  <c r="AI244" i="19" s="1"/>
  <c r="AH243" i="19"/>
  <c r="N243" i="19"/>
  <c r="I243" i="19"/>
  <c r="AI243" i="19" s="1"/>
  <c r="AH242" i="19"/>
  <c r="N242" i="19"/>
  <c r="I242" i="19"/>
  <c r="AI242" i="19" s="1"/>
  <c r="AH241" i="19"/>
  <c r="X241" i="19"/>
  <c r="T241" i="19"/>
  <c r="S241" i="19"/>
  <c r="P241" i="19"/>
  <c r="N241" i="19"/>
  <c r="I241" i="19"/>
  <c r="AI241" i="19" s="1"/>
  <c r="AH240" i="19"/>
  <c r="S240" i="19"/>
  <c r="N240" i="19"/>
  <c r="I240" i="19"/>
  <c r="AI240" i="19" s="1"/>
  <c r="AH239" i="19"/>
  <c r="X239" i="19"/>
  <c r="T239" i="19"/>
  <c r="S239" i="19"/>
  <c r="P239" i="19"/>
  <c r="N239" i="19"/>
  <c r="I239" i="19"/>
  <c r="AI239" i="19" s="1"/>
  <c r="AH238" i="19"/>
  <c r="N238" i="19"/>
  <c r="I238" i="19"/>
  <c r="AI238" i="19" s="1"/>
  <c r="AH237" i="19"/>
  <c r="N237" i="19"/>
  <c r="I237" i="19"/>
  <c r="AI237" i="19" s="1"/>
  <c r="AH236" i="19"/>
  <c r="X236" i="19"/>
  <c r="T236" i="19"/>
  <c r="S236" i="19"/>
  <c r="P236" i="19"/>
  <c r="N236" i="19"/>
  <c r="I236" i="19"/>
  <c r="AI236" i="19" s="1"/>
  <c r="AH235" i="19"/>
  <c r="N235" i="19"/>
  <c r="I235" i="19"/>
  <c r="AI235" i="19" s="1"/>
  <c r="AH234" i="19"/>
  <c r="N234" i="19"/>
  <c r="I234" i="19"/>
  <c r="AI234" i="19" s="1"/>
  <c r="AH233" i="19"/>
  <c r="S233" i="19"/>
  <c r="N233" i="19"/>
  <c r="I233" i="19"/>
  <c r="AI233" i="19" s="1"/>
  <c r="AH232" i="19"/>
  <c r="X232" i="19"/>
  <c r="T232" i="19"/>
  <c r="S232" i="19"/>
  <c r="P232" i="19"/>
  <c r="N232" i="19"/>
  <c r="I232" i="19"/>
  <c r="AI232" i="19" s="1"/>
  <c r="AH231" i="19"/>
  <c r="X231" i="19"/>
  <c r="T231" i="19"/>
  <c r="S231" i="19"/>
  <c r="P231" i="19"/>
  <c r="N231" i="19"/>
  <c r="I231" i="19"/>
  <c r="AI231" i="19" s="1"/>
  <c r="AH230" i="19"/>
  <c r="N230" i="19"/>
  <c r="I230" i="19"/>
  <c r="AI230" i="19" s="1"/>
  <c r="AH229" i="19"/>
  <c r="N229" i="19"/>
  <c r="I229" i="19"/>
  <c r="AH228" i="19"/>
  <c r="X228" i="19"/>
  <c r="T228" i="19"/>
  <c r="S228" i="19"/>
  <c r="P228" i="19"/>
  <c r="N228" i="19"/>
  <c r="I228" i="19"/>
  <c r="AI228" i="19" s="1"/>
  <c r="AH227" i="19"/>
  <c r="N227" i="19"/>
  <c r="I227" i="19"/>
  <c r="X223" i="19"/>
  <c r="H223" i="19"/>
  <c r="Y222" i="19"/>
  <c r="AH222" i="19" s="1"/>
  <c r="I222" i="19"/>
  <c r="Y221" i="19"/>
  <c r="I221" i="19"/>
  <c r="Y220" i="19"/>
  <c r="AH220" i="19" s="1"/>
  <c r="I220" i="19"/>
  <c r="Y219" i="19"/>
  <c r="AH219" i="19" s="1"/>
  <c r="I219" i="19"/>
  <c r="V218" i="19"/>
  <c r="Y218" i="19" s="1"/>
  <c r="H218" i="19"/>
  <c r="X216" i="19"/>
  <c r="X215" i="19"/>
  <c r="Y215" i="19" s="1"/>
  <c r="I215" i="19"/>
  <c r="X214" i="19"/>
  <c r="I214" i="19"/>
  <c r="X213" i="19"/>
  <c r="Y213" i="19" s="1"/>
  <c r="AH213" i="19" s="1"/>
  <c r="X212" i="19"/>
  <c r="Y212" i="19" s="1"/>
  <c r="I212" i="19"/>
  <c r="X211" i="19"/>
  <c r="AE211" i="19" s="1"/>
  <c r="X210" i="19"/>
  <c r="V209" i="19"/>
  <c r="H209" i="19"/>
  <c r="Y208" i="19"/>
  <c r="AH208" i="19" s="1"/>
  <c r="I208" i="19"/>
  <c r="Y207" i="19"/>
  <c r="AH207" i="19" s="1"/>
  <c r="H207" i="19"/>
  <c r="Y206" i="19"/>
  <c r="H206" i="19"/>
  <c r="Y205" i="19"/>
  <c r="H205" i="19"/>
  <c r="Y204" i="19"/>
  <c r="H204" i="19"/>
  <c r="AI203" i="19"/>
  <c r="AH203" i="19"/>
  <c r="S203" i="19"/>
  <c r="N203" i="19"/>
  <c r="H203" i="19"/>
  <c r="Y202" i="19"/>
  <c r="T202" i="19"/>
  <c r="P202" i="19"/>
  <c r="N202" i="19"/>
  <c r="I202" i="19"/>
  <c r="Q202" i="19" s="1"/>
  <c r="Q184" i="19" s="1"/>
  <c r="Q183" i="19" s="1"/>
  <c r="AH201" i="19"/>
  <c r="S201" i="19"/>
  <c r="N201" i="19"/>
  <c r="I201" i="19"/>
  <c r="AI201" i="19" s="1"/>
  <c r="Y200" i="19"/>
  <c r="T200" i="19"/>
  <c r="P200" i="19"/>
  <c r="O200" i="19"/>
  <c r="R200" i="19" s="1"/>
  <c r="R184" i="19" s="1"/>
  <c r="R183" i="19" s="1"/>
  <c r="H200" i="19"/>
  <c r="AH199" i="19"/>
  <c r="S199" i="19"/>
  <c r="N199" i="19"/>
  <c r="I199" i="19"/>
  <c r="AI199" i="19" s="1"/>
  <c r="Y198" i="19"/>
  <c r="S198" i="19"/>
  <c r="N198" i="19"/>
  <c r="I198" i="19"/>
  <c r="Y197" i="19"/>
  <c r="S197" i="19"/>
  <c r="N197" i="19"/>
  <c r="I197" i="19"/>
  <c r="AH196" i="19"/>
  <c r="S196" i="19"/>
  <c r="N196" i="19"/>
  <c r="I196" i="19"/>
  <c r="AI196" i="19" s="1"/>
  <c r="AH195" i="19"/>
  <c r="S195" i="19"/>
  <c r="N195" i="19"/>
  <c r="I195" i="19"/>
  <c r="AI195" i="19" s="1"/>
  <c r="AH194" i="19"/>
  <c r="S194" i="19"/>
  <c r="N194" i="19"/>
  <c r="I194" i="19"/>
  <c r="AI194" i="19" s="1"/>
  <c r="Y193" i="19"/>
  <c r="S193" i="19"/>
  <c r="N193" i="19"/>
  <c r="I193" i="19"/>
  <c r="Y192" i="19"/>
  <c r="S192" i="19"/>
  <c r="N192" i="19"/>
  <c r="I192" i="19"/>
  <c r="Y191" i="19"/>
  <c r="S191" i="19"/>
  <c r="N191" i="19"/>
  <c r="I191" i="19"/>
  <c r="AH190" i="19"/>
  <c r="S190" i="19"/>
  <c r="N190" i="19"/>
  <c r="I190" i="19"/>
  <c r="AI190" i="19" s="1"/>
  <c r="AH189" i="19"/>
  <c r="S189" i="19"/>
  <c r="N189" i="19"/>
  <c r="I189" i="19"/>
  <c r="AI189" i="19" s="1"/>
  <c r="Y188" i="19"/>
  <c r="S188" i="19"/>
  <c r="N188" i="19"/>
  <c r="I188" i="19"/>
  <c r="AH187" i="19"/>
  <c r="S187" i="19"/>
  <c r="I187" i="19"/>
  <c r="AI187" i="19" s="1"/>
  <c r="AH186" i="19"/>
  <c r="S186" i="19"/>
  <c r="N186" i="19"/>
  <c r="I186" i="19"/>
  <c r="AH185" i="19"/>
  <c r="S185" i="19"/>
  <c r="N185" i="19"/>
  <c r="I185" i="19"/>
  <c r="AI185" i="19" s="1"/>
  <c r="W184" i="19"/>
  <c r="W183" i="19" s="1"/>
  <c r="U184" i="19"/>
  <c r="U183" i="19" s="1"/>
  <c r="M184" i="19"/>
  <c r="M183" i="19" s="1"/>
  <c r="L184" i="19"/>
  <c r="L183" i="19" s="1"/>
  <c r="K184" i="19"/>
  <c r="K183" i="19" s="1"/>
  <c r="J184" i="19"/>
  <c r="J183" i="19" s="1"/>
  <c r="AH182" i="19"/>
  <c r="X182" i="19"/>
  <c r="T182" i="19"/>
  <c r="P182" i="19"/>
  <c r="N182" i="19"/>
  <c r="M182" i="19"/>
  <c r="K182" i="19"/>
  <c r="I182" i="19"/>
  <c r="AI182" i="19" s="1"/>
  <c r="AH181" i="19"/>
  <c r="X181" i="19"/>
  <c r="T181" i="19"/>
  <c r="P181" i="19"/>
  <c r="N181" i="19"/>
  <c r="M181" i="19"/>
  <c r="K181" i="19"/>
  <c r="I181" i="19"/>
  <c r="AI181" i="19" s="1"/>
  <c r="AH180" i="19"/>
  <c r="X180" i="19"/>
  <c r="T180" i="19"/>
  <c r="P180" i="19"/>
  <c r="N180" i="19"/>
  <c r="M180" i="19"/>
  <c r="K180" i="19"/>
  <c r="I180" i="19"/>
  <c r="AI180" i="19" s="1"/>
  <c r="AH179" i="19"/>
  <c r="X179" i="19"/>
  <c r="T179" i="19"/>
  <c r="P179" i="19"/>
  <c r="N179" i="19"/>
  <c r="M179" i="19"/>
  <c r="K179" i="19"/>
  <c r="I179" i="19"/>
  <c r="AI179" i="19" s="1"/>
  <c r="AI178" i="19"/>
  <c r="AH178" i="19"/>
  <c r="S178" i="19"/>
  <c r="R178" i="19"/>
  <c r="AI177" i="19"/>
  <c r="AH177" i="19"/>
  <c r="S177" i="19"/>
  <c r="R177" i="19"/>
  <c r="Y176" i="19"/>
  <c r="Y175" i="19" s="1"/>
  <c r="AH175" i="19" s="1"/>
  <c r="W176" i="19"/>
  <c r="W175" i="19" s="1"/>
  <c r="V176" i="19"/>
  <c r="V175" i="19" s="1"/>
  <c r="U176" i="19"/>
  <c r="U175" i="19" s="1"/>
  <c r="S176" i="19"/>
  <c r="S175" i="19" s="1"/>
  <c r="R176" i="19"/>
  <c r="R175" i="19" s="1"/>
  <c r="Q176" i="19"/>
  <c r="Q175" i="19" s="1"/>
  <c r="O176" i="19"/>
  <c r="O175" i="19" s="1"/>
  <c r="L176" i="19"/>
  <c r="L175" i="19" s="1"/>
  <c r="J176" i="19"/>
  <c r="J175" i="19" s="1"/>
  <c r="H176" i="19"/>
  <c r="H175" i="19" s="1"/>
  <c r="AI172" i="19"/>
  <c r="AH172" i="19"/>
  <c r="X172" i="19"/>
  <c r="H172" i="19"/>
  <c r="AI171" i="19"/>
  <c r="AH171" i="19"/>
  <c r="X171" i="19"/>
  <c r="H171" i="19"/>
  <c r="AI170" i="19"/>
  <c r="AH170" i="19"/>
  <c r="X170" i="19"/>
  <c r="H170" i="19"/>
  <c r="AI169" i="19"/>
  <c r="AH169" i="19"/>
  <c r="X169" i="19"/>
  <c r="H169" i="19"/>
  <c r="H133" i="19" s="1"/>
  <c r="AH168" i="19"/>
  <c r="X168" i="19"/>
  <c r="I168" i="19"/>
  <c r="AI168" i="19" s="1"/>
  <c r="AH167" i="19"/>
  <c r="X167" i="19"/>
  <c r="I167" i="19"/>
  <c r="AI167" i="19" s="1"/>
  <c r="Y166" i="19"/>
  <c r="AH166" i="19" s="1"/>
  <c r="I166" i="19"/>
  <c r="Y165" i="19"/>
  <c r="AH165" i="19" s="1"/>
  <c r="I165" i="19"/>
  <c r="Y164" i="19"/>
  <c r="X164" i="19" s="1"/>
  <c r="I164" i="19"/>
  <c r="Y163" i="19"/>
  <c r="I163" i="19"/>
  <c r="Y162" i="19"/>
  <c r="AH162" i="19" s="1"/>
  <c r="I162" i="19"/>
  <c r="Y161" i="19"/>
  <c r="I161" i="19"/>
  <c r="Y160" i="19"/>
  <c r="AH160" i="19" s="1"/>
  <c r="I160" i="19"/>
  <c r="Y159" i="19"/>
  <c r="I159" i="19"/>
  <c r="Y158" i="19"/>
  <c r="I158" i="19"/>
  <c r="Y157" i="19"/>
  <c r="AH157" i="19" s="1"/>
  <c r="I157" i="19"/>
  <c r="Y156" i="19"/>
  <c r="AH156" i="19" s="1"/>
  <c r="I156" i="19"/>
  <c r="Y155" i="19"/>
  <c r="I155" i="19"/>
  <c r="Y154" i="19"/>
  <c r="X154" i="19" s="1"/>
  <c r="I154" i="19"/>
  <c r="Y153" i="19"/>
  <c r="I153" i="19"/>
  <c r="Y152" i="19"/>
  <c r="I152" i="19"/>
  <c r="Y151" i="19"/>
  <c r="I151" i="19"/>
  <c r="Y150" i="19"/>
  <c r="I150" i="19"/>
  <c r="Y149" i="19"/>
  <c r="AH149" i="19" s="1"/>
  <c r="I149" i="19"/>
  <c r="Y148" i="19"/>
  <c r="I148" i="19"/>
  <c r="Y147" i="19"/>
  <c r="I147" i="19"/>
  <c r="Y146" i="19"/>
  <c r="AH146" i="19" s="1"/>
  <c r="I146" i="19"/>
  <c r="Y145" i="19"/>
  <c r="I145" i="19"/>
  <c r="Y144" i="19"/>
  <c r="AH144" i="19" s="1"/>
  <c r="I144" i="19"/>
  <c r="Y143" i="19"/>
  <c r="AH143" i="19" s="1"/>
  <c r="I143" i="19"/>
  <c r="Y142" i="19"/>
  <c r="X142" i="19" s="1"/>
  <c r="I142" i="19"/>
  <c r="Y141" i="19"/>
  <c r="AH141" i="19" s="1"/>
  <c r="I141" i="19"/>
  <c r="Y140" i="19"/>
  <c r="AH140" i="19" s="1"/>
  <c r="I140" i="19"/>
  <c r="Y139" i="19"/>
  <c r="I139" i="19"/>
  <c r="Y138" i="19"/>
  <c r="I138" i="19"/>
  <c r="Y137" i="19"/>
  <c r="AH137" i="19" s="1"/>
  <c r="I137" i="19"/>
  <c r="Y136" i="19"/>
  <c r="X136" i="19" s="1"/>
  <c r="I136" i="19"/>
  <c r="Y135" i="19"/>
  <c r="AH135" i="19" s="1"/>
  <c r="I135" i="19"/>
  <c r="Y134" i="19"/>
  <c r="I134" i="19"/>
  <c r="AI132" i="19"/>
  <c r="AH132" i="19"/>
  <c r="X132" i="19"/>
  <c r="T132" i="19"/>
  <c r="R132" i="19"/>
  <c r="H132" i="19"/>
  <c r="AI131" i="19"/>
  <c r="AH131" i="19"/>
  <c r="X131" i="19"/>
  <c r="T131" i="19"/>
  <c r="R131" i="19"/>
  <c r="Q131" i="19"/>
  <c r="H131" i="19"/>
  <c r="AI130" i="19"/>
  <c r="AH130" i="19"/>
  <c r="X130" i="19"/>
  <c r="T130" i="19"/>
  <c r="R130" i="19"/>
  <c r="Q130" i="19"/>
  <c r="H130" i="19"/>
  <c r="AH129" i="19"/>
  <c r="X129" i="19"/>
  <c r="T129" i="19"/>
  <c r="R129" i="19"/>
  <c r="Q129" i="19"/>
  <c r="I129" i="19"/>
  <c r="AI129" i="19" s="1"/>
  <c r="AI128" i="19"/>
  <c r="AH128" i="19"/>
  <c r="R128" i="19"/>
  <c r="Q128" i="19"/>
  <c r="H128" i="19"/>
  <c r="AI127" i="19"/>
  <c r="AH127" i="19"/>
  <c r="X127" i="19"/>
  <c r="T127" i="19"/>
  <c r="R127" i="19"/>
  <c r="Q127" i="19"/>
  <c r="H127" i="19"/>
  <c r="AI126" i="19"/>
  <c r="AH126" i="19"/>
  <c r="X126" i="19"/>
  <c r="T126" i="19"/>
  <c r="R126" i="19"/>
  <c r="Q126" i="19"/>
  <c r="H126" i="19"/>
  <c r="AI125" i="19"/>
  <c r="AH125" i="19"/>
  <c r="R125" i="19"/>
  <c r="Q125" i="19"/>
  <c r="H125" i="19"/>
  <c r="AI124" i="19"/>
  <c r="AH124" i="19"/>
  <c r="X124" i="19"/>
  <c r="T124" i="19"/>
  <c r="R124" i="19"/>
  <c r="Q124" i="19"/>
  <c r="H124" i="19"/>
  <c r="AI123" i="19"/>
  <c r="AH123" i="19"/>
  <c r="X123" i="19"/>
  <c r="T123" i="19"/>
  <c r="R123" i="19"/>
  <c r="Q123" i="19"/>
  <c r="H123" i="19"/>
  <c r="AI122" i="19"/>
  <c r="AH122" i="19"/>
  <c r="X122" i="19"/>
  <c r="T122" i="19"/>
  <c r="R122" i="19"/>
  <c r="Q122" i="19"/>
  <c r="H122" i="19"/>
  <c r="AI121" i="19"/>
  <c r="AH121" i="19"/>
  <c r="X121" i="19"/>
  <c r="T121" i="19"/>
  <c r="R121" i="19"/>
  <c r="Q121" i="19"/>
  <c r="H121" i="19"/>
  <c r="AI120" i="19"/>
  <c r="AH120" i="19"/>
  <c r="X120" i="19"/>
  <c r="T120" i="19"/>
  <c r="R120" i="19"/>
  <c r="H120" i="19"/>
  <c r="AH119" i="19"/>
  <c r="X119" i="19"/>
  <c r="T119" i="19"/>
  <c r="R119" i="19"/>
  <c r="Q119" i="19"/>
  <c r="I119" i="19"/>
  <c r="AI119" i="19" s="1"/>
  <c r="AI118" i="19"/>
  <c r="AH118" i="19"/>
  <c r="X118" i="19"/>
  <c r="T118" i="19"/>
  <c r="Q118" i="19"/>
  <c r="O118" i="19"/>
  <c r="S118" i="19" s="1"/>
  <c r="H118" i="19"/>
  <c r="AH117" i="19"/>
  <c r="O117" i="19"/>
  <c r="S117" i="19" s="1"/>
  <c r="I117" i="19"/>
  <c r="AI117" i="19" s="1"/>
  <c r="AH116" i="19"/>
  <c r="O116" i="19"/>
  <c r="S116" i="19" s="1"/>
  <c r="I116" i="19"/>
  <c r="AI116" i="19" s="1"/>
  <c r="AH115" i="19"/>
  <c r="O115" i="19"/>
  <c r="S115" i="19" s="1"/>
  <c r="I115" i="19"/>
  <c r="AI115" i="19" s="1"/>
  <c r="AI114" i="19"/>
  <c r="AH114" i="19"/>
  <c r="X114" i="19"/>
  <c r="T114" i="19"/>
  <c r="Q114" i="19"/>
  <c r="O114" i="19"/>
  <c r="S114" i="19" s="1"/>
  <c r="H114" i="19"/>
  <c r="AH113" i="19"/>
  <c r="O113" i="19"/>
  <c r="S113" i="19" s="1"/>
  <c r="I113" i="19"/>
  <c r="AI113" i="19" s="1"/>
  <c r="AH112" i="19"/>
  <c r="O112" i="19"/>
  <c r="S112" i="19" s="1"/>
  <c r="I112" i="19"/>
  <c r="AI112" i="19" s="1"/>
  <c r="AH111" i="19"/>
  <c r="X111" i="19"/>
  <c r="T111" i="19"/>
  <c r="Q111" i="19"/>
  <c r="O111" i="19"/>
  <c r="R111" i="19" s="1"/>
  <c r="I111" i="19"/>
  <c r="AI111" i="19" s="1"/>
  <c r="AH110" i="19"/>
  <c r="Q110" i="19"/>
  <c r="O110" i="19"/>
  <c r="S110" i="19" s="1"/>
  <c r="I110" i="19"/>
  <c r="AI110" i="19" s="1"/>
  <c r="AH109" i="19"/>
  <c r="Q109" i="19"/>
  <c r="O109" i="19"/>
  <c r="S109" i="19" s="1"/>
  <c r="I109" i="19"/>
  <c r="AI109" i="19" s="1"/>
  <c r="AH108" i="19"/>
  <c r="Q108" i="19"/>
  <c r="O108" i="19"/>
  <c r="S108" i="19" s="1"/>
  <c r="I108" i="19"/>
  <c r="AI108" i="19" s="1"/>
  <c r="AH107" i="19"/>
  <c r="O107" i="19"/>
  <c r="S107" i="19" s="1"/>
  <c r="I107" i="19"/>
  <c r="AI107" i="19" s="1"/>
  <c r="AH106" i="19"/>
  <c r="O106" i="19"/>
  <c r="S106" i="19" s="1"/>
  <c r="I106" i="19"/>
  <c r="AI106" i="19" s="1"/>
  <c r="AH105" i="19"/>
  <c r="Q105" i="19"/>
  <c r="O105" i="19"/>
  <c r="S105" i="19" s="1"/>
  <c r="I105" i="19"/>
  <c r="AI105" i="19" s="1"/>
  <c r="AH104" i="19"/>
  <c r="O104" i="19"/>
  <c r="S104" i="19" s="1"/>
  <c r="I104" i="19"/>
  <c r="AI104" i="19" s="1"/>
  <c r="AH103" i="19"/>
  <c r="Q103" i="19"/>
  <c r="O103" i="19"/>
  <c r="S103" i="19" s="1"/>
  <c r="I103" i="19"/>
  <c r="AI103" i="19" s="1"/>
  <c r="AH102" i="19"/>
  <c r="Q102" i="19"/>
  <c r="O102" i="19"/>
  <c r="S102" i="19" s="1"/>
  <c r="I102" i="19"/>
  <c r="AI102" i="19" s="1"/>
  <c r="AH101" i="19"/>
  <c r="Q101" i="19"/>
  <c r="O101" i="19"/>
  <c r="S101" i="19" s="1"/>
  <c r="I101" i="19"/>
  <c r="AI101" i="19" s="1"/>
  <c r="AH100" i="19"/>
  <c r="Q100" i="19"/>
  <c r="O100" i="19"/>
  <c r="S100" i="19" s="1"/>
  <c r="I100" i="19"/>
  <c r="AI100" i="19" s="1"/>
  <c r="AH99" i="19"/>
  <c r="Q99" i="19"/>
  <c r="O99" i="19"/>
  <c r="S99" i="19" s="1"/>
  <c r="I99" i="19"/>
  <c r="AI99" i="19" s="1"/>
  <c r="AH98" i="19"/>
  <c r="Q98" i="19"/>
  <c r="O98" i="19"/>
  <c r="S98" i="19" s="1"/>
  <c r="I98" i="19"/>
  <c r="AI98" i="19" s="1"/>
  <c r="AH97" i="19"/>
  <c r="O97" i="19"/>
  <c r="S97" i="19" s="1"/>
  <c r="I97" i="19"/>
  <c r="AI97" i="19" s="1"/>
  <c r="AH96" i="19"/>
  <c r="O96" i="19"/>
  <c r="S96" i="19" s="1"/>
  <c r="I96" i="19"/>
  <c r="AI96" i="19" s="1"/>
  <c r="AH95" i="19"/>
  <c r="O95" i="19"/>
  <c r="S95" i="19" s="1"/>
  <c r="I95" i="19"/>
  <c r="AI95" i="19" s="1"/>
  <c r="AH94" i="19"/>
  <c r="O94" i="19"/>
  <c r="S94" i="19" s="1"/>
  <c r="I94" i="19"/>
  <c r="AI94" i="19" s="1"/>
  <c r="AH93" i="19"/>
  <c r="O93" i="19"/>
  <c r="S93" i="19" s="1"/>
  <c r="I93" i="19"/>
  <c r="AI93" i="19" s="1"/>
  <c r="AH92" i="19"/>
  <c r="O92" i="19"/>
  <c r="S92" i="19" s="1"/>
  <c r="I92" i="19"/>
  <c r="AI92" i="19" s="1"/>
  <c r="AH91" i="19"/>
  <c r="O91" i="19"/>
  <c r="S91" i="19" s="1"/>
  <c r="I91" i="19"/>
  <c r="AI91" i="19" s="1"/>
  <c r="AH90" i="19"/>
  <c r="O90" i="19"/>
  <c r="S90" i="19" s="1"/>
  <c r="I90" i="19"/>
  <c r="AI90" i="19" s="1"/>
  <c r="AH89" i="19"/>
  <c r="O89" i="19"/>
  <c r="S89" i="19" s="1"/>
  <c r="H89" i="19"/>
  <c r="I89" i="19" s="1"/>
  <c r="AI89" i="19" s="1"/>
  <c r="AH88" i="19"/>
  <c r="X88" i="19"/>
  <c r="T88" i="19"/>
  <c r="Q88" i="19"/>
  <c r="O88" i="19"/>
  <c r="S88" i="19" s="1"/>
  <c r="H88" i="19"/>
  <c r="I88" i="19" s="1"/>
  <c r="AI88" i="19" s="1"/>
  <c r="AH87" i="19"/>
  <c r="Q87" i="19"/>
  <c r="O87" i="19"/>
  <c r="R87" i="19" s="1"/>
  <c r="H87" i="19"/>
  <c r="I87" i="19" s="1"/>
  <c r="AI87" i="19" s="1"/>
  <c r="AH86" i="19"/>
  <c r="Q86" i="19"/>
  <c r="O86" i="19"/>
  <c r="S86" i="19" s="1"/>
  <c r="H86" i="19"/>
  <c r="I86" i="19" s="1"/>
  <c r="AI86" i="19" s="1"/>
  <c r="AH85" i="19"/>
  <c r="Q85" i="19"/>
  <c r="O85" i="19"/>
  <c r="S85" i="19" s="1"/>
  <c r="H85" i="19"/>
  <c r="I85" i="19" s="1"/>
  <c r="AI85" i="19" s="1"/>
  <c r="AH84" i="19"/>
  <c r="Q84" i="19"/>
  <c r="O84" i="19"/>
  <c r="S84" i="19" s="1"/>
  <c r="H84" i="19"/>
  <c r="I84" i="19" s="1"/>
  <c r="AI84" i="19" s="1"/>
  <c r="AH83" i="19"/>
  <c r="X83" i="19"/>
  <c r="T83" i="19"/>
  <c r="Q83" i="19"/>
  <c r="O83" i="19"/>
  <c r="S83" i="19" s="1"/>
  <c r="H83" i="19"/>
  <c r="I83" i="19" s="1"/>
  <c r="AI83" i="19" s="1"/>
  <c r="AH82" i="19"/>
  <c r="Q82" i="19"/>
  <c r="O82" i="19"/>
  <c r="S82" i="19" s="1"/>
  <c r="H82" i="19"/>
  <c r="I82" i="19" s="1"/>
  <c r="AI82" i="19" s="1"/>
  <c r="AI81" i="19"/>
  <c r="AH81" i="19"/>
  <c r="Q81" i="19"/>
  <c r="O81" i="19"/>
  <c r="S81" i="19" s="1"/>
  <c r="H81" i="19"/>
  <c r="AH80" i="19"/>
  <c r="X80" i="19"/>
  <c r="T80" i="19"/>
  <c r="Q80" i="19"/>
  <c r="O80" i="19"/>
  <c r="S80" i="19" s="1"/>
  <c r="H80" i="19"/>
  <c r="I80" i="19" s="1"/>
  <c r="AI80" i="19" s="1"/>
  <c r="AH79" i="19"/>
  <c r="X79" i="19"/>
  <c r="T79" i="19"/>
  <c r="Q79" i="19"/>
  <c r="O79" i="19"/>
  <c r="S79" i="19" s="1"/>
  <c r="H79" i="19"/>
  <c r="I79" i="19" s="1"/>
  <c r="AI79" i="19" s="1"/>
  <c r="AH78" i="19"/>
  <c r="X78" i="19"/>
  <c r="T78" i="19"/>
  <c r="Q78" i="19"/>
  <c r="O78" i="19"/>
  <c r="S78" i="19" s="1"/>
  <c r="H78" i="19"/>
  <c r="I78" i="19" s="1"/>
  <c r="AI78" i="19" s="1"/>
  <c r="AI77" i="19"/>
  <c r="AH77" i="19"/>
  <c r="X77" i="19"/>
  <c r="T77" i="19"/>
  <c r="Q77" i="19"/>
  <c r="O77" i="19"/>
  <c r="R77" i="19" s="1"/>
  <c r="H77" i="19"/>
  <c r="AI76" i="19"/>
  <c r="AH76" i="19"/>
  <c r="X76" i="19"/>
  <c r="T76" i="19"/>
  <c r="Q76" i="19"/>
  <c r="O76" i="19"/>
  <c r="R76" i="19" s="1"/>
  <c r="H76" i="19"/>
  <c r="AH75" i="19"/>
  <c r="O75" i="19"/>
  <c r="S75" i="19" s="1"/>
  <c r="H75" i="19"/>
  <c r="I75" i="19" s="1"/>
  <c r="AI75" i="19" s="1"/>
  <c r="AH74" i="19"/>
  <c r="X74" i="19"/>
  <c r="T74" i="19"/>
  <c r="Q74" i="19"/>
  <c r="O74" i="19"/>
  <c r="S74" i="19" s="1"/>
  <c r="I74" i="19"/>
  <c r="AI74" i="19" s="1"/>
  <c r="AH73" i="19"/>
  <c r="Q73" i="19"/>
  <c r="O73" i="19"/>
  <c r="R73" i="19" s="1"/>
  <c r="I73" i="19"/>
  <c r="AI73" i="19" s="1"/>
  <c r="AH72" i="19"/>
  <c r="Q72" i="19"/>
  <c r="O72" i="19"/>
  <c r="S72" i="19" s="1"/>
  <c r="I72" i="19"/>
  <c r="AI72" i="19" s="1"/>
  <c r="AH71" i="19"/>
  <c r="Q71" i="19"/>
  <c r="O71" i="19"/>
  <c r="S71" i="19" s="1"/>
  <c r="I71" i="19"/>
  <c r="AI71" i="19" s="1"/>
  <c r="AH70" i="19"/>
  <c r="Q70" i="19"/>
  <c r="O70" i="19"/>
  <c r="S70" i="19" s="1"/>
  <c r="I70" i="19"/>
  <c r="AI70" i="19" s="1"/>
  <c r="AH69" i="19"/>
  <c r="Q69" i="19"/>
  <c r="O69" i="19"/>
  <c r="S69" i="19" s="1"/>
  <c r="I69" i="19"/>
  <c r="AI69" i="19" s="1"/>
  <c r="AH68" i="19"/>
  <c r="Q68" i="19"/>
  <c r="O68" i="19"/>
  <c r="S68" i="19" s="1"/>
  <c r="I68" i="19"/>
  <c r="AI68" i="19" s="1"/>
  <c r="AH67" i="19"/>
  <c r="Q67" i="19"/>
  <c r="O67" i="19"/>
  <c r="S67" i="19" s="1"/>
  <c r="I67" i="19"/>
  <c r="AI67" i="19" s="1"/>
  <c r="AH66" i="19"/>
  <c r="Q66" i="19"/>
  <c r="O66" i="19"/>
  <c r="S66" i="19" s="1"/>
  <c r="I66" i="19"/>
  <c r="AI66" i="19" s="1"/>
  <c r="AH65" i="19"/>
  <c r="Q65" i="19"/>
  <c r="O65" i="19"/>
  <c r="S65" i="19" s="1"/>
  <c r="I65" i="19"/>
  <c r="AI65" i="19" s="1"/>
  <c r="AH64" i="19"/>
  <c r="Q64" i="19"/>
  <c r="O64" i="19"/>
  <c r="S64" i="19" s="1"/>
  <c r="I64" i="19"/>
  <c r="AI64" i="19" s="1"/>
  <c r="AH63" i="19"/>
  <c r="Q63" i="19"/>
  <c r="O63" i="19"/>
  <c r="S63" i="19" s="1"/>
  <c r="I63" i="19"/>
  <c r="AI63" i="19" s="1"/>
  <c r="AH62" i="19"/>
  <c r="Q62" i="19"/>
  <c r="O62" i="19"/>
  <c r="S62" i="19" s="1"/>
  <c r="I62" i="19"/>
  <c r="AI62" i="19" s="1"/>
  <c r="AH61" i="19"/>
  <c r="X61" i="19"/>
  <c r="T61" i="19"/>
  <c r="P61" i="19"/>
  <c r="P53" i="19" s="1"/>
  <c r="P52" i="19" s="1"/>
  <c r="O61" i="19"/>
  <c r="S61" i="19" s="1"/>
  <c r="I61" i="19"/>
  <c r="AI61" i="19" s="1"/>
  <c r="AH60" i="19"/>
  <c r="Q60" i="19"/>
  <c r="O60" i="19"/>
  <c r="S60" i="19" s="1"/>
  <c r="I60" i="19"/>
  <c r="AI60" i="19" s="1"/>
  <c r="AH59" i="19"/>
  <c r="Q59" i="19"/>
  <c r="O59" i="19"/>
  <c r="S59" i="19" s="1"/>
  <c r="I59" i="19"/>
  <c r="AI59" i="19" s="1"/>
  <c r="AH58" i="19"/>
  <c r="Q58" i="19"/>
  <c r="O58" i="19"/>
  <c r="S58" i="19" s="1"/>
  <c r="I58" i="19"/>
  <c r="AI58" i="19" s="1"/>
  <c r="AH57" i="19"/>
  <c r="Q57" i="19"/>
  <c r="O57" i="19"/>
  <c r="S57" i="19" s="1"/>
  <c r="I57" i="19"/>
  <c r="AI57" i="19" s="1"/>
  <c r="AH56" i="19"/>
  <c r="Q56" i="19"/>
  <c r="O56" i="19"/>
  <c r="R56" i="19" s="1"/>
  <c r="I56" i="19"/>
  <c r="AI56" i="19" s="1"/>
  <c r="AH55" i="19"/>
  <c r="Q55" i="19"/>
  <c r="O55" i="19"/>
  <c r="S55" i="19" s="1"/>
  <c r="I55" i="19"/>
  <c r="AH54" i="19"/>
  <c r="Q54" i="19"/>
  <c r="O54" i="19"/>
  <c r="R54" i="19" s="1"/>
  <c r="I54" i="19"/>
  <c r="AI54" i="19" s="1"/>
  <c r="Y53" i="19"/>
  <c r="AH53" i="19" s="1"/>
  <c r="W53" i="19"/>
  <c r="W52" i="19" s="1"/>
  <c r="V53" i="19"/>
  <c r="U53" i="19"/>
  <c r="U52" i="19" s="1"/>
  <c r="N53" i="19"/>
  <c r="M53" i="19"/>
  <c r="L53" i="19"/>
  <c r="K53" i="19"/>
  <c r="J53" i="19"/>
  <c r="AH51" i="19"/>
  <c r="Q51" i="19"/>
  <c r="O51" i="19"/>
  <c r="M51" i="19"/>
  <c r="K51" i="19"/>
  <c r="I51" i="19"/>
  <c r="AI51" i="19" s="1"/>
  <c r="AH50" i="19"/>
  <c r="Q50" i="19"/>
  <c r="O50" i="19"/>
  <c r="M50" i="19"/>
  <c r="K50" i="19"/>
  <c r="I50" i="19"/>
  <c r="AI50" i="19" s="1"/>
  <c r="AI49" i="19"/>
  <c r="AH49" i="19"/>
  <c r="AI48" i="19"/>
  <c r="AH48" i="19"/>
  <c r="Y47" i="19"/>
  <c r="AH47" i="19" s="1"/>
  <c r="X47" i="19"/>
  <c r="X46" i="19" s="1"/>
  <c r="W47" i="19"/>
  <c r="W46" i="19" s="1"/>
  <c r="V47" i="19"/>
  <c r="V46" i="19" s="1"/>
  <c r="U47" i="19"/>
  <c r="U46" i="19" s="1"/>
  <c r="T47" i="19"/>
  <c r="T46" i="19" s="1"/>
  <c r="S47" i="19"/>
  <c r="S46" i="19" s="1"/>
  <c r="R47" i="19"/>
  <c r="R46" i="19" s="1"/>
  <c r="P47" i="19"/>
  <c r="P46" i="19" s="1"/>
  <c r="N47" i="19"/>
  <c r="N46" i="19" s="1"/>
  <c r="L47" i="19"/>
  <c r="L46" i="19" s="1"/>
  <c r="J47" i="19"/>
  <c r="J46" i="19" s="1"/>
  <c r="H47" i="19"/>
  <c r="H46" i="19" s="1"/>
  <c r="V43" i="19"/>
  <c r="W41" i="19"/>
  <c r="W17" i="19" s="1"/>
  <c r="V41" i="19"/>
  <c r="U41" i="19"/>
  <c r="N41" i="19"/>
  <c r="T41" i="19" s="1"/>
  <c r="V40" i="19"/>
  <c r="V38" i="19"/>
  <c r="U38" i="19"/>
  <c r="N38" i="19"/>
  <c r="T38" i="19" s="1"/>
  <c r="V35" i="19"/>
  <c r="V36" i="19" s="1"/>
  <c r="U35" i="19"/>
  <c r="N35" i="19"/>
  <c r="T35" i="19" s="1"/>
  <c r="V32" i="19"/>
  <c r="U32" i="19"/>
  <c r="N32" i="19"/>
  <c r="T32" i="19" s="1"/>
  <c r="V29" i="19"/>
  <c r="V30" i="19" s="1"/>
  <c r="U29" i="19"/>
  <c r="N29" i="19"/>
  <c r="T29" i="19" s="1"/>
  <c r="V26" i="19"/>
  <c r="U26" i="19"/>
  <c r="N26" i="19"/>
  <c r="T26" i="19" s="1"/>
  <c r="U23" i="19"/>
  <c r="Y23" i="19" s="1"/>
  <c r="X23" i="19" s="1"/>
  <c r="N23" i="19"/>
  <c r="T23" i="19" s="1"/>
  <c r="V20" i="19"/>
  <c r="V21" i="19" s="1"/>
  <c r="U20" i="19"/>
  <c r="N20" i="19"/>
  <c r="T20" i="19" s="1"/>
  <c r="V18" i="19"/>
  <c r="U18" i="19"/>
  <c r="N18" i="19"/>
  <c r="T18" i="19" s="1"/>
  <c r="S17" i="19"/>
  <c r="R17" i="19"/>
  <c r="Q17" i="19"/>
  <c r="P17" i="19"/>
  <c r="O17" i="19"/>
  <c r="N17" i="19" s="1"/>
  <c r="Y639" i="19" l="1"/>
  <c r="AH639" i="19" s="1"/>
  <c r="P226" i="19"/>
  <c r="P225" i="19" s="1"/>
  <c r="P224" i="19" s="1"/>
  <c r="T226" i="19"/>
  <c r="T225" i="19" s="1"/>
  <c r="T224" i="19" s="1"/>
  <c r="I226" i="19"/>
  <c r="R226" i="19"/>
  <c r="Q226" i="19"/>
  <c r="Y226" i="19"/>
  <c r="R473" i="19"/>
  <c r="R472" i="19" s="1"/>
  <c r="R464" i="19" s="1"/>
  <c r="I133" i="19"/>
  <c r="AH134" i="19"/>
  <c r="Y133" i="19"/>
  <c r="Y52" i="19" s="1"/>
  <c r="V575" i="19"/>
  <c r="V574" i="19" s="1"/>
  <c r="T645" i="19"/>
  <c r="T644" i="19" s="1"/>
  <c r="J546" i="19"/>
  <c r="J545" i="19" s="1"/>
  <c r="L645" i="19"/>
  <c r="L644" i="19" s="1"/>
  <c r="L643" i="19" s="1"/>
  <c r="H677" i="19"/>
  <c r="I447" i="19"/>
  <c r="I446" i="19" s="1"/>
  <c r="N645" i="19"/>
  <c r="N644" i="19" s="1"/>
  <c r="X645" i="19"/>
  <c r="X644" i="19" s="1"/>
  <c r="J645" i="19"/>
  <c r="J644" i="19" s="1"/>
  <c r="J643" i="19" s="1"/>
  <c r="P481" i="19"/>
  <c r="Q473" i="19"/>
  <c r="Q472" i="19" s="1"/>
  <c r="Q464" i="19" s="1"/>
  <c r="AI489" i="19"/>
  <c r="I473" i="19"/>
  <c r="I472" i="19" s="1"/>
  <c r="I464" i="19" s="1"/>
  <c r="AI648" i="19"/>
  <c r="I645" i="19"/>
  <c r="I644" i="19" s="1"/>
  <c r="M645" i="19"/>
  <c r="M644" i="19" s="1"/>
  <c r="M643" i="19" s="1"/>
  <c r="N473" i="19"/>
  <c r="N472" i="19" s="1"/>
  <c r="S645" i="19"/>
  <c r="S644" i="19" s="1"/>
  <c r="H654" i="19"/>
  <c r="H473" i="19"/>
  <c r="H472" i="19" s="1"/>
  <c r="H464" i="19" s="1"/>
  <c r="T473" i="19"/>
  <c r="T472" i="19" s="1"/>
  <c r="P645" i="19"/>
  <c r="P644" i="19" s="1"/>
  <c r="AE604" i="19"/>
  <c r="K645" i="19"/>
  <c r="K644" i="19" s="1"/>
  <c r="K643" i="19" s="1"/>
  <c r="S473" i="19"/>
  <c r="S472" i="19" s="1"/>
  <c r="Y473" i="19"/>
  <c r="H611" i="19"/>
  <c r="I611" i="19"/>
  <c r="Y611" i="19"/>
  <c r="AE567" i="19"/>
  <c r="AE566" i="19" s="1"/>
  <c r="N611" i="19"/>
  <c r="N610" i="19" s="1"/>
  <c r="P610" i="19"/>
  <c r="P602" i="19" s="1"/>
  <c r="P565" i="19" s="1"/>
  <c r="AI608" i="19"/>
  <c r="I604" i="19"/>
  <c r="AI612" i="19"/>
  <c r="S610" i="19"/>
  <c r="S602" i="19" s="1"/>
  <c r="S565" i="19" s="1"/>
  <c r="T610" i="19"/>
  <c r="T602" i="19" s="1"/>
  <c r="T565" i="19" s="1"/>
  <c r="AI623" i="19"/>
  <c r="V42" i="19"/>
  <c r="N604" i="19"/>
  <c r="N603" i="19" s="1"/>
  <c r="R610" i="19"/>
  <c r="R602" i="19" s="1"/>
  <c r="R565" i="19" s="1"/>
  <c r="L604" i="19"/>
  <c r="L603" i="19" s="1"/>
  <c r="L602" i="19" s="1"/>
  <c r="L565" i="19" s="1"/>
  <c r="J604" i="19"/>
  <c r="J603" i="19" s="1"/>
  <c r="J602" i="19" s="1"/>
  <c r="J565" i="19" s="1"/>
  <c r="N575" i="19"/>
  <c r="N574" i="19" s="1"/>
  <c r="O575" i="19"/>
  <c r="O574" i="19" s="1"/>
  <c r="AG576" i="19"/>
  <c r="V217" i="19"/>
  <c r="U45" i="19"/>
  <c r="AI462" i="19"/>
  <c r="H575" i="19"/>
  <c r="H574" i="19" s="1"/>
  <c r="H466" i="19"/>
  <c r="H465" i="19" s="1"/>
  <c r="H225" i="19"/>
  <c r="H224" i="19" s="1"/>
  <c r="S466" i="19"/>
  <c r="S465" i="19" s="1"/>
  <c r="P184" i="19"/>
  <c r="P183" i="19" s="1"/>
  <c r="W653" i="19"/>
  <c r="W643" i="19" s="1"/>
  <c r="M423" i="19"/>
  <c r="M416" i="19" s="1"/>
  <c r="AI445" i="19"/>
  <c r="X514" i="19"/>
  <c r="I552" i="19"/>
  <c r="K552" i="19"/>
  <c r="M552" i="19"/>
  <c r="V552" i="19"/>
  <c r="V544" i="19" s="1"/>
  <c r="Y561" i="19"/>
  <c r="AH561" i="19" s="1"/>
  <c r="O29" i="20"/>
  <c r="O16" i="20" s="1"/>
  <c r="AI166" i="19"/>
  <c r="AH369" i="19"/>
  <c r="T466" i="19"/>
  <c r="T465" i="19" s="1"/>
  <c r="L423" i="19"/>
  <c r="L416" i="19" s="1"/>
  <c r="X445" i="19"/>
  <c r="V447" i="19"/>
  <c r="V446" i="19" s="1"/>
  <c r="K466" i="19"/>
  <c r="K465" i="19" s="1"/>
  <c r="K464" i="19" s="1"/>
  <c r="V500" i="19"/>
  <c r="P514" i="19"/>
  <c r="P508" i="19" s="1"/>
  <c r="P507" i="19" s="1"/>
  <c r="P500" i="19" s="1"/>
  <c r="H553" i="19"/>
  <c r="Q30" i="20"/>
  <c r="Q29" i="20" s="1"/>
  <c r="Q16" i="20" s="1"/>
  <c r="Y27" i="20"/>
  <c r="AN27" i="20"/>
  <c r="Y28" i="20"/>
  <c r="AN28" i="20"/>
  <c r="Y41" i="20"/>
  <c r="AN41" i="20"/>
  <c r="Y42" i="20"/>
  <c r="AN42" i="20"/>
  <c r="Y43" i="20"/>
  <c r="AN43" i="20"/>
  <c r="Y44" i="20"/>
  <c r="AN44" i="20"/>
  <c r="Y45" i="20"/>
  <c r="AN45" i="20"/>
  <c r="Y46" i="20"/>
  <c r="AN46" i="20"/>
  <c r="Y48" i="20"/>
  <c r="AN48" i="20"/>
  <c r="Y49" i="20"/>
  <c r="AN49" i="20"/>
  <c r="Y50" i="20"/>
  <c r="AN50" i="20"/>
  <c r="Y51" i="20"/>
  <c r="AN51" i="20"/>
  <c r="Y52" i="20"/>
  <c r="AN52" i="20"/>
  <c r="Y53" i="20"/>
  <c r="AN53" i="20"/>
  <c r="Y60" i="20"/>
  <c r="AN60" i="20"/>
  <c r="Y23" i="20"/>
  <c r="AN23" i="20"/>
  <c r="Y31" i="20"/>
  <c r="AN31" i="20"/>
  <c r="Y33" i="20"/>
  <c r="AN33" i="20"/>
  <c r="Y34" i="20"/>
  <c r="AN34" i="20"/>
  <c r="Y35" i="20"/>
  <c r="AN35" i="20"/>
  <c r="Y36" i="20"/>
  <c r="AN36" i="20"/>
  <c r="Y37" i="20"/>
  <c r="AN37" i="20"/>
  <c r="Y38" i="20"/>
  <c r="AN38" i="20"/>
  <c r="Y39" i="20"/>
  <c r="AN39" i="20"/>
  <c r="Y21" i="20"/>
  <c r="AN21" i="20"/>
  <c r="Y59" i="20"/>
  <c r="AN59" i="20"/>
  <c r="Y24" i="20"/>
  <c r="AN24" i="20"/>
  <c r="Y22" i="20"/>
  <c r="AN22" i="20"/>
  <c r="AD194" i="19"/>
  <c r="AG194" i="19"/>
  <c r="AD196" i="19"/>
  <c r="AG196" i="19"/>
  <c r="AD201" i="19"/>
  <c r="AG201" i="19"/>
  <c r="AD169" i="19"/>
  <c r="AG169" i="19"/>
  <c r="AD167" i="19"/>
  <c r="AG167" i="19"/>
  <c r="AD171" i="19"/>
  <c r="AG171" i="19"/>
  <c r="AD51" i="19"/>
  <c r="AG51" i="19"/>
  <c r="AD55" i="19"/>
  <c r="AG55" i="19"/>
  <c r="AD57" i="19"/>
  <c r="AG57" i="19"/>
  <c r="AD64" i="19"/>
  <c r="AG64" i="19"/>
  <c r="AD62" i="19"/>
  <c r="AG62" i="19"/>
  <c r="AD60" i="19"/>
  <c r="AG60" i="19"/>
  <c r="AD66" i="19"/>
  <c r="AG66" i="19"/>
  <c r="AD68" i="19"/>
  <c r="AG68" i="19"/>
  <c r="AD71" i="19"/>
  <c r="AG71" i="19"/>
  <c r="AD69" i="19"/>
  <c r="AG69" i="19"/>
  <c r="AD76" i="19"/>
  <c r="AG76" i="19"/>
  <c r="AD74" i="19"/>
  <c r="AG74" i="19"/>
  <c r="AD72" i="19"/>
  <c r="AG72" i="19"/>
  <c r="AD87" i="19"/>
  <c r="AG87" i="19"/>
  <c r="AD85" i="19"/>
  <c r="AG85" i="19"/>
  <c r="AD83" i="19"/>
  <c r="AG83" i="19"/>
  <c r="AD81" i="19"/>
  <c r="AG81" i="19"/>
  <c r="AD79" i="19"/>
  <c r="AG79" i="19"/>
  <c r="AD101" i="19"/>
  <c r="AG101" i="19"/>
  <c r="AD99" i="19"/>
  <c r="AG99" i="19"/>
  <c r="AD97" i="19"/>
  <c r="AG97" i="19"/>
  <c r="AD95" i="19"/>
  <c r="AG95" i="19"/>
  <c r="AD93" i="19"/>
  <c r="AG93" i="19"/>
  <c r="AD91" i="19"/>
  <c r="AG91" i="19"/>
  <c r="AD89" i="19"/>
  <c r="AG89" i="19"/>
  <c r="AD131" i="19"/>
  <c r="AG131" i="19"/>
  <c r="AD129" i="19"/>
  <c r="AG129" i="19"/>
  <c r="AD127" i="19"/>
  <c r="AG127" i="19"/>
  <c r="AD125" i="19"/>
  <c r="AG125" i="19"/>
  <c r="AD123" i="19"/>
  <c r="AG123" i="19"/>
  <c r="AD121" i="19"/>
  <c r="AG121" i="19"/>
  <c r="AD119" i="19"/>
  <c r="AG119" i="19"/>
  <c r="AD117" i="19"/>
  <c r="AG117" i="19"/>
  <c r="AD115" i="19"/>
  <c r="AG115" i="19"/>
  <c r="AD113" i="19"/>
  <c r="AG113" i="19"/>
  <c r="AD111" i="19"/>
  <c r="AG111" i="19"/>
  <c r="AD109" i="19"/>
  <c r="AG109" i="19"/>
  <c r="AD107" i="19"/>
  <c r="AG107" i="19"/>
  <c r="AD105" i="19"/>
  <c r="AG105" i="19"/>
  <c r="AD103" i="19"/>
  <c r="AG103" i="19"/>
  <c r="AD179" i="19"/>
  <c r="AG179" i="19"/>
  <c r="AD181" i="19"/>
  <c r="AG181" i="19"/>
  <c r="AD185" i="19"/>
  <c r="AG185" i="19"/>
  <c r="AD187" i="19"/>
  <c r="AG187" i="19"/>
  <c r="AD190" i="19"/>
  <c r="AG190" i="19"/>
  <c r="AD231" i="19"/>
  <c r="AG231" i="19"/>
  <c r="AD229" i="19"/>
  <c r="AG229" i="19"/>
  <c r="AD237" i="19"/>
  <c r="AG237" i="19"/>
  <c r="AD235" i="19"/>
  <c r="AG235" i="19"/>
  <c r="AD233" i="19"/>
  <c r="AG233" i="19"/>
  <c r="AD243" i="19"/>
  <c r="AG243" i="19"/>
  <c r="AD241" i="19"/>
  <c r="AG241" i="19"/>
  <c r="AD239" i="19"/>
  <c r="AG239" i="19"/>
  <c r="AD249" i="19"/>
  <c r="AG249" i="19"/>
  <c r="AD247" i="19"/>
  <c r="AG247" i="19"/>
  <c r="AD245" i="19"/>
  <c r="AG245" i="19"/>
  <c r="AD254" i="19"/>
  <c r="AG254" i="19"/>
  <c r="AD252" i="19"/>
  <c r="AG252" i="19"/>
  <c r="AD250" i="19"/>
  <c r="AG250" i="19"/>
  <c r="AD259" i="19"/>
  <c r="AG259" i="19"/>
  <c r="AD257" i="19"/>
  <c r="AG257" i="19"/>
  <c r="AD255" i="19"/>
  <c r="AG255" i="19"/>
  <c r="AD270" i="19"/>
  <c r="AG270" i="19"/>
  <c r="AD266" i="19"/>
  <c r="AG266" i="19"/>
  <c r="AD264" i="19"/>
  <c r="AG264" i="19"/>
  <c r="AD262" i="19"/>
  <c r="AG262" i="19"/>
  <c r="AD329" i="19"/>
  <c r="AG329" i="19"/>
  <c r="AD326" i="19"/>
  <c r="AG326" i="19"/>
  <c r="AD324" i="19"/>
  <c r="AG324" i="19"/>
  <c r="AD322" i="19"/>
  <c r="AG322" i="19"/>
  <c r="AD320" i="19"/>
  <c r="AG320" i="19"/>
  <c r="AD318" i="19"/>
  <c r="AG318" i="19"/>
  <c r="AD316" i="19"/>
  <c r="AG316" i="19"/>
  <c r="AD314" i="19"/>
  <c r="AG314" i="19"/>
  <c r="AD312" i="19"/>
  <c r="AG312" i="19"/>
  <c r="AD310" i="19"/>
  <c r="AG310" i="19"/>
  <c r="AD308" i="19"/>
  <c r="AG308" i="19"/>
  <c r="AD306" i="19"/>
  <c r="AG306" i="19"/>
  <c r="AD304" i="19"/>
  <c r="AG304" i="19"/>
  <c r="AD302" i="19"/>
  <c r="AG302" i="19"/>
  <c r="AD300" i="19"/>
  <c r="AG300" i="19"/>
  <c r="AD298" i="19"/>
  <c r="AG298" i="19"/>
  <c r="AD296" i="19"/>
  <c r="AG296" i="19"/>
  <c r="AD294" i="19"/>
  <c r="AG294" i="19"/>
  <c r="AD292" i="19"/>
  <c r="AG292" i="19"/>
  <c r="AD290" i="19"/>
  <c r="AG290" i="19"/>
  <c r="AD288" i="19"/>
  <c r="AG288" i="19"/>
  <c r="AD286" i="19"/>
  <c r="AG286" i="19"/>
  <c r="AD284" i="19"/>
  <c r="AG284" i="19"/>
  <c r="AD282" i="19"/>
  <c r="AG282" i="19"/>
  <c r="AD280" i="19"/>
  <c r="AG280" i="19"/>
  <c r="AD278" i="19"/>
  <c r="AG278" i="19"/>
  <c r="AD276" i="19"/>
  <c r="AG276" i="19"/>
  <c r="AD274" i="19"/>
  <c r="AG274" i="19"/>
  <c r="AD272" i="19"/>
  <c r="AG272" i="19"/>
  <c r="AD335" i="19"/>
  <c r="AG335" i="19"/>
  <c r="AD340" i="19"/>
  <c r="AG340" i="19"/>
  <c r="AD342" i="19"/>
  <c r="AG342" i="19"/>
  <c r="AD344" i="19"/>
  <c r="AG344" i="19"/>
  <c r="AD346" i="19"/>
  <c r="AG346" i="19"/>
  <c r="AD348" i="19"/>
  <c r="AG348" i="19"/>
  <c r="AD358" i="19"/>
  <c r="AG358" i="19"/>
  <c r="AD356" i="19"/>
  <c r="AG356" i="19"/>
  <c r="AD353" i="19"/>
  <c r="AG353" i="19"/>
  <c r="AD351" i="19"/>
  <c r="AG351" i="19"/>
  <c r="AD349" i="19"/>
  <c r="AG349" i="19"/>
  <c r="AD367" i="19"/>
  <c r="AG367" i="19"/>
  <c r="AD365" i="19"/>
  <c r="AG365" i="19"/>
  <c r="AD363" i="19"/>
  <c r="AG363" i="19"/>
  <c r="AD361" i="19"/>
  <c r="AG361" i="19"/>
  <c r="AD402" i="19"/>
  <c r="AG402" i="19"/>
  <c r="AD404" i="19"/>
  <c r="AG404" i="19"/>
  <c r="AD407" i="19"/>
  <c r="AG407" i="19"/>
  <c r="AD409" i="19"/>
  <c r="AG409" i="19"/>
  <c r="AD411" i="19"/>
  <c r="AG411" i="19"/>
  <c r="AD422" i="19"/>
  <c r="AG422" i="19"/>
  <c r="AD426" i="19"/>
  <c r="AG426" i="19"/>
  <c r="AD428" i="19"/>
  <c r="AG428" i="19"/>
  <c r="AD430" i="19"/>
  <c r="AG430" i="19"/>
  <c r="AD451" i="19"/>
  <c r="AG451" i="19"/>
  <c r="AD453" i="19"/>
  <c r="AG453" i="19"/>
  <c r="AD455" i="19"/>
  <c r="AG455" i="19"/>
  <c r="AD457" i="19"/>
  <c r="AG457" i="19"/>
  <c r="AD459" i="19"/>
  <c r="AG459" i="19"/>
  <c r="AD461" i="19"/>
  <c r="AG461" i="19"/>
  <c r="AD469" i="19"/>
  <c r="AG469" i="19"/>
  <c r="AD471" i="19"/>
  <c r="AG471" i="19"/>
  <c r="AD477" i="19"/>
  <c r="AG477" i="19"/>
  <c r="AD479" i="19"/>
  <c r="AG479" i="19"/>
  <c r="AD481" i="19"/>
  <c r="AG481" i="19"/>
  <c r="AD483" i="19"/>
  <c r="AG483" i="19"/>
  <c r="AD486" i="19"/>
  <c r="AG486" i="19"/>
  <c r="AD488" i="19"/>
  <c r="AG488" i="19"/>
  <c r="AD490" i="19"/>
  <c r="AG490" i="19"/>
  <c r="AE498" i="19"/>
  <c r="AG498" i="19" s="1"/>
  <c r="AG499" i="19"/>
  <c r="AD506" i="19"/>
  <c r="AG506" i="19"/>
  <c r="AD510" i="19"/>
  <c r="AG510" i="19"/>
  <c r="AD512" i="19"/>
  <c r="AG512" i="19"/>
  <c r="AD515" i="19"/>
  <c r="AG515" i="19"/>
  <c r="AD517" i="19"/>
  <c r="AG517" i="19"/>
  <c r="AD527" i="19"/>
  <c r="AG527" i="19"/>
  <c r="AD529" i="19"/>
  <c r="AG529" i="19"/>
  <c r="AD531" i="19"/>
  <c r="AG531" i="19"/>
  <c r="AD533" i="19"/>
  <c r="AG533" i="19"/>
  <c r="AD535" i="19"/>
  <c r="AG535" i="19"/>
  <c r="AD549" i="19"/>
  <c r="AG549" i="19"/>
  <c r="AD551" i="19"/>
  <c r="AG551" i="19"/>
  <c r="AD555" i="19"/>
  <c r="AG555" i="19"/>
  <c r="AD558" i="19"/>
  <c r="AG558" i="19"/>
  <c r="AD560" i="19"/>
  <c r="AG560" i="19"/>
  <c r="AD570" i="19"/>
  <c r="AG570" i="19"/>
  <c r="AD572" i="19"/>
  <c r="AG572" i="19"/>
  <c r="AD577" i="19"/>
  <c r="AG577" i="19"/>
  <c r="AD579" i="19"/>
  <c r="AG579" i="19"/>
  <c r="AD581" i="19"/>
  <c r="AG581" i="19"/>
  <c r="AD583" i="19"/>
  <c r="AG583" i="19"/>
  <c r="AD585" i="19"/>
  <c r="AG585" i="19"/>
  <c r="AD587" i="19"/>
  <c r="AG587" i="19"/>
  <c r="AD589" i="19"/>
  <c r="AG589" i="19"/>
  <c r="AD591" i="19"/>
  <c r="AG591" i="19"/>
  <c r="AD613" i="19"/>
  <c r="AG613" i="19"/>
  <c r="AD615" i="19"/>
  <c r="AG615" i="19"/>
  <c r="AD617" i="19"/>
  <c r="AG617" i="19"/>
  <c r="AD619" i="19"/>
  <c r="AG619" i="19"/>
  <c r="AD621" i="19"/>
  <c r="AG621" i="19"/>
  <c r="AD648" i="19"/>
  <c r="AG648" i="19"/>
  <c r="AD650" i="19"/>
  <c r="AG650" i="19"/>
  <c r="AD652" i="19"/>
  <c r="AG652" i="19"/>
  <c r="AD656" i="19"/>
  <c r="AG656" i="19"/>
  <c r="AD658" i="19"/>
  <c r="AG658" i="19"/>
  <c r="AD660" i="19"/>
  <c r="AG660" i="19"/>
  <c r="AD662" i="19"/>
  <c r="AG662" i="19"/>
  <c r="AD664" i="19"/>
  <c r="AG664" i="19"/>
  <c r="Y210" i="19"/>
  <c r="AI210" i="19" s="1"/>
  <c r="X209" i="19"/>
  <c r="I47" i="19"/>
  <c r="I46" i="19" s="1"/>
  <c r="T184" i="19"/>
  <c r="T183" i="19" s="1"/>
  <c r="AI208" i="19"/>
  <c r="AD211" i="19"/>
  <c r="AG211" i="19"/>
  <c r="AD331" i="19"/>
  <c r="AG331" i="19"/>
  <c r="AD405" i="19"/>
  <c r="AG405" i="19"/>
  <c r="K423" i="19"/>
  <c r="K416" i="19" s="1"/>
  <c r="T424" i="19"/>
  <c r="T423" i="19" s="1"/>
  <c r="T416" i="19" s="1"/>
  <c r="H424" i="19"/>
  <c r="R424" i="19"/>
  <c r="R423" i="19" s="1"/>
  <c r="R416" i="19" s="1"/>
  <c r="AI441" i="19"/>
  <c r="AI443" i="19"/>
  <c r="K500" i="19"/>
  <c r="M500" i="19"/>
  <c r="O514" i="19"/>
  <c r="O508" i="19" s="1"/>
  <c r="O507" i="19" s="1"/>
  <c r="Q552" i="19"/>
  <c r="Q544" i="19" s="1"/>
  <c r="AD561" i="19"/>
  <c r="AG561" i="19"/>
  <c r="U653" i="19"/>
  <c r="U643" i="19" s="1"/>
  <c r="AD412" i="19"/>
  <c r="AG412" i="19"/>
  <c r="AD195" i="19"/>
  <c r="AG195" i="19"/>
  <c r="AD199" i="19"/>
  <c r="AG199" i="19"/>
  <c r="AD203" i="19"/>
  <c r="AG203" i="19"/>
  <c r="AD170" i="19"/>
  <c r="AG170" i="19"/>
  <c r="AD168" i="19"/>
  <c r="AG168" i="19"/>
  <c r="AD172" i="19"/>
  <c r="AG172" i="19"/>
  <c r="AD50" i="19"/>
  <c r="AG50" i="19"/>
  <c r="AD54" i="19"/>
  <c r="AG54" i="19"/>
  <c r="AD56" i="19"/>
  <c r="AG56" i="19"/>
  <c r="AD58" i="19"/>
  <c r="AG58" i="19"/>
  <c r="AD63" i="19"/>
  <c r="AG63" i="19"/>
  <c r="AD61" i="19"/>
  <c r="AG61" i="19"/>
  <c r="AD59" i="19"/>
  <c r="AG59" i="19"/>
  <c r="AD65" i="19"/>
  <c r="AG65" i="19"/>
  <c r="AD67" i="19"/>
  <c r="AG67" i="19"/>
  <c r="AD70" i="19"/>
  <c r="AG70" i="19"/>
  <c r="AD77" i="19"/>
  <c r="AG77" i="19"/>
  <c r="AD75" i="19"/>
  <c r="AG75" i="19"/>
  <c r="AD73" i="19"/>
  <c r="AG73" i="19"/>
  <c r="AD88" i="19"/>
  <c r="AG88" i="19"/>
  <c r="AD86" i="19"/>
  <c r="AG86" i="19"/>
  <c r="AD84" i="19"/>
  <c r="AG84" i="19"/>
  <c r="AD82" i="19"/>
  <c r="AG82" i="19"/>
  <c r="AD80" i="19"/>
  <c r="AG80" i="19"/>
  <c r="AD78" i="19"/>
  <c r="AG78" i="19"/>
  <c r="AD100" i="19"/>
  <c r="AG100" i="19"/>
  <c r="AD98" i="19"/>
  <c r="AG98" i="19"/>
  <c r="AD96" i="19"/>
  <c r="AG96" i="19"/>
  <c r="AD94" i="19"/>
  <c r="AG94" i="19"/>
  <c r="AD92" i="19"/>
  <c r="AG92" i="19"/>
  <c r="AD90" i="19"/>
  <c r="AG90" i="19"/>
  <c r="AD132" i="19"/>
  <c r="AG132" i="19"/>
  <c r="AD130" i="19"/>
  <c r="AG130" i="19"/>
  <c r="AD128" i="19"/>
  <c r="AG128" i="19"/>
  <c r="AD126" i="19"/>
  <c r="AG126" i="19"/>
  <c r="AD124" i="19"/>
  <c r="AG124" i="19"/>
  <c r="AD122" i="19"/>
  <c r="AG122" i="19"/>
  <c r="AD120" i="19"/>
  <c r="AG120" i="19"/>
  <c r="AD118" i="19"/>
  <c r="AG118" i="19"/>
  <c r="AD116" i="19"/>
  <c r="AG116" i="19"/>
  <c r="AD114" i="19"/>
  <c r="AG114" i="19"/>
  <c r="AD112" i="19"/>
  <c r="AG112" i="19"/>
  <c r="AD110" i="19"/>
  <c r="AG110" i="19"/>
  <c r="AD108" i="19"/>
  <c r="AG108" i="19"/>
  <c r="AD106" i="19"/>
  <c r="AG106" i="19"/>
  <c r="AD104" i="19"/>
  <c r="AG104" i="19"/>
  <c r="AD102" i="19"/>
  <c r="AG102" i="19"/>
  <c r="AD182" i="19"/>
  <c r="AG182" i="19"/>
  <c r="AD180" i="19"/>
  <c r="AG180" i="19"/>
  <c r="AD186" i="19"/>
  <c r="AG186" i="19"/>
  <c r="AD189" i="19"/>
  <c r="AG189" i="19"/>
  <c r="AD227" i="19"/>
  <c r="AG227" i="19"/>
  <c r="AD230" i="19"/>
  <c r="AG230" i="19"/>
  <c r="AD228" i="19"/>
  <c r="AG228" i="19"/>
  <c r="AD236" i="19"/>
  <c r="AG236" i="19"/>
  <c r="AD234" i="19"/>
  <c r="AG234" i="19"/>
  <c r="AD232" i="19"/>
  <c r="AG232" i="19"/>
  <c r="AD242" i="19"/>
  <c r="AG242" i="19"/>
  <c r="AD240" i="19"/>
  <c r="AG240" i="19"/>
  <c r="AD238" i="19"/>
  <c r="AG238" i="19"/>
  <c r="AD248" i="19"/>
  <c r="AG248" i="19"/>
  <c r="AD246" i="19"/>
  <c r="AG246" i="19"/>
  <c r="AD244" i="19"/>
  <c r="AG244" i="19"/>
  <c r="AD253" i="19"/>
  <c r="AG253" i="19"/>
  <c r="AD251" i="19"/>
  <c r="AG251" i="19"/>
  <c r="AD260" i="19"/>
  <c r="AG260" i="19"/>
  <c r="AD258" i="19"/>
  <c r="AG258" i="19"/>
  <c r="AD256" i="19"/>
  <c r="AG256" i="19"/>
  <c r="AD271" i="19"/>
  <c r="AG271" i="19"/>
  <c r="AD269" i="19"/>
  <c r="AG269" i="19"/>
  <c r="AD267" i="19"/>
  <c r="AG267" i="19"/>
  <c r="AD265" i="19"/>
  <c r="AG265" i="19"/>
  <c r="AD261" i="19"/>
  <c r="AG261" i="19"/>
  <c r="AD327" i="19"/>
  <c r="AG327" i="19"/>
  <c r="AD325" i="19"/>
  <c r="AG325" i="19"/>
  <c r="AD323" i="19"/>
  <c r="AG323" i="19"/>
  <c r="AD321" i="19"/>
  <c r="AG321" i="19"/>
  <c r="AD319" i="19"/>
  <c r="AG319" i="19"/>
  <c r="AD317" i="19"/>
  <c r="AG317" i="19"/>
  <c r="AD315" i="19"/>
  <c r="AG315" i="19"/>
  <c r="AD313" i="19"/>
  <c r="AG313" i="19"/>
  <c r="AD311" i="19"/>
  <c r="AG311" i="19"/>
  <c r="AD309" i="19"/>
  <c r="AG309" i="19"/>
  <c r="AD307" i="19"/>
  <c r="AG307" i="19"/>
  <c r="AD305" i="19"/>
  <c r="AG305" i="19"/>
  <c r="AD303" i="19"/>
  <c r="AG303" i="19"/>
  <c r="AD301" i="19"/>
  <c r="AG301" i="19"/>
  <c r="AD299" i="19"/>
  <c r="AG299" i="19"/>
  <c r="AD297" i="19"/>
  <c r="AG297" i="19"/>
  <c r="AD295" i="19"/>
  <c r="AG295" i="19"/>
  <c r="AD293" i="19"/>
  <c r="AG293" i="19"/>
  <c r="AD291" i="19"/>
  <c r="AG291" i="19"/>
  <c r="AD289" i="19"/>
  <c r="AG289" i="19"/>
  <c r="AD287" i="19"/>
  <c r="AG287" i="19"/>
  <c r="AD285" i="19"/>
  <c r="AG285" i="19"/>
  <c r="AD283" i="19"/>
  <c r="AG283" i="19"/>
  <c r="AD281" i="19"/>
  <c r="AG281" i="19"/>
  <c r="AD279" i="19"/>
  <c r="AG279" i="19"/>
  <c r="AD277" i="19"/>
  <c r="AG277" i="19"/>
  <c r="AD275" i="19"/>
  <c r="AG275" i="19"/>
  <c r="AD273" i="19"/>
  <c r="AG273" i="19"/>
  <c r="AD336" i="19"/>
  <c r="AG336" i="19"/>
  <c r="AD341" i="19"/>
  <c r="AG341" i="19"/>
  <c r="AD343" i="19"/>
  <c r="AG343" i="19"/>
  <c r="AD345" i="19"/>
  <c r="AG345" i="19"/>
  <c r="AD347" i="19"/>
  <c r="AG347" i="19"/>
  <c r="AD359" i="19"/>
  <c r="AG359" i="19"/>
  <c r="AD357" i="19"/>
  <c r="AG357" i="19"/>
  <c r="AD355" i="19"/>
  <c r="AG355" i="19"/>
  <c r="AD352" i="19"/>
  <c r="AG352" i="19"/>
  <c r="AD350" i="19"/>
  <c r="AG350" i="19"/>
  <c r="AD368" i="19"/>
  <c r="AG368" i="19"/>
  <c r="AD366" i="19"/>
  <c r="AG366" i="19"/>
  <c r="AD364" i="19"/>
  <c r="AG364" i="19"/>
  <c r="AD362" i="19"/>
  <c r="AG362" i="19"/>
  <c r="AD401" i="19"/>
  <c r="AG401" i="19"/>
  <c r="AD403" i="19"/>
  <c r="AG403" i="19"/>
  <c r="AD406" i="19"/>
  <c r="AG406" i="19"/>
  <c r="AD408" i="19"/>
  <c r="AG408" i="19"/>
  <c r="AD410" i="19"/>
  <c r="AG410" i="19"/>
  <c r="AD421" i="19"/>
  <c r="AG421" i="19"/>
  <c r="AE418" i="19"/>
  <c r="AD425" i="19"/>
  <c r="AG425" i="19"/>
  <c r="AD427" i="19"/>
  <c r="AG427" i="19"/>
  <c r="AD429" i="19"/>
  <c r="AG429" i="19"/>
  <c r="AD431" i="19"/>
  <c r="AG431" i="19"/>
  <c r="AD450" i="19"/>
  <c r="AG450" i="19"/>
  <c r="AD452" i="19"/>
  <c r="AG452" i="19"/>
  <c r="AD454" i="19"/>
  <c r="AG454" i="19"/>
  <c r="AD456" i="19"/>
  <c r="AG456" i="19"/>
  <c r="AD458" i="19"/>
  <c r="AG458" i="19"/>
  <c r="AD460" i="19"/>
  <c r="AG460" i="19"/>
  <c r="AE462" i="19"/>
  <c r="AG462" i="19" s="1"/>
  <c r="AG463" i="19"/>
  <c r="AD470" i="19"/>
  <c r="AG470" i="19"/>
  <c r="AD474" i="19"/>
  <c r="AG474" i="19"/>
  <c r="AD476" i="19"/>
  <c r="AG476" i="19"/>
  <c r="AD478" i="19"/>
  <c r="AG478" i="19"/>
  <c r="AD480" i="19"/>
  <c r="AG480" i="19"/>
  <c r="AD482" i="19"/>
  <c r="AG482" i="19"/>
  <c r="AD485" i="19"/>
  <c r="AG485" i="19"/>
  <c r="AD487" i="19"/>
  <c r="AG487" i="19"/>
  <c r="AD489" i="19"/>
  <c r="AG489" i="19"/>
  <c r="AD495" i="19"/>
  <c r="AG495" i="19"/>
  <c r="AD505" i="19"/>
  <c r="AG505" i="19"/>
  <c r="AD509" i="19"/>
  <c r="AG509" i="19"/>
  <c r="AD511" i="19"/>
  <c r="AG511" i="19"/>
  <c r="AD513" i="19"/>
  <c r="AG513" i="19"/>
  <c r="AD526" i="19"/>
  <c r="AG526" i="19"/>
  <c r="AD528" i="19"/>
  <c r="AG528" i="19"/>
  <c r="AD530" i="19"/>
  <c r="AG530" i="19"/>
  <c r="AD532" i="19"/>
  <c r="AG532" i="19"/>
  <c r="AD534" i="19"/>
  <c r="AG534" i="19"/>
  <c r="AD542" i="19"/>
  <c r="AG542" i="19"/>
  <c r="AD550" i="19"/>
  <c r="AG550" i="19"/>
  <c r="AD554" i="19"/>
  <c r="AG554" i="19"/>
  <c r="AD556" i="19"/>
  <c r="AG556" i="19"/>
  <c r="AD559" i="19"/>
  <c r="AG559" i="19"/>
  <c r="AD563" i="19"/>
  <c r="AG563" i="19"/>
  <c r="AD571" i="19"/>
  <c r="AG571" i="19"/>
  <c r="AD578" i="19"/>
  <c r="AG578" i="19"/>
  <c r="AD580" i="19"/>
  <c r="AG580" i="19"/>
  <c r="AD582" i="19"/>
  <c r="AG582" i="19"/>
  <c r="AD584" i="19"/>
  <c r="AG584" i="19"/>
  <c r="AD586" i="19"/>
  <c r="AG586" i="19"/>
  <c r="AD588" i="19"/>
  <c r="AG588" i="19"/>
  <c r="AD590" i="19"/>
  <c r="AG590" i="19"/>
  <c r="AD607" i="19"/>
  <c r="AG607" i="19"/>
  <c r="AD612" i="19"/>
  <c r="AG612" i="19"/>
  <c r="AD614" i="19"/>
  <c r="AG614" i="19"/>
  <c r="AD616" i="19"/>
  <c r="AG616" i="19"/>
  <c r="AD618" i="19"/>
  <c r="AG618" i="19"/>
  <c r="AD620" i="19"/>
  <c r="AG620" i="19"/>
  <c r="AD622" i="19"/>
  <c r="AG622" i="19"/>
  <c r="AD649" i="19"/>
  <c r="AG649" i="19"/>
  <c r="AD651" i="19"/>
  <c r="AG651" i="19"/>
  <c r="AD655" i="19"/>
  <c r="AG655" i="19"/>
  <c r="AD657" i="19"/>
  <c r="AG657" i="19"/>
  <c r="AD659" i="19"/>
  <c r="AG659" i="19"/>
  <c r="AD661" i="19"/>
  <c r="AG661" i="19"/>
  <c r="AD663" i="19"/>
  <c r="AG663" i="19"/>
  <c r="AF82" i="7"/>
  <c r="AF86" i="7"/>
  <c r="AF157" i="7"/>
  <c r="AF191" i="7"/>
  <c r="AF229" i="7"/>
  <c r="AF254" i="7"/>
  <c r="AF268" i="7"/>
  <c r="AF315" i="7"/>
  <c r="AF360" i="7"/>
  <c r="AF435" i="7"/>
  <c r="AF85" i="7"/>
  <c r="AF91" i="7"/>
  <c r="AF158" i="7"/>
  <c r="AF192" i="7"/>
  <c r="AF230" i="7"/>
  <c r="AF255" i="7"/>
  <c r="AF269" i="7"/>
  <c r="AF316" i="7"/>
  <c r="AF361" i="7"/>
  <c r="AF92" i="7"/>
  <c r="AI134" i="19"/>
  <c r="AI155" i="19"/>
  <c r="AI161" i="19"/>
  <c r="X166" i="19"/>
  <c r="H448" i="19"/>
  <c r="H447" i="19" s="1"/>
  <c r="H446" i="19" s="1"/>
  <c r="AE678" i="19"/>
  <c r="R333" i="19"/>
  <c r="H367" i="19"/>
  <c r="AI439" i="19"/>
  <c r="X441" i="19"/>
  <c r="AI543" i="19"/>
  <c r="N59" i="20"/>
  <c r="N58" i="20" s="1"/>
  <c r="G29" i="20"/>
  <c r="G16" i="20" s="1"/>
  <c r="Z57" i="20"/>
  <c r="Z47" i="20"/>
  <c r="AO40" i="20" s="1"/>
  <c r="AO41" i="20" s="1"/>
  <c r="AO42" i="20" s="1"/>
  <c r="Z58" i="20"/>
  <c r="AN58" i="20" s="1"/>
  <c r="AE83" i="7"/>
  <c r="AE166" i="7"/>
  <c r="AE154" i="7" s="1"/>
  <c r="AD272" i="7"/>
  <c r="AD265" i="7" s="1"/>
  <c r="AD367" i="7"/>
  <c r="AD357" i="7" s="1"/>
  <c r="AD95" i="7"/>
  <c r="AE321" i="7"/>
  <c r="AE312" i="7" s="1"/>
  <c r="AE95" i="7"/>
  <c r="AE79" i="7" s="1"/>
  <c r="AE197" i="7"/>
  <c r="AE188" i="7" s="1"/>
  <c r="AE272" i="7"/>
  <c r="AE265" i="7" s="1"/>
  <c r="AE367" i="7"/>
  <c r="AE357" i="7" s="1"/>
  <c r="AD166" i="7"/>
  <c r="AD154" i="7" s="1"/>
  <c r="AD321" i="7"/>
  <c r="AD312" i="7" s="1"/>
  <c r="AD197" i="7"/>
  <c r="AD188" i="7" s="1"/>
  <c r="AI326" i="19"/>
  <c r="AD263" i="19"/>
  <c r="AI227" i="19"/>
  <c r="AD268" i="19"/>
  <c r="AD516" i="19"/>
  <c r="AD576" i="19"/>
  <c r="X381" i="19"/>
  <c r="AH443" i="19"/>
  <c r="X443" i="19"/>
  <c r="AH498" i="19"/>
  <c r="AH540" i="19"/>
  <c r="X540" i="19"/>
  <c r="AH604" i="19"/>
  <c r="AI640" i="19"/>
  <c r="AI663" i="19"/>
  <c r="X663" i="19"/>
  <c r="AI665" i="19"/>
  <c r="AE377" i="19"/>
  <c r="M47" i="19"/>
  <c r="M46" i="19" s="1"/>
  <c r="Q47" i="19"/>
  <c r="Q46" i="19" s="1"/>
  <c r="O47" i="19"/>
  <c r="O46" i="19" s="1"/>
  <c r="J52" i="19"/>
  <c r="J45" i="19" s="1"/>
  <c r="L52" i="19"/>
  <c r="L45" i="19" s="1"/>
  <c r="AI198" i="19"/>
  <c r="AH198" i="19"/>
  <c r="U225" i="19"/>
  <c r="U224" i="19" s="1"/>
  <c r="AI331" i="19"/>
  <c r="AH370" i="19"/>
  <c r="AE385" i="19"/>
  <c r="AH435" i="19"/>
  <c r="O466" i="19"/>
  <c r="O465" i="19" s="1"/>
  <c r="O464" i="19" s="1"/>
  <c r="AI540" i="19"/>
  <c r="AI598" i="19"/>
  <c r="W610" i="19"/>
  <c r="W602" i="19" s="1"/>
  <c r="W565" i="19" s="1"/>
  <c r="AE624" i="19"/>
  <c r="AE424" i="19"/>
  <c r="AG424" i="19" s="1"/>
  <c r="AE502" i="19"/>
  <c r="AE546" i="19"/>
  <c r="AE645" i="19"/>
  <c r="AG645" i="19" s="1"/>
  <c r="AE392" i="19"/>
  <c r="AE448" i="19"/>
  <c r="AD449" i="19"/>
  <c r="AD475" i="19"/>
  <c r="P400" i="19"/>
  <c r="T400" i="19"/>
  <c r="P466" i="19"/>
  <c r="P465" i="19" s="1"/>
  <c r="AD463" i="19"/>
  <c r="AD462" i="19" s="1"/>
  <c r="AE514" i="19"/>
  <c r="AG514" i="19" s="1"/>
  <c r="AI192" i="19"/>
  <c r="AH192" i="19"/>
  <c r="AE192" i="19"/>
  <c r="AE333" i="19"/>
  <c r="AG333" i="19" s="1"/>
  <c r="AD334" i="19"/>
  <c r="AI144" i="19"/>
  <c r="AI146" i="19"/>
  <c r="AI156" i="19"/>
  <c r="AI136" i="19"/>
  <c r="AI137" i="19"/>
  <c r="X144" i="19"/>
  <c r="X146" i="19"/>
  <c r="X148" i="19"/>
  <c r="AI150" i="19"/>
  <c r="AI152" i="19"/>
  <c r="AI154" i="19"/>
  <c r="AH154" i="19"/>
  <c r="X155" i="19"/>
  <c r="X156" i="19"/>
  <c r="AE136" i="19"/>
  <c r="AE23" i="19"/>
  <c r="AH163" i="19"/>
  <c r="X163" i="19"/>
  <c r="Y38" i="19"/>
  <c r="X140" i="19"/>
  <c r="AI142" i="19"/>
  <c r="AI145" i="19"/>
  <c r="X152" i="19"/>
  <c r="AH153" i="19"/>
  <c r="AI163" i="19"/>
  <c r="AE142" i="19"/>
  <c r="AI153" i="19"/>
  <c r="AI158" i="19"/>
  <c r="AI160" i="19"/>
  <c r="AE164" i="19"/>
  <c r="AE154" i="19"/>
  <c r="AD608" i="19"/>
  <c r="AE466" i="19"/>
  <c r="AE176" i="19"/>
  <c r="AE53" i="19"/>
  <c r="AG53" i="19" s="1"/>
  <c r="AE47" i="19"/>
  <c r="AE400" i="19"/>
  <c r="AD81" i="7"/>
  <c r="AD80" i="7" s="1"/>
  <c r="W29" i="20"/>
  <c r="W16" i="20" s="1"/>
  <c r="X29" i="20"/>
  <c r="Z18" i="20"/>
  <c r="N18" i="20"/>
  <c r="N17" i="20" s="1"/>
  <c r="P29" i="20"/>
  <c r="P16" i="20" s="1"/>
  <c r="AD251" i="7"/>
  <c r="AE251" i="7"/>
  <c r="AD226" i="7"/>
  <c r="AE226" i="7"/>
  <c r="V39" i="19"/>
  <c r="Y18" i="19"/>
  <c r="X18" i="19" s="1"/>
  <c r="AE18" i="19" s="1"/>
  <c r="Y20" i="19"/>
  <c r="X20" i="19" s="1"/>
  <c r="Y26" i="19"/>
  <c r="X26" i="19" s="1"/>
  <c r="U17" i="19"/>
  <c r="Y32" i="19"/>
  <c r="K47" i="19"/>
  <c r="K46" i="19" s="1"/>
  <c r="X134" i="19"/>
  <c r="AI138" i="19"/>
  <c r="AH150" i="19"/>
  <c r="X150" i="19"/>
  <c r="X158" i="19"/>
  <c r="AH159" i="19"/>
  <c r="X160" i="19"/>
  <c r="X193" i="19"/>
  <c r="AH193" i="19"/>
  <c r="AH202" i="19"/>
  <c r="X204" i="19"/>
  <c r="V184" i="19"/>
  <c r="AH215" i="19"/>
  <c r="AI218" i="19"/>
  <c r="X218" i="19"/>
  <c r="AE218" i="19" s="1"/>
  <c r="AH221" i="19"/>
  <c r="X328" i="19"/>
  <c r="AI393" i="19"/>
  <c r="AI521" i="19"/>
  <c r="AH536" i="19"/>
  <c r="P553" i="19"/>
  <c r="P552" i="19" s="1"/>
  <c r="P544" i="19" s="1"/>
  <c r="AI592" i="19"/>
  <c r="X592" i="19"/>
  <c r="AH592" i="19"/>
  <c r="AI625" i="19"/>
  <c r="AH625" i="19"/>
  <c r="AE213" i="19"/>
  <c r="R30" i="20"/>
  <c r="R29" i="20" s="1"/>
  <c r="R82" i="19"/>
  <c r="X138" i="19"/>
  <c r="AH147" i="19"/>
  <c r="X147" i="19"/>
  <c r="AH161" i="19"/>
  <c r="X191" i="19"/>
  <c r="AH191" i="19"/>
  <c r="X220" i="19"/>
  <c r="AH328" i="19"/>
  <c r="X329" i="19"/>
  <c r="X373" i="19"/>
  <c r="AH378" i="19"/>
  <c r="AH386" i="19"/>
  <c r="AH393" i="19"/>
  <c r="X394" i="19"/>
  <c r="AI394" i="19"/>
  <c r="AI412" i="19"/>
  <c r="AH412" i="19"/>
  <c r="AH437" i="19"/>
  <c r="AH491" i="19"/>
  <c r="AI506" i="19"/>
  <c r="I502" i="19"/>
  <c r="I501" i="19" s="1"/>
  <c r="AI514" i="19"/>
  <c r="I508" i="19"/>
  <c r="I507" i="19" s="1"/>
  <c r="AI519" i="19"/>
  <c r="AH521" i="19"/>
  <c r="Y557" i="19"/>
  <c r="T557" i="19"/>
  <c r="T553" i="19" s="1"/>
  <c r="U563" i="19"/>
  <c r="U562" i="19" s="1"/>
  <c r="N563" i="19"/>
  <c r="N562" i="19" s="1"/>
  <c r="N552" i="19" s="1"/>
  <c r="N544" i="19" s="1"/>
  <c r="AI596" i="19"/>
  <c r="N57" i="20"/>
  <c r="N30" i="20" s="1"/>
  <c r="M30" i="20"/>
  <c r="M29" i="20" s="1"/>
  <c r="M16" i="20" s="1"/>
  <c r="N52" i="19"/>
  <c r="N45" i="19" s="1"/>
  <c r="V52" i="19"/>
  <c r="V45" i="19" s="1"/>
  <c r="Q53" i="19"/>
  <c r="Q52" i="19" s="1"/>
  <c r="AI139" i="19"/>
  <c r="AH142" i="19"/>
  <c r="AI164" i="19"/>
  <c r="J174" i="19"/>
  <c r="W174" i="19"/>
  <c r="K176" i="19"/>
  <c r="K175" i="19" s="1"/>
  <c r="K174" i="19" s="1"/>
  <c r="AI191" i="19"/>
  <c r="AI193" i="19"/>
  <c r="AI207" i="19"/>
  <c r="AI215" i="19"/>
  <c r="V225" i="19"/>
  <c r="V224" i="19" s="1"/>
  <c r="AI328" i="19"/>
  <c r="AI329" i="19"/>
  <c r="AH330" i="19"/>
  <c r="W225" i="19"/>
  <c r="W224" i="19" s="1"/>
  <c r="S339" i="19"/>
  <c r="S338" i="19" s="1"/>
  <c r="S337" i="19" s="1"/>
  <c r="N339" i="19"/>
  <c r="N338" i="19" s="1"/>
  <c r="N337" i="19" s="1"/>
  <c r="N400" i="19"/>
  <c r="U423" i="19"/>
  <c r="U416" i="19" s="1"/>
  <c r="N466" i="19"/>
  <c r="N465" i="19" s="1"/>
  <c r="X466" i="19"/>
  <c r="X465" i="19" s="1"/>
  <c r="Q508" i="19"/>
  <c r="Q507" i="19" s="1"/>
  <c r="Q500" i="19" s="1"/>
  <c r="L552" i="19"/>
  <c r="S553" i="19"/>
  <c r="S552" i="19" s="1"/>
  <c r="S544" i="19" s="1"/>
  <c r="Q602" i="19"/>
  <c r="Q565" i="19" s="1"/>
  <c r="AI629" i="19"/>
  <c r="P663" i="19"/>
  <c r="P654" i="19" s="1"/>
  <c r="P653" i="19" s="1"/>
  <c r="Q654" i="19"/>
  <c r="Q653" i="19" s="1"/>
  <c r="Q643" i="19" s="1"/>
  <c r="AI672" i="19"/>
  <c r="X672" i="19"/>
  <c r="AI674" i="19"/>
  <c r="X674" i="19"/>
  <c r="AH676" i="19"/>
  <c r="X676" i="19"/>
  <c r="H18" i="20"/>
  <c r="H17" i="20" s="1"/>
  <c r="M602" i="19"/>
  <c r="M565" i="19" s="1"/>
  <c r="AH640" i="19"/>
  <c r="AH645" i="19"/>
  <c r="V653" i="19"/>
  <c r="V643" i="19" s="1"/>
  <c r="AH665" i="19"/>
  <c r="J18" i="20"/>
  <c r="J17" i="20" s="1"/>
  <c r="J16" i="20" s="1"/>
  <c r="R18" i="20"/>
  <c r="R17" i="20" s="1"/>
  <c r="H30" i="20"/>
  <c r="H29" i="20" s="1"/>
  <c r="S29" i="20"/>
  <c r="S16" i="20" s="1"/>
  <c r="J500" i="19"/>
  <c r="W500" i="19"/>
  <c r="M464" i="19"/>
  <c r="X188" i="19"/>
  <c r="AI220" i="19"/>
  <c r="I217" i="19"/>
  <c r="X376" i="19"/>
  <c r="AI376" i="19"/>
  <c r="AI498" i="19"/>
  <c r="AH145" i="19"/>
  <c r="AH151" i="19"/>
  <c r="AH155" i="19"/>
  <c r="Y214" i="19"/>
  <c r="AI214" i="19" s="1"/>
  <c r="AE214" i="19"/>
  <c r="Y223" i="19"/>
  <c r="Y217" i="19" s="1"/>
  <c r="AE223" i="19"/>
  <c r="X389" i="19"/>
  <c r="AH389" i="19"/>
  <c r="AI389" i="19"/>
  <c r="AH439" i="19"/>
  <c r="X439" i="19"/>
  <c r="AH492" i="19"/>
  <c r="AI492" i="19"/>
  <c r="X492" i="19"/>
  <c r="AE492" i="19" s="1"/>
  <c r="AH494" i="19"/>
  <c r="AI494" i="19"/>
  <c r="X494" i="19"/>
  <c r="K52" i="19"/>
  <c r="O53" i="19"/>
  <c r="O52" i="19" s="1"/>
  <c r="T53" i="19"/>
  <c r="T52" i="19" s="1"/>
  <c r="T45" i="19" s="1"/>
  <c r="R85" i="19"/>
  <c r="AH136" i="19"/>
  <c r="AI147" i="19"/>
  <c r="AI148" i="19"/>
  <c r="AH152" i="19"/>
  <c r="AH158" i="19"/>
  <c r="X162" i="19"/>
  <c r="AH164" i="19"/>
  <c r="H184" i="19"/>
  <c r="I209" i="19"/>
  <c r="I184" i="19" s="1"/>
  <c r="I339" i="19"/>
  <c r="I338" i="19" s="1"/>
  <c r="I418" i="19"/>
  <c r="N654" i="19"/>
  <c r="N653" i="19" s="1"/>
  <c r="AH206" i="19"/>
  <c r="AI206" i="19"/>
  <c r="X206" i="19"/>
  <c r="I333" i="19"/>
  <c r="AI333" i="19" s="1"/>
  <c r="AI335" i="19"/>
  <c r="X384" i="19"/>
  <c r="AI384" i="19"/>
  <c r="AI395" i="19"/>
  <c r="AH395" i="19"/>
  <c r="X484" i="19"/>
  <c r="AI597" i="19"/>
  <c r="X597" i="19"/>
  <c r="AH644" i="19"/>
  <c r="V17" i="19"/>
  <c r="V27" i="19"/>
  <c r="AH138" i="19"/>
  <c r="AH148" i="19"/>
  <c r="AI162" i="19"/>
  <c r="R448" i="19"/>
  <c r="R447" i="19" s="1"/>
  <c r="R446" i="19" s="1"/>
  <c r="W552" i="19"/>
  <c r="W544" i="19" s="1"/>
  <c r="AI186" i="19"/>
  <c r="AH205" i="19"/>
  <c r="AE216" i="19"/>
  <c r="Y216" i="19"/>
  <c r="X396" i="19"/>
  <c r="AI396" i="19"/>
  <c r="AH139" i="19"/>
  <c r="X139" i="19"/>
  <c r="AH200" i="19"/>
  <c r="AI200" i="19"/>
  <c r="X200" i="19"/>
  <c r="AI365" i="19"/>
  <c r="H365" i="19"/>
  <c r="AH538" i="19"/>
  <c r="AI538" i="19"/>
  <c r="X538" i="19"/>
  <c r="AI595" i="19"/>
  <c r="X595" i="19"/>
  <c r="AI627" i="19"/>
  <c r="AH627" i="19"/>
  <c r="Y29" i="19"/>
  <c r="AE29" i="19" s="1"/>
  <c r="AG29" i="19" s="1"/>
  <c r="Y35" i="19"/>
  <c r="X35" i="19" s="1"/>
  <c r="M52" i="19"/>
  <c r="X53" i="19"/>
  <c r="H53" i="19"/>
  <c r="H52" i="19" s="1"/>
  <c r="H45" i="19" s="1"/>
  <c r="M176" i="19"/>
  <c r="M175" i="19" s="1"/>
  <c r="M174" i="19" s="1"/>
  <c r="N176" i="19"/>
  <c r="N175" i="19" s="1"/>
  <c r="AI188" i="19"/>
  <c r="AH188" i="19"/>
  <c r="V339" i="19"/>
  <c r="V338" i="19" s="1"/>
  <c r="V337" i="19" s="1"/>
  <c r="AI197" i="19"/>
  <c r="AH197" i="19"/>
  <c r="Y211" i="19"/>
  <c r="AI211" i="19" s="1"/>
  <c r="L225" i="19"/>
  <c r="L224" i="19" s="1"/>
  <c r="R339" i="19"/>
  <c r="R338" i="19" s="1"/>
  <c r="R337" i="19" s="1"/>
  <c r="AI392" i="19"/>
  <c r="W423" i="19"/>
  <c r="W416" i="19" s="1"/>
  <c r="P424" i="19"/>
  <c r="P423" i="19" s="1"/>
  <c r="P416" i="19" s="1"/>
  <c r="J423" i="19"/>
  <c r="J416" i="19" s="1"/>
  <c r="N423" i="19"/>
  <c r="N416" i="19" s="1"/>
  <c r="V423" i="19"/>
  <c r="V416" i="19" s="1"/>
  <c r="K602" i="19"/>
  <c r="K565" i="19" s="1"/>
  <c r="T654" i="19"/>
  <c r="T653" i="19" s="1"/>
  <c r="AH668" i="19"/>
  <c r="AH672" i="19"/>
  <c r="AH674" i="19"/>
  <c r="AH679" i="19"/>
  <c r="AE212" i="19"/>
  <c r="AE215" i="19"/>
  <c r="X202" i="19"/>
  <c r="AI202" i="19"/>
  <c r="AI204" i="19"/>
  <c r="X222" i="19"/>
  <c r="AI222" i="19"/>
  <c r="AI354" i="19"/>
  <c r="AI381" i="19"/>
  <c r="X433" i="19"/>
  <c r="X435" i="19"/>
  <c r="AI435" i="19"/>
  <c r="X437" i="19"/>
  <c r="AI437" i="19"/>
  <c r="L470" i="19"/>
  <c r="L466" i="19" s="1"/>
  <c r="L465" i="19" s="1"/>
  <c r="L464" i="19" s="1"/>
  <c r="X491" i="19"/>
  <c r="S508" i="19"/>
  <c r="S507" i="19" s="1"/>
  <c r="S500" i="19" s="1"/>
  <c r="H525" i="19"/>
  <c r="H524" i="19" s="1"/>
  <c r="H523" i="19" s="1"/>
  <c r="X536" i="19"/>
  <c r="AI536" i="19"/>
  <c r="V610" i="19"/>
  <c r="V602" i="19" s="1"/>
  <c r="AE543" i="19"/>
  <c r="AI140" i="19"/>
  <c r="L174" i="19"/>
  <c r="S184" i="19"/>
  <c r="S183" i="19" s="1"/>
  <c r="S174" i="19" s="1"/>
  <c r="X192" i="19"/>
  <c r="AH204" i="19"/>
  <c r="H217" i="19"/>
  <c r="AH218" i="19"/>
  <c r="X369" i="19"/>
  <c r="AI373" i="19"/>
  <c r="AH381" i="19"/>
  <c r="AH397" i="19"/>
  <c r="X424" i="19"/>
  <c r="I432" i="19"/>
  <c r="I423" i="19" s="1"/>
  <c r="H432" i="19"/>
  <c r="AI448" i="19"/>
  <c r="P448" i="19"/>
  <c r="P447" i="19" s="1"/>
  <c r="P446" i="19" s="1"/>
  <c r="AI491" i="19"/>
  <c r="O502" i="19"/>
  <c r="O501" i="19" s="1"/>
  <c r="H514" i="19"/>
  <c r="H508" i="19" s="1"/>
  <c r="H507" i="19" s="1"/>
  <c r="H500" i="19" s="1"/>
  <c r="X519" i="19"/>
  <c r="X521" i="19"/>
  <c r="J552" i="19"/>
  <c r="O562" i="19"/>
  <c r="O552" i="19" s="1"/>
  <c r="O544" i="19" s="1"/>
  <c r="H562" i="19"/>
  <c r="AH596" i="19"/>
  <c r="AH598" i="19"/>
  <c r="AH623" i="19"/>
  <c r="X640" i="19"/>
  <c r="AK16" i="20"/>
  <c r="AM16" i="20" s="1"/>
  <c r="V30" i="20"/>
  <c r="Z30" i="20" s="1"/>
  <c r="AN30" i="20" s="1"/>
  <c r="U58" i="20"/>
  <c r="V18" i="20"/>
  <c r="U57" i="20"/>
  <c r="U30" i="20" s="1"/>
  <c r="AH176" i="19"/>
  <c r="Q174" i="19"/>
  <c r="U174" i="19"/>
  <c r="AH212" i="19"/>
  <c r="P45" i="19"/>
  <c r="T17" i="19"/>
  <c r="W45" i="19"/>
  <c r="I53" i="19"/>
  <c r="AI382" i="19"/>
  <c r="X382" i="19"/>
  <c r="AI390" i="19"/>
  <c r="X390" i="19"/>
  <c r="AI405" i="19"/>
  <c r="X405" i="19"/>
  <c r="X400" i="19" s="1"/>
  <c r="AH405" i="19"/>
  <c r="Y400" i="19"/>
  <c r="AH424" i="19"/>
  <c r="AI444" i="19"/>
  <c r="X444" i="19"/>
  <c r="AH444" i="19"/>
  <c r="AH466" i="19"/>
  <c r="AI466" i="19"/>
  <c r="P488" i="19"/>
  <c r="AH493" i="19"/>
  <c r="AI493" i="19"/>
  <c r="AH603" i="19"/>
  <c r="AH626" i="19"/>
  <c r="AI626" i="19"/>
  <c r="AI266" i="19"/>
  <c r="O266" i="19"/>
  <c r="AI591" i="19"/>
  <c r="X591" i="19"/>
  <c r="AH591" i="19"/>
  <c r="AI263" i="19"/>
  <c r="O263" i="19"/>
  <c r="AI264" i="19"/>
  <c r="O264" i="19"/>
  <c r="X354" i="19"/>
  <c r="Y339" i="19"/>
  <c r="AH354" i="19"/>
  <c r="AI371" i="19"/>
  <c r="X371" i="19"/>
  <c r="AH371" i="19"/>
  <c r="AI379" i="19"/>
  <c r="X379" i="19"/>
  <c r="AH379" i="19"/>
  <c r="AI387" i="19"/>
  <c r="X387" i="19"/>
  <c r="AH387" i="19"/>
  <c r="AI438" i="19"/>
  <c r="X438" i="19"/>
  <c r="AH438" i="19"/>
  <c r="AI518" i="19"/>
  <c r="X518" i="19"/>
  <c r="AH518" i="19"/>
  <c r="Y508" i="19"/>
  <c r="T564" i="19"/>
  <c r="Y564" i="19"/>
  <c r="AH624" i="19"/>
  <c r="AI624" i="19"/>
  <c r="AH678" i="19"/>
  <c r="Y677" i="19"/>
  <c r="AI677" i="19" s="1"/>
  <c r="AI678" i="19"/>
  <c r="Y46" i="19"/>
  <c r="AI55" i="19"/>
  <c r="X141" i="19"/>
  <c r="X157" i="19"/>
  <c r="X165" i="19"/>
  <c r="P176" i="19"/>
  <c r="P175" i="19" s="1"/>
  <c r="N200" i="19"/>
  <c r="N184" i="19" s="1"/>
  <c r="N183" i="19" s="1"/>
  <c r="AI212" i="19"/>
  <c r="P339" i="19"/>
  <c r="P338" i="19" s="1"/>
  <c r="P337" i="19" s="1"/>
  <c r="X360" i="19"/>
  <c r="X372" i="19"/>
  <c r="X388" i="19"/>
  <c r="X626" i="19"/>
  <c r="AH23" i="19"/>
  <c r="S73" i="19"/>
  <c r="AI141" i="19"/>
  <c r="X143" i="19"/>
  <c r="X151" i="19"/>
  <c r="AI157" i="19"/>
  <c r="X159" i="19"/>
  <c r="AI165" i="19"/>
  <c r="O184" i="19"/>
  <c r="O183" i="19" s="1"/>
  <c r="O174" i="19" s="1"/>
  <c r="V33" i="19"/>
  <c r="R86" i="19"/>
  <c r="S87" i="19"/>
  <c r="AI135" i="19"/>
  <c r="X137" i="19"/>
  <c r="AI143" i="19"/>
  <c r="X145" i="19"/>
  <c r="AI151" i="19"/>
  <c r="X153" i="19"/>
  <c r="AI159" i="19"/>
  <c r="X161" i="19"/>
  <c r="I176" i="19"/>
  <c r="X176" i="19"/>
  <c r="X175" i="19" s="1"/>
  <c r="T176" i="19"/>
  <c r="T175" i="19" s="1"/>
  <c r="X198" i="19"/>
  <c r="AI205" i="19"/>
  <c r="X207" i="19"/>
  <c r="AI221" i="19"/>
  <c r="Q333" i="19"/>
  <c r="AI368" i="19"/>
  <c r="AH377" i="19"/>
  <c r="AH385" i="19"/>
  <c r="AI424" i="19"/>
  <c r="AI433" i="19"/>
  <c r="Y447" i="19"/>
  <c r="T448" i="19"/>
  <c r="T447" i="19" s="1"/>
  <c r="T446" i="19" s="1"/>
  <c r="X448" i="19"/>
  <c r="X447" i="19" s="1"/>
  <c r="X446" i="19" s="1"/>
  <c r="J466" i="19"/>
  <c r="J465" i="19" s="1"/>
  <c r="J464" i="19" s="1"/>
  <c r="L500" i="19"/>
  <c r="S654" i="19"/>
  <c r="S653" i="19" s="1"/>
  <c r="AH360" i="19"/>
  <c r="AH372" i="19"/>
  <c r="AI374" i="19"/>
  <c r="X374" i="19"/>
  <c r="AH380" i="19"/>
  <c r="AH388" i="19"/>
  <c r="AI436" i="19"/>
  <c r="X436" i="19"/>
  <c r="AH436" i="19"/>
  <c r="O448" i="19"/>
  <c r="O447" i="19" s="1"/>
  <c r="O446" i="19" s="1"/>
  <c r="S453" i="19"/>
  <c r="S448" i="19" s="1"/>
  <c r="S447" i="19" s="1"/>
  <c r="S446" i="19" s="1"/>
  <c r="AI375" i="19"/>
  <c r="X375" i="19"/>
  <c r="AH375" i="19"/>
  <c r="AI383" i="19"/>
  <c r="X383" i="19"/>
  <c r="AH383" i="19"/>
  <c r="AI391" i="19"/>
  <c r="X391" i="19"/>
  <c r="AH391" i="19"/>
  <c r="AH399" i="19"/>
  <c r="Y398" i="19"/>
  <c r="AI398" i="19" s="1"/>
  <c r="AI434" i="19"/>
  <c r="X434" i="19"/>
  <c r="AH434" i="19"/>
  <c r="AI442" i="19"/>
  <c r="X442" i="19"/>
  <c r="AH442" i="19"/>
  <c r="AH628" i="19"/>
  <c r="AI628" i="19"/>
  <c r="AH667" i="19"/>
  <c r="X667" i="19"/>
  <c r="AI673" i="19"/>
  <c r="X673" i="19"/>
  <c r="AH673" i="19"/>
  <c r="AI229" i="19"/>
  <c r="AH331" i="19"/>
  <c r="AI370" i="19"/>
  <c r="X370" i="19"/>
  <c r="AH376" i="19"/>
  <c r="AI378" i="19"/>
  <c r="X378" i="19"/>
  <c r="AH384" i="19"/>
  <c r="AI386" i="19"/>
  <c r="X386" i="19"/>
  <c r="AH392" i="19"/>
  <c r="AH394" i="19"/>
  <c r="AH396" i="19"/>
  <c r="AI440" i="19"/>
  <c r="X440" i="19"/>
  <c r="AH440" i="19"/>
  <c r="AI484" i="19"/>
  <c r="AH484" i="19"/>
  <c r="AI520" i="19"/>
  <c r="X520" i="19"/>
  <c r="AH520" i="19"/>
  <c r="AI539" i="19"/>
  <c r="X539" i="19"/>
  <c r="AH539" i="19"/>
  <c r="AI580" i="19"/>
  <c r="X580" i="19"/>
  <c r="AH580" i="19"/>
  <c r="Y594" i="19"/>
  <c r="Y575" i="19" s="1"/>
  <c r="I654" i="19"/>
  <c r="AI657" i="19"/>
  <c r="R663" i="19"/>
  <c r="R654" i="19" s="1"/>
  <c r="R653" i="19" s="1"/>
  <c r="R643" i="19" s="1"/>
  <c r="O654" i="19"/>
  <c r="O653" i="19" s="1"/>
  <c r="O643" i="19" s="1"/>
  <c r="AI666" i="19"/>
  <c r="X666" i="19"/>
  <c r="Y654" i="19"/>
  <c r="AH666" i="19"/>
  <c r="AH669" i="19"/>
  <c r="X669" i="19"/>
  <c r="AI671" i="19"/>
  <c r="X671" i="19"/>
  <c r="AH671" i="19"/>
  <c r="Y41" i="19"/>
  <c r="X149" i="19"/>
  <c r="AI213" i="19"/>
  <c r="X219" i="19"/>
  <c r="AI366" i="19"/>
  <c r="X380" i="19"/>
  <c r="X493" i="19"/>
  <c r="X135" i="19"/>
  <c r="AI149" i="19"/>
  <c r="R174" i="19"/>
  <c r="X197" i="19"/>
  <c r="X205" i="19"/>
  <c r="AI219" i="19"/>
  <c r="X221" i="19"/>
  <c r="T339" i="19"/>
  <c r="T338" i="19" s="1"/>
  <c r="T337" i="19" s="1"/>
  <c r="AI348" i="19"/>
  <c r="AH374" i="19"/>
  <c r="AI377" i="19"/>
  <c r="AH382" i="19"/>
  <c r="AI385" i="19"/>
  <c r="AH390" i="19"/>
  <c r="X399" i="19"/>
  <c r="Q424" i="19"/>
  <c r="Q423" i="19" s="1"/>
  <c r="Q416" i="19" s="1"/>
  <c r="O424" i="19"/>
  <c r="O423" i="19" s="1"/>
  <c r="O416" i="19" s="1"/>
  <c r="S424" i="19"/>
  <c r="S423" i="19" s="1"/>
  <c r="S416" i="19" s="1"/>
  <c r="Y432" i="19"/>
  <c r="Y465" i="19"/>
  <c r="Y501" i="19"/>
  <c r="AH502" i="19"/>
  <c r="S525" i="19"/>
  <c r="S524" i="19" s="1"/>
  <c r="S523" i="19" s="1"/>
  <c r="N525" i="19"/>
  <c r="N524" i="19" s="1"/>
  <c r="N523" i="19" s="1"/>
  <c r="P529" i="19"/>
  <c r="P525" i="19" s="1"/>
  <c r="P524" i="19" s="1"/>
  <c r="P523" i="19" s="1"/>
  <c r="X628" i="19"/>
  <c r="N514" i="19"/>
  <c r="N508" i="19" s="1"/>
  <c r="N507" i="19" s="1"/>
  <c r="N500" i="19" s="1"/>
  <c r="AI522" i="19"/>
  <c r="X522" i="19"/>
  <c r="AH522" i="19"/>
  <c r="L546" i="19"/>
  <c r="L545" i="19" s="1"/>
  <c r="M551" i="19"/>
  <c r="M546" i="19" s="1"/>
  <c r="M545" i="19" s="1"/>
  <c r="U553" i="19"/>
  <c r="I574" i="19"/>
  <c r="AI593" i="19"/>
  <c r="X593" i="19"/>
  <c r="AH593" i="19"/>
  <c r="AH595" i="19"/>
  <c r="AH597" i="19"/>
  <c r="AI675" i="19"/>
  <c r="X675" i="19"/>
  <c r="AH675" i="19"/>
  <c r="X330" i="19"/>
  <c r="X393" i="19"/>
  <c r="X395" i="19"/>
  <c r="X397" i="19"/>
  <c r="U508" i="19"/>
  <c r="U507" i="19" s="1"/>
  <c r="U500" i="19" s="1"/>
  <c r="T514" i="19"/>
  <c r="T508" i="19" s="1"/>
  <c r="T507" i="19" s="1"/>
  <c r="T500" i="19" s="1"/>
  <c r="K546" i="19"/>
  <c r="K545" i="19" s="1"/>
  <c r="R552" i="19"/>
  <c r="R544" i="19" s="1"/>
  <c r="O602" i="19"/>
  <c r="AI537" i="19"/>
  <c r="X537" i="19"/>
  <c r="Y525" i="19"/>
  <c r="AH537" i="19"/>
  <c r="AH543" i="19"/>
  <c r="Y541" i="19"/>
  <c r="AI541" i="19" s="1"/>
  <c r="AI546" i="19"/>
  <c r="I545" i="19"/>
  <c r="Y545" i="19"/>
  <c r="AH546" i="19"/>
  <c r="AI641" i="19"/>
  <c r="X641" i="19"/>
  <c r="AH641" i="19"/>
  <c r="U464" i="19"/>
  <c r="T525" i="19"/>
  <c r="T524" i="19" s="1"/>
  <c r="T523" i="19" s="1"/>
  <c r="I524" i="19"/>
  <c r="X596" i="19"/>
  <c r="X598" i="19"/>
  <c r="X623" i="19"/>
  <c r="X625" i="19"/>
  <c r="X627" i="19"/>
  <c r="X629" i="19"/>
  <c r="X665" i="19"/>
  <c r="X668" i="19"/>
  <c r="X679" i="19"/>
  <c r="X226" i="19" l="1"/>
  <c r="X225" i="19" s="1"/>
  <c r="X224" i="19" s="1"/>
  <c r="S464" i="19"/>
  <c r="O45" i="19"/>
  <c r="X639" i="19"/>
  <c r="O226" i="19"/>
  <c r="O225" i="19" s="1"/>
  <c r="O224" i="19" s="1"/>
  <c r="R16" i="20"/>
  <c r="X133" i="19"/>
  <c r="X52" i="19" s="1"/>
  <c r="X45" i="19" s="1"/>
  <c r="J544" i="19"/>
  <c r="J415" i="19" s="1"/>
  <c r="P473" i="19"/>
  <c r="P472" i="19" s="1"/>
  <c r="P464" i="19" s="1"/>
  <c r="N643" i="19"/>
  <c r="AE484" i="19"/>
  <c r="AD484" i="19" s="1"/>
  <c r="X473" i="19"/>
  <c r="X472" i="19" s="1"/>
  <c r="X464" i="19" s="1"/>
  <c r="X611" i="19"/>
  <c r="AD604" i="19"/>
  <c r="AD603" i="19" s="1"/>
  <c r="N602" i="19"/>
  <c r="AD502" i="19"/>
  <c r="AD501" i="19" s="1"/>
  <c r="R514" i="19"/>
  <c r="R508" i="19" s="1"/>
  <c r="R507" i="19" s="1"/>
  <c r="R500" i="19" s="1"/>
  <c r="R415" i="19" s="1"/>
  <c r="V183" i="19"/>
  <c r="V174" i="19" s="1"/>
  <c r="V44" i="19" s="1"/>
  <c r="N565" i="19"/>
  <c r="AD567" i="19"/>
  <c r="AD566" i="19" s="1"/>
  <c r="AE592" i="19"/>
  <c r="AD592" i="19" s="1"/>
  <c r="H610" i="19"/>
  <c r="H602" i="19" s="1"/>
  <c r="H565" i="19"/>
  <c r="O565" i="19"/>
  <c r="V565" i="19"/>
  <c r="V415" i="19" s="1"/>
  <c r="Y58" i="20"/>
  <c r="M544" i="19"/>
  <c r="M415" i="19" s="1"/>
  <c r="T174" i="19"/>
  <c r="T44" i="19" s="1"/>
  <c r="P174" i="19"/>
  <c r="P44" i="19" s="1"/>
  <c r="H552" i="19"/>
  <c r="H544" i="19" s="1"/>
  <c r="H423" i="19"/>
  <c r="H416" i="19" s="1"/>
  <c r="AI561" i="19"/>
  <c r="AD514" i="19"/>
  <c r="AE208" i="19"/>
  <c r="AD208" i="19" s="1"/>
  <c r="T643" i="19"/>
  <c r="AI639" i="19"/>
  <c r="W44" i="19"/>
  <c r="K544" i="19"/>
  <c r="K415" i="19" s="1"/>
  <c r="AH210" i="19"/>
  <c r="AI47" i="19"/>
  <c r="K45" i="19"/>
  <c r="K44" i="19" s="1"/>
  <c r="AE445" i="19"/>
  <c r="AG445" i="19" s="1"/>
  <c r="X557" i="19"/>
  <c r="X553" i="19" s="1"/>
  <c r="J44" i="19"/>
  <c r="H339" i="19"/>
  <c r="H338" i="19" s="1"/>
  <c r="H337" i="19" s="1"/>
  <c r="AE441" i="19"/>
  <c r="AG441" i="19" s="1"/>
  <c r="AD424" i="19"/>
  <c r="Y553" i="19"/>
  <c r="AH553" i="19" s="1"/>
  <c r="T563" i="19"/>
  <c r="T562" i="19" s="1"/>
  <c r="T552" i="19" s="1"/>
  <c r="T544" i="19" s="1"/>
  <c r="S643" i="19"/>
  <c r="S415" i="19" s="1"/>
  <c r="AI557" i="19"/>
  <c r="N464" i="19"/>
  <c r="AD448" i="19"/>
  <c r="AD447" i="19" s="1"/>
  <c r="AD446" i="19" s="1"/>
  <c r="AD47" i="19"/>
  <c r="AD46" i="19" s="1"/>
  <c r="AD53" i="19"/>
  <c r="AD645" i="19"/>
  <c r="AD644" i="19" s="1"/>
  <c r="R225" i="19"/>
  <c r="R224" i="19" s="1"/>
  <c r="L544" i="19"/>
  <c r="L415" i="19" s="1"/>
  <c r="AI508" i="19"/>
  <c r="T464" i="19"/>
  <c r="M45" i="19"/>
  <c r="M44" i="19" s="1"/>
  <c r="AD333" i="19"/>
  <c r="AE166" i="19"/>
  <c r="AG166" i="19" s="1"/>
  <c r="AD553" i="19"/>
  <c r="AD466" i="19"/>
  <c r="AD465" i="19" s="1"/>
  <c r="AD400" i="19"/>
  <c r="AD176" i="19"/>
  <c r="AD175" i="19" s="1"/>
  <c r="Y18" i="20"/>
  <c r="Y17" i="20" s="1"/>
  <c r="Z17" i="20"/>
  <c r="AN18" i="20"/>
  <c r="Y47" i="20"/>
  <c r="AN47" i="20"/>
  <c r="Y57" i="20"/>
  <c r="AN57" i="20"/>
  <c r="AD212" i="19"/>
  <c r="AG212" i="19"/>
  <c r="AD18" i="19"/>
  <c r="AG18" i="19"/>
  <c r="AE175" i="19"/>
  <c r="AG175" i="19" s="1"/>
  <c r="AG176" i="19"/>
  <c r="AD164" i="19"/>
  <c r="AG164" i="19"/>
  <c r="AD142" i="19"/>
  <c r="AG142" i="19"/>
  <c r="AD23" i="19"/>
  <c r="AG23" i="19"/>
  <c r="AD136" i="19"/>
  <c r="AG136" i="19"/>
  <c r="AE447" i="19"/>
  <c r="AG448" i="19"/>
  <c r="AE545" i="19"/>
  <c r="AG545" i="19" s="1"/>
  <c r="AG546" i="19"/>
  <c r="AD385" i="19"/>
  <c r="AG385" i="19"/>
  <c r="AD377" i="19"/>
  <c r="AG377" i="19"/>
  <c r="AD678" i="19"/>
  <c r="AG678" i="19"/>
  <c r="AE417" i="19"/>
  <c r="AG418" i="19"/>
  <c r="AD418" i="19"/>
  <c r="AD417" i="19" s="1"/>
  <c r="Y209" i="19"/>
  <c r="AH209" i="19" s="1"/>
  <c r="O500" i="19"/>
  <c r="AD543" i="19"/>
  <c r="AD541" i="19" s="1"/>
  <c r="AG543" i="19"/>
  <c r="AD215" i="19"/>
  <c r="AG215" i="19"/>
  <c r="AD216" i="19"/>
  <c r="AG216" i="19"/>
  <c r="AD492" i="19"/>
  <c r="AG492" i="19"/>
  <c r="AD223" i="19"/>
  <c r="AG223" i="19"/>
  <c r="AD214" i="19"/>
  <c r="AG214" i="19"/>
  <c r="AD213" i="19"/>
  <c r="AG213" i="19"/>
  <c r="AD218" i="19"/>
  <c r="AG218" i="19"/>
  <c r="J29" i="13"/>
  <c r="AG400" i="19"/>
  <c r="AE46" i="19"/>
  <c r="AG46" i="19" s="1"/>
  <c r="AG47" i="19"/>
  <c r="AE465" i="19"/>
  <c r="AG465" i="19" s="1"/>
  <c r="AG466" i="19"/>
  <c r="AD154" i="19"/>
  <c r="AG154" i="19"/>
  <c r="AD192" i="19"/>
  <c r="AG192" i="19"/>
  <c r="AD392" i="19"/>
  <c r="AG392" i="19"/>
  <c r="AE644" i="19"/>
  <c r="AG644" i="19" s="1"/>
  <c r="AE501" i="19"/>
  <c r="AG501" i="19" s="1"/>
  <c r="AG502" i="19"/>
  <c r="AD624" i="19"/>
  <c r="AG624" i="19"/>
  <c r="AE603" i="19"/>
  <c r="AG604" i="19"/>
  <c r="AD546" i="19"/>
  <c r="AD545" i="19" s="1"/>
  <c r="AD79" i="7"/>
  <c r="AD32" i="7" s="1"/>
  <c r="AD16" i="7" s="1"/>
  <c r="X16" i="20"/>
  <c r="AE328" i="19"/>
  <c r="AH211" i="19"/>
  <c r="AH35" i="19"/>
  <c r="U44" i="19"/>
  <c r="AE393" i="19"/>
  <c r="AE522" i="19"/>
  <c r="AE629" i="19"/>
  <c r="AE625" i="19"/>
  <c r="AE596" i="19"/>
  <c r="AE397" i="19"/>
  <c r="AE593" i="19"/>
  <c r="AE671" i="19"/>
  <c r="AE669" i="19"/>
  <c r="AE666" i="19"/>
  <c r="AE539" i="19"/>
  <c r="AE520" i="19"/>
  <c r="AE440" i="19"/>
  <c r="AE386" i="19"/>
  <c r="AE378" i="19"/>
  <c r="AE370" i="19"/>
  <c r="AE442" i="19"/>
  <c r="AE383" i="19"/>
  <c r="AE626" i="19"/>
  <c r="AE372" i="19"/>
  <c r="AE438" i="19"/>
  <c r="AE379" i="19"/>
  <c r="AE521" i="19"/>
  <c r="AE437" i="19"/>
  <c r="AE435" i="19"/>
  <c r="AE538" i="19"/>
  <c r="AE396" i="19"/>
  <c r="AE384" i="19"/>
  <c r="AE389" i="19"/>
  <c r="AE674" i="19"/>
  <c r="AE557" i="19"/>
  <c r="AE394" i="19"/>
  <c r="AC16" i="19"/>
  <c r="AE540" i="19"/>
  <c r="AE381" i="19"/>
  <c r="AE668" i="19"/>
  <c r="AE627" i="19"/>
  <c r="AE623" i="19"/>
  <c r="AE598" i="19"/>
  <c r="AH557" i="19"/>
  <c r="AE537" i="19"/>
  <c r="AE395" i="19"/>
  <c r="AE675" i="19"/>
  <c r="U552" i="19"/>
  <c r="U544" i="19" s="1"/>
  <c r="U415" i="19" s="1"/>
  <c r="AE628" i="19"/>
  <c r="AI502" i="19"/>
  <c r="AE380" i="19"/>
  <c r="AE219" i="19"/>
  <c r="AE673" i="19"/>
  <c r="AE667" i="19"/>
  <c r="AE391" i="19"/>
  <c r="AE375" i="19"/>
  <c r="AE436" i="19"/>
  <c r="AE374" i="19"/>
  <c r="AH18" i="19"/>
  <c r="AE388" i="19"/>
  <c r="AE360" i="19"/>
  <c r="AE518" i="19"/>
  <c r="AE371" i="19"/>
  <c r="AE354" i="19"/>
  <c r="AG354" i="19" s="1"/>
  <c r="AE444" i="19"/>
  <c r="AE390" i="19"/>
  <c r="AE382" i="19"/>
  <c r="AE519" i="19"/>
  <c r="AE369" i="19"/>
  <c r="AE536" i="19"/>
  <c r="AG536" i="19" s="1"/>
  <c r="AE491" i="19"/>
  <c r="AE433" i="19"/>
  <c r="AG433" i="19" s="1"/>
  <c r="AE222" i="19"/>
  <c r="AE595" i="19"/>
  <c r="AE597" i="19"/>
  <c r="AE494" i="19"/>
  <c r="AE439" i="19"/>
  <c r="AE376" i="19"/>
  <c r="AE188" i="19"/>
  <c r="AE676" i="19"/>
  <c r="AE672" i="19"/>
  <c r="AG672" i="19" s="1"/>
  <c r="Q45" i="19"/>
  <c r="AE373" i="19"/>
  <c r="AE220" i="19"/>
  <c r="AE191" i="19"/>
  <c r="AE541" i="19"/>
  <c r="AE443" i="19"/>
  <c r="AE197" i="19"/>
  <c r="AE202" i="19"/>
  <c r="AE205" i="19"/>
  <c r="AE206" i="19"/>
  <c r="AE207" i="19"/>
  <c r="AE204" i="19"/>
  <c r="AE193" i="19"/>
  <c r="AG193" i="19" s="1"/>
  <c r="AE198" i="19"/>
  <c r="AE200" i="19"/>
  <c r="AE144" i="19"/>
  <c r="AE146" i="19"/>
  <c r="AE156" i="19"/>
  <c r="AE155" i="19"/>
  <c r="AH20" i="19"/>
  <c r="X38" i="19"/>
  <c r="AE148" i="19"/>
  <c r="X32" i="19"/>
  <c r="R53" i="19"/>
  <c r="R52" i="19" s="1"/>
  <c r="R45" i="19" s="1"/>
  <c r="AH26" i="19"/>
  <c r="AH32" i="19"/>
  <c r="AE149" i="19"/>
  <c r="AE161" i="19"/>
  <c r="AE145" i="19"/>
  <c r="AE143" i="19"/>
  <c r="AE165" i="19"/>
  <c r="AE141" i="19"/>
  <c r="AD29" i="19"/>
  <c r="AE147" i="19"/>
  <c r="AE138" i="19"/>
  <c r="AE26" i="19"/>
  <c r="AE152" i="19"/>
  <c r="AE41" i="19"/>
  <c r="AE153" i="19"/>
  <c r="AE137" i="19"/>
  <c r="AE159" i="19"/>
  <c r="AE151" i="19"/>
  <c r="AH38" i="19"/>
  <c r="AE157" i="19"/>
  <c r="AE35" i="19"/>
  <c r="AH29" i="19"/>
  <c r="X29" i="19"/>
  <c r="AE139" i="19"/>
  <c r="AE162" i="19"/>
  <c r="AE160" i="19"/>
  <c r="AE158" i="19"/>
  <c r="AE150" i="19"/>
  <c r="AE140" i="19"/>
  <c r="AE163" i="19"/>
  <c r="AE32" i="7"/>
  <c r="AE16" i="7" s="1"/>
  <c r="N29" i="20"/>
  <c r="N16" i="20" s="1"/>
  <c r="I500" i="19"/>
  <c r="U29" i="20"/>
  <c r="U16" i="20" s="1"/>
  <c r="I183" i="19"/>
  <c r="H16" i="20"/>
  <c r="L44" i="19"/>
  <c r="P643" i="19"/>
  <c r="X677" i="19"/>
  <c r="AE679" i="19"/>
  <c r="AG679" i="19" s="1"/>
  <c r="X217" i="19"/>
  <c r="AI216" i="19"/>
  <c r="X398" i="19"/>
  <c r="AE399" i="19"/>
  <c r="AG399" i="19" s="1"/>
  <c r="X432" i="19"/>
  <c r="X423" i="19" s="1"/>
  <c r="X416" i="19" s="1"/>
  <c r="AE434" i="19"/>
  <c r="AH223" i="19"/>
  <c r="AI223" i="19"/>
  <c r="X184" i="19"/>
  <c r="N174" i="19"/>
  <c r="X654" i="19"/>
  <c r="AE665" i="19"/>
  <c r="AE330" i="19"/>
  <c r="AE135" i="19"/>
  <c r="AG135" i="19" s="1"/>
  <c r="X525" i="19"/>
  <c r="X524" i="19" s="1"/>
  <c r="X523" i="19" s="1"/>
  <c r="AI339" i="19"/>
  <c r="AH216" i="19"/>
  <c r="S53" i="19"/>
  <c r="S52" i="19" s="1"/>
  <c r="S45" i="19" s="1"/>
  <c r="AI133" i="19"/>
  <c r="H183" i="19"/>
  <c r="H174" i="19" s="1"/>
  <c r="X339" i="19"/>
  <c r="AI418" i="19"/>
  <c r="I417" i="19"/>
  <c r="AH214" i="19"/>
  <c r="Y17" i="19"/>
  <c r="H653" i="19"/>
  <c r="H643" i="19" s="1"/>
  <c r="V29" i="20"/>
  <c r="V17" i="20"/>
  <c r="W415" i="19"/>
  <c r="Q415" i="19"/>
  <c r="AH465" i="19"/>
  <c r="AI465" i="19"/>
  <c r="I337" i="19"/>
  <c r="I610" i="19"/>
  <c r="AI611" i="19"/>
  <c r="AH217" i="19"/>
  <c r="AH508" i="19"/>
  <c r="Y507" i="19"/>
  <c r="Y500" i="19" s="1"/>
  <c r="AH400" i="19"/>
  <c r="AI400" i="19"/>
  <c r="Y574" i="19"/>
  <c r="AH575" i="19"/>
  <c r="AH432" i="19"/>
  <c r="Y446" i="19"/>
  <c r="AH447" i="19"/>
  <c r="AI53" i="19"/>
  <c r="I52" i="19"/>
  <c r="AI52" i="19" s="1"/>
  <c r="AI604" i="19"/>
  <c r="I603" i="19"/>
  <c r="AI545" i="19"/>
  <c r="I544" i="19"/>
  <c r="AI226" i="19"/>
  <c r="I225" i="19"/>
  <c r="I523" i="19"/>
  <c r="AH545" i="19"/>
  <c r="AH541" i="19"/>
  <c r="AH611" i="19"/>
  <c r="Y610" i="19"/>
  <c r="Y602" i="19" s="1"/>
  <c r="AH501" i="19"/>
  <c r="AI501" i="19"/>
  <c r="AH41" i="19"/>
  <c r="X41" i="19"/>
  <c r="AI654" i="19"/>
  <c r="I653" i="19"/>
  <c r="AI594" i="19"/>
  <c r="X594" i="19"/>
  <c r="AH594" i="19"/>
  <c r="AH398" i="19"/>
  <c r="AH677" i="19"/>
  <c r="Y338" i="19"/>
  <c r="AI338" i="19" s="1"/>
  <c r="AH339" i="19"/>
  <c r="N263" i="19"/>
  <c r="S263" i="19"/>
  <c r="Y423" i="19"/>
  <c r="Y416" i="19" s="1"/>
  <c r="AI217" i="19"/>
  <c r="X508" i="19"/>
  <c r="X507" i="19" s="1"/>
  <c r="X500" i="19" s="1"/>
  <c r="AI432" i="19"/>
  <c r="AI447" i="19"/>
  <c r="Q225" i="19"/>
  <c r="Q224" i="19" s="1"/>
  <c r="Y524" i="19"/>
  <c r="AH525" i="19"/>
  <c r="Y225" i="19"/>
  <c r="AH226" i="19"/>
  <c r="AH52" i="19"/>
  <c r="Y653" i="19"/>
  <c r="AH654" i="19"/>
  <c r="AI176" i="19"/>
  <c r="I175" i="19"/>
  <c r="AH133" i="19"/>
  <c r="AI46" i="19"/>
  <c r="S264" i="19"/>
  <c r="N264" i="19"/>
  <c r="N266" i="19"/>
  <c r="S266" i="19"/>
  <c r="AI473" i="19"/>
  <c r="AH473" i="19"/>
  <c r="Y472" i="19"/>
  <c r="Y464" i="19" s="1"/>
  <c r="AH46" i="19"/>
  <c r="Y45" i="19"/>
  <c r="AI564" i="19"/>
  <c r="AH564" i="19"/>
  <c r="X564" i="19"/>
  <c r="Y562" i="19"/>
  <c r="AI525" i="19"/>
  <c r="AI575" i="19"/>
  <c r="AD439" i="7" l="1"/>
  <c r="AS16" i="7"/>
  <c r="AI13" i="7"/>
  <c r="O44" i="19"/>
  <c r="AE640" i="19"/>
  <c r="AG592" i="19"/>
  <c r="AE226" i="19"/>
  <c r="AE225" i="19" s="1"/>
  <c r="N226" i="19"/>
  <c r="N225" i="19" s="1"/>
  <c r="N224" i="19" s="1"/>
  <c r="N44" i="19" s="1"/>
  <c r="S226" i="19"/>
  <c r="S225" i="19" s="1"/>
  <c r="S224" i="19" s="1"/>
  <c r="S44" i="19" s="1"/>
  <c r="S16" i="19" s="1"/>
  <c r="AD445" i="19"/>
  <c r="AD166" i="19"/>
  <c r="AG484" i="19"/>
  <c r="AE611" i="19"/>
  <c r="AG623" i="19"/>
  <c r="X338" i="19"/>
  <c r="X337" i="19" s="1"/>
  <c r="J16" i="19"/>
  <c r="AD441" i="19"/>
  <c r="N415" i="19"/>
  <c r="X575" i="19"/>
  <c r="AI553" i="19"/>
  <c r="H415" i="19"/>
  <c r="H44" i="19"/>
  <c r="O415" i="19"/>
  <c r="AG208" i="19"/>
  <c r="W16" i="19"/>
  <c r="T415" i="19"/>
  <c r="T16" i="19" s="1"/>
  <c r="X574" i="19"/>
  <c r="K16" i="19"/>
  <c r="V16" i="19"/>
  <c r="AI209" i="19"/>
  <c r="Y184" i="19"/>
  <c r="Y183" i="19" s="1"/>
  <c r="AI183" i="19" s="1"/>
  <c r="P415" i="19"/>
  <c r="P16" i="19" s="1"/>
  <c r="X183" i="19"/>
  <c r="X174" i="19" s="1"/>
  <c r="AE20" i="19"/>
  <c r="AG20" i="19" s="1"/>
  <c r="R44" i="19"/>
  <c r="R16" i="19" s="1"/>
  <c r="Y30" i="20"/>
  <c r="Y29" i="20" s="1"/>
  <c r="Y16" i="20" s="1"/>
  <c r="AN17" i="20"/>
  <c r="AG330" i="19"/>
  <c r="AD665" i="19"/>
  <c r="AG665" i="19"/>
  <c r="AD434" i="19"/>
  <c r="AG434" i="19"/>
  <c r="AD163" i="19"/>
  <c r="AG163" i="19"/>
  <c r="AD140" i="19"/>
  <c r="AG140" i="19"/>
  <c r="AD150" i="19"/>
  <c r="AG150" i="19"/>
  <c r="AD158" i="19"/>
  <c r="AG158" i="19"/>
  <c r="AD160" i="19"/>
  <c r="AG160" i="19"/>
  <c r="AD162" i="19"/>
  <c r="AG162" i="19"/>
  <c r="AD139" i="19"/>
  <c r="AG139" i="19"/>
  <c r="AD35" i="19"/>
  <c r="AG35" i="19"/>
  <c r="AD157" i="19"/>
  <c r="AG157" i="19"/>
  <c r="AD155" i="19"/>
  <c r="AG155" i="19"/>
  <c r="AD146" i="19"/>
  <c r="AG146" i="19"/>
  <c r="AD200" i="19"/>
  <c r="AG200" i="19"/>
  <c r="AD198" i="19"/>
  <c r="AG198" i="19"/>
  <c r="AD204" i="19"/>
  <c r="AG204" i="19"/>
  <c r="AD207" i="19"/>
  <c r="AG207" i="19"/>
  <c r="AD206" i="19"/>
  <c r="AG206" i="19"/>
  <c r="AD205" i="19"/>
  <c r="AG205" i="19"/>
  <c r="AD202" i="19"/>
  <c r="AG202" i="19"/>
  <c r="AD197" i="19"/>
  <c r="AG197" i="19"/>
  <c r="AD191" i="19"/>
  <c r="AG191" i="19"/>
  <c r="AD220" i="19"/>
  <c r="AG220" i="19"/>
  <c r="AD373" i="19"/>
  <c r="AG373" i="19"/>
  <c r="AD597" i="19"/>
  <c r="AG597" i="19"/>
  <c r="AD595" i="19"/>
  <c r="AG595" i="19"/>
  <c r="AD374" i="19"/>
  <c r="AG374" i="19"/>
  <c r="AD436" i="19"/>
  <c r="AG436" i="19"/>
  <c r="AD375" i="19"/>
  <c r="AG375" i="19"/>
  <c r="AD391" i="19"/>
  <c r="AG391" i="19"/>
  <c r="AD667" i="19"/>
  <c r="AG667" i="19"/>
  <c r="AD673" i="19"/>
  <c r="AG673" i="19"/>
  <c r="AD219" i="19"/>
  <c r="AG219" i="19"/>
  <c r="AD380" i="19"/>
  <c r="AG380" i="19"/>
  <c r="AD675" i="19"/>
  <c r="AG675" i="19"/>
  <c r="AD395" i="19"/>
  <c r="AG395" i="19"/>
  <c r="AD537" i="19"/>
  <c r="AG537" i="19"/>
  <c r="AD674" i="19"/>
  <c r="AG674" i="19"/>
  <c r="AD389" i="19"/>
  <c r="AG389" i="19"/>
  <c r="AD384" i="19"/>
  <c r="AG384" i="19"/>
  <c r="AD396" i="19"/>
  <c r="AG396" i="19"/>
  <c r="AD538" i="19"/>
  <c r="AG538" i="19"/>
  <c r="AD435" i="19"/>
  <c r="AG435" i="19"/>
  <c r="AD437" i="19"/>
  <c r="AG437" i="19"/>
  <c r="AD521" i="19"/>
  <c r="AG521" i="19"/>
  <c r="AD379" i="19"/>
  <c r="AG379" i="19"/>
  <c r="AD438" i="19"/>
  <c r="AG438" i="19"/>
  <c r="AD372" i="19"/>
  <c r="AG372" i="19"/>
  <c r="AD626" i="19"/>
  <c r="AG626" i="19"/>
  <c r="AD383" i="19"/>
  <c r="AG383" i="19"/>
  <c r="AD442" i="19"/>
  <c r="AG442" i="19"/>
  <c r="AD370" i="19"/>
  <c r="AG370" i="19"/>
  <c r="AD378" i="19"/>
  <c r="AG378" i="19"/>
  <c r="AD386" i="19"/>
  <c r="AG386" i="19"/>
  <c r="AD440" i="19"/>
  <c r="AG440" i="19"/>
  <c r="AD520" i="19"/>
  <c r="AG520" i="19"/>
  <c r="AD539" i="19"/>
  <c r="AG539" i="19"/>
  <c r="AD666" i="19"/>
  <c r="AG666" i="19"/>
  <c r="AD669" i="19"/>
  <c r="AG669" i="19"/>
  <c r="AD671" i="19"/>
  <c r="AG671" i="19"/>
  <c r="AD593" i="19"/>
  <c r="AG593" i="19"/>
  <c r="AD397" i="19"/>
  <c r="AG397" i="19"/>
  <c r="AD596" i="19"/>
  <c r="AG596" i="19"/>
  <c r="AD625" i="19"/>
  <c r="AG625" i="19"/>
  <c r="AD629" i="19"/>
  <c r="AG629" i="19"/>
  <c r="AD522" i="19"/>
  <c r="AG522" i="19"/>
  <c r="AD393" i="19"/>
  <c r="AG393" i="19"/>
  <c r="AD328" i="19"/>
  <c r="AG328" i="19"/>
  <c r="AG603" i="19"/>
  <c r="AE210" i="19"/>
  <c r="AD151" i="19"/>
  <c r="AG151" i="19"/>
  <c r="AD159" i="19"/>
  <c r="AG159" i="19"/>
  <c r="AD137" i="19"/>
  <c r="AG137" i="19"/>
  <c r="AD153" i="19"/>
  <c r="AG153" i="19"/>
  <c r="AD41" i="19"/>
  <c r="AG41" i="19"/>
  <c r="AD152" i="19"/>
  <c r="AG152" i="19"/>
  <c r="AD26" i="19"/>
  <c r="AG26" i="19"/>
  <c r="AD138" i="19"/>
  <c r="AG138" i="19"/>
  <c r="AD147" i="19"/>
  <c r="AG147" i="19"/>
  <c r="AD141" i="19"/>
  <c r="AG141" i="19"/>
  <c r="AD165" i="19"/>
  <c r="AG165" i="19"/>
  <c r="AD143" i="19"/>
  <c r="AG143" i="19"/>
  <c r="AD145" i="19"/>
  <c r="AG145" i="19"/>
  <c r="AD161" i="19"/>
  <c r="AG161" i="19"/>
  <c r="AD149" i="19"/>
  <c r="AG149" i="19"/>
  <c r="AD148" i="19"/>
  <c r="AG148" i="19"/>
  <c r="AD156" i="19"/>
  <c r="AG156" i="19"/>
  <c r="AD144" i="19"/>
  <c r="AG144" i="19"/>
  <c r="AD443" i="19"/>
  <c r="AG443" i="19"/>
  <c r="AG541" i="19"/>
  <c r="AD676" i="19"/>
  <c r="AG676" i="19"/>
  <c r="AD188" i="19"/>
  <c r="AG188" i="19"/>
  <c r="AD376" i="19"/>
  <c r="AG376" i="19"/>
  <c r="AD439" i="19"/>
  <c r="AG439" i="19"/>
  <c r="AD494" i="19"/>
  <c r="AG494" i="19"/>
  <c r="AD222" i="19"/>
  <c r="AG222" i="19"/>
  <c r="AD491" i="19"/>
  <c r="AG491" i="19"/>
  <c r="AD369" i="19"/>
  <c r="AG369" i="19"/>
  <c r="AD519" i="19"/>
  <c r="AG519" i="19"/>
  <c r="AD382" i="19"/>
  <c r="AG382" i="19"/>
  <c r="AD390" i="19"/>
  <c r="AG390" i="19"/>
  <c r="AD444" i="19"/>
  <c r="AG444" i="19"/>
  <c r="AD371" i="19"/>
  <c r="AG371" i="19"/>
  <c r="AD518" i="19"/>
  <c r="AG518" i="19"/>
  <c r="AD360" i="19"/>
  <c r="AG360" i="19"/>
  <c r="AD388" i="19"/>
  <c r="AG388" i="19"/>
  <c r="AD628" i="19"/>
  <c r="AG628" i="19"/>
  <c r="AD598" i="19"/>
  <c r="AG598" i="19"/>
  <c r="AD627" i="19"/>
  <c r="AG627" i="19"/>
  <c r="AD668" i="19"/>
  <c r="AG668" i="19"/>
  <c r="AD381" i="19"/>
  <c r="AG381" i="19"/>
  <c r="AD540" i="19"/>
  <c r="AG540" i="19"/>
  <c r="AD394" i="19"/>
  <c r="AG394" i="19"/>
  <c r="AE553" i="19"/>
  <c r="AG553" i="19" s="1"/>
  <c r="AG557" i="19"/>
  <c r="AG417" i="19"/>
  <c r="AE446" i="19"/>
  <c r="AG446" i="19" s="1"/>
  <c r="AG447" i="19"/>
  <c r="Z29" i="20"/>
  <c r="AE134" i="19"/>
  <c r="Q44" i="19"/>
  <c r="Q16" i="19" s="1"/>
  <c r="U16" i="19"/>
  <c r="AE594" i="19"/>
  <c r="AG594" i="19" s="1"/>
  <c r="AE387" i="19"/>
  <c r="AE339" i="19" s="1"/>
  <c r="AD330" i="19"/>
  <c r="AD399" i="19"/>
  <c r="AD398" i="19" s="1"/>
  <c r="AE398" i="19"/>
  <c r="AE641" i="19"/>
  <c r="AG641" i="19" s="1"/>
  <c r="AE493" i="19"/>
  <c r="AG493" i="19" s="1"/>
  <c r="AE221" i="19"/>
  <c r="AG221" i="19" s="1"/>
  <c r="AD679" i="19"/>
  <c r="AD677" i="19" s="1"/>
  <c r="AE677" i="19"/>
  <c r="AE654" i="19"/>
  <c r="AD672" i="19"/>
  <c r="AD433" i="19"/>
  <c r="AE432" i="19"/>
  <c r="AD536" i="19"/>
  <c r="AE525" i="19"/>
  <c r="AD354" i="19"/>
  <c r="AD623" i="19"/>
  <c r="AE508" i="19"/>
  <c r="AD193" i="19"/>
  <c r="AE38" i="19"/>
  <c r="AE32" i="19"/>
  <c r="X17" i="19"/>
  <c r="AH17" i="19"/>
  <c r="AD135" i="19"/>
  <c r="L16" i="19"/>
  <c r="M16" i="19"/>
  <c r="X653" i="19"/>
  <c r="X643" i="19" s="1"/>
  <c r="X562" i="19"/>
  <c r="X552" i="19" s="1"/>
  <c r="X544" i="19" s="1"/>
  <c r="AE564" i="19"/>
  <c r="AG564" i="19" s="1"/>
  <c r="I416" i="19"/>
  <c r="AI417" i="19"/>
  <c r="X610" i="19"/>
  <c r="X602" i="19" s="1"/>
  <c r="V16" i="20"/>
  <c r="AO13" i="20" s="1"/>
  <c r="AH464" i="19"/>
  <c r="AI464" i="19"/>
  <c r="AH562" i="19"/>
  <c r="AI562" i="19"/>
  <c r="AI175" i="19"/>
  <c r="I174" i="19"/>
  <c r="Y523" i="19"/>
  <c r="AI523" i="19" s="1"/>
  <c r="AH524" i="19"/>
  <c r="AH574" i="19"/>
  <c r="AH446" i="19"/>
  <c r="AH507" i="19"/>
  <c r="AI507" i="19"/>
  <c r="AH45" i="19"/>
  <c r="AH423" i="19"/>
  <c r="AI423" i="19"/>
  <c r="AI574" i="19"/>
  <c r="AI524" i="19"/>
  <c r="AI446" i="19"/>
  <c r="AH472" i="19"/>
  <c r="AI472" i="19"/>
  <c r="Y643" i="19"/>
  <c r="AH653" i="19"/>
  <c r="AH500" i="19"/>
  <c r="AI500" i="19"/>
  <c r="AH610" i="19"/>
  <c r="AH225" i="19"/>
  <c r="Y224" i="19"/>
  <c r="AH338" i="19"/>
  <c r="Y337" i="19"/>
  <c r="I224" i="19"/>
  <c r="AI225" i="19"/>
  <c r="AI603" i="19"/>
  <c r="I602" i="19"/>
  <c r="AI653" i="19"/>
  <c r="I45" i="19"/>
  <c r="Y552" i="19"/>
  <c r="I643" i="19"/>
  <c r="AI610" i="19"/>
  <c r="O16" i="19" l="1"/>
  <c r="AE639" i="19"/>
  <c r="AG640" i="19"/>
  <c r="AD640" i="19"/>
  <c r="AD226" i="19"/>
  <c r="AD225" i="19" s="1"/>
  <c r="AD224" i="19" s="1"/>
  <c r="AG134" i="19"/>
  <c r="AE133" i="19"/>
  <c r="AD611" i="19"/>
  <c r="AE473" i="19"/>
  <c r="N16" i="19"/>
  <c r="X44" i="19"/>
  <c r="AH183" i="19"/>
  <c r="H16" i="19"/>
  <c r="AE575" i="19"/>
  <c r="AI567" i="19"/>
  <c r="X565" i="19"/>
  <c r="X415" i="19" s="1"/>
  <c r="AH567" i="19"/>
  <c r="AD508" i="19"/>
  <c r="AD507" i="19" s="1"/>
  <c r="AD500" i="19" s="1"/>
  <c r="AI643" i="19"/>
  <c r="AD525" i="19"/>
  <c r="AD524" i="19" s="1"/>
  <c r="AD523" i="19" s="1"/>
  <c r="AD432" i="19"/>
  <c r="AD423" i="19" s="1"/>
  <c r="AD416" i="19" s="1"/>
  <c r="AH184" i="19"/>
  <c r="Y174" i="19"/>
  <c r="Y44" i="19" s="1"/>
  <c r="AI184" i="19"/>
  <c r="AD20" i="19"/>
  <c r="AD654" i="19"/>
  <c r="AD653" i="19" s="1"/>
  <c r="AD643" i="19" s="1"/>
  <c r="Z16" i="20"/>
  <c r="AN29" i="20"/>
  <c r="AD32" i="19"/>
  <c r="AG32" i="19"/>
  <c r="AE507" i="19"/>
  <c r="AG508" i="19"/>
  <c r="AD210" i="19"/>
  <c r="AD209" i="19" s="1"/>
  <c r="AD184" i="19" s="1"/>
  <c r="AG210" i="19"/>
  <c r="AE209" i="19"/>
  <c r="AD38" i="19"/>
  <c r="AG38" i="19"/>
  <c r="AG611" i="19"/>
  <c r="AE338" i="19"/>
  <c r="AG339" i="19"/>
  <c r="AE524" i="19"/>
  <c r="AG525" i="19"/>
  <c r="AE423" i="19"/>
  <c r="AG432" i="19"/>
  <c r="AG677" i="19"/>
  <c r="AD641" i="19"/>
  <c r="AG398" i="19"/>
  <c r="AE224" i="19"/>
  <c r="AG224" i="19" s="1"/>
  <c r="AG225" i="19"/>
  <c r="AD387" i="19"/>
  <c r="AD339" i="19" s="1"/>
  <c r="AD338" i="19" s="1"/>
  <c r="AD337" i="19" s="1"/>
  <c r="AG387" i="19"/>
  <c r="AG226" i="19"/>
  <c r="AD134" i="19"/>
  <c r="AD564" i="19"/>
  <c r="AD562" i="19" s="1"/>
  <c r="AD552" i="19" s="1"/>
  <c r="AD544" i="19" s="1"/>
  <c r="AE562" i="19"/>
  <c r="AD221" i="19"/>
  <c r="AD217" i="19" s="1"/>
  <c r="AE217" i="19"/>
  <c r="AD493" i="19"/>
  <c r="AE653" i="19"/>
  <c r="AD594" i="19"/>
  <c r="AD575" i="19" s="1"/>
  <c r="AE17" i="19"/>
  <c r="AI602" i="19"/>
  <c r="AI224" i="19"/>
  <c r="AH337" i="19"/>
  <c r="AH224" i="19"/>
  <c r="AH523" i="19"/>
  <c r="AI45" i="19"/>
  <c r="I44" i="19"/>
  <c r="AH602" i="19"/>
  <c r="AH416" i="19"/>
  <c r="AI416" i="19"/>
  <c r="AI337" i="19"/>
  <c r="AH552" i="19"/>
  <c r="AI552" i="19"/>
  <c r="Y544" i="19"/>
  <c r="AH643" i="19"/>
  <c r="X16" i="19" l="1"/>
  <c r="AD639" i="19"/>
  <c r="AD610" i="19" s="1"/>
  <c r="AD602" i="19" s="1"/>
  <c r="AG11" i="19"/>
  <c r="AJ17" i="19"/>
  <c r="AD133" i="19"/>
  <c r="AD52" i="19" s="1"/>
  <c r="AD45" i="19" s="1"/>
  <c r="AD473" i="19"/>
  <c r="AD472" i="19" s="1"/>
  <c r="AD464" i="19" s="1"/>
  <c r="AD574" i="19"/>
  <c r="AD565" i="19" s="1"/>
  <c r="AH566" i="19"/>
  <c r="Y565" i="19"/>
  <c r="AH565" i="19" s="1"/>
  <c r="AI566" i="19"/>
  <c r="I565" i="19"/>
  <c r="AH174" i="19"/>
  <c r="AD17" i="19"/>
  <c r="AI174" i="19"/>
  <c r="AD183" i="19"/>
  <c r="AD174" i="19" s="1"/>
  <c r="AN16" i="20"/>
  <c r="J27" i="13"/>
  <c r="AG17" i="19"/>
  <c r="AE574" i="19"/>
  <c r="AG575" i="19"/>
  <c r="AE643" i="19"/>
  <c r="AE472" i="19"/>
  <c r="AG473" i="19"/>
  <c r="AG217" i="19"/>
  <c r="AE552" i="19"/>
  <c r="AG562" i="19"/>
  <c r="AE52" i="19"/>
  <c r="AG133" i="19"/>
  <c r="AG423" i="19"/>
  <c r="AE416" i="19"/>
  <c r="AE523" i="19"/>
  <c r="AG523" i="19" s="1"/>
  <c r="AG524" i="19"/>
  <c r="AE337" i="19"/>
  <c r="AG337" i="19" s="1"/>
  <c r="AG338" i="19"/>
  <c r="AG209" i="19"/>
  <c r="AE184" i="19"/>
  <c r="AG184" i="19" s="1"/>
  <c r="AE500" i="19"/>
  <c r="AG500" i="19" s="1"/>
  <c r="AG507" i="19"/>
  <c r="AH44" i="19"/>
  <c r="AH544" i="19"/>
  <c r="AI544" i="19"/>
  <c r="AI44" i="19"/>
  <c r="AG639" i="19" l="1"/>
  <c r="AE610" i="19"/>
  <c r="AG416" i="19"/>
  <c r="AD44" i="19"/>
  <c r="AD415" i="19"/>
  <c r="Y415" i="19"/>
  <c r="Y16" i="19" s="1"/>
  <c r="AH16" i="19" s="1"/>
  <c r="AI565" i="19"/>
  <c r="I415" i="19"/>
  <c r="I16" i="19" s="1"/>
  <c r="AE183" i="19"/>
  <c r="AE174" i="19" s="1"/>
  <c r="AE45" i="19"/>
  <c r="AG45" i="19" s="1"/>
  <c r="AG52" i="19"/>
  <c r="AE544" i="19"/>
  <c r="AG544" i="19" s="1"/>
  <c r="AG552" i="19"/>
  <c r="AE464" i="19"/>
  <c r="AG472" i="19"/>
  <c r="AG574" i="19"/>
  <c r="AD16" i="19" l="1"/>
  <c r="AJ16" i="19" s="1"/>
  <c r="AE602" i="19"/>
  <c r="AG602" i="19" s="1"/>
  <c r="AG610" i="19"/>
  <c r="AH415" i="19"/>
  <c r="AG567" i="19"/>
  <c r="AI415" i="19"/>
  <c r="AG183" i="19"/>
  <c r="AG464" i="19"/>
  <c r="AE44" i="19"/>
  <c r="AG174" i="19"/>
  <c r="I153" i="7"/>
  <c r="S26" i="18"/>
  <c r="S25" i="18" s="1"/>
  <c r="U25" i="18"/>
  <c r="R25" i="18"/>
  <c r="Q25" i="18"/>
  <c r="O25" i="18"/>
  <c r="N25" i="18"/>
  <c r="M25" i="18"/>
  <c r="S24" i="18"/>
  <c r="S22" i="18" s="1"/>
  <c r="U22" i="18"/>
  <c r="R22" i="18"/>
  <c r="Q22" i="18"/>
  <c r="N22" i="18"/>
  <c r="M22" i="18"/>
  <c r="Q21" i="18"/>
  <c r="Q19" i="18" s="1"/>
  <c r="Q18" i="18" s="1"/>
  <c r="Q17" i="18" s="1"/>
  <c r="M21" i="18"/>
  <c r="U19" i="18"/>
  <c r="U18" i="18" s="1"/>
  <c r="U17" i="18" s="1"/>
  <c r="S19" i="18"/>
  <c r="O19" i="18"/>
  <c r="O18" i="18" s="1"/>
  <c r="O17" i="18" s="1"/>
  <c r="N19" i="18"/>
  <c r="M19" i="18"/>
  <c r="M18" i="18" s="1"/>
  <c r="M17" i="18" s="1"/>
  <c r="N18" i="18" l="1"/>
  <c r="N17" i="18" s="1"/>
  <c r="AG566" i="19"/>
  <c r="AE565" i="19"/>
  <c r="AE415" i="19" s="1"/>
  <c r="AE16" i="19" s="1"/>
  <c r="J28" i="13"/>
  <c r="AG44" i="19"/>
  <c r="R21" i="18"/>
  <c r="R19" i="18" s="1"/>
  <c r="R18" i="18" s="1"/>
  <c r="R17" i="18" s="1"/>
  <c r="S18" i="18"/>
  <c r="S17" i="18" s="1"/>
  <c r="S11" i="13"/>
  <c r="J33" i="13"/>
  <c r="R25" i="13"/>
  <c r="R14" i="13"/>
  <c r="AG565" i="19" l="1"/>
  <c r="R12" i="13"/>
  <c r="R11" i="13" s="1"/>
  <c r="N14" i="13"/>
  <c r="AF421" i="7"/>
  <c r="AF351" i="7"/>
  <c r="AF331" i="7"/>
  <c r="AF294" i="7"/>
  <c r="AG275" i="7"/>
  <c r="AF42" i="7"/>
  <c r="AF39" i="7"/>
  <c r="AG415" i="19" l="1"/>
  <c r="J31" i="13"/>
  <c r="Z26" i="13" s="1"/>
  <c r="AF46" i="7"/>
  <c r="AG40" i="7"/>
  <c r="AP40" i="7" s="1"/>
  <c r="AG43" i="7"/>
  <c r="AP43" i="7" s="1"/>
  <c r="AG50" i="7"/>
  <c r="AP50" i="7" s="1"/>
  <c r="AG52" i="7"/>
  <c r="AP52" i="7" s="1"/>
  <c r="AG56" i="7"/>
  <c r="AP56" i="7" s="1"/>
  <c r="AG66" i="7"/>
  <c r="AP66" i="7" s="1"/>
  <c r="AG71" i="7"/>
  <c r="AP71" i="7" s="1"/>
  <c r="AG74" i="7"/>
  <c r="AP74" i="7" s="1"/>
  <c r="AG75" i="7"/>
  <c r="AP75" i="7" s="1"/>
  <c r="AG88" i="7"/>
  <c r="AP88" i="7" s="1"/>
  <c r="AG90" i="7"/>
  <c r="AP90" i="7" s="1"/>
  <c r="AG94" i="7"/>
  <c r="AP94" i="7" s="1"/>
  <c r="AG98" i="7"/>
  <c r="AP98" i="7" s="1"/>
  <c r="AG100" i="7"/>
  <c r="AP100" i="7" s="1"/>
  <c r="AG102" i="7"/>
  <c r="AP102" i="7" s="1"/>
  <c r="AG104" i="7"/>
  <c r="AP104" i="7" s="1"/>
  <c r="AG106" i="7"/>
  <c r="AP106" i="7" s="1"/>
  <c r="AG108" i="7"/>
  <c r="AP108" i="7" s="1"/>
  <c r="AG110" i="7"/>
  <c r="AP110" i="7" s="1"/>
  <c r="AG112" i="7"/>
  <c r="AP112" i="7" s="1"/>
  <c r="AG114" i="7"/>
  <c r="AP114" i="7" s="1"/>
  <c r="AG116" i="7"/>
  <c r="AP116" i="7" s="1"/>
  <c r="AG120" i="7"/>
  <c r="AP120" i="7" s="1"/>
  <c r="AG122" i="7"/>
  <c r="AP122" i="7" s="1"/>
  <c r="AG127" i="7"/>
  <c r="AP127" i="7" s="1"/>
  <c r="AG130" i="7"/>
  <c r="AP130" i="7" s="1"/>
  <c r="AG131" i="7"/>
  <c r="AP131" i="7" s="1"/>
  <c r="AG132" i="7"/>
  <c r="AP132" i="7" s="1"/>
  <c r="AG135" i="7"/>
  <c r="AP135" i="7" s="1"/>
  <c r="AG136" i="7"/>
  <c r="AP136" i="7" s="1"/>
  <c r="AG141" i="7"/>
  <c r="AP141" i="7" s="1"/>
  <c r="AG159" i="7"/>
  <c r="AP159" i="7" s="1"/>
  <c r="AG161" i="7"/>
  <c r="AP161" i="7" s="1"/>
  <c r="AG164" i="7"/>
  <c r="AP164" i="7" s="1"/>
  <c r="AG168" i="7"/>
  <c r="AP168" i="7" s="1"/>
  <c r="AG171" i="7"/>
  <c r="AP171" i="7" s="1"/>
  <c r="AG173" i="7"/>
  <c r="AP173" i="7" s="1"/>
  <c r="AG175" i="7"/>
  <c r="AP175" i="7" s="1"/>
  <c r="AG177" i="7"/>
  <c r="AP177" i="7" s="1"/>
  <c r="AG180" i="7"/>
  <c r="AP180" i="7" s="1"/>
  <c r="AG185" i="7"/>
  <c r="AP185" i="7" s="1"/>
  <c r="AG193" i="7"/>
  <c r="AP193" i="7" s="1"/>
  <c r="AG195" i="7"/>
  <c r="AP195" i="7" s="1"/>
  <c r="AG216" i="7"/>
  <c r="AP216" i="7" s="1"/>
  <c r="AG232" i="7"/>
  <c r="AP232" i="7" s="1"/>
  <c r="AG237" i="7"/>
  <c r="AP237" i="7" s="1"/>
  <c r="AG239" i="7"/>
  <c r="AP239" i="7" s="1"/>
  <c r="AG241" i="7"/>
  <c r="AP241" i="7" s="1"/>
  <c r="AG243" i="7"/>
  <c r="AP243" i="7" s="1"/>
  <c r="AG246" i="7"/>
  <c r="AP246" i="7" s="1"/>
  <c r="AG248" i="7"/>
  <c r="AP248" i="7" s="1"/>
  <c r="AG271" i="7"/>
  <c r="AP271" i="7" s="1"/>
  <c r="AP275" i="7"/>
  <c r="AG278" i="7"/>
  <c r="AP278" i="7" s="1"/>
  <c r="AG280" i="7"/>
  <c r="AP280" i="7" s="1"/>
  <c r="AG285" i="7"/>
  <c r="AP285" i="7" s="1"/>
  <c r="AG286" i="7"/>
  <c r="AP286" i="7" s="1"/>
  <c r="AG288" i="7"/>
  <c r="AP288" i="7" s="1"/>
  <c r="AG290" i="7"/>
  <c r="AP290" i="7" s="1"/>
  <c r="AG292" i="7"/>
  <c r="AP292" i="7" s="1"/>
  <c r="AG295" i="7"/>
  <c r="AP295" i="7" s="1"/>
  <c r="AG301" i="7"/>
  <c r="AP301" i="7" s="1"/>
  <c r="AG303" i="7"/>
  <c r="AP303" i="7" s="1"/>
  <c r="AG305" i="7"/>
  <c r="AP305" i="7" s="1"/>
  <c r="AG308" i="7"/>
  <c r="AP308" i="7" s="1"/>
  <c r="AG325" i="7"/>
  <c r="AP325" i="7" s="1"/>
  <c r="AG329" i="7"/>
  <c r="AP329" i="7" s="1"/>
  <c r="AG332" i="7"/>
  <c r="AP332" i="7" s="1"/>
  <c r="AG334" i="7"/>
  <c r="AP334" i="7" s="1"/>
  <c r="AG335" i="7"/>
  <c r="AP335" i="7" s="1"/>
  <c r="AG338" i="7"/>
  <c r="AP338" i="7" s="1"/>
  <c r="AG342" i="7"/>
  <c r="AP342" i="7" s="1"/>
  <c r="AG365" i="7"/>
  <c r="AP365" i="7" s="1"/>
  <c r="AG419" i="7"/>
  <c r="AP419" i="7" s="1"/>
  <c r="AG41" i="7"/>
  <c r="AP41" i="7" s="1"/>
  <c r="AG42" i="7"/>
  <c r="AP42" i="7" s="1"/>
  <c r="AG47" i="7"/>
  <c r="AP47" i="7" s="1"/>
  <c r="AG51" i="7"/>
  <c r="AP51" i="7" s="1"/>
  <c r="AG54" i="7"/>
  <c r="AP54" i="7" s="1"/>
  <c r="AG63" i="7"/>
  <c r="AG65" i="7"/>
  <c r="AP65" i="7" s="1"/>
  <c r="AG69" i="7"/>
  <c r="AP69" i="7" s="1"/>
  <c r="AG72" i="7"/>
  <c r="AP72" i="7" s="1"/>
  <c r="AG87" i="7"/>
  <c r="AP87" i="7" s="1"/>
  <c r="AG89" i="7"/>
  <c r="AP89" i="7" s="1"/>
  <c r="AG93" i="7"/>
  <c r="AP93" i="7" s="1"/>
  <c r="AG97" i="7"/>
  <c r="AP97" i="7" s="1"/>
  <c r="AG99" i="7"/>
  <c r="AP99" i="7" s="1"/>
  <c r="AG101" i="7"/>
  <c r="AP101" i="7" s="1"/>
  <c r="AG103" i="7"/>
  <c r="AP103" i="7" s="1"/>
  <c r="AG105" i="7"/>
  <c r="AP105" i="7" s="1"/>
  <c r="AG107" i="7"/>
  <c r="AP107" i="7" s="1"/>
  <c r="AG109" i="7"/>
  <c r="AP109" i="7" s="1"/>
  <c r="AG111" i="7"/>
  <c r="AP111" i="7" s="1"/>
  <c r="AG113" i="7"/>
  <c r="AP113" i="7" s="1"/>
  <c r="AG115" i="7"/>
  <c r="AP115" i="7" s="1"/>
  <c r="AG117" i="7"/>
  <c r="AP117" i="7" s="1"/>
  <c r="AG118" i="7"/>
  <c r="AP118" i="7" s="1"/>
  <c r="AG119" i="7"/>
  <c r="AP119" i="7" s="1"/>
  <c r="AG121" i="7"/>
  <c r="AP121" i="7" s="1"/>
  <c r="AG123" i="7"/>
  <c r="AP123" i="7" s="1"/>
  <c r="AG124" i="7"/>
  <c r="AP124" i="7" s="1"/>
  <c r="AG126" i="7"/>
  <c r="AP126" i="7" s="1"/>
  <c r="AG128" i="7"/>
  <c r="AP128" i="7" s="1"/>
  <c r="AG129" i="7"/>
  <c r="AP129" i="7" s="1"/>
  <c r="AG133" i="7"/>
  <c r="AP133" i="7" s="1"/>
  <c r="AG134" i="7"/>
  <c r="AP134" i="7" s="1"/>
  <c r="AG137" i="7"/>
  <c r="AP137" i="7" s="1"/>
  <c r="AG138" i="7"/>
  <c r="AP138" i="7" s="1"/>
  <c r="AG139" i="7"/>
  <c r="AP139" i="7" s="1"/>
  <c r="AG140" i="7"/>
  <c r="AP140" i="7" s="1"/>
  <c r="AG142" i="7"/>
  <c r="AP142" i="7" s="1"/>
  <c r="AG160" i="7"/>
  <c r="AP160" i="7" s="1"/>
  <c r="AG163" i="7"/>
  <c r="AP163" i="7" s="1"/>
  <c r="AG165" i="7"/>
  <c r="AP165" i="7" s="1"/>
  <c r="AG169" i="7"/>
  <c r="AP169" i="7" s="1"/>
  <c r="AG172" i="7"/>
  <c r="AP172" i="7" s="1"/>
  <c r="AG174" i="7"/>
  <c r="AP174" i="7" s="1"/>
  <c r="AG176" i="7"/>
  <c r="AP176" i="7" s="1"/>
  <c r="AG179" i="7"/>
  <c r="AP179" i="7" s="1"/>
  <c r="AG182" i="7"/>
  <c r="AP182" i="7" s="1"/>
  <c r="AG186" i="7"/>
  <c r="AP186" i="7" s="1"/>
  <c r="AG194" i="7"/>
  <c r="AP194" i="7" s="1"/>
  <c r="AG196" i="7"/>
  <c r="AP196" i="7" s="1"/>
  <c r="AG231" i="7"/>
  <c r="AP231" i="7" s="1"/>
  <c r="AG236" i="7"/>
  <c r="AP236" i="7" s="1"/>
  <c r="AG238" i="7"/>
  <c r="AP238" i="7" s="1"/>
  <c r="AG240" i="7"/>
  <c r="AP240" i="7" s="1"/>
  <c r="AG242" i="7"/>
  <c r="AP242" i="7" s="1"/>
  <c r="AG244" i="7"/>
  <c r="AP244" i="7" s="1"/>
  <c r="AG245" i="7"/>
  <c r="AP245" i="7" s="1"/>
  <c r="AG247" i="7"/>
  <c r="AP247" i="7" s="1"/>
  <c r="AG249" i="7"/>
  <c r="AP249" i="7" s="1"/>
  <c r="AG260" i="7"/>
  <c r="AP260" i="7" s="1"/>
  <c r="AG261" i="7"/>
  <c r="AP261" i="7" s="1"/>
  <c r="AG262" i="7"/>
  <c r="AP262" i="7" s="1"/>
  <c r="AG263" i="7"/>
  <c r="AP263" i="7" s="1"/>
  <c r="AG274" i="7"/>
  <c r="AP274" i="7" s="1"/>
  <c r="AG277" i="7"/>
  <c r="AP277" i="7" s="1"/>
  <c r="AG279" i="7"/>
  <c r="AP279" i="7" s="1"/>
  <c r="AG281" i="7"/>
  <c r="AP281" i="7" s="1"/>
  <c r="AG282" i="7"/>
  <c r="AP282" i="7" s="1"/>
  <c r="AG284" i="7"/>
  <c r="AP284" i="7" s="1"/>
  <c r="AG287" i="7"/>
  <c r="AP287" i="7" s="1"/>
  <c r="AG289" i="7"/>
  <c r="AP289" i="7" s="1"/>
  <c r="AG291" i="7"/>
  <c r="AP291" i="7" s="1"/>
  <c r="AG293" i="7"/>
  <c r="AP293" i="7" s="1"/>
  <c r="AG294" i="7"/>
  <c r="AP294" i="7" s="1"/>
  <c r="AG296" i="7"/>
  <c r="AP296" i="7" s="1"/>
  <c r="AG297" i="7"/>
  <c r="AP297" i="7" s="1"/>
  <c r="AG302" i="7"/>
  <c r="AP302" i="7" s="1"/>
  <c r="AG304" i="7"/>
  <c r="AP304" i="7" s="1"/>
  <c r="AG306" i="7"/>
  <c r="AP306" i="7" s="1"/>
  <c r="AG327" i="7"/>
  <c r="AP327" i="7" s="1"/>
  <c r="AG330" i="7"/>
  <c r="AP330" i="7" s="1"/>
  <c r="AG331" i="7"/>
  <c r="AP331" i="7" s="1"/>
  <c r="AG343" i="7"/>
  <c r="AP343" i="7" s="1"/>
  <c r="AG350" i="7"/>
  <c r="AG364" i="7"/>
  <c r="AP364" i="7" s="1"/>
  <c r="AG369" i="7"/>
  <c r="AP369" i="7" s="1"/>
  <c r="AG379" i="7"/>
  <c r="AP379" i="7" s="1"/>
  <c r="AG392" i="7"/>
  <c r="AP392" i="7" s="1"/>
  <c r="AG393" i="7"/>
  <c r="AP393" i="7" s="1"/>
  <c r="AG394" i="7"/>
  <c r="AP394" i="7" s="1"/>
  <c r="AG395" i="7"/>
  <c r="AP395" i="7" s="1"/>
  <c r="AG396" i="7"/>
  <c r="AP396" i="7" s="1"/>
  <c r="AG397" i="7"/>
  <c r="AP397" i="7" s="1"/>
  <c r="AG398" i="7"/>
  <c r="AP398" i="7" s="1"/>
  <c r="AG399" i="7"/>
  <c r="AP399" i="7" s="1"/>
  <c r="AG400" i="7"/>
  <c r="AP400" i="7" s="1"/>
  <c r="AG401" i="7"/>
  <c r="AP401" i="7" s="1"/>
  <c r="AG402" i="7"/>
  <c r="AP402" i="7" s="1"/>
  <c r="AG403" i="7"/>
  <c r="AP403" i="7" s="1"/>
  <c r="AG404" i="7"/>
  <c r="AP404" i="7" s="1"/>
  <c r="AG405" i="7"/>
  <c r="AP405" i="7" s="1"/>
  <c r="AG406" i="7"/>
  <c r="AP406" i="7" s="1"/>
  <c r="AG407" i="7"/>
  <c r="AP407" i="7" s="1"/>
  <c r="AG408" i="7"/>
  <c r="AP408" i="7" s="1"/>
  <c r="AG409" i="7"/>
  <c r="AP409" i="7" s="1"/>
  <c r="AG410" i="7"/>
  <c r="AP410" i="7" s="1"/>
  <c r="AG411" i="7"/>
  <c r="AP411" i="7" s="1"/>
  <c r="AG412" i="7"/>
  <c r="AP412" i="7" s="1"/>
  <c r="AG413" i="7"/>
  <c r="AP413" i="7" s="1"/>
  <c r="AG414" i="7"/>
  <c r="AP414" i="7" s="1"/>
  <c r="AG416" i="7"/>
  <c r="AP416" i="7" s="1"/>
  <c r="AG417" i="7"/>
  <c r="AP417" i="7" s="1"/>
  <c r="AG418" i="7"/>
  <c r="AP418" i="7" s="1"/>
  <c r="AG432" i="7"/>
  <c r="AP432" i="7" s="1"/>
  <c r="AG433" i="7"/>
  <c r="AP433" i="7" s="1"/>
  <c r="AG250" i="7"/>
  <c r="AP250" i="7" s="1"/>
  <c r="AG283" i="7"/>
  <c r="AP283" i="7" s="1"/>
  <c r="AG49" i="7"/>
  <c r="AP49" i="7" s="1"/>
  <c r="AG181" i="7"/>
  <c r="AP181" i="7" s="1"/>
  <c r="AG48" i="7"/>
  <c r="AP48" i="7" s="1"/>
  <c r="AG38" i="7"/>
  <c r="AP38" i="7" s="1"/>
  <c r="AG46" i="7"/>
  <c r="AG259" i="7"/>
  <c r="AP259" i="7" s="1"/>
  <c r="AG78" i="7"/>
  <c r="AP78" i="7" s="1"/>
  <c r="AG427" i="7"/>
  <c r="AP427" i="7" s="1"/>
  <c r="I78" i="7"/>
  <c r="S25" i="13"/>
  <c r="Q14" i="13"/>
  <c r="AP63" i="7" l="1"/>
  <c r="AP350" i="7"/>
  <c r="AP46" i="7"/>
  <c r="AF110" i="7"/>
  <c r="AG16" i="19"/>
  <c r="AK16" i="19"/>
  <c r="AF410" i="7"/>
  <c r="AF131" i="7"/>
  <c r="AF168" i="7"/>
  <c r="AF102" i="7"/>
  <c r="AF121" i="7"/>
  <c r="AF137" i="7"/>
  <c r="AF240" i="7"/>
  <c r="AF432" i="7"/>
  <c r="AF262" i="7"/>
  <c r="AF107" i="7"/>
  <c r="AF394" i="7"/>
  <c r="AF402" i="7"/>
  <c r="AF49" i="7"/>
  <c r="BE39" i="7"/>
  <c r="AF414" i="7"/>
  <c r="AF406" i="7"/>
  <c r="AF398" i="7"/>
  <c r="AF369" i="7"/>
  <c r="AF247" i="7"/>
  <c r="AF142" i="7"/>
  <c r="AF128" i="7"/>
  <c r="AF115" i="7"/>
  <c r="AF99" i="7"/>
  <c r="AF141" i="7"/>
  <c r="AF120" i="7"/>
  <c r="AF306" i="7"/>
  <c r="AF305" i="7"/>
  <c r="AF289" i="7"/>
  <c r="AF172" i="7"/>
  <c r="AF72" i="7"/>
  <c r="AF342" i="7"/>
  <c r="AF285" i="7"/>
  <c r="AF241" i="7"/>
  <c r="AF88" i="7"/>
  <c r="AF193" i="7"/>
  <c r="AF231" i="7"/>
  <c r="AF296" i="7"/>
  <c r="AF281" i="7"/>
  <c r="AF194" i="7"/>
  <c r="AF332" i="7"/>
  <c r="AF292" i="7"/>
  <c r="AF180" i="7"/>
  <c r="AF100" i="7"/>
  <c r="BE40" i="7"/>
  <c r="AF171" i="7"/>
  <c r="AF87" i="7"/>
  <c r="AF417" i="7"/>
  <c r="AF412" i="7"/>
  <c r="AF408" i="7"/>
  <c r="AF404" i="7"/>
  <c r="AF400" i="7"/>
  <c r="AF396" i="7"/>
  <c r="AF392" i="7"/>
  <c r="AF350" i="7"/>
  <c r="AF302" i="7"/>
  <c r="AF293" i="7"/>
  <c r="AF284" i="7"/>
  <c r="AF277" i="7"/>
  <c r="AF260" i="7"/>
  <c r="AF244" i="7"/>
  <c r="AF236" i="7"/>
  <c r="AF176" i="7"/>
  <c r="AF163" i="7"/>
  <c r="AF139" i="7"/>
  <c r="AF133" i="7"/>
  <c r="AF124" i="7"/>
  <c r="AF118" i="7"/>
  <c r="AF111" i="7"/>
  <c r="AF103" i="7"/>
  <c r="AF93" i="7"/>
  <c r="AF65" i="7"/>
  <c r="AF419" i="7"/>
  <c r="AF335" i="7"/>
  <c r="AF325" i="7"/>
  <c r="AF301" i="7"/>
  <c r="AF288" i="7"/>
  <c r="AF280" i="7"/>
  <c r="AF246" i="7"/>
  <c r="AF237" i="7"/>
  <c r="AF175" i="7"/>
  <c r="AF161" i="7"/>
  <c r="AF135" i="7"/>
  <c r="AF127" i="7"/>
  <c r="AF114" i="7"/>
  <c r="AF106" i="7"/>
  <c r="AF94" i="7"/>
  <c r="AF74" i="7"/>
  <c r="BE38" i="7"/>
  <c r="AF181" i="7"/>
  <c r="AF283" i="7"/>
  <c r="AF250" i="7"/>
  <c r="AF330" i="7"/>
  <c r="AF165" i="7"/>
  <c r="AF274" i="7"/>
  <c r="AG190" i="7"/>
  <c r="AF185" i="7"/>
  <c r="AG228" i="7"/>
  <c r="AF433" i="7"/>
  <c r="AF418" i="7"/>
  <c r="AF416" i="7"/>
  <c r="AF413" i="7"/>
  <c r="AF411" i="7"/>
  <c r="AF409" i="7"/>
  <c r="AF407" i="7"/>
  <c r="AF405" i="7"/>
  <c r="AF403" i="7"/>
  <c r="AF401" i="7"/>
  <c r="AF399" i="7"/>
  <c r="AF397" i="7"/>
  <c r="AF395" i="7"/>
  <c r="AF393" i="7"/>
  <c r="AF379" i="7"/>
  <c r="AF364" i="7"/>
  <c r="AF343" i="7"/>
  <c r="AF327" i="7"/>
  <c r="AF304" i="7"/>
  <c r="AF297" i="7"/>
  <c r="AF291" i="7"/>
  <c r="AF287" i="7"/>
  <c r="AF282" i="7"/>
  <c r="AF279" i="7"/>
  <c r="AF263" i="7"/>
  <c r="AF261" i="7"/>
  <c r="AF249" i="7"/>
  <c r="AF245" i="7"/>
  <c r="AF242" i="7"/>
  <c r="AF238" i="7"/>
  <c r="AF196" i="7"/>
  <c r="AF186" i="7"/>
  <c r="AF179" i="7"/>
  <c r="AF174" i="7"/>
  <c r="AF169" i="7"/>
  <c r="AF160" i="7"/>
  <c r="AF140" i="7"/>
  <c r="AF138" i="7"/>
  <c r="AF134" i="7"/>
  <c r="AF129" i="7"/>
  <c r="AF126" i="7"/>
  <c r="AF123" i="7"/>
  <c r="AF119" i="7"/>
  <c r="AF117" i="7"/>
  <c r="AF113" i="7"/>
  <c r="AF109" i="7"/>
  <c r="AF105" i="7"/>
  <c r="AF101" i="7"/>
  <c r="AF97" i="7"/>
  <c r="AF89" i="7"/>
  <c r="AF69" i="7"/>
  <c r="AF51" i="7"/>
  <c r="AF47" i="7"/>
  <c r="AF41" i="7"/>
  <c r="AF365" i="7"/>
  <c r="AF338" i="7"/>
  <c r="AF334" i="7"/>
  <c r="AF329" i="7"/>
  <c r="AF308" i="7"/>
  <c r="AF303" i="7"/>
  <c r="AF295" i="7"/>
  <c r="AF290" i="7"/>
  <c r="AF286" i="7"/>
  <c r="AF278" i="7"/>
  <c r="AF271" i="7"/>
  <c r="AF248" i="7"/>
  <c r="AF243" i="7"/>
  <c r="AF239" i="7"/>
  <c r="AF232" i="7"/>
  <c r="AF195" i="7"/>
  <c r="AF177" i="7"/>
  <c r="AF173" i="7"/>
  <c r="AF164" i="7"/>
  <c r="AF159" i="7"/>
  <c r="AF136" i="7"/>
  <c r="AF132" i="7"/>
  <c r="AF130" i="7"/>
  <c r="AF122" i="7"/>
  <c r="AF116" i="7"/>
  <c r="AF112" i="7"/>
  <c r="AF108" i="7"/>
  <c r="AF104" i="7"/>
  <c r="AF98" i="7"/>
  <c r="AF90" i="7"/>
  <c r="AF75" i="7"/>
  <c r="AF71" i="7"/>
  <c r="AF56" i="7"/>
  <c r="AF50" i="7"/>
  <c r="Q12" i="13"/>
  <c r="Q11" i="13" s="1"/>
  <c r="AF427" i="7"/>
  <c r="AF78" i="7"/>
  <c r="AG35" i="7"/>
  <c r="AP35" i="7" s="1"/>
  <c r="AF48" i="7"/>
  <c r="AF38" i="7"/>
  <c r="AF259" i="7"/>
  <c r="I25" i="7"/>
  <c r="BD24" i="7"/>
  <c r="BD23" i="7"/>
  <c r="AG227" i="7" l="1"/>
  <c r="AG189" i="7"/>
  <c r="AF228" i="7"/>
  <c r="AF227" i="7" s="1"/>
  <c r="AF190" i="7"/>
  <c r="AF189" i="7" s="1"/>
  <c r="AG34" i="7"/>
  <c r="AP34" i="7" s="1"/>
  <c r="J471" i="8"/>
  <c r="K471" i="8"/>
  <c r="L471" i="8"/>
  <c r="M471" i="8"/>
  <c r="O471" i="8"/>
  <c r="U471" i="8"/>
  <c r="V471" i="8"/>
  <c r="W471" i="8"/>
  <c r="AA471" i="8"/>
  <c r="AC471" i="8"/>
  <c r="AD471" i="8"/>
  <c r="AE471" i="8"/>
  <c r="AF471" i="8"/>
  <c r="AG471" i="8"/>
  <c r="AH471" i="8"/>
  <c r="AI471" i="8"/>
  <c r="AJ471" i="8"/>
  <c r="AK471" i="8"/>
  <c r="Y493" i="8"/>
  <c r="AN493" i="8" s="1"/>
  <c r="T491" i="8"/>
  <c r="T29" i="8"/>
  <c r="Y20" i="8"/>
  <c r="Y426" i="7"/>
  <c r="Y300" i="7"/>
  <c r="Y222" i="7"/>
  <c r="J149" i="7"/>
  <c r="K149" i="7"/>
  <c r="L149" i="7"/>
  <c r="M149" i="7"/>
  <c r="W149" i="7"/>
  <c r="Y153" i="7"/>
  <c r="X153" i="7" s="1"/>
  <c r="H129" i="8"/>
  <c r="AG300" i="7" l="1"/>
  <c r="AP300" i="7" s="1"/>
  <c r="AG222" i="7"/>
  <c r="AP222" i="7" s="1"/>
  <c r="AG426" i="7"/>
  <c r="AP426" i="7" s="1"/>
  <c r="AM493" i="8"/>
  <c r="X493" i="8"/>
  <c r="H84" i="7"/>
  <c r="AN60" i="10"/>
  <c r="AN59" i="10"/>
  <c r="AN56" i="10"/>
  <c r="AN55" i="10"/>
  <c r="AN54" i="10"/>
  <c r="AN40" i="10"/>
  <c r="AN32" i="10"/>
  <c r="AN26" i="10"/>
  <c r="AN25" i="10"/>
  <c r="AN24" i="10"/>
  <c r="AN23" i="10"/>
  <c r="AN22" i="10"/>
  <c r="AN21" i="10"/>
  <c r="AN20" i="10"/>
  <c r="AN19" i="10"/>
  <c r="AF222" i="7" l="1"/>
  <c r="AF300" i="7"/>
  <c r="AF426" i="7"/>
  <c r="AG153" i="7"/>
  <c r="AP153" i="7" s="1"/>
  <c r="Y331" i="8"/>
  <c r="X331" i="8"/>
  <c r="W331" i="8"/>
  <c r="V331" i="8"/>
  <c r="U331" i="8"/>
  <c r="T331" i="8"/>
  <c r="S331" i="8"/>
  <c r="O331" i="8"/>
  <c r="N331" i="8"/>
  <c r="M331" i="8"/>
  <c r="L331" i="8"/>
  <c r="K331" i="8"/>
  <c r="J331" i="8"/>
  <c r="H331" i="8"/>
  <c r="H126" i="8"/>
  <c r="H124" i="8"/>
  <c r="H122" i="8"/>
  <c r="H76" i="8"/>
  <c r="I213" i="8"/>
  <c r="I214" i="8"/>
  <c r="I211" i="8"/>
  <c r="I207" i="8"/>
  <c r="I221" i="8"/>
  <c r="I220" i="8"/>
  <c r="I219" i="8"/>
  <c r="I218" i="8"/>
  <c r="V217" i="8"/>
  <c r="Y217" i="8" s="1"/>
  <c r="X217" i="8" s="1"/>
  <c r="I201" i="8"/>
  <c r="I197"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W273" i="7"/>
  <c r="U273" i="7"/>
  <c r="O273" i="7"/>
  <c r="M273" i="7"/>
  <c r="L273" i="7"/>
  <c r="K273" i="7"/>
  <c r="J273" i="7"/>
  <c r="I298" i="7"/>
  <c r="W184" i="7"/>
  <c r="U184" i="7"/>
  <c r="S184" i="7"/>
  <c r="Q184" i="7"/>
  <c r="O184" i="7"/>
  <c r="M184" i="7"/>
  <c r="L184" i="7"/>
  <c r="K184" i="7"/>
  <c r="J184" i="7"/>
  <c r="I184" i="7"/>
  <c r="I148" i="7"/>
  <c r="I147" i="7"/>
  <c r="I144" i="7"/>
  <c r="Y58" i="7"/>
  <c r="H58" i="7"/>
  <c r="I72" i="7"/>
  <c r="AG58" i="7" l="1"/>
  <c r="AP58" i="7" s="1"/>
  <c r="AQ58" i="7"/>
  <c r="BD58" i="7"/>
  <c r="X58" i="7"/>
  <c r="BD433" i="7"/>
  <c r="BD432" i="7"/>
  <c r="BD419" i="7"/>
  <c r="BD418" i="7"/>
  <c r="BD417" i="7"/>
  <c r="BD416" i="7"/>
  <c r="BD414" i="7"/>
  <c r="BD413" i="7"/>
  <c r="BD412" i="7"/>
  <c r="BD411" i="7"/>
  <c r="BD410" i="7"/>
  <c r="BD409" i="7"/>
  <c r="BD408" i="7"/>
  <c r="BD407" i="7"/>
  <c r="BD406" i="7"/>
  <c r="BD405" i="7"/>
  <c r="BD404" i="7"/>
  <c r="BD403" i="7"/>
  <c r="BD402" i="7"/>
  <c r="BD401" i="7"/>
  <c r="BD400" i="7"/>
  <c r="BD399" i="7"/>
  <c r="BD398" i="7"/>
  <c r="BD397" i="7"/>
  <c r="BD396" i="7"/>
  <c r="BD395" i="7"/>
  <c r="BD394" i="7"/>
  <c r="BD393" i="7"/>
  <c r="BD392" i="7"/>
  <c r="BD361" i="7"/>
  <c r="BD360" i="7"/>
  <c r="BD350" i="7"/>
  <c r="BD343" i="7"/>
  <c r="BD342" i="7"/>
  <c r="BD338" i="7"/>
  <c r="BD335" i="7"/>
  <c r="BD334" i="7"/>
  <c r="BD331" i="7"/>
  <c r="BD316" i="7"/>
  <c r="BD315" i="7"/>
  <c r="BD308" i="7"/>
  <c r="BD306" i="7"/>
  <c r="BD305" i="7"/>
  <c r="BD304" i="7"/>
  <c r="BD303" i="7"/>
  <c r="BD302" i="7"/>
  <c r="BD297" i="7"/>
  <c r="BD296" i="7"/>
  <c r="BD295" i="7"/>
  <c r="BD294" i="7"/>
  <c r="BD291" i="7"/>
  <c r="BD289" i="7"/>
  <c r="BD288" i="7"/>
  <c r="BD287" i="7"/>
  <c r="BD286" i="7"/>
  <c r="BD284" i="7"/>
  <c r="BD283" i="7"/>
  <c r="BD271" i="7"/>
  <c r="BD269" i="7"/>
  <c r="BD268" i="7"/>
  <c r="BD255" i="7"/>
  <c r="BD254" i="7"/>
  <c r="BD250" i="7"/>
  <c r="BD249" i="7"/>
  <c r="BD248" i="7"/>
  <c r="BD247" i="7"/>
  <c r="BD246" i="7"/>
  <c r="BD245" i="7"/>
  <c r="BD243" i="7"/>
  <c r="BD230" i="7"/>
  <c r="BD229" i="7"/>
  <c r="BD222" i="7"/>
  <c r="BD216" i="7"/>
  <c r="BD192" i="7"/>
  <c r="BD191" i="7"/>
  <c r="BD186" i="7"/>
  <c r="BD185" i="7"/>
  <c r="BD182" i="7"/>
  <c r="BD173" i="7"/>
  <c r="BD158" i="7"/>
  <c r="BD157" i="7"/>
  <c r="BD142" i="7"/>
  <c r="BD141" i="7"/>
  <c r="BD133" i="7"/>
  <c r="BD130" i="7"/>
  <c r="BD124" i="7"/>
  <c r="BD122" i="7"/>
  <c r="BD97" i="7"/>
  <c r="BD94" i="7"/>
  <c r="BD93" i="7"/>
  <c r="BD87" i="7"/>
  <c r="BD86" i="7"/>
  <c r="BD85" i="7"/>
  <c r="BD83" i="7"/>
  <c r="BD82" i="7"/>
  <c r="BD74" i="7"/>
  <c r="BD72" i="7"/>
  <c r="BD71" i="7"/>
  <c r="BD69" i="7"/>
  <c r="BD66" i="7"/>
  <c r="BD63" i="7"/>
  <c r="BD56" i="7"/>
  <c r="BD54" i="7"/>
  <c r="BD52" i="7"/>
  <c r="BD51" i="7"/>
  <c r="BD49" i="7"/>
  <c r="BD47" i="7"/>
  <c r="BD46" i="7"/>
  <c r="BD42" i="7"/>
  <c r="BD37" i="7"/>
  <c r="BD36" i="7"/>
  <c r="BD22" i="7"/>
  <c r="BD21" i="7"/>
  <c r="BD20" i="7"/>
  <c r="BD19" i="7"/>
  <c r="BD18" i="7"/>
  <c r="AO651" i="8"/>
  <c r="AO645" i="8"/>
  <c r="AO643" i="8"/>
  <c r="AO642" i="8"/>
  <c r="AO628" i="8"/>
  <c r="AO627" i="8"/>
  <c r="AO598" i="8"/>
  <c r="AO597" i="8"/>
  <c r="AO585" i="8"/>
  <c r="AO584" i="8"/>
  <c r="AO583" i="8"/>
  <c r="AO582" i="8"/>
  <c r="AO581" i="8"/>
  <c r="AO580" i="8"/>
  <c r="AO579" i="8"/>
  <c r="AO578" i="8"/>
  <c r="AO577" i="8"/>
  <c r="AO576" i="8"/>
  <c r="AO574" i="8"/>
  <c r="AO573" i="8"/>
  <c r="AO572" i="8"/>
  <c r="AO571" i="8"/>
  <c r="AO568" i="8"/>
  <c r="AO567" i="8"/>
  <c r="AO565" i="8"/>
  <c r="AO564" i="8"/>
  <c r="AO559" i="8"/>
  <c r="AO556" i="8"/>
  <c r="AO555" i="8"/>
  <c r="AO554" i="8"/>
  <c r="AO552" i="8"/>
  <c r="AO551" i="8"/>
  <c r="AO550" i="8"/>
  <c r="AO547" i="8"/>
  <c r="AO546" i="8"/>
  <c r="AO544" i="8"/>
  <c r="AO543" i="8"/>
  <c r="AO538" i="8"/>
  <c r="AO531" i="8"/>
  <c r="AO530" i="8"/>
  <c r="AO529" i="8"/>
  <c r="AO528" i="8"/>
  <c r="AO527" i="8"/>
  <c r="AO526" i="8"/>
  <c r="AO525" i="8"/>
  <c r="AO524" i="8"/>
  <c r="AO523" i="8"/>
  <c r="AO513" i="8"/>
  <c r="AO512" i="8"/>
  <c r="AO511" i="8"/>
  <c r="AO509" i="8"/>
  <c r="AO508" i="8"/>
  <c r="AO507" i="8"/>
  <c r="AO506" i="8"/>
  <c r="AO505" i="8"/>
  <c r="AO501" i="8"/>
  <c r="AO500" i="8"/>
  <c r="AO499" i="8"/>
  <c r="AO495" i="8"/>
  <c r="AO488" i="8"/>
  <c r="AO486" i="8"/>
  <c r="AO485" i="8"/>
  <c r="AO484" i="8"/>
  <c r="AO483" i="8"/>
  <c r="AO481" i="8"/>
  <c r="AO480" i="8"/>
  <c r="AO479" i="8"/>
  <c r="AO478" i="8"/>
  <c r="AO477" i="8"/>
  <c r="AO476" i="8"/>
  <c r="AO475" i="8"/>
  <c r="AO474" i="8"/>
  <c r="AO473" i="8"/>
  <c r="AO472" i="8"/>
  <c r="AO469" i="8"/>
  <c r="AO468" i="8"/>
  <c r="AO466" i="8"/>
  <c r="AO465" i="8"/>
  <c r="AO461" i="8"/>
  <c r="AO459" i="8"/>
  <c r="AO458" i="8"/>
  <c r="AO457" i="8"/>
  <c r="AO456" i="8"/>
  <c r="AO455" i="8"/>
  <c r="AO454" i="8"/>
  <c r="AO453" i="8"/>
  <c r="AO452" i="8"/>
  <c r="AO451" i="8"/>
  <c r="AO450" i="8"/>
  <c r="AO449" i="8"/>
  <c r="AO448" i="8"/>
  <c r="AO447" i="8"/>
  <c r="AO429" i="8"/>
  <c r="AO428" i="8"/>
  <c r="AO427" i="8"/>
  <c r="AO426" i="8"/>
  <c r="AO425" i="8"/>
  <c r="AO424" i="8"/>
  <c r="AO423" i="8"/>
  <c r="AO418" i="8"/>
  <c r="AO417" i="8"/>
  <c r="AO411" i="8"/>
  <c r="AO409" i="8"/>
  <c r="AO408" i="8"/>
  <c r="AO407" i="8"/>
  <c r="AO406" i="8"/>
  <c r="AO405" i="8"/>
  <c r="AO404" i="8"/>
  <c r="AO402" i="8"/>
  <c r="AO401" i="8"/>
  <c r="AO400" i="8"/>
  <c r="AO399" i="8"/>
  <c r="AO362" i="8"/>
  <c r="AO361" i="8"/>
  <c r="AO360" i="8"/>
  <c r="AO359" i="8"/>
  <c r="AO355" i="8"/>
  <c r="AO344" i="8"/>
  <c r="AO343" i="8"/>
  <c r="AO342" i="8"/>
  <c r="AO341" i="8"/>
  <c r="AO340" i="8"/>
  <c r="AO339" i="8"/>
  <c r="AO338" i="8"/>
  <c r="AO266" i="8"/>
  <c r="AO217" i="8"/>
  <c r="AO202" i="8"/>
  <c r="AO177" i="8"/>
  <c r="AO176" i="8"/>
  <c r="AO172" i="8"/>
  <c r="AO171" i="8"/>
  <c r="AO170" i="8"/>
  <c r="AO169" i="8"/>
  <c r="AO168" i="8"/>
  <c r="AO167" i="8"/>
  <c r="AO132" i="8"/>
  <c r="AO131" i="8"/>
  <c r="AO130" i="8"/>
  <c r="AO129" i="8"/>
  <c r="AO128" i="8"/>
  <c r="AO127" i="8"/>
  <c r="AO126" i="8"/>
  <c r="AO125" i="8"/>
  <c r="AO124" i="8"/>
  <c r="AO123" i="8"/>
  <c r="AO122" i="8"/>
  <c r="AO121" i="8"/>
  <c r="AO120" i="8"/>
  <c r="AO118" i="8"/>
  <c r="AO114" i="8"/>
  <c r="AO81" i="8"/>
  <c r="AO77" i="8"/>
  <c r="AO49" i="8"/>
  <c r="AO48" i="8"/>
  <c r="Y329" i="8"/>
  <c r="X435" i="7"/>
  <c r="V18" i="17"/>
  <c r="V17" i="17"/>
  <c r="I18" i="17"/>
  <c r="I17" i="17"/>
  <c r="V23" i="17"/>
  <c r="W21" i="17"/>
  <c r="W20" i="17" s="1"/>
  <c r="V21" i="17"/>
  <c r="H21" i="17"/>
  <c r="I23" i="17"/>
  <c r="AC21" i="17"/>
  <c r="AD21" i="17"/>
  <c r="AE21" i="17"/>
  <c r="AF21" i="17"/>
  <c r="AG21" i="17"/>
  <c r="AH21" i="17"/>
  <c r="AI21" i="17"/>
  <c r="AJ21" i="17"/>
  <c r="AK21" i="17"/>
  <c r="I22" i="16"/>
  <c r="V22" i="16"/>
  <c r="H24" i="16"/>
  <c r="H23" i="16"/>
  <c r="Y24" i="16"/>
  <c r="X24" i="16" s="1"/>
  <c r="AQ23" i="16"/>
  <c r="Y23" i="16"/>
  <c r="AO23" i="16" s="1"/>
  <c r="Y24" i="17"/>
  <c r="AM24" i="17" s="1"/>
  <c r="H24" i="17"/>
  <c r="H23" i="17" s="1"/>
  <c r="AE23" i="17"/>
  <c r="Y22" i="17"/>
  <c r="X22" i="17" s="1"/>
  <c r="X21" i="17" s="1"/>
  <c r="I22" i="17"/>
  <c r="I21" i="17" s="1"/>
  <c r="I20" i="17" s="1"/>
  <c r="I16" i="17" s="1"/>
  <c r="Y19" i="17"/>
  <c r="AM19" i="17" s="1"/>
  <c r="H19" i="17"/>
  <c r="H17" i="17" s="1"/>
  <c r="AA18" i="17"/>
  <c r="AE18" i="17"/>
  <c r="AC18" i="17"/>
  <c r="I20" i="16"/>
  <c r="Y20" i="16"/>
  <c r="X20" i="16"/>
  <c r="W20" i="16"/>
  <c r="V20" i="16"/>
  <c r="U22" i="16"/>
  <c r="T22" i="16"/>
  <c r="S22" i="16"/>
  <c r="R22" i="16"/>
  <c r="Q22" i="16"/>
  <c r="P22" i="16"/>
  <c r="O22" i="16"/>
  <c r="N22" i="16"/>
  <c r="M22" i="16"/>
  <c r="L22" i="16"/>
  <c r="K22" i="16"/>
  <c r="J22" i="16"/>
  <c r="W22" i="16"/>
  <c r="BA32" i="16"/>
  <c r="V32" i="16"/>
  <c r="Y26" i="16"/>
  <c r="H26" i="16"/>
  <c r="Y25" i="16"/>
  <c r="AO25" i="16" s="1"/>
  <c r="H25" i="16"/>
  <c r="AL22" i="16"/>
  <c r="AE22" i="16"/>
  <c r="AA22" i="16"/>
  <c r="BB22" i="16"/>
  <c r="AZ22" i="16"/>
  <c r="AX22" i="16"/>
  <c r="AV22" i="16"/>
  <c r="BC21" i="16"/>
  <c r="AP21" i="16"/>
  <c r="AO21" i="16"/>
  <c r="H21" i="16"/>
  <c r="H20" i="16" s="1"/>
  <c r="Z20" i="16"/>
  <c r="AF58" i="7" l="1"/>
  <c r="H20" i="17"/>
  <c r="H16" i="17" s="1"/>
  <c r="Y23" i="17"/>
  <c r="I19" i="16"/>
  <c r="I18" i="16" s="1"/>
  <c r="AP24" i="16"/>
  <c r="Y17" i="17"/>
  <c r="H22" i="16"/>
  <c r="H19" i="16" s="1"/>
  <c r="H18" i="16" s="1"/>
  <c r="H18" i="17"/>
  <c r="V20" i="17"/>
  <c r="V16" i="17" s="1"/>
  <c r="Y22" i="16"/>
  <c r="Y19" i="16" s="1"/>
  <c r="Y18" i="16" s="1"/>
  <c r="W19" i="16"/>
  <c r="W18" i="16" s="1"/>
  <c r="Y18" i="17"/>
  <c r="AO24" i="16"/>
  <c r="V19" i="16"/>
  <c r="V18" i="16" s="1"/>
  <c r="Y21" i="17"/>
  <c r="AN329" i="8"/>
  <c r="AM329" i="8"/>
  <c r="AO329" i="8"/>
  <c r="X329" i="8"/>
  <c r="AN22" i="17"/>
  <c r="AN24" i="17"/>
  <c r="AB21" i="17"/>
  <c r="AA21" i="17"/>
  <c r="AG18" i="17"/>
  <c r="AG17" i="17" s="1"/>
  <c r="AN19" i="17"/>
  <c r="AB23" i="17"/>
  <c r="Z23" i="17"/>
  <c r="Z21" i="17"/>
  <c r="AD23" i="17"/>
  <c r="AD18" i="17"/>
  <c r="Z18" i="17"/>
  <c r="AH23" i="17"/>
  <c r="AA17" i="17"/>
  <c r="AF18" i="17"/>
  <c r="X19" i="17"/>
  <c r="AC23" i="17"/>
  <c r="AG23" i="17"/>
  <c r="AK23" i="17"/>
  <c r="AI23" i="17"/>
  <c r="AI20" i="17" s="1"/>
  <c r="AH18" i="17"/>
  <c r="AC17" i="17"/>
  <c r="AA23" i="17"/>
  <c r="AF23" i="17"/>
  <c r="AJ23" i="17"/>
  <c r="X24" i="17"/>
  <c r="X23" i="17" s="1"/>
  <c r="X20" i="17" s="1"/>
  <c r="X23" i="16"/>
  <c r="AP23" i="16"/>
  <c r="AI18" i="17"/>
  <c r="AK18" i="17"/>
  <c r="AK17" i="17" s="1"/>
  <c r="AJ18" i="17"/>
  <c r="AJ17" i="17" s="1"/>
  <c r="AB18" i="17"/>
  <c r="AM22" i="17"/>
  <c r="AM22" i="16"/>
  <c r="AA20" i="16"/>
  <c r="AE20" i="16"/>
  <c r="Z22" i="16"/>
  <c r="AD22" i="16"/>
  <c r="AD20" i="16"/>
  <c r="AC22" i="16"/>
  <c r="AG20" i="16"/>
  <c r="AC20" i="16"/>
  <c r="AB20" i="16"/>
  <c r="AQ21" i="16"/>
  <c r="AB22" i="16"/>
  <c r="AP25" i="16"/>
  <c r="X25" i="16"/>
  <c r="AO26" i="16"/>
  <c r="AP26" i="16"/>
  <c r="X26" i="16"/>
  <c r="Y20" i="17" l="1"/>
  <c r="Y16" i="17" s="1"/>
  <c r="G24" i="15"/>
  <c r="X17" i="17"/>
  <c r="X16" i="17" s="1"/>
  <c r="X18" i="17"/>
  <c r="X22" i="16"/>
  <c r="X19" i="16" s="1"/>
  <c r="X18" i="16" s="1"/>
  <c r="AP23" i="17"/>
  <c r="AO21" i="17"/>
  <c r="AE20" i="17"/>
  <c r="AA20" i="17"/>
  <c r="AA16" i="17" s="1"/>
  <c r="AD20" i="17"/>
  <c r="AF20" i="17"/>
  <c r="Z17" i="17"/>
  <c r="AJ20" i="17"/>
  <c r="AG20" i="17"/>
  <c r="AI17" i="17"/>
  <c r="AK20" i="17"/>
  <c r="AF17" i="17"/>
  <c r="AH20" i="17"/>
  <c r="AD17" i="17"/>
  <c r="AH17" i="17"/>
  <c r="AE17" i="17"/>
  <c r="AC20" i="17"/>
  <c r="AC16" i="17" s="1"/>
  <c r="AB17" i="17"/>
  <c r="AB20" i="17"/>
  <c r="Z20" i="17"/>
  <c r="AO18" i="17"/>
  <c r="AG22" i="16"/>
  <c r="AF22" i="16"/>
  <c r="AA19" i="16"/>
  <c r="AA18" i="16" s="1"/>
  <c r="AV28" i="16"/>
  <c r="AL20" i="16"/>
  <c r="AM20" i="16"/>
  <c r="AJ20" i="16"/>
  <c r="AK22" i="16"/>
  <c r="AH20" i="16"/>
  <c r="AH22" i="16"/>
  <c r="AE19" i="16"/>
  <c r="AE18" i="16" s="1"/>
  <c r="AX28" i="16"/>
  <c r="AB19" i="16"/>
  <c r="AB18" i="16" s="1"/>
  <c r="AC19" i="16"/>
  <c r="AC18" i="16" s="1"/>
  <c r="AW28" i="16"/>
  <c r="AI20" i="16"/>
  <c r="N12" i="13" l="1"/>
  <c r="Z16" i="17"/>
  <c r="W16" i="17"/>
  <c r="AB16" i="17"/>
  <c r="AO20" i="17"/>
  <c r="AP18" i="17"/>
  <c r="AO17" i="17"/>
  <c r="AM21" i="17"/>
  <c r="AN21" i="17"/>
  <c r="AQ17" i="17"/>
  <c r="AJ22" i="16"/>
  <c r="AL19" i="16"/>
  <c r="AL18" i="16" s="1"/>
  <c r="AI22" i="16"/>
  <c r="AF20" i="16"/>
  <c r="Z19" i="16"/>
  <c r="Z18" i="16" s="1"/>
  <c r="AK20" i="16"/>
  <c r="AM19" i="16"/>
  <c r="AM18" i="16" s="1"/>
  <c r="AU28" i="16"/>
  <c r="AG19" i="16"/>
  <c r="AG18" i="16" s="1"/>
  <c r="AD19" i="16"/>
  <c r="AD18" i="16" s="1"/>
  <c r="AM23" i="17" l="1"/>
  <c r="AN23" i="17"/>
  <c r="AM18" i="17"/>
  <c r="AN18" i="17"/>
  <c r="AP16" i="17"/>
  <c r="AP17" i="17"/>
  <c r="AO16" i="17"/>
  <c r="AI19" i="16"/>
  <c r="AI18" i="16" s="1"/>
  <c r="AK19" i="16"/>
  <c r="AK18" i="16" s="1"/>
  <c r="AJ19" i="16"/>
  <c r="AJ18" i="16" s="1"/>
  <c r="AS20" i="16"/>
  <c r="AF19" i="16"/>
  <c r="AF18" i="16" s="1"/>
  <c r="BB28" i="16"/>
  <c r="AV30" i="16" s="1"/>
  <c r="BA28" i="16"/>
  <c r="AM20" i="17" l="1"/>
  <c r="AN20" i="17"/>
  <c r="AH19" i="16"/>
  <c r="AH18" i="16" s="1"/>
  <c r="AZ28" i="16"/>
  <c r="AV31" i="16" s="1"/>
  <c r="AV32" i="16" s="1"/>
  <c r="AV34" i="16" s="1"/>
  <c r="AV36" i="16" s="1"/>
  <c r="AY28" i="16"/>
  <c r="AO22" i="16"/>
  <c r="AP22" i="16"/>
  <c r="AS18" i="16"/>
  <c r="AS19" i="16"/>
  <c r="AP20" i="16"/>
  <c r="AO20" i="16"/>
  <c r="AQ28" i="16"/>
  <c r="AN17" i="17" l="1"/>
  <c r="AM17" i="17"/>
  <c r="AS28" i="16"/>
  <c r="AM16" i="17" l="1"/>
  <c r="AN16" i="17"/>
  <c r="AO19" i="16" l="1"/>
  <c r="AP19" i="16"/>
  <c r="AO18" i="16" l="1"/>
  <c r="AP18" i="16"/>
  <c r="AN217" i="8"/>
  <c r="AM217" i="8"/>
  <c r="I537" i="8"/>
  <c r="W537" i="8"/>
  <c r="V537" i="8"/>
  <c r="AN538" i="8"/>
  <c r="AM538" i="8"/>
  <c r="H538" i="8"/>
  <c r="V216" i="8"/>
  <c r="I216" i="8"/>
  <c r="H217" i="8"/>
  <c r="BE231" i="7"/>
  <c r="V43" i="8"/>
  <c r="W41" i="8"/>
  <c r="I64" i="7" l="1"/>
  <c r="J29" i="15"/>
  <c r="I29" i="15"/>
  <c r="G29" i="15" s="1"/>
  <c r="C31" i="15"/>
  <c r="L32" i="15" l="1"/>
  <c r="G30" i="15"/>
  <c r="L30" i="15" s="1"/>
  <c r="L28" i="15"/>
  <c r="C25" i="15"/>
  <c r="L24" i="15"/>
  <c r="J22" i="15"/>
  <c r="C13" i="15"/>
  <c r="C11" i="15" s="1"/>
  <c r="L12" i="15"/>
  <c r="J10" i="15"/>
  <c r="I208" i="8"/>
  <c r="C10" i="15" l="1"/>
  <c r="L31" i="15"/>
  <c r="L10" i="15"/>
  <c r="M10" i="15"/>
  <c r="Y207" i="8"/>
  <c r="AO207" i="8" s="1"/>
  <c r="H204" i="8"/>
  <c r="Y434" i="7"/>
  <c r="AQ434" i="7" s="1"/>
  <c r="Y310" i="7"/>
  <c r="P14" i="13"/>
  <c r="O14" i="13"/>
  <c r="G25" i="12"/>
  <c r="G24" i="12"/>
  <c r="G23" i="12"/>
  <c r="G22" i="12"/>
  <c r="G21" i="12"/>
  <c r="G20" i="12"/>
  <c r="G19" i="12"/>
  <c r="H6" i="12"/>
  <c r="G6" i="12"/>
  <c r="E6" i="12"/>
  <c r="U60" i="10"/>
  <c r="Q60" i="10"/>
  <c r="M60" i="10"/>
  <c r="N60" i="10" s="1"/>
  <c r="G60" i="10"/>
  <c r="U59" i="10"/>
  <c r="U58" i="10" s="1"/>
  <c r="Q59" i="10"/>
  <c r="M59" i="10"/>
  <c r="N59" i="10" s="1"/>
  <c r="H59" i="10"/>
  <c r="Z58" i="10"/>
  <c r="Y58" i="10"/>
  <c r="X58" i="10"/>
  <c r="W58" i="10"/>
  <c r="V58" i="10"/>
  <c r="T58" i="10"/>
  <c r="S58" i="10"/>
  <c r="R58" i="10"/>
  <c r="Q58" i="10"/>
  <c r="P58" i="10"/>
  <c r="O58" i="10"/>
  <c r="H58" i="10"/>
  <c r="G58" i="10"/>
  <c r="V57" i="10"/>
  <c r="U57" i="10" s="1"/>
  <c r="Q57" i="10"/>
  <c r="O57" i="10"/>
  <c r="M57" i="10"/>
  <c r="N57" i="10" s="1"/>
  <c r="G57" i="10"/>
  <c r="AD56" i="10"/>
  <c r="AE56" i="10" s="1"/>
  <c r="AC56" i="10"/>
  <c r="H56" i="10"/>
  <c r="AD55" i="10"/>
  <c r="AF55" i="10" s="1"/>
  <c r="AC55" i="10"/>
  <c r="AB55" i="10"/>
  <c r="AA55" i="10" s="1"/>
  <c r="Y55" i="10"/>
  <c r="AD54" i="10"/>
  <c r="AE54" i="10" s="1"/>
  <c r="AC54" i="10"/>
  <c r="AB54" i="10"/>
  <c r="AA54" i="10" s="1"/>
  <c r="Y54" i="10"/>
  <c r="AC53" i="10"/>
  <c r="V53" i="10"/>
  <c r="R53" i="10"/>
  <c r="N53" i="10"/>
  <c r="H53" i="10"/>
  <c r="AC52" i="10"/>
  <c r="V52" i="10"/>
  <c r="R52" i="10"/>
  <c r="N52" i="10"/>
  <c r="H52" i="10"/>
  <c r="AC51" i="10"/>
  <c r="Z51" i="10"/>
  <c r="Z30" i="10" s="1"/>
  <c r="Y51" i="10"/>
  <c r="V51" i="10"/>
  <c r="R51" i="10"/>
  <c r="N51" i="10"/>
  <c r="H51" i="10"/>
  <c r="AC50" i="10"/>
  <c r="V50" i="10"/>
  <c r="R50" i="10"/>
  <c r="N50" i="10"/>
  <c r="H50" i="10"/>
  <c r="AC49" i="10"/>
  <c r="V49" i="10"/>
  <c r="R49" i="10"/>
  <c r="N49" i="10"/>
  <c r="H49" i="10"/>
  <c r="AC48" i="10"/>
  <c r="V48" i="10"/>
  <c r="R48" i="10"/>
  <c r="N48" i="10"/>
  <c r="H48" i="10"/>
  <c r="AC47" i="10"/>
  <c r="V47" i="10"/>
  <c r="R47" i="10"/>
  <c r="N47" i="10"/>
  <c r="H47" i="10"/>
  <c r="AC46" i="10"/>
  <c r="V46" i="10"/>
  <c r="R46" i="10"/>
  <c r="N46" i="10"/>
  <c r="H46" i="10"/>
  <c r="AC45" i="10"/>
  <c r="V45" i="10"/>
  <c r="R45" i="10"/>
  <c r="N45" i="10"/>
  <c r="H45" i="10"/>
  <c r="AC44" i="10"/>
  <c r="V44" i="10"/>
  <c r="R44" i="10"/>
  <c r="N44" i="10"/>
  <c r="H44" i="10"/>
  <c r="AC43" i="10"/>
  <c r="V43" i="10"/>
  <c r="R43" i="10"/>
  <c r="N43" i="10"/>
  <c r="H43" i="10"/>
  <c r="AC42" i="10"/>
  <c r="V42" i="10"/>
  <c r="R42" i="10"/>
  <c r="N42" i="10"/>
  <c r="H42" i="10"/>
  <c r="AC41" i="10"/>
  <c r="V41" i="10"/>
  <c r="R41" i="10"/>
  <c r="N41" i="10"/>
  <c r="H41" i="10"/>
  <c r="AD40" i="10"/>
  <c r="AE40" i="10" s="1"/>
  <c r="AC40" i="10"/>
  <c r="AB40" i="10"/>
  <c r="AA40" i="10" s="1"/>
  <c r="H40" i="10"/>
  <c r="AC39" i="10"/>
  <c r="V39" i="10"/>
  <c r="R39" i="10"/>
  <c r="N39" i="10"/>
  <c r="H39" i="10"/>
  <c r="AC38" i="10"/>
  <c r="V38" i="10"/>
  <c r="R38" i="10"/>
  <c r="N38" i="10"/>
  <c r="H38" i="10"/>
  <c r="AC37" i="10"/>
  <c r="V37" i="10"/>
  <c r="R37" i="10"/>
  <c r="N37" i="10"/>
  <c r="H37" i="10"/>
  <c r="AC36" i="10"/>
  <c r="V36" i="10"/>
  <c r="R36" i="10"/>
  <c r="N36" i="10"/>
  <c r="H36" i="10"/>
  <c r="AC35" i="10"/>
  <c r="V35" i="10"/>
  <c r="R35" i="10"/>
  <c r="N35" i="10"/>
  <c r="H35" i="10"/>
  <c r="AC34" i="10"/>
  <c r="V34" i="10"/>
  <c r="R34" i="10"/>
  <c r="N34" i="10"/>
  <c r="H34" i="10"/>
  <c r="AC33" i="10"/>
  <c r="V33" i="10"/>
  <c r="R33" i="10"/>
  <c r="N33" i="10"/>
  <c r="H33" i="10"/>
  <c r="U32" i="10"/>
  <c r="AC32" i="10" s="1"/>
  <c r="Q32" i="10"/>
  <c r="N32" i="10"/>
  <c r="H32" i="10"/>
  <c r="V31" i="10"/>
  <c r="R31" i="10"/>
  <c r="R30" i="10" s="1"/>
  <c r="R29" i="10" s="1"/>
  <c r="N31" i="10"/>
  <c r="H31" i="10"/>
  <c r="H30" i="10" s="1"/>
  <c r="Y30" i="10"/>
  <c r="X30" i="10"/>
  <c r="W30" i="10"/>
  <c r="W29" i="10" s="1"/>
  <c r="W16" i="10" s="1"/>
  <c r="S30" i="10"/>
  <c r="Q30" i="10"/>
  <c r="Q29" i="10" s="1"/>
  <c r="P30" i="10"/>
  <c r="O30" i="10"/>
  <c r="M30" i="10"/>
  <c r="G30" i="10"/>
  <c r="G29" i="10" s="1"/>
  <c r="S29" i="10"/>
  <c r="S16" i="10" s="1"/>
  <c r="O29" i="10"/>
  <c r="O16" i="10" s="1"/>
  <c r="H29" i="10"/>
  <c r="V28" i="10"/>
  <c r="R28" i="10"/>
  <c r="N28" i="10"/>
  <c r="L28" i="10"/>
  <c r="J28" i="10"/>
  <c r="J18" i="10" s="1"/>
  <c r="J17" i="10" s="1"/>
  <c r="J16" i="10" s="1"/>
  <c r="H28" i="10"/>
  <c r="W27" i="10"/>
  <c r="V27" i="10"/>
  <c r="R27" i="10"/>
  <c r="R18" i="10" s="1"/>
  <c r="R17" i="10" s="1"/>
  <c r="R16" i="10" s="1"/>
  <c r="N27" i="10"/>
  <c r="L27" i="10"/>
  <c r="L18" i="10" s="1"/>
  <c r="L17" i="10" s="1"/>
  <c r="J27" i="10"/>
  <c r="H27" i="10"/>
  <c r="H18" i="10" s="1"/>
  <c r="H17" i="10" s="1"/>
  <c r="AD26" i="10"/>
  <c r="AF26" i="10" s="1"/>
  <c r="AB26" i="10"/>
  <c r="AA26" i="10" s="1"/>
  <c r="H26" i="10"/>
  <c r="AB25" i="10"/>
  <c r="AD25" i="10" s="1"/>
  <c r="AB24" i="10"/>
  <c r="AD24" i="10" s="1"/>
  <c r="AA24" i="10"/>
  <c r="Y24" i="10"/>
  <c r="X24" i="10"/>
  <c r="X18" i="10" s="1"/>
  <c r="X17" i="10" s="1"/>
  <c r="W24" i="10"/>
  <c r="U24" i="10"/>
  <c r="U18" i="10" s="1"/>
  <c r="U17" i="10" s="1"/>
  <c r="Q24" i="10"/>
  <c r="M24" i="10"/>
  <c r="M18" i="10" s="1"/>
  <c r="M17" i="10" s="1"/>
  <c r="AB23" i="10"/>
  <c r="AD23" i="10" s="1"/>
  <c r="AB22" i="10"/>
  <c r="AD22" i="10" s="1"/>
  <c r="AB21" i="10"/>
  <c r="AD21" i="10" s="1"/>
  <c r="W21" i="10"/>
  <c r="W18" i="10" s="1"/>
  <c r="W17" i="10" s="1"/>
  <c r="Z18" i="10"/>
  <c r="Y18" i="10"/>
  <c r="Y17" i="10" s="1"/>
  <c r="T18" i="10"/>
  <c r="S18" i="10"/>
  <c r="Q18" i="10"/>
  <c r="P18" i="10"/>
  <c r="O18" i="10"/>
  <c r="K18" i="10"/>
  <c r="K17" i="10" s="1"/>
  <c r="K16" i="10" s="1"/>
  <c r="I18" i="10"/>
  <c r="I17" i="10" s="1"/>
  <c r="I16" i="10" s="1"/>
  <c r="G18" i="10"/>
  <c r="G17" i="10" s="1"/>
  <c r="G16" i="10" s="1"/>
  <c r="Z17" i="10"/>
  <c r="Q17" i="10"/>
  <c r="AL16" i="10"/>
  <c r="Z16" i="10"/>
  <c r="Y16" i="10"/>
  <c r="T16" i="10"/>
  <c r="L16" i="10"/>
  <c r="H16" i="10"/>
  <c r="Y660" i="8"/>
  <c r="AO660" i="8" s="1"/>
  <c r="H660" i="8"/>
  <c r="Y659" i="8"/>
  <c r="AO659" i="8" s="1"/>
  <c r="H659" i="8"/>
  <c r="H658" i="8" s="1"/>
  <c r="AK658" i="8"/>
  <c r="AJ658" i="8"/>
  <c r="AI658" i="8"/>
  <c r="AH658" i="8"/>
  <c r="AG658" i="8"/>
  <c r="AF658" i="8"/>
  <c r="AE658" i="8"/>
  <c r="AD658" i="8"/>
  <c r="AC658" i="8"/>
  <c r="AB658" i="8"/>
  <c r="AA658" i="8"/>
  <c r="Z658" i="8"/>
  <c r="Y658" i="8"/>
  <c r="W658" i="8"/>
  <c r="V658" i="8"/>
  <c r="U658" i="8"/>
  <c r="T658" i="8"/>
  <c r="S658" i="8"/>
  <c r="R658" i="8"/>
  <c r="Q658" i="8"/>
  <c r="P658" i="8"/>
  <c r="O658" i="8"/>
  <c r="N658" i="8"/>
  <c r="M658" i="8"/>
  <c r="L658" i="8"/>
  <c r="K658" i="8"/>
  <c r="J658" i="8"/>
  <c r="I658" i="8"/>
  <c r="Y657" i="8"/>
  <c r="AN657" i="8" s="1"/>
  <c r="H657" i="8"/>
  <c r="Y656" i="8"/>
  <c r="AN656" i="8" s="1"/>
  <c r="H656" i="8"/>
  <c r="Y655" i="8"/>
  <c r="AN655" i="8" s="1"/>
  <c r="H655" i="8"/>
  <c r="Y654" i="8"/>
  <c r="AN654" i="8" s="1"/>
  <c r="H654" i="8"/>
  <c r="Y653" i="8"/>
  <c r="AN653" i="8" s="1"/>
  <c r="H653" i="8"/>
  <c r="Y652" i="8"/>
  <c r="AN652" i="8" s="1"/>
  <c r="H652" i="8"/>
  <c r="Y650" i="8"/>
  <c r="AN650" i="8" s="1"/>
  <c r="H650" i="8"/>
  <c r="Y649" i="8"/>
  <c r="H649" i="8"/>
  <c r="Y648" i="8"/>
  <c r="AN648" i="8" s="1"/>
  <c r="T648" i="8"/>
  <c r="R648" i="8"/>
  <c r="P648" i="8"/>
  <c r="H648" i="8"/>
  <c r="Y647" i="8"/>
  <c r="AO647" i="8" s="1"/>
  <c r="T647" i="8"/>
  <c r="R647" i="8"/>
  <c r="P647" i="8"/>
  <c r="H647" i="8"/>
  <c r="Y646" i="8"/>
  <c r="AN646" i="8" s="1"/>
  <c r="T646" i="8"/>
  <c r="R646" i="8"/>
  <c r="P646" i="8"/>
  <c r="H646" i="8"/>
  <c r="AN645" i="8"/>
  <c r="AM645" i="8"/>
  <c r="X645" i="8"/>
  <c r="T645" i="8"/>
  <c r="R645" i="8"/>
  <c r="P645" i="8"/>
  <c r="H645" i="8"/>
  <c r="AN644" i="8"/>
  <c r="Y644" i="8"/>
  <c r="T644" i="8"/>
  <c r="Q644" i="8"/>
  <c r="P644" i="8" s="1"/>
  <c r="O644" i="8"/>
  <c r="R644" i="8" s="1"/>
  <c r="H644" i="8"/>
  <c r="AN643" i="8"/>
  <c r="AM643" i="8"/>
  <c r="AB643" i="8"/>
  <c r="X643" i="8"/>
  <c r="T643" i="8"/>
  <c r="S643" i="8"/>
  <c r="P643" i="8"/>
  <c r="N643" i="8"/>
  <c r="AN642" i="8"/>
  <c r="AM642" i="8"/>
  <c r="AB642" i="8"/>
  <c r="X642" i="8"/>
  <c r="T642" i="8"/>
  <c r="P642" i="8"/>
  <c r="O642" i="8"/>
  <c r="S642" i="8" s="1"/>
  <c r="AN641" i="8"/>
  <c r="AM641" i="8"/>
  <c r="AB641" i="8"/>
  <c r="X641" i="8"/>
  <c r="T641" i="8"/>
  <c r="S641" i="8"/>
  <c r="P641" i="8"/>
  <c r="N641" i="8"/>
  <c r="I641" i="8"/>
  <c r="AO641" i="8" s="1"/>
  <c r="AN640" i="8"/>
  <c r="AM640" i="8"/>
  <c r="AB640" i="8"/>
  <c r="X640" i="8"/>
  <c r="T640" i="8"/>
  <c r="R640" i="8"/>
  <c r="P640" i="8"/>
  <c r="N640" i="8"/>
  <c r="I640" i="8"/>
  <c r="AO640" i="8" s="1"/>
  <c r="AN639" i="8"/>
  <c r="AM639" i="8"/>
  <c r="AB639" i="8"/>
  <c r="X639" i="8"/>
  <c r="T639" i="8"/>
  <c r="S639" i="8"/>
  <c r="P639" i="8"/>
  <c r="N639" i="8"/>
  <c r="I639" i="8"/>
  <c r="AO639" i="8" s="1"/>
  <c r="AN638" i="8"/>
  <c r="AM638" i="8"/>
  <c r="AB638" i="8"/>
  <c r="X638" i="8"/>
  <c r="T638" i="8"/>
  <c r="S638" i="8"/>
  <c r="P638" i="8"/>
  <c r="N638" i="8"/>
  <c r="I638" i="8"/>
  <c r="AO638" i="8" s="1"/>
  <c r="AN637" i="8"/>
  <c r="AM637" i="8"/>
  <c r="AB637" i="8"/>
  <c r="Z637" i="8"/>
  <c r="S637" i="8"/>
  <c r="I637" i="8"/>
  <c r="AO637" i="8" s="1"/>
  <c r="AN636" i="8"/>
  <c r="AM636" i="8"/>
  <c r="AB636" i="8"/>
  <c r="Z636" i="8"/>
  <c r="S636" i="8"/>
  <c r="I636" i="8"/>
  <c r="AO636" i="8" s="1"/>
  <c r="AK635" i="8"/>
  <c r="AJ635" i="8"/>
  <c r="AJ634" i="8" s="1"/>
  <c r="AI635" i="8"/>
  <c r="AH635" i="8"/>
  <c r="AH634" i="8" s="1"/>
  <c r="AG635" i="8"/>
  <c r="AF635" i="8"/>
  <c r="AF634" i="8" s="1"/>
  <c r="AE635" i="8"/>
  <c r="AD635" i="8"/>
  <c r="AD634" i="8" s="1"/>
  <c r="AC635" i="8"/>
  <c r="AB635" i="8"/>
  <c r="AB634" i="8" s="1"/>
  <c r="AA635" i="8"/>
  <c r="Z635" i="8"/>
  <c r="Z634" i="8" s="1"/>
  <c r="W635" i="8"/>
  <c r="W634" i="8" s="1"/>
  <c r="V635" i="8"/>
  <c r="U635" i="8"/>
  <c r="U634" i="8" s="1"/>
  <c r="O635" i="8"/>
  <c r="O634" i="8" s="1"/>
  <c r="M635" i="8"/>
  <c r="M634" i="8" s="1"/>
  <c r="L635" i="8"/>
  <c r="L634" i="8" s="1"/>
  <c r="K635" i="8"/>
  <c r="K634" i="8" s="1"/>
  <c r="J635" i="8"/>
  <c r="J634" i="8" s="1"/>
  <c r="AK634" i="8"/>
  <c r="AI634" i="8"/>
  <c r="AG634" i="8"/>
  <c r="AE634" i="8"/>
  <c r="AC634" i="8"/>
  <c r="AA634" i="8"/>
  <c r="V634" i="8"/>
  <c r="AN633" i="8"/>
  <c r="AM633" i="8"/>
  <c r="Z633" i="8"/>
  <c r="S633" i="8"/>
  <c r="M633" i="8"/>
  <c r="K633" i="8"/>
  <c r="K626" i="8" s="1"/>
  <c r="K625" i="8" s="1"/>
  <c r="I633" i="8"/>
  <c r="AO633" i="8" s="1"/>
  <c r="AN632" i="8"/>
  <c r="AM632" i="8"/>
  <c r="AB632" i="8"/>
  <c r="Z632" i="8"/>
  <c r="X632" i="8"/>
  <c r="T632" i="8"/>
  <c r="S632" i="8"/>
  <c r="P632" i="8"/>
  <c r="N632" i="8"/>
  <c r="I632" i="8"/>
  <c r="AO632" i="8" s="1"/>
  <c r="AN631" i="8"/>
  <c r="AM631" i="8"/>
  <c r="Z631" i="8"/>
  <c r="S631" i="8"/>
  <c r="L631" i="8"/>
  <c r="J631" i="8"/>
  <c r="I631" i="8"/>
  <c r="AO631" i="8" s="1"/>
  <c r="AN630" i="8"/>
  <c r="AM630" i="8"/>
  <c r="S630" i="8"/>
  <c r="L630" i="8"/>
  <c r="J630" i="8"/>
  <c r="I630" i="8"/>
  <c r="AO630" i="8" s="1"/>
  <c r="AN629" i="8"/>
  <c r="AM629" i="8"/>
  <c r="AB629" i="8"/>
  <c r="X629" i="8"/>
  <c r="X626" i="8" s="1"/>
  <c r="X625" i="8" s="1"/>
  <c r="T629" i="8"/>
  <c r="S629" i="8"/>
  <c r="P629" i="8"/>
  <c r="N629" i="8"/>
  <c r="L629" i="8"/>
  <c r="J629" i="8"/>
  <c r="J626" i="8" s="1"/>
  <c r="J625" i="8" s="1"/>
  <c r="I629" i="8"/>
  <c r="AO629" i="8" s="1"/>
  <c r="AN628" i="8"/>
  <c r="AM628" i="8"/>
  <c r="AN627" i="8"/>
  <c r="AM627" i="8"/>
  <c r="AK626" i="8"/>
  <c r="AK625" i="8" s="1"/>
  <c r="AK624" i="8" s="1"/>
  <c r="AJ626" i="8"/>
  <c r="AI626" i="8"/>
  <c r="AI625" i="8" s="1"/>
  <c r="AI624" i="8" s="1"/>
  <c r="AH626" i="8"/>
  <c r="AG626" i="8"/>
  <c r="AG625" i="8" s="1"/>
  <c r="AG624" i="8" s="1"/>
  <c r="AF626" i="8"/>
  <c r="AE626" i="8"/>
  <c r="AE625" i="8" s="1"/>
  <c r="AE624" i="8" s="1"/>
  <c r="AD626" i="8"/>
  <c r="AC626" i="8"/>
  <c r="AC625" i="8" s="1"/>
  <c r="AC624" i="8" s="1"/>
  <c r="AA626" i="8"/>
  <c r="AA625" i="8" s="1"/>
  <c r="AA624" i="8" s="1"/>
  <c r="Z626" i="8"/>
  <c r="Y626" i="8"/>
  <c r="AN626" i="8" s="1"/>
  <c r="W626" i="8"/>
  <c r="W625" i="8" s="1"/>
  <c r="W624" i="8" s="1"/>
  <c r="V626" i="8"/>
  <c r="U626" i="8"/>
  <c r="U625" i="8" s="1"/>
  <c r="U624" i="8" s="1"/>
  <c r="T626" i="8"/>
  <c r="R626" i="8"/>
  <c r="R625" i="8" s="1"/>
  <c r="Q626" i="8"/>
  <c r="P626" i="8"/>
  <c r="P625" i="8" s="1"/>
  <c r="O626" i="8"/>
  <c r="N626" i="8"/>
  <c r="N625" i="8" s="1"/>
  <c r="M626" i="8"/>
  <c r="L626" i="8"/>
  <c r="L625" i="8" s="1"/>
  <c r="H626" i="8"/>
  <c r="AJ625" i="8"/>
  <c r="AH625" i="8"/>
  <c r="AF625" i="8"/>
  <c r="AD625" i="8"/>
  <c r="Z625" i="8"/>
  <c r="V625" i="8"/>
  <c r="T625" i="8"/>
  <c r="Q625" i="8"/>
  <c r="O625" i="8"/>
  <c r="O624" i="8" s="1"/>
  <c r="M625" i="8"/>
  <c r="H625" i="8"/>
  <c r="K624" i="8"/>
  <c r="Y623" i="8"/>
  <c r="AN623" i="8" s="1"/>
  <c r="H623" i="8"/>
  <c r="Y622" i="8"/>
  <c r="AN622" i="8" s="1"/>
  <c r="H622" i="8"/>
  <c r="H621" i="8" s="1"/>
  <c r="W621" i="8"/>
  <c r="V621" i="8"/>
  <c r="I621" i="8"/>
  <c r="Y620" i="8"/>
  <c r="AN620" i="8" s="1"/>
  <c r="H620" i="8"/>
  <c r="Y619" i="8"/>
  <c r="AN619" i="8" s="1"/>
  <c r="H619" i="8"/>
  <c r="Y618" i="8"/>
  <c r="AN618" i="8" s="1"/>
  <c r="H618" i="8"/>
  <c r="Y617" i="8"/>
  <c r="AN617" i="8" s="1"/>
  <c r="H617" i="8"/>
  <c r="Y616" i="8"/>
  <c r="AN616" i="8" s="1"/>
  <c r="H616" i="8"/>
  <c r="Y615" i="8"/>
  <c r="AN615" i="8" s="1"/>
  <c r="H615" i="8"/>
  <c r="Y614" i="8"/>
  <c r="AN614" i="8" s="1"/>
  <c r="H614" i="8"/>
  <c r="H602" i="8" s="1"/>
  <c r="AN613" i="8"/>
  <c r="AM613" i="8"/>
  <c r="X613" i="8"/>
  <c r="T613" i="8"/>
  <c r="R613" i="8"/>
  <c r="P613" i="8"/>
  <c r="I613" i="8"/>
  <c r="AO613" i="8" s="1"/>
  <c r="AN612" i="8"/>
  <c r="AM612" i="8"/>
  <c r="N612" i="8"/>
  <c r="I612" i="8"/>
  <c r="AO612" i="8" s="1"/>
  <c r="E612" i="8"/>
  <c r="AN611" i="8"/>
  <c r="AM611" i="8"/>
  <c r="N611" i="8"/>
  <c r="I611" i="8"/>
  <c r="AO611" i="8" s="1"/>
  <c r="E611" i="8"/>
  <c r="AN610" i="8"/>
  <c r="AM610" i="8"/>
  <c r="N610" i="8"/>
  <c r="I610" i="8"/>
  <c r="AO610" i="8" s="1"/>
  <c r="AN609" i="8"/>
  <c r="AM609" i="8"/>
  <c r="S609" i="8"/>
  <c r="S602" i="8" s="1"/>
  <c r="S601" i="8" s="1"/>
  <c r="N609" i="8"/>
  <c r="I609" i="8"/>
  <c r="AO609" i="8" s="1"/>
  <c r="AN608" i="8"/>
  <c r="AM608" i="8"/>
  <c r="N608" i="8"/>
  <c r="I608" i="8"/>
  <c r="AO608" i="8" s="1"/>
  <c r="AN607" i="8"/>
  <c r="AM607" i="8"/>
  <c r="N607" i="8"/>
  <c r="I607" i="8"/>
  <c r="AO607" i="8" s="1"/>
  <c r="AN606" i="8"/>
  <c r="AM606" i="8"/>
  <c r="N606" i="8"/>
  <c r="I606" i="8"/>
  <c r="AO606" i="8" s="1"/>
  <c r="AN605" i="8"/>
  <c r="AM605" i="8"/>
  <c r="AB605" i="8"/>
  <c r="N605" i="8"/>
  <c r="I605" i="8"/>
  <c r="AO605" i="8" s="1"/>
  <c r="AN604" i="8"/>
  <c r="AM604" i="8"/>
  <c r="AB604" i="8"/>
  <c r="N604" i="8"/>
  <c r="I604" i="8"/>
  <c r="AO604" i="8" s="1"/>
  <c r="AN603" i="8"/>
  <c r="AM603" i="8"/>
  <c r="Z603" i="8"/>
  <c r="N603" i="8"/>
  <c r="I603" i="8"/>
  <c r="AO603" i="8" s="1"/>
  <c r="AK602" i="8"/>
  <c r="AJ602" i="8"/>
  <c r="AI602" i="8"/>
  <c r="AH602" i="8"/>
  <c r="AG602" i="8"/>
  <c r="AF602" i="8"/>
  <c r="AE602" i="8"/>
  <c r="AD602" i="8"/>
  <c r="AC602" i="8"/>
  <c r="AC601" i="8" s="1"/>
  <c r="AC594" i="8" s="1"/>
  <c r="AB602" i="8"/>
  <c r="AB601" i="8" s="1"/>
  <c r="AB594" i="8" s="1"/>
  <c r="AA602" i="8"/>
  <c r="AA601" i="8" s="1"/>
  <c r="AA594" i="8" s="1"/>
  <c r="Z602" i="8"/>
  <c r="Y602" i="8"/>
  <c r="AN602" i="8" s="1"/>
  <c r="W602" i="8"/>
  <c r="W601" i="8" s="1"/>
  <c r="V602" i="8"/>
  <c r="U602" i="8"/>
  <c r="U601" i="8" s="1"/>
  <c r="T602" i="8"/>
  <c r="T601" i="8" s="1"/>
  <c r="R602" i="8"/>
  <c r="Q602" i="8"/>
  <c r="Q601" i="8" s="1"/>
  <c r="P602" i="8"/>
  <c r="P601" i="8" s="1"/>
  <c r="O602" i="8"/>
  <c r="O601" i="8" s="1"/>
  <c r="M602" i="8"/>
  <c r="M601" i="8" s="1"/>
  <c r="L602" i="8"/>
  <c r="K602" i="8"/>
  <c r="K601" i="8" s="1"/>
  <c r="J602" i="8"/>
  <c r="J601" i="8" s="1"/>
  <c r="I602" i="8"/>
  <c r="AO602" i="8" s="1"/>
  <c r="Z601" i="8"/>
  <c r="V601" i="8"/>
  <c r="R601" i="8"/>
  <c r="L601" i="8"/>
  <c r="AN600" i="8"/>
  <c r="AM600" i="8"/>
  <c r="Z600" i="8"/>
  <c r="N600" i="8"/>
  <c r="N596" i="8" s="1"/>
  <c r="N595" i="8" s="1"/>
  <c r="L600" i="8"/>
  <c r="J600" i="8"/>
  <c r="I600" i="8"/>
  <c r="AO600" i="8" s="1"/>
  <c r="AN599" i="8"/>
  <c r="AM599" i="8"/>
  <c r="Z599" i="8"/>
  <c r="Z596" i="8" s="1"/>
  <c r="Z595" i="8" s="1"/>
  <c r="AN598" i="8"/>
  <c r="AM598" i="8"/>
  <c r="AN597" i="8"/>
  <c r="AM597" i="8"/>
  <c r="AC596" i="8"/>
  <c r="AB596" i="8"/>
  <c r="AB595" i="8" s="1"/>
  <c r="AA596" i="8"/>
  <c r="Y596" i="8"/>
  <c r="AN596" i="8" s="1"/>
  <c r="X596" i="8"/>
  <c r="X595" i="8" s="1"/>
  <c r="W596" i="8"/>
  <c r="W595" i="8" s="1"/>
  <c r="W594" i="8" s="1"/>
  <c r="V596" i="8"/>
  <c r="V595" i="8" s="1"/>
  <c r="U596" i="8"/>
  <c r="T596" i="8"/>
  <c r="T595" i="8" s="1"/>
  <c r="S596" i="8"/>
  <c r="S595" i="8" s="1"/>
  <c r="S594" i="8" s="1"/>
  <c r="R596" i="8"/>
  <c r="R595" i="8" s="1"/>
  <c r="Q596" i="8"/>
  <c r="P596" i="8"/>
  <c r="P595" i="8" s="1"/>
  <c r="O596" i="8"/>
  <c r="O595" i="8" s="1"/>
  <c r="O594" i="8" s="1"/>
  <c r="M596" i="8"/>
  <c r="M595" i="8" s="1"/>
  <c r="L596" i="8"/>
  <c r="L595" i="8" s="1"/>
  <c r="K596" i="8"/>
  <c r="J596" i="8"/>
  <c r="J595" i="8" s="1"/>
  <c r="H596" i="8"/>
  <c r="H595" i="8" s="1"/>
  <c r="AC595" i="8"/>
  <c r="AA595" i="8"/>
  <c r="Y595" i="8"/>
  <c r="AN595" i="8" s="1"/>
  <c r="U595" i="8"/>
  <c r="U594" i="8" s="1"/>
  <c r="Q595" i="8"/>
  <c r="Q594" i="8" s="1"/>
  <c r="K595" i="8"/>
  <c r="K594" i="8" s="1"/>
  <c r="Z594" i="8"/>
  <c r="Y593" i="8"/>
  <c r="AN593" i="8" s="1"/>
  <c r="H593" i="8"/>
  <c r="Y592" i="8"/>
  <c r="AN592" i="8" s="1"/>
  <c r="H592" i="8"/>
  <c r="Y591" i="8"/>
  <c r="AN591" i="8" s="1"/>
  <c r="H591" i="8"/>
  <c r="Y590" i="8"/>
  <c r="AN590" i="8" s="1"/>
  <c r="H590" i="8"/>
  <c r="V589" i="8"/>
  <c r="Y589" i="8" s="1"/>
  <c r="H589" i="8"/>
  <c r="Y588" i="8"/>
  <c r="AN588" i="8" s="1"/>
  <c r="H588" i="8"/>
  <c r="Y587" i="8"/>
  <c r="AN587" i="8" s="1"/>
  <c r="H587" i="8"/>
  <c r="Y586" i="8"/>
  <c r="AN586" i="8" s="1"/>
  <c r="V586" i="8"/>
  <c r="O586" i="8"/>
  <c r="AN585" i="8"/>
  <c r="AM585" i="8"/>
  <c r="O585" i="8"/>
  <c r="AN584" i="8"/>
  <c r="AM584" i="8"/>
  <c r="AB584" i="8"/>
  <c r="O584" i="8"/>
  <c r="AN583" i="8"/>
  <c r="AM583" i="8"/>
  <c r="AB583" i="8"/>
  <c r="O583" i="8"/>
  <c r="AN582" i="8"/>
  <c r="AM582" i="8"/>
  <c r="AB582" i="8"/>
  <c r="O582" i="8"/>
  <c r="AN581" i="8"/>
  <c r="AM581" i="8"/>
  <c r="AB581" i="8"/>
  <c r="O581" i="8"/>
  <c r="AN580" i="8"/>
  <c r="AM580" i="8"/>
  <c r="AB580" i="8"/>
  <c r="O580" i="8"/>
  <c r="AN579" i="8"/>
  <c r="AM579" i="8"/>
  <c r="O579" i="8"/>
  <c r="AN578" i="8"/>
  <c r="AM578" i="8"/>
  <c r="O578" i="8"/>
  <c r="AN577" i="8"/>
  <c r="AM577" i="8"/>
  <c r="O577" i="8"/>
  <c r="AN576" i="8"/>
  <c r="AM576" i="8"/>
  <c r="N576" i="8"/>
  <c r="O575" i="8"/>
  <c r="Y575" i="8" s="1"/>
  <c r="AN574" i="8"/>
  <c r="AM574" i="8"/>
  <c r="AB574" i="8"/>
  <c r="O574" i="8"/>
  <c r="AN573" i="8"/>
  <c r="AM573" i="8"/>
  <c r="AB573" i="8"/>
  <c r="AN572" i="8"/>
  <c r="AM572" i="8"/>
  <c r="Z572" i="8"/>
  <c r="AN571" i="8"/>
  <c r="AM571" i="8"/>
  <c r="AB571" i="8"/>
  <c r="AB570" i="8" s="1"/>
  <c r="AB569" i="8" s="1"/>
  <c r="Z571" i="8"/>
  <c r="AC570" i="8"/>
  <c r="AC569" i="8" s="1"/>
  <c r="AA570" i="8"/>
  <c r="Z570" i="8"/>
  <c r="Z569" i="8" s="1"/>
  <c r="W570" i="8"/>
  <c r="V570" i="8"/>
  <c r="V569" i="8" s="1"/>
  <c r="U570" i="8"/>
  <c r="T570" i="8"/>
  <c r="T569" i="8" s="1"/>
  <c r="S570" i="8"/>
  <c r="R570" i="8"/>
  <c r="R569" i="8" s="1"/>
  <c r="Q570" i="8"/>
  <c r="P570" i="8"/>
  <c r="P569" i="8" s="1"/>
  <c r="N570" i="8"/>
  <c r="N569" i="8" s="1"/>
  <c r="M570" i="8"/>
  <c r="M569" i="8" s="1"/>
  <c r="L570" i="8"/>
  <c r="L569" i="8" s="1"/>
  <c r="K570" i="8"/>
  <c r="K569" i="8" s="1"/>
  <c r="J570" i="8"/>
  <c r="J569" i="8" s="1"/>
  <c r="I570" i="8"/>
  <c r="I569" i="8" s="1"/>
  <c r="H570" i="8"/>
  <c r="H569" i="8" s="1"/>
  <c r="AA569" i="8"/>
  <c r="W569" i="8"/>
  <c r="U569" i="8"/>
  <c r="S569" i="8"/>
  <c r="Q569" i="8"/>
  <c r="AN568" i="8"/>
  <c r="AM568" i="8"/>
  <c r="Z568" i="8"/>
  <c r="N568" i="8"/>
  <c r="AN567" i="8"/>
  <c r="AM567" i="8"/>
  <c r="Z567" i="8"/>
  <c r="M567" i="8"/>
  <c r="M563" i="8" s="1"/>
  <c r="M562" i="8" s="1"/>
  <c r="K567" i="8"/>
  <c r="K563" i="8" s="1"/>
  <c r="K562" i="8" s="1"/>
  <c r="AN566" i="8"/>
  <c r="AM566" i="8"/>
  <c r="Z566" i="8"/>
  <c r="AN565" i="8"/>
  <c r="AM565" i="8"/>
  <c r="AN564" i="8"/>
  <c r="AM564" i="8"/>
  <c r="AC563" i="8"/>
  <c r="AB563" i="8"/>
  <c r="AB562" i="8" s="1"/>
  <c r="AA563" i="8"/>
  <c r="Z563" i="8"/>
  <c r="Z562" i="8" s="1"/>
  <c r="Z561" i="8" s="1"/>
  <c r="Y563" i="8"/>
  <c r="AN563" i="8" s="1"/>
  <c r="X563" i="8"/>
  <c r="W563" i="8"/>
  <c r="V563" i="8"/>
  <c r="U563" i="8"/>
  <c r="T563" i="8"/>
  <c r="T562" i="8" s="1"/>
  <c r="T561" i="8" s="1"/>
  <c r="S563" i="8"/>
  <c r="R563" i="8"/>
  <c r="R562" i="8" s="1"/>
  <c r="R561" i="8" s="1"/>
  <c r="Q563" i="8"/>
  <c r="P563" i="8"/>
  <c r="P562" i="8" s="1"/>
  <c r="P561" i="8" s="1"/>
  <c r="O563" i="8"/>
  <c r="N563" i="8"/>
  <c r="N562" i="8" s="1"/>
  <c r="N561" i="8" s="1"/>
  <c r="L563" i="8"/>
  <c r="L562" i="8" s="1"/>
  <c r="L561" i="8" s="1"/>
  <c r="J563" i="8"/>
  <c r="J562" i="8" s="1"/>
  <c r="I563" i="8"/>
  <c r="AO563" i="8" s="1"/>
  <c r="H563" i="8"/>
  <c r="H562" i="8" s="1"/>
  <c r="AN562" i="8"/>
  <c r="AM562" i="8"/>
  <c r="AC562" i="8"/>
  <c r="AA562" i="8"/>
  <c r="X562" i="8"/>
  <c r="W562" i="8"/>
  <c r="W561" i="8" s="1"/>
  <c r="V562" i="8"/>
  <c r="S562" i="8"/>
  <c r="S561" i="8" s="1"/>
  <c r="Q562" i="8"/>
  <c r="O562" i="8"/>
  <c r="Q561" i="8"/>
  <c r="U560" i="8"/>
  <c r="Y560" i="8" s="1"/>
  <c r="Y558" i="8" s="1"/>
  <c r="P560" i="8"/>
  <c r="H560" i="8"/>
  <c r="AN559" i="8"/>
  <c r="P559" i="8"/>
  <c r="O559" i="8"/>
  <c r="O558" i="8" s="1"/>
  <c r="H559" i="8"/>
  <c r="H558" i="8" s="1"/>
  <c r="AC558" i="8"/>
  <c r="AB558" i="8"/>
  <c r="AA558" i="8"/>
  <c r="Z558" i="8"/>
  <c r="W558" i="8"/>
  <c r="V558" i="8"/>
  <c r="S558" i="8"/>
  <c r="R558" i="8"/>
  <c r="Q558" i="8"/>
  <c r="P558" i="8"/>
  <c r="M558" i="8"/>
  <c r="L558" i="8"/>
  <c r="K558" i="8"/>
  <c r="J558" i="8"/>
  <c r="I558" i="8"/>
  <c r="X557" i="8"/>
  <c r="Y557" i="8" s="1"/>
  <c r="H557" i="8"/>
  <c r="AN556" i="8"/>
  <c r="AM556" i="8"/>
  <c r="X556" i="8"/>
  <c r="T556" i="8"/>
  <c r="P556" i="8"/>
  <c r="H556" i="8"/>
  <c r="AN555" i="8"/>
  <c r="X555" i="8"/>
  <c r="U555" i="8"/>
  <c r="AM555" i="8" s="1"/>
  <c r="P555" i="8"/>
  <c r="H555" i="8"/>
  <c r="AN554" i="8"/>
  <c r="AM554" i="8"/>
  <c r="AB554" i="8"/>
  <c r="X554" i="8"/>
  <c r="T554" i="8"/>
  <c r="S554" i="8"/>
  <c r="P554" i="8"/>
  <c r="H554" i="8"/>
  <c r="AB553" i="8"/>
  <c r="U553" i="8"/>
  <c r="Y553" i="8" s="1"/>
  <c r="N553" i="8"/>
  <c r="H553" i="8"/>
  <c r="H549" i="8" s="1"/>
  <c r="H548" i="8" s="1"/>
  <c r="AN552" i="8"/>
  <c r="AM552" i="8"/>
  <c r="AB552" i="8"/>
  <c r="Z552" i="8"/>
  <c r="X552" i="8"/>
  <c r="T552" i="8"/>
  <c r="S552" i="8"/>
  <c r="P552" i="8"/>
  <c r="AN551" i="8"/>
  <c r="AM551" i="8"/>
  <c r="Z551" i="8"/>
  <c r="AN550" i="8"/>
  <c r="AM550" i="8"/>
  <c r="Z550" i="8"/>
  <c r="Z549" i="8" s="1"/>
  <c r="Z548" i="8" s="1"/>
  <c r="X550" i="8"/>
  <c r="T550" i="8"/>
  <c r="S550" i="8"/>
  <c r="P550" i="8"/>
  <c r="P549" i="8" s="1"/>
  <c r="P548" i="8" s="1"/>
  <c r="AK549" i="8"/>
  <c r="AK548" i="8" s="1"/>
  <c r="AK540" i="8" s="1"/>
  <c r="AJ549" i="8"/>
  <c r="AI549" i="8"/>
  <c r="AI548" i="8" s="1"/>
  <c r="AI540" i="8" s="1"/>
  <c r="AH549" i="8"/>
  <c r="AH548" i="8" s="1"/>
  <c r="AH540" i="8" s="1"/>
  <c r="AG549" i="8"/>
  <c r="AG548" i="8" s="1"/>
  <c r="AG540" i="8" s="1"/>
  <c r="AF549" i="8"/>
  <c r="AE549" i="8"/>
  <c r="AE548" i="8" s="1"/>
  <c r="AE540" i="8" s="1"/>
  <c r="AD549" i="8"/>
  <c r="AD548" i="8" s="1"/>
  <c r="AD540" i="8" s="1"/>
  <c r="AC549" i="8"/>
  <c r="AC548" i="8" s="1"/>
  <c r="AB549" i="8"/>
  <c r="AA549" i="8"/>
  <c r="AA548" i="8" s="1"/>
  <c r="W549" i="8"/>
  <c r="W548" i="8" s="1"/>
  <c r="V549" i="8"/>
  <c r="U549" i="8"/>
  <c r="R549" i="8"/>
  <c r="Q549" i="8"/>
  <c r="Q548" i="8" s="1"/>
  <c r="O549" i="8"/>
  <c r="O548" i="8" s="1"/>
  <c r="N549" i="8"/>
  <c r="M549" i="8"/>
  <c r="M548" i="8" s="1"/>
  <c r="L549" i="8"/>
  <c r="K549" i="8"/>
  <c r="K548" i="8" s="1"/>
  <c r="J549" i="8"/>
  <c r="I549" i="8"/>
  <c r="AJ548" i="8"/>
  <c r="AJ540" i="8" s="1"/>
  <c r="AF548" i="8"/>
  <c r="AF540" i="8" s="1"/>
  <c r="AB548" i="8"/>
  <c r="R548" i="8"/>
  <c r="AN547" i="8"/>
  <c r="AM547" i="8"/>
  <c r="AB547" i="8"/>
  <c r="Z547" i="8"/>
  <c r="L547" i="8"/>
  <c r="M547" i="8" s="1"/>
  <c r="J547" i="8"/>
  <c r="K547" i="8" s="1"/>
  <c r="AN546" i="8"/>
  <c r="AM546" i="8"/>
  <c r="AB546" i="8"/>
  <c r="AB542" i="8" s="1"/>
  <c r="AB541" i="8" s="1"/>
  <c r="AB540" i="8" s="1"/>
  <c r="Z546" i="8"/>
  <c r="Z542" i="8" s="1"/>
  <c r="Z541" i="8" s="1"/>
  <c r="X546" i="8"/>
  <c r="X542" i="8" s="1"/>
  <c r="X541" i="8" s="1"/>
  <c r="T546" i="8"/>
  <c r="T542" i="8" s="1"/>
  <c r="T541" i="8" s="1"/>
  <c r="P546" i="8"/>
  <c r="P542" i="8" s="1"/>
  <c r="P541" i="8" s="1"/>
  <c r="P540" i="8" s="1"/>
  <c r="M546" i="8"/>
  <c r="K546" i="8"/>
  <c r="AN545" i="8"/>
  <c r="AM545" i="8"/>
  <c r="Z545" i="8"/>
  <c r="AN544" i="8"/>
  <c r="AM544" i="8"/>
  <c r="AN543" i="8"/>
  <c r="AM543" i="8"/>
  <c r="AK542" i="8"/>
  <c r="AJ542" i="8"/>
  <c r="AI542" i="8"/>
  <c r="AH542" i="8"/>
  <c r="AG542" i="8"/>
  <c r="AF542" i="8"/>
  <c r="AE542" i="8"/>
  <c r="AD542" i="8"/>
  <c r="AC542" i="8"/>
  <c r="AC541" i="8" s="1"/>
  <c r="AC540" i="8" s="1"/>
  <c r="AA542" i="8"/>
  <c r="AA541" i="8" s="1"/>
  <c r="AA540" i="8" s="1"/>
  <c r="Y542" i="8"/>
  <c r="AN542" i="8" s="1"/>
  <c r="W542" i="8"/>
  <c r="W541" i="8" s="1"/>
  <c r="V542" i="8"/>
  <c r="V541" i="8" s="1"/>
  <c r="U542" i="8"/>
  <c r="U541" i="8" s="1"/>
  <c r="S542" i="8"/>
  <c r="S541" i="8" s="1"/>
  <c r="R542" i="8"/>
  <c r="R541" i="8" s="1"/>
  <c r="Q542" i="8"/>
  <c r="Q541" i="8" s="1"/>
  <c r="Q540" i="8" s="1"/>
  <c r="O542" i="8"/>
  <c r="O541" i="8" s="1"/>
  <c r="O540" i="8" s="1"/>
  <c r="N542" i="8"/>
  <c r="N541" i="8" s="1"/>
  <c r="I542" i="8"/>
  <c r="H542" i="8"/>
  <c r="H541" i="8" s="1"/>
  <c r="Y539" i="8"/>
  <c r="AN539" i="8" s="1"/>
  <c r="H539" i="8"/>
  <c r="H537" i="8" s="1"/>
  <c r="Y536" i="8"/>
  <c r="AN536" i="8" s="1"/>
  <c r="H536" i="8"/>
  <c r="Y535" i="8"/>
  <c r="AN535" i="8" s="1"/>
  <c r="H535" i="8"/>
  <c r="Y534" i="8"/>
  <c r="AN534" i="8" s="1"/>
  <c r="H534" i="8"/>
  <c r="Y533" i="8"/>
  <c r="AN533" i="8" s="1"/>
  <c r="H533" i="8"/>
  <c r="Y532" i="8"/>
  <c r="AN532" i="8" s="1"/>
  <c r="H532" i="8"/>
  <c r="AN531" i="8"/>
  <c r="AM531" i="8"/>
  <c r="X531" i="8"/>
  <c r="T531" i="8"/>
  <c r="P531" i="8"/>
  <c r="H531" i="8"/>
  <c r="AN530" i="8"/>
  <c r="AM530" i="8"/>
  <c r="S530" i="8"/>
  <c r="AN529" i="8"/>
  <c r="AM529" i="8"/>
  <c r="S529" i="8"/>
  <c r="AN528" i="8"/>
  <c r="AM528" i="8"/>
  <c r="S528" i="8"/>
  <c r="AN527" i="8"/>
  <c r="AM527" i="8"/>
  <c r="X527" i="8"/>
  <c r="T527" i="8"/>
  <c r="S527" i="8"/>
  <c r="P527" i="8"/>
  <c r="N527" i="8"/>
  <c r="AN526" i="8"/>
  <c r="AM526" i="8"/>
  <c r="X526" i="8"/>
  <c r="T526" i="8"/>
  <c r="S526" i="8"/>
  <c r="P526" i="8"/>
  <c r="H526" i="8"/>
  <c r="AN525" i="8"/>
  <c r="AM525" i="8"/>
  <c r="AB525" i="8"/>
  <c r="X525" i="8"/>
  <c r="T525" i="8"/>
  <c r="S525" i="8"/>
  <c r="Q525" i="8"/>
  <c r="P525" i="8" s="1"/>
  <c r="N525" i="8"/>
  <c r="H525" i="8"/>
  <c r="AN524" i="8"/>
  <c r="AM524" i="8"/>
  <c r="AB524" i="8"/>
  <c r="S524" i="8"/>
  <c r="N524" i="8"/>
  <c r="AN523" i="8"/>
  <c r="AM523" i="8"/>
  <c r="AB523" i="8"/>
  <c r="AB521" i="8" s="1"/>
  <c r="AB520" i="8" s="1"/>
  <c r="AB519" i="8" s="1"/>
  <c r="X523" i="8"/>
  <c r="T523" i="8"/>
  <c r="T521" i="8" s="1"/>
  <c r="T520" i="8" s="1"/>
  <c r="T519" i="8" s="1"/>
  <c r="S523" i="8"/>
  <c r="P523" i="8"/>
  <c r="N523" i="8"/>
  <c r="AN522" i="8"/>
  <c r="AM522" i="8"/>
  <c r="S522" i="8"/>
  <c r="S521" i="8" s="1"/>
  <c r="S520" i="8" s="1"/>
  <c r="S519" i="8" s="1"/>
  <c r="N522" i="8"/>
  <c r="AK521" i="8"/>
  <c r="AK520" i="8" s="1"/>
  <c r="AK519" i="8" s="1"/>
  <c r="AJ521" i="8"/>
  <c r="AJ520" i="8" s="1"/>
  <c r="AJ519" i="8" s="1"/>
  <c r="AI521" i="8"/>
  <c r="AH521" i="8"/>
  <c r="AH520" i="8" s="1"/>
  <c r="AH519" i="8" s="1"/>
  <c r="AG521" i="8"/>
  <c r="AG520" i="8" s="1"/>
  <c r="AG519" i="8" s="1"/>
  <c r="AF521" i="8"/>
  <c r="AF520" i="8" s="1"/>
  <c r="AF519" i="8" s="1"/>
  <c r="AE521" i="8"/>
  <c r="AE520" i="8" s="1"/>
  <c r="AE519" i="8" s="1"/>
  <c r="AD521" i="8"/>
  <c r="AD520" i="8" s="1"/>
  <c r="AD519" i="8" s="1"/>
  <c r="AC521" i="8"/>
  <c r="AC520" i="8" s="1"/>
  <c r="AC519" i="8" s="1"/>
  <c r="AA521" i="8"/>
  <c r="Z521" i="8"/>
  <c r="Z520" i="8" s="1"/>
  <c r="Z519" i="8" s="1"/>
  <c r="Y521" i="8"/>
  <c r="AN521" i="8" s="1"/>
  <c r="W521" i="8"/>
  <c r="W520" i="8" s="1"/>
  <c r="W519" i="8" s="1"/>
  <c r="V521" i="8"/>
  <c r="V520" i="8" s="1"/>
  <c r="V519" i="8" s="1"/>
  <c r="U521" i="8"/>
  <c r="R521" i="8"/>
  <c r="R520" i="8" s="1"/>
  <c r="R519" i="8" s="1"/>
  <c r="O521" i="8"/>
  <c r="O520" i="8" s="1"/>
  <c r="O519" i="8" s="1"/>
  <c r="M521" i="8"/>
  <c r="L521" i="8"/>
  <c r="L520" i="8" s="1"/>
  <c r="L519" i="8" s="1"/>
  <c r="K521" i="8"/>
  <c r="K520" i="8" s="1"/>
  <c r="K519" i="8" s="1"/>
  <c r="J521" i="8"/>
  <c r="J520" i="8" s="1"/>
  <c r="J519" i="8" s="1"/>
  <c r="I521" i="8"/>
  <c r="AI520" i="8"/>
  <c r="AI519" i="8" s="1"/>
  <c r="AA520" i="8"/>
  <c r="AA519" i="8" s="1"/>
  <c r="U520" i="8"/>
  <c r="U519" i="8" s="1"/>
  <c r="M520" i="8"/>
  <c r="M519" i="8" s="1"/>
  <c r="I520" i="8"/>
  <c r="Y518" i="8"/>
  <c r="AN518" i="8" s="1"/>
  <c r="H518" i="8"/>
  <c r="Y517" i="8"/>
  <c r="AN517" i="8" s="1"/>
  <c r="H517" i="8"/>
  <c r="Y516" i="8"/>
  <c r="AN516" i="8" s="1"/>
  <c r="H516" i="8"/>
  <c r="Y515" i="8"/>
  <c r="AN515" i="8" s="1"/>
  <c r="H515" i="8"/>
  <c r="Y514" i="8"/>
  <c r="AN514" i="8" s="1"/>
  <c r="T514" i="8"/>
  <c r="R514" i="8" s="1"/>
  <c r="Q514" i="8"/>
  <c r="P514" i="8" s="1"/>
  <c r="H514" i="8"/>
  <c r="AN513" i="8"/>
  <c r="AM513" i="8"/>
  <c r="X513" i="8"/>
  <c r="T513" i="8"/>
  <c r="R513" i="8"/>
  <c r="P513" i="8"/>
  <c r="H513" i="8"/>
  <c r="AN512" i="8"/>
  <c r="AM512" i="8"/>
  <c r="X512" i="8"/>
  <c r="T512" i="8"/>
  <c r="P512" i="8"/>
  <c r="O512" i="8"/>
  <c r="R512" i="8" s="1"/>
  <c r="H512" i="8"/>
  <c r="AN511" i="8"/>
  <c r="AM511" i="8"/>
  <c r="X511" i="8"/>
  <c r="T511" i="8"/>
  <c r="S511" i="8"/>
  <c r="Q511" i="8"/>
  <c r="Q510" i="8" s="1"/>
  <c r="N511" i="8"/>
  <c r="P511" i="8" s="1"/>
  <c r="H511" i="8"/>
  <c r="AB510" i="8"/>
  <c r="Y510" i="8"/>
  <c r="U510" i="8"/>
  <c r="N510" i="8"/>
  <c r="I510" i="8"/>
  <c r="I504" i="8" s="1"/>
  <c r="AN509" i="8"/>
  <c r="AM509" i="8"/>
  <c r="AB509" i="8"/>
  <c r="X509" i="8"/>
  <c r="T509" i="8"/>
  <c r="S509" i="8"/>
  <c r="AN508" i="8"/>
  <c r="AM508" i="8"/>
  <c r="AB508" i="8"/>
  <c r="X508" i="8"/>
  <c r="T508" i="8"/>
  <c r="S508" i="8"/>
  <c r="Q508" i="8"/>
  <c r="P508" i="8" s="1"/>
  <c r="AN507" i="8"/>
  <c r="AM507" i="8"/>
  <c r="AB507" i="8"/>
  <c r="X507" i="8"/>
  <c r="T507" i="8"/>
  <c r="S507" i="8"/>
  <c r="AN506" i="8"/>
  <c r="AM506" i="8"/>
  <c r="AB506" i="8"/>
  <c r="Z506" i="8"/>
  <c r="X506" i="8"/>
  <c r="T506" i="8"/>
  <c r="S506" i="8"/>
  <c r="P506" i="8"/>
  <c r="H506" i="8"/>
  <c r="AN505" i="8"/>
  <c r="AM505" i="8"/>
  <c r="AB505" i="8"/>
  <c r="Z505" i="8"/>
  <c r="X505" i="8"/>
  <c r="T505" i="8"/>
  <c r="S505" i="8"/>
  <c r="P505" i="8"/>
  <c r="H505" i="8"/>
  <c r="AK504" i="8"/>
  <c r="AJ504" i="8"/>
  <c r="AJ503" i="8" s="1"/>
  <c r="AI504" i="8"/>
  <c r="AI503" i="8" s="1"/>
  <c r="AH504" i="8"/>
  <c r="AH503" i="8" s="1"/>
  <c r="AG504" i="8"/>
  <c r="AF504" i="8"/>
  <c r="AF503" i="8" s="1"/>
  <c r="AE504" i="8"/>
  <c r="AE503" i="8" s="1"/>
  <c r="AD504" i="8"/>
  <c r="AD503" i="8" s="1"/>
  <c r="AC504" i="8"/>
  <c r="AA504" i="8"/>
  <c r="AA503" i="8" s="1"/>
  <c r="Y504" i="8"/>
  <c r="AN504" i="8" s="1"/>
  <c r="W504" i="8"/>
  <c r="V504" i="8"/>
  <c r="V503" i="8" s="1"/>
  <c r="U504" i="8"/>
  <c r="U503" i="8" s="1"/>
  <c r="M504" i="8"/>
  <c r="M503" i="8" s="1"/>
  <c r="L504" i="8"/>
  <c r="L503" i="8" s="1"/>
  <c r="K504" i="8"/>
  <c r="J504" i="8"/>
  <c r="J503" i="8" s="1"/>
  <c r="AK503" i="8"/>
  <c r="AG503" i="8"/>
  <c r="AC503" i="8"/>
  <c r="Y503" i="8"/>
  <c r="AN503" i="8" s="1"/>
  <c r="W503" i="8"/>
  <c r="K503" i="8"/>
  <c r="AN502" i="8"/>
  <c r="AM502" i="8"/>
  <c r="AB502" i="8"/>
  <c r="Z502" i="8"/>
  <c r="Q502" i="8"/>
  <c r="O502" i="8"/>
  <c r="S502" i="8" s="1"/>
  <c r="S498" i="8" s="1"/>
  <c r="S497" i="8" s="1"/>
  <c r="I502" i="8"/>
  <c r="AO502" i="8" s="1"/>
  <c r="AN501" i="8"/>
  <c r="AM501" i="8"/>
  <c r="AB501" i="8"/>
  <c r="Z501" i="8"/>
  <c r="X501" i="8"/>
  <c r="T501" i="8"/>
  <c r="T498" i="8" s="1"/>
  <c r="T497" i="8" s="1"/>
  <c r="P501" i="8"/>
  <c r="P498" i="8" s="1"/>
  <c r="P497" i="8" s="1"/>
  <c r="O501" i="8"/>
  <c r="R501" i="8" s="1"/>
  <c r="R498" i="8" s="1"/>
  <c r="R497" i="8" s="1"/>
  <c r="H501" i="8"/>
  <c r="H498" i="8" s="1"/>
  <c r="H497" i="8" s="1"/>
  <c r="AN500" i="8"/>
  <c r="AM500" i="8"/>
  <c r="AN499" i="8"/>
  <c r="AM499" i="8"/>
  <c r="AK498" i="8"/>
  <c r="AK497" i="8" s="1"/>
  <c r="AJ498" i="8"/>
  <c r="AI498" i="8"/>
  <c r="AI497" i="8" s="1"/>
  <c r="AH498" i="8"/>
  <c r="AH497" i="8" s="1"/>
  <c r="AH496" i="8" s="1"/>
  <c r="AG498" i="8"/>
  <c r="AG497" i="8" s="1"/>
  <c r="AG496" i="8" s="1"/>
  <c r="AF498" i="8"/>
  <c r="AE498" i="8"/>
  <c r="AE497" i="8" s="1"/>
  <c r="AD498" i="8"/>
  <c r="AD497" i="8" s="1"/>
  <c r="AD496" i="8" s="1"/>
  <c r="AC498" i="8"/>
  <c r="AC497" i="8" s="1"/>
  <c r="AA498" i="8"/>
  <c r="AA497" i="8" s="1"/>
  <c r="Y498" i="8"/>
  <c r="AN498" i="8" s="1"/>
  <c r="X498" i="8"/>
  <c r="X497" i="8" s="1"/>
  <c r="W498" i="8"/>
  <c r="W497" i="8" s="1"/>
  <c r="V498" i="8"/>
  <c r="U498" i="8"/>
  <c r="U497" i="8" s="1"/>
  <c r="Q498" i="8"/>
  <c r="Q497" i="8" s="1"/>
  <c r="N498" i="8"/>
  <c r="N497" i="8" s="1"/>
  <c r="M498" i="8"/>
  <c r="M497" i="8" s="1"/>
  <c r="L498" i="8"/>
  <c r="L497" i="8" s="1"/>
  <c r="L496" i="8" s="1"/>
  <c r="K498" i="8"/>
  <c r="K497" i="8" s="1"/>
  <c r="K496" i="8" s="1"/>
  <c r="J498" i="8"/>
  <c r="J497" i="8" s="1"/>
  <c r="J496" i="8" s="1"/>
  <c r="AJ497" i="8"/>
  <c r="AJ496" i="8" s="1"/>
  <c r="AF497" i="8"/>
  <c r="AF496" i="8" s="1"/>
  <c r="V497" i="8"/>
  <c r="V496" i="8" s="1"/>
  <c r="AN495" i="8"/>
  <c r="AM495" i="8"/>
  <c r="S495" i="8"/>
  <c r="S494" i="8" s="1"/>
  <c r="N495" i="8"/>
  <c r="N494" i="8" s="1"/>
  <c r="H495" i="8"/>
  <c r="AK494" i="8"/>
  <c r="AK470" i="8" s="1"/>
  <c r="AJ494" i="8"/>
  <c r="AJ470" i="8" s="1"/>
  <c r="AI494" i="8"/>
  <c r="AH494" i="8"/>
  <c r="AH470" i="8" s="1"/>
  <c r="AG494" i="8"/>
  <c r="AG470" i="8" s="1"/>
  <c r="AF494" i="8"/>
  <c r="AF470" i="8" s="1"/>
  <c r="AE494" i="8"/>
  <c r="AD494" i="8"/>
  <c r="AD470" i="8" s="1"/>
  <c r="AC494" i="8"/>
  <c r="AC470" i="8" s="1"/>
  <c r="AB494" i="8"/>
  <c r="AA494" i="8"/>
  <c r="Z494" i="8"/>
  <c r="Y494" i="8"/>
  <c r="AN494" i="8" s="1"/>
  <c r="X494" i="8"/>
  <c r="T494" i="8"/>
  <c r="R494" i="8"/>
  <c r="Q494" i="8"/>
  <c r="P494" i="8"/>
  <c r="O494" i="8"/>
  <c r="O470" i="8" s="1"/>
  <c r="I494" i="8"/>
  <c r="AO494" i="8" s="1"/>
  <c r="H494" i="8"/>
  <c r="Y492" i="8"/>
  <c r="AN492" i="8" s="1"/>
  <c r="H492" i="8"/>
  <c r="Y491" i="8"/>
  <c r="AN491" i="8" s="1"/>
  <c r="H491" i="8"/>
  <c r="Y490" i="8"/>
  <c r="AN490" i="8" s="1"/>
  <c r="H490" i="8"/>
  <c r="Y489" i="8"/>
  <c r="AN489" i="8" s="1"/>
  <c r="H489" i="8"/>
  <c r="AN488" i="8"/>
  <c r="AM488" i="8"/>
  <c r="X488" i="8"/>
  <c r="T488" i="8"/>
  <c r="R488" i="8"/>
  <c r="P488" i="8"/>
  <c r="H488" i="8"/>
  <c r="AN487" i="8"/>
  <c r="AM487" i="8"/>
  <c r="X487" i="8"/>
  <c r="T487" i="8"/>
  <c r="R487" i="8"/>
  <c r="P487" i="8"/>
  <c r="I487" i="8"/>
  <c r="AO487" i="8" s="1"/>
  <c r="AN486" i="8"/>
  <c r="AM486" i="8"/>
  <c r="X486" i="8"/>
  <c r="T486" i="8"/>
  <c r="R486" i="8"/>
  <c r="Q486" i="8"/>
  <c r="P486" i="8" s="1"/>
  <c r="H486" i="8"/>
  <c r="AN485" i="8"/>
  <c r="AM485" i="8"/>
  <c r="X485" i="8"/>
  <c r="T485" i="8"/>
  <c r="R485" i="8"/>
  <c r="P485" i="8"/>
  <c r="H485" i="8"/>
  <c r="AN484" i="8"/>
  <c r="AM484" i="8"/>
  <c r="X484" i="8"/>
  <c r="T484" i="8"/>
  <c r="R484" i="8"/>
  <c r="P484" i="8"/>
  <c r="H484" i="8"/>
  <c r="AN483" i="8"/>
  <c r="AM483" i="8"/>
  <c r="X483" i="8"/>
  <c r="T483" i="8"/>
  <c r="R483" i="8"/>
  <c r="P483" i="8"/>
  <c r="H483" i="8"/>
  <c r="Y482" i="8"/>
  <c r="AN482" i="8" s="1"/>
  <c r="T482" i="8"/>
  <c r="R482" i="8"/>
  <c r="P482" i="8"/>
  <c r="H482" i="8"/>
  <c r="AN481" i="8"/>
  <c r="AM481" i="8"/>
  <c r="X481" i="8"/>
  <c r="T481" i="8"/>
  <c r="R481" i="8"/>
  <c r="P481" i="8"/>
  <c r="AN480" i="8"/>
  <c r="AM480" i="8"/>
  <c r="X480" i="8"/>
  <c r="T480" i="8"/>
  <c r="S480" i="8"/>
  <c r="P480" i="8"/>
  <c r="N480" i="8"/>
  <c r="H480" i="8"/>
  <c r="AN479" i="8"/>
  <c r="AM479" i="8"/>
  <c r="X479" i="8"/>
  <c r="T479" i="8"/>
  <c r="Q479" i="8"/>
  <c r="P479" i="8" s="1"/>
  <c r="N479" i="8"/>
  <c r="AN478" i="8"/>
  <c r="AM478" i="8"/>
  <c r="Z478" i="8"/>
  <c r="X478" i="8"/>
  <c r="T478" i="8"/>
  <c r="S478" i="8"/>
  <c r="P478" i="8"/>
  <c r="N478" i="8"/>
  <c r="H478" i="8"/>
  <c r="AN477" i="8"/>
  <c r="AM477" i="8"/>
  <c r="Z477" i="8"/>
  <c r="X477" i="8"/>
  <c r="T477" i="8"/>
  <c r="R477" i="8"/>
  <c r="P477" i="8"/>
  <c r="N477" i="8"/>
  <c r="AN476" i="8"/>
  <c r="AM476" i="8"/>
  <c r="Z476" i="8"/>
  <c r="X476" i="8"/>
  <c r="T476" i="8"/>
  <c r="S476" i="8"/>
  <c r="P476" i="8"/>
  <c r="N476" i="8"/>
  <c r="H476" i="8"/>
  <c r="AN475" i="8"/>
  <c r="AM475" i="8"/>
  <c r="AB475" i="8"/>
  <c r="AB471" i="8" s="1"/>
  <c r="AB470" i="8" s="1"/>
  <c r="Z475" i="8"/>
  <c r="X475" i="8"/>
  <c r="T475" i="8"/>
  <c r="S475" i="8"/>
  <c r="P475" i="8"/>
  <c r="N475" i="8"/>
  <c r="H475" i="8"/>
  <c r="AN474" i="8"/>
  <c r="AM474" i="8"/>
  <c r="Z474" i="8"/>
  <c r="X474" i="8"/>
  <c r="T474" i="8"/>
  <c r="S474" i="8"/>
  <c r="P474" i="8"/>
  <c r="N474" i="8"/>
  <c r="H474" i="8"/>
  <c r="AN473" i="8"/>
  <c r="AM473" i="8"/>
  <c r="Z473" i="8"/>
  <c r="X473" i="8"/>
  <c r="T473" i="8"/>
  <c r="S473" i="8"/>
  <c r="P473" i="8"/>
  <c r="N473" i="8"/>
  <c r="H473" i="8"/>
  <c r="AN472" i="8"/>
  <c r="AM472" i="8"/>
  <c r="Z472" i="8"/>
  <c r="X472" i="8"/>
  <c r="T472" i="8"/>
  <c r="S472" i="8"/>
  <c r="P472" i="8"/>
  <c r="N472" i="8"/>
  <c r="H472" i="8"/>
  <c r="Y471" i="8"/>
  <c r="AN471" i="8" s="1"/>
  <c r="Q471" i="8"/>
  <c r="I471" i="8"/>
  <c r="I470" i="8" s="1"/>
  <c r="AI470" i="8"/>
  <c r="AE470" i="8"/>
  <c r="AA470" i="8"/>
  <c r="W470" i="8"/>
  <c r="V470" i="8"/>
  <c r="U470" i="8"/>
  <c r="Q470" i="8"/>
  <c r="M470" i="8"/>
  <c r="L470" i="8"/>
  <c r="K470" i="8"/>
  <c r="J470" i="8"/>
  <c r="AN469" i="8"/>
  <c r="AM469" i="8"/>
  <c r="Z469" i="8"/>
  <c r="X469" i="8"/>
  <c r="T469" i="8"/>
  <c r="S469" i="8"/>
  <c r="P469" i="8"/>
  <c r="N469" i="8"/>
  <c r="L469" i="8"/>
  <c r="J469" i="8"/>
  <c r="H469" i="8"/>
  <c r="AN468" i="8"/>
  <c r="AM468" i="8"/>
  <c r="Z468" i="8"/>
  <c r="X468" i="8"/>
  <c r="T468" i="8"/>
  <c r="S468" i="8"/>
  <c r="P468" i="8"/>
  <c r="N468" i="8"/>
  <c r="M468" i="8"/>
  <c r="L468" i="8" s="1"/>
  <c r="K468" i="8"/>
  <c r="J468" i="8" s="1"/>
  <c r="H468" i="8"/>
  <c r="AN467" i="8"/>
  <c r="AM467" i="8"/>
  <c r="Z467" i="8"/>
  <c r="X467" i="8"/>
  <c r="T467" i="8"/>
  <c r="P467" i="8"/>
  <c r="O467" i="8"/>
  <c r="S467" i="8" s="1"/>
  <c r="AN466" i="8"/>
  <c r="AM466" i="8"/>
  <c r="AN465" i="8"/>
  <c r="AM465" i="8"/>
  <c r="AK464" i="8"/>
  <c r="AJ464" i="8"/>
  <c r="AJ463" i="8" s="1"/>
  <c r="AI464" i="8"/>
  <c r="AI463" i="8" s="1"/>
  <c r="AH464" i="8"/>
  <c r="AH463" i="8" s="1"/>
  <c r="AG464" i="8"/>
  <c r="AF464" i="8"/>
  <c r="AF463" i="8" s="1"/>
  <c r="AE464" i="8"/>
  <c r="AE463" i="8" s="1"/>
  <c r="AD464" i="8"/>
  <c r="AD463" i="8" s="1"/>
  <c r="AC464" i="8"/>
  <c r="AB464" i="8"/>
  <c r="AB463" i="8" s="1"/>
  <c r="AA464" i="8"/>
  <c r="AA463" i="8" s="1"/>
  <c r="Y464" i="8"/>
  <c r="AN464" i="8" s="1"/>
  <c r="U464" i="8"/>
  <c r="U463" i="8" s="1"/>
  <c r="U462" i="8" s="1"/>
  <c r="R464" i="8"/>
  <c r="Q464" i="8"/>
  <c r="Q463" i="8" s="1"/>
  <c r="O464" i="8"/>
  <c r="O463" i="8" s="1"/>
  <c r="M464" i="8"/>
  <c r="M463" i="8" s="1"/>
  <c r="K464" i="8"/>
  <c r="K463" i="8" s="1"/>
  <c r="K462" i="8" s="1"/>
  <c r="I464" i="8"/>
  <c r="AK463" i="8"/>
  <c r="AG463" i="8"/>
  <c r="AC463" i="8"/>
  <c r="R463" i="8"/>
  <c r="W462" i="8"/>
  <c r="V462" i="8"/>
  <c r="AN461" i="8"/>
  <c r="AM461" i="8"/>
  <c r="X461" i="8"/>
  <c r="X460" i="8" s="1"/>
  <c r="R461" i="8"/>
  <c r="P461" i="8"/>
  <c r="H461" i="8"/>
  <c r="H460" i="8" s="1"/>
  <c r="Y460" i="8"/>
  <c r="V460" i="8"/>
  <c r="I460" i="8"/>
  <c r="AN459" i="8"/>
  <c r="AM459" i="8"/>
  <c r="X459" i="8"/>
  <c r="T459" i="8"/>
  <c r="R459" i="8"/>
  <c r="P459" i="8"/>
  <c r="AN458" i="8"/>
  <c r="AM458" i="8"/>
  <c r="X458" i="8"/>
  <c r="T458" i="8"/>
  <c r="R458" i="8"/>
  <c r="P458" i="8"/>
  <c r="H458" i="8"/>
  <c r="AN457" i="8"/>
  <c r="AM457" i="8"/>
  <c r="O457" i="8"/>
  <c r="S457" i="8" s="1"/>
  <c r="AN456" i="8"/>
  <c r="AM456" i="8"/>
  <c r="O456" i="8"/>
  <c r="S456" i="8" s="1"/>
  <c r="AN455" i="8"/>
  <c r="AM455" i="8"/>
  <c r="X455" i="8"/>
  <c r="T455" i="8"/>
  <c r="P455" i="8"/>
  <c r="O455" i="8"/>
  <c r="R455" i="8" s="1"/>
  <c r="H455" i="8"/>
  <c r="AN454" i="8"/>
  <c r="AM454" i="8"/>
  <c r="AB454" i="8"/>
  <c r="X454" i="8"/>
  <c r="T454" i="8"/>
  <c r="P454" i="8"/>
  <c r="O454" i="8"/>
  <c r="S454" i="8" s="1"/>
  <c r="AN453" i="8"/>
  <c r="AM453" i="8"/>
  <c r="AB453" i="8"/>
  <c r="X453" i="8"/>
  <c r="T453" i="8"/>
  <c r="P453" i="8"/>
  <c r="O453" i="8"/>
  <c r="S453" i="8" s="1"/>
  <c r="AN452" i="8"/>
  <c r="AM452" i="8"/>
  <c r="O452" i="8"/>
  <c r="S452" i="8" s="1"/>
  <c r="AN451" i="8"/>
  <c r="AM451" i="8"/>
  <c r="X451" i="8"/>
  <c r="T451" i="8"/>
  <c r="P451" i="8"/>
  <c r="O451" i="8"/>
  <c r="S451" i="8" s="1"/>
  <c r="AN450" i="8"/>
  <c r="AM450" i="8"/>
  <c r="O450" i="8"/>
  <c r="S450" i="8" s="1"/>
  <c r="AN449" i="8"/>
  <c r="AM449" i="8"/>
  <c r="AB449" i="8"/>
  <c r="Z449" i="8"/>
  <c r="X449" i="8"/>
  <c r="T449" i="8"/>
  <c r="P449" i="8"/>
  <c r="O449" i="8"/>
  <c r="S449" i="8" s="1"/>
  <c r="AN448" i="8"/>
  <c r="AM448" i="8"/>
  <c r="AB448" i="8"/>
  <c r="Z448" i="8"/>
  <c r="X448" i="8"/>
  <c r="T448" i="8"/>
  <c r="P448" i="8"/>
  <c r="O448" i="8"/>
  <c r="R448" i="8" s="1"/>
  <c r="AN447" i="8"/>
  <c r="AM447" i="8"/>
  <c r="AB447" i="8"/>
  <c r="AB446" i="8" s="1"/>
  <c r="AB445" i="8" s="1"/>
  <c r="AB444" i="8" s="1"/>
  <c r="Z447" i="8"/>
  <c r="X447" i="8"/>
  <c r="X446" i="8" s="1"/>
  <c r="T447" i="8"/>
  <c r="P447" i="8"/>
  <c r="P446" i="8" s="1"/>
  <c r="P445" i="8" s="1"/>
  <c r="P444" i="8" s="1"/>
  <c r="O447" i="8"/>
  <c r="S447" i="8" s="1"/>
  <c r="AC446" i="8"/>
  <c r="AC445" i="8" s="1"/>
  <c r="AC444" i="8" s="1"/>
  <c r="AA446" i="8"/>
  <c r="AA445" i="8" s="1"/>
  <c r="AA444" i="8" s="1"/>
  <c r="Z446" i="8"/>
  <c r="Z445" i="8" s="1"/>
  <c r="Z444" i="8" s="1"/>
  <c r="Y446" i="8"/>
  <c r="Y445" i="8" s="1"/>
  <c r="W446" i="8"/>
  <c r="W445" i="8" s="1"/>
  <c r="W444" i="8" s="1"/>
  <c r="V446" i="8"/>
  <c r="U446" i="8"/>
  <c r="U445" i="8" s="1"/>
  <c r="U444" i="8" s="1"/>
  <c r="Q446" i="8"/>
  <c r="Q445" i="8" s="1"/>
  <c r="Q444" i="8" s="1"/>
  <c r="N446" i="8"/>
  <c r="N445" i="8" s="1"/>
  <c r="N444" i="8" s="1"/>
  <c r="M446" i="8"/>
  <c r="L446" i="8"/>
  <c r="L445" i="8" s="1"/>
  <c r="L444" i="8" s="1"/>
  <c r="K446" i="8"/>
  <c r="J446" i="8"/>
  <c r="J445" i="8" s="1"/>
  <c r="J444" i="8" s="1"/>
  <c r="I446" i="8"/>
  <c r="H446" i="8"/>
  <c r="V445" i="8"/>
  <c r="V444" i="8" s="1"/>
  <c r="M445" i="8"/>
  <c r="M444" i="8" s="1"/>
  <c r="K445" i="8"/>
  <c r="K444" i="8" s="1"/>
  <c r="I445" i="8"/>
  <c r="I444" i="8" s="1"/>
  <c r="AK444" i="8"/>
  <c r="AJ444" i="8"/>
  <c r="AI444" i="8"/>
  <c r="AH444" i="8"/>
  <c r="AG444" i="8"/>
  <c r="AF444" i="8"/>
  <c r="AE444" i="8"/>
  <c r="AD444" i="8"/>
  <c r="Y443" i="8"/>
  <c r="AN443" i="8" s="1"/>
  <c r="I443" i="8"/>
  <c r="Y442" i="8"/>
  <c r="AN442" i="8" s="1"/>
  <c r="I442" i="8"/>
  <c r="Y441" i="8"/>
  <c r="AN441" i="8" s="1"/>
  <c r="I441" i="8"/>
  <c r="Y440" i="8"/>
  <c r="AN440" i="8" s="1"/>
  <c r="I440" i="8"/>
  <c r="Y439" i="8"/>
  <c r="AN439" i="8" s="1"/>
  <c r="I439" i="8"/>
  <c r="Y438" i="8"/>
  <c r="AN438" i="8" s="1"/>
  <c r="I438" i="8"/>
  <c r="Y437" i="8"/>
  <c r="AN437" i="8" s="1"/>
  <c r="I437" i="8"/>
  <c r="Y436" i="8"/>
  <c r="AN436" i="8" s="1"/>
  <c r="I436" i="8"/>
  <c r="Y435" i="8"/>
  <c r="AN435" i="8" s="1"/>
  <c r="I435" i="8"/>
  <c r="Y434" i="8"/>
  <c r="AN434" i="8" s="1"/>
  <c r="H434" i="8"/>
  <c r="Y433" i="8"/>
  <c r="AN433" i="8" s="1"/>
  <c r="H433" i="8"/>
  <c r="H430" i="8" s="1"/>
  <c r="Y432" i="8"/>
  <c r="AN432" i="8" s="1"/>
  <c r="I432" i="8"/>
  <c r="Y431" i="8"/>
  <c r="AN431" i="8" s="1"/>
  <c r="I431" i="8"/>
  <c r="AK430" i="8"/>
  <c r="AJ430" i="8"/>
  <c r="AI430" i="8"/>
  <c r="AH430" i="8"/>
  <c r="AG430" i="8"/>
  <c r="AF430" i="8"/>
  <c r="AE430" i="8"/>
  <c r="AD430" i="8"/>
  <c r="AC430" i="8"/>
  <c r="AB430" i="8"/>
  <c r="AA430" i="8"/>
  <c r="Z430" i="8"/>
  <c r="W430" i="8"/>
  <c r="V430" i="8"/>
  <c r="U430" i="8"/>
  <c r="T430" i="8"/>
  <c r="S430" i="8"/>
  <c r="R430" i="8"/>
  <c r="Q430" i="8"/>
  <c r="P430" i="8"/>
  <c r="O430" i="8"/>
  <c r="N430" i="8"/>
  <c r="M430" i="8"/>
  <c r="L430" i="8"/>
  <c r="K430" i="8"/>
  <c r="J430" i="8"/>
  <c r="AN429" i="8"/>
  <c r="AM429" i="8"/>
  <c r="X429" i="8"/>
  <c r="T429" i="8"/>
  <c r="R429" i="8"/>
  <c r="Q429" i="8"/>
  <c r="P429" i="8" s="1"/>
  <c r="H429" i="8"/>
  <c r="AN428" i="8"/>
  <c r="AM428" i="8"/>
  <c r="X428" i="8"/>
  <c r="T428" i="8"/>
  <c r="R428" i="8"/>
  <c r="Q428" i="8"/>
  <c r="P428" i="8" s="1"/>
  <c r="H428" i="8"/>
  <c r="AN427" i="8"/>
  <c r="AM427" i="8"/>
  <c r="X427" i="8"/>
  <c r="T427" i="8"/>
  <c r="P427" i="8"/>
  <c r="O427" i="8"/>
  <c r="S427" i="8" s="1"/>
  <c r="AN426" i="8"/>
  <c r="AM426" i="8"/>
  <c r="X426" i="8"/>
  <c r="T426" i="8"/>
  <c r="P426" i="8"/>
  <c r="O426" i="8"/>
  <c r="S426" i="8" s="1"/>
  <c r="AN425" i="8"/>
  <c r="AM425" i="8"/>
  <c r="AB425" i="8"/>
  <c r="X425" i="8"/>
  <c r="T425" i="8"/>
  <c r="P425" i="8"/>
  <c r="O425" i="8"/>
  <c r="S425" i="8" s="1"/>
  <c r="AN424" i="8"/>
  <c r="AM424" i="8"/>
  <c r="AB424" i="8"/>
  <c r="X424" i="8"/>
  <c r="T424" i="8"/>
  <c r="Q424" i="8"/>
  <c r="P424" i="8"/>
  <c r="O424" i="8"/>
  <c r="S424" i="8" s="1"/>
  <c r="AN423" i="8"/>
  <c r="AM423" i="8"/>
  <c r="AB423" i="8"/>
  <c r="O423" i="8"/>
  <c r="AK422" i="8"/>
  <c r="AJ422" i="8"/>
  <c r="AJ421" i="8" s="1"/>
  <c r="AJ414" i="8" s="1"/>
  <c r="AI422" i="8"/>
  <c r="AI421" i="8" s="1"/>
  <c r="AI414" i="8" s="1"/>
  <c r="AH422" i="8"/>
  <c r="AH421" i="8" s="1"/>
  <c r="AH414" i="8" s="1"/>
  <c r="AG422" i="8"/>
  <c r="AF422" i="8"/>
  <c r="AF421" i="8" s="1"/>
  <c r="AF414" i="8" s="1"/>
  <c r="AE422" i="8"/>
  <c r="AE421" i="8" s="1"/>
  <c r="AE414" i="8" s="1"/>
  <c r="AD422" i="8"/>
  <c r="AD421" i="8" s="1"/>
  <c r="AD414" i="8" s="1"/>
  <c r="AC422" i="8"/>
  <c r="AC421" i="8" s="1"/>
  <c r="AC414" i="8" s="1"/>
  <c r="AA422" i="8"/>
  <c r="AA421" i="8" s="1"/>
  <c r="Z422" i="8"/>
  <c r="Z421" i="8" s="1"/>
  <c r="Y422" i="8"/>
  <c r="AN422" i="8" s="1"/>
  <c r="W422" i="8"/>
  <c r="W421" i="8" s="1"/>
  <c r="V422" i="8"/>
  <c r="U422" i="8"/>
  <c r="N422" i="8"/>
  <c r="M422" i="8"/>
  <c r="M421" i="8" s="1"/>
  <c r="L422" i="8"/>
  <c r="K422" i="8"/>
  <c r="K421" i="8" s="1"/>
  <c r="J422" i="8"/>
  <c r="I422" i="8"/>
  <c r="AK421" i="8"/>
  <c r="AK414" i="8" s="1"/>
  <c r="AG421" i="8"/>
  <c r="AG414" i="8" s="1"/>
  <c r="U421" i="8"/>
  <c r="AN420" i="8"/>
  <c r="AM420" i="8"/>
  <c r="Z420" i="8"/>
  <c r="N420" i="8"/>
  <c r="N416" i="8" s="1"/>
  <c r="N415" i="8" s="1"/>
  <c r="M420" i="8"/>
  <c r="M416" i="8" s="1"/>
  <c r="M415" i="8" s="1"/>
  <c r="M414" i="8" s="1"/>
  <c r="K420" i="8"/>
  <c r="K416" i="8" s="1"/>
  <c r="K415" i="8" s="1"/>
  <c r="I420" i="8"/>
  <c r="AO420" i="8" s="1"/>
  <c r="AN419" i="8"/>
  <c r="AM419" i="8"/>
  <c r="Z419" i="8"/>
  <c r="O419" i="8"/>
  <c r="O416" i="8" s="1"/>
  <c r="O415" i="8" s="1"/>
  <c r="L419" i="8"/>
  <c r="J419" i="8"/>
  <c r="J416" i="8" s="1"/>
  <c r="J415" i="8" s="1"/>
  <c r="I419" i="8"/>
  <c r="AO419" i="8" s="1"/>
  <c r="AN418" i="8"/>
  <c r="AM418" i="8"/>
  <c r="AN417" i="8"/>
  <c r="AM417" i="8"/>
  <c r="AN416" i="8"/>
  <c r="AM416" i="8"/>
  <c r="AA416" i="8"/>
  <c r="AA415" i="8" s="1"/>
  <c r="X416" i="8"/>
  <c r="W416" i="8"/>
  <c r="W415" i="8" s="1"/>
  <c r="V416" i="8"/>
  <c r="V415" i="8" s="1"/>
  <c r="T416" i="8"/>
  <c r="T415" i="8" s="1"/>
  <c r="S416" i="8"/>
  <c r="R416" i="8"/>
  <c r="R415" i="8" s="1"/>
  <c r="Q416" i="8"/>
  <c r="Q415" i="8" s="1"/>
  <c r="P416" i="8"/>
  <c r="P415" i="8" s="1"/>
  <c r="L416" i="8"/>
  <c r="L415" i="8" s="1"/>
  <c r="H416" i="8"/>
  <c r="H415" i="8" s="1"/>
  <c r="AN415" i="8"/>
  <c r="AM415" i="8"/>
  <c r="X415" i="8"/>
  <c r="S415" i="8"/>
  <c r="U414" i="8"/>
  <c r="AN412" i="8"/>
  <c r="AM412" i="8"/>
  <c r="X412" i="8"/>
  <c r="T412" i="8"/>
  <c r="P412" i="8"/>
  <c r="O412" i="8"/>
  <c r="AN411" i="8"/>
  <c r="AM411" i="8"/>
  <c r="S411" i="8"/>
  <c r="N411" i="8"/>
  <c r="Y410" i="8"/>
  <c r="AN410" i="8" s="1"/>
  <c r="AN409" i="8"/>
  <c r="AM409" i="8"/>
  <c r="AN408" i="8"/>
  <c r="AM408" i="8"/>
  <c r="AN407" i="8"/>
  <c r="AM407" i="8"/>
  <c r="AN406" i="8"/>
  <c r="AM406" i="8"/>
  <c r="AN405" i="8"/>
  <c r="AM405" i="8"/>
  <c r="AN404" i="8"/>
  <c r="AM404" i="8"/>
  <c r="Y403" i="8"/>
  <c r="AN403" i="8" s="1"/>
  <c r="AN402" i="8"/>
  <c r="AM402" i="8"/>
  <c r="AN401" i="8"/>
  <c r="AM401" i="8"/>
  <c r="X401" i="8"/>
  <c r="T401" i="8"/>
  <c r="P401" i="8"/>
  <c r="N401" i="8"/>
  <c r="AN400" i="8"/>
  <c r="AM400" i="8"/>
  <c r="AB400" i="8"/>
  <c r="X400" i="8"/>
  <c r="T400" i="8"/>
  <c r="P400" i="8"/>
  <c r="N400" i="8"/>
  <c r="AN399" i="8"/>
  <c r="AM399" i="8"/>
  <c r="AB399" i="8"/>
  <c r="X399" i="8"/>
  <c r="T399" i="8"/>
  <c r="P399" i="8"/>
  <c r="N399" i="8"/>
  <c r="AK398" i="8"/>
  <c r="AJ398" i="8"/>
  <c r="AI398" i="8"/>
  <c r="AH398" i="8"/>
  <c r="AG398" i="8"/>
  <c r="AF398" i="8"/>
  <c r="AE398" i="8"/>
  <c r="AD398" i="8"/>
  <c r="AC398" i="8"/>
  <c r="AA398" i="8"/>
  <c r="Z398" i="8"/>
  <c r="W398" i="8"/>
  <c r="V398" i="8"/>
  <c r="U398" i="8"/>
  <c r="S398" i="8"/>
  <c r="R398" i="8"/>
  <c r="Q398" i="8"/>
  <c r="O398" i="8"/>
  <c r="M398" i="8"/>
  <c r="L398" i="8"/>
  <c r="K398" i="8"/>
  <c r="J398" i="8"/>
  <c r="I398" i="8"/>
  <c r="H398" i="8"/>
  <c r="Y397" i="8"/>
  <c r="AN397" i="8" s="1"/>
  <c r="H397" i="8"/>
  <c r="Y396" i="8"/>
  <c r="AN396" i="8" s="1"/>
  <c r="V396" i="8"/>
  <c r="I396" i="8"/>
  <c r="H396" i="8"/>
  <c r="Y395" i="8"/>
  <c r="AN395" i="8" s="1"/>
  <c r="H395" i="8"/>
  <c r="Y394" i="8"/>
  <c r="AN394" i="8" s="1"/>
  <c r="H394" i="8"/>
  <c r="Y393" i="8"/>
  <c r="AN393" i="8" s="1"/>
  <c r="H393" i="8"/>
  <c r="Y392" i="8"/>
  <c r="AN392" i="8" s="1"/>
  <c r="H392" i="8"/>
  <c r="Y391" i="8"/>
  <c r="AN391" i="8" s="1"/>
  <c r="H391" i="8"/>
  <c r="V390" i="8"/>
  <c r="Y390" i="8" s="1"/>
  <c r="T390" i="8"/>
  <c r="R390" i="8"/>
  <c r="H390" i="8"/>
  <c r="V389" i="8"/>
  <c r="Y389" i="8" s="1"/>
  <c r="T389" i="8"/>
  <c r="R389" i="8"/>
  <c r="H389" i="8"/>
  <c r="V388" i="8"/>
  <c r="Y388" i="8" s="1"/>
  <c r="T388" i="8"/>
  <c r="R388" i="8"/>
  <c r="H388" i="8"/>
  <c r="V387" i="8"/>
  <c r="Y387" i="8" s="1"/>
  <c r="T387" i="8"/>
  <c r="R387" i="8"/>
  <c r="H387" i="8"/>
  <c r="V386" i="8"/>
  <c r="Y386" i="8" s="1"/>
  <c r="T386" i="8"/>
  <c r="R386" i="8"/>
  <c r="H386" i="8"/>
  <c r="V385" i="8"/>
  <c r="Y385" i="8" s="1"/>
  <c r="T385" i="8"/>
  <c r="R385" i="8"/>
  <c r="H385" i="8"/>
  <c r="V384" i="8"/>
  <c r="Y384" i="8" s="1"/>
  <c r="T384" i="8"/>
  <c r="R384" i="8"/>
  <c r="H384" i="8"/>
  <c r="V383" i="8"/>
  <c r="Y383" i="8" s="1"/>
  <c r="T383" i="8"/>
  <c r="R383" i="8"/>
  <c r="H383" i="8"/>
  <c r="V382" i="8"/>
  <c r="Y382" i="8" s="1"/>
  <c r="T382" i="8"/>
  <c r="R382" i="8"/>
  <c r="H382" i="8"/>
  <c r="V381" i="8"/>
  <c r="Y381" i="8" s="1"/>
  <c r="T381" i="8"/>
  <c r="R381" i="8"/>
  <c r="H381" i="8"/>
  <c r="V380" i="8"/>
  <c r="Y380" i="8" s="1"/>
  <c r="T380" i="8"/>
  <c r="R380" i="8"/>
  <c r="H380" i="8"/>
  <c r="V379" i="8"/>
  <c r="Y379" i="8" s="1"/>
  <c r="T379" i="8"/>
  <c r="R379" i="8"/>
  <c r="H379" i="8"/>
  <c r="V378" i="8"/>
  <c r="Y378" i="8" s="1"/>
  <c r="T378" i="8"/>
  <c r="R378" i="8"/>
  <c r="H378" i="8"/>
  <c r="V377" i="8"/>
  <c r="Y377" i="8" s="1"/>
  <c r="T377" i="8"/>
  <c r="R377" i="8"/>
  <c r="H377" i="8"/>
  <c r="V376" i="8"/>
  <c r="Y376" i="8" s="1"/>
  <c r="T376" i="8"/>
  <c r="R376" i="8"/>
  <c r="H376" i="8"/>
  <c r="V375" i="8"/>
  <c r="Y375" i="8" s="1"/>
  <c r="T375" i="8"/>
  <c r="R375" i="8"/>
  <c r="H375" i="8"/>
  <c r="V374" i="8"/>
  <c r="Y374" i="8" s="1"/>
  <c r="T374" i="8"/>
  <c r="R374" i="8"/>
  <c r="H374" i="8"/>
  <c r="V373" i="8"/>
  <c r="Y373" i="8" s="1"/>
  <c r="T373" i="8"/>
  <c r="R373" i="8"/>
  <c r="H373" i="8"/>
  <c r="V372" i="8"/>
  <c r="Y372" i="8" s="1"/>
  <c r="T372" i="8"/>
  <c r="R372" i="8"/>
  <c r="H372" i="8"/>
  <c r="V371" i="8"/>
  <c r="Y371" i="8" s="1"/>
  <c r="T371" i="8"/>
  <c r="R371" i="8"/>
  <c r="H371" i="8"/>
  <c r="V370" i="8"/>
  <c r="Y370" i="8" s="1"/>
  <c r="T370" i="8"/>
  <c r="R370" i="8"/>
  <c r="H370" i="8"/>
  <c r="V369" i="8"/>
  <c r="Y369" i="8" s="1"/>
  <c r="T369" i="8"/>
  <c r="R369" i="8"/>
  <c r="H369" i="8"/>
  <c r="V368" i="8"/>
  <c r="Y368" i="8" s="1"/>
  <c r="T368" i="8"/>
  <c r="R368" i="8"/>
  <c r="H368" i="8"/>
  <c r="Y367" i="8"/>
  <c r="AN367" i="8" s="1"/>
  <c r="T367" i="8"/>
  <c r="R367" i="8"/>
  <c r="P367" i="8"/>
  <c r="H367" i="8"/>
  <c r="AN366" i="8"/>
  <c r="AM366" i="8"/>
  <c r="X366" i="8"/>
  <c r="V366" i="8"/>
  <c r="T366" i="8"/>
  <c r="R366" i="8"/>
  <c r="P366" i="8"/>
  <c r="I366" i="8"/>
  <c r="AO366" i="8" s="1"/>
  <c r="AN365" i="8"/>
  <c r="AM365" i="8"/>
  <c r="X365" i="8"/>
  <c r="V365" i="8"/>
  <c r="T365" i="8"/>
  <c r="R365" i="8"/>
  <c r="P365" i="8"/>
  <c r="I365" i="8"/>
  <c r="AO365" i="8" s="1"/>
  <c r="AN364" i="8"/>
  <c r="AM364" i="8"/>
  <c r="X364" i="8"/>
  <c r="V364" i="8"/>
  <c r="T364" i="8"/>
  <c r="R364" i="8"/>
  <c r="P364" i="8"/>
  <c r="I364" i="8"/>
  <c r="AO364" i="8" s="1"/>
  <c r="AN363" i="8"/>
  <c r="AM363" i="8"/>
  <c r="X363" i="8"/>
  <c r="V363" i="8"/>
  <c r="T363" i="8"/>
  <c r="R363" i="8"/>
  <c r="P363" i="8"/>
  <c r="I363" i="8"/>
  <c r="AO363" i="8" s="1"/>
  <c r="AN362" i="8"/>
  <c r="AM362" i="8"/>
  <c r="X362" i="8"/>
  <c r="T362" i="8"/>
  <c r="R362" i="8"/>
  <c r="P362" i="8"/>
  <c r="H362" i="8"/>
  <c r="AN361" i="8"/>
  <c r="AM361" i="8"/>
  <c r="X361" i="8"/>
  <c r="T361" i="8"/>
  <c r="R361" i="8"/>
  <c r="P361" i="8"/>
  <c r="H361" i="8"/>
  <c r="AN360" i="8"/>
  <c r="AM360" i="8"/>
  <c r="X360" i="8"/>
  <c r="T360" i="8"/>
  <c r="R360" i="8"/>
  <c r="P360" i="8"/>
  <c r="H360" i="8"/>
  <c r="AN359" i="8"/>
  <c r="AM359" i="8"/>
  <c r="X359" i="8"/>
  <c r="T359" i="8"/>
  <c r="R359" i="8"/>
  <c r="P359" i="8"/>
  <c r="H359" i="8"/>
  <c r="V358" i="8"/>
  <c r="Y358" i="8" s="1"/>
  <c r="T358" i="8"/>
  <c r="R358" i="8"/>
  <c r="P358" i="8"/>
  <c r="H358" i="8"/>
  <c r="AN357" i="8"/>
  <c r="AM357" i="8"/>
  <c r="X357" i="8"/>
  <c r="T357" i="8"/>
  <c r="S357" i="8"/>
  <c r="N357" i="8"/>
  <c r="I357" i="8"/>
  <c r="AO357" i="8" s="1"/>
  <c r="AN356" i="8"/>
  <c r="AM356" i="8"/>
  <c r="X356" i="8"/>
  <c r="T356" i="8"/>
  <c r="S356" i="8"/>
  <c r="N356" i="8"/>
  <c r="I356" i="8"/>
  <c r="AO356" i="8" s="1"/>
  <c r="AN355" i="8"/>
  <c r="AM355" i="8"/>
  <c r="X355" i="8"/>
  <c r="T355" i="8"/>
  <c r="S355" i="8"/>
  <c r="N355" i="8"/>
  <c r="AN354" i="8"/>
  <c r="AM354" i="8"/>
  <c r="X354" i="8"/>
  <c r="T354" i="8"/>
  <c r="S354" i="8"/>
  <c r="N354" i="8"/>
  <c r="I354" i="8"/>
  <c r="AO354" i="8" s="1"/>
  <c r="AN353" i="8"/>
  <c r="AM353" i="8"/>
  <c r="X353" i="8"/>
  <c r="T353" i="8"/>
  <c r="S353" i="8"/>
  <c r="N353" i="8"/>
  <c r="I353" i="8"/>
  <c r="AO353" i="8" s="1"/>
  <c r="V352" i="8"/>
  <c r="Y352" i="8" s="1"/>
  <c r="T352" i="8"/>
  <c r="S352" i="8"/>
  <c r="P352" i="8"/>
  <c r="N352" i="8"/>
  <c r="I352" i="8"/>
  <c r="AN351" i="8"/>
  <c r="AM351" i="8"/>
  <c r="X351" i="8"/>
  <c r="T351" i="8"/>
  <c r="S351" i="8"/>
  <c r="N351" i="8"/>
  <c r="I351" i="8"/>
  <c r="AO351" i="8" s="1"/>
  <c r="AN350" i="8"/>
  <c r="AM350" i="8"/>
  <c r="X350" i="8"/>
  <c r="T350" i="8"/>
  <c r="S350" i="8"/>
  <c r="N350" i="8"/>
  <c r="I350" i="8"/>
  <c r="AO350" i="8" s="1"/>
  <c r="AN349" i="8"/>
  <c r="AM349" i="8"/>
  <c r="X349" i="8"/>
  <c r="T349" i="8"/>
  <c r="S349" i="8"/>
  <c r="N349" i="8"/>
  <c r="I349" i="8"/>
  <c r="AO349" i="8" s="1"/>
  <c r="AN348" i="8"/>
  <c r="AM348" i="8"/>
  <c r="X348" i="8"/>
  <c r="T348" i="8"/>
  <c r="S348" i="8"/>
  <c r="N348" i="8"/>
  <c r="I348" i="8"/>
  <c r="AO348" i="8" s="1"/>
  <c r="AN347" i="8"/>
  <c r="AM347" i="8"/>
  <c r="X347" i="8"/>
  <c r="T347" i="8"/>
  <c r="S347" i="8"/>
  <c r="N347" i="8"/>
  <c r="I347" i="8"/>
  <c r="AO347" i="8" s="1"/>
  <c r="AN346" i="8"/>
  <c r="AM346" i="8"/>
  <c r="X346" i="8"/>
  <c r="T346" i="8"/>
  <c r="S346" i="8"/>
  <c r="N346" i="8"/>
  <c r="I346" i="8"/>
  <c r="AO346" i="8" s="1"/>
  <c r="AN345" i="8"/>
  <c r="AM345" i="8"/>
  <c r="S345" i="8"/>
  <c r="N345" i="8"/>
  <c r="I345" i="8"/>
  <c r="AO345" i="8" s="1"/>
  <c r="AN344" i="8"/>
  <c r="AM344" i="8"/>
  <c r="AB344" i="8"/>
  <c r="X344" i="8"/>
  <c r="T344" i="8"/>
  <c r="S344" i="8"/>
  <c r="P344" i="8"/>
  <c r="N344" i="8"/>
  <c r="H344" i="8"/>
  <c r="AN343" i="8"/>
  <c r="AM343" i="8"/>
  <c r="AB343" i="8"/>
  <c r="X343" i="8"/>
  <c r="T343" i="8"/>
  <c r="S343" i="8"/>
  <c r="P343" i="8"/>
  <c r="N343" i="8"/>
  <c r="H343" i="8"/>
  <c r="AN342" i="8"/>
  <c r="AM342" i="8"/>
  <c r="AB342" i="8"/>
  <c r="X342" i="8"/>
  <c r="T342" i="8"/>
  <c r="S342" i="8"/>
  <c r="P342" i="8"/>
  <c r="N342" i="8"/>
  <c r="H342" i="8"/>
  <c r="AN341" i="8"/>
  <c r="AM341" i="8"/>
  <c r="AB341" i="8"/>
  <c r="X341" i="8"/>
  <c r="T341" i="8"/>
  <c r="S341" i="8"/>
  <c r="P341" i="8"/>
  <c r="N341" i="8"/>
  <c r="H341" i="8"/>
  <c r="AN340" i="8"/>
  <c r="AM340" i="8"/>
  <c r="AB340" i="8"/>
  <c r="X340" i="8"/>
  <c r="T340" i="8"/>
  <c r="S340" i="8"/>
  <c r="N340" i="8"/>
  <c r="H340" i="8"/>
  <c r="AN339" i="8"/>
  <c r="AM339" i="8"/>
  <c r="AB339" i="8"/>
  <c r="X339" i="8"/>
  <c r="T339" i="8"/>
  <c r="S339" i="8"/>
  <c r="N339" i="8"/>
  <c r="H339" i="8"/>
  <c r="AN338" i="8"/>
  <c r="AM338" i="8"/>
  <c r="AB338" i="8"/>
  <c r="N338" i="8"/>
  <c r="H338" i="8"/>
  <c r="AK337" i="8"/>
  <c r="AJ337" i="8"/>
  <c r="AI337" i="8"/>
  <c r="AH337" i="8"/>
  <c r="AG337" i="8"/>
  <c r="AF337" i="8"/>
  <c r="AE337" i="8"/>
  <c r="AD337" i="8"/>
  <c r="AC337" i="8"/>
  <c r="AA337" i="8"/>
  <c r="Z337" i="8"/>
  <c r="Z336" i="8" s="1"/>
  <c r="W337" i="8"/>
  <c r="W336" i="8" s="1"/>
  <c r="W335" i="8" s="1"/>
  <c r="U337" i="8"/>
  <c r="R337" i="8"/>
  <c r="R336" i="8" s="1"/>
  <c r="R335" i="8" s="1"/>
  <c r="Q337" i="8"/>
  <c r="Q336" i="8" s="1"/>
  <c r="Q335" i="8" s="1"/>
  <c r="O337" i="8"/>
  <c r="M337" i="8"/>
  <c r="M336" i="8" s="1"/>
  <c r="M335" i="8" s="1"/>
  <c r="L337" i="8"/>
  <c r="L336" i="8" s="1"/>
  <c r="L335" i="8" s="1"/>
  <c r="K337" i="8"/>
  <c r="J337" i="8"/>
  <c r="J336" i="8" s="1"/>
  <c r="J335" i="8" s="1"/>
  <c r="AK336" i="8"/>
  <c r="AK335" i="8" s="1"/>
  <c r="AK331" i="8" s="1"/>
  <c r="AJ336" i="8"/>
  <c r="AI336" i="8"/>
  <c r="AI335" i="8" s="1"/>
  <c r="AI331" i="8" s="1"/>
  <c r="AH336" i="8"/>
  <c r="AH335" i="8" s="1"/>
  <c r="AH331" i="8" s="1"/>
  <c r="AG336" i="8"/>
  <c r="AG335" i="8" s="1"/>
  <c r="AG331" i="8" s="1"/>
  <c r="AF336" i="8"/>
  <c r="AF335" i="8" s="1"/>
  <c r="AF331" i="8" s="1"/>
  <c r="AE336" i="8"/>
  <c r="AE335" i="8" s="1"/>
  <c r="AE331" i="8" s="1"/>
  <c r="AD336" i="8"/>
  <c r="AD335" i="8" s="1"/>
  <c r="AD331" i="8" s="1"/>
  <c r="AC336" i="8"/>
  <c r="AC335" i="8" s="1"/>
  <c r="AA336" i="8"/>
  <c r="AA335" i="8" s="1"/>
  <c r="U336" i="8"/>
  <c r="U335" i="8" s="1"/>
  <c r="O336" i="8"/>
  <c r="O335" i="8" s="1"/>
  <c r="K336" i="8"/>
  <c r="K335" i="8" s="1"/>
  <c r="AJ335" i="8"/>
  <c r="AJ331" i="8" s="1"/>
  <c r="AN334" i="8"/>
  <c r="AM334" i="8"/>
  <c r="R334" i="8"/>
  <c r="P334" i="8"/>
  <c r="P331" i="8" s="1"/>
  <c r="I334" i="8"/>
  <c r="AO334" i="8" s="1"/>
  <c r="AN333" i="8"/>
  <c r="AM333" i="8"/>
  <c r="R333" i="8"/>
  <c r="Q333" i="8"/>
  <c r="Q331" i="8" s="1"/>
  <c r="I333" i="8"/>
  <c r="AO333" i="8" s="1"/>
  <c r="AN332" i="8"/>
  <c r="AM332" i="8"/>
  <c r="R332" i="8"/>
  <c r="Q332" i="8"/>
  <c r="I332" i="8"/>
  <c r="AO332" i="8" s="1"/>
  <c r="AN331" i="8"/>
  <c r="AM331" i="8"/>
  <c r="AA331" i="8"/>
  <c r="Y330" i="8"/>
  <c r="AN330" i="8" s="1"/>
  <c r="H330" i="8"/>
  <c r="Y328" i="8"/>
  <c r="AN328" i="8" s="1"/>
  <c r="R328" i="8"/>
  <c r="Q328" i="8"/>
  <c r="I328" i="8"/>
  <c r="Y327" i="8"/>
  <c r="R327" i="8"/>
  <c r="Q327" i="8"/>
  <c r="I327" i="8"/>
  <c r="AN326" i="8"/>
  <c r="AM326" i="8"/>
  <c r="R326" i="8"/>
  <c r="Q326" i="8"/>
  <c r="I326" i="8"/>
  <c r="AO326" i="8" s="1"/>
  <c r="AN325" i="8"/>
  <c r="AM325" i="8"/>
  <c r="R325" i="8"/>
  <c r="Q325" i="8"/>
  <c r="I325" i="8"/>
  <c r="AO325" i="8" s="1"/>
  <c r="AN324" i="8"/>
  <c r="AM324" i="8"/>
  <c r="R324" i="8"/>
  <c r="Q324" i="8"/>
  <c r="I324" i="8"/>
  <c r="AO324" i="8" s="1"/>
  <c r="AN323" i="8"/>
  <c r="AM323" i="8"/>
  <c r="R323" i="8"/>
  <c r="Q323" i="8"/>
  <c r="I323" i="8"/>
  <c r="AO323" i="8" s="1"/>
  <c r="AN322" i="8"/>
  <c r="AM322" i="8"/>
  <c r="R322" i="8"/>
  <c r="Q322" i="8"/>
  <c r="I322" i="8"/>
  <c r="AO322" i="8" s="1"/>
  <c r="AN321" i="8"/>
  <c r="AM321" i="8"/>
  <c r="R321" i="8"/>
  <c r="Q321" i="8"/>
  <c r="I321" i="8"/>
  <c r="AO321" i="8" s="1"/>
  <c r="AN320" i="8"/>
  <c r="AM320" i="8"/>
  <c r="R320" i="8"/>
  <c r="Q320" i="8"/>
  <c r="I320" i="8"/>
  <c r="AO320" i="8" s="1"/>
  <c r="AN319" i="8"/>
  <c r="AM319" i="8"/>
  <c r="R319" i="8"/>
  <c r="Q319" i="8"/>
  <c r="I319" i="8"/>
  <c r="AO319" i="8" s="1"/>
  <c r="AN318" i="8"/>
  <c r="AM318" i="8"/>
  <c r="R318" i="8"/>
  <c r="Q318" i="8"/>
  <c r="I318" i="8"/>
  <c r="AO318" i="8" s="1"/>
  <c r="AN317" i="8"/>
  <c r="AM317" i="8"/>
  <c r="R317" i="8"/>
  <c r="Q317" i="8"/>
  <c r="I317" i="8"/>
  <c r="AO317" i="8" s="1"/>
  <c r="AN316" i="8"/>
  <c r="AM316" i="8"/>
  <c r="R316" i="8"/>
  <c r="Q316" i="8"/>
  <c r="I316" i="8"/>
  <c r="AO316" i="8" s="1"/>
  <c r="AN315" i="8"/>
  <c r="AM315" i="8"/>
  <c r="R315" i="8"/>
  <c r="Q315" i="8"/>
  <c r="I315" i="8"/>
  <c r="AO315" i="8" s="1"/>
  <c r="AN314" i="8"/>
  <c r="AM314" i="8"/>
  <c r="R314" i="8"/>
  <c r="Q314" i="8"/>
  <c r="I314" i="8"/>
  <c r="AO314" i="8" s="1"/>
  <c r="AN313" i="8"/>
  <c r="AM313" i="8"/>
  <c r="R313" i="8"/>
  <c r="Q313" i="8"/>
  <c r="I313" i="8"/>
  <c r="AO313" i="8" s="1"/>
  <c r="AN312" i="8"/>
  <c r="AM312" i="8"/>
  <c r="R312" i="8"/>
  <c r="Q312" i="8"/>
  <c r="I312" i="8"/>
  <c r="AO312" i="8" s="1"/>
  <c r="AN311" i="8"/>
  <c r="AM311" i="8"/>
  <c r="R311" i="8"/>
  <c r="Q311" i="8"/>
  <c r="I311" i="8"/>
  <c r="AO311" i="8" s="1"/>
  <c r="AN310" i="8"/>
  <c r="AM310" i="8"/>
  <c r="R310" i="8"/>
  <c r="Q310" i="8"/>
  <c r="I310" i="8"/>
  <c r="AO310" i="8" s="1"/>
  <c r="AN309" i="8"/>
  <c r="AM309" i="8"/>
  <c r="R309" i="8"/>
  <c r="Q309" i="8"/>
  <c r="I309" i="8"/>
  <c r="AO309" i="8" s="1"/>
  <c r="AN308" i="8"/>
  <c r="AM308" i="8"/>
  <c r="R308" i="8"/>
  <c r="Q308" i="8"/>
  <c r="I308" i="8"/>
  <c r="AO308" i="8" s="1"/>
  <c r="AN307" i="8"/>
  <c r="AM307" i="8"/>
  <c r="R307" i="8"/>
  <c r="Q307" i="8"/>
  <c r="I307" i="8"/>
  <c r="AO307" i="8" s="1"/>
  <c r="AN306" i="8"/>
  <c r="AM306" i="8"/>
  <c r="R306" i="8"/>
  <c r="Q306" i="8"/>
  <c r="I306" i="8"/>
  <c r="AO306" i="8" s="1"/>
  <c r="AN305" i="8"/>
  <c r="AM305" i="8"/>
  <c r="R305" i="8"/>
  <c r="Q305" i="8"/>
  <c r="I305" i="8"/>
  <c r="AO305" i="8" s="1"/>
  <c r="AN304" i="8"/>
  <c r="AM304" i="8"/>
  <c r="R304" i="8"/>
  <c r="Q304" i="8"/>
  <c r="I304" i="8"/>
  <c r="AO304" i="8" s="1"/>
  <c r="AN303" i="8"/>
  <c r="AM303" i="8"/>
  <c r="R303" i="8"/>
  <c r="Q303" i="8"/>
  <c r="I303" i="8"/>
  <c r="AO303" i="8" s="1"/>
  <c r="AN302" i="8"/>
  <c r="AM302" i="8"/>
  <c r="R302" i="8"/>
  <c r="Q302" i="8"/>
  <c r="I302" i="8"/>
  <c r="AO302" i="8" s="1"/>
  <c r="AN301" i="8"/>
  <c r="AM301" i="8"/>
  <c r="R301" i="8"/>
  <c r="Q301" i="8"/>
  <c r="I301" i="8"/>
  <c r="AO301" i="8" s="1"/>
  <c r="AN300" i="8"/>
  <c r="AM300" i="8"/>
  <c r="R300" i="8"/>
  <c r="Q300" i="8"/>
  <c r="I300" i="8"/>
  <c r="AO300" i="8" s="1"/>
  <c r="AN299" i="8"/>
  <c r="AM299" i="8"/>
  <c r="R299" i="8"/>
  <c r="Q299" i="8"/>
  <c r="I299" i="8"/>
  <c r="AO299" i="8" s="1"/>
  <c r="AN298" i="8"/>
  <c r="AM298" i="8"/>
  <c r="R298" i="8"/>
  <c r="Q298" i="8"/>
  <c r="I298" i="8"/>
  <c r="AO298" i="8" s="1"/>
  <c r="AN297" i="8"/>
  <c r="AM297" i="8"/>
  <c r="R297" i="8"/>
  <c r="Q297" i="8"/>
  <c r="I297" i="8"/>
  <c r="AO297" i="8" s="1"/>
  <c r="AN296" i="8"/>
  <c r="AM296" i="8"/>
  <c r="R296" i="8"/>
  <c r="Q296" i="8"/>
  <c r="I296" i="8"/>
  <c r="AO296" i="8" s="1"/>
  <c r="AN295" i="8"/>
  <c r="AM295" i="8"/>
  <c r="R295" i="8"/>
  <c r="Q295" i="8"/>
  <c r="I295" i="8"/>
  <c r="AO295" i="8" s="1"/>
  <c r="AN294" i="8"/>
  <c r="AM294" i="8"/>
  <c r="R294" i="8"/>
  <c r="Q294" i="8"/>
  <c r="I294" i="8"/>
  <c r="AO294" i="8" s="1"/>
  <c r="AN293" i="8"/>
  <c r="AM293" i="8"/>
  <c r="R293" i="8"/>
  <c r="Q293" i="8"/>
  <c r="I293" i="8"/>
  <c r="AO293" i="8" s="1"/>
  <c r="AN292" i="8"/>
  <c r="AM292" i="8"/>
  <c r="R292" i="8"/>
  <c r="Q292" i="8"/>
  <c r="I292" i="8"/>
  <c r="AO292" i="8" s="1"/>
  <c r="AN291" i="8"/>
  <c r="AM291" i="8"/>
  <c r="R291" i="8"/>
  <c r="Q291" i="8"/>
  <c r="I291" i="8"/>
  <c r="AO291" i="8" s="1"/>
  <c r="AN290" i="8"/>
  <c r="AM290" i="8"/>
  <c r="R290" i="8"/>
  <c r="Q290" i="8"/>
  <c r="I290" i="8"/>
  <c r="AO290" i="8" s="1"/>
  <c r="AN289" i="8"/>
  <c r="AM289" i="8"/>
  <c r="R289" i="8"/>
  <c r="Q289" i="8"/>
  <c r="I289" i="8"/>
  <c r="AO289" i="8" s="1"/>
  <c r="AN288" i="8"/>
  <c r="AM288" i="8"/>
  <c r="X288" i="8"/>
  <c r="T288" i="8"/>
  <c r="R288" i="8"/>
  <c r="P288" i="8"/>
  <c r="I288" i="8"/>
  <c r="AO288" i="8" s="1"/>
  <c r="AN287" i="8"/>
  <c r="AM287" i="8"/>
  <c r="X287" i="8"/>
  <c r="T287" i="8"/>
  <c r="R287" i="8"/>
  <c r="P287" i="8"/>
  <c r="I287" i="8"/>
  <c r="AO287" i="8" s="1"/>
  <c r="AN286" i="8"/>
  <c r="AM286" i="8"/>
  <c r="R286" i="8"/>
  <c r="I286" i="8"/>
  <c r="AO286" i="8" s="1"/>
  <c r="AN285" i="8"/>
  <c r="AM285" i="8"/>
  <c r="AB285" i="8"/>
  <c r="S285" i="8"/>
  <c r="Q285" i="8"/>
  <c r="N285" i="8"/>
  <c r="I285" i="8"/>
  <c r="AO285" i="8" s="1"/>
  <c r="AN284" i="8"/>
  <c r="AM284" i="8"/>
  <c r="AB284" i="8"/>
  <c r="S284" i="8"/>
  <c r="Q284" i="8"/>
  <c r="N284" i="8"/>
  <c r="I284" i="8"/>
  <c r="AO284" i="8" s="1"/>
  <c r="AN283" i="8"/>
  <c r="AM283" i="8"/>
  <c r="AB283" i="8"/>
  <c r="S283" i="8"/>
  <c r="Q283" i="8"/>
  <c r="N283" i="8"/>
  <c r="I283" i="8"/>
  <c r="AO283" i="8" s="1"/>
  <c r="AN282" i="8"/>
  <c r="AM282" i="8"/>
  <c r="AB282" i="8"/>
  <c r="S282" i="8"/>
  <c r="Q282" i="8"/>
  <c r="N282" i="8"/>
  <c r="I282" i="8"/>
  <c r="AO282" i="8" s="1"/>
  <c r="AN281" i="8"/>
  <c r="AM281" i="8"/>
  <c r="AB281" i="8"/>
  <c r="S281" i="8"/>
  <c r="Q281" i="8"/>
  <c r="N281" i="8"/>
  <c r="I281" i="8"/>
  <c r="AO281" i="8" s="1"/>
  <c r="AN280" i="8"/>
  <c r="AM280" i="8"/>
  <c r="AB280" i="8"/>
  <c r="S280" i="8"/>
  <c r="Q280" i="8"/>
  <c r="N280" i="8"/>
  <c r="I280" i="8"/>
  <c r="AO280" i="8" s="1"/>
  <c r="AN279" i="8"/>
  <c r="AM279" i="8"/>
  <c r="AB279" i="8"/>
  <c r="S279" i="8"/>
  <c r="Q279" i="8"/>
  <c r="I279" i="8"/>
  <c r="AO279" i="8" s="1"/>
  <c r="AN278" i="8"/>
  <c r="AM278" i="8"/>
  <c r="AB278" i="8"/>
  <c r="S278" i="8"/>
  <c r="Q278" i="8"/>
  <c r="N278" i="8"/>
  <c r="I278" i="8"/>
  <c r="AO278" i="8" s="1"/>
  <c r="AN277" i="8"/>
  <c r="AM277" i="8"/>
  <c r="AB277" i="8"/>
  <c r="S277" i="8"/>
  <c r="Q277" i="8"/>
  <c r="N277" i="8"/>
  <c r="I277" i="8"/>
  <c r="AO277" i="8" s="1"/>
  <c r="AN276" i="8"/>
  <c r="AM276" i="8"/>
  <c r="AB276" i="8"/>
  <c r="S276" i="8"/>
  <c r="Q276" i="8"/>
  <c r="N276" i="8"/>
  <c r="I276" i="8"/>
  <c r="AO276" i="8" s="1"/>
  <c r="AN275" i="8"/>
  <c r="AM275" i="8"/>
  <c r="AB275" i="8"/>
  <c r="S275" i="8"/>
  <c r="Q275" i="8"/>
  <c r="N275" i="8"/>
  <c r="I275" i="8"/>
  <c r="AO275" i="8" s="1"/>
  <c r="AN274" i="8"/>
  <c r="AM274" i="8"/>
  <c r="AB274" i="8"/>
  <c r="R274" i="8"/>
  <c r="Q274" i="8"/>
  <c r="N274" i="8"/>
  <c r="I274" i="8"/>
  <c r="AO274" i="8" s="1"/>
  <c r="AN273" i="8"/>
  <c r="AM273" i="8"/>
  <c r="AB273" i="8"/>
  <c r="S273" i="8"/>
  <c r="Q273" i="8"/>
  <c r="N273" i="8"/>
  <c r="I273" i="8"/>
  <c r="AO273" i="8" s="1"/>
  <c r="AN272" i="8"/>
  <c r="AM272" i="8"/>
  <c r="AB272" i="8"/>
  <c r="R272" i="8"/>
  <c r="Q272" i="8"/>
  <c r="N272" i="8"/>
  <c r="I272" i="8"/>
  <c r="AO272" i="8" s="1"/>
  <c r="AN271" i="8"/>
  <c r="AM271" i="8"/>
  <c r="AB271" i="8"/>
  <c r="S271" i="8"/>
  <c r="Q271" i="8"/>
  <c r="N271" i="8"/>
  <c r="I271" i="8"/>
  <c r="AO271" i="8" s="1"/>
  <c r="AN270" i="8"/>
  <c r="AM270" i="8"/>
  <c r="AB270" i="8"/>
  <c r="R270" i="8"/>
  <c r="Q270" i="8"/>
  <c r="N270" i="8"/>
  <c r="I270" i="8"/>
  <c r="AO270" i="8" s="1"/>
  <c r="AN269" i="8"/>
  <c r="AM269" i="8"/>
  <c r="AB269" i="8"/>
  <c r="R269" i="8"/>
  <c r="Q269" i="8"/>
  <c r="N269" i="8"/>
  <c r="I269" i="8"/>
  <c r="AO269" i="8" s="1"/>
  <c r="AN268" i="8"/>
  <c r="AM268" i="8"/>
  <c r="AB268" i="8"/>
  <c r="X268" i="8"/>
  <c r="T268" i="8"/>
  <c r="R268" i="8"/>
  <c r="P268" i="8"/>
  <c r="N268" i="8"/>
  <c r="I268" i="8"/>
  <c r="AO268" i="8" s="1"/>
  <c r="AN267" i="8"/>
  <c r="AM267" i="8"/>
  <c r="AB267" i="8"/>
  <c r="X267" i="8"/>
  <c r="T267" i="8"/>
  <c r="S267" i="8"/>
  <c r="P267" i="8"/>
  <c r="N267" i="8"/>
  <c r="I267" i="8"/>
  <c r="AO267" i="8" s="1"/>
  <c r="AN266" i="8"/>
  <c r="AM266" i="8"/>
  <c r="AB266" i="8"/>
  <c r="X266" i="8"/>
  <c r="T266" i="8"/>
  <c r="S266" i="8"/>
  <c r="P266" i="8"/>
  <c r="N266" i="8"/>
  <c r="H266" i="8"/>
  <c r="H225" i="8" s="1"/>
  <c r="H224" i="8" s="1"/>
  <c r="H223" i="8" s="1"/>
  <c r="AN265" i="8"/>
  <c r="AM265" i="8"/>
  <c r="I265" i="8"/>
  <c r="AO265" i="8" s="1"/>
  <c r="AN264" i="8"/>
  <c r="AM264" i="8"/>
  <c r="S264" i="8"/>
  <c r="N264" i="8"/>
  <c r="I264" i="8"/>
  <c r="AO264" i="8" s="1"/>
  <c r="AN263" i="8"/>
  <c r="AM263" i="8"/>
  <c r="I263" i="8"/>
  <c r="AO263" i="8" s="1"/>
  <c r="AN262" i="8"/>
  <c r="AM262" i="8"/>
  <c r="I262" i="8"/>
  <c r="AO262" i="8" s="1"/>
  <c r="AN261" i="8"/>
  <c r="AM261" i="8"/>
  <c r="AB261" i="8"/>
  <c r="Z261" i="8"/>
  <c r="X261" i="8"/>
  <c r="T261" i="8"/>
  <c r="S261" i="8"/>
  <c r="P261" i="8"/>
  <c r="N261" i="8"/>
  <c r="I261" i="8"/>
  <c r="AO261" i="8" s="1"/>
  <c r="AN260" i="8"/>
  <c r="AM260" i="8"/>
  <c r="AB260" i="8"/>
  <c r="Z260" i="8"/>
  <c r="X260" i="8"/>
  <c r="T260" i="8"/>
  <c r="S260" i="8"/>
  <c r="P260" i="8"/>
  <c r="N260" i="8"/>
  <c r="I260" i="8"/>
  <c r="AO260" i="8" s="1"/>
  <c r="AN259" i="8"/>
  <c r="AM259" i="8"/>
  <c r="AB259" i="8"/>
  <c r="Z259" i="8"/>
  <c r="X259" i="8"/>
  <c r="T259" i="8"/>
  <c r="S259" i="8"/>
  <c r="P259" i="8"/>
  <c r="N259" i="8"/>
  <c r="I259" i="8"/>
  <c r="AO259" i="8" s="1"/>
  <c r="AN258" i="8"/>
  <c r="AM258" i="8"/>
  <c r="AB258" i="8"/>
  <c r="Z258" i="8"/>
  <c r="X258" i="8"/>
  <c r="T258" i="8"/>
  <c r="S258" i="8"/>
  <c r="P258" i="8"/>
  <c r="N258" i="8"/>
  <c r="I258" i="8"/>
  <c r="AO258" i="8" s="1"/>
  <c r="AN257" i="8"/>
  <c r="AM257" i="8"/>
  <c r="AB257" i="8"/>
  <c r="Z257" i="8"/>
  <c r="X257" i="8"/>
  <c r="T257" i="8"/>
  <c r="S257" i="8"/>
  <c r="P257" i="8"/>
  <c r="N257" i="8"/>
  <c r="I257" i="8"/>
  <c r="AO257" i="8" s="1"/>
  <c r="AN256" i="8"/>
  <c r="AM256" i="8"/>
  <c r="AB256" i="8"/>
  <c r="Z256" i="8"/>
  <c r="X256" i="8"/>
  <c r="T256" i="8"/>
  <c r="S256" i="8"/>
  <c r="P256" i="8"/>
  <c r="N256" i="8"/>
  <c r="I256" i="8"/>
  <c r="AO256" i="8" s="1"/>
  <c r="AN255" i="8"/>
  <c r="AM255" i="8"/>
  <c r="AB255" i="8"/>
  <c r="Z255" i="8"/>
  <c r="X255" i="8"/>
  <c r="T255" i="8"/>
  <c r="S255" i="8"/>
  <c r="P255" i="8"/>
  <c r="N255" i="8"/>
  <c r="I255" i="8"/>
  <c r="AO255" i="8" s="1"/>
  <c r="AN254" i="8"/>
  <c r="AM254" i="8"/>
  <c r="AB254" i="8"/>
  <c r="Z254" i="8"/>
  <c r="X254" i="8"/>
  <c r="T254" i="8"/>
  <c r="S254" i="8"/>
  <c r="P254" i="8"/>
  <c r="N254" i="8"/>
  <c r="I254" i="8"/>
  <c r="AO254" i="8" s="1"/>
  <c r="AN253" i="8"/>
  <c r="AM253" i="8"/>
  <c r="AB253" i="8"/>
  <c r="Z253" i="8"/>
  <c r="X253" i="8"/>
  <c r="T253" i="8"/>
  <c r="S253" i="8"/>
  <c r="P253" i="8"/>
  <c r="N253" i="8"/>
  <c r="I253" i="8"/>
  <c r="AO253" i="8" s="1"/>
  <c r="AN252" i="8"/>
  <c r="AM252" i="8"/>
  <c r="AB252" i="8"/>
  <c r="Z252" i="8"/>
  <c r="X252" i="8"/>
  <c r="T252" i="8"/>
  <c r="S252" i="8"/>
  <c r="P252" i="8"/>
  <c r="N252" i="8"/>
  <c r="I252" i="8"/>
  <c r="AO252" i="8" s="1"/>
  <c r="AN251" i="8"/>
  <c r="AM251" i="8"/>
  <c r="AB251" i="8"/>
  <c r="Z251" i="8"/>
  <c r="X251" i="8"/>
  <c r="T251" i="8"/>
  <c r="S251" i="8"/>
  <c r="P251" i="8"/>
  <c r="N251" i="8"/>
  <c r="I251" i="8"/>
  <c r="AO251" i="8" s="1"/>
  <c r="AN250" i="8"/>
  <c r="AM250" i="8"/>
  <c r="AB250" i="8"/>
  <c r="Z250" i="8"/>
  <c r="N250" i="8"/>
  <c r="I250" i="8"/>
  <c r="AO250" i="8" s="1"/>
  <c r="AN249" i="8"/>
  <c r="AM249" i="8"/>
  <c r="AB249" i="8"/>
  <c r="Z249" i="8"/>
  <c r="X249" i="8"/>
  <c r="T249" i="8"/>
  <c r="S249" i="8"/>
  <c r="P249" i="8"/>
  <c r="N249" i="8"/>
  <c r="I249" i="8"/>
  <c r="AO249" i="8" s="1"/>
  <c r="AN248" i="8"/>
  <c r="AM248" i="8"/>
  <c r="AB248" i="8"/>
  <c r="Z248" i="8"/>
  <c r="N248" i="8"/>
  <c r="I248" i="8"/>
  <c r="AO248" i="8" s="1"/>
  <c r="AN247" i="8"/>
  <c r="AM247" i="8"/>
  <c r="AB247" i="8"/>
  <c r="Z247" i="8"/>
  <c r="X247" i="8"/>
  <c r="T247" i="8"/>
  <c r="R247" i="8"/>
  <c r="P247" i="8"/>
  <c r="N247" i="8"/>
  <c r="I247" i="8"/>
  <c r="AO247" i="8" s="1"/>
  <c r="AN246" i="8"/>
  <c r="AM246" i="8"/>
  <c r="AB246" i="8"/>
  <c r="Z246" i="8"/>
  <c r="X246" i="8"/>
  <c r="T246" i="8"/>
  <c r="S246" i="8"/>
  <c r="P246" i="8"/>
  <c r="N246" i="8"/>
  <c r="I246" i="8"/>
  <c r="AO246" i="8" s="1"/>
  <c r="AN245" i="8"/>
  <c r="AM245" i="8"/>
  <c r="AB245" i="8"/>
  <c r="Z245" i="8"/>
  <c r="N245" i="8"/>
  <c r="I245" i="8"/>
  <c r="AO245" i="8" s="1"/>
  <c r="AN244" i="8"/>
  <c r="AM244" i="8"/>
  <c r="AB244" i="8"/>
  <c r="Z244" i="8"/>
  <c r="X244" i="8"/>
  <c r="T244" i="8"/>
  <c r="S244" i="8"/>
  <c r="P244" i="8"/>
  <c r="N244" i="8"/>
  <c r="I244" i="8"/>
  <c r="AO244" i="8" s="1"/>
  <c r="AN243" i="8"/>
  <c r="AM243" i="8"/>
  <c r="AB243" i="8"/>
  <c r="Z243" i="8"/>
  <c r="N243" i="8"/>
  <c r="I243" i="8"/>
  <c r="AO243" i="8" s="1"/>
  <c r="AN242" i="8"/>
  <c r="AM242" i="8"/>
  <c r="AB242" i="8"/>
  <c r="Z242" i="8"/>
  <c r="N242" i="8"/>
  <c r="I242" i="8"/>
  <c r="AO242" i="8" s="1"/>
  <c r="AN241" i="8"/>
  <c r="AM241" i="8"/>
  <c r="AB241" i="8"/>
  <c r="Z241" i="8"/>
  <c r="N241" i="8"/>
  <c r="I241" i="8"/>
  <c r="AO241" i="8" s="1"/>
  <c r="AN240" i="8"/>
  <c r="AM240" i="8"/>
  <c r="AB240" i="8"/>
  <c r="Z240" i="8"/>
  <c r="X240" i="8"/>
  <c r="T240" i="8"/>
  <c r="S240" i="8"/>
  <c r="P240" i="8"/>
  <c r="N240" i="8"/>
  <c r="I240" i="8"/>
  <c r="AO240" i="8" s="1"/>
  <c r="AN239" i="8"/>
  <c r="AM239" i="8"/>
  <c r="AB239" i="8"/>
  <c r="Z239" i="8"/>
  <c r="S239" i="8"/>
  <c r="N239" i="8"/>
  <c r="I239" i="8"/>
  <c r="AO239" i="8" s="1"/>
  <c r="AN238" i="8"/>
  <c r="AM238" i="8"/>
  <c r="AB238" i="8"/>
  <c r="Z238" i="8"/>
  <c r="X238" i="8"/>
  <c r="T238" i="8"/>
  <c r="S238" i="8"/>
  <c r="P238" i="8"/>
  <c r="N238" i="8"/>
  <c r="I238" i="8"/>
  <c r="AO238" i="8" s="1"/>
  <c r="AN237" i="8"/>
  <c r="AM237" i="8"/>
  <c r="AB237" i="8"/>
  <c r="Z237" i="8"/>
  <c r="N237" i="8"/>
  <c r="I237" i="8"/>
  <c r="AO237" i="8" s="1"/>
  <c r="AN236" i="8"/>
  <c r="AM236" i="8"/>
  <c r="AB236" i="8"/>
  <c r="Z236" i="8"/>
  <c r="N236" i="8"/>
  <c r="I236" i="8"/>
  <c r="AO236" i="8" s="1"/>
  <c r="AN235" i="8"/>
  <c r="AM235" i="8"/>
  <c r="AB235" i="8"/>
  <c r="Z235" i="8"/>
  <c r="X235" i="8"/>
  <c r="T235" i="8"/>
  <c r="S235" i="8"/>
  <c r="P235" i="8"/>
  <c r="N235" i="8"/>
  <c r="I235" i="8"/>
  <c r="AO235" i="8" s="1"/>
  <c r="AN234" i="8"/>
  <c r="AM234" i="8"/>
  <c r="AB234" i="8"/>
  <c r="Z234" i="8"/>
  <c r="N234" i="8"/>
  <c r="I234" i="8"/>
  <c r="AO234" i="8" s="1"/>
  <c r="AN233" i="8"/>
  <c r="AM233" i="8"/>
  <c r="AB233" i="8"/>
  <c r="Z233" i="8"/>
  <c r="N233" i="8"/>
  <c r="I233" i="8"/>
  <c r="AO233" i="8" s="1"/>
  <c r="AN232" i="8"/>
  <c r="AM232" i="8"/>
  <c r="AB232" i="8"/>
  <c r="Z232" i="8"/>
  <c r="S232" i="8"/>
  <c r="N232" i="8"/>
  <c r="I232" i="8"/>
  <c r="AO232" i="8" s="1"/>
  <c r="AN231" i="8"/>
  <c r="AM231" i="8"/>
  <c r="AB231" i="8"/>
  <c r="Z231" i="8"/>
  <c r="X231" i="8"/>
  <c r="T231" i="8"/>
  <c r="S231" i="8"/>
  <c r="P231" i="8"/>
  <c r="N231" i="8"/>
  <c r="I231" i="8"/>
  <c r="AO231" i="8" s="1"/>
  <c r="AN230" i="8"/>
  <c r="AM230" i="8"/>
  <c r="AB230" i="8"/>
  <c r="Z230" i="8"/>
  <c r="X230" i="8"/>
  <c r="T230" i="8"/>
  <c r="S230" i="8"/>
  <c r="P230" i="8"/>
  <c r="N230" i="8"/>
  <c r="I230" i="8"/>
  <c r="AO230" i="8" s="1"/>
  <c r="AN229" i="8"/>
  <c r="AM229" i="8"/>
  <c r="AB229" i="8"/>
  <c r="Z229" i="8"/>
  <c r="N229" i="8"/>
  <c r="I229" i="8"/>
  <c r="AO229" i="8" s="1"/>
  <c r="AN228" i="8"/>
  <c r="AM228" i="8"/>
  <c r="AB228" i="8"/>
  <c r="Z228" i="8"/>
  <c r="N228" i="8"/>
  <c r="I228" i="8"/>
  <c r="AO228" i="8" s="1"/>
  <c r="AN227" i="8"/>
  <c r="AM227" i="8"/>
  <c r="AB227" i="8"/>
  <c r="Z227" i="8"/>
  <c r="Z225" i="8" s="1"/>
  <c r="Z224" i="8" s="1"/>
  <c r="Z223" i="8" s="1"/>
  <c r="X227" i="8"/>
  <c r="T227" i="8"/>
  <c r="T225" i="8" s="1"/>
  <c r="T224" i="8" s="1"/>
  <c r="T223" i="8" s="1"/>
  <c r="S227" i="8"/>
  <c r="P227" i="8"/>
  <c r="P225" i="8" s="1"/>
  <c r="N227" i="8"/>
  <c r="I227" i="8"/>
  <c r="AO227" i="8" s="1"/>
  <c r="AN226" i="8"/>
  <c r="AM226" i="8"/>
  <c r="AB226" i="8"/>
  <c r="Z226" i="8"/>
  <c r="N226" i="8"/>
  <c r="I226" i="8"/>
  <c r="AO226" i="8" s="1"/>
  <c r="AK225" i="8"/>
  <c r="AK224" i="8" s="1"/>
  <c r="AK223" i="8" s="1"/>
  <c r="AJ225" i="8"/>
  <c r="AJ224" i="8" s="1"/>
  <c r="AJ223" i="8" s="1"/>
  <c r="AI225" i="8"/>
  <c r="AI224" i="8" s="1"/>
  <c r="AI223" i="8" s="1"/>
  <c r="AH225" i="8"/>
  <c r="AH224" i="8" s="1"/>
  <c r="AH223" i="8" s="1"/>
  <c r="AG225" i="8"/>
  <c r="AG224" i="8" s="1"/>
  <c r="AG223" i="8" s="1"/>
  <c r="AF225" i="8"/>
  <c r="AF224" i="8" s="1"/>
  <c r="AF223" i="8" s="1"/>
  <c r="AE225" i="8"/>
  <c r="AE224" i="8" s="1"/>
  <c r="AE223" i="8" s="1"/>
  <c r="AD225" i="8"/>
  <c r="AD224" i="8" s="1"/>
  <c r="AD223" i="8" s="1"/>
  <c r="AC225" i="8"/>
  <c r="AC224" i="8" s="1"/>
  <c r="AC223" i="8" s="1"/>
  <c r="AA225" i="8"/>
  <c r="AA224" i="8" s="1"/>
  <c r="AA223" i="8" s="1"/>
  <c r="W225" i="8"/>
  <c r="W224" i="8" s="1"/>
  <c r="W223" i="8" s="1"/>
  <c r="V225" i="8"/>
  <c r="V224" i="8" s="1"/>
  <c r="V223" i="8" s="1"/>
  <c r="U225" i="8"/>
  <c r="U224" i="8" s="1"/>
  <c r="U223" i="8" s="1"/>
  <c r="Q225" i="8"/>
  <c r="Q224" i="8" s="1"/>
  <c r="Q223" i="8" s="1"/>
  <c r="M225" i="8"/>
  <c r="M224" i="8" s="1"/>
  <c r="M223" i="8" s="1"/>
  <c r="L225" i="8"/>
  <c r="L224" i="8" s="1"/>
  <c r="L223" i="8" s="1"/>
  <c r="K225" i="8"/>
  <c r="K224" i="8" s="1"/>
  <c r="K223" i="8" s="1"/>
  <c r="J225" i="8"/>
  <c r="J224" i="8" s="1"/>
  <c r="J223" i="8" s="1"/>
  <c r="X222" i="8"/>
  <c r="Y222" i="8" s="1"/>
  <c r="H222" i="8"/>
  <c r="H216" i="8" s="1"/>
  <c r="Y221" i="8"/>
  <c r="AN221" i="8" s="1"/>
  <c r="Y220" i="8"/>
  <c r="AN220" i="8" s="1"/>
  <c r="Y219" i="8"/>
  <c r="AN219" i="8" s="1"/>
  <c r="Y218" i="8"/>
  <c r="AN218" i="8" s="1"/>
  <c r="X215" i="8"/>
  <c r="Y215" i="8" s="1"/>
  <c r="AN215" i="8" s="1"/>
  <c r="X214" i="8"/>
  <c r="Y214" i="8" s="1"/>
  <c r="X213" i="8"/>
  <c r="Y213" i="8" s="1"/>
  <c r="AN213" i="8" s="1"/>
  <c r="X212" i="8"/>
  <c r="Y212" i="8" s="1"/>
  <c r="X211" i="8"/>
  <c r="Y211" i="8" s="1"/>
  <c r="AN211" i="8" s="1"/>
  <c r="X210" i="8"/>
  <c r="Y210" i="8" s="1"/>
  <c r="X209" i="8"/>
  <c r="Y209" i="8" s="1"/>
  <c r="AN209" i="8" s="1"/>
  <c r="V208" i="8"/>
  <c r="X208" i="8" s="1"/>
  <c r="Y208" i="8" s="1"/>
  <c r="H208" i="8"/>
  <c r="AN207" i="8"/>
  <c r="AM207" i="8"/>
  <c r="Y206" i="8"/>
  <c r="AN206" i="8" s="1"/>
  <c r="H206" i="8"/>
  <c r="Y205" i="8"/>
  <c r="AN205" i="8" s="1"/>
  <c r="H205" i="8"/>
  <c r="Y204" i="8"/>
  <c r="AN204" i="8" s="1"/>
  <c r="Y203" i="8"/>
  <c r="AN203" i="8" s="1"/>
  <c r="H203" i="8"/>
  <c r="AN202" i="8"/>
  <c r="AM202" i="8"/>
  <c r="S202" i="8"/>
  <c r="N202" i="8"/>
  <c r="H202" i="8"/>
  <c r="Y201" i="8"/>
  <c r="AN201" i="8" s="1"/>
  <c r="T201" i="8"/>
  <c r="Q201" i="8"/>
  <c r="P201" i="8"/>
  <c r="N201" i="8"/>
  <c r="AN200" i="8"/>
  <c r="AM200" i="8"/>
  <c r="S200" i="8"/>
  <c r="N200" i="8"/>
  <c r="I200" i="8"/>
  <c r="AO200" i="8" s="1"/>
  <c r="Y199" i="8"/>
  <c r="AN199" i="8" s="1"/>
  <c r="T199" i="8"/>
  <c r="T183" i="8" s="1"/>
  <c r="T182" i="8" s="1"/>
  <c r="P199" i="8"/>
  <c r="O199" i="8"/>
  <c r="R199" i="8" s="1"/>
  <c r="R183" i="8" s="1"/>
  <c r="R182" i="8" s="1"/>
  <c r="H199" i="8"/>
  <c r="AN198" i="8"/>
  <c r="AM198" i="8"/>
  <c r="S198" i="8"/>
  <c r="N198" i="8"/>
  <c r="I198" i="8"/>
  <c r="AO198" i="8" s="1"/>
  <c r="Y197" i="8"/>
  <c r="AN197" i="8" s="1"/>
  <c r="S197" i="8"/>
  <c r="N197" i="8"/>
  <c r="Y196" i="8"/>
  <c r="AN196" i="8" s="1"/>
  <c r="S196" i="8"/>
  <c r="N196" i="8"/>
  <c r="I196" i="8"/>
  <c r="AN195" i="8"/>
  <c r="AM195" i="8"/>
  <c r="S195" i="8"/>
  <c r="N195" i="8"/>
  <c r="I195" i="8"/>
  <c r="AO195" i="8" s="1"/>
  <c r="AN194" i="8"/>
  <c r="AM194" i="8"/>
  <c r="S194" i="8"/>
  <c r="N194" i="8"/>
  <c r="I194" i="8"/>
  <c r="AO194" i="8" s="1"/>
  <c r="AN193" i="8"/>
  <c r="AM193" i="8"/>
  <c r="Z193" i="8"/>
  <c r="S193" i="8"/>
  <c r="N193" i="8"/>
  <c r="I193" i="8"/>
  <c r="AO193" i="8" s="1"/>
  <c r="Y192" i="8"/>
  <c r="AN192" i="8" s="1"/>
  <c r="S192" i="8"/>
  <c r="N192" i="8"/>
  <c r="I192" i="8"/>
  <c r="Y191" i="8"/>
  <c r="AN191" i="8" s="1"/>
  <c r="S191" i="8"/>
  <c r="N191" i="8"/>
  <c r="I191" i="8"/>
  <c r="Y190" i="8"/>
  <c r="AN190" i="8" s="1"/>
  <c r="S190" i="8"/>
  <c r="N190" i="8"/>
  <c r="I190" i="8"/>
  <c r="AN189" i="8"/>
  <c r="AM189" i="8"/>
  <c r="S189" i="8"/>
  <c r="N189" i="8"/>
  <c r="I189" i="8"/>
  <c r="AO189" i="8" s="1"/>
  <c r="AN188" i="8"/>
  <c r="AM188" i="8"/>
  <c r="S188" i="8"/>
  <c r="N188" i="8"/>
  <c r="I188" i="8"/>
  <c r="AO188" i="8" s="1"/>
  <c r="Y187" i="8"/>
  <c r="AN187" i="8" s="1"/>
  <c r="S187" i="8"/>
  <c r="N187" i="8"/>
  <c r="I187" i="8"/>
  <c r="AN186" i="8"/>
  <c r="AM186" i="8"/>
  <c r="S186" i="8"/>
  <c r="I186" i="8"/>
  <c r="AO186" i="8" s="1"/>
  <c r="AN185" i="8"/>
  <c r="AM185" i="8"/>
  <c r="S185" i="8"/>
  <c r="N185" i="8"/>
  <c r="I185" i="8"/>
  <c r="AO185" i="8" s="1"/>
  <c r="AN184" i="8"/>
  <c r="AM184" i="8"/>
  <c r="S184" i="8"/>
  <c r="N184" i="8"/>
  <c r="I184" i="8"/>
  <c r="AO184" i="8" s="1"/>
  <c r="AK183" i="8"/>
  <c r="AK182" i="8" s="1"/>
  <c r="AJ183" i="8"/>
  <c r="AJ182" i="8" s="1"/>
  <c r="AI183" i="8"/>
  <c r="AI182" i="8" s="1"/>
  <c r="AH183" i="8"/>
  <c r="AH182" i="8" s="1"/>
  <c r="AG183" i="8"/>
  <c r="AG182" i="8" s="1"/>
  <c r="AF183" i="8"/>
  <c r="AF182" i="8" s="1"/>
  <c r="AE183" i="8"/>
  <c r="AE182" i="8" s="1"/>
  <c r="AD183" i="8"/>
  <c r="AD182" i="8" s="1"/>
  <c r="AC183" i="8"/>
  <c r="AC182" i="8" s="1"/>
  <c r="AC173" i="8" s="1"/>
  <c r="AB183" i="8"/>
  <c r="AB182" i="8" s="1"/>
  <c r="AB173" i="8" s="1"/>
  <c r="AA183" i="8"/>
  <c r="AA182" i="8" s="1"/>
  <c r="AA173" i="8" s="1"/>
  <c r="Z183" i="8"/>
  <c r="Z182" i="8" s="1"/>
  <c r="Z173" i="8" s="1"/>
  <c r="W183" i="8"/>
  <c r="W182" i="8" s="1"/>
  <c r="V183" i="8"/>
  <c r="V182" i="8" s="1"/>
  <c r="U183" i="8"/>
  <c r="Q183" i="8"/>
  <c r="Q182" i="8" s="1"/>
  <c r="M183" i="8"/>
  <c r="M182" i="8" s="1"/>
  <c r="L183" i="8"/>
  <c r="L182" i="8" s="1"/>
  <c r="K183" i="8"/>
  <c r="K182" i="8" s="1"/>
  <c r="J183" i="8"/>
  <c r="J182" i="8" s="1"/>
  <c r="H183" i="8"/>
  <c r="U182" i="8"/>
  <c r="AN181" i="8"/>
  <c r="AM181" i="8"/>
  <c r="Z181" i="8"/>
  <c r="X181" i="8"/>
  <c r="T181" i="8"/>
  <c r="P181" i="8"/>
  <c r="N181" i="8"/>
  <c r="M181" i="8"/>
  <c r="K181" i="8"/>
  <c r="I181" i="8"/>
  <c r="AO181" i="8" s="1"/>
  <c r="AN180" i="8"/>
  <c r="AM180" i="8"/>
  <c r="Z180" i="8"/>
  <c r="Z175" i="8" s="1"/>
  <c r="Z174" i="8" s="1"/>
  <c r="X180" i="8"/>
  <c r="T180" i="8"/>
  <c r="P180" i="8"/>
  <c r="N180" i="8"/>
  <c r="M180" i="8"/>
  <c r="K180" i="8"/>
  <c r="I180" i="8"/>
  <c r="AO180" i="8" s="1"/>
  <c r="AN179" i="8"/>
  <c r="AM179" i="8"/>
  <c r="X179" i="8"/>
  <c r="T179" i="8"/>
  <c r="P179" i="8"/>
  <c r="N179" i="8"/>
  <c r="M179" i="8"/>
  <c r="K179" i="8"/>
  <c r="I179" i="8"/>
  <c r="AO179" i="8" s="1"/>
  <c r="AN178" i="8"/>
  <c r="AM178" i="8"/>
  <c r="X178" i="8"/>
  <c r="T178" i="8"/>
  <c r="P178" i="8"/>
  <c r="N178" i="8"/>
  <c r="M178" i="8"/>
  <c r="K178" i="8"/>
  <c r="I178" i="8"/>
  <c r="AO178" i="8" s="1"/>
  <c r="AN177" i="8"/>
  <c r="AM177" i="8"/>
  <c r="S177" i="8"/>
  <c r="R177" i="8"/>
  <c r="AN176" i="8"/>
  <c r="AM176" i="8"/>
  <c r="S176" i="8"/>
  <c r="R176" i="8"/>
  <c r="AK175" i="8"/>
  <c r="AK174" i="8" s="1"/>
  <c r="AJ175" i="8"/>
  <c r="AJ174" i="8" s="1"/>
  <c r="AI175" i="8"/>
  <c r="AI174" i="8" s="1"/>
  <c r="AH175" i="8"/>
  <c r="AH174" i="8" s="1"/>
  <c r="AG175" i="8"/>
  <c r="AG174" i="8" s="1"/>
  <c r="AF175" i="8"/>
  <c r="AF174" i="8" s="1"/>
  <c r="AE175" i="8"/>
  <c r="AE174" i="8" s="1"/>
  <c r="AD175" i="8"/>
  <c r="AD174" i="8" s="1"/>
  <c r="AC175" i="8"/>
  <c r="AC174" i="8" s="1"/>
  <c r="AB175" i="8"/>
  <c r="AB174" i="8" s="1"/>
  <c r="AA175" i="8"/>
  <c r="AA174" i="8" s="1"/>
  <c r="Y175" i="8"/>
  <c r="AN175" i="8" s="1"/>
  <c r="W175" i="8"/>
  <c r="W174" i="8" s="1"/>
  <c r="V175" i="8"/>
  <c r="V174" i="8" s="1"/>
  <c r="U175" i="8"/>
  <c r="U174" i="8" s="1"/>
  <c r="S175" i="8"/>
  <c r="S174" i="8" s="1"/>
  <c r="R175" i="8"/>
  <c r="R174" i="8" s="1"/>
  <c r="Q175" i="8"/>
  <c r="Q174" i="8" s="1"/>
  <c r="O175" i="8"/>
  <c r="O174" i="8" s="1"/>
  <c r="L175" i="8"/>
  <c r="L174" i="8" s="1"/>
  <c r="J175" i="8"/>
  <c r="H175" i="8"/>
  <c r="H174" i="8" s="1"/>
  <c r="J174" i="8"/>
  <c r="AN172" i="8"/>
  <c r="AM172" i="8"/>
  <c r="X172" i="8"/>
  <c r="H172" i="8"/>
  <c r="AN171" i="8"/>
  <c r="AM171" i="8"/>
  <c r="X171" i="8"/>
  <c r="H171" i="8"/>
  <c r="AN170" i="8"/>
  <c r="AM170" i="8"/>
  <c r="X170" i="8"/>
  <c r="H170" i="8"/>
  <c r="AN169" i="8"/>
  <c r="AM169" i="8"/>
  <c r="X169" i="8"/>
  <c r="H169" i="8"/>
  <c r="H133" i="8" s="1"/>
  <c r="AN168" i="8"/>
  <c r="AM168" i="8"/>
  <c r="X168" i="8"/>
  <c r="AN167" i="8"/>
  <c r="AM167" i="8"/>
  <c r="X167" i="8"/>
  <c r="Y166" i="8"/>
  <c r="AN166" i="8" s="1"/>
  <c r="Y165" i="8"/>
  <c r="AN165" i="8" s="1"/>
  <c r="Y164" i="8"/>
  <c r="AN164" i="8" s="1"/>
  <c r="Y163" i="8"/>
  <c r="AN163" i="8" s="1"/>
  <c r="Y162" i="8"/>
  <c r="Y161" i="8"/>
  <c r="AN161" i="8" s="1"/>
  <c r="Y160" i="8"/>
  <c r="AN160" i="8" s="1"/>
  <c r="Y159" i="8"/>
  <c r="AN159" i="8" s="1"/>
  <c r="Y158" i="8"/>
  <c r="Y157" i="8"/>
  <c r="AN157" i="8" s="1"/>
  <c r="Y156" i="8"/>
  <c r="AN156" i="8" s="1"/>
  <c r="Y155" i="8"/>
  <c r="AN155" i="8" s="1"/>
  <c r="Y154" i="8"/>
  <c r="Y153" i="8"/>
  <c r="AN153" i="8" s="1"/>
  <c r="Y152" i="8"/>
  <c r="AN152" i="8" s="1"/>
  <c r="Y151" i="8"/>
  <c r="AN151" i="8" s="1"/>
  <c r="Y150" i="8"/>
  <c r="Y149" i="8"/>
  <c r="AN149" i="8" s="1"/>
  <c r="Y148" i="8"/>
  <c r="AN148" i="8" s="1"/>
  <c r="Y147" i="8"/>
  <c r="AN147" i="8" s="1"/>
  <c r="Y146" i="8"/>
  <c r="Y145" i="8"/>
  <c r="AN145" i="8" s="1"/>
  <c r="Y144" i="8"/>
  <c r="AN144" i="8" s="1"/>
  <c r="Y143" i="8"/>
  <c r="AN143" i="8" s="1"/>
  <c r="Y142" i="8"/>
  <c r="Y141" i="8"/>
  <c r="AN141" i="8" s="1"/>
  <c r="Y140" i="8"/>
  <c r="AN140" i="8" s="1"/>
  <c r="Y139" i="8"/>
  <c r="AN139" i="8" s="1"/>
  <c r="Y138" i="8"/>
  <c r="Y137" i="8"/>
  <c r="AN137" i="8" s="1"/>
  <c r="Y136" i="8"/>
  <c r="AN136" i="8" s="1"/>
  <c r="Y135" i="8"/>
  <c r="AN135" i="8" s="1"/>
  <c r="Y134" i="8"/>
  <c r="W133" i="8"/>
  <c r="V133" i="8"/>
  <c r="U133" i="8"/>
  <c r="T133" i="8"/>
  <c r="S133" i="8"/>
  <c r="R133" i="8"/>
  <c r="Q133" i="8"/>
  <c r="P133" i="8"/>
  <c r="O133" i="8"/>
  <c r="N133" i="8"/>
  <c r="M133" i="8"/>
  <c r="L133" i="8"/>
  <c r="K133" i="8"/>
  <c r="J133" i="8"/>
  <c r="I133" i="8"/>
  <c r="AN132" i="8"/>
  <c r="AM132" i="8"/>
  <c r="X132" i="8"/>
  <c r="T132" i="8"/>
  <c r="R132" i="8"/>
  <c r="H132" i="8"/>
  <c r="AN131" i="8"/>
  <c r="AM131" i="8"/>
  <c r="X131" i="8"/>
  <c r="T131" i="8"/>
  <c r="R131" i="8"/>
  <c r="Q131" i="8"/>
  <c r="H131" i="8"/>
  <c r="AN130" i="8"/>
  <c r="AM130" i="8"/>
  <c r="X130" i="8"/>
  <c r="T130" i="8"/>
  <c r="R130" i="8"/>
  <c r="Q130" i="8"/>
  <c r="H130" i="8"/>
  <c r="AN129" i="8"/>
  <c r="AM129" i="8"/>
  <c r="X129" i="8"/>
  <c r="T129" i="8"/>
  <c r="R129" i="8"/>
  <c r="Q129" i="8"/>
  <c r="AN128" i="8"/>
  <c r="AM128" i="8"/>
  <c r="R128" i="8"/>
  <c r="Q128" i="8"/>
  <c r="H128" i="8"/>
  <c r="AN127" i="8"/>
  <c r="AM127" i="8"/>
  <c r="X127" i="8"/>
  <c r="T127" i="8"/>
  <c r="R127" i="8"/>
  <c r="Q127" i="8"/>
  <c r="H127" i="8"/>
  <c r="AN126" i="8"/>
  <c r="AM126" i="8"/>
  <c r="X126" i="8"/>
  <c r="T126" i="8"/>
  <c r="R126" i="8"/>
  <c r="Q126" i="8"/>
  <c r="AN125" i="8"/>
  <c r="AM125" i="8"/>
  <c r="R125" i="8"/>
  <c r="Q125" i="8"/>
  <c r="H125" i="8"/>
  <c r="AN124" i="8"/>
  <c r="AM124" i="8"/>
  <c r="X124" i="8"/>
  <c r="T124" i="8"/>
  <c r="R124" i="8"/>
  <c r="Q124" i="8"/>
  <c r="AN123" i="8"/>
  <c r="AM123" i="8"/>
  <c r="X123" i="8"/>
  <c r="T123" i="8"/>
  <c r="R123" i="8"/>
  <c r="Q123" i="8"/>
  <c r="H123" i="8"/>
  <c r="AN122" i="8"/>
  <c r="AM122" i="8"/>
  <c r="X122" i="8"/>
  <c r="T122" i="8"/>
  <c r="R122" i="8"/>
  <c r="Q122" i="8"/>
  <c r="AN121" i="8"/>
  <c r="AM121" i="8"/>
  <c r="X121" i="8"/>
  <c r="T121" i="8"/>
  <c r="R121" i="8"/>
  <c r="Q121" i="8"/>
  <c r="H121" i="8"/>
  <c r="AN120" i="8"/>
  <c r="AM120" i="8"/>
  <c r="X120" i="8"/>
  <c r="T120" i="8"/>
  <c r="R120" i="8"/>
  <c r="H120" i="8"/>
  <c r="AN119" i="8"/>
  <c r="AM119" i="8"/>
  <c r="X119" i="8"/>
  <c r="T119" i="8"/>
  <c r="R119" i="8"/>
  <c r="Q119" i="8"/>
  <c r="I119" i="8"/>
  <c r="AO119" i="8" s="1"/>
  <c r="AN118" i="8"/>
  <c r="AM118" i="8"/>
  <c r="X118" i="8"/>
  <c r="T118" i="8"/>
  <c r="Q118" i="8"/>
  <c r="O118" i="8"/>
  <c r="S118" i="8" s="1"/>
  <c r="H118" i="8"/>
  <c r="AN117" i="8"/>
  <c r="AM117" i="8"/>
  <c r="O117" i="8"/>
  <c r="S117" i="8" s="1"/>
  <c r="I117" i="8"/>
  <c r="AO117" i="8" s="1"/>
  <c r="AN116" i="8"/>
  <c r="AM116" i="8"/>
  <c r="O116" i="8"/>
  <c r="S116" i="8" s="1"/>
  <c r="I116" i="8"/>
  <c r="AO116" i="8" s="1"/>
  <c r="AN115" i="8"/>
  <c r="AM115" i="8"/>
  <c r="O115" i="8"/>
  <c r="S115" i="8" s="1"/>
  <c r="I115" i="8"/>
  <c r="AO115" i="8" s="1"/>
  <c r="AN114" i="8"/>
  <c r="AM114" i="8"/>
  <c r="X114" i="8"/>
  <c r="T114" i="8"/>
  <c r="Q114" i="8"/>
  <c r="O114" i="8"/>
  <c r="S114" i="8" s="1"/>
  <c r="H114" i="8"/>
  <c r="AN113" i="8"/>
  <c r="AM113" i="8"/>
  <c r="O113" i="8"/>
  <c r="S113" i="8" s="1"/>
  <c r="I113" i="8"/>
  <c r="AO113" i="8" s="1"/>
  <c r="AN112" i="8"/>
  <c r="AM112" i="8"/>
  <c r="O112" i="8"/>
  <c r="S112" i="8" s="1"/>
  <c r="I112" i="8"/>
  <c r="AO112" i="8" s="1"/>
  <c r="AN111" i="8"/>
  <c r="AM111" i="8"/>
  <c r="X111" i="8"/>
  <c r="T111" i="8"/>
  <c r="Q111" i="8"/>
  <c r="O111" i="8"/>
  <c r="R111" i="8" s="1"/>
  <c r="I111" i="8"/>
  <c r="AO111" i="8" s="1"/>
  <c r="AN110" i="8"/>
  <c r="AM110" i="8"/>
  <c r="Q110" i="8"/>
  <c r="O110" i="8"/>
  <c r="S110" i="8" s="1"/>
  <c r="I110" i="8"/>
  <c r="AO110" i="8" s="1"/>
  <c r="AN109" i="8"/>
  <c r="AM109" i="8"/>
  <c r="Q109" i="8"/>
  <c r="O109" i="8"/>
  <c r="S109" i="8" s="1"/>
  <c r="I109" i="8"/>
  <c r="AO109" i="8" s="1"/>
  <c r="AN108" i="8"/>
  <c r="AM108" i="8"/>
  <c r="Q108" i="8"/>
  <c r="O108" i="8"/>
  <c r="S108" i="8" s="1"/>
  <c r="I108" i="8"/>
  <c r="AO108" i="8" s="1"/>
  <c r="AN107" i="8"/>
  <c r="AM107" i="8"/>
  <c r="O107" i="8"/>
  <c r="S107" i="8" s="1"/>
  <c r="I107" i="8"/>
  <c r="AO107" i="8" s="1"/>
  <c r="AN106" i="8"/>
  <c r="AM106" i="8"/>
  <c r="O106" i="8"/>
  <c r="S106" i="8" s="1"/>
  <c r="I106" i="8"/>
  <c r="AO106" i="8" s="1"/>
  <c r="AN105" i="8"/>
  <c r="AM105" i="8"/>
  <c r="Q105" i="8"/>
  <c r="O105" i="8"/>
  <c r="S105" i="8" s="1"/>
  <c r="I105" i="8"/>
  <c r="AO105" i="8" s="1"/>
  <c r="AN104" i="8"/>
  <c r="AM104" i="8"/>
  <c r="O104" i="8"/>
  <c r="S104" i="8" s="1"/>
  <c r="I104" i="8"/>
  <c r="AO104" i="8" s="1"/>
  <c r="AN103" i="8"/>
  <c r="AM103" i="8"/>
  <c r="Q103" i="8"/>
  <c r="O103" i="8"/>
  <c r="S103" i="8" s="1"/>
  <c r="I103" i="8"/>
  <c r="AO103" i="8" s="1"/>
  <c r="AN102" i="8"/>
  <c r="AM102" i="8"/>
  <c r="Q102" i="8"/>
  <c r="O102" i="8"/>
  <c r="S102" i="8" s="1"/>
  <c r="I102" i="8"/>
  <c r="AO102" i="8" s="1"/>
  <c r="AN101" i="8"/>
  <c r="AM101" i="8"/>
  <c r="Q101" i="8"/>
  <c r="O101" i="8"/>
  <c r="S101" i="8" s="1"/>
  <c r="I101" i="8"/>
  <c r="AO101" i="8" s="1"/>
  <c r="AN100" i="8"/>
  <c r="AM100" i="8"/>
  <c r="Q100" i="8"/>
  <c r="O100" i="8"/>
  <c r="S100" i="8" s="1"/>
  <c r="I100" i="8"/>
  <c r="AO100" i="8" s="1"/>
  <c r="AN99" i="8"/>
  <c r="AM99" i="8"/>
  <c r="Q99" i="8"/>
  <c r="O99" i="8"/>
  <c r="S99" i="8" s="1"/>
  <c r="I99" i="8"/>
  <c r="AO99" i="8" s="1"/>
  <c r="AN98" i="8"/>
  <c r="AM98" i="8"/>
  <c r="Q98" i="8"/>
  <c r="O98" i="8"/>
  <c r="S98" i="8" s="1"/>
  <c r="I98" i="8"/>
  <c r="AO98" i="8" s="1"/>
  <c r="AN97" i="8"/>
  <c r="AM97" i="8"/>
  <c r="O97" i="8"/>
  <c r="S97" i="8" s="1"/>
  <c r="I97" i="8"/>
  <c r="AO97" i="8" s="1"/>
  <c r="AN96" i="8"/>
  <c r="AM96" i="8"/>
  <c r="O96" i="8"/>
  <c r="S96" i="8" s="1"/>
  <c r="I96" i="8"/>
  <c r="AO96" i="8" s="1"/>
  <c r="AN95" i="8"/>
  <c r="AM95" i="8"/>
  <c r="O95" i="8"/>
  <c r="S95" i="8" s="1"/>
  <c r="I95" i="8"/>
  <c r="AO95" i="8" s="1"/>
  <c r="AN94" i="8"/>
  <c r="AM94" i="8"/>
  <c r="O94" i="8"/>
  <c r="S94" i="8" s="1"/>
  <c r="I94" i="8"/>
  <c r="AO94" i="8" s="1"/>
  <c r="AN93" i="8"/>
  <c r="AM93" i="8"/>
  <c r="O93" i="8"/>
  <c r="S93" i="8" s="1"/>
  <c r="I93" i="8"/>
  <c r="AO93" i="8" s="1"/>
  <c r="AN92" i="8"/>
  <c r="AM92" i="8"/>
  <c r="O92" i="8"/>
  <c r="S92" i="8" s="1"/>
  <c r="I92" i="8"/>
  <c r="AO92" i="8" s="1"/>
  <c r="AN91" i="8"/>
  <c r="AM91" i="8"/>
  <c r="O91" i="8"/>
  <c r="S91" i="8" s="1"/>
  <c r="I91" i="8"/>
  <c r="AO91" i="8" s="1"/>
  <c r="AN90" i="8"/>
  <c r="AM90" i="8"/>
  <c r="O90" i="8"/>
  <c r="S90" i="8" s="1"/>
  <c r="I90" i="8"/>
  <c r="AO90" i="8" s="1"/>
  <c r="AN89" i="8"/>
  <c r="AM89" i="8"/>
  <c r="O89" i="8"/>
  <c r="S89" i="8" s="1"/>
  <c r="H89" i="8"/>
  <c r="I89" i="8" s="1"/>
  <c r="AO89" i="8" s="1"/>
  <c r="AN88" i="8"/>
  <c r="AM88" i="8"/>
  <c r="X88" i="8"/>
  <c r="T88" i="8"/>
  <c r="Q88" i="8"/>
  <c r="O88" i="8"/>
  <c r="S88" i="8" s="1"/>
  <c r="H88" i="8"/>
  <c r="I88" i="8" s="1"/>
  <c r="AO88" i="8" s="1"/>
  <c r="AN87" i="8"/>
  <c r="AM87" i="8"/>
  <c r="Q87" i="8"/>
  <c r="O87" i="8"/>
  <c r="R87" i="8" s="1"/>
  <c r="H87" i="8"/>
  <c r="I87" i="8" s="1"/>
  <c r="AO87" i="8" s="1"/>
  <c r="AN86" i="8"/>
  <c r="AM86" i="8"/>
  <c r="Q86" i="8"/>
  <c r="O86" i="8"/>
  <c r="R86" i="8" s="1"/>
  <c r="H86" i="8"/>
  <c r="I86" i="8" s="1"/>
  <c r="AO86" i="8" s="1"/>
  <c r="AN85" i="8"/>
  <c r="AM85" i="8"/>
  <c r="Q85" i="8"/>
  <c r="O85" i="8"/>
  <c r="R85" i="8" s="1"/>
  <c r="H85" i="8"/>
  <c r="I85" i="8" s="1"/>
  <c r="AO85" i="8" s="1"/>
  <c r="AN84" i="8"/>
  <c r="AM84" i="8"/>
  <c r="Q84" i="8"/>
  <c r="O84" i="8"/>
  <c r="S84" i="8" s="1"/>
  <c r="H84" i="8"/>
  <c r="I84" i="8" s="1"/>
  <c r="AO84" i="8" s="1"/>
  <c r="AN83" i="8"/>
  <c r="AM83" i="8"/>
  <c r="X83" i="8"/>
  <c r="T83" i="8"/>
  <c r="Q83" i="8"/>
  <c r="O83" i="8"/>
  <c r="S83" i="8" s="1"/>
  <c r="H83" i="8"/>
  <c r="I83" i="8" s="1"/>
  <c r="AO83" i="8" s="1"/>
  <c r="AN82" i="8"/>
  <c r="AM82" i="8"/>
  <c r="Q82" i="8"/>
  <c r="O82" i="8"/>
  <c r="R82" i="8" s="1"/>
  <c r="H82" i="8"/>
  <c r="I82" i="8" s="1"/>
  <c r="AO82" i="8" s="1"/>
  <c r="AN81" i="8"/>
  <c r="AM81" i="8"/>
  <c r="AB81" i="8"/>
  <c r="Q81" i="8"/>
  <c r="O81" i="8"/>
  <c r="S81" i="8" s="1"/>
  <c r="H81" i="8"/>
  <c r="AN80" i="8"/>
  <c r="AM80" i="8"/>
  <c r="X80" i="8"/>
  <c r="T80" i="8"/>
  <c r="Q80" i="8"/>
  <c r="O80" i="8"/>
  <c r="S80" i="8" s="1"/>
  <c r="H80" i="8"/>
  <c r="I80" i="8" s="1"/>
  <c r="AO80" i="8" s="1"/>
  <c r="AN79" i="8"/>
  <c r="AM79" i="8"/>
  <c r="X79" i="8"/>
  <c r="T79" i="8"/>
  <c r="Q79" i="8"/>
  <c r="O79" i="8"/>
  <c r="S79" i="8" s="1"/>
  <c r="H79" i="8"/>
  <c r="I79" i="8" s="1"/>
  <c r="AO79" i="8" s="1"/>
  <c r="AN78" i="8"/>
  <c r="AM78" i="8"/>
  <c r="X78" i="8"/>
  <c r="T78" i="8"/>
  <c r="Q78" i="8"/>
  <c r="O78" i="8"/>
  <c r="S78" i="8" s="1"/>
  <c r="H78" i="8"/>
  <c r="I78" i="8" s="1"/>
  <c r="AO78" i="8" s="1"/>
  <c r="AN77" i="8"/>
  <c r="AM77" i="8"/>
  <c r="X77" i="8"/>
  <c r="T77" i="8"/>
  <c r="Q77" i="8"/>
  <c r="O77" i="8"/>
  <c r="R77" i="8" s="1"/>
  <c r="H77" i="8"/>
  <c r="AO76" i="8"/>
  <c r="AN76" i="8"/>
  <c r="AM76" i="8"/>
  <c r="X76" i="8"/>
  <c r="T76" i="8"/>
  <c r="Q76" i="8"/>
  <c r="O76" i="8"/>
  <c r="R76" i="8" s="1"/>
  <c r="AN75" i="8"/>
  <c r="AM75" i="8"/>
  <c r="O75" i="8"/>
  <c r="S75" i="8" s="1"/>
  <c r="H75" i="8"/>
  <c r="I75" i="8" s="1"/>
  <c r="AN74" i="8"/>
  <c r="AM74" i="8"/>
  <c r="X74" i="8"/>
  <c r="T74" i="8"/>
  <c r="Q74" i="8"/>
  <c r="O74" i="8"/>
  <c r="S74" i="8" s="1"/>
  <c r="I74" i="8"/>
  <c r="AO74" i="8" s="1"/>
  <c r="AN73" i="8"/>
  <c r="AM73" i="8"/>
  <c r="AB73" i="8"/>
  <c r="Q73" i="8"/>
  <c r="O73" i="8"/>
  <c r="R73" i="8" s="1"/>
  <c r="I73" i="8"/>
  <c r="AO73" i="8" s="1"/>
  <c r="AN72" i="8"/>
  <c r="AM72" i="8"/>
  <c r="AB72" i="8"/>
  <c r="Q72" i="8"/>
  <c r="O72" i="8"/>
  <c r="S72" i="8" s="1"/>
  <c r="I72" i="8"/>
  <c r="AO72" i="8" s="1"/>
  <c r="AN71" i="8"/>
  <c r="AM71" i="8"/>
  <c r="AB71" i="8"/>
  <c r="Z71" i="8"/>
  <c r="Q71" i="8"/>
  <c r="O71" i="8"/>
  <c r="S71" i="8" s="1"/>
  <c r="I71" i="8"/>
  <c r="AO71" i="8" s="1"/>
  <c r="AN70" i="8"/>
  <c r="AM70" i="8"/>
  <c r="AB70" i="8"/>
  <c r="Z70" i="8"/>
  <c r="Q70" i="8"/>
  <c r="O70" i="8"/>
  <c r="S70" i="8" s="1"/>
  <c r="I70" i="8"/>
  <c r="AO70" i="8" s="1"/>
  <c r="AN69" i="8"/>
  <c r="AM69" i="8"/>
  <c r="AB69" i="8"/>
  <c r="Z69" i="8"/>
  <c r="Q69" i="8"/>
  <c r="O69" i="8"/>
  <c r="S69" i="8" s="1"/>
  <c r="I69" i="8"/>
  <c r="AO69" i="8" s="1"/>
  <c r="AN68" i="8"/>
  <c r="AM68" i="8"/>
  <c r="AB68" i="8"/>
  <c r="Z68" i="8"/>
  <c r="Q68" i="8"/>
  <c r="O68" i="8"/>
  <c r="S68" i="8" s="1"/>
  <c r="I68" i="8"/>
  <c r="AO68" i="8" s="1"/>
  <c r="AN67" i="8"/>
  <c r="AM67" i="8"/>
  <c r="AB67" i="8"/>
  <c r="Z67" i="8"/>
  <c r="Q67" i="8"/>
  <c r="O67" i="8"/>
  <c r="S67" i="8" s="1"/>
  <c r="I67" i="8"/>
  <c r="AO67" i="8" s="1"/>
  <c r="AN66" i="8"/>
  <c r="AM66" i="8"/>
  <c r="AB66" i="8"/>
  <c r="Z66" i="8"/>
  <c r="Q66" i="8"/>
  <c r="O66" i="8"/>
  <c r="S66" i="8" s="1"/>
  <c r="I66" i="8"/>
  <c r="AO66" i="8" s="1"/>
  <c r="AN65" i="8"/>
  <c r="AM65" i="8"/>
  <c r="AB65" i="8"/>
  <c r="Z65" i="8"/>
  <c r="Q65" i="8"/>
  <c r="O65" i="8"/>
  <c r="S65" i="8" s="1"/>
  <c r="I65" i="8"/>
  <c r="AO65" i="8" s="1"/>
  <c r="AN64" i="8"/>
  <c r="AM64" i="8"/>
  <c r="AB64" i="8"/>
  <c r="Z64" i="8"/>
  <c r="Q64" i="8"/>
  <c r="O64" i="8"/>
  <c r="S64" i="8" s="1"/>
  <c r="I64" i="8"/>
  <c r="AO64" i="8" s="1"/>
  <c r="AN63" i="8"/>
  <c r="AM63" i="8"/>
  <c r="AB63" i="8"/>
  <c r="Z63" i="8"/>
  <c r="Q63" i="8"/>
  <c r="O63" i="8"/>
  <c r="S63" i="8" s="1"/>
  <c r="I63" i="8"/>
  <c r="AO63" i="8" s="1"/>
  <c r="AN62" i="8"/>
  <c r="AM62" i="8"/>
  <c r="AB62" i="8"/>
  <c r="Z62" i="8"/>
  <c r="Q62" i="8"/>
  <c r="O62" i="8"/>
  <c r="S62" i="8" s="1"/>
  <c r="I62" i="8"/>
  <c r="AO62" i="8" s="1"/>
  <c r="AN61" i="8"/>
  <c r="AM61" i="8"/>
  <c r="AB61" i="8"/>
  <c r="Z61" i="8"/>
  <c r="X61" i="8"/>
  <c r="T61" i="8"/>
  <c r="P61" i="8"/>
  <c r="O61" i="8"/>
  <c r="S61" i="8" s="1"/>
  <c r="I61" i="8"/>
  <c r="AO61" i="8" s="1"/>
  <c r="AN60" i="8"/>
  <c r="AM60" i="8"/>
  <c r="AB60" i="8"/>
  <c r="Z60" i="8"/>
  <c r="Q60" i="8"/>
  <c r="O60" i="8"/>
  <c r="S60" i="8" s="1"/>
  <c r="I60" i="8"/>
  <c r="AO60" i="8" s="1"/>
  <c r="AN59" i="8"/>
  <c r="AM59" i="8"/>
  <c r="AB59" i="8"/>
  <c r="Z59" i="8"/>
  <c r="Q59" i="8"/>
  <c r="O59" i="8"/>
  <c r="S59" i="8" s="1"/>
  <c r="I59" i="8"/>
  <c r="AO59" i="8" s="1"/>
  <c r="AN58" i="8"/>
  <c r="AM58" i="8"/>
  <c r="AB58" i="8"/>
  <c r="Z58" i="8"/>
  <c r="Q58" i="8"/>
  <c r="O58" i="8"/>
  <c r="S58" i="8" s="1"/>
  <c r="I58" i="8"/>
  <c r="AO58" i="8" s="1"/>
  <c r="AN57" i="8"/>
  <c r="AM57" i="8"/>
  <c r="AB57" i="8"/>
  <c r="Z57" i="8"/>
  <c r="Q57" i="8"/>
  <c r="O57" i="8"/>
  <c r="S57" i="8" s="1"/>
  <c r="I57" i="8"/>
  <c r="AO57" i="8" s="1"/>
  <c r="AN56" i="8"/>
  <c r="AM56" i="8"/>
  <c r="AB56" i="8"/>
  <c r="Z56" i="8"/>
  <c r="Q56" i="8"/>
  <c r="O56" i="8"/>
  <c r="R56" i="8" s="1"/>
  <c r="I56" i="8"/>
  <c r="AO56" i="8" s="1"/>
  <c r="AN55" i="8"/>
  <c r="AM55" i="8"/>
  <c r="AB55" i="8"/>
  <c r="Z55" i="8"/>
  <c r="Q55" i="8"/>
  <c r="O55" i="8"/>
  <c r="S55" i="8" s="1"/>
  <c r="I55" i="8"/>
  <c r="AO55" i="8" s="1"/>
  <c r="AN54" i="8"/>
  <c r="AM54" i="8"/>
  <c r="AB54" i="8"/>
  <c r="Z54" i="8"/>
  <c r="Q54" i="8"/>
  <c r="O54" i="8"/>
  <c r="R54" i="8" s="1"/>
  <c r="I54" i="8"/>
  <c r="AO54" i="8" s="1"/>
  <c r="AK53" i="8"/>
  <c r="AK52" i="8" s="1"/>
  <c r="AJ53" i="8"/>
  <c r="AI53" i="8"/>
  <c r="AI52" i="8" s="1"/>
  <c r="AH53" i="8"/>
  <c r="AH52" i="8" s="1"/>
  <c r="AG53" i="8"/>
  <c r="AG52" i="8" s="1"/>
  <c r="AF53" i="8"/>
  <c r="AE53" i="8"/>
  <c r="AE52" i="8" s="1"/>
  <c r="AD53" i="8"/>
  <c r="AD52" i="8" s="1"/>
  <c r="AC53" i="8"/>
  <c r="AC52" i="8" s="1"/>
  <c r="AC45" i="8" s="1"/>
  <c r="AA53" i="8"/>
  <c r="AA52" i="8" s="1"/>
  <c r="AA45" i="8" s="1"/>
  <c r="Y53" i="8"/>
  <c r="AN53" i="8" s="1"/>
  <c r="W53" i="8"/>
  <c r="V53" i="8"/>
  <c r="V52" i="8" s="1"/>
  <c r="U53" i="8"/>
  <c r="P53" i="8"/>
  <c r="P52" i="8" s="1"/>
  <c r="N53" i="8"/>
  <c r="N52" i="8" s="1"/>
  <c r="M53" i="8"/>
  <c r="M52" i="8" s="1"/>
  <c r="L53" i="8"/>
  <c r="L52" i="8" s="1"/>
  <c r="K53" i="8"/>
  <c r="K52" i="8" s="1"/>
  <c r="J53" i="8"/>
  <c r="AJ52" i="8"/>
  <c r="AF52" i="8"/>
  <c r="J52" i="8"/>
  <c r="AN51" i="8"/>
  <c r="AM51" i="8"/>
  <c r="Z51" i="8"/>
  <c r="Q51" i="8"/>
  <c r="O51" i="8"/>
  <c r="M51" i="8"/>
  <c r="K51" i="8"/>
  <c r="I51" i="8"/>
  <c r="AO51" i="8" s="1"/>
  <c r="AN50" i="8"/>
  <c r="AM50" i="8"/>
  <c r="Z50" i="8"/>
  <c r="Q50" i="8"/>
  <c r="O50" i="8"/>
  <c r="O47" i="8" s="1"/>
  <c r="O46" i="8" s="1"/>
  <c r="M50" i="8"/>
  <c r="M47" i="8" s="1"/>
  <c r="M46" i="8" s="1"/>
  <c r="M45" i="8" s="1"/>
  <c r="K50" i="8"/>
  <c r="K47" i="8" s="1"/>
  <c r="K46" i="8" s="1"/>
  <c r="I50" i="8"/>
  <c r="AO50" i="8" s="1"/>
  <c r="AN49" i="8"/>
  <c r="AM49" i="8"/>
  <c r="AN48" i="8"/>
  <c r="AM48" i="8"/>
  <c r="AK47" i="8"/>
  <c r="AK46" i="8" s="1"/>
  <c r="AJ47" i="8"/>
  <c r="AJ46" i="8" s="1"/>
  <c r="AI47" i="8"/>
  <c r="AI46" i="8" s="1"/>
  <c r="AH47" i="8"/>
  <c r="AH46" i="8" s="1"/>
  <c r="AG47" i="8"/>
  <c r="AG46" i="8" s="1"/>
  <c r="AF47" i="8"/>
  <c r="AE47" i="8"/>
  <c r="AE46" i="8" s="1"/>
  <c r="AD47" i="8"/>
  <c r="AD46" i="8" s="1"/>
  <c r="AC47" i="8"/>
  <c r="AC46" i="8" s="1"/>
  <c r="AB47" i="8"/>
  <c r="AB46" i="8" s="1"/>
  <c r="AA47" i="8"/>
  <c r="AA46" i="8" s="1"/>
  <c r="Y47" i="8"/>
  <c r="AN47" i="8" s="1"/>
  <c r="X47" i="8"/>
  <c r="W47" i="8"/>
  <c r="W46" i="8" s="1"/>
  <c r="V47" i="8"/>
  <c r="V46" i="8" s="1"/>
  <c r="U47" i="8"/>
  <c r="U46" i="8" s="1"/>
  <c r="T47" i="8"/>
  <c r="S47" i="8"/>
  <c r="S46" i="8" s="1"/>
  <c r="R47" i="8"/>
  <c r="R46" i="8" s="1"/>
  <c r="Q47" i="8"/>
  <c r="Q46" i="8" s="1"/>
  <c r="P47" i="8"/>
  <c r="N47" i="8"/>
  <c r="N46" i="8" s="1"/>
  <c r="L47" i="8"/>
  <c r="J47" i="8"/>
  <c r="J46" i="8" s="1"/>
  <c r="J45" i="8" s="1"/>
  <c r="H47" i="8"/>
  <c r="AF46" i="8"/>
  <c r="X46" i="8"/>
  <c r="T46" i="8"/>
  <c r="P46" i="8"/>
  <c r="L46" i="8"/>
  <c r="H46" i="8"/>
  <c r="V41" i="8"/>
  <c r="U41" i="8"/>
  <c r="N41" i="8"/>
  <c r="T41" i="8" s="1"/>
  <c r="V40" i="8"/>
  <c r="V38" i="8"/>
  <c r="U38" i="8"/>
  <c r="T38" i="8"/>
  <c r="N38" i="8"/>
  <c r="V36" i="8"/>
  <c r="V35" i="8"/>
  <c r="U35" i="8"/>
  <c r="N35" i="8"/>
  <c r="T35" i="8" s="1"/>
  <c r="V32" i="8"/>
  <c r="Y32" i="8" s="1"/>
  <c r="U32" i="8"/>
  <c r="T32" i="8"/>
  <c r="N32" i="8"/>
  <c r="Y29" i="8"/>
  <c r="AN29" i="8" s="1"/>
  <c r="N29" i="8"/>
  <c r="V26" i="8"/>
  <c r="Y26" i="8" s="1"/>
  <c r="U26" i="8"/>
  <c r="T26" i="8"/>
  <c r="N26" i="8"/>
  <c r="U23" i="8"/>
  <c r="Y23" i="8" s="1"/>
  <c r="N23" i="8"/>
  <c r="T23" i="8" s="1"/>
  <c r="AN20" i="8"/>
  <c r="AM20" i="8"/>
  <c r="X20" i="8"/>
  <c r="N20" i="8"/>
  <c r="V18" i="8"/>
  <c r="Y18" i="8" s="1"/>
  <c r="U18" i="8"/>
  <c r="N18" i="8"/>
  <c r="T18" i="8" s="1"/>
  <c r="W17" i="8"/>
  <c r="V17" i="8"/>
  <c r="S17" i="8"/>
  <c r="R17" i="8"/>
  <c r="Q17" i="8"/>
  <c r="P17" i="8"/>
  <c r="O17" i="8"/>
  <c r="N17" i="8"/>
  <c r="BB441" i="7"/>
  <c r="AT434" i="7"/>
  <c r="P434" i="7"/>
  <c r="N434" i="7"/>
  <c r="AQ433" i="7"/>
  <c r="H433" i="7"/>
  <c r="AQ432" i="7"/>
  <c r="Y431" i="7"/>
  <c r="AQ431" i="7" s="1"/>
  <c r="H431" i="7"/>
  <c r="V430" i="7"/>
  <c r="I430" i="7"/>
  <c r="BD426" i="7"/>
  <c r="AQ426" i="7"/>
  <c r="X426" i="7"/>
  <c r="H426" i="7"/>
  <c r="Y425" i="7"/>
  <c r="Y424" i="7"/>
  <c r="Y423" i="7"/>
  <c r="V422" i="7"/>
  <c r="H422" i="7"/>
  <c r="BB421" i="7"/>
  <c r="BC421" i="7" s="1"/>
  <c r="AX421" i="7"/>
  <c r="Q421" i="7"/>
  <c r="BB420" i="7"/>
  <c r="BC420" i="7" s="1"/>
  <c r="AZ420" i="7"/>
  <c r="BA420" i="7" s="1"/>
  <c r="AX420" i="7"/>
  <c r="AY420" i="7" s="1"/>
  <c r="AV420" i="7"/>
  <c r="AW420" i="7" s="1"/>
  <c r="Y420" i="7"/>
  <c r="I420" i="7"/>
  <c r="H420" i="7"/>
  <c r="N420" i="7" s="1"/>
  <c r="P420" i="7" s="1"/>
  <c r="AX419" i="7"/>
  <c r="AY419" i="7" s="1"/>
  <c r="AV419" i="7"/>
  <c r="AW419" i="7" s="1"/>
  <c r="AQ419" i="7"/>
  <c r="X419" i="7"/>
  <c r="T419" i="7"/>
  <c r="R419" i="7" s="1"/>
  <c r="AZ419" i="7" s="1"/>
  <c r="BA419" i="7" s="1"/>
  <c r="P419" i="7"/>
  <c r="BB418" i="7"/>
  <c r="BC418" i="7" s="1"/>
  <c r="AZ418" i="7"/>
  <c r="BA418" i="7" s="1"/>
  <c r="AX418" i="7"/>
  <c r="AY418" i="7" s="1"/>
  <c r="AV418" i="7"/>
  <c r="AW418" i="7" s="1"/>
  <c r="AQ418" i="7"/>
  <c r="AZ417" i="7"/>
  <c r="BA417" i="7" s="1"/>
  <c r="AX417" i="7"/>
  <c r="AY417" i="7" s="1"/>
  <c r="AV417" i="7"/>
  <c r="AW417" i="7" s="1"/>
  <c r="AQ417" i="7"/>
  <c r="S417" i="7"/>
  <c r="BB416" i="7"/>
  <c r="BC416" i="7" s="1"/>
  <c r="AZ416" i="7"/>
  <c r="BA416" i="7" s="1"/>
  <c r="AX416" i="7"/>
  <c r="AY416" i="7" s="1"/>
  <c r="AV416" i="7"/>
  <c r="AW416" i="7" s="1"/>
  <c r="AQ416" i="7"/>
  <c r="BB415" i="7"/>
  <c r="BC415" i="7" s="1"/>
  <c r="AX415" i="7"/>
  <c r="AY415" i="7" s="1"/>
  <c r="AV415" i="7"/>
  <c r="AW415" i="7" s="1"/>
  <c r="T415" i="7"/>
  <c r="R415" i="7" s="1"/>
  <c r="P415" i="7"/>
  <c r="H415" i="7"/>
  <c r="BB414" i="7"/>
  <c r="BC414" i="7" s="1"/>
  <c r="AZ414" i="7"/>
  <c r="BA414" i="7" s="1"/>
  <c r="AX414" i="7"/>
  <c r="AY414" i="7" s="1"/>
  <c r="AV414" i="7"/>
  <c r="AW414" i="7" s="1"/>
  <c r="AQ414" i="7"/>
  <c r="BB413" i="7"/>
  <c r="BC413" i="7" s="1"/>
  <c r="AZ413" i="7"/>
  <c r="BA413" i="7" s="1"/>
  <c r="AX413" i="7"/>
  <c r="AY413" i="7" s="1"/>
  <c r="AV413" i="7"/>
  <c r="AW413" i="7" s="1"/>
  <c r="AQ413" i="7"/>
  <c r="H413" i="7"/>
  <c r="BB412" i="7"/>
  <c r="BC412" i="7" s="1"/>
  <c r="AZ412" i="7"/>
  <c r="BA412" i="7" s="1"/>
  <c r="AX412" i="7"/>
  <c r="AY412" i="7" s="1"/>
  <c r="AV412" i="7"/>
  <c r="AW412" i="7" s="1"/>
  <c r="AQ412" i="7"/>
  <c r="AT412" i="7"/>
  <c r="AZ411" i="7"/>
  <c r="BA411" i="7" s="1"/>
  <c r="AX411" i="7"/>
  <c r="AY411" i="7" s="1"/>
  <c r="AV411" i="7"/>
  <c r="AW411" i="7" s="1"/>
  <c r="AQ411" i="7"/>
  <c r="S411" i="7"/>
  <c r="BB410" i="7"/>
  <c r="BC410" i="7" s="1"/>
  <c r="AZ410" i="7"/>
  <c r="BA410" i="7" s="1"/>
  <c r="AX410" i="7"/>
  <c r="AY410" i="7" s="1"/>
  <c r="AV410" i="7"/>
  <c r="AW410" i="7" s="1"/>
  <c r="AQ410" i="7"/>
  <c r="AT410" i="7"/>
  <c r="H410" i="7"/>
  <c r="BB409" i="7"/>
  <c r="BC409" i="7" s="1"/>
  <c r="AZ409" i="7"/>
  <c r="BA409" i="7" s="1"/>
  <c r="AX409" i="7"/>
  <c r="AY409" i="7" s="1"/>
  <c r="AV409" i="7"/>
  <c r="AW409" i="7" s="1"/>
  <c r="AQ409" i="7"/>
  <c r="AR409" i="7"/>
  <c r="BB408" i="7"/>
  <c r="BC408" i="7" s="1"/>
  <c r="AX408" i="7"/>
  <c r="AY408" i="7" s="1"/>
  <c r="AV408" i="7"/>
  <c r="AW408" i="7" s="1"/>
  <c r="AQ408" i="7"/>
  <c r="AT408" i="7"/>
  <c r="R408" i="7"/>
  <c r="AZ408" i="7" s="1"/>
  <c r="BA408" i="7" s="1"/>
  <c r="H408" i="7"/>
  <c r="BB407" i="7"/>
  <c r="BC407" i="7" s="1"/>
  <c r="AZ407" i="7"/>
  <c r="BA407" i="7" s="1"/>
  <c r="AX407" i="7"/>
  <c r="AY407" i="7" s="1"/>
  <c r="AV407" i="7"/>
  <c r="AW407" i="7" s="1"/>
  <c r="AQ407" i="7"/>
  <c r="AR407" i="7"/>
  <c r="H407" i="7"/>
  <c r="AZ406" i="7"/>
  <c r="BA406" i="7" s="1"/>
  <c r="AX406" i="7"/>
  <c r="AY406" i="7" s="1"/>
  <c r="AV406" i="7"/>
  <c r="AW406" i="7" s="1"/>
  <c r="AQ406" i="7"/>
  <c r="AT406" i="7"/>
  <c r="S406" i="7"/>
  <c r="BB405" i="7"/>
  <c r="BC405" i="7" s="1"/>
  <c r="AZ405" i="7"/>
  <c r="BA405" i="7" s="1"/>
  <c r="AX405" i="7"/>
  <c r="AY405" i="7" s="1"/>
  <c r="AV405" i="7"/>
  <c r="AW405" i="7" s="1"/>
  <c r="AQ405" i="7"/>
  <c r="BB404" i="7"/>
  <c r="BC404" i="7" s="1"/>
  <c r="AZ404" i="7"/>
  <c r="BA404" i="7" s="1"/>
  <c r="AX404" i="7"/>
  <c r="AY404" i="7" s="1"/>
  <c r="AV404" i="7"/>
  <c r="AW404" i="7" s="1"/>
  <c r="AQ404" i="7"/>
  <c r="AT404" i="7"/>
  <c r="BB403" i="7"/>
  <c r="BC403" i="7" s="1"/>
  <c r="AZ403" i="7"/>
  <c r="BA403" i="7" s="1"/>
  <c r="AX403" i="7"/>
  <c r="AY403" i="7" s="1"/>
  <c r="AV403" i="7"/>
  <c r="AW403" i="7" s="1"/>
  <c r="AQ403" i="7"/>
  <c r="BB402" i="7"/>
  <c r="BC402" i="7" s="1"/>
  <c r="AZ402" i="7"/>
  <c r="BA402" i="7" s="1"/>
  <c r="AX402" i="7"/>
  <c r="AY402" i="7" s="1"/>
  <c r="AV402" i="7"/>
  <c r="AW402" i="7" s="1"/>
  <c r="AQ402" i="7"/>
  <c r="AT402" i="7"/>
  <c r="BB401" i="7"/>
  <c r="BC401" i="7" s="1"/>
  <c r="AZ401" i="7"/>
  <c r="BA401" i="7" s="1"/>
  <c r="AX401" i="7"/>
  <c r="AY401" i="7" s="1"/>
  <c r="AV401" i="7"/>
  <c r="AW401" i="7" s="1"/>
  <c r="AQ401" i="7"/>
  <c r="BB400" i="7"/>
  <c r="BC400" i="7" s="1"/>
  <c r="AZ400" i="7"/>
  <c r="BA400" i="7" s="1"/>
  <c r="AX400" i="7"/>
  <c r="AY400" i="7" s="1"/>
  <c r="AV400" i="7"/>
  <c r="AW400" i="7" s="1"/>
  <c r="AQ400" i="7"/>
  <c r="AR400" i="7"/>
  <c r="BB399" i="7"/>
  <c r="BC399" i="7" s="1"/>
  <c r="AZ399" i="7"/>
  <c r="BA399" i="7" s="1"/>
  <c r="AX399" i="7"/>
  <c r="AY399" i="7" s="1"/>
  <c r="AV399" i="7"/>
  <c r="AW399" i="7" s="1"/>
  <c r="AQ399" i="7"/>
  <c r="BB398" i="7"/>
  <c r="BC398" i="7" s="1"/>
  <c r="AZ398" i="7"/>
  <c r="BA398" i="7" s="1"/>
  <c r="AX398" i="7"/>
  <c r="AY398" i="7" s="1"/>
  <c r="AV398" i="7"/>
  <c r="AW398" i="7" s="1"/>
  <c r="AQ398" i="7"/>
  <c r="AT398" i="7"/>
  <c r="BB397" i="7"/>
  <c r="BC397" i="7" s="1"/>
  <c r="AZ397" i="7"/>
  <c r="BA397" i="7" s="1"/>
  <c r="AX397" i="7"/>
  <c r="AY397" i="7" s="1"/>
  <c r="AV397" i="7"/>
  <c r="AW397" i="7" s="1"/>
  <c r="AQ397" i="7"/>
  <c r="BB396" i="7"/>
  <c r="BC396" i="7" s="1"/>
  <c r="AZ396" i="7"/>
  <c r="BA396" i="7" s="1"/>
  <c r="AX396" i="7"/>
  <c r="AY396" i="7" s="1"/>
  <c r="AV396" i="7"/>
  <c r="AW396" i="7" s="1"/>
  <c r="AQ396" i="7"/>
  <c r="BB395" i="7"/>
  <c r="BC395" i="7" s="1"/>
  <c r="AZ395" i="7"/>
  <c r="BA395" i="7" s="1"/>
  <c r="AX395" i="7"/>
  <c r="AY395" i="7" s="1"/>
  <c r="AV395" i="7"/>
  <c r="AW395" i="7" s="1"/>
  <c r="AQ395" i="7"/>
  <c r="BB394" i="7"/>
  <c r="BC394" i="7" s="1"/>
  <c r="AZ394" i="7"/>
  <c r="BA394" i="7" s="1"/>
  <c r="AX394" i="7"/>
  <c r="AY394" i="7" s="1"/>
  <c r="AV394" i="7"/>
  <c r="AW394" i="7" s="1"/>
  <c r="AQ394" i="7"/>
  <c r="BB393" i="7"/>
  <c r="BC393" i="7" s="1"/>
  <c r="AZ393" i="7"/>
  <c r="BA393" i="7" s="1"/>
  <c r="AX393" i="7"/>
  <c r="AY393" i="7" s="1"/>
  <c r="AV393" i="7"/>
  <c r="AW393" i="7" s="1"/>
  <c r="AQ393" i="7"/>
  <c r="BB392" i="7"/>
  <c r="BC392" i="7" s="1"/>
  <c r="AZ392" i="7"/>
  <c r="BA392" i="7" s="1"/>
  <c r="AX392" i="7"/>
  <c r="AY392" i="7" s="1"/>
  <c r="AV392" i="7"/>
  <c r="AW392" i="7" s="1"/>
  <c r="AQ392" i="7"/>
  <c r="AR392" i="7"/>
  <c r="BB391" i="7"/>
  <c r="BC391" i="7" s="1"/>
  <c r="AZ391" i="7"/>
  <c r="BA391" i="7" s="1"/>
  <c r="Y391" i="7"/>
  <c r="U391" i="7"/>
  <c r="Q391" i="7"/>
  <c r="O391" i="7"/>
  <c r="AX391" i="7" s="1"/>
  <c r="AY391" i="7" s="1"/>
  <c r="I391" i="7"/>
  <c r="BD391" i="7" s="1"/>
  <c r="BB390" i="7"/>
  <c r="BC390" i="7" s="1"/>
  <c r="AZ390" i="7"/>
  <c r="BA390" i="7" s="1"/>
  <c r="Y390" i="7"/>
  <c r="U390" i="7"/>
  <c r="Q390" i="7"/>
  <c r="O390" i="7"/>
  <c r="AX390" i="7" s="1"/>
  <c r="AY390" i="7" s="1"/>
  <c r="I390" i="7"/>
  <c r="BD390" i="7" s="1"/>
  <c r="BB389" i="7"/>
  <c r="BC389" i="7" s="1"/>
  <c r="AZ389" i="7"/>
  <c r="BA389" i="7" s="1"/>
  <c r="Y389" i="7"/>
  <c r="U389" i="7"/>
  <c r="Q389" i="7"/>
  <c r="O389" i="7"/>
  <c r="AX389" i="7" s="1"/>
  <c r="AY389" i="7" s="1"/>
  <c r="I389" i="7"/>
  <c r="BD389" i="7" s="1"/>
  <c r="BB388" i="7"/>
  <c r="BC388" i="7" s="1"/>
  <c r="AZ388" i="7"/>
  <c r="BA388" i="7" s="1"/>
  <c r="Y388" i="7"/>
  <c r="U388" i="7"/>
  <c r="Q388" i="7"/>
  <c r="O388" i="7"/>
  <c r="AX388" i="7" s="1"/>
  <c r="AY388" i="7" s="1"/>
  <c r="I388" i="7"/>
  <c r="BB387" i="7"/>
  <c r="BC387" i="7" s="1"/>
  <c r="AZ387" i="7"/>
  <c r="BA387" i="7" s="1"/>
  <c r="Y387" i="7"/>
  <c r="U387" i="7"/>
  <c r="Q387" i="7"/>
  <c r="O387" i="7"/>
  <c r="AX387" i="7" s="1"/>
  <c r="AY387" i="7" s="1"/>
  <c r="I387" i="7"/>
  <c r="BD387" i="7" s="1"/>
  <c r="BB386" i="7"/>
  <c r="BC386" i="7" s="1"/>
  <c r="AZ386" i="7"/>
  <c r="BA386" i="7" s="1"/>
  <c r="Y386" i="7"/>
  <c r="AQ386" i="7" s="1"/>
  <c r="U386" i="7"/>
  <c r="Q386" i="7"/>
  <c r="O386" i="7"/>
  <c r="AX386" i="7" s="1"/>
  <c r="AY386" i="7" s="1"/>
  <c r="I386" i="7"/>
  <c r="BD386" i="7" s="1"/>
  <c r="BB385" i="7"/>
  <c r="BC385" i="7" s="1"/>
  <c r="AZ385" i="7"/>
  <c r="BA385" i="7" s="1"/>
  <c r="Y385" i="7"/>
  <c r="U385" i="7"/>
  <c r="Q385" i="7"/>
  <c r="O385" i="7"/>
  <c r="AX385" i="7" s="1"/>
  <c r="AY385" i="7" s="1"/>
  <c r="I385" i="7"/>
  <c r="BD385" i="7" s="1"/>
  <c r="BB384" i="7"/>
  <c r="BC384" i="7" s="1"/>
  <c r="AZ384" i="7"/>
  <c r="BA384" i="7" s="1"/>
  <c r="Y384" i="7"/>
  <c r="U384" i="7"/>
  <c r="Q384" i="7"/>
  <c r="O384" i="7"/>
  <c r="AX384" i="7" s="1"/>
  <c r="AY384" i="7" s="1"/>
  <c r="I384" i="7"/>
  <c r="BD384" i="7" s="1"/>
  <c r="BB383" i="7"/>
  <c r="BC383" i="7" s="1"/>
  <c r="AZ383" i="7"/>
  <c r="BA383" i="7" s="1"/>
  <c r="Y383" i="7"/>
  <c r="U383" i="7"/>
  <c r="Q383" i="7"/>
  <c r="O383" i="7"/>
  <c r="AX383" i="7" s="1"/>
  <c r="AY383" i="7" s="1"/>
  <c r="I383" i="7"/>
  <c r="BB382" i="7"/>
  <c r="BC382" i="7" s="1"/>
  <c r="AZ382" i="7"/>
  <c r="BA382" i="7" s="1"/>
  <c r="Y382" i="7"/>
  <c r="U382" i="7"/>
  <c r="Q382" i="7"/>
  <c r="O382" i="7"/>
  <c r="AX382" i="7" s="1"/>
  <c r="AY382" i="7" s="1"/>
  <c r="I382" i="7"/>
  <c r="BD382" i="7" s="1"/>
  <c r="BB381" i="7"/>
  <c r="BC381" i="7" s="1"/>
  <c r="AZ381" i="7"/>
  <c r="BA381" i="7" s="1"/>
  <c r="Y381" i="7"/>
  <c r="U381" i="7"/>
  <c r="Q381" i="7"/>
  <c r="O381" i="7"/>
  <c r="AX381" i="7" s="1"/>
  <c r="AY381" i="7" s="1"/>
  <c r="I381" i="7"/>
  <c r="BB380" i="7"/>
  <c r="BC380" i="7" s="1"/>
  <c r="AZ380" i="7"/>
  <c r="BA380" i="7" s="1"/>
  <c r="Y380" i="7"/>
  <c r="U380" i="7"/>
  <c r="Q380" i="7"/>
  <c r="O380" i="7"/>
  <c r="AX380" i="7" s="1"/>
  <c r="AY380" i="7" s="1"/>
  <c r="I380" i="7"/>
  <c r="BD380" i="7" s="1"/>
  <c r="BB379" i="7"/>
  <c r="BC379" i="7" s="1"/>
  <c r="AV379" i="7"/>
  <c r="AW379" i="7" s="1"/>
  <c r="AQ379" i="7"/>
  <c r="X379" i="7"/>
  <c r="T379" i="7"/>
  <c r="P379" i="7"/>
  <c r="O379" i="7"/>
  <c r="AX379" i="7" s="1"/>
  <c r="AY379" i="7" s="1"/>
  <c r="I379" i="7"/>
  <c r="BD379" i="7" s="1"/>
  <c r="BB378" i="7"/>
  <c r="BC378" i="7" s="1"/>
  <c r="AZ378" i="7"/>
  <c r="BA378" i="7" s="1"/>
  <c r="Y378" i="7"/>
  <c r="U378" i="7"/>
  <c r="Q378" i="7"/>
  <c r="O378" i="7"/>
  <c r="AX378" i="7" s="1"/>
  <c r="AY378" i="7" s="1"/>
  <c r="I378" i="7"/>
  <c r="BD378" i="7" s="1"/>
  <c r="BB377" i="7"/>
  <c r="BC377" i="7" s="1"/>
  <c r="AZ377" i="7"/>
  <c r="BA377" i="7" s="1"/>
  <c r="Y377" i="7"/>
  <c r="U377" i="7"/>
  <c r="Q377" i="7"/>
  <c r="O377" i="7"/>
  <c r="AX377" i="7" s="1"/>
  <c r="AY377" i="7" s="1"/>
  <c r="I377" i="7"/>
  <c r="BD377" i="7" s="1"/>
  <c r="BB376" i="7"/>
  <c r="BC376" i="7" s="1"/>
  <c r="AZ376" i="7"/>
  <c r="BA376" i="7" s="1"/>
  <c r="Y376" i="7"/>
  <c r="U376" i="7"/>
  <c r="Q376" i="7"/>
  <c r="O376" i="7"/>
  <c r="AX376" i="7" s="1"/>
  <c r="AY376" i="7" s="1"/>
  <c r="I376" i="7"/>
  <c r="BD376" i="7" s="1"/>
  <c r="BB375" i="7"/>
  <c r="BC375" i="7" s="1"/>
  <c r="AZ375" i="7"/>
  <c r="BA375" i="7" s="1"/>
  <c r="Y375" i="7"/>
  <c r="U375" i="7"/>
  <c r="Q375" i="7"/>
  <c r="O375" i="7"/>
  <c r="AX375" i="7" s="1"/>
  <c r="AY375" i="7" s="1"/>
  <c r="I375" i="7"/>
  <c r="BD375" i="7" s="1"/>
  <c r="BB374" i="7"/>
  <c r="BC374" i="7" s="1"/>
  <c r="AZ374" i="7"/>
  <c r="BA374" i="7" s="1"/>
  <c r="Y374" i="7"/>
  <c r="U374" i="7"/>
  <c r="Q374" i="7"/>
  <c r="O374" i="7"/>
  <c r="I374" i="7"/>
  <c r="BB373" i="7"/>
  <c r="BC373" i="7" s="1"/>
  <c r="AZ373" i="7"/>
  <c r="BA373" i="7" s="1"/>
  <c r="Y373" i="7"/>
  <c r="U373" i="7"/>
  <c r="Q373" i="7"/>
  <c r="O373" i="7"/>
  <c r="AX373" i="7" s="1"/>
  <c r="AY373" i="7" s="1"/>
  <c r="I373" i="7"/>
  <c r="BD373" i="7" s="1"/>
  <c r="BB372" i="7"/>
  <c r="BC372" i="7" s="1"/>
  <c r="AZ372" i="7"/>
  <c r="BA372" i="7" s="1"/>
  <c r="Y372" i="7"/>
  <c r="U372" i="7"/>
  <c r="Q372" i="7"/>
  <c r="O372" i="7"/>
  <c r="AX372" i="7" s="1"/>
  <c r="AY372" i="7" s="1"/>
  <c r="I372" i="7"/>
  <c r="BD372" i="7" s="1"/>
  <c r="BB371" i="7"/>
  <c r="BC371" i="7" s="1"/>
  <c r="AZ371" i="7"/>
  <c r="BA371" i="7" s="1"/>
  <c r="Y371" i="7"/>
  <c r="U371" i="7"/>
  <c r="Q371" i="7"/>
  <c r="O371" i="7"/>
  <c r="AX371" i="7" s="1"/>
  <c r="AY371" i="7" s="1"/>
  <c r="BB370" i="7"/>
  <c r="BC370" i="7" s="1"/>
  <c r="AZ370" i="7"/>
  <c r="BA370" i="7" s="1"/>
  <c r="Y370" i="7"/>
  <c r="U370" i="7"/>
  <c r="Q370" i="7"/>
  <c r="O370" i="7"/>
  <c r="BB369" i="7"/>
  <c r="BC369" i="7" s="1"/>
  <c r="AZ369" i="7"/>
  <c r="BA369" i="7" s="1"/>
  <c r="AX369" i="7"/>
  <c r="AY369" i="7" s="1"/>
  <c r="AV369" i="7"/>
  <c r="AW369" i="7" s="1"/>
  <c r="AQ369" i="7"/>
  <c r="X369" i="7"/>
  <c r="T369" i="7"/>
  <c r="P369" i="7"/>
  <c r="N369" i="7"/>
  <c r="I369" i="7"/>
  <c r="BC368" i="7"/>
  <c r="BA368" i="7"/>
  <c r="AY368" i="7"/>
  <c r="AW368" i="7"/>
  <c r="W367" i="7"/>
  <c r="M367" i="7"/>
  <c r="L367" i="7"/>
  <c r="K367" i="7"/>
  <c r="J367" i="7"/>
  <c r="BC367" i="7"/>
  <c r="BA367" i="7"/>
  <c r="AY367" i="7"/>
  <c r="AW367" i="7"/>
  <c r="BB365" i="7"/>
  <c r="BC365" i="7" s="1"/>
  <c r="AZ365" i="7"/>
  <c r="BA365" i="7" s="1"/>
  <c r="AX365" i="7"/>
  <c r="AY365" i="7" s="1"/>
  <c r="AV365" i="7"/>
  <c r="AW365" i="7" s="1"/>
  <c r="AQ365" i="7"/>
  <c r="X365" i="7"/>
  <c r="T365" i="7"/>
  <c r="P365" i="7"/>
  <c r="N365" i="7"/>
  <c r="M365" i="7"/>
  <c r="K365" i="7"/>
  <c r="I365" i="7"/>
  <c r="BB364" i="7"/>
  <c r="BC364" i="7" s="1"/>
  <c r="AZ364" i="7"/>
  <c r="BA364" i="7" s="1"/>
  <c r="AX364" i="7"/>
  <c r="AY364" i="7" s="1"/>
  <c r="AV364" i="7"/>
  <c r="AW364" i="7" s="1"/>
  <c r="AQ364" i="7"/>
  <c r="AT364" i="7"/>
  <c r="X364" i="7"/>
  <c r="T364" i="7"/>
  <c r="P364" i="7"/>
  <c r="N364" i="7"/>
  <c r="M364" i="7"/>
  <c r="K364" i="7"/>
  <c r="I364" i="7"/>
  <c r="BD364" i="7" s="1"/>
  <c r="BB363" i="7"/>
  <c r="BC363" i="7" s="1"/>
  <c r="AZ363" i="7"/>
  <c r="BA363" i="7" s="1"/>
  <c r="Y363" i="7"/>
  <c r="X363" i="7" s="1"/>
  <c r="U363" i="7"/>
  <c r="T363" i="7" s="1"/>
  <c r="Q363" i="7"/>
  <c r="O363" i="7"/>
  <c r="AX363" i="7" s="1"/>
  <c r="AY363" i="7" s="1"/>
  <c r="L363" i="7"/>
  <c r="L359" i="7" s="1"/>
  <c r="L358" i="7" s="1"/>
  <c r="J363" i="7"/>
  <c r="K363" i="7" s="1"/>
  <c r="I363" i="7"/>
  <c r="BB362" i="7"/>
  <c r="BC362" i="7" s="1"/>
  <c r="AZ362" i="7"/>
  <c r="BA362" i="7" s="1"/>
  <c r="Q362" i="7"/>
  <c r="O362" i="7"/>
  <c r="AX362" i="7" s="1"/>
  <c r="AY362" i="7" s="1"/>
  <c r="M362" i="7"/>
  <c r="K362" i="7"/>
  <c r="BC361" i="7"/>
  <c r="BA361" i="7"/>
  <c r="AY361" i="7"/>
  <c r="AW361" i="7"/>
  <c r="AQ361" i="7"/>
  <c r="BC360" i="7"/>
  <c r="BA360" i="7"/>
  <c r="AY360" i="7"/>
  <c r="AW360" i="7"/>
  <c r="AQ360" i="7"/>
  <c r="BC359" i="7"/>
  <c r="BA359" i="7"/>
  <c r="AY359" i="7"/>
  <c r="AW359" i="7"/>
  <c r="W358" i="7"/>
  <c r="V358" i="7"/>
  <c r="S359" i="7"/>
  <c r="S358" i="7" s="1"/>
  <c r="R359" i="7"/>
  <c r="R358" i="7" s="1"/>
  <c r="H359" i="7"/>
  <c r="H358" i="7" s="1"/>
  <c r="BC358" i="7"/>
  <c r="BA358" i="7"/>
  <c r="AY358" i="7"/>
  <c r="AW358" i="7"/>
  <c r="BC357" i="7"/>
  <c r="BA357" i="7"/>
  <c r="AY357" i="7"/>
  <c r="AW357" i="7"/>
  <c r="BB353" i="7"/>
  <c r="BC353" i="7" s="1"/>
  <c r="AX353" i="7"/>
  <c r="AY353" i="7" s="1"/>
  <c r="AV353" i="7"/>
  <c r="AW353" i="7" s="1"/>
  <c r="Y353" i="7"/>
  <c r="R353" i="7"/>
  <c r="AZ353" i="7" s="1"/>
  <c r="BA353" i="7" s="1"/>
  <c r="H353" i="7"/>
  <c r="Y352" i="7"/>
  <c r="H352" i="7"/>
  <c r="BB351" i="7"/>
  <c r="BC351" i="7" s="1"/>
  <c r="AX351" i="7"/>
  <c r="AY351" i="7" s="1"/>
  <c r="AV351" i="7"/>
  <c r="AW351" i="7" s="1"/>
  <c r="U351" i="7"/>
  <c r="U349" i="7" s="1"/>
  <c r="I351" i="7"/>
  <c r="I349" i="7" s="1"/>
  <c r="AZ350" i="7"/>
  <c r="BA350" i="7" s="1"/>
  <c r="AX350" i="7"/>
  <c r="AY350" i="7" s="1"/>
  <c r="AV350" i="7"/>
  <c r="AW350" i="7" s="1"/>
  <c r="AQ350" i="7"/>
  <c r="S350" i="7"/>
  <c r="S349" i="7" s="1"/>
  <c r="BC349" i="7"/>
  <c r="BA349" i="7"/>
  <c r="AY349" i="7"/>
  <c r="AW349" i="7"/>
  <c r="BB343" i="7"/>
  <c r="BC343" i="7" s="1"/>
  <c r="AX343" i="7"/>
  <c r="AY343" i="7" s="1"/>
  <c r="AV343" i="7"/>
  <c r="AW343" i="7" s="1"/>
  <c r="AQ343" i="7"/>
  <c r="X343" i="7"/>
  <c r="T343" i="7"/>
  <c r="R343" i="7" s="1"/>
  <c r="P343" i="7"/>
  <c r="H343" i="7"/>
  <c r="BB342" i="7"/>
  <c r="BC342" i="7" s="1"/>
  <c r="AX342" i="7"/>
  <c r="AY342" i="7" s="1"/>
  <c r="AV342" i="7"/>
  <c r="AW342" i="7" s="1"/>
  <c r="AQ342" i="7"/>
  <c r="X342" i="7"/>
  <c r="T342" i="7"/>
  <c r="R342" i="7" s="1"/>
  <c r="P342" i="7"/>
  <c r="H342" i="7"/>
  <c r="BB341" i="7"/>
  <c r="BC341" i="7" s="1"/>
  <c r="AX341" i="7"/>
  <c r="Y341" i="7"/>
  <c r="X341" i="7" s="1"/>
  <c r="U341" i="7"/>
  <c r="T341" i="7" s="1"/>
  <c r="R341" i="7" s="1"/>
  <c r="Q341" i="7"/>
  <c r="I341" i="7"/>
  <c r="BB340" i="7"/>
  <c r="BC340" i="7" s="1"/>
  <c r="AZ340" i="7"/>
  <c r="BA340" i="7" s="1"/>
  <c r="Y340" i="7"/>
  <c r="U340" i="7"/>
  <c r="Q340" i="7"/>
  <c r="O340" i="7"/>
  <c r="AX340" i="7" s="1"/>
  <c r="AY340" i="7" s="1"/>
  <c r="I340" i="7"/>
  <c r="BD340" i="7" s="1"/>
  <c r="BB339" i="7"/>
  <c r="BC339" i="7" s="1"/>
  <c r="AZ339" i="7"/>
  <c r="BA339" i="7" s="1"/>
  <c r="AX339" i="7"/>
  <c r="AY339" i="7" s="1"/>
  <c r="AV339" i="7"/>
  <c r="AW339" i="7" s="1"/>
  <c r="U339" i="7"/>
  <c r="Y339" i="7" s="1"/>
  <c r="N339" i="7"/>
  <c r="P339" i="7" s="1"/>
  <c r="I339" i="7"/>
  <c r="AZ338" i="7"/>
  <c r="BA338" i="7" s="1"/>
  <c r="AX338" i="7"/>
  <c r="AY338" i="7" s="1"/>
  <c r="AV338" i="7"/>
  <c r="AW338" i="7" s="1"/>
  <c r="AQ338" i="7"/>
  <c r="BB337" i="7"/>
  <c r="BC337" i="7" s="1"/>
  <c r="AZ337" i="7"/>
  <c r="BA337" i="7" s="1"/>
  <c r="I337" i="7"/>
  <c r="O337" i="7" s="1"/>
  <c r="BB336" i="7"/>
  <c r="BC336" i="7" s="1"/>
  <c r="AX336" i="7"/>
  <c r="AY336" i="7" s="1"/>
  <c r="Q336" i="7"/>
  <c r="N336" i="7"/>
  <c r="H336" i="7"/>
  <c r="AZ335" i="7"/>
  <c r="BA335" i="7" s="1"/>
  <c r="AX335" i="7"/>
  <c r="AY335" i="7" s="1"/>
  <c r="AV335" i="7"/>
  <c r="AW335" i="7" s="1"/>
  <c r="AQ335" i="7"/>
  <c r="N335" i="7"/>
  <c r="H335" i="7"/>
  <c r="BB334" i="7"/>
  <c r="BC334" i="7" s="1"/>
  <c r="AZ334" i="7"/>
  <c r="BA334" i="7" s="1"/>
  <c r="AX334" i="7"/>
  <c r="AY334" i="7" s="1"/>
  <c r="AV334" i="7"/>
  <c r="AW334" i="7" s="1"/>
  <c r="AQ334" i="7"/>
  <c r="X334" i="7"/>
  <c r="T334" i="7"/>
  <c r="P334" i="7"/>
  <c r="N334" i="7"/>
  <c r="H334" i="7"/>
  <c r="BB333" i="7"/>
  <c r="BC333" i="7" s="1"/>
  <c r="AZ333" i="7"/>
  <c r="BA333" i="7" s="1"/>
  <c r="Y333" i="7"/>
  <c r="U333" i="7"/>
  <c r="Q333" i="7"/>
  <c r="O333" i="7"/>
  <c r="I333" i="7"/>
  <c r="BD333" i="7" s="1"/>
  <c r="BB332" i="7"/>
  <c r="BC332" i="7" s="1"/>
  <c r="AZ332" i="7"/>
  <c r="BA332" i="7" s="1"/>
  <c r="AX332" i="7"/>
  <c r="AY332" i="7" s="1"/>
  <c r="AV332" i="7"/>
  <c r="AW332" i="7" s="1"/>
  <c r="AQ332" i="7"/>
  <c r="X332" i="7"/>
  <c r="T332" i="7"/>
  <c r="P332" i="7"/>
  <c r="N332" i="7"/>
  <c r="I332" i="7"/>
  <c r="BD332" i="7" s="1"/>
  <c r="BB331" i="7"/>
  <c r="BC331" i="7" s="1"/>
  <c r="AZ331" i="7"/>
  <c r="BA331" i="7" s="1"/>
  <c r="AX331" i="7"/>
  <c r="AY331" i="7" s="1"/>
  <c r="AV331" i="7"/>
  <c r="AW331" i="7" s="1"/>
  <c r="AQ331" i="7"/>
  <c r="AT331" i="7"/>
  <c r="BB330" i="7"/>
  <c r="BC330" i="7" s="1"/>
  <c r="AZ330" i="7"/>
  <c r="BA330" i="7" s="1"/>
  <c r="AX330" i="7"/>
  <c r="AY330" i="7" s="1"/>
  <c r="AV330" i="7"/>
  <c r="AW330" i="7" s="1"/>
  <c r="AQ330" i="7"/>
  <c r="X330" i="7"/>
  <c r="T330" i="7"/>
  <c r="P330" i="7"/>
  <c r="N330" i="7"/>
  <c r="I330" i="7"/>
  <c r="BD330" i="7" s="1"/>
  <c r="BB329" i="7"/>
  <c r="BC329" i="7" s="1"/>
  <c r="AZ329" i="7"/>
  <c r="BA329" i="7" s="1"/>
  <c r="AX329" i="7"/>
  <c r="AY329" i="7" s="1"/>
  <c r="AV329" i="7"/>
  <c r="AW329" i="7" s="1"/>
  <c r="AQ329" i="7"/>
  <c r="X329" i="7"/>
  <c r="T329" i="7"/>
  <c r="P329" i="7"/>
  <c r="N329" i="7"/>
  <c r="I329" i="7"/>
  <c r="BD329" i="7" s="1"/>
  <c r="BB328" i="7"/>
  <c r="BC328" i="7" s="1"/>
  <c r="AZ328" i="7"/>
  <c r="BA328" i="7" s="1"/>
  <c r="AX328" i="7"/>
  <c r="AY328" i="7" s="1"/>
  <c r="AV328" i="7"/>
  <c r="AW328" i="7" s="1"/>
  <c r="U328" i="7"/>
  <c r="Y328" i="7" s="1"/>
  <c r="P328" i="7"/>
  <c r="N328" i="7"/>
  <c r="I328" i="7"/>
  <c r="BB327" i="7"/>
  <c r="BC327" i="7" s="1"/>
  <c r="AZ327" i="7"/>
  <c r="BA327" i="7" s="1"/>
  <c r="AX327" i="7"/>
  <c r="AY327" i="7" s="1"/>
  <c r="AV327" i="7"/>
  <c r="AW327" i="7" s="1"/>
  <c r="AQ327" i="7"/>
  <c r="X327" i="7"/>
  <c r="T327" i="7"/>
  <c r="P327" i="7"/>
  <c r="N327" i="7"/>
  <c r="I327" i="7"/>
  <c r="BD327" i="7" s="1"/>
  <c r="BB326" i="7"/>
  <c r="BC326" i="7" s="1"/>
  <c r="AZ326" i="7"/>
  <c r="BA326" i="7" s="1"/>
  <c r="AX326" i="7"/>
  <c r="AY326" i="7" s="1"/>
  <c r="AV326" i="7"/>
  <c r="AW326" i="7" s="1"/>
  <c r="U326" i="7"/>
  <c r="Y326" i="7" s="1"/>
  <c r="P326" i="7"/>
  <c r="N326" i="7"/>
  <c r="I326" i="7"/>
  <c r="BB325" i="7"/>
  <c r="BC325" i="7" s="1"/>
  <c r="AZ325" i="7"/>
  <c r="BA325" i="7" s="1"/>
  <c r="AX325" i="7"/>
  <c r="AY325" i="7" s="1"/>
  <c r="AV325" i="7"/>
  <c r="AW325" i="7" s="1"/>
  <c r="AQ325" i="7"/>
  <c r="I325" i="7"/>
  <c r="BD325" i="7" s="1"/>
  <c r="BB324" i="7"/>
  <c r="BC324" i="7" s="1"/>
  <c r="AZ324" i="7"/>
  <c r="BA324" i="7" s="1"/>
  <c r="AX324" i="7"/>
  <c r="AY324" i="7" s="1"/>
  <c r="AV324" i="7"/>
  <c r="AW324" i="7" s="1"/>
  <c r="U324" i="7"/>
  <c r="Y324" i="7" s="1"/>
  <c r="P324" i="7"/>
  <c r="N324" i="7"/>
  <c r="I324" i="7"/>
  <c r="BB323" i="7"/>
  <c r="BC323" i="7" s="1"/>
  <c r="AZ323" i="7"/>
  <c r="BA323" i="7" s="1"/>
  <c r="AX323" i="7"/>
  <c r="AY323" i="7" s="1"/>
  <c r="AV323" i="7"/>
  <c r="AW323" i="7" s="1"/>
  <c r="U323" i="7"/>
  <c r="P323" i="7"/>
  <c r="N323" i="7"/>
  <c r="I323" i="7"/>
  <c r="BC322" i="7"/>
  <c r="BA322" i="7"/>
  <c r="AY322" i="7"/>
  <c r="AW322" i="7"/>
  <c r="BC321" i="7"/>
  <c r="BA321" i="7"/>
  <c r="AY321" i="7"/>
  <c r="AW321" i="7"/>
  <c r="BB320" i="7"/>
  <c r="BC320" i="7" s="1"/>
  <c r="AZ320" i="7"/>
  <c r="BA320" i="7" s="1"/>
  <c r="AX320" i="7"/>
  <c r="AY320" i="7" s="1"/>
  <c r="AV320" i="7"/>
  <c r="AW320" i="7" s="1"/>
  <c r="U320" i="7"/>
  <c r="BB319" i="7"/>
  <c r="BC319" i="7" s="1"/>
  <c r="AZ319" i="7"/>
  <c r="BA319" i="7" s="1"/>
  <c r="Q319" i="7"/>
  <c r="O319" i="7"/>
  <c r="AX319" i="7" s="1"/>
  <c r="AY319" i="7" s="1"/>
  <c r="L319" i="7"/>
  <c r="J319" i="7"/>
  <c r="I319" i="7"/>
  <c r="BB318" i="7"/>
  <c r="BC318" i="7" s="1"/>
  <c r="AZ318" i="7"/>
  <c r="BA318" i="7" s="1"/>
  <c r="Y318" i="7"/>
  <c r="U318" i="7"/>
  <c r="Q318" i="7"/>
  <c r="O318" i="7"/>
  <c r="AX318" i="7" s="1"/>
  <c r="AY318" i="7" s="1"/>
  <c r="L318" i="7"/>
  <c r="J318" i="7"/>
  <c r="I318" i="7"/>
  <c r="BB317" i="7"/>
  <c r="BC317" i="7" s="1"/>
  <c r="AZ317" i="7"/>
  <c r="BA317" i="7" s="1"/>
  <c r="Q317" i="7"/>
  <c r="O317" i="7"/>
  <c r="L317" i="7"/>
  <c r="J317" i="7"/>
  <c r="BC316" i="7"/>
  <c r="BA316" i="7"/>
  <c r="AY316" i="7"/>
  <c r="AW316" i="7"/>
  <c r="AQ316" i="7"/>
  <c r="BC315" i="7"/>
  <c r="BA315" i="7"/>
  <c r="AY315" i="7"/>
  <c r="AW315" i="7"/>
  <c r="AQ315" i="7"/>
  <c r="BC314" i="7"/>
  <c r="BA314" i="7"/>
  <c r="AY314" i="7"/>
  <c r="AW314" i="7"/>
  <c r="W314" i="7"/>
  <c r="W313" i="7" s="1"/>
  <c r="V314" i="7"/>
  <c r="V313" i="7" s="1"/>
  <c r="S314" i="7"/>
  <c r="S313" i="7" s="1"/>
  <c r="R314" i="7"/>
  <c r="R313" i="7" s="1"/>
  <c r="P314" i="7"/>
  <c r="P313" i="7" s="1"/>
  <c r="N314" i="7"/>
  <c r="N313" i="7" s="1"/>
  <c r="M314" i="7"/>
  <c r="M313" i="7" s="1"/>
  <c r="K314" i="7"/>
  <c r="K313" i="7" s="1"/>
  <c r="H314" i="7"/>
  <c r="H313" i="7" s="1"/>
  <c r="BC313" i="7"/>
  <c r="BA313" i="7"/>
  <c r="AY313" i="7"/>
  <c r="AW313" i="7"/>
  <c r="BC312" i="7"/>
  <c r="BA312" i="7"/>
  <c r="AY312" i="7"/>
  <c r="AW312" i="7"/>
  <c r="BB311" i="7"/>
  <c r="BC311" i="7" s="1"/>
  <c r="AZ311" i="7"/>
  <c r="BA311" i="7" s="1"/>
  <c r="AX311" i="7"/>
  <c r="AY311" i="7" s="1"/>
  <c r="AV311" i="7"/>
  <c r="AW311" i="7" s="1"/>
  <c r="Y311" i="7"/>
  <c r="P311" i="7"/>
  <c r="N311" i="7"/>
  <c r="BB309" i="7"/>
  <c r="BC309" i="7" s="1"/>
  <c r="AZ309" i="7"/>
  <c r="BA309" i="7" s="1"/>
  <c r="AX309" i="7"/>
  <c r="AY309" i="7" s="1"/>
  <c r="AV309" i="7"/>
  <c r="AW309" i="7" s="1"/>
  <c r="Y309" i="7"/>
  <c r="T309" i="7"/>
  <c r="P309" i="7"/>
  <c r="N309" i="7"/>
  <c r="BB308" i="7"/>
  <c r="BC308" i="7" s="1"/>
  <c r="AZ308" i="7"/>
  <c r="BA308" i="7" s="1"/>
  <c r="AX308" i="7"/>
  <c r="AY308" i="7" s="1"/>
  <c r="AV308" i="7"/>
  <c r="AW308" i="7" s="1"/>
  <c r="AQ308" i="7"/>
  <c r="X308" i="7"/>
  <c r="T308" i="7"/>
  <c r="P308" i="7"/>
  <c r="N308" i="7"/>
  <c r="BB307" i="7"/>
  <c r="BC307" i="7" s="1"/>
  <c r="AZ307" i="7"/>
  <c r="BA307" i="7" s="1"/>
  <c r="AX307" i="7"/>
  <c r="AY307" i="7" s="1"/>
  <c r="AV307" i="7"/>
  <c r="AW307" i="7" s="1"/>
  <c r="Y307" i="7"/>
  <c r="T307" i="7"/>
  <c r="P307" i="7"/>
  <c r="N307" i="7"/>
  <c r="BB306" i="7"/>
  <c r="BC306" i="7" s="1"/>
  <c r="AZ306" i="7"/>
  <c r="BA306" i="7" s="1"/>
  <c r="AX306" i="7"/>
  <c r="AY306" i="7" s="1"/>
  <c r="AV306" i="7"/>
  <c r="AW306" i="7" s="1"/>
  <c r="AQ306" i="7"/>
  <c r="X306" i="7"/>
  <c r="T306" i="7"/>
  <c r="P306" i="7"/>
  <c r="N306" i="7"/>
  <c r="BB305" i="7"/>
  <c r="BC305" i="7" s="1"/>
  <c r="AZ305" i="7"/>
  <c r="BA305" i="7" s="1"/>
  <c r="AX305" i="7"/>
  <c r="AY305" i="7" s="1"/>
  <c r="AV305" i="7"/>
  <c r="AW305" i="7" s="1"/>
  <c r="AQ305" i="7"/>
  <c r="X305" i="7"/>
  <c r="T305" i="7"/>
  <c r="P305" i="7"/>
  <c r="N305" i="7"/>
  <c r="BB304" i="7"/>
  <c r="BC304" i="7" s="1"/>
  <c r="AZ304" i="7"/>
  <c r="BA304" i="7" s="1"/>
  <c r="AX304" i="7"/>
  <c r="AY304" i="7" s="1"/>
  <c r="AV304" i="7"/>
  <c r="AW304" i="7" s="1"/>
  <c r="AQ304" i="7"/>
  <c r="X304" i="7"/>
  <c r="T304" i="7"/>
  <c r="P304" i="7"/>
  <c r="N304" i="7"/>
  <c r="BB303" i="7"/>
  <c r="BC303" i="7" s="1"/>
  <c r="AZ303" i="7"/>
  <c r="BA303" i="7" s="1"/>
  <c r="AX303" i="7"/>
  <c r="AY303" i="7" s="1"/>
  <c r="AV303" i="7"/>
  <c r="AW303" i="7" s="1"/>
  <c r="AQ303" i="7"/>
  <c r="X303" i="7"/>
  <c r="T303" i="7"/>
  <c r="P303" i="7"/>
  <c r="N303" i="7"/>
  <c r="BB302" i="7"/>
  <c r="BC302" i="7" s="1"/>
  <c r="AZ302" i="7"/>
  <c r="BA302" i="7" s="1"/>
  <c r="AX302" i="7"/>
  <c r="AY302" i="7" s="1"/>
  <c r="AV302" i="7"/>
  <c r="AW302" i="7" s="1"/>
  <c r="AQ302" i="7"/>
  <c r="X302" i="7"/>
  <c r="T302" i="7"/>
  <c r="P302" i="7"/>
  <c r="N302" i="7"/>
  <c r="BB301" i="7"/>
  <c r="BC301" i="7" s="1"/>
  <c r="AZ301" i="7"/>
  <c r="BA301" i="7" s="1"/>
  <c r="AX301" i="7"/>
  <c r="AY301" i="7" s="1"/>
  <c r="AV301" i="7"/>
  <c r="AW301" i="7" s="1"/>
  <c r="AQ301" i="7"/>
  <c r="AR301" i="7"/>
  <c r="X301" i="7"/>
  <c r="T301" i="7"/>
  <c r="P301" i="7"/>
  <c r="N301" i="7"/>
  <c r="I301" i="7"/>
  <c r="BD301" i="7" s="1"/>
  <c r="BB300" i="7"/>
  <c r="BC300" i="7" s="1"/>
  <c r="AZ300" i="7"/>
  <c r="BA300" i="7" s="1"/>
  <c r="AX300" i="7"/>
  <c r="AY300" i="7" s="1"/>
  <c r="AV300" i="7"/>
  <c r="AW300" i="7" s="1"/>
  <c r="AQ300" i="7"/>
  <c r="X300" i="7"/>
  <c r="T300" i="7"/>
  <c r="P300" i="7"/>
  <c r="N300" i="7"/>
  <c r="I300" i="7"/>
  <c r="BC299" i="7"/>
  <c r="BA299" i="7"/>
  <c r="AY299" i="7"/>
  <c r="AW299" i="7"/>
  <c r="W299" i="7"/>
  <c r="W272" i="7" s="1"/>
  <c r="V299" i="7"/>
  <c r="U299" i="7"/>
  <c r="U272" i="7" s="1"/>
  <c r="S299" i="7"/>
  <c r="R299" i="7"/>
  <c r="Q299" i="7"/>
  <c r="O299" i="7"/>
  <c r="O272" i="7" s="1"/>
  <c r="M299" i="7"/>
  <c r="M272" i="7" s="1"/>
  <c r="L299" i="7"/>
  <c r="L272" i="7" s="1"/>
  <c r="K299" i="7"/>
  <c r="K272" i="7" s="1"/>
  <c r="J299" i="7"/>
  <c r="J272" i="7" s="1"/>
  <c r="H299" i="7"/>
  <c r="BB298" i="7"/>
  <c r="BC298" i="7" s="1"/>
  <c r="AZ298" i="7"/>
  <c r="BA298" i="7" s="1"/>
  <c r="AX298" i="7"/>
  <c r="AY298" i="7" s="1"/>
  <c r="AV298" i="7"/>
  <c r="AW298" i="7" s="1"/>
  <c r="Y298" i="7"/>
  <c r="BD298" i="7" s="1"/>
  <c r="T298" i="7"/>
  <c r="P298" i="7"/>
  <c r="N298" i="7"/>
  <c r="BB297" i="7"/>
  <c r="BC297" i="7" s="1"/>
  <c r="AX297" i="7"/>
  <c r="AQ297" i="7"/>
  <c r="R297" i="7"/>
  <c r="Q297" i="7"/>
  <c r="BB296" i="7"/>
  <c r="BC296" i="7" s="1"/>
  <c r="AX296" i="7"/>
  <c r="AQ296" i="7"/>
  <c r="AT296" i="7"/>
  <c r="X296" i="7"/>
  <c r="T296" i="7"/>
  <c r="R296" i="7"/>
  <c r="Q296" i="7"/>
  <c r="H296" i="7"/>
  <c r="BB295" i="7"/>
  <c r="BC295" i="7" s="1"/>
  <c r="AX295" i="7"/>
  <c r="AY295" i="7" s="1"/>
  <c r="AV295" i="7"/>
  <c r="AW295" i="7" s="1"/>
  <c r="AQ295" i="7"/>
  <c r="X295" i="7"/>
  <c r="T295" i="7"/>
  <c r="R295" i="7"/>
  <c r="P295" i="7"/>
  <c r="BB294" i="7"/>
  <c r="BC294" i="7" s="1"/>
  <c r="AZ294" i="7"/>
  <c r="BA294" i="7" s="1"/>
  <c r="AX294" i="7"/>
  <c r="AY294" i="7" s="1"/>
  <c r="AV294" i="7"/>
  <c r="AW294" i="7" s="1"/>
  <c r="AQ294" i="7"/>
  <c r="BB293" i="7"/>
  <c r="BC293" i="7" s="1"/>
  <c r="AZ293" i="7"/>
  <c r="BA293" i="7" s="1"/>
  <c r="AX293" i="7"/>
  <c r="AY293" i="7" s="1"/>
  <c r="AV293" i="7"/>
  <c r="AW293" i="7" s="1"/>
  <c r="AQ293" i="7"/>
  <c r="AT293" i="7"/>
  <c r="X293" i="7"/>
  <c r="T293" i="7"/>
  <c r="P293" i="7"/>
  <c r="N293" i="7"/>
  <c r="BD293" i="7"/>
  <c r="BB292" i="7"/>
  <c r="BC292" i="7" s="1"/>
  <c r="AZ292" i="7"/>
  <c r="BA292" i="7" s="1"/>
  <c r="AX292" i="7"/>
  <c r="AY292" i="7" s="1"/>
  <c r="AV292" i="7"/>
  <c r="AW292" i="7" s="1"/>
  <c r="AQ292" i="7"/>
  <c r="AR292" i="7"/>
  <c r="X292" i="7"/>
  <c r="T292" i="7"/>
  <c r="P292" i="7"/>
  <c r="N292" i="7"/>
  <c r="I292" i="7"/>
  <c r="BD292" i="7" s="1"/>
  <c r="BB291" i="7"/>
  <c r="BC291" i="7" s="1"/>
  <c r="AZ291" i="7"/>
  <c r="BA291" i="7" s="1"/>
  <c r="AX291" i="7"/>
  <c r="AY291" i="7" s="1"/>
  <c r="AV291" i="7"/>
  <c r="AW291" i="7" s="1"/>
  <c r="AQ291" i="7"/>
  <c r="X291" i="7"/>
  <c r="T291" i="7"/>
  <c r="P291" i="7"/>
  <c r="N291" i="7"/>
  <c r="H291" i="7"/>
  <c r="BB290" i="7"/>
  <c r="BC290" i="7" s="1"/>
  <c r="AZ290" i="7"/>
  <c r="BA290" i="7" s="1"/>
  <c r="AX290" i="7"/>
  <c r="AY290" i="7" s="1"/>
  <c r="AV290" i="7"/>
  <c r="AW290" i="7" s="1"/>
  <c r="AQ290" i="7"/>
  <c r="AT290" i="7"/>
  <c r="X290" i="7"/>
  <c r="T290" i="7"/>
  <c r="P290" i="7"/>
  <c r="N290" i="7"/>
  <c r="I290" i="7"/>
  <c r="BD290" i="7" s="1"/>
  <c r="AZ289" i="7"/>
  <c r="BA289" i="7" s="1"/>
  <c r="AX289" i="7"/>
  <c r="AY289" i="7" s="1"/>
  <c r="AV289" i="7"/>
  <c r="AW289" i="7" s="1"/>
  <c r="AQ289" i="7"/>
  <c r="X289" i="7"/>
  <c r="T289" i="7"/>
  <c r="S289" i="7"/>
  <c r="BB289" i="7" s="1"/>
  <c r="BC289" i="7" s="1"/>
  <c r="P289" i="7"/>
  <c r="N289" i="7"/>
  <c r="H289" i="7"/>
  <c r="BB288" i="7"/>
  <c r="BC288" i="7" s="1"/>
  <c r="AX288" i="7"/>
  <c r="AY288" i="7" s="1"/>
  <c r="AV288" i="7"/>
  <c r="AW288" i="7" s="1"/>
  <c r="AQ288" i="7"/>
  <c r="AT288" i="7"/>
  <c r="X288" i="7"/>
  <c r="T288" i="7"/>
  <c r="R288" i="7"/>
  <c r="AZ288" i="7" s="1"/>
  <c r="BA288" i="7" s="1"/>
  <c r="P288" i="7"/>
  <c r="N288" i="7"/>
  <c r="H288" i="7"/>
  <c r="AZ287" i="7"/>
  <c r="BA287" i="7" s="1"/>
  <c r="AX287" i="7"/>
  <c r="AY287" i="7" s="1"/>
  <c r="AV287" i="7"/>
  <c r="AW287" i="7" s="1"/>
  <c r="AQ287" i="7"/>
  <c r="X287" i="7"/>
  <c r="T287" i="7"/>
  <c r="S287" i="7"/>
  <c r="BB287" i="7" s="1"/>
  <c r="BC287" i="7" s="1"/>
  <c r="P287" i="7"/>
  <c r="N287" i="7"/>
  <c r="H287" i="7"/>
  <c r="AZ286" i="7"/>
  <c r="BA286" i="7" s="1"/>
  <c r="AX286" i="7"/>
  <c r="AY286" i="7" s="1"/>
  <c r="AV286" i="7"/>
  <c r="AW286" i="7" s="1"/>
  <c r="AQ286" i="7"/>
  <c r="AT286" i="7"/>
  <c r="S286" i="7"/>
  <c r="N286" i="7"/>
  <c r="H286" i="7"/>
  <c r="AZ285" i="7"/>
  <c r="BA285" i="7" s="1"/>
  <c r="AX285" i="7"/>
  <c r="AY285" i="7" s="1"/>
  <c r="AQ285" i="7"/>
  <c r="AT285" i="7"/>
  <c r="X285" i="7"/>
  <c r="T285" i="7"/>
  <c r="S285" i="7"/>
  <c r="BB285" i="7" s="1"/>
  <c r="BC285" i="7" s="1"/>
  <c r="N285" i="7"/>
  <c r="I285" i="7"/>
  <c r="Q285" i="7" s="1"/>
  <c r="AZ284" i="7"/>
  <c r="BA284" i="7" s="1"/>
  <c r="AX284" i="7"/>
  <c r="AY284" i="7" s="1"/>
  <c r="AV284" i="7"/>
  <c r="AW284" i="7" s="1"/>
  <c r="AQ284" i="7"/>
  <c r="X284" i="7"/>
  <c r="T284" i="7"/>
  <c r="S284" i="7"/>
  <c r="BB284" i="7" s="1"/>
  <c r="BC284" i="7" s="1"/>
  <c r="P284" i="7"/>
  <c r="N284" i="7"/>
  <c r="H284" i="7"/>
  <c r="AZ283" i="7"/>
  <c r="BA283" i="7" s="1"/>
  <c r="AX283" i="7"/>
  <c r="AY283" i="7" s="1"/>
  <c r="AV283" i="7"/>
  <c r="AW283" i="7" s="1"/>
  <c r="AQ283" i="7"/>
  <c r="X283" i="7"/>
  <c r="T283" i="7"/>
  <c r="S283" i="7"/>
  <c r="BB283" i="7" s="1"/>
  <c r="BC283" i="7" s="1"/>
  <c r="P283" i="7"/>
  <c r="N283" i="7"/>
  <c r="H283" i="7"/>
  <c r="AZ282" i="7"/>
  <c r="BA282" i="7" s="1"/>
  <c r="AX282" i="7"/>
  <c r="AY282" i="7" s="1"/>
  <c r="AV282" i="7"/>
  <c r="AW282" i="7" s="1"/>
  <c r="AQ282" i="7"/>
  <c r="S282" i="7"/>
  <c r="N282" i="7"/>
  <c r="I282" i="7"/>
  <c r="BD282" i="7" s="1"/>
  <c r="AZ281" i="7"/>
  <c r="BA281" i="7" s="1"/>
  <c r="AX281" i="7"/>
  <c r="AY281" i="7" s="1"/>
  <c r="AQ281" i="7"/>
  <c r="X281" i="7"/>
  <c r="T281" i="7"/>
  <c r="S281" i="7"/>
  <c r="AW281" i="7" s="1"/>
  <c r="P281" i="7"/>
  <c r="N281" i="7"/>
  <c r="I281" i="7"/>
  <c r="BD281" i="7" s="1"/>
  <c r="BB280" i="7"/>
  <c r="BC280" i="7" s="1"/>
  <c r="AZ280" i="7"/>
  <c r="BA280" i="7" s="1"/>
  <c r="AX280" i="7"/>
  <c r="AY280" i="7" s="1"/>
  <c r="AV280" i="7"/>
  <c r="AW280" i="7" s="1"/>
  <c r="AQ280" i="7"/>
  <c r="AR280" i="7"/>
  <c r="X280" i="7"/>
  <c r="T280" i="7"/>
  <c r="P280" i="7"/>
  <c r="N280" i="7"/>
  <c r="I280" i="7"/>
  <c r="BD280" i="7" s="1"/>
  <c r="BB279" i="7"/>
  <c r="BC279" i="7" s="1"/>
  <c r="AZ279" i="7"/>
  <c r="BA279" i="7" s="1"/>
  <c r="AX279" i="7"/>
  <c r="AY279" i="7" s="1"/>
  <c r="AV279" i="7"/>
  <c r="AW279" i="7" s="1"/>
  <c r="AQ279" i="7"/>
  <c r="X279" i="7"/>
  <c r="T279" i="7"/>
  <c r="P279" i="7"/>
  <c r="N279" i="7"/>
  <c r="I279" i="7"/>
  <c r="BD279" i="7" s="1"/>
  <c r="BB278" i="7"/>
  <c r="BC278" i="7" s="1"/>
  <c r="AZ278" i="7"/>
  <c r="BA278" i="7" s="1"/>
  <c r="AX278" i="7"/>
  <c r="AY278" i="7" s="1"/>
  <c r="AV278" i="7"/>
  <c r="AW278" i="7" s="1"/>
  <c r="AQ278" i="7"/>
  <c r="X278" i="7"/>
  <c r="T278" i="7"/>
  <c r="P278" i="7"/>
  <c r="N278" i="7"/>
  <c r="I278" i="7"/>
  <c r="BB277" i="7"/>
  <c r="BC277" i="7" s="1"/>
  <c r="AZ277" i="7"/>
  <c r="BA277" i="7" s="1"/>
  <c r="AX277" i="7"/>
  <c r="AY277" i="7" s="1"/>
  <c r="AV277" i="7"/>
  <c r="AW277" i="7" s="1"/>
  <c r="AQ277" i="7"/>
  <c r="X277" i="7"/>
  <c r="T277" i="7"/>
  <c r="P277" i="7"/>
  <c r="N277" i="7"/>
  <c r="I277" i="7"/>
  <c r="BD277" i="7" s="1"/>
  <c r="AZ276" i="7"/>
  <c r="BA276" i="7" s="1"/>
  <c r="AX276" i="7"/>
  <c r="AY276" i="7" s="1"/>
  <c r="AV276" i="7"/>
  <c r="AW276" i="7" s="1"/>
  <c r="Y276" i="7"/>
  <c r="T276" i="7"/>
  <c r="S276" i="7"/>
  <c r="BB276" i="7" s="1"/>
  <c r="BC276" i="7" s="1"/>
  <c r="P276" i="7"/>
  <c r="N276" i="7"/>
  <c r="BB275" i="7"/>
  <c r="BC275" i="7" s="1"/>
  <c r="AZ275" i="7"/>
  <c r="BA275" i="7" s="1"/>
  <c r="AX275" i="7"/>
  <c r="AY275" i="7" s="1"/>
  <c r="AV275" i="7"/>
  <c r="AW275" i="7" s="1"/>
  <c r="AQ275" i="7"/>
  <c r="X275" i="7"/>
  <c r="AF275" i="7" s="1"/>
  <c r="T275" i="7"/>
  <c r="P275" i="7"/>
  <c r="N275" i="7"/>
  <c r="I275" i="7"/>
  <c r="BD275" i="7" s="1"/>
  <c r="BB274" i="7"/>
  <c r="BC274" i="7" s="1"/>
  <c r="AZ274" i="7"/>
  <c r="BA274" i="7" s="1"/>
  <c r="AX274" i="7"/>
  <c r="AY274" i="7" s="1"/>
  <c r="AV274" i="7"/>
  <c r="AW274" i="7" s="1"/>
  <c r="AQ274" i="7"/>
  <c r="X274" i="7"/>
  <c r="T274" i="7"/>
  <c r="P274" i="7"/>
  <c r="N274" i="7"/>
  <c r="I274" i="7"/>
  <c r="BD274" i="7" s="1"/>
  <c r="BC273" i="7"/>
  <c r="BA273" i="7"/>
  <c r="AY273" i="7"/>
  <c r="AW273" i="7"/>
  <c r="BC272" i="7"/>
  <c r="BA272" i="7"/>
  <c r="AY272" i="7"/>
  <c r="AW272" i="7"/>
  <c r="BB271" i="7"/>
  <c r="BC271" i="7" s="1"/>
  <c r="AZ271" i="7"/>
  <c r="BA271" i="7" s="1"/>
  <c r="AX271" i="7"/>
  <c r="AY271" i="7" s="1"/>
  <c r="AV271" i="7"/>
  <c r="AW271" i="7" s="1"/>
  <c r="AQ271" i="7"/>
  <c r="X271" i="7"/>
  <c r="T271" i="7"/>
  <c r="P271" i="7"/>
  <c r="N271" i="7"/>
  <c r="M271" i="7"/>
  <c r="J271" i="7"/>
  <c r="L271" i="7" s="1"/>
  <c r="BB270" i="7"/>
  <c r="BC270" i="7" s="1"/>
  <c r="AX270" i="7"/>
  <c r="AY270" i="7" s="1"/>
  <c r="Q270" i="7"/>
  <c r="N270" i="7"/>
  <c r="M270" i="7"/>
  <c r="J270" i="7"/>
  <c r="BC269" i="7"/>
  <c r="BA269" i="7"/>
  <c r="AY269" i="7"/>
  <c r="AW269" i="7"/>
  <c r="AQ269" i="7"/>
  <c r="BC268" i="7"/>
  <c r="BA268" i="7"/>
  <c r="AY268" i="7"/>
  <c r="AW268" i="7"/>
  <c r="AQ268" i="7"/>
  <c r="BC267" i="7"/>
  <c r="BA267" i="7"/>
  <c r="AY267" i="7"/>
  <c r="AW267" i="7"/>
  <c r="W267" i="7"/>
  <c r="W266" i="7" s="1"/>
  <c r="V267" i="7"/>
  <c r="V266" i="7" s="1"/>
  <c r="S267" i="7"/>
  <c r="S266" i="7" s="1"/>
  <c r="O267" i="7"/>
  <c r="O266" i="7" s="1"/>
  <c r="K267" i="7"/>
  <c r="K266" i="7" s="1"/>
  <c r="I267" i="7"/>
  <c r="I266" i="7" s="1"/>
  <c r="H267" i="7"/>
  <c r="H266" i="7" s="1"/>
  <c r="BC266" i="7"/>
  <c r="BA266" i="7"/>
  <c r="AY266" i="7"/>
  <c r="AW266" i="7"/>
  <c r="BC265" i="7"/>
  <c r="BA265" i="7"/>
  <c r="AY265" i="7"/>
  <c r="AW265" i="7"/>
  <c r="BB264" i="7"/>
  <c r="BC264" i="7" s="1"/>
  <c r="AZ264" i="7"/>
  <c r="BA264" i="7" s="1"/>
  <c r="AX264" i="7"/>
  <c r="AY264" i="7" s="1"/>
  <c r="AV264" i="7"/>
  <c r="AW264" i="7" s="1"/>
  <c r="Y264" i="7"/>
  <c r="T264" i="7"/>
  <c r="P264" i="7"/>
  <c r="N264" i="7"/>
  <c r="H264" i="7"/>
  <c r="H258" i="7" s="1"/>
  <c r="H257" i="7" s="1"/>
  <c r="H251" i="7" s="1"/>
  <c r="AZ263" i="7"/>
  <c r="BA263" i="7" s="1"/>
  <c r="AX263" i="7"/>
  <c r="AY263" i="7" s="1"/>
  <c r="AV263" i="7"/>
  <c r="AW263" i="7" s="1"/>
  <c r="AQ263" i="7"/>
  <c r="S263" i="7"/>
  <c r="N263" i="7"/>
  <c r="I263" i="7"/>
  <c r="BD263" i="7" s="1"/>
  <c r="AZ262" i="7"/>
  <c r="BA262" i="7" s="1"/>
  <c r="AX262" i="7"/>
  <c r="AY262" i="7" s="1"/>
  <c r="AV262" i="7"/>
  <c r="AW262" i="7" s="1"/>
  <c r="AQ262" i="7"/>
  <c r="AR262" i="7"/>
  <c r="S262" i="7"/>
  <c r="N262" i="7"/>
  <c r="I262" i="7"/>
  <c r="BD262" i="7" s="1"/>
  <c r="AZ261" i="7"/>
  <c r="BA261" i="7" s="1"/>
  <c r="AX261" i="7"/>
  <c r="AY261" i="7" s="1"/>
  <c r="AV261" i="7"/>
  <c r="AW261" i="7" s="1"/>
  <c r="AQ261" i="7"/>
  <c r="S261" i="7"/>
  <c r="N261" i="7"/>
  <c r="I261" i="7"/>
  <c r="AZ260" i="7"/>
  <c r="BA260" i="7" s="1"/>
  <c r="AX260" i="7"/>
  <c r="AY260" i="7" s="1"/>
  <c r="AV260" i="7"/>
  <c r="AW260" i="7" s="1"/>
  <c r="AQ260" i="7"/>
  <c r="S260" i="7"/>
  <c r="N260" i="7"/>
  <c r="I260" i="7"/>
  <c r="BD260" i="7" s="1"/>
  <c r="BB259" i="7"/>
  <c r="BC259" i="7" s="1"/>
  <c r="AZ259" i="7"/>
  <c r="BA259" i="7" s="1"/>
  <c r="AX259" i="7"/>
  <c r="AY259" i="7" s="1"/>
  <c r="AV259" i="7"/>
  <c r="AW259" i="7" s="1"/>
  <c r="AQ259" i="7"/>
  <c r="X259" i="7"/>
  <c r="T259" i="7"/>
  <c r="P259" i="7"/>
  <c r="N259" i="7"/>
  <c r="I259" i="7"/>
  <c r="BD259" i="7" s="1"/>
  <c r="BC258" i="7"/>
  <c r="BA258" i="7"/>
  <c r="AY258" i="7"/>
  <c r="AW258" i="7"/>
  <c r="W258" i="7"/>
  <c r="W257" i="7" s="1"/>
  <c r="W251" i="7" s="1"/>
  <c r="V258" i="7"/>
  <c r="V257" i="7" s="1"/>
  <c r="U258" i="7"/>
  <c r="U257" i="7" s="1"/>
  <c r="R258" i="7"/>
  <c r="R257" i="7" s="1"/>
  <c r="R251" i="7" s="1"/>
  <c r="Q258" i="7"/>
  <c r="Q257" i="7" s="1"/>
  <c r="O258" i="7"/>
  <c r="O257" i="7" s="1"/>
  <c r="O251" i="7" s="1"/>
  <c r="M258" i="7"/>
  <c r="M257" i="7" s="1"/>
  <c r="L258" i="7"/>
  <c r="L257" i="7" s="1"/>
  <c r="K258" i="7"/>
  <c r="K257" i="7" s="1"/>
  <c r="J258" i="7"/>
  <c r="J257" i="7" s="1"/>
  <c r="BC257" i="7"/>
  <c r="BA257" i="7"/>
  <c r="AY257" i="7"/>
  <c r="AW257" i="7"/>
  <c r="BB256" i="7"/>
  <c r="BC256" i="7" s="1"/>
  <c r="AZ256" i="7"/>
  <c r="BA256" i="7" s="1"/>
  <c r="AX256" i="7"/>
  <c r="AY256" i="7" s="1"/>
  <c r="AV256" i="7"/>
  <c r="AW256" i="7" s="1"/>
  <c r="Y256" i="7"/>
  <c r="AQ256" i="7" s="1"/>
  <c r="T256" i="7"/>
  <c r="T253" i="7" s="1"/>
  <c r="T252" i="7" s="1"/>
  <c r="P256" i="7"/>
  <c r="N256" i="7"/>
  <c r="N253" i="7" s="1"/>
  <c r="N252" i="7" s="1"/>
  <c r="K256" i="7"/>
  <c r="M256" i="7" s="1"/>
  <c r="M253" i="7" s="1"/>
  <c r="M252" i="7" s="1"/>
  <c r="J256" i="7"/>
  <c r="L256" i="7" s="1"/>
  <c r="L253" i="7" s="1"/>
  <c r="L252" i="7" s="1"/>
  <c r="BC255" i="7"/>
  <c r="BA255" i="7"/>
  <c r="AY255" i="7"/>
  <c r="AW255" i="7"/>
  <c r="AQ255" i="7"/>
  <c r="BC254" i="7"/>
  <c r="BA254" i="7"/>
  <c r="AY254" i="7"/>
  <c r="AW254" i="7"/>
  <c r="AQ254" i="7"/>
  <c r="BC253" i="7"/>
  <c r="BA253" i="7"/>
  <c r="AY253" i="7"/>
  <c r="AW253" i="7"/>
  <c r="W253" i="7"/>
  <c r="V253" i="7"/>
  <c r="V252" i="7" s="1"/>
  <c r="U253" i="7"/>
  <c r="U252" i="7" s="1"/>
  <c r="S253" i="7"/>
  <c r="R253" i="7"/>
  <c r="Q253" i="7"/>
  <c r="Q252" i="7" s="1"/>
  <c r="O253" i="7"/>
  <c r="O252" i="7" s="1"/>
  <c r="I253" i="7"/>
  <c r="H253" i="7"/>
  <c r="H252" i="7" s="1"/>
  <c r="BC252" i="7"/>
  <c r="BA252" i="7"/>
  <c r="AY252" i="7"/>
  <c r="AW252" i="7"/>
  <c r="BC251" i="7"/>
  <c r="BA251" i="7"/>
  <c r="AY251" i="7"/>
  <c r="AW251" i="7"/>
  <c r="BB250" i="7"/>
  <c r="BC250" i="7" s="1"/>
  <c r="AZ250" i="7"/>
  <c r="BA250" i="7" s="1"/>
  <c r="AX250" i="7"/>
  <c r="AY250" i="7" s="1"/>
  <c r="AV250" i="7"/>
  <c r="AW250" i="7" s="1"/>
  <c r="AQ250" i="7"/>
  <c r="X250" i="7"/>
  <c r="T250" i="7"/>
  <c r="P250" i="7"/>
  <c r="N250" i="7"/>
  <c r="H250" i="7"/>
  <c r="BB249" i="7"/>
  <c r="BC249" i="7" s="1"/>
  <c r="AZ249" i="7"/>
  <c r="BA249" i="7" s="1"/>
  <c r="AX249" i="7"/>
  <c r="AY249" i="7" s="1"/>
  <c r="AV249" i="7"/>
  <c r="AW249" i="7" s="1"/>
  <c r="AQ249" i="7"/>
  <c r="X249" i="7"/>
  <c r="T249" i="7"/>
  <c r="P249" i="7"/>
  <c r="N249" i="7"/>
  <c r="H249" i="7"/>
  <c r="BB248" i="7"/>
  <c r="BC248" i="7" s="1"/>
  <c r="AZ248" i="7"/>
  <c r="BA248" i="7" s="1"/>
  <c r="AX248" i="7"/>
  <c r="AY248" i="7" s="1"/>
  <c r="AV248" i="7"/>
  <c r="AW248" i="7" s="1"/>
  <c r="AQ248" i="7"/>
  <c r="X248" i="7"/>
  <c r="T248" i="7"/>
  <c r="P248" i="7"/>
  <c r="N248" i="7"/>
  <c r="H248" i="7"/>
  <c r="BB247" i="7"/>
  <c r="BC247" i="7" s="1"/>
  <c r="AZ247" i="7"/>
  <c r="BA247" i="7" s="1"/>
  <c r="AX247" i="7"/>
  <c r="AY247" i="7" s="1"/>
  <c r="AV247" i="7"/>
  <c r="AW247" i="7" s="1"/>
  <c r="AQ247" i="7"/>
  <c r="AT247" i="7"/>
  <c r="X247" i="7"/>
  <c r="T247" i="7"/>
  <c r="P247" i="7"/>
  <c r="N247" i="7"/>
  <c r="H247" i="7"/>
  <c r="AZ246" i="7"/>
  <c r="BA246" i="7" s="1"/>
  <c r="AX246" i="7"/>
  <c r="AY246" i="7" s="1"/>
  <c r="AV246" i="7"/>
  <c r="AW246" i="7" s="1"/>
  <c r="AQ246" i="7"/>
  <c r="AT246" i="7"/>
  <c r="X246" i="7"/>
  <c r="T246" i="7"/>
  <c r="S246" i="7"/>
  <c r="BB246" i="7" s="1"/>
  <c r="BC246" i="7" s="1"/>
  <c r="P246" i="7"/>
  <c r="N246" i="7"/>
  <c r="H246" i="7"/>
  <c r="AZ245" i="7"/>
  <c r="BA245" i="7" s="1"/>
  <c r="AV245" i="7"/>
  <c r="AQ245" i="7"/>
  <c r="O245" i="7"/>
  <c r="AX245" i="7" s="1"/>
  <c r="AY245" i="7" s="1"/>
  <c r="H245" i="7"/>
  <c r="BB244" i="7"/>
  <c r="BC244" i="7" s="1"/>
  <c r="AZ244" i="7"/>
  <c r="BA244" i="7" s="1"/>
  <c r="AX244" i="7"/>
  <c r="AY244" i="7" s="1"/>
  <c r="AV244" i="7"/>
  <c r="AW244" i="7" s="1"/>
  <c r="AQ244" i="7"/>
  <c r="AR244" i="7"/>
  <c r="X244" i="7"/>
  <c r="T244" i="7"/>
  <c r="P244" i="7"/>
  <c r="N244" i="7"/>
  <c r="I244" i="7"/>
  <c r="BD244" i="7" s="1"/>
  <c r="BB243" i="7"/>
  <c r="BC243" i="7" s="1"/>
  <c r="AZ243" i="7"/>
  <c r="BA243" i="7" s="1"/>
  <c r="AX243" i="7"/>
  <c r="AY243" i="7" s="1"/>
  <c r="AV243" i="7"/>
  <c r="AW243" i="7" s="1"/>
  <c r="AQ243" i="7"/>
  <c r="X243" i="7"/>
  <c r="T243" i="7"/>
  <c r="P243" i="7"/>
  <c r="N243" i="7"/>
  <c r="H243" i="7"/>
  <c r="BB242" i="7"/>
  <c r="BC242" i="7" s="1"/>
  <c r="AZ242" i="7"/>
  <c r="BA242" i="7" s="1"/>
  <c r="AX242" i="7"/>
  <c r="AY242" i="7" s="1"/>
  <c r="AV242" i="7"/>
  <c r="AW242" i="7" s="1"/>
  <c r="AQ242" i="7"/>
  <c r="AT242" i="7"/>
  <c r="X242" i="7"/>
  <c r="T242" i="7"/>
  <c r="P242" i="7"/>
  <c r="N242" i="7"/>
  <c r="I242" i="7"/>
  <c r="BD242" i="7" s="1"/>
  <c r="BB241" i="7"/>
  <c r="BC241" i="7" s="1"/>
  <c r="AZ241" i="7"/>
  <c r="BA241" i="7" s="1"/>
  <c r="AX241" i="7"/>
  <c r="AY241" i="7" s="1"/>
  <c r="AV241" i="7"/>
  <c r="AW241" i="7" s="1"/>
  <c r="AQ241" i="7"/>
  <c r="AT241" i="7"/>
  <c r="X241" i="7"/>
  <c r="T241" i="7"/>
  <c r="P241" i="7"/>
  <c r="N241" i="7"/>
  <c r="I241" i="7"/>
  <c r="BD241" i="7" s="1"/>
  <c r="BB240" i="7"/>
  <c r="BC240" i="7" s="1"/>
  <c r="AZ240" i="7"/>
  <c r="BA240" i="7" s="1"/>
  <c r="AX240" i="7"/>
  <c r="AY240" i="7" s="1"/>
  <c r="AV240" i="7"/>
  <c r="AW240" i="7" s="1"/>
  <c r="AQ240" i="7"/>
  <c r="X240" i="7"/>
  <c r="T240" i="7"/>
  <c r="P240" i="7"/>
  <c r="N240" i="7"/>
  <c r="I240" i="7"/>
  <c r="BD240" i="7" s="1"/>
  <c r="BB239" i="7"/>
  <c r="BC239" i="7" s="1"/>
  <c r="AZ239" i="7"/>
  <c r="BA239" i="7" s="1"/>
  <c r="AX239" i="7"/>
  <c r="AY239" i="7" s="1"/>
  <c r="AV239" i="7"/>
  <c r="AW239" i="7" s="1"/>
  <c r="AQ239" i="7"/>
  <c r="X239" i="7"/>
  <c r="T239" i="7"/>
  <c r="P239" i="7"/>
  <c r="N239" i="7"/>
  <c r="I239" i="7"/>
  <c r="BD239" i="7" s="1"/>
  <c r="BB238" i="7"/>
  <c r="BC238" i="7" s="1"/>
  <c r="AZ238" i="7"/>
  <c r="BA238" i="7" s="1"/>
  <c r="AX238" i="7"/>
  <c r="AY238" i="7" s="1"/>
  <c r="AV238" i="7"/>
  <c r="AW238" i="7" s="1"/>
  <c r="AQ238" i="7"/>
  <c r="X238" i="7"/>
  <c r="T238" i="7"/>
  <c r="P238" i="7"/>
  <c r="N238" i="7"/>
  <c r="I238" i="7"/>
  <c r="BD238" i="7" s="1"/>
  <c r="BB237" i="7"/>
  <c r="BC237" i="7" s="1"/>
  <c r="AZ237" i="7"/>
  <c r="BA237" i="7" s="1"/>
  <c r="AX237" i="7"/>
  <c r="AY237" i="7" s="1"/>
  <c r="AV237" i="7"/>
  <c r="AW237" i="7" s="1"/>
  <c r="AQ237" i="7"/>
  <c r="X237" i="7"/>
  <c r="T237" i="7"/>
  <c r="P237" i="7"/>
  <c r="N237" i="7"/>
  <c r="I237" i="7"/>
  <c r="BD237" i="7" s="1"/>
  <c r="BB236" i="7"/>
  <c r="BC236" i="7" s="1"/>
  <c r="AZ236" i="7"/>
  <c r="BA236" i="7" s="1"/>
  <c r="AX236" i="7"/>
  <c r="AY236" i="7" s="1"/>
  <c r="AV236" i="7"/>
  <c r="AW236" i="7" s="1"/>
  <c r="AQ236" i="7"/>
  <c r="X236" i="7"/>
  <c r="T236" i="7"/>
  <c r="P236" i="7"/>
  <c r="N236" i="7"/>
  <c r="I236" i="7"/>
  <c r="BD236" i="7" s="1"/>
  <c r="BB235" i="7"/>
  <c r="BC235" i="7" s="1"/>
  <c r="AZ235" i="7"/>
  <c r="BA235" i="7" s="1"/>
  <c r="AX235" i="7"/>
  <c r="AY235" i="7" s="1"/>
  <c r="Q235" i="7"/>
  <c r="N235" i="7"/>
  <c r="I235" i="7"/>
  <c r="W234" i="7"/>
  <c r="W233" i="7" s="1"/>
  <c r="W226" i="7" s="1"/>
  <c r="V234" i="7"/>
  <c r="V233" i="7" s="1"/>
  <c r="V226" i="7" s="1"/>
  <c r="R234" i="7"/>
  <c r="R233" i="7" s="1"/>
  <c r="R226" i="7" s="1"/>
  <c r="M234" i="7"/>
  <c r="L234" i="7"/>
  <c r="K234" i="7"/>
  <c r="J234" i="7"/>
  <c r="BB232" i="7"/>
  <c r="BC232" i="7" s="1"/>
  <c r="AZ232" i="7"/>
  <c r="BA232" i="7" s="1"/>
  <c r="AX232" i="7"/>
  <c r="AY232" i="7" s="1"/>
  <c r="AV232" i="7"/>
  <c r="AW232" i="7" s="1"/>
  <c r="AQ232" i="7"/>
  <c r="X232" i="7"/>
  <c r="T232" i="7"/>
  <c r="P232" i="7"/>
  <c r="N232" i="7"/>
  <c r="M232" i="7"/>
  <c r="L232" i="7" s="1"/>
  <c r="J232" i="7"/>
  <c r="I232" i="7"/>
  <c r="BB231" i="7"/>
  <c r="BC231" i="7" s="1"/>
  <c r="AZ231" i="7"/>
  <c r="BA231" i="7" s="1"/>
  <c r="AX231" i="7"/>
  <c r="AY231" i="7" s="1"/>
  <c r="AV231" i="7"/>
  <c r="AW231" i="7" s="1"/>
  <c r="AQ231" i="7"/>
  <c r="AR231" i="7"/>
  <c r="X231" i="7"/>
  <c r="T231" i="7"/>
  <c r="P231" i="7"/>
  <c r="N231" i="7"/>
  <c r="M231" i="7"/>
  <c r="J231" i="7"/>
  <c r="I231" i="7"/>
  <c r="BD231" i="7" s="1"/>
  <c r="AQ230" i="7"/>
  <c r="AQ229" i="7"/>
  <c r="BC228" i="7"/>
  <c r="BA228" i="7"/>
  <c r="AY228" i="7"/>
  <c r="AW228" i="7"/>
  <c r="AP228" i="7"/>
  <c r="Y228" i="7"/>
  <c r="W228" i="7"/>
  <c r="V228" i="7"/>
  <c r="U228" i="7"/>
  <c r="U227" i="7" s="1"/>
  <c r="S228" i="7"/>
  <c r="R228" i="7"/>
  <c r="Q228" i="7"/>
  <c r="Q227" i="7" s="1"/>
  <c r="O228" i="7"/>
  <c r="O227" i="7" s="1"/>
  <c r="K228" i="7"/>
  <c r="K227" i="7" s="1"/>
  <c r="K226" i="7" s="1"/>
  <c r="H228" i="7"/>
  <c r="H227" i="7" s="1"/>
  <c r="BC227" i="7"/>
  <c r="BA227" i="7"/>
  <c r="AY227" i="7"/>
  <c r="AW227" i="7"/>
  <c r="BC226" i="7"/>
  <c r="BA226" i="7"/>
  <c r="AY226" i="7"/>
  <c r="AW226" i="7"/>
  <c r="V225" i="7"/>
  <c r="Y225" i="7" s="1"/>
  <c r="I225" i="7"/>
  <c r="I219" i="7" s="1"/>
  <c r="Y224" i="7"/>
  <c r="BD224" i="7" s="1"/>
  <c r="H224" i="7"/>
  <c r="BB223" i="7"/>
  <c r="BC223" i="7" s="1"/>
  <c r="AX223" i="7"/>
  <c r="AY223" i="7" s="1"/>
  <c r="AV223" i="7"/>
  <c r="AW223" i="7" s="1"/>
  <c r="Y223" i="7"/>
  <c r="T223" i="7"/>
  <c r="R223" i="7"/>
  <c r="R219" i="7" s="1"/>
  <c r="P223" i="7"/>
  <c r="H223" i="7"/>
  <c r="BB222" i="7"/>
  <c r="BC222" i="7" s="1"/>
  <c r="AX222" i="7"/>
  <c r="AY222" i="7" s="1"/>
  <c r="AV222" i="7"/>
  <c r="AW222" i="7" s="1"/>
  <c r="AQ222" i="7"/>
  <c r="X222" i="7"/>
  <c r="T222" i="7"/>
  <c r="P222" i="7"/>
  <c r="N222" i="7"/>
  <c r="N219" i="7" s="1"/>
  <c r="H222" i="7"/>
  <c r="BB221" i="7"/>
  <c r="BC221" i="7" s="1"/>
  <c r="AZ221" i="7"/>
  <c r="BA221" i="7" s="1"/>
  <c r="U221" i="7"/>
  <c r="Y221" i="7" s="1"/>
  <c r="Q221" i="7"/>
  <c r="O221" i="7"/>
  <c r="BB220" i="7"/>
  <c r="BC220" i="7" s="1"/>
  <c r="AZ220" i="7"/>
  <c r="BA220" i="7" s="1"/>
  <c r="U220" i="7"/>
  <c r="Y220" i="7" s="1"/>
  <c r="Q220" i="7"/>
  <c r="O220" i="7"/>
  <c r="AX220" i="7" s="1"/>
  <c r="AY220" i="7" s="1"/>
  <c r="BC219" i="7"/>
  <c r="BA219" i="7"/>
  <c r="AY219" i="7"/>
  <c r="AW219" i="7"/>
  <c r="W219" i="7"/>
  <c r="S219" i="7"/>
  <c r="M219" i="7"/>
  <c r="L219" i="7"/>
  <c r="K219" i="7"/>
  <c r="J219" i="7"/>
  <c r="BB218" i="7"/>
  <c r="BC218" i="7" s="1"/>
  <c r="AZ218" i="7"/>
  <c r="BA218" i="7" s="1"/>
  <c r="Q218" i="7"/>
  <c r="O218" i="7"/>
  <c r="AX218" i="7" s="1"/>
  <c r="AY218" i="7" s="1"/>
  <c r="H218" i="7"/>
  <c r="BB217" i="7"/>
  <c r="BC217" i="7" s="1"/>
  <c r="AZ217" i="7"/>
  <c r="BA217" i="7" s="1"/>
  <c r="Q217" i="7"/>
  <c r="O217" i="7"/>
  <c r="AX217" i="7" s="1"/>
  <c r="AY217" i="7" s="1"/>
  <c r="H217" i="7"/>
  <c r="BB216" i="7"/>
  <c r="BC216" i="7" s="1"/>
  <c r="AX216" i="7"/>
  <c r="AQ216" i="7"/>
  <c r="X216" i="7"/>
  <c r="T216" i="7"/>
  <c r="R216" i="7"/>
  <c r="Q216" i="7"/>
  <c r="AZ215" i="7"/>
  <c r="BA215" i="7" s="1"/>
  <c r="N215" i="7"/>
  <c r="P215" i="7" s="1"/>
  <c r="I215" i="7"/>
  <c r="O215" i="7" s="1"/>
  <c r="BB214" i="7"/>
  <c r="BC214" i="7" s="1"/>
  <c r="AZ214" i="7"/>
  <c r="BA214" i="7" s="1"/>
  <c r="T214" i="7"/>
  <c r="X214" i="7" s="1"/>
  <c r="Q214" i="7"/>
  <c r="O214" i="7"/>
  <c r="AX214" i="7" s="1"/>
  <c r="AY214" i="7" s="1"/>
  <c r="H214" i="7"/>
  <c r="BB213" i="7"/>
  <c r="BC213" i="7" s="1"/>
  <c r="AZ213" i="7"/>
  <c r="BA213" i="7" s="1"/>
  <c r="AX213" i="7"/>
  <c r="AY213" i="7" s="1"/>
  <c r="Q213" i="7"/>
  <c r="N213" i="7"/>
  <c r="P213" i="7" s="1"/>
  <c r="H213" i="7"/>
  <c r="AZ212" i="7"/>
  <c r="BA212" i="7" s="1"/>
  <c r="AX212" i="7"/>
  <c r="AY212" i="7" s="1"/>
  <c r="AV212" i="7"/>
  <c r="AW212" i="7" s="1"/>
  <c r="U212" i="7"/>
  <c r="P212" i="7"/>
  <c r="N212" i="7"/>
  <c r="H212" i="7"/>
  <c r="AZ211" i="7"/>
  <c r="BA211" i="7" s="1"/>
  <c r="AX211" i="7"/>
  <c r="AY211" i="7" s="1"/>
  <c r="AV211" i="7"/>
  <c r="AW211" i="7" s="1"/>
  <c r="U211" i="7"/>
  <c r="P211" i="7"/>
  <c r="N211" i="7"/>
  <c r="H211" i="7"/>
  <c r="BB210" i="7"/>
  <c r="BC210" i="7" s="1"/>
  <c r="AV210" i="7"/>
  <c r="AW210" i="7" s="1"/>
  <c r="U210" i="7"/>
  <c r="P210" i="7"/>
  <c r="O210" i="7"/>
  <c r="AX210" i="7" s="1"/>
  <c r="AY210" i="7" s="1"/>
  <c r="H210" i="7"/>
  <c r="AZ209" i="7"/>
  <c r="BA209" i="7" s="1"/>
  <c r="AV209" i="7"/>
  <c r="AW209" i="7" s="1"/>
  <c r="U209" i="7"/>
  <c r="Y209" i="7" s="1"/>
  <c r="P209" i="7"/>
  <c r="O209" i="7"/>
  <c r="AX209" i="7" s="1"/>
  <c r="AY209" i="7" s="1"/>
  <c r="H209" i="7"/>
  <c r="BB208" i="7"/>
  <c r="BC208" i="7" s="1"/>
  <c r="AZ208" i="7"/>
  <c r="BA208" i="7" s="1"/>
  <c r="T208" i="7"/>
  <c r="X208" i="7" s="1"/>
  <c r="Q208" i="7"/>
  <c r="O208" i="7"/>
  <c r="AX208" i="7" s="1"/>
  <c r="AY208" i="7" s="1"/>
  <c r="H208" i="7"/>
  <c r="BB207" i="7"/>
  <c r="BC207" i="7" s="1"/>
  <c r="AZ207" i="7"/>
  <c r="BA207" i="7" s="1"/>
  <c r="T207" i="7"/>
  <c r="X207" i="7" s="1"/>
  <c r="Q207" i="7"/>
  <c r="O207" i="7"/>
  <c r="AX207" i="7" s="1"/>
  <c r="AY207" i="7" s="1"/>
  <c r="H207" i="7"/>
  <c r="BB206" i="7"/>
  <c r="BC206" i="7" s="1"/>
  <c r="AZ206" i="7"/>
  <c r="BA206" i="7" s="1"/>
  <c r="T206" i="7"/>
  <c r="X206" i="7" s="1"/>
  <c r="Q206" i="7"/>
  <c r="O206" i="7"/>
  <c r="AX206" i="7" s="1"/>
  <c r="AY206" i="7" s="1"/>
  <c r="I206" i="7"/>
  <c r="BB205" i="7"/>
  <c r="BC205" i="7" s="1"/>
  <c r="AZ205" i="7"/>
  <c r="BA205" i="7" s="1"/>
  <c r="AV205" i="7"/>
  <c r="AW205" i="7" s="1"/>
  <c r="U205" i="7"/>
  <c r="Y205" i="7" s="1"/>
  <c r="P205" i="7"/>
  <c r="T205" i="7" s="1"/>
  <c r="X205" i="7" s="1"/>
  <c r="O205" i="7"/>
  <c r="AX205" i="7" s="1"/>
  <c r="AY205" i="7" s="1"/>
  <c r="I205" i="7"/>
  <c r="BB204" i="7"/>
  <c r="BC204" i="7" s="1"/>
  <c r="AZ204" i="7"/>
  <c r="BA204" i="7" s="1"/>
  <c r="AX204" i="7"/>
  <c r="AY204" i="7" s="1"/>
  <c r="Q204" i="7"/>
  <c r="I204" i="7"/>
  <c r="BB203" i="7"/>
  <c r="BC203" i="7" s="1"/>
  <c r="AZ203" i="7"/>
  <c r="BA203" i="7" s="1"/>
  <c r="T203" i="7"/>
  <c r="X203" i="7" s="1"/>
  <c r="Q203" i="7"/>
  <c r="O203" i="7"/>
  <c r="AX203" i="7" s="1"/>
  <c r="AY203" i="7" s="1"/>
  <c r="I203" i="7"/>
  <c r="BB202" i="7"/>
  <c r="BC202" i="7" s="1"/>
  <c r="AZ202" i="7"/>
  <c r="BA202" i="7" s="1"/>
  <c r="T202" i="7"/>
  <c r="X202" i="7" s="1"/>
  <c r="Q202" i="7"/>
  <c r="O202" i="7"/>
  <c r="I202" i="7"/>
  <c r="AZ201" i="7"/>
  <c r="BA201" i="7" s="1"/>
  <c r="AV201" i="7"/>
  <c r="AW201" i="7" s="1"/>
  <c r="U201" i="7"/>
  <c r="Y201" i="7" s="1"/>
  <c r="P201" i="7"/>
  <c r="N201" i="7"/>
  <c r="O201" i="7" s="1"/>
  <c r="AX201" i="7" s="1"/>
  <c r="AY201" i="7" s="1"/>
  <c r="I201" i="7"/>
  <c r="BB200" i="7"/>
  <c r="BC200" i="7" s="1"/>
  <c r="AZ200" i="7"/>
  <c r="BA200" i="7" s="1"/>
  <c r="T200" i="7"/>
  <c r="Q200" i="7"/>
  <c r="O200" i="7"/>
  <c r="AX200" i="7" s="1"/>
  <c r="AY200" i="7" s="1"/>
  <c r="I200" i="7"/>
  <c r="BB199" i="7"/>
  <c r="BC199" i="7" s="1"/>
  <c r="AZ199" i="7"/>
  <c r="BA199" i="7" s="1"/>
  <c r="AX199" i="7"/>
  <c r="AY199" i="7" s="1"/>
  <c r="AV199" i="7"/>
  <c r="AW199" i="7" s="1"/>
  <c r="U199" i="7"/>
  <c r="Y199" i="7" s="1"/>
  <c r="T199" i="7"/>
  <c r="X199" i="7" s="1"/>
  <c r="I199" i="7"/>
  <c r="BC198" i="7"/>
  <c r="BA198" i="7"/>
  <c r="AY198" i="7"/>
  <c r="AW198" i="7"/>
  <c r="W198" i="7"/>
  <c r="M198" i="7"/>
  <c r="L198" i="7"/>
  <c r="K198" i="7"/>
  <c r="J198" i="7"/>
  <c r="BC197" i="7"/>
  <c r="BA197" i="7"/>
  <c r="AY197" i="7"/>
  <c r="AW197" i="7"/>
  <c r="AZ196" i="7"/>
  <c r="BA196" i="7" s="1"/>
  <c r="AX196" i="7"/>
  <c r="AY196" i="7" s="1"/>
  <c r="AV196" i="7"/>
  <c r="AW196" i="7" s="1"/>
  <c r="AQ196" i="7"/>
  <c r="X196" i="7"/>
  <c r="T196" i="7"/>
  <c r="S196" i="7"/>
  <c r="BB196" i="7" s="1"/>
  <c r="BC196" i="7" s="1"/>
  <c r="P196" i="7"/>
  <c r="N196" i="7"/>
  <c r="L196" i="7"/>
  <c r="J196" i="7"/>
  <c r="I196" i="7"/>
  <c r="BD196" i="7" s="1"/>
  <c r="AZ195" i="7"/>
  <c r="BA195" i="7" s="1"/>
  <c r="AX195" i="7"/>
  <c r="AY195" i="7" s="1"/>
  <c r="AV195" i="7"/>
  <c r="AW195" i="7" s="1"/>
  <c r="AQ195" i="7"/>
  <c r="AR195" i="7"/>
  <c r="X195" i="7"/>
  <c r="T195" i="7"/>
  <c r="S195" i="7"/>
  <c r="BB195" i="7" s="1"/>
  <c r="BC195" i="7" s="1"/>
  <c r="P195" i="7"/>
  <c r="N195" i="7"/>
  <c r="L195" i="7"/>
  <c r="J195" i="7"/>
  <c r="I195" i="7"/>
  <c r="BD195" i="7" s="1"/>
  <c r="AZ194" i="7"/>
  <c r="BA194" i="7" s="1"/>
  <c r="AX194" i="7"/>
  <c r="AY194" i="7" s="1"/>
  <c r="AV194" i="7"/>
  <c r="AW194" i="7" s="1"/>
  <c r="AQ194" i="7"/>
  <c r="X194" i="7"/>
  <c r="T194" i="7"/>
  <c r="S194" i="7"/>
  <c r="BB194" i="7" s="1"/>
  <c r="BC194" i="7" s="1"/>
  <c r="P194" i="7"/>
  <c r="N194" i="7"/>
  <c r="L194" i="7"/>
  <c r="J194" i="7"/>
  <c r="I194" i="7"/>
  <c r="BD194" i="7" s="1"/>
  <c r="AZ193" i="7"/>
  <c r="BA193" i="7" s="1"/>
  <c r="AX193" i="7"/>
  <c r="AY193" i="7" s="1"/>
  <c r="AV193" i="7"/>
  <c r="AW193" i="7" s="1"/>
  <c r="AQ193" i="7"/>
  <c r="AT193" i="7"/>
  <c r="X193" i="7"/>
  <c r="T193" i="7"/>
  <c r="S193" i="7"/>
  <c r="BB193" i="7" s="1"/>
  <c r="BC193" i="7" s="1"/>
  <c r="P193" i="7"/>
  <c r="N193" i="7"/>
  <c r="L193" i="7"/>
  <c r="J193" i="7"/>
  <c r="I193" i="7"/>
  <c r="BC192" i="7"/>
  <c r="BA192" i="7"/>
  <c r="AY192" i="7"/>
  <c r="AW192" i="7"/>
  <c r="AQ192" i="7"/>
  <c r="BC191" i="7"/>
  <c r="BA191" i="7"/>
  <c r="AY191" i="7"/>
  <c r="AW191" i="7"/>
  <c r="AQ191" i="7"/>
  <c r="BC190" i="7"/>
  <c r="BA190" i="7"/>
  <c r="AY190" i="7"/>
  <c r="AW190" i="7"/>
  <c r="AP190" i="7"/>
  <c r="Y190" i="7"/>
  <c r="Y189" i="7" s="1"/>
  <c r="AQ189" i="7" s="1"/>
  <c r="W190" i="7"/>
  <c r="W189" i="7" s="1"/>
  <c r="V190" i="7"/>
  <c r="V189" i="7" s="1"/>
  <c r="U190" i="7"/>
  <c r="U189" i="7" s="1"/>
  <c r="R190" i="7"/>
  <c r="R189" i="7" s="1"/>
  <c r="Q190" i="7"/>
  <c r="Q189" i="7" s="1"/>
  <c r="O190" i="7"/>
  <c r="O189" i="7" s="1"/>
  <c r="M190" i="7"/>
  <c r="M189" i="7" s="1"/>
  <c r="M188" i="7" s="1"/>
  <c r="K190" i="7"/>
  <c r="K189" i="7" s="1"/>
  <c r="K188" i="7" s="1"/>
  <c r="H190" i="7"/>
  <c r="H189" i="7" s="1"/>
  <c r="BC189" i="7"/>
  <c r="BA189" i="7"/>
  <c r="AY189" i="7"/>
  <c r="AW189" i="7"/>
  <c r="BC188" i="7"/>
  <c r="BA188" i="7"/>
  <c r="AY188" i="7"/>
  <c r="AW188" i="7"/>
  <c r="Y187" i="7"/>
  <c r="Y184" i="7" s="1"/>
  <c r="BD184" i="7" s="1"/>
  <c r="H187" i="7"/>
  <c r="BB186" i="7"/>
  <c r="BC186" i="7" s="1"/>
  <c r="AX186" i="7"/>
  <c r="AY186" i="7" s="1"/>
  <c r="AV186" i="7"/>
  <c r="AW186" i="7" s="1"/>
  <c r="AQ186" i="7"/>
  <c r="X186" i="7"/>
  <c r="V184" i="7"/>
  <c r="T186" i="7"/>
  <c r="R186" i="7"/>
  <c r="AZ186" i="7" s="1"/>
  <c r="BA186" i="7" s="1"/>
  <c r="P186" i="7"/>
  <c r="N186" i="7"/>
  <c r="H186" i="7"/>
  <c r="BB185" i="7"/>
  <c r="BC185" i="7" s="1"/>
  <c r="AZ185" i="7"/>
  <c r="BA185" i="7" s="1"/>
  <c r="AX185" i="7"/>
  <c r="AY185" i="7" s="1"/>
  <c r="AV185" i="7"/>
  <c r="AW185" i="7" s="1"/>
  <c r="AQ185" i="7"/>
  <c r="AR185" i="7"/>
  <c r="X185" i="7"/>
  <c r="T185" i="7"/>
  <c r="P185" i="7"/>
  <c r="N185" i="7"/>
  <c r="BC184" i="7"/>
  <c r="BA184" i="7"/>
  <c r="AY184" i="7"/>
  <c r="AW184" i="7"/>
  <c r="Y183" i="7"/>
  <c r="H183" i="7"/>
  <c r="H167" i="7" s="1"/>
  <c r="BB182" i="7"/>
  <c r="BC182" i="7" s="1"/>
  <c r="AX182" i="7"/>
  <c r="AQ182" i="7"/>
  <c r="V167" i="7"/>
  <c r="R182" i="7"/>
  <c r="R167" i="7" s="1"/>
  <c r="Q182" i="7"/>
  <c r="BB181" i="7"/>
  <c r="BC181" i="7" s="1"/>
  <c r="AZ181" i="7"/>
  <c r="BA181" i="7" s="1"/>
  <c r="AX181" i="7"/>
  <c r="AY181" i="7" s="1"/>
  <c r="AV181" i="7"/>
  <c r="AW181" i="7" s="1"/>
  <c r="AQ181" i="7"/>
  <c r="X181" i="7"/>
  <c r="T181" i="7"/>
  <c r="P181" i="7"/>
  <c r="N181" i="7"/>
  <c r="I181" i="7"/>
  <c r="BD181" i="7" s="1"/>
  <c r="BB180" i="7"/>
  <c r="BC180" i="7" s="1"/>
  <c r="AZ180" i="7"/>
  <c r="BA180" i="7" s="1"/>
  <c r="AX180" i="7"/>
  <c r="AY180" i="7" s="1"/>
  <c r="AV180" i="7"/>
  <c r="AW180" i="7" s="1"/>
  <c r="AQ180" i="7"/>
  <c r="X180" i="7"/>
  <c r="T180" i="7"/>
  <c r="P180" i="7"/>
  <c r="N180" i="7"/>
  <c r="I180" i="7"/>
  <c r="BD180" i="7" s="1"/>
  <c r="BB179" i="7"/>
  <c r="BC179" i="7" s="1"/>
  <c r="AZ179" i="7"/>
  <c r="BA179" i="7" s="1"/>
  <c r="AX179" i="7"/>
  <c r="AY179" i="7" s="1"/>
  <c r="AV179" i="7"/>
  <c r="AW179" i="7" s="1"/>
  <c r="AQ179" i="7"/>
  <c r="X179" i="7"/>
  <c r="T179" i="7"/>
  <c r="P179" i="7"/>
  <c r="N179" i="7"/>
  <c r="I179" i="7"/>
  <c r="BD179" i="7" s="1"/>
  <c r="AZ178" i="7"/>
  <c r="BA178" i="7" s="1"/>
  <c r="AX178" i="7"/>
  <c r="AY178" i="7" s="1"/>
  <c r="Y178" i="7"/>
  <c r="U178" i="7"/>
  <c r="S178" i="7" s="1"/>
  <c r="BB178" i="7" s="1"/>
  <c r="BC178" i="7" s="1"/>
  <c r="Q178" i="7"/>
  <c r="N178" i="7"/>
  <c r="I178" i="7"/>
  <c r="BB177" i="7"/>
  <c r="BC177" i="7" s="1"/>
  <c r="AZ177" i="7"/>
  <c r="BA177" i="7" s="1"/>
  <c r="AX177" i="7"/>
  <c r="AY177" i="7" s="1"/>
  <c r="AV177" i="7"/>
  <c r="AW177" i="7" s="1"/>
  <c r="AQ177" i="7"/>
  <c r="X177" i="7"/>
  <c r="T177" i="7"/>
  <c r="P177" i="7"/>
  <c r="N177" i="7"/>
  <c r="I177" i="7"/>
  <c r="BD177" i="7" s="1"/>
  <c r="BB176" i="7"/>
  <c r="BC176" i="7" s="1"/>
  <c r="AZ176" i="7"/>
  <c r="BA176" i="7" s="1"/>
  <c r="AX176" i="7"/>
  <c r="AY176" i="7" s="1"/>
  <c r="AV176" i="7"/>
  <c r="AW176" i="7" s="1"/>
  <c r="AQ176" i="7"/>
  <c r="X176" i="7"/>
  <c r="T176" i="7"/>
  <c r="P176" i="7"/>
  <c r="N176" i="7"/>
  <c r="I176" i="7"/>
  <c r="BD176" i="7" s="1"/>
  <c r="BB175" i="7"/>
  <c r="BC175" i="7" s="1"/>
  <c r="AZ175" i="7"/>
  <c r="BA175" i="7" s="1"/>
  <c r="AX175" i="7"/>
  <c r="AY175" i="7" s="1"/>
  <c r="AV175" i="7"/>
  <c r="AW175" i="7" s="1"/>
  <c r="AQ175" i="7"/>
  <c r="X175" i="7"/>
  <c r="T175" i="7"/>
  <c r="P175" i="7"/>
  <c r="N175" i="7"/>
  <c r="I175" i="7"/>
  <c r="BD175" i="7" s="1"/>
  <c r="BB174" i="7"/>
  <c r="BC174" i="7" s="1"/>
  <c r="AZ174" i="7"/>
  <c r="BA174" i="7" s="1"/>
  <c r="AX174" i="7"/>
  <c r="AY174" i="7" s="1"/>
  <c r="AV174" i="7"/>
  <c r="AW174" i="7" s="1"/>
  <c r="AQ174" i="7"/>
  <c r="X174" i="7"/>
  <c r="T174" i="7"/>
  <c r="P174" i="7"/>
  <c r="N174" i="7"/>
  <c r="I174" i="7"/>
  <c r="BD174" i="7" s="1"/>
  <c r="BB173" i="7"/>
  <c r="BC173" i="7" s="1"/>
  <c r="AZ173" i="7"/>
  <c r="BA173" i="7" s="1"/>
  <c r="AX173" i="7"/>
  <c r="AY173" i="7" s="1"/>
  <c r="AV173" i="7"/>
  <c r="AW173" i="7" s="1"/>
  <c r="AQ173" i="7"/>
  <c r="X173" i="7"/>
  <c r="T173" i="7"/>
  <c r="P173" i="7"/>
  <c r="N173" i="7"/>
  <c r="BB172" i="7"/>
  <c r="BC172" i="7" s="1"/>
  <c r="AZ172" i="7"/>
  <c r="BA172" i="7" s="1"/>
  <c r="AX172" i="7"/>
  <c r="AY172" i="7" s="1"/>
  <c r="AV172" i="7"/>
  <c r="AW172" i="7" s="1"/>
  <c r="AQ172" i="7"/>
  <c r="X172" i="7"/>
  <c r="T172" i="7"/>
  <c r="P172" i="7"/>
  <c r="N172" i="7"/>
  <c r="I172" i="7"/>
  <c r="BD172" i="7" s="1"/>
  <c r="BB171" i="7"/>
  <c r="BC171" i="7" s="1"/>
  <c r="AZ171" i="7"/>
  <c r="BA171" i="7" s="1"/>
  <c r="AX171" i="7"/>
  <c r="AY171" i="7" s="1"/>
  <c r="AV171" i="7"/>
  <c r="AW171" i="7" s="1"/>
  <c r="AQ171" i="7"/>
  <c r="AT171" i="7"/>
  <c r="X171" i="7"/>
  <c r="T171" i="7"/>
  <c r="P171" i="7"/>
  <c r="N171" i="7"/>
  <c r="I171" i="7"/>
  <c r="BD171" i="7" s="1"/>
  <c r="BB170" i="7"/>
  <c r="BC170" i="7" s="1"/>
  <c r="AZ170" i="7"/>
  <c r="BA170" i="7" s="1"/>
  <c r="AX170" i="7"/>
  <c r="AY170" i="7" s="1"/>
  <c r="AV170" i="7"/>
  <c r="AW170" i="7" s="1"/>
  <c r="Y170" i="7"/>
  <c r="T170" i="7"/>
  <c r="P170" i="7"/>
  <c r="N170" i="7"/>
  <c r="I170" i="7"/>
  <c r="BB169" i="7"/>
  <c r="BC169" i="7" s="1"/>
  <c r="AZ169" i="7"/>
  <c r="BA169" i="7" s="1"/>
  <c r="AX169" i="7"/>
  <c r="AY169" i="7" s="1"/>
  <c r="AV169" i="7"/>
  <c r="AW169" i="7" s="1"/>
  <c r="AQ169" i="7"/>
  <c r="X169" i="7"/>
  <c r="T169" i="7"/>
  <c r="P169" i="7"/>
  <c r="N169" i="7"/>
  <c r="I169" i="7"/>
  <c r="BD169" i="7" s="1"/>
  <c r="BB168" i="7"/>
  <c r="BC168" i="7" s="1"/>
  <c r="AZ168" i="7"/>
  <c r="BA168" i="7" s="1"/>
  <c r="AX168" i="7"/>
  <c r="AY168" i="7" s="1"/>
  <c r="AV168" i="7"/>
  <c r="AW168" i="7" s="1"/>
  <c r="AQ168" i="7"/>
  <c r="X168" i="7"/>
  <c r="T168" i="7"/>
  <c r="P168" i="7"/>
  <c r="N168" i="7"/>
  <c r="I168" i="7"/>
  <c r="BC167" i="7"/>
  <c r="BA167" i="7"/>
  <c r="AY167" i="7"/>
  <c r="AW167" i="7"/>
  <c r="W167" i="7"/>
  <c r="W166" i="7" s="1"/>
  <c r="O167" i="7"/>
  <c r="O166" i="7" s="1"/>
  <c r="M167" i="7"/>
  <c r="L167" i="7"/>
  <c r="K167" i="7"/>
  <c r="J167" i="7"/>
  <c r="BC166" i="7"/>
  <c r="BA166" i="7"/>
  <c r="AY166" i="7"/>
  <c r="AW166" i="7"/>
  <c r="BB165" i="7"/>
  <c r="BC165" i="7" s="1"/>
  <c r="AZ165" i="7"/>
  <c r="BA165" i="7" s="1"/>
  <c r="AX165" i="7"/>
  <c r="AY165" i="7" s="1"/>
  <c r="AV165" i="7"/>
  <c r="AW165" i="7" s="1"/>
  <c r="AQ165" i="7"/>
  <c r="X165" i="7"/>
  <c r="T165" i="7"/>
  <c r="P165" i="7"/>
  <c r="N165" i="7"/>
  <c r="L165" i="7"/>
  <c r="J165" i="7"/>
  <c r="I165" i="7"/>
  <c r="BD165" i="7" s="1"/>
  <c r="BB164" i="7"/>
  <c r="BC164" i="7" s="1"/>
  <c r="AZ164" i="7"/>
  <c r="BA164" i="7" s="1"/>
  <c r="AX164" i="7"/>
  <c r="AY164" i="7" s="1"/>
  <c r="AV164" i="7"/>
  <c r="AW164" i="7" s="1"/>
  <c r="AQ164" i="7"/>
  <c r="AT164" i="7"/>
  <c r="X164" i="7"/>
  <c r="T164" i="7"/>
  <c r="P164" i="7"/>
  <c r="N164" i="7"/>
  <c r="L164" i="7"/>
  <c r="J164" i="7"/>
  <c r="I164" i="7"/>
  <c r="BD164" i="7" s="1"/>
  <c r="BB163" i="7"/>
  <c r="BC163" i="7" s="1"/>
  <c r="AZ163" i="7"/>
  <c r="BA163" i="7" s="1"/>
  <c r="AX163" i="7"/>
  <c r="AY163" i="7" s="1"/>
  <c r="AV163" i="7"/>
  <c r="AW163" i="7" s="1"/>
  <c r="AQ163" i="7"/>
  <c r="X163" i="7"/>
  <c r="T163" i="7"/>
  <c r="P163" i="7"/>
  <c r="N163" i="7"/>
  <c r="L163" i="7"/>
  <c r="J163" i="7"/>
  <c r="I163" i="7"/>
  <c r="BD163" i="7" s="1"/>
  <c r="BB162" i="7"/>
  <c r="BC162" i="7" s="1"/>
  <c r="AZ162" i="7"/>
  <c r="BA162" i="7" s="1"/>
  <c r="AX162" i="7"/>
  <c r="AY162" i="7" s="1"/>
  <c r="Q162" i="7"/>
  <c r="U162" i="7" s="1"/>
  <c r="T162" i="7" s="1"/>
  <c r="N162" i="7"/>
  <c r="L162" i="7"/>
  <c r="J162" i="7"/>
  <c r="BB161" i="7"/>
  <c r="BC161" i="7" s="1"/>
  <c r="AZ161" i="7"/>
  <c r="BA161" i="7" s="1"/>
  <c r="AX161" i="7"/>
  <c r="AY161" i="7" s="1"/>
  <c r="AV161" i="7"/>
  <c r="AW161" i="7" s="1"/>
  <c r="AQ161" i="7"/>
  <c r="X161" i="7"/>
  <c r="T161" i="7"/>
  <c r="P161" i="7"/>
  <c r="N161" i="7"/>
  <c r="L161" i="7"/>
  <c r="J161" i="7"/>
  <c r="I161" i="7"/>
  <c r="BD161" i="7" s="1"/>
  <c r="BB160" i="7"/>
  <c r="BC160" i="7" s="1"/>
  <c r="AZ160" i="7"/>
  <c r="BA160" i="7" s="1"/>
  <c r="AX160" i="7"/>
  <c r="AY160" i="7" s="1"/>
  <c r="AV160" i="7"/>
  <c r="AW160" i="7" s="1"/>
  <c r="AQ160" i="7"/>
  <c r="AT160" i="7"/>
  <c r="X160" i="7"/>
  <c r="T160" i="7"/>
  <c r="P160" i="7"/>
  <c r="N160" i="7"/>
  <c r="L160" i="7"/>
  <c r="J160" i="7"/>
  <c r="I160" i="7"/>
  <c r="BD160" i="7" s="1"/>
  <c r="BB159" i="7"/>
  <c r="BC159" i="7" s="1"/>
  <c r="AZ159" i="7"/>
  <c r="BA159" i="7" s="1"/>
  <c r="AX159" i="7"/>
  <c r="AY159" i="7" s="1"/>
  <c r="AV159" i="7"/>
  <c r="AW159" i="7" s="1"/>
  <c r="AQ159" i="7"/>
  <c r="AR159" i="7"/>
  <c r="X159" i="7"/>
  <c r="T159" i="7"/>
  <c r="P159" i="7"/>
  <c r="N159" i="7"/>
  <c r="L159" i="7"/>
  <c r="J159" i="7"/>
  <c r="I159" i="7"/>
  <c r="BD159" i="7" s="1"/>
  <c r="BC158" i="7"/>
  <c r="BA158" i="7"/>
  <c r="AY158" i="7"/>
  <c r="AW158" i="7"/>
  <c r="AQ158" i="7"/>
  <c r="BC157" i="7"/>
  <c r="BA157" i="7"/>
  <c r="AY157" i="7"/>
  <c r="AW157" i="7"/>
  <c r="AQ157" i="7"/>
  <c r="BC156" i="7"/>
  <c r="BA156" i="7"/>
  <c r="AY156" i="7"/>
  <c r="AW156" i="7"/>
  <c r="W156" i="7"/>
  <c r="V156" i="7"/>
  <c r="S156" i="7"/>
  <c r="R156" i="7"/>
  <c r="R155" i="7" s="1"/>
  <c r="O156" i="7"/>
  <c r="O155" i="7" s="1"/>
  <c r="O154" i="7" s="1"/>
  <c r="M156" i="7"/>
  <c r="M155" i="7" s="1"/>
  <c r="M154" i="7" s="1"/>
  <c r="K156" i="7"/>
  <c r="K155" i="7" s="1"/>
  <c r="K154" i="7" s="1"/>
  <c r="H156" i="7"/>
  <c r="H155" i="7" s="1"/>
  <c r="BC155" i="7"/>
  <c r="BA155" i="7"/>
  <c r="AY155" i="7"/>
  <c r="AW155" i="7"/>
  <c r="W155" i="7"/>
  <c r="V155" i="7"/>
  <c r="S155" i="7"/>
  <c r="BC154" i="7"/>
  <c r="BA154" i="7"/>
  <c r="AY154" i="7"/>
  <c r="AW154" i="7"/>
  <c r="BB152" i="7"/>
  <c r="BC152" i="7" s="1"/>
  <c r="V149" i="7"/>
  <c r="U152" i="7"/>
  <c r="U149" i="7" s="1"/>
  <c r="Q152" i="7"/>
  <c r="Q149" i="7" s="1"/>
  <c r="O152" i="7"/>
  <c r="I152" i="7"/>
  <c r="AZ151" i="7"/>
  <c r="BA151" i="7" s="1"/>
  <c r="AV151" i="7"/>
  <c r="Y151" i="7"/>
  <c r="N151" i="7"/>
  <c r="O151" i="7" s="1"/>
  <c r="AX151" i="7" s="1"/>
  <c r="AY151" i="7" s="1"/>
  <c r="H151" i="7"/>
  <c r="Y150" i="7"/>
  <c r="H150" i="7"/>
  <c r="BC149" i="7"/>
  <c r="BA149" i="7"/>
  <c r="AY149" i="7"/>
  <c r="AW149" i="7"/>
  <c r="Y148" i="7"/>
  <c r="Y147" i="7"/>
  <c r="Y146" i="7"/>
  <c r="AQ146" i="7" s="1"/>
  <c r="Y145" i="7"/>
  <c r="Y144" i="7"/>
  <c r="BB143" i="7"/>
  <c r="BC143" i="7" s="1"/>
  <c r="AX143" i="7"/>
  <c r="AY143" i="7" s="1"/>
  <c r="AV143" i="7"/>
  <c r="AW143" i="7" s="1"/>
  <c r="Y143" i="7"/>
  <c r="T143" i="7"/>
  <c r="R143" i="7"/>
  <c r="P143" i="7"/>
  <c r="H143" i="7"/>
  <c r="BB142" i="7"/>
  <c r="BC142" i="7" s="1"/>
  <c r="AX142" i="7"/>
  <c r="AY142" i="7" s="1"/>
  <c r="AV142" i="7"/>
  <c r="AW142" i="7" s="1"/>
  <c r="AQ142" i="7"/>
  <c r="X142" i="7"/>
  <c r="T142" i="7"/>
  <c r="R142" i="7"/>
  <c r="P142" i="7"/>
  <c r="H142" i="7"/>
  <c r="BB141" i="7"/>
  <c r="BC141" i="7" s="1"/>
  <c r="AX141" i="7"/>
  <c r="AY141" i="7" s="1"/>
  <c r="AV141" i="7"/>
  <c r="AW141" i="7" s="1"/>
  <c r="AQ141" i="7"/>
  <c r="X141" i="7"/>
  <c r="T141" i="7"/>
  <c r="R141" i="7"/>
  <c r="P141" i="7"/>
  <c r="H141" i="7"/>
  <c r="BB140" i="7"/>
  <c r="BC140" i="7" s="1"/>
  <c r="AZ140" i="7"/>
  <c r="BA140" i="7" s="1"/>
  <c r="AX140" i="7"/>
  <c r="AY140" i="7" s="1"/>
  <c r="AV140" i="7"/>
  <c r="AW140" i="7" s="1"/>
  <c r="AQ140" i="7"/>
  <c r="I140" i="7"/>
  <c r="BD140" i="7" s="1"/>
  <c r="AZ139" i="7"/>
  <c r="BA139" i="7" s="1"/>
  <c r="AX139" i="7"/>
  <c r="AY139" i="7" s="1"/>
  <c r="AV139" i="7"/>
  <c r="AW139" i="7" s="1"/>
  <c r="AQ139" i="7"/>
  <c r="AR139" i="7"/>
  <c r="S139" i="7"/>
  <c r="N139" i="7"/>
  <c r="I139" i="7"/>
  <c r="BD139" i="7" s="1"/>
  <c r="AZ138" i="7"/>
  <c r="BA138" i="7" s="1"/>
  <c r="AX138" i="7"/>
  <c r="AY138" i="7" s="1"/>
  <c r="AV138" i="7"/>
  <c r="AW138" i="7" s="1"/>
  <c r="AQ138" i="7"/>
  <c r="S138" i="7"/>
  <c r="N138" i="7"/>
  <c r="I138" i="7"/>
  <c r="BD138" i="7" s="1"/>
  <c r="BB137" i="7"/>
  <c r="BC137" i="7" s="1"/>
  <c r="AZ137" i="7"/>
  <c r="BA137" i="7" s="1"/>
  <c r="AX137" i="7"/>
  <c r="AY137" i="7" s="1"/>
  <c r="AV137" i="7"/>
  <c r="AW137" i="7" s="1"/>
  <c r="AQ137" i="7"/>
  <c r="X137" i="7"/>
  <c r="T137" i="7"/>
  <c r="P137" i="7"/>
  <c r="N137" i="7"/>
  <c r="I137" i="7"/>
  <c r="BD137" i="7" s="1"/>
  <c r="AZ136" i="7"/>
  <c r="BA136" i="7" s="1"/>
  <c r="AX136" i="7"/>
  <c r="AY136" i="7" s="1"/>
  <c r="AV136" i="7"/>
  <c r="AW136" i="7" s="1"/>
  <c r="AQ136" i="7"/>
  <c r="AR136" i="7"/>
  <c r="S136" i="7"/>
  <c r="N136" i="7"/>
  <c r="I136" i="7"/>
  <c r="BD136" i="7" s="1"/>
  <c r="BB135" i="7"/>
  <c r="BC135" i="7" s="1"/>
  <c r="AZ135" i="7"/>
  <c r="BA135" i="7" s="1"/>
  <c r="AX135" i="7"/>
  <c r="AY135" i="7" s="1"/>
  <c r="AV135" i="7"/>
  <c r="AW135" i="7" s="1"/>
  <c r="AQ135" i="7"/>
  <c r="AT135" i="7"/>
  <c r="X135" i="7"/>
  <c r="T135" i="7"/>
  <c r="P135" i="7"/>
  <c r="N135" i="7"/>
  <c r="I135" i="7"/>
  <c r="BD135" i="7" s="1"/>
  <c r="AZ134" i="7"/>
  <c r="BA134" i="7" s="1"/>
  <c r="AX134" i="7"/>
  <c r="AY134" i="7" s="1"/>
  <c r="AV134" i="7"/>
  <c r="AW134" i="7" s="1"/>
  <c r="AQ134" i="7"/>
  <c r="AR134" i="7"/>
  <c r="S134" i="7"/>
  <c r="N134" i="7"/>
  <c r="I134" i="7"/>
  <c r="BD134" i="7" s="1"/>
  <c r="BB133" i="7"/>
  <c r="BC133" i="7" s="1"/>
  <c r="AX133" i="7"/>
  <c r="AY133" i="7" s="1"/>
  <c r="AV133" i="7"/>
  <c r="AW133" i="7" s="1"/>
  <c r="AQ133" i="7"/>
  <c r="X133" i="7"/>
  <c r="T133" i="7"/>
  <c r="R133" i="7"/>
  <c r="AZ133" i="7" s="1"/>
  <c r="BA133" i="7" s="1"/>
  <c r="P133" i="7"/>
  <c r="N133" i="7"/>
  <c r="H133" i="7"/>
  <c r="AZ132" i="7"/>
  <c r="BA132" i="7" s="1"/>
  <c r="AX132" i="7"/>
  <c r="AY132" i="7" s="1"/>
  <c r="AV132" i="7"/>
  <c r="AW132" i="7" s="1"/>
  <c r="AQ132" i="7"/>
  <c r="S132" i="7"/>
  <c r="BB132" i="7" s="1"/>
  <c r="BC132" i="7" s="1"/>
  <c r="P132" i="7"/>
  <c r="N132" i="7"/>
  <c r="I132" i="7"/>
  <c r="BD132" i="7" s="1"/>
  <c r="AZ131" i="7"/>
  <c r="BA131" i="7" s="1"/>
  <c r="AX131" i="7"/>
  <c r="AY131" i="7" s="1"/>
  <c r="AV131" i="7"/>
  <c r="AW131" i="7" s="1"/>
  <c r="AQ131" i="7"/>
  <c r="AT131" i="7"/>
  <c r="S131" i="7"/>
  <c r="N131" i="7"/>
  <c r="I131" i="7"/>
  <c r="BD131" i="7" s="1"/>
  <c r="BB130" i="7"/>
  <c r="BC130" i="7" s="1"/>
  <c r="AV130" i="7"/>
  <c r="AW130" i="7" s="1"/>
  <c r="AQ130" i="7"/>
  <c r="AR130" i="7"/>
  <c r="X130" i="7"/>
  <c r="T130" i="7"/>
  <c r="P130" i="7"/>
  <c r="O130" i="7"/>
  <c r="H130" i="7"/>
  <c r="AZ129" i="7"/>
  <c r="BA129" i="7" s="1"/>
  <c r="AV129" i="7"/>
  <c r="AW129" i="7" s="1"/>
  <c r="AQ129" i="7"/>
  <c r="AT129" i="7"/>
  <c r="P129" i="7"/>
  <c r="O129" i="7"/>
  <c r="I129" i="7"/>
  <c r="BB128" i="7"/>
  <c r="BC128" i="7" s="1"/>
  <c r="AV128" i="7"/>
  <c r="AW128" i="7" s="1"/>
  <c r="AQ128" i="7"/>
  <c r="X128" i="7"/>
  <c r="T128" i="7"/>
  <c r="P128" i="7"/>
  <c r="O128" i="7"/>
  <c r="I128" i="7"/>
  <c r="BD128" i="7" s="1"/>
  <c r="BB127" i="7"/>
  <c r="BC127" i="7" s="1"/>
  <c r="AV127" i="7"/>
  <c r="AW127" i="7" s="1"/>
  <c r="AQ127" i="7"/>
  <c r="X127" i="7"/>
  <c r="T127" i="7"/>
  <c r="P127" i="7"/>
  <c r="O127" i="7"/>
  <c r="AX127" i="7" s="1"/>
  <c r="AY127" i="7" s="1"/>
  <c r="I127" i="7"/>
  <c r="BD127" i="7" s="1"/>
  <c r="AZ126" i="7"/>
  <c r="BA126" i="7" s="1"/>
  <c r="AX126" i="7"/>
  <c r="AY126" i="7" s="1"/>
  <c r="AV126" i="7"/>
  <c r="AW126" i="7" s="1"/>
  <c r="AQ126" i="7"/>
  <c r="S126" i="7"/>
  <c r="N126" i="7"/>
  <c r="I126" i="7"/>
  <c r="BD126" i="7" s="1"/>
  <c r="BB125" i="7"/>
  <c r="BC125" i="7" s="1"/>
  <c r="AZ125" i="7"/>
  <c r="BA125" i="7" s="1"/>
  <c r="AX125" i="7"/>
  <c r="AY125" i="7" s="1"/>
  <c r="AV125" i="7"/>
  <c r="AW125" i="7" s="1"/>
  <c r="Y125" i="7"/>
  <c r="T125" i="7"/>
  <c r="P125" i="7"/>
  <c r="N125" i="7"/>
  <c r="H125" i="7"/>
  <c r="AZ124" i="7"/>
  <c r="BA124" i="7" s="1"/>
  <c r="AX124" i="7"/>
  <c r="AY124" i="7" s="1"/>
  <c r="AV124" i="7"/>
  <c r="AW124" i="7" s="1"/>
  <c r="AQ124" i="7"/>
  <c r="S124" i="7"/>
  <c r="N124" i="7"/>
  <c r="BB123" i="7"/>
  <c r="BC123" i="7" s="1"/>
  <c r="AZ123" i="7"/>
  <c r="BA123" i="7" s="1"/>
  <c r="AX123" i="7"/>
  <c r="AY123" i="7" s="1"/>
  <c r="AV123" i="7"/>
  <c r="AW123" i="7" s="1"/>
  <c r="AQ123" i="7"/>
  <c r="X123" i="7"/>
  <c r="T123" i="7"/>
  <c r="P123" i="7"/>
  <c r="N123" i="7"/>
  <c r="I123" i="7"/>
  <c r="BD123" i="7" s="1"/>
  <c r="BB122" i="7"/>
  <c r="BC122" i="7" s="1"/>
  <c r="AZ122" i="7"/>
  <c r="BA122" i="7" s="1"/>
  <c r="AX122" i="7"/>
  <c r="AY122" i="7" s="1"/>
  <c r="AV122" i="7"/>
  <c r="AW122" i="7" s="1"/>
  <c r="AQ122" i="7"/>
  <c r="X122" i="7"/>
  <c r="T122" i="7"/>
  <c r="P122" i="7"/>
  <c r="N122" i="7"/>
  <c r="H122" i="7"/>
  <c r="BB121" i="7"/>
  <c r="BC121" i="7" s="1"/>
  <c r="AZ121" i="7"/>
  <c r="BA121" i="7" s="1"/>
  <c r="AX121" i="7"/>
  <c r="AY121" i="7" s="1"/>
  <c r="AV121" i="7"/>
  <c r="AW121" i="7" s="1"/>
  <c r="AQ121" i="7"/>
  <c r="AR121" i="7"/>
  <c r="X121" i="7"/>
  <c r="T121" i="7"/>
  <c r="P121" i="7"/>
  <c r="N121" i="7"/>
  <c r="I121" i="7"/>
  <c r="BD121" i="7" s="1"/>
  <c r="BB120" i="7"/>
  <c r="BC120" i="7" s="1"/>
  <c r="AZ120" i="7"/>
  <c r="BA120" i="7" s="1"/>
  <c r="AX120" i="7"/>
  <c r="AY120" i="7" s="1"/>
  <c r="AV120" i="7"/>
  <c r="AW120" i="7" s="1"/>
  <c r="AQ120" i="7"/>
  <c r="AR120" i="7"/>
  <c r="X120" i="7"/>
  <c r="T120" i="7"/>
  <c r="P120" i="7"/>
  <c r="N120" i="7"/>
  <c r="I120" i="7"/>
  <c r="BD120" i="7" s="1"/>
  <c r="AZ119" i="7"/>
  <c r="BA119" i="7" s="1"/>
  <c r="AX119" i="7"/>
  <c r="AY119" i="7" s="1"/>
  <c r="AQ119" i="7"/>
  <c r="AR119" i="7"/>
  <c r="S119" i="7"/>
  <c r="AW119" i="7" s="1"/>
  <c r="N119" i="7"/>
  <c r="I119" i="7"/>
  <c r="BD119" i="7" s="1"/>
  <c r="BB118" i="7"/>
  <c r="BC118" i="7" s="1"/>
  <c r="AZ118" i="7"/>
  <c r="BA118" i="7" s="1"/>
  <c r="AX118" i="7"/>
  <c r="AY118" i="7" s="1"/>
  <c r="AV118" i="7"/>
  <c r="AW118" i="7" s="1"/>
  <c r="AQ118" i="7"/>
  <c r="AT118" i="7"/>
  <c r="T118" i="7"/>
  <c r="P118" i="7"/>
  <c r="N118" i="7"/>
  <c r="I118" i="7"/>
  <c r="BD118" i="7" s="1"/>
  <c r="AZ117" i="7"/>
  <c r="BA117" i="7" s="1"/>
  <c r="AX117" i="7"/>
  <c r="AY117" i="7" s="1"/>
  <c r="AV117" i="7"/>
  <c r="AW117" i="7" s="1"/>
  <c r="AQ117" i="7"/>
  <c r="AR117" i="7"/>
  <c r="X117" i="7"/>
  <c r="T117" i="7"/>
  <c r="S117" i="7"/>
  <c r="P117" i="7"/>
  <c r="N117" i="7"/>
  <c r="I117" i="7"/>
  <c r="BD117" i="7" s="1"/>
  <c r="BB116" i="7"/>
  <c r="BC116" i="7" s="1"/>
  <c r="AZ116" i="7"/>
  <c r="BA116" i="7" s="1"/>
  <c r="AX116" i="7"/>
  <c r="AY116" i="7" s="1"/>
  <c r="AV116" i="7"/>
  <c r="AW116" i="7" s="1"/>
  <c r="AQ116" i="7"/>
  <c r="AR116" i="7"/>
  <c r="X116" i="7"/>
  <c r="T116" i="7"/>
  <c r="P116" i="7"/>
  <c r="N116" i="7"/>
  <c r="I116" i="7"/>
  <c r="BD116" i="7" s="1"/>
  <c r="BB115" i="7"/>
  <c r="BC115" i="7" s="1"/>
  <c r="AZ115" i="7"/>
  <c r="BA115" i="7" s="1"/>
  <c r="AX115" i="7"/>
  <c r="AY115" i="7" s="1"/>
  <c r="AV115" i="7"/>
  <c r="AW115" i="7" s="1"/>
  <c r="AQ115" i="7"/>
  <c r="AT115" i="7"/>
  <c r="X115" i="7"/>
  <c r="T115" i="7"/>
  <c r="P115" i="7"/>
  <c r="N115" i="7"/>
  <c r="I115" i="7"/>
  <c r="BD115" i="7" s="1"/>
  <c r="BB114" i="7"/>
  <c r="BC114" i="7" s="1"/>
  <c r="AZ114" i="7"/>
  <c r="BA114" i="7" s="1"/>
  <c r="AX114" i="7"/>
  <c r="AY114" i="7" s="1"/>
  <c r="AV114" i="7"/>
  <c r="AW114" i="7" s="1"/>
  <c r="AQ114" i="7"/>
  <c r="X114" i="7"/>
  <c r="T114" i="7"/>
  <c r="P114" i="7"/>
  <c r="N114" i="7"/>
  <c r="I114" i="7"/>
  <c r="BD114" i="7" s="1"/>
  <c r="BB113" i="7"/>
  <c r="BC113" i="7" s="1"/>
  <c r="AZ113" i="7"/>
  <c r="BA113" i="7" s="1"/>
  <c r="AX113" i="7"/>
  <c r="AY113" i="7" s="1"/>
  <c r="AV113" i="7"/>
  <c r="AW113" i="7" s="1"/>
  <c r="AQ113" i="7"/>
  <c r="AR113" i="7"/>
  <c r="X113" i="7"/>
  <c r="T113" i="7"/>
  <c r="P113" i="7"/>
  <c r="N113" i="7"/>
  <c r="I113" i="7"/>
  <c r="BD113" i="7" s="1"/>
  <c r="BB112" i="7"/>
  <c r="BC112" i="7" s="1"/>
  <c r="AZ112" i="7"/>
  <c r="BA112" i="7" s="1"/>
  <c r="AX112" i="7"/>
  <c r="AY112" i="7" s="1"/>
  <c r="AV112" i="7"/>
  <c r="AW112" i="7" s="1"/>
  <c r="AQ112" i="7"/>
  <c r="AR112" i="7"/>
  <c r="X112" i="7"/>
  <c r="T112" i="7"/>
  <c r="P112" i="7"/>
  <c r="N112" i="7"/>
  <c r="I112" i="7"/>
  <c r="BD112" i="7" s="1"/>
  <c r="BB111" i="7"/>
  <c r="BC111" i="7" s="1"/>
  <c r="AZ111" i="7"/>
  <c r="BA111" i="7" s="1"/>
  <c r="AX111" i="7"/>
  <c r="AY111" i="7" s="1"/>
  <c r="AV111" i="7"/>
  <c r="AW111" i="7" s="1"/>
  <c r="AQ111" i="7"/>
  <c r="X111" i="7"/>
  <c r="T111" i="7"/>
  <c r="P111" i="7"/>
  <c r="N111" i="7"/>
  <c r="I111" i="7"/>
  <c r="BD111" i="7" s="1"/>
  <c r="BB110" i="7"/>
  <c r="BC110" i="7" s="1"/>
  <c r="AZ110" i="7"/>
  <c r="BA110" i="7" s="1"/>
  <c r="AX110" i="7"/>
  <c r="AY110" i="7" s="1"/>
  <c r="AV110" i="7"/>
  <c r="AW110" i="7" s="1"/>
  <c r="AQ110" i="7"/>
  <c r="X110" i="7"/>
  <c r="T110" i="7"/>
  <c r="P110" i="7"/>
  <c r="N110" i="7"/>
  <c r="I110" i="7"/>
  <c r="BD110" i="7" s="1"/>
  <c r="AZ109" i="7"/>
  <c r="BA109" i="7" s="1"/>
  <c r="AX109" i="7"/>
  <c r="AY109" i="7" s="1"/>
  <c r="AQ109" i="7"/>
  <c r="X109" i="7"/>
  <c r="T109" i="7"/>
  <c r="S109" i="7"/>
  <c r="AW109" i="7" s="1"/>
  <c r="P109" i="7"/>
  <c r="N109" i="7"/>
  <c r="I109" i="7"/>
  <c r="BD109" i="7" s="1"/>
  <c r="BB108" i="7"/>
  <c r="BC108" i="7" s="1"/>
  <c r="AZ108" i="7"/>
  <c r="BA108" i="7" s="1"/>
  <c r="AX108" i="7"/>
  <c r="AY108" i="7" s="1"/>
  <c r="AV108" i="7"/>
  <c r="AW108" i="7" s="1"/>
  <c r="AQ108" i="7"/>
  <c r="AR108" i="7"/>
  <c r="X108" i="7"/>
  <c r="T108" i="7"/>
  <c r="P108" i="7"/>
  <c r="N108" i="7"/>
  <c r="I108" i="7"/>
  <c r="BD108" i="7" s="1"/>
  <c r="BB107" i="7"/>
  <c r="BC107" i="7" s="1"/>
  <c r="AZ107" i="7"/>
  <c r="BA107" i="7" s="1"/>
  <c r="AX107" i="7"/>
  <c r="AY107" i="7" s="1"/>
  <c r="AV107" i="7"/>
  <c r="AW107" i="7" s="1"/>
  <c r="AQ107" i="7"/>
  <c r="X107" i="7"/>
  <c r="T107" i="7"/>
  <c r="P107" i="7"/>
  <c r="N107" i="7"/>
  <c r="I107" i="7"/>
  <c r="BD107" i="7" s="1"/>
  <c r="BB106" i="7"/>
  <c r="BC106" i="7" s="1"/>
  <c r="AZ106" i="7"/>
  <c r="BA106" i="7" s="1"/>
  <c r="AX106" i="7"/>
  <c r="AY106" i="7" s="1"/>
  <c r="AV106" i="7"/>
  <c r="AW106" i="7" s="1"/>
  <c r="AQ106" i="7"/>
  <c r="X106" i="7"/>
  <c r="T106" i="7"/>
  <c r="P106" i="7"/>
  <c r="N106" i="7"/>
  <c r="I106" i="7"/>
  <c r="BD106" i="7" s="1"/>
  <c r="BB105" i="7"/>
  <c r="BC105" i="7" s="1"/>
  <c r="AZ105" i="7"/>
  <c r="BA105" i="7" s="1"/>
  <c r="AX105" i="7"/>
  <c r="AY105" i="7" s="1"/>
  <c r="AV105" i="7"/>
  <c r="AW105" i="7" s="1"/>
  <c r="AQ105" i="7"/>
  <c r="X105" i="7"/>
  <c r="T105" i="7"/>
  <c r="P105" i="7"/>
  <c r="N105" i="7"/>
  <c r="I105" i="7"/>
  <c r="BD105" i="7" s="1"/>
  <c r="AZ104" i="7"/>
  <c r="BA104" i="7" s="1"/>
  <c r="AX104" i="7"/>
  <c r="AY104" i="7" s="1"/>
  <c r="AV104" i="7"/>
  <c r="AW104" i="7" s="1"/>
  <c r="AQ104" i="7"/>
  <c r="AT104" i="7"/>
  <c r="X104" i="7"/>
  <c r="T104" i="7"/>
  <c r="S104" i="7"/>
  <c r="BB104" i="7" s="1"/>
  <c r="BC104" i="7" s="1"/>
  <c r="P104" i="7"/>
  <c r="N104" i="7"/>
  <c r="I104" i="7"/>
  <c r="BD104" i="7" s="1"/>
  <c r="BB103" i="7"/>
  <c r="BC103" i="7" s="1"/>
  <c r="AZ103" i="7"/>
  <c r="BA103" i="7" s="1"/>
  <c r="AX103" i="7"/>
  <c r="AY103" i="7" s="1"/>
  <c r="AV103" i="7"/>
  <c r="AW103" i="7" s="1"/>
  <c r="AQ103" i="7"/>
  <c r="AR103" i="7"/>
  <c r="X103" i="7"/>
  <c r="T103" i="7"/>
  <c r="P103" i="7"/>
  <c r="N103" i="7"/>
  <c r="I103" i="7"/>
  <c r="BD103" i="7" s="1"/>
  <c r="BB102" i="7"/>
  <c r="BC102" i="7" s="1"/>
  <c r="AZ102" i="7"/>
  <c r="BA102" i="7" s="1"/>
  <c r="AX102" i="7"/>
  <c r="AY102" i="7" s="1"/>
  <c r="AV102" i="7"/>
  <c r="AW102" i="7" s="1"/>
  <c r="AQ102" i="7"/>
  <c r="X102" i="7"/>
  <c r="T102" i="7"/>
  <c r="P102" i="7"/>
  <c r="N102" i="7"/>
  <c r="I102" i="7"/>
  <c r="BD102" i="7" s="1"/>
  <c r="BB101" i="7"/>
  <c r="BC101" i="7" s="1"/>
  <c r="AZ101" i="7"/>
  <c r="BA101" i="7" s="1"/>
  <c r="AX101" i="7"/>
  <c r="AY101" i="7" s="1"/>
  <c r="AV101" i="7"/>
  <c r="AW101" i="7" s="1"/>
  <c r="AQ101" i="7"/>
  <c r="AR101" i="7"/>
  <c r="X101" i="7"/>
  <c r="T101" i="7"/>
  <c r="P101" i="7"/>
  <c r="N101" i="7"/>
  <c r="I101" i="7"/>
  <c r="BD101" i="7" s="1"/>
  <c r="BB100" i="7"/>
  <c r="BC100" i="7" s="1"/>
  <c r="AZ100" i="7"/>
  <c r="BA100" i="7" s="1"/>
  <c r="AX100" i="7"/>
  <c r="AY100" i="7" s="1"/>
  <c r="AV100" i="7"/>
  <c r="AW100" i="7" s="1"/>
  <c r="AQ100" i="7"/>
  <c r="AT100" i="7"/>
  <c r="X100" i="7"/>
  <c r="T100" i="7"/>
  <c r="P100" i="7"/>
  <c r="N100" i="7"/>
  <c r="I100" i="7"/>
  <c r="BD100" i="7" s="1"/>
  <c r="AZ99" i="7"/>
  <c r="BA99" i="7" s="1"/>
  <c r="AX99" i="7"/>
  <c r="AY99" i="7" s="1"/>
  <c r="AV99" i="7"/>
  <c r="AW99" i="7" s="1"/>
  <c r="AQ99" i="7"/>
  <c r="X99" i="7"/>
  <c r="T99" i="7"/>
  <c r="S99" i="7"/>
  <c r="BB99" i="7" s="1"/>
  <c r="BC99" i="7" s="1"/>
  <c r="P99" i="7"/>
  <c r="N99" i="7"/>
  <c r="I99" i="7"/>
  <c r="BD99" i="7" s="1"/>
  <c r="BB98" i="7"/>
  <c r="BC98" i="7" s="1"/>
  <c r="AZ98" i="7"/>
  <c r="BA98" i="7" s="1"/>
  <c r="AX98" i="7"/>
  <c r="AY98" i="7" s="1"/>
  <c r="AV98" i="7"/>
  <c r="AW98" i="7" s="1"/>
  <c r="AQ98" i="7"/>
  <c r="X98" i="7"/>
  <c r="T98" i="7"/>
  <c r="P98" i="7"/>
  <c r="N98" i="7"/>
  <c r="I98" i="7"/>
  <c r="BD98" i="7" s="1"/>
  <c r="BB97" i="7"/>
  <c r="BC97" i="7" s="1"/>
  <c r="AX97" i="7"/>
  <c r="AY97" i="7" s="1"/>
  <c r="AV97" i="7"/>
  <c r="AW97" i="7" s="1"/>
  <c r="AQ97" i="7"/>
  <c r="X97" i="7"/>
  <c r="T97" i="7"/>
  <c r="R97" i="7"/>
  <c r="P97" i="7"/>
  <c r="N97" i="7"/>
  <c r="H97" i="7"/>
  <c r="BC96" i="7"/>
  <c r="BA96" i="7"/>
  <c r="AY96" i="7"/>
  <c r="AW96" i="7"/>
  <c r="W96" i="7"/>
  <c r="W95" i="7" s="1"/>
  <c r="U96" i="7"/>
  <c r="Q96" i="7"/>
  <c r="M96" i="7"/>
  <c r="M95" i="7" s="1"/>
  <c r="L96" i="7"/>
  <c r="L95" i="7" s="1"/>
  <c r="K96" i="7"/>
  <c r="K95" i="7" s="1"/>
  <c r="J96" i="7"/>
  <c r="J95" i="7" s="1"/>
  <c r="BC95" i="7"/>
  <c r="BA95" i="7"/>
  <c r="AY95" i="7"/>
  <c r="AW95" i="7"/>
  <c r="BB94" i="7"/>
  <c r="BC94" i="7" s="1"/>
  <c r="AX94" i="7"/>
  <c r="AY94" i="7" s="1"/>
  <c r="AV94" i="7"/>
  <c r="AW94" i="7" s="1"/>
  <c r="AQ94" i="7"/>
  <c r="X94" i="7"/>
  <c r="T94" i="7"/>
  <c r="R94" i="7"/>
  <c r="AZ94" i="7" s="1"/>
  <c r="BA94" i="7" s="1"/>
  <c r="P94" i="7"/>
  <c r="N94" i="7"/>
  <c r="BB93" i="7"/>
  <c r="BC93" i="7" s="1"/>
  <c r="AX93" i="7"/>
  <c r="AY93" i="7" s="1"/>
  <c r="AV93" i="7"/>
  <c r="AW93" i="7" s="1"/>
  <c r="AQ93" i="7"/>
  <c r="AR93" i="7"/>
  <c r="X93" i="7"/>
  <c r="T93" i="7"/>
  <c r="R93" i="7"/>
  <c r="P93" i="7"/>
  <c r="N93" i="7"/>
  <c r="M93" i="7"/>
  <c r="L93" i="7" s="1"/>
  <c r="L81" i="7" s="1"/>
  <c r="L80" i="7" s="1"/>
  <c r="J93" i="7"/>
  <c r="J81" i="7" s="1"/>
  <c r="J80" i="7" s="1"/>
  <c r="H93" i="7"/>
  <c r="H81" i="7" s="1"/>
  <c r="H80" i="7" s="1"/>
  <c r="AQ91" i="7"/>
  <c r="L91" i="7"/>
  <c r="J91" i="7"/>
  <c r="I91" i="7"/>
  <c r="BD91" i="7" s="1"/>
  <c r="AQ90" i="7"/>
  <c r="X90" i="7"/>
  <c r="T90" i="7"/>
  <c r="P90" i="7"/>
  <c r="L90" i="7"/>
  <c r="J90" i="7"/>
  <c r="I90" i="7"/>
  <c r="BD90" i="7" s="1"/>
  <c r="AQ89" i="7"/>
  <c r="X89" i="7"/>
  <c r="T89" i="7"/>
  <c r="P89" i="7"/>
  <c r="L89" i="7"/>
  <c r="J89" i="7"/>
  <c r="I89" i="7"/>
  <c r="BD89" i="7" s="1"/>
  <c r="AQ88" i="7"/>
  <c r="X88" i="7"/>
  <c r="T88" i="7"/>
  <c r="P88" i="7"/>
  <c r="L88" i="7"/>
  <c r="J88" i="7"/>
  <c r="I88" i="7"/>
  <c r="BD88" i="7" s="1"/>
  <c r="AQ87" i="7"/>
  <c r="X87" i="7"/>
  <c r="T87" i="7"/>
  <c r="P87" i="7"/>
  <c r="N87" i="7"/>
  <c r="AQ86" i="7"/>
  <c r="N86" i="7"/>
  <c r="AQ85" i="7"/>
  <c r="N85" i="7"/>
  <c r="BB84" i="7"/>
  <c r="BC84" i="7" s="1"/>
  <c r="AZ84" i="7"/>
  <c r="BA84" i="7" s="1"/>
  <c r="AX84" i="7"/>
  <c r="AY84" i="7" s="1"/>
  <c r="U84" i="7"/>
  <c r="T84" i="7" s="1"/>
  <c r="Q84" i="7"/>
  <c r="N84" i="7"/>
  <c r="BC83" i="7"/>
  <c r="BA83" i="7"/>
  <c r="AY83" i="7"/>
  <c r="AW83" i="7"/>
  <c r="AQ83" i="7"/>
  <c r="BC82" i="7"/>
  <c r="BA82" i="7"/>
  <c r="AY82" i="7"/>
  <c r="AW82" i="7"/>
  <c r="AQ82" i="7"/>
  <c r="BC81" i="7"/>
  <c r="BA81" i="7"/>
  <c r="AY81" i="7"/>
  <c r="AW81" i="7"/>
  <c r="Y81" i="7"/>
  <c r="W81" i="7"/>
  <c r="W80" i="7" s="1"/>
  <c r="V81" i="7"/>
  <c r="V80" i="7" s="1"/>
  <c r="S81" i="7"/>
  <c r="S80" i="7" s="1"/>
  <c r="O81" i="7"/>
  <c r="O80" i="7" s="1"/>
  <c r="K81" i="7"/>
  <c r="K80" i="7" s="1"/>
  <c r="BC80" i="7"/>
  <c r="BA80" i="7"/>
  <c r="AY80" i="7"/>
  <c r="AW80" i="7"/>
  <c r="BC79" i="7"/>
  <c r="BA79" i="7"/>
  <c r="AY79" i="7"/>
  <c r="AW79" i="7"/>
  <c r="AR77" i="7"/>
  <c r="Y77" i="7"/>
  <c r="H77" i="7"/>
  <c r="Y76" i="7"/>
  <c r="AS75" i="7"/>
  <c r="AQ75" i="7"/>
  <c r="I75" i="7"/>
  <c r="BD75" i="7" s="1"/>
  <c r="AQ74" i="7"/>
  <c r="X74" i="7"/>
  <c r="R74" i="7"/>
  <c r="T74" i="7" s="1"/>
  <c r="H74" i="7"/>
  <c r="BB73" i="7"/>
  <c r="BC73" i="7" s="1"/>
  <c r="AX73" i="7"/>
  <c r="AY73" i="7" s="1"/>
  <c r="AV73" i="7"/>
  <c r="AW73" i="7" s="1"/>
  <c r="Y73" i="7"/>
  <c r="T73" i="7"/>
  <c r="R73" i="7"/>
  <c r="P73" i="7"/>
  <c r="BB72" i="7"/>
  <c r="BC72" i="7" s="1"/>
  <c r="AX72" i="7"/>
  <c r="AQ72" i="7"/>
  <c r="X72" i="7"/>
  <c r="T72" i="7"/>
  <c r="Q72" i="7"/>
  <c r="Q62" i="7" s="1"/>
  <c r="BB71" i="7"/>
  <c r="BC71" i="7" s="1"/>
  <c r="AZ71" i="7"/>
  <c r="BA71" i="7" s="1"/>
  <c r="AX71" i="7"/>
  <c r="AY71" i="7" s="1"/>
  <c r="AV71" i="7"/>
  <c r="AW71" i="7" s="1"/>
  <c r="AQ71" i="7"/>
  <c r="AR71" i="7"/>
  <c r="X71" i="7"/>
  <c r="T71" i="7"/>
  <c r="P71" i="7"/>
  <c r="N71" i="7"/>
  <c r="H71" i="7"/>
  <c r="AZ70" i="7"/>
  <c r="BA70" i="7" s="1"/>
  <c r="AX70" i="7"/>
  <c r="AY70" i="7" s="1"/>
  <c r="AV70" i="7"/>
  <c r="AW70" i="7" s="1"/>
  <c r="Y70" i="7"/>
  <c r="T70" i="7"/>
  <c r="S70" i="7"/>
  <c r="BB70" i="7" s="1"/>
  <c r="BC70" i="7" s="1"/>
  <c r="P70" i="7"/>
  <c r="N70" i="7"/>
  <c r="I70" i="7"/>
  <c r="BB69" i="7"/>
  <c r="BC69" i="7" s="1"/>
  <c r="AZ69" i="7"/>
  <c r="BA69" i="7" s="1"/>
  <c r="AX69" i="7"/>
  <c r="AY69" i="7" s="1"/>
  <c r="AV69" i="7"/>
  <c r="AW69" i="7" s="1"/>
  <c r="AQ69" i="7"/>
  <c r="X69" i="7"/>
  <c r="T69" i="7"/>
  <c r="P69" i="7"/>
  <c r="N69" i="7"/>
  <c r="H69" i="7"/>
  <c r="AZ68" i="7"/>
  <c r="BA68" i="7" s="1"/>
  <c r="AX68" i="7"/>
  <c r="AY68" i="7" s="1"/>
  <c r="AV68" i="7"/>
  <c r="AW68" i="7" s="1"/>
  <c r="Y68" i="7"/>
  <c r="X68" i="7" s="1"/>
  <c r="T68" i="7"/>
  <c r="S68" i="7"/>
  <c r="BB68" i="7" s="1"/>
  <c r="BC68" i="7" s="1"/>
  <c r="P68" i="7"/>
  <c r="N68" i="7"/>
  <c r="AZ67" i="7"/>
  <c r="BA67" i="7" s="1"/>
  <c r="AX67" i="7"/>
  <c r="AY67" i="7" s="1"/>
  <c r="AV67" i="7"/>
  <c r="AW67" i="7" s="1"/>
  <c r="Y67" i="7"/>
  <c r="T67" i="7"/>
  <c r="S67" i="7"/>
  <c r="P67" i="7"/>
  <c r="N67" i="7"/>
  <c r="H67" i="7"/>
  <c r="BB66" i="7"/>
  <c r="BC66" i="7" s="1"/>
  <c r="AZ66" i="7"/>
  <c r="BA66" i="7" s="1"/>
  <c r="AX66" i="7"/>
  <c r="AY66" i="7" s="1"/>
  <c r="AV66" i="7"/>
  <c r="AW66" i="7" s="1"/>
  <c r="AQ66" i="7"/>
  <c r="X66" i="7"/>
  <c r="AF66" i="7" s="1"/>
  <c r="T66" i="7"/>
  <c r="P66" i="7"/>
  <c r="N66" i="7"/>
  <c r="BB65" i="7"/>
  <c r="BC65" i="7" s="1"/>
  <c r="AZ65" i="7"/>
  <c r="BA65" i="7" s="1"/>
  <c r="AX65" i="7"/>
  <c r="AY65" i="7" s="1"/>
  <c r="AV65" i="7"/>
  <c r="AW65" i="7" s="1"/>
  <c r="AQ65" i="7"/>
  <c r="AT65" i="7"/>
  <c r="T65" i="7"/>
  <c r="P65" i="7"/>
  <c r="N65" i="7"/>
  <c r="I65" i="7"/>
  <c r="BB64" i="7"/>
  <c r="BC64" i="7" s="1"/>
  <c r="AZ64" i="7"/>
  <c r="BA64" i="7" s="1"/>
  <c r="AX64" i="7"/>
  <c r="AY64" i="7" s="1"/>
  <c r="AV64" i="7"/>
  <c r="AW64" i="7" s="1"/>
  <c r="U64" i="7"/>
  <c r="P64" i="7"/>
  <c r="N64" i="7"/>
  <c r="BB63" i="7"/>
  <c r="BC63" i="7" s="1"/>
  <c r="AZ63" i="7"/>
  <c r="BA63" i="7" s="1"/>
  <c r="AX63" i="7"/>
  <c r="AY63" i="7" s="1"/>
  <c r="AV63" i="7"/>
  <c r="AW63" i="7" s="1"/>
  <c r="AQ63" i="7"/>
  <c r="X63" i="7"/>
  <c r="T63" i="7"/>
  <c r="P63" i="7"/>
  <c r="N63" i="7"/>
  <c r="BC62" i="7"/>
  <c r="BA62" i="7"/>
  <c r="AY62" i="7"/>
  <c r="AW62" i="7"/>
  <c r="W44" i="7"/>
  <c r="W33" i="7" s="1"/>
  <c r="O44" i="7"/>
  <c r="O33" i="7" s="1"/>
  <c r="BB57" i="7"/>
  <c r="BC57" i="7" s="1"/>
  <c r="AX57" i="7"/>
  <c r="AY57" i="7" s="1"/>
  <c r="AV57" i="7"/>
  <c r="AW57" i="7" s="1"/>
  <c r="Y57" i="7"/>
  <c r="T57" i="7"/>
  <c r="P57" i="7"/>
  <c r="I57" i="7"/>
  <c r="BB56" i="7"/>
  <c r="BC56" i="7" s="1"/>
  <c r="AX56" i="7"/>
  <c r="AY56" i="7" s="1"/>
  <c r="AV56" i="7"/>
  <c r="AW56" i="7" s="1"/>
  <c r="AQ56" i="7"/>
  <c r="X56" i="7"/>
  <c r="T56" i="7"/>
  <c r="P56" i="7"/>
  <c r="H56" i="7"/>
  <c r="BB55" i="7"/>
  <c r="BC55" i="7" s="1"/>
  <c r="AX55" i="7"/>
  <c r="AY55" i="7" s="1"/>
  <c r="AV55" i="7"/>
  <c r="AW55" i="7" s="1"/>
  <c r="Y55" i="7"/>
  <c r="T55" i="7"/>
  <c r="R55" i="7"/>
  <c r="R45" i="7" s="1"/>
  <c r="P55" i="7"/>
  <c r="N55" i="7"/>
  <c r="I55" i="7"/>
  <c r="BB54" i="7"/>
  <c r="BC54" i="7" s="1"/>
  <c r="AZ54" i="7"/>
  <c r="BA54" i="7" s="1"/>
  <c r="AX54" i="7"/>
  <c r="AY54" i="7" s="1"/>
  <c r="AV54" i="7"/>
  <c r="AW54" i="7" s="1"/>
  <c r="AQ54" i="7"/>
  <c r="X54" i="7"/>
  <c r="AF54" i="7" s="1"/>
  <c r="T54" i="7"/>
  <c r="P54" i="7"/>
  <c r="N54" i="7"/>
  <c r="BB53" i="7"/>
  <c r="BC53" i="7" s="1"/>
  <c r="AZ53" i="7"/>
  <c r="BA53" i="7" s="1"/>
  <c r="AX53" i="7"/>
  <c r="AY53" i="7" s="1"/>
  <c r="AV53" i="7"/>
  <c r="AW53" i="7" s="1"/>
  <c r="Y53" i="7"/>
  <c r="T53" i="7"/>
  <c r="P53" i="7"/>
  <c r="N53" i="7"/>
  <c r="BB52" i="7"/>
  <c r="BC52" i="7" s="1"/>
  <c r="AZ52" i="7"/>
  <c r="BA52" i="7" s="1"/>
  <c r="AX52" i="7"/>
  <c r="AY52" i="7" s="1"/>
  <c r="AV52" i="7"/>
  <c r="AW52" i="7" s="1"/>
  <c r="AQ52" i="7"/>
  <c r="X52" i="7"/>
  <c r="AF52" i="7" s="1"/>
  <c r="T52" i="7"/>
  <c r="P52" i="7"/>
  <c r="N52" i="7"/>
  <c r="BB51" i="7"/>
  <c r="BC51" i="7" s="1"/>
  <c r="AZ51" i="7"/>
  <c r="BA51" i="7" s="1"/>
  <c r="AX51" i="7"/>
  <c r="AY51" i="7" s="1"/>
  <c r="AV51" i="7"/>
  <c r="AW51" i="7" s="1"/>
  <c r="AQ51" i="7"/>
  <c r="AT51" i="7"/>
  <c r="X51" i="7"/>
  <c r="T51" i="7"/>
  <c r="P51" i="7"/>
  <c r="N51" i="7"/>
  <c r="H51" i="7"/>
  <c r="BB50" i="7"/>
  <c r="BC50" i="7" s="1"/>
  <c r="AZ50" i="7"/>
  <c r="BA50" i="7" s="1"/>
  <c r="AX50" i="7"/>
  <c r="AY50" i="7" s="1"/>
  <c r="AV50" i="7"/>
  <c r="AW50" i="7" s="1"/>
  <c r="AQ50" i="7"/>
  <c r="X50" i="7"/>
  <c r="T50" i="7"/>
  <c r="P50" i="7"/>
  <c r="N50" i="7"/>
  <c r="BD50" i="7"/>
  <c r="BB49" i="7"/>
  <c r="BC49" i="7" s="1"/>
  <c r="AZ49" i="7"/>
  <c r="BA49" i="7" s="1"/>
  <c r="AX49" i="7"/>
  <c r="AY49" i="7" s="1"/>
  <c r="AV49" i="7"/>
  <c r="AW49" i="7" s="1"/>
  <c r="AQ49" i="7"/>
  <c r="X49" i="7"/>
  <c r="T49" i="7"/>
  <c r="P49" i="7"/>
  <c r="N49" i="7"/>
  <c r="BB48" i="7"/>
  <c r="BC48" i="7" s="1"/>
  <c r="AZ48" i="7"/>
  <c r="BA48" i="7" s="1"/>
  <c r="AX48" i="7"/>
  <c r="AY48" i="7" s="1"/>
  <c r="AV48" i="7"/>
  <c r="AW48" i="7" s="1"/>
  <c r="AQ48" i="7"/>
  <c r="X48" i="7"/>
  <c r="T48" i="7"/>
  <c r="P48" i="7"/>
  <c r="N48" i="7"/>
  <c r="BB47" i="7"/>
  <c r="BC47" i="7" s="1"/>
  <c r="AZ47" i="7"/>
  <c r="BA47" i="7" s="1"/>
  <c r="AX47" i="7"/>
  <c r="AY47" i="7" s="1"/>
  <c r="AV47" i="7"/>
  <c r="AW47" i="7" s="1"/>
  <c r="AQ47" i="7"/>
  <c r="X47" i="7"/>
  <c r="T47" i="7"/>
  <c r="P47" i="7"/>
  <c r="N47" i="7"/>
  <c r="H47" i="7"/>
  <c r="BB46" i="7"/>
  <c r="BC46" i="7" s="1"/>
  <c r="AZ46" i="7"/>
  <c r="BA46" i="7" s="1"/>
  <c r="AX46" i="7"/>
  <c r="AY46" i="7" s="1"/>
  <c r="AV46" i="7"/>
  <c r="AW46" i="7" s="1"/>
  <c r="AQ46" i="7"/>
  <c r="BC45" i="7"/>
  <c r="BA45" i="7"/>
  <c r="AY45" i="7"/>
  <c r="AW45" i="7"/>
  <c r="BC44" i="7"/>
  <c r="BA44" i="7"/>
  <c r="AY44" i="7"/>
  <c r="AW44" i="7"/>
  <c r="BB43" i="7"/>
  <c r="BC43" i="7" s="1"/>
  <c r="AZ43" i="7"/>
  <c r="BA43" i="7" s="1"/>
  <c r="AX43" i="7"/>
  <c r="AY43" i="7" s="1"/>
  <c r="AV43" i="7"/>
  <c r="AW43" i="7" s="1"/>
  <c r="AQ43" i="7"/>
  <c r="X43" i="7"/>
  <c r="T43" i="7"/>
  <c r="P43" i="7"/>
  <c r="M43" i="7"/>
  <c r="J43" i="7"/>
  <c r="L43" i="7" s="1"/>
  <c r="I43" i="7"/>
  <c r="BD43" i="7" s="1"/>
  <c r="BB42" i="7"/>
  <c r="BC42" i="7" s="1"/>
  <c r="AZ42" i="7"/>
  <c r="BA42" i="7" s="1"/>
  <c r="AX42" i="7"/>
  <c r="AY42" i="7" s="1"/>
  <c r="AV42" i="7"/>
  <c r="AW42" i="7" s="1"/>
  <c r="AQ42" i="7"/>
  <c r="AR42" i="7"/>
  <c r="BB41" i="7"/>
  <c r="BC41" i="7" s="1"/>
  <c r="AZ41" i="7"/>
  <c r="BA41" i="7" s="1"/>
  <c r="AX41" i="7"/>
  <c r="AY41" i="7" s="1"/>
  <c r="AV41" i="7"/>
  <c r="AW41" i="7" s="1"/>
  <c r="AQ41" i="7"/>
  <c r="X41" i="7"/>
  <c r="T41" i="7"/>
  <c r="P41" i="7"/>
  <c r="N41" i="7"/>
  <c r="M41" i="7"/>
  <c r="J41" i="7"/>
  <c r="I41" i="7"/>
  <c r="BD41" i="7" s="1"/>
  <c r="BB40" i="7"/>
  <c r="BC40" i="7" s="1"/>
  <c r="AZ40" i="7"/>
  <c r="BA40" i="7" s="1"/>
  <c r="AX40" i="7"/>
  <c r="AY40" i="7" s="1"/>
  <c r="AV40" i="7"/>
  <c r="AW40" i="7" s="1"/>
  <c r="AQ40" i="7"/>
  <c r="AR40" i="7"/>
  <c r="X40" i="7"/>
  <c r="AF40" i="7" s="1"/>
  <c r="AF35" i="7" s="1"/>
  <c r="AF34" i="7" s="1"/>
  <c r="T40" i="7"/>
  <c r="P40" i="7"/>
  <c r="N40" i="7"/>
  <c r="I40" i="7"/>
  <c r="BD40" i="7" s="1"/>
  <c r="BB39" i="7"/>
  <c r="BC39" i="7" s="1"/>
  <c r="AZ39" i="7"/>
  <c r="BA39" i="7" s="1"/>
  <c r="AX39" i="7"/>
  <c r="AY39" i="7" s="1"/>
  <c r="AV39" i="7"/>
  <c r="AW39" i="7" s="1"/>
  <c r="AQ39" i="7"/>
  <c r="AR39" i="7"/>
  <c r="I39" i="7"/>
  <c r="BD39" i="7" s="1"/>
  <c r="BB38" i="7"/>
  <c r="AZ38" i="7"/>
  <c r="BA38" i="7" s="1"/>
  <c r="AX38" i="7"/>
  <c r="AV38" i="7"/>
  <c r="AW38" i="7" s="1"/>
  <c r="AQ38" i="7"/>
  <c r="AR38" i="7"/>
  <c r="X38" i="7"/>
  <c r="T38" i="7"/>
  <c r="P38" i="7"/>
  <c r="N38" i="7"/>
  <c r="M38" i="7"/>
  <c r="K38" i="7"/>
  <c r="K35" i="7" s="1"/>
  <c r="K34" i="7" s="1"/>
  <c r="K33" i="7" s="1"/>
  <c r="I38" i="7"/>
  <c r="AQ37" i="7"/>
  <c r="AQ36" i="7"/>
  <c r="H35" i="7"/>
  <c r="H34" i="7" s="1"/>
  <c r="H22" i="7"/>
  <c r="H21" i="7"/>
  <c r="H20" i="7"/>
  <c r="H19" i="7"/>
  <c r="U17" i="7"/>
  <c r="T17" i="7" s="1"/>
  <c r="P17" i="7"/>
  <c r="N17" i="7"/>
  <c r="X32" i="13"/>
  <c r="Z32" i="13"/>
  <c r="G32" i="13"/>
  <c r="I32" i="13" s="1"/>
  <c r="F32" i="13"/>
  <c r="H32" i="13" s="1"/>
  <c r="D32" i="13"/>
  <c r="I31" i="13"/>
  <c r="G31" i="13" s="1"/>
  <c r="H31" i="13"/>
  <c r="F31" i="13" s="1"/>
  <c r="E31" i="13"/>
  <c r="D31" i="13"/>
  <c r="L30" i="13"/>
  <c r="X30" i="13" s="1"/>
  <c r="D30" i="13"/>
  <c r="L29" i="13"/>
  <c r="X29" i="13" s="1"/>
  <c r="D29" i="13"/>
  <c r="I28" i="13"/>
  <c r="I26" i="13" s="1"/>
  <c r="H28" i="13"/>
  <c r="F28" i="13" s="1"/>
  <c r="E28" i="13"/>
  <c r="E26" i="13" s="1"/>
  <c r="D28" i="13"/>
  <c r="F27" i="13"/>
  <c r="D27" i="13"/>
  <c r="C26" i="13"/>
  <c r="X25" i="13"/>
  <c r="D25" i="13"/>
  <c r="V23" i="13"/>
  <c r="I23" i="13"/>
  <c r="G23" i="13" s="1"/>
  <c r="H23" i="13"/>
  <c r="F23" i="13" s="1"/>
  <c r="E23" i="13"/>
  <c r="D23" i="13"/>
  <c r="I22" i="13"/>
  <c r="G22" i="13" s="1"/>
  <c r="H22" i="13"/>
  <c r="F22" i="13" s="1"/>
  <c r="E22" i="13"/>
  <c r="D22" i="13"/>
  <c r="L21" i="13"/>
  <c r="I21" i="13"/>
  <c r="G21" i="13" s="1"/>
  <c r="H21" i="13"/>
  <c r="F21" i="13" s="1"/>
  <c r="E21" i="13"/>
  <c r="D21" i="13"/>
  <c r="I20" i="13"/>
  <c r="H20" i="13"/>
  <c r="G20" i="13"/>
  <c r="E20" i="13"/>
  <c r="D20" i="13"/>
  <c r="I19" i="13"/>
  <c r="H19" i="13"/>
  <c r="G19" i="13"/>
  <c r="F19" i="13"/>
  <c r="E19" i="13"/>
  <c r="D19" i="13"/>
  <c r="I18" i="13"/>
  <c r="G18" i="13" s="1"/>
  <c r="H18" i="13"/>
  <c r="F18" i="13" s="1"/>
  <c r="E18" i="13"/>
  <c r="D18" i="13"/>
  <c r="I17" i="13"/>
  <c r="G17" i="13" s="1"/>
  <c r="H17" i="13"/>
  <c r="F17" i="13" s="1"/>
  <c r="E17" i="13"/>
  <c r="D17" i="13"/>
  <c r="I16" i="13"/>
  <c r="G16" i="13" s="1"/>
  <c r="H16" i="13"/>
  <c r="F16" i="13" s="1"/>
  <c r="E16" i="13"/>
  <c r="D16" i="13"/>
  <c r="I15" i="13"/>
  <c r="H15" i="13"/>
  <c r="F15" i="13" s="1"/>
  <c r="E15" i="13"/>
  <c r="D15" i="13"/>
  <c r="M14" i="13"/>
  <c r="C14" i="13"/>
  <c r="C12" i="13" s="1"/>
  <c r="X13" i="13"/>
  <c r="D13" i="13"/>
  <c r="N11" i="13"/>
  <c r="Y11" i="13"/>
  <c r="V11" i="13"/>
  <c r="L27" i="15"/>
  <c r="L26" i="15"/>
  <c r="L25" i="15"/>
  <c r="L13" i="15"/>
  <c r="L11" i="15"/>
  <c r="R37" i="14"/>
  <c r="R36" i="14"/>
  <c r="R35" i="14"/>
  <c r="R34" i="14"/>
  <c r="R33" i="14"/>
  <c r="R32" i="14"/>
  <c r="W31" i="14"/>
  <c r="Q31" i="14"/>
  <c r="J31" i="14"/>
  <c r="G31" i="14"/>
  <c r="I31" i="14" s="1"/>
  <c r="F31" i="14"/>
  <c r="H31" i="14" s="1"/>
  <c r="D31" i="14"/>
  <c r="W30" i="14"/>
  <c r="Q30" i="14"/>
  <c r="I30" i="14"/>
  <c r="H30" i="14"/>
  <c r="G30" i="14"/>
  <c r="F30" i="14"/>
  <c r="E30" i="14"/>
  <c r="D30" i="14"/>
  <c r="W29" i="14"/>
  <c r="J29" i="14"/>
  <c r="D29" i="14"/>
  <c r="W28" i="14"/>
  <c r="J28" i="14"/>
  <c r="D28" i="14"/>
  <c r="W27" i="14"/>
  <c r="Q27" i="14"/>
  <c r="I27" i="14"/>
  <c r="I25" i="14" s="1"/>
  <c r="H27" i="14"/>
  <c r="G27" i="14"/>
  <c r="G25" i="14" s="1"/>
  <c r="F27" i="14"/>
  <c r="E27" i="14"/>
  <c r="R27" i="14" s="1"/>
  <c r="R25" i="14" s="1"/>
  <c r="D27" i="14"/>
  <c r="W26" i="14"/>
  <c r="J26" i="14"/>
  <c r="F26" i="14"/>
  <c r="F25" i="14" s="1"/>
  <c r="D26" i="14"/>
  <c r="Q25" i="14"/>
  <c r="H25" i="14"/>
  <c r="C25" i="14"/>
  <c r="K24" i="14"/>
  <c r="W24" i="14" s="1"/>
  <c r="D24" i="14"/>
  <c r="U23" i="14"/>
  <c r="Q23" i="14"/>
  <c r="K23" i="14"/>
  <c r="I23" i="14"/>
  <c r="G23" i="14" s="1"/>
  <c r="H23" i="14"/>
  <c r="F23" i="14" s="1"/>
  <c r="E23" i="14"/>
  <c r="D23" i="14"/>
  <c r="Q22" i="14"/>
  <c r="K22" i="14"/>
  <c r="I22" i="14"/>
  <c r="G22" i="14" s="1"/>
  <c r="H22" i="14"/>
  <c r="F22" i="14" s="1"/>
  <c r="E22" i="14"/>
  <c r="D22" i="14"/>
  <c r="Q21" i="14"/>
  <c r="L21" i="14"/>
  <c r="K21" i="14"/>
  <c r="I21" i="14"/>
  <c r="G21" i="14" s="1"/>
  <c r="H21" i="14"/>
  <c r="F21" i="14" s="1"/>
  <c r="E21" i="14"/>
  <c r="D21" i="14"/>
  <c r="Q20" i="14"/>
  <c r="I20" i="14"/>
  <c r="H20" i="14"/>
  <c r="G20" i="14"/>
  <c r="E20" i="14"/>
  <c r="D20" i="14"/>
  <c r="Q19" i="14"/>
  <c r="I19" i="14"/>
  <c r="H19" i="14"/>
  <c r="G19" i="14"/>
  <c r="F19" i="14"/>
  <c r="E19" i="14"/>
  <c r="D19" i="14"/>
  <c r="Q18" i="14"/>
  <c r="I18" i="14"/>
  <c r="G18" i="14" s="1"/>
  <c r="H18" i="14"/>
  <c r="F18" i="14" s="1"/>
  <c r="E18" i="14"/>
  <c r="D18" i="14"/>
  <c r="Q17" i="14"/>
  <c r="L17" i="14"/>
  <c r="I17" i="14"/>
  <c r="G17" i="14" s="1"/>
  <c r="H17" i="14"/>
  <c r="F17" i="14" s="1"/>
  <c r="E17" i="14"/>
  <c r="R17" i="14" s="1"/>
  <c r="D17" i="14"/>
  <c r="Q16" i="14"/>
  <c r="K16" i="14"/>
  <c r="K14" i="14" s="1"/>
  <c r="K12" i="14" s="1"/>
  <c r="K11" i="14" s="1"/>
  <c r="U11" i="14" s="1"/>
  <c r="I16" i="14"/>
  <c r="G16" i="14" s="1"/>
  <c r="H16" i="14"/>
  <c r="F16" i="14" s="1"/>
  <c r="E16" i="14"/>
  <c r="D16" i="14"/>
  <c r="Q15" i="14"/>
  <c r="N15" i="14"/>
  <c r="N14" i="14" s="1"/>
  <c r="N12" i="14" s="1"/>
  <c r="N11" i="14" s="1"/>
  <c r="I15" i="14"/>
  <c r="G15" i="14" s="1"/>
  <c r="H15" i="14"/>
  <c r="F15" i="14" s="1"/>
  <c r="E15" i="14"/>
  <c r="R15" i="14" s="1"/>
  <c r="D15" i="14"/>
  <c r="M14" i="14"/>
  <c r="C14" i="14"/>
  <c r="C12" i="14" s="1"/>
  <c r="C11" i="14" s="1"/>
  <c r="L13" i="14"/>
  <c r="W13" i="14" s="1"/>
  <c r="D13" i="14"/>
  <c r="P12" i="14"/>
  <c r="P11" i="14" s="1"/>
  <c r="M12" i="14"/>
  <c r="M11" i="14" s="1"/>
  <c r="AH502" i="5"/>
  <c r="S502" i="5"/>
  <c r="O502" i="5"/>
  <c r="G502" i="5"/>
  <c r="AH501" i="5"/>
  <c r="S501" i="5"/>
  <c r="O501" i="5"/>
  <c r="G501" i="5"/>
  <c r="AH500" i="5"/>
  <c r="S500" i="5"/>
  <c r="O500" i="5"/>
  <c r="G500" i="5"/>
  <c r="AH499" i="5"/>
  <c r="S499" i="5"/>
  <c r="O499" i="5"/>
  <c r="G499" i="5"/>
  <c r="T498" i="5"/>
  <c r="S498" i="5" s="1"/>
  <c r="P498" i="5"/>
  <c r="N498" i="5"/>
  <c r="G498" i="5"/>
  <c r="AH497" i="5"/>
  <c r="W497" i="5"/>
  <c r="S497" i="5"/>
  <c r="O497" i="5"/>
  <c r="M497" i="5"/>
  <c r="AH496" i="5"/>
  <c r="W496" i="5"/>
  <c r="S496" i="5"/>
  <c r="O496" i="5"/>
  <c r="N496" i="5"/>
  <c r="AH495" i="5"/>
  <c r="W495" i="5"/>
  <c r="S495" i="5"/>
  <c r="O495" i="5"/>
  <c r="M495" i="5"/>
  <c r="H495" i="5"/>
  <c r="AH494" i="5"/>
  <c r="W494" i="5"/>
  <c r="S494" i="5"/>
  <c r="O494" i="5"/>
  <c r="M494" i="5"/>
  <c r="H494" i="5"/>
  <c r="AH493" i="5"/>
  <c r="W493" i="5"/>
  <c r="S493" i="5"/>
  <c r="O493" i="5"/>
  <c r="M493" i="5"/>
  <c r="H493" i="5"/>
  <c r="AH492" i="5"/>
  <c r="W492" i="5"/>
  <c r="S492" i="5"/>
  <c r="O492" i="5"/>
  <c r="M492" i="5"/>
  <c r="H492" i="5"/>
  <c r="H489" i="5" s="1"/>
  <c r="H488" i="5" s="1"/>
  <c r="AH491" i="5"/>
  <c r="W491" i="5"/>
  <c r="U491" i="5"/>
  <c r="H491" i="5"/>
  <c r="AH490" i="5"/>
  <c r="W490" i="5"/>
  <c r="U490" i="5"/>
  <c r="U489" i="5" s="1"/>
  <c r="U488" i="5" s="1"/>
  <c r="H490" i="5"/>
  <c r="AF489" i="5"/>
  <c r="AE489" i="5"/>
  <c r="AD489" i="5"/>
  <c r="AC489" i="5"/>
  <c r="AB489" i="5"/>
  <c r="AA489" i="5"/>
  <c r="Z489" i="5"/>
  <c r="Y489" i="5"/>
  <c r="X489" i="5"/>
  <c r="V489" i="5"/>
  <c r="T489" i="5"/>
  <c r="R489" i="5"/>
  <c r="Q489" i="5"/>
  <c r="P489" i="5"/>
  <c r="M489" i="5"/>
  <c r="G489" i="5"/>
  <c r="AF488" i="5"/>
  <c r="AE488" i="5"/>
  <c r="AD488" i="5"/>
  <c r="AC488" i="5"/>
  <c r="AB488" i="5"/>
  <c r="AA488" i="5"/>
  <c r="Z488" i="5"/>
  <c r="Y488" i="5"/>
  <c r="X488" i="5"/>
  <c r="V488" i="5"/>
  <c r="T488" i="5"/>
  <c r="R488" i="5"/>
  <c r="Q488" i="5"/>
  <c r="P488" i="5"/>
  <c r="M488" i="5"/>
  <c r="G488" i="5"/>
  <c r="AH487" i="5"/>
  <c r="U487" i="5"/>
  <c r="L487" i="5"/>
  <c r="L480" i="5" s="1"/>
  <c r="L479" i="5" s="1"/>
  <c r="L478" i="5" s="1"/>
  <c r="J487" i="5"/>
  <c r="H487" i="5"/>
  <c r="AH486" i="5"/>
  <c r="W486" i="5"/>
  <c r="U486" i="5"/>
  <c r="U480" i="5" s="1"/>
  <c r="U479" i="5" s="1"/>
  <c r="S486" i="5"/>
  <c r="O486" i="5"/>
  <c r="M486" i="5"/>
  <c r="H486" i="5"/>
  <c r="AH485" i="5"/>
  <c r="U485" i="5"/>
  <c r="K485" i="5"/>
  <c r="I485" i="5"/>
  <c r="H485" i="5"/>
  <c r="AH484" i="5"/>
  <c r="K484" i="5"/>
  <c r="I484" i="5"/>
  <c r="H484" i="5"/>
  <c r="AH483" i="5"/>
  <c r="W483" i="5"/>
  <c r="S483" i="5"/>
  <c r="O483" i="5"/>
  <c r="M483" i="5"/>
  <c r="K483" i="5"/>
  <c r="K480" i="5" s="1"/>
  <c r="K479" i="5" s="1"/>
  <c r="K478" i="5" s="1"/>
  <c r="I483" i="5"/>
  <c r="I480" i="5" s="1"/>
  <c r="I479" i="5" s="1"/>
  <c r="I478" i="5" s="1"/>
  <c r="H483" i="5"/>
  <c r="H480" i="5" s="1"/>
  <c r="H479" i="5" s="1"/>
  <c r="AH482" i="5"/>
  <c r="R482" i="5"/>
  <c r="Q482" i="5"/>
  <c r="AH481" i="5"/>
  <c r="R481" i="5"/>
  <c r="Q481" i="5"/>
  <c r="AF480" i="5"/>
  <c r="AE480" i="5"/>
  <c r="AE479" i="5" s="1"/>
  <c r="AD480" i="5"/>
  <c r="AC480" i="5"/>
  <c r="AC479" i="5" s="1"/>
  <c r="AB480" i="5"/>
  <c r="AA480" i="5"/>
  <c r="AA479" i="5" s="1"/>
  <c r="Z480" i="5"/>
  <c r="Y480" i="5"/>
  <c r="Y479" i="5" s="1"/>
  <c r="X480" i="5"/>
  <c r="W480" i="5"/>
  <c r="W479" i="5" s="1"/>
  <c r="V480" i="5"/>
  <c r="T480" i="5"/>
  <c r="T479" i="5" s="1"/>
  <c r="T478" i="5" s="1"/>
  <c r="R480" i="5"/>
  <c r="Q480" i="5"/>
  <c r="Q479" i="5" s="1"/>
  <c r="P480" i="5"/>
  <c r="N480" i="5"/>
  <c r="N479" i="5" s="1"/>
  <c r="J480" i="5"/>
  <c r="G480" i="5"/>
  <c r="G479" i="5" s="1"/>
  <c r="AF479" i="5"/>
  <c r="AD479" i="5"/>
  <c r="AD478" i="5" s="1"/>
  <c r="AB479" i="5"/>
  <c r="Z479" i="5"/>
  <c r="Z478" i="5" s="1"/>
  <c r="X479" i="5"/>
  <c r="V479" i="5"/>
  <c r="V478" i="5" s="1"/>
  <c r="R479" i="5"/>
  <c r="R478" i="5" s="1"/>
  <c r="P479" i="5"/>
  <c r="P478" i="5" s="1"/>
  <c r="J479" i="5"/>
  <c r="J478" i="5" s="1"/>
  <c r="AB478" i="5"/>
  <c r="AH477" i="5"/>
  <c r="S477" i="5"/>
  <c r="S466" i="5" s="1"/>
  <c r="S465" i="5" s="1"/>
  <c r="S458" i="5" s="1"/>
  <c r="O477" i="5"/>
  <c r="H477" i="5"/>
  <c r="AH476" i="5"/>
  <c r="M476" i="5"/>
  <c r="H476" i="5"/>
  <c r="AH475" i="5"/>
  <c r="M475" i="5"/>
  <c r="H475" i="5"/>
  <c r="AH474" i="5"/>
  <c r="M474" i="5"/>
  <c r="H474" i="5"/>
  <c r="AH473" i="5"/>
  <c r="M473" i="5"/>
  <c r="H473" i="5"/>
  <c r="AH472" i="5"/>
  <c r="M472" i="5"/>
  <c r="H472" i="5"/>
  <c r="AH471" i="5"/>
  <c r="M471" i="5"/>
  <c r="H471" i="5"/>
  <c r="AH470" i="5"/>
  <c r="M470" i="5"/>
  <c r="H470" i="5"/>
  <c r="AH469" i="5"/>
  <c r="W469" i="5"/>
  <c r="M469" i="5"/>
  <c r="H469" i="5"/>
  <c r="AH468" i="5"/>
  <c r="W468" i="5"/>
  <c r="M468" i="5"/>
  <c r="H468" i="5"/>
  <c r="AH467" i="5"/>
  <c r="U467" i="5"/>
  <c r="M467" i="5"/>
  <c r="H467" i="5"/>
  <c r="AF466" i="5"/>
  <c r="AE466" i="5"/>
  <c r="AD466" i="5"/>
  <c r="AC466" i="5"/>
  <c r="AB466" i="5"/>
  <c r="AA466" i="5"/>
  <c r="Z466" i="5"/>
  <c r="Y466" i="5"/>
  <c r="X466" i="5"/>
  <c r="W466" i="5"/>
  <c r="V466" i="5"/>
  <c r="U466" i="5"/>
  <c r="T466" i="5"/>
  <c r="R466" i="5"/>
  <c r="Q466" i="5"/>
  <c r="P466" i="5"/>
  <c r="O466" i="5"/>
  <c r="N466" i="5"/>
  <c r="M466" i="5"/>
  <c r="H466" i="5"/>
  <c r="G466" i="5"/>
  <c r="X465" i="5"/>
  <c r="W465" i="5"/>
  <c r="V465" i="5"/>
  <c r="U465" i="5"/>
  <c r="T465" i="5"/>
  <c r="R465" i="5"/>
  <c r="Q465" i="5"/>
  <c r="P465" i="5"/>
  <c r="O465" i="5"/>
  <c r="N465" i="5"/>
  <c r="M465" i="5"/>
  <c r="L465" i="5"/>
  <c r="K465" i="5"/>
  <c r="J465" i="5"/>
  <c r="I465" i="5"/>
  <c r="H465" i="5"/>
  <c r="H458" i="5" s="1"/>
  <c r="G465" i="5"/>
  <c r="G458" i="5" s="1"/>
  <c r="AH464" i="5"/>
  <c r="U464" i="5"/>
  <c r="M464" i="5"/>
  <c r="M460" i="5" s="1"/>
  <c r="M459" i="5" s="1"/>
  <c r="K464" i="5"/>
  <c r="I464" i="5"/>
  <c r="I460" i="5" s="1"/>
  <c r="I459" i="5" s="1"/>
  <c r="I458" i="5" s="1"/>
  <c r="H464" i="5"/>
  <c r="H460" i="5" s="1"/>
  <c r="H459" i="5" s="1"/>
  <c r="AH463" i="5"/>
  <c r="U463" i="5"/>
  <c r="AH462" i="5"/>
  <c r="R462" i="5"/>
  <c r="Q462" i="5"/>
  <c r="AH461" i="5"/>
  <c r="R461" i="5"/>
  <c r="Q461" i="5"/>
  <c r="X460" i="5"/>
  <c r="X459" i="5" s="1"/>
  <c r="W460" i="5"/>
  <c r="W459" i="5" s="1"/>
  <c r="V460" i="5"/>
  <c r="U460" i="5"/>
  <c r="U459" i="5" s="1"/>
  <c r="T460" i="5"/>
  <c r="T459" i="5" s="1"/>
  <c r="S460" i="5"/>
  <c r="S459" i="5" s="1"/>
  <c r="R460" i="5"/>
  <c r="Q460" i="5"/>
  <c r="Q459" i="5" s="1"/>
  <c r="P460" i="5"/>
  <c r="P459" i="5" s="1"/>
  <c r="O460" i="5"/>
  <c r="O459" i="5" s="1"/>
  <c r="N460" i="5"/>
  <c r="L460" i="5"/>
  <c r="L459" i="5" s="1"/>
  <c r="L458" i="5" s="1"/>
  <c r="K460" i="5"/>
  <c r="K459" i="5" s="1"/>
  <c r="K458" i="5" s="1"/>
  <c r="J460" i="5"/>
  <c r="G460" i="5"/>
  <c r="G459" i="5" s="1"/>
  <c r="V459" i="5"/>
  <c r="R459" i="5"/>
  <c r="N459" i="5"/>
  <c r="J459" i="5"/>
  <c r="X458" i="5"/>
  <c r="W458" i="5"/>
  <c r="V458" i="5"/>
  <c r="U458" i="5"/>
  <c r="T458" i="5"/>
  <c r="R458" i="5"/>
  <c r="Q458" i="5"/>
  <c r="P458" i="5"/>
  <c r="O458" i="5"/>
  <c r="N458" i="5"/>
  <c r="M458" i="5"/>
  <c r="J458" i="5"/>
  <c r="AH457" i="5"/>
  <c r="N457" i="5"/>
  <c r="AH456" i="5"/>
  <c r="N456" i="5"/>
  <c r="M456" i="5"/>
  <c r="H456" i="5"/>
  <c r="G456" i="5"/>
  <c r="AH455" i="5"/>
  <c r="N455" i="5"/>
  <c r="AH454" i="5"/>
  <c r="W454" i="5"/>
  <c r="N454" i="5"/>
  <c r="AH453" i="5"/>
  <c r="W453" i="5"/>
  <c r="N453" i="5"/>
  <c r="AH452" i="5"/>
  <c r="W452" i="5"/>
  <c r="N452" i="5"/>
  <c r="AH451" i="5"/>
  <c r="W451" i="5"/>
  <c r="N451" i="5"/>
  <c r="AH450" i="5"/>
  <c r="W450" i="5"/>
  <c r="N450" i="5"/>
  <c r="AH449" i="5"/>
  <c r="N449" i="5"/>
  <c r="AH448" i="5"/>
  <c r="N448" i="5"/>
  <c r="AH447" i="5"/>
  <c r="N447" i="5"/>
  <c r="AH446" i="5"/>
  <c r="M446" i="5"/>
  <c r="M440" i="5" s="1"/>
  <c r="AH445" i="5"/>
  <c r="N445" i="5"/>
  <c r="AH444" i="5"/>
  <c r="W444" i="5"/>
  <c r="N444" i="5"/>
  <c r="AH443" i="5"/>
  <c r="W443" i="5"/>
  <c r="AH442" i="5"/>
  <c r="U442" i="5"/>
  <c r="AH441" i="5"/>
  <c r="W441" i="5"/>
  <c r="U441" i="5"/>
  <c r="X440" i="5"/>
  <c r="V440" i="5"/>
  <c r="V439" i="5" s="1"/>
  <c r="T440" i="5"/>
  <c r="T439" i="5" s="1"/>
  <c r="S440" i="5"/>
  <c r="S439" i="5" s="1"/>
  <c r="R440" i="5"/>
  <c r="R439" i="5" s="1"/>
  <c r="Q440" i="5"/>
  <c r="Q439" i="5" s="1"/>
  <c r="P440" i="5"/>
  <c r="P439" i="5" s="1"/>
  <c r="O440" i="5"/>
  <c r="O439" i="5" s="1"/>
  <c r="H440" i="5"/>
  <c r="G440" i="5"/>
  <c r="X439" i="5"/>
  <c r="AH438" i="5"/>
  <c r="U438" i="5"/>
  <c r="M438" i="5"/>
  <c r="M433" i="5" s="1"/>
  <c r="M432" i="5" s="1"/>
  <c r="AH437" i="5"/>
  <c r="U437" i="5"/>
  <c r="L437" i="5"/>
  <c r="L433" i="5" s="1"/>
  <c r="L432" i="5" s="1"/>
  <c r="L431" i="5" s="1"/>
  <c r="J437" i="5"/>
  <c r="J433" i="5" s="1"/>
  <c r="J432" i="5" s="1"/>
  <c r="J431" i="5" s="1"/>
  <c r="AH436" i="5"/>
  <c r="U436" i="5"/>
  <c r="AH435" i="5"/>
  <c r="AH434" i="5"/>
  <c r="X433" i="5"/>
  <c r="X432" i="5" s="1"/>
  <c r="W433" i="5"/>
  <c r="W432" i="5" s="1"/>
  <c r="V433" i="5"/>
  <c r="V432" i="5" s="1"/>
  <c r="T433" i="5"/>
  <c r="T432" i="5" s="1"/>
  <c r="S433" i="5"/>
  <c r="R433" i="5"/>
  <c r="R432" i="5" s="1"/>
  <c r="Q433" i="5"/>
  <c r="Q432" i="5" s="1"/>
  <c r="P433" i="5"/>
  <c r="AH433" i="5" s="1"/>
  <c r="O433" i="5"/>
  <c r="O432" i="5" s="1"/>
  <c r="N433" i="5"/>
  <c r="N432" i="5" s="1"/>
  <c r="K433" i="5"/>
  <c r="I433" i="5"/>
  <c r="I432" i="5" s="1"/>
  <c r="I431" i="5" s="1"/>
  <c r="H433" i="5"/>
  <c r="H432" i="5" s="1"/>
  <c r="G433" i="5"/>
  <c r="G432" i="5" s="1"/>
  <c r="S432" i="5"/>
  <c r="K432" i="5"/>
  <c r="K431" i="5" s="1"/>
  <c r="T430" i="5"/>
  <c r="O430" i="5"/>
  <c r="O428" i="5" s="1"/>
  <c r="G430" i="5"/>
  <c r="G428" i="5" s="1"/>
  <c r="AH429" i="5"/>
  <c r="O429" i="5"/>
  <c r="N429" i="5"/>
  <c r="M429" i="5" s="1"/>
  <c r="G429" i="5"/>
  <c r="R428" i="5"/>
  <c r="Q428" i="5"/>
  <c r="P428" i="5"/>
  <c r="N428" i="5"/>
  <c r="M428" i="5"/>
  <c r="L428" i="5"/>
  <c r="K428" i="5"/>
  <c r="J428" i="5"/>
  <c r="I428" i="5"/>
  <c r="I419" i="5" s="1"/>
  <c r="H428" i="5"/>
  <c r="T427" i="5"/>
  <c r="AH427" i="5" s="1"/>
  <c r="O427" i="5"/>
  <c r="G427" i="5"/>
  <c r="T426" i="5"/>
  <c r="O426" i="5"/>
  <c r="G426" i="5"/>
  <c r="W425" i="5"/>
  <c r="T425" i="5"/>
  <c r="S425" i="5" s="1"/>
  <c r="O425" i="5"/>
  <c r="G425" i="5"/>
  <c r="W424" i="5"/>
  <c r="T424" i="5"/>
  <c r="AH424" i="5" s="1"/>
  <c r="M424" i="5"/>
  <c r="G424" i="5"/>
  <c r="AH423" i="5"/>
  <c r="W423" i="5"/>
  <c r="U423" i="5"/>
  <c r="S423" i="5"/>
  <c r="O423" i="5"/>
  <c r="AH422" i="5"/>
  <c r="U422" i="5"/>
  <c r="AH421" i="5"/>
  <c r="U421" i="5"/>
  <c r="S421" i="5"/>
  <c r="O421" i="5"/>
  <c r="AF420" i="5"/>
  <c r="AF419" i="5" s="1"/>
  <c r="AE420" i="5"/>
  <c r="AE419" i="5" s="1"/>
  <c r="AE411" i="5" s="1"/>
  <c r="AD420" i="5"/>
  <c r="AD419" i="5" s="1"/>
  <c r="AC420" i="5"/>
  <c r="AC419" i="5" s="1"/>
  <c r="AC411" i="5" s="1"/>
  <c r="AB420" i="5"/>
  <c r="AB419" i="5" s="1"/>
  <c r="AB411" i="5" s="1"/>
  <c r="AA420" i="5"/>
  <c r="Z420" i="5"/>
  <c r="Z419" i="5" s="1"/>
  <c r="Y420" i="5"/>
  <c r="Y419" i="5" s="1"/>
  <c r="Y411" i="5" s="1"/>
  <c r="X420" i="5"/>
  <c r="X419" i="5" s="1"/>
  <c r="W420" i="5"/>
  <c r="W411" i="5" s="1"/>
  <c r="V420" i="5"/>
  <c r="V419" i="5" s="1"/>
  <c r="U420" i="5"/>
  <c r="U419" i="5" s="1"/>
  <c r="R420" i="5"/>
  <c r="Q420" i="5"/>
  <c r="Q419" i="5" s="1"/>
  <c r="P420" i="5"/>
  <c r="P419" i="5" s="1"/>
  <c r="N420" i="5"/>
  <c r="M420" i="5"/>
  <c r="M419" i="5" s="1"/>
  <c r="H420" i="5"/>
  <c r="H419" i="5" s="1"/>
  <c r="G420" i="5"/>
  <c r="G419" i="5" s="1"/>
  <c r="AA419" i="5"/>
  <c r="AA411" i="5" s="1"/>
  <c r="R419" i="5"/>
  <c r="N419" i="5"/>
  <c r="K419" i="5"/>
  <c r="AH418" i="5"/>
  <c r="W418" i="5"/>
  <c r="U418" i="5"/>
  <c r="K418" i="5"/>
  <c r="L418" i="5" s="1"/>
  <c r="I418" i="5"/>
  <c r="J418" i="5" s="1"/>
  <c r="AH417" i="5"/>
  <c r="W417" i="5"/>
  <c r="W413" i="5" s="1"/>
  <c r="W412" i="5" s="1"/>
  <c r="U417" i="5"/>
  <c r="S417" i="5"/>
  <c r="S413" i="5" s="1"/>
  <c r="S412" i="5" s="1"/>
  <c r="O417" i="5"/>
  <c r="L417" i="5"/>
  <c r="J417" i="5"/>
  <c r="AH416" i="5"/>
  <c r="U416" i="5"/>
  <c r="AH415" i="5"/>
  <c r="AH414" i="5"/>
  <c r="AF413" i="5"/>
  <c r="AE413" i="5"/>
  <c r="AD413" i="5"/>
  <c r="AC413" i="5"/>
  <c r="AB413" i="5"/>
  <c r="AA413" i="5"/>
  <c r="Z413" i="5"/>
  <c r="Y413" i="5"/>
  <c r="X413" i="5"/>
  <c r="V413" i="5"/>
  <c r="U413" i="5"/>
  <c r="T413" i="5"/>
  <c r="R413" i="5"/>
  <c r="Q413" i="5"/>
  <c r="P413" i="5"/>
  <c r="O413" i="5"/>
  <c r="N413" i="5"/>
  <c r="M413" i="5"/>
  <c r="L413" i="5"/>
  <c r="K413" i="5"/>
  <c r="J413" i="5"/>
  <c r="I413" i="5"/>
  <c r="H413" i="5"/>
  <c r="G413" i="5"/>
  <c r="X412" i="5"/>
  <c r="V412" i="5"/>
  <c r="U412" i="5"/>
  <c r="T412" i="5"/>
  <c r="R412" i="5"/>
  <c r="Q412" i="5"/>
  <c r="P412" i="5"/>
  <c r="O412" i="5"/>
  <c r="N412" i="5"/>
  <c r="M412" i="5"/>
  <c r="L412" i="5"/>
  <c r="K412" i="5"/>
  <c r="J412" i="5"/>
  <c r="I412" i="5"/>
  <c r="H412" i="5"/>
  <c r="G412" i="5"/>
  <c r="AF411" i="5"/>
  <c r="AD411" i="5"/>
  <c r="Z411" i="5"/>
  <c r="Q411" i="5"/>
  <c r="K411" i="5"/>
  <c r="AH410" i="5"/>
  <c r="S410" i="5"/>
  <c r="O410" i="5"/>
  <c r="G410" i="5"/>
  <c r="AH409" i="5"/>
  <c r="AH408" i="5"/>
  <c r="AH407" i="5"/>
  <c r="AH406" i="5"/>
  <c r="S406" i="5"/>
  <c r="O406" i="5"/>
  <c r="M406" i="5"/>
  <c r="AH405" i="5"/>
  <c r="S405" i="5"/>
  <c r="O405" i="5"/>
  <c r="G405" i="5"/>
  <c r="W404" i="5"/>
  <c r="P404" i="5"/>
  <c r="T404" i="5" s="1"/>
  <c r="M404" i="5"/>
  <c r="G404" i="5"/>
  <c r="AH403" i="5"/>
  <c r="W403" i="5"/>
  <c r="M403" i="5"/>
  <c r="AH402" i="5"/>
  <c r="W402" i="5"/>
  <c r="W400" i="5" s="1"/>
  <c r="S402" i="5"/>
  <c r="O402" i="5"/>
  <c r="M402" i="5"/>
  <c r="AH401" i="5"/>
  <c r="M401" i="5"/>
  <c r="AF400" i="5"/>
  <c r="AF399" i="5" s="1"/>
  <c r="AF398" i="5" s="1"/>
  <c r="AE400" i="5"/>
  <c r="AE399" i="5" s="1"/>
  <c r="AE398" i="5" s="1"/>
  <c r="AD400" i="5"/>
  <c r="AD399" i="5" s="1"/>
  <c r="AD398" i="5" s="1"/>
  <c r="AC400" i="5"/>
  <c r="AB400" i="5"/>
  <c r="AB399" i="5" s="1"/>
  <c r="AB398" i="5" s="1"/>
  <c r="AA400" i="5"/>
  <c r="AA399" i="5" s="1"/>
  <c r="AA398" i="5" s="1"/>
  <c r="Z400" i="5"/>
  <c r="Z399" i="5" s="1"/>
  <c r="Y400" i="5"/>
  <c r="X400" i="5"/>
  <c r="X399" i="5" s="1"/>
  <c r="X398" i="5" s="1"/>
  <c r="V400" i="5"/>
  <c r="V399" i="5" s="1"/>
  <c r="U400" i="5"/>
  <c r="U399" i="5" s="1"/>
  <c r="U398" i="5" s="1"/>
  <c r="R400" i="5"/>
  <c r="R399" i="5" s="1"/>
  <c r="R398" i="5" s="1"/>
  <c r="Q400" i="5"/>
  <c r="Q399" i="5" s="1"/>
  <c r="Q398" i="5" s="1"/>
  <c r="P400" i="5"/>
  <c r="P399" i="5" s="1"/>
  <c r="N400" i="5"/>
  <c r="N399" i="5" s="1"/>
  <c r="N398" i="5" s="1"/>
  <c r="H400" i="5"/>
  <c r="AC399" i="5"/>
  <c r="AC398" i="5" s="1"/>
  <c r="Y399" i="5"/>
  <c r="Y398" i="5" s="1"/>
  <c r="W399" i="5"/>
  <c r="W398" i="5" s="1"/>
  <c r="H399" i="5"/>
  <c r="H398" i="5" s="1"/>
  <c r="Z398" i="5"/>
  <c r="V398" i="5"/>
  <c r="P398" i="5"/>
  <c r="V397" i="5"/>
  <c r="U397" i="5" s="1"/>
  <c r="U396" i="5" s="1"/>
  <c r="P397" i="5"/>
  <c r="V396" i="5"/>
  <c r="Q396" i="5"/>
  <c r="N396" i="5"/>
  <c r="AJ396" i="5" s="1"/>
  <c r="M396" i="5"/>
  <c r="H396" i="5"/>
  <c r="G396" i="5"/>
  <c r="AJ395" i="5"/>
  <c r="U395" i="5"/>
  <c r="T395" i="5"/>
  <c r="AH395" i="5" s="1"/>
  <c r="S395" i="5"/>
  <c r="O395" i="5"/>
  <c r="G395" i="5"/>
  <c r="U394" i="5"/>
  <c r="T394" i="5"/>
  <c r="S394" i="5" s="1"/>
  <c r="O394" i="5"/>
  <c r="N394" i="5"/>
  <c r="AJ394" i="5" s="1"/>
  <c r="G394" i="5"/>
  <c r="G392" i="5" s="1"/>
  <c r="AJ393" i="5"/>
  <c r="U393" i="5"/>
  <c r="P393" i="5"/>
  <c r="T393" i="5" s="1"/>
  <c r="M393" i="5"/>
  <c r="G393" i="5"/>
  <c r="Y392" i="5"/>
  <c r="V392" i="5"/>
  <c r="V386" i="5" s="1"/>
  <c r="V385" i="5" s="1"/>
  <c r="R392" i="5"/>
  <c r="N392" i="5"/>
  <c r="H392" i="5"/>
  <c r="H386" i="5" s="1"/>
  <c r="AJ391" i="5"/>
  <c r="Y391" i="5"/>
  <c r="T391" i="5"/>
  <c r="AH391" i="5" s="1"/>
  <c r="AJ390" i="5"/>
  <c r="Y390" i="5"/>
  <c r="U390" i="5"/>
  <c r="P390" i="5"/>
  <c r="T390" i="5" s="1"/>
  <c r="AJ389" i="5"/>
  <c r="Y389" i="5"/>
  <c r="T389" i="5"/>
  <c r="AJ388" i="5"/>
  <c r="Y388" i="5"/>
  <c r="W388" i="5"/>
  <c r="U388" i="5"/>
  <c r="T388" i="5"/>
  <c r="AH388" i="5" s="1"/>
  <c r="O388" i="5"/>
  <c r="G388" i="5"/>
  <c r="AJ387" i="5"/>
  <c r="Y387" i="5"/>
  <c r="W387" i="5"/>
  <c r="U387" i="5"/>
  <c r="T387" i="5"/>
  <c r="O387" i="5"/>
  <c r="G387" i="5"/>
  <c r="AF386" i="5"/>
  <c r="AF385" i="5" s="1"/>
  <c r="AE386" i="5"/>
  <c r="AD386" i="5"/>
  <c r="AD385" i="5" s="1"/>
  <c r="AC386" i="5"/>
  <c r="AB386" i="5"/>
  <c r="AB385" i="5" s="1"/>
  <c r="AA386" i="5"/>
  <c r="AA385" i="5" s="1"/>
  <c r="Z386" i="5"/>
  <c r="Z385" i="5" s="1"/>
  <c r="X386" i="5"/>
  <c r="X385" i="5" s="1"/>
  <c r="R386" i="5"/>
  <c r="R385" i="5" s="1"/>
  <c r="R378" i="5" s="1"/>
  <c r="Q386" i="5"/>
  <c r="AE385" i="5"/>
  <c r="AC385" i="5"/>
  <c r="Q385" i="5"/>
  <c r="Y384" i="5"/>
  <c r="W384" i="5"/>
  <c r="P384" i="5"/>
  <c r="T384" i="5" s="1"/>
  <c r="N384" i="5"/>
  <c r="AJ384" i="5" s="1"/>
  <c r="H384" i="5"/>
  <c r="Y383" i="5"/>
  <c r="W383" i="5"/>
  <c r="U383" i="5"/>
  <c r="U380" i="5" s="1"/>
  <c r="U379" i="5" s="1"/>
  <c r="T383" i="5"/>
  <c r="O383" i="5"/>
  <c r="O380" i="5" s="1"/>
  <c r="O379" i="5" s="1"/>
  <c r="N383" i="5"/>
  <c r="AJ383" i="5" s="1"/>
  <c r="G383" i="5"/>
  <c r="G380" i="5" s="1"/>
  <c r="G379" i="5" s="1"/>
  <c r="AJ382" i="5"/>
  <c r="R382" i="5"/>
  <c r="S382" i="5" s="1"/>
  <c r="Q382" i="5"/>
  <c r="AJ381" i="5"/>
  <c r="R381" i="5"/>
  <c r="S381" i="5" s="1"/>
  <c r="Q381" i="5"/>
  <c r="AF380" i="5"/>
  <c r="AF379" i="5" s="1"/>
  <c r="AE380" i="5"/>
  <c r="AE379" i="5" s="1"/>
  <c r="AD380" i="5"/>
  <c r="AD379" i="5" s="1"/>
  <c r="AC380" i="5"/>
  <c r="AB380" i="5"/>
  <c r="AB379" i="5" s="1"/>
  <c r="AA380" i="5"/>
  <c r="AA379" i="5" s="1"/>
  <c r="Z380" i="5"/>
  <c r="Z379" i="5" s="1"/>
  <c r="X380" i="5"/>
  <c r="X379" i="5" s="1"/>
  <c r="X378" i="5" s="1"/>
  <c r="V380" i="5"/>
  <c r="V379" i="5" s="1"/>
  <c r="R380" i="5"/>
  <c r="R379" i="5" s="1"/>
  <c r="Q380" i="5"/>
  <c r="Q379" i="5" s="1"/>
  <c r="N380" i="5"/>
  <c r="M380" i="5"/>
  <c r="M379" i="5" s="1"/>
  <c r="L380" i="5"/>
  <c r="L379" i="5" s="1"/>
  <c r="L378" i="5" s="1"/>
  <c r="K380" i="5"/>
  <c r="J380" i="5"/>
  <c r="J379" i="5" s="1"/>
  <c r="J378" i="5" s="1"/>
  <c r="I380" i="5"/>
  <c r="I379" i="5" s="1"/>
  <c r="I378" i="5" s="1"/>
  <c r="H380" i="5"/>
  <c r="H379" i="5" s="1"/>
  <c r="AG379" i="5"/>
  <c r="AG378" i="5" s="1"/>
  <c r="AC379" i="5"/>
  <c r="AC378" i="5" s="1"/>
  <c r="K379" i="5"/>
  <c r="K378" i="5" s="1"/>
  <c r="AE378" i="5"/>
  <c r="Q378" i="5"/>
  <c r="AH377" i="5"/>
  <c r="M377" i="5"/>
  <c r="M376" i="5" s="1"/>
  <c r="G377" i="5"/>
  <c r="AF376" i="5"/>
  <c r="AE376" i="5"/>
  <c r="AD376" i="5"/>
  <c r="AC376" i="5"/>
  <c r="AB376" i="5"/>
  <c r="AA376" i="5"/>
  <c r="Z376" i="5"/>
  <c r="Y376" i="5"/>
  <c r="X376" i="5"/>
  <c r="W376" i="5"/>
  <c r="V376" i="5"/>
  <c r="U376" i="5"/>
  <c r="T376" i="5"/>
  <c r="S376" i="5"/>
  <c r="R376" i="5"/>
  <c r="Q376" i="5"/>
  <c r="P376" i="5"/>
  <c r="O376" i="5"/>
  <c r="N376" i="5"/>
  <c r="N357" i="5" s="1"/>
  <c r="H376" i="5"/>
  <c r="G376" i="5"/>
  <c r="AH375" i="5"/>
  <c r="S375" i="5"/>
  <c r="O375" i="5"/>
  <c r="G375" i="5"/>
  <c r="AH374" i="5"/>
  <c r="S374" i="5"/>
  <c r="O374" i="5"/>
  <c r="H374" i="5"/>
  <c r="H358" i="5" s="1"/>
  <c r="P373" i="5"/>
  <c r="T373" i="5" s="1"/>
  <c r="G373" i="5"/>
  <c r="AH372" i="5"/>
  <c r="S372" i="5"/>
  <c r="O372" i="5"/>
  <c r="G372" i="5"/>
  <c r="AH371" i="5"/>
  <c r="S371" i="5"/>
  <c r="O371" i="5"/>
  <c r="G371" i="5"/>
  <c r="AH370" i="5"/>
  <c r="S370" i="5"/>
  <c r="O370" i="5"/>
  <c r="G370" i="5"/>
  <c r="AH369" i="5"/>
  <c r="S369" i="5"/>
  <c r="O369" i="5"/>
  <c r="G369" i="5"/>
  <c r="AH368" i="5"/>
  <c r="S368" i="5"/>
  <c r="O368" i="5"/>
  <c r="AH367" i="5"/>
  <c r="S367" i="5"/>
  <c r="O367" i="5"/>
  <c r="M367" i="5"/>
  <c r="G367" i="5"/>
  <c r="P366" i="5"/>
  <c r="M366" i="5"/>
  <c r="AH365" i="5"/>
  <c r="U365" i="5"/>
  <c r="S365" i="5"/>
  <c r="O365" i="5"/>
  <c r="M365" i="5"/>
  <c r="G365" i="5"/>
  <c r="AH364" i="5"/>
  <c r="U364" i="5"/>
  <c r="S364" i="5"/>
  <c r="O364" i="5"/>
  <c r="M364" i="5"/>
  <c r="AH363" i="5"/>
  <c r="U363" i="5"/>
  <c r="S363" i="5"/>
  <c r="O363" i="5"/>
  <c r="M363" i="5"/>
  <c r="G363" i="5"/>
  <c r="AH362" i="5"/>
  <c r="W362" i="5"/>
  <c r="W358" i="5" s="1"/>
  <c r="W357" i="5" s="1"/>
  <c r="U362" i="5"/>
  <c r="S362" i="5"/>
  <c r="O362" i="5"/>
  <c r="M362" i="5"/>
  <c r="G362" i="5"/>
  <c r="AH361" i="5"/>
  <c r="U361" i="5"/>
  <c r="S361" i="5"/>
  <c r="O361" i="5"/>
  <c r="M361" i="5"/>
  <c r="G361" i="5"/>
  <c r="AH360" i="5"/>
  <c r="U360" i="5"/>
  <c r="S360" i="5"/>
  <c r="O360" i="5"/>
  <c r="M360" i="5"/>
  <c r="G360" i="5"/>
  <c r="AH359" i="5"/>
  <c r="U359" i="5"/>
  <c r="S359" i="5"/>
  <c r="O359" i="5"/>
  <c r="M359" i="5"/>
  <c r="M358" i="5" s="1"/>
  <c r="G359" i="5"/>
  <c r="AF358" i="5"/>
  <c r="AE358" i="5"/>
  <c r="AD358" i="5"/>
  <c r="AD357" i="5" s="1"/>
  <c r="AC358" i="5"/>
  <c r="AB358" i="5"/>
  <c r="AB357" i="5" s="1"/>
  <c r="AA358" i="5"/>
  <c r="Z358" i="5"/>
  <c r="Z357" i="5" s="1"/>
  <c r="Y358" i="5"/>
  <c r="X358" i="5"/>
  <c r="X357" i="5" s="1"/>
  <c r="V358" i="5"/>
  <c r="R358" i="5"/>
  <c r="R357" i="5" s="1"/>
  <c r="Q358" i="5"/>
  <c r="P358" i="5"/>
  <c r="P357" i="5" s="1"/>
  <c r="N358" i="5"/>
  <c r="L358" i="5"/>
  <c r="L357" i="5" s="1"/>
  <c r="K358" i="5"/>
  <c r="K357" i="5" s="1"/>
  <c r="J358" i="5"/>
  <c r="J357" i="5" s="1"/>
  <c r="I358" i="5"/>
  <c r="I357" i="5" s="1"/>
  <c r="AF357" i="5"/>
  <c r="AH356" i="5"/>
  <c r="U356" i="5"/>
  <c r="S356" i="5"/>
  <c r="O356" i="5"/>
  <c r="M356" i="5"/>
  <c r="K356" i="5"/>
  <c r="I356" i="5"/>
  <c r="G356" i="5"/>
  <c r="AH355" i="5"/>
  <c r="U355" i="5"/>
  <c r="U351" i="5" s="1"/>
  <c r="U350" i="5" s="1"/>
  <c r="S355" i="5"/>
  <c r="S351" i="5" s="1"/>
  <c r="S350" i="5" s="1"/>
  <c r="O355" i="5"/>
  <c r="O351" i="5" s="1"/>
  <c r="O350" i="5" s="1"/>
  <c r="M355" i="5"/>
  <c r="M351" i="5" s="1"/>
  <c r="M350" i="5" s="1"/>
  <c r="L355" i="5"/>
  <c r="K355" i="5" s="1"/>
  <c r="K351" i="5" s="1"/>
  <c r="K350" i="5" s="1"/>
  <c r="K349" i="5" s="1"/>
  <c r="J355" i="5"/>
  <c r="I355" i="5" s="1"/>
  <c r="I351" i="5" s="1"/>
  <c r="I350" i="5" s="1"/>
  <c r="G355" i="5"/>
  <c r="G351" i="5" s="1"/>
  <c r="G350" i="5" s="1"/>
  <c r="AH354" i="5"/>
  <c r="U354" i="5"/>
  <c r="S354" i="5"/>
  <c r="O354" i="5"/>
  <c r="N354" i="5"/>
  <c r="AH353" i="5"/>
  <c r="R353" i="5"/>
  <c r="Q353" i="5"/>
  <c r="AH352" i="5"/>
  <c r="R352" i="5"/>
  <c r="Q352" i="5"/>
  <c r="AF351" i="5"/>
  <c r="AF350" i="5" s="1"/>
  <c r="AE351" i="5"/>
  <c r="AE350" i="5" s="1"/>
  <c r="AD351" i="5"/>
  <c r="AD350" i="5" s="1"/>
  <c r="AC351" i="5"/>
  <c r="AC350" i="5" s="1"/>
  <c r="AB351" i="5"/>
  <c r="AB350" i="5" s="1"/>
  <c r="AA351" i="5"/>
  <c r="AA350" i="5" s="1"/>
  <c r="Z351" i="5"/>
  <c r="Z350" i="5" s="1"/>
  <c r="Y351" i="5"/>
  <c r="Y350" i="5" s="1"/>
  <c r="X351" i="5"/>
  <c r="X350" i="5" s="1"/>
  <c r="W351" i="5"/>
  <c r="W350" i="5" s="1"/>
  <c r="V351" i="5"/>
  <c r="V350" i="5" s="1"/>
  <c r="T351" i="5"/>
  <c r="T350" i="5" s="1"/>
  <c r="R351" i="5"/>
  <c r="R350" i="5" s="1"/>
  <c r="Q351" i="5"/>
  <c r="Q350" i="5" s="1"/>
  <c r="P351" i="5"/>
  <c r="P350" i="5" s="1"/>
  <c r="N351" i="5"/>
  <c r="N350" i="5" s="1"/>
  <c r="L351" i="5"/>
  <c r="L350" i="5" s="1"/>
  <c r="H351" i="5"/>
  <c r="H350" i="5" s="1"/>
  <c r="AH348" i="5"/>
  <c r="S348" i="5"/>
  <c r="O348" i="5"/>
  <c r="AH347" i="5"/>
  <c r="S347" i="5"/>
  <c r="O347" i="5"/>
  <c r="G347" i="5"/>
  <c r="AH346" i="5"/>
  <c r="N346" i="5"/>
  <c r="AH345" i="5"/>
  <c r="N345" i="5"/>
  <c r="AH344" i="5"/>
  <c r="S344" i="5"/>
  <c r="O344" i="5"/>
  <c r="N344" i="5"/>
  <c r="G344" i="5"/>
  <c r="AH343" i="5"/>
  <c r="W343" i="5"/>
  <c r="S343" i="5"/>
  <c r="O343" i="5"/>
  <c r="N343" i="5"/>
  <c r="AH342" i="5"/>
  <c r="W342" i="5"/>
  <c r="S342" i="5"/>
  <c r="O342" i="5"/>
  <c r="N342" i="5"/>
  <c r="AH341" i="5"/>
  <c r="N341" i="5"/>
  <c r="AH340" i="5"/>
  <c r="S340" i="5"/>
  <c r="O340" i="5"/>
  <c r="N340" i="5"/>
  <c r="AH339" i="5"/>
  <c r="N339" i="5"/>
  <c r="AH338" i="5"/>
  <c r="W338" i="5"/>
  <c r="U338" i="5"/>
  <c r="S338" i="5"/>
  <c r="O338" i="5"/>
  <c r="N338" i="5"/>
  <c r="AH337" i="5"/>
  <c r="W337" i="5"/>
  <c r="U337" i="5"/>
  <c r="S337" i="5"/>
  <c r="O337" i="5"/>
  <c r="N337" i="5"/>
  <c r="AH336" i="5"/>
  <c r="W336" i="5"/>
  <c r="U336" i="5"/>
  <c r="U335" i="5" s="1"/>
  <c r="U334" i="5" s="1"/>
  <c r="U333" i="5" s="1"/>
  <c r="S336" i="5"/>
  <c r="O336" i="5"/>
  <c r="N336" i="5"/>
  <c r="X335" i="5"/>
  <c r="X334" i="5" s="1"/>
  <c r="X333" i="5" s="1"/>
  <c r="V335" i="5"/>
  <c r="V334" i="5" s="1"/>
  <c r="V333" i="5" s="1"/>
  <c r="T335" i="5"/>
  <c r="R335" i="5"/>
  <c r="R334" i="5" s="1"/>
  <c r="R333" i="5" s="1"/>
  <c r="Q335" i="5"/>
  <c r="Q334" i="5" s="1"/>
  <c r="Q333" i="5" s="1"/>
  <c r="P335" i="5"/>
  <c r="P334" i="5" s="1"/>
  <c r="P333" i="5" s="1"/>
  <c r="M335" i="5"/>
  <c r="M334" i="5" s="1"/>
  <c r="M333" i="5" s="1"/>
  <c r="L335" i="5"/>
  <c r="L334" i="5" s="1"/>
  <c r="L333" i="5" s="1"/>
  <c r="K335" i="5"/>
  <c r="K334" i="5" s="1"/>
  <c r="K333" i="5" s="1"/>
  <c r="J335" i="5"/>
  <c r="J334" i="5" s="1"/>
  <c r="J333" i="5" s="1"/>
  <c r="I335" i="5"/>
  <c r="I334" i="5" s="1"/>
  <c r="I333" i="5" s="1"/>
  <c r="H335" i="5"/>
  <c r="H334" i="5" s="1"/>
  <c r="H333" i="5" s="1"/>
  <c r="AF333" i="5"/>
  <c r="AE333" i="5"/>
  <c r="AD333" i="5"/>
  <c r="AC333" i="5"/>
  <c r="AB333" i="5"/>
  <c r="AA333" i="5"/>
  <c r="Z333" i="5"/>
  <c r="Y333" i="5"/>
  <c r="S332" i="5"/>
  <c r="P332" i="5"/>
  <c r="AH332" i="5" s="1"/>
  <c r="G332" i="5"/>
  <c r="G325" i="5" s="1"/>
  <c r="G324" i="5" s="1"/>
  <c r="G317" i="5" s="1"/>
  <c r="P331" i="5"/>
  <c r="O331" i="5" s="1"/>
  <c r="G331" i="5"/>
  <c r="AH330" i="5"/>
  <c r="S330" i="5"/>
  <c r="Q330" i="5"/>
  <c r="O330" i="5"/>
  <c r="N330" i="5"/>
  <c r="AH329" i="5"/>
  <c r="S329" i="5"/>
  <c r="O329" i="5"/>
  <c r="N329" i="5"/>
  <c r="AH328" i="5"/>
  <c r="W328" i="5"/>
  <c r="S328" i="5"/>
  <c r="O328" i="5"/>
  <c r="N328" i="5"/>
  <c r="W327" i="5"/>
  <c r="S327" i="5"/>
  <c r="S325" i="5" s="1"/>
  <c r="S324" i="5" s="1"/>
  <c r="S317" i="5" s="1"/>
  <c r="P327" i="5"/>
  <c r="O327" i="5"/>
  <c r="N327" i="5"/>
  <c r="AH326" i="5"/>
  <c r="W326" i="5"/>
  <c r="W325" i="5" s="1"/>
  <c r="W324" i="5" s="1"/>
  <c r="W317" i="5" s="1"/>
  <c r="N326" i="5"/>
  <c r="AF325" i="5"/>
  <c r="AF324" i="5" s="1"/>
  <c r="AF317" i="5" s="1"/>
  <c r="AE325" i="5"/>
  <c r="AE324" i="5" s="1"/>
  <c r="AD325" i="5"/>
  <c r="AC325" i="5"/>
  <c r="AC324" i="5" s="1"/>
  <c r="AC317" i="5" s="1"/>
  <c r="AB325" i="5"/>
  <c r="AB324" i="5" s="1"/>
  <c r="AB317" i="5" s="1"/>
  <c r="AA325" i="5"/>
  <c r="AA324" i="5" s="1"/>
  <c r="AA317" i="5" s="1"/>
  <c r="Z325" i="5"/>
  <c r="Y325" i="5"/>
  <c r="Y324" i="5" s="1"/>
  <c r="Y317" i="5" s="1"/>
  <c r="X325" i="5"/>
  <c r="X324" i="5" s="1"/>
  <c r="X317" i="5" s="1"/>
  <c r="V325" i="5"/>
  <c r="V324" i="5" s="1"/>
  <c r="V317" i="5" s="1"/>
  <c r="U325" i="5"/>
  <c r="T325" i="5"/>
  <c r="T324" i="5" s="1"/>
  <c r="T317" i="5" s="1"/>
  <c r="Q325" i="5"/>
  <c r="Q324" i="5" s="1"/>
  <c r="Q317" i="5" s="1"/>
  <c r="M325" i="5"/>
  <c r="M324" i="5" s="1"/>
  <c r="M317" i="5" s="1"/>
  <c r="H325" i="5"/>
  <c r="AD324" i="5"/>
  <c r="AD317" i="5" s="1"/>
  <c r="Z324" i="5"/>
  <c r="Z317" i="5" s="1"/>
  <c r="U324" i="5"/>
  <c r="U317" i="5" s="1"/>
  <c r="H324" i="5"/>
  <c r="AH323" i="5"/>
  <c r="U323" i="5"/>
  <c r="M323" i="5"/>
  <c r="M319" i="5" s="1"/>
  <c r="M318" i="5" s="1"/>
  <c r="L323" i="5"/>
  <c r="J323" i="5"/>
  <c r="J319" i="5" s="1"/>
  <c r="J318" i="5" s="1"/>
  <c r="J317" i="5" s="1"/>
  <c r="H323" i="5"/>
  <c r="AH322" i="5"/>
  <c r="U322" i="5"/>
  <c r="N322" i="5"/>
  <c r="K322" i="5"/>
  <c r="K319" i="5" s="1"/>
  <c r="K318" i="5" s="1"/>
  <c r="K317" i="5" s="1"/>
  <c r="I322" i="5"/>
  <c r="I319" i="5" s="1"/>
  <c r="I318" i="5" s="1"/>
  <c r="I317" i="5" s="1"/>
  <c r="H322" i="5"/>
  <c r="H319" i="5" s="1"/>
  <c r="H318" i="5" s="1"/>
  <c r="AH321" i="5"/>
  <c r="AH320" i="5"/>
  <c r="V319" i="5"/>
  <c r="V318" i="5" s="1"/>
  <c r="U319" i="5"/>
  <c r="U318" i="5" s="1"/>
  <c r="T319" i="5"/>
  <c r="T318" i="5" s="1"/>
  <c r="S319" i="5"/>
  <c r="S318" i="5" s="1"/>
  <c r="R319" i="5"/>
  <c r="R318" i="5" s="1"/>
  <c r="Q319" i="5"/>
  <c r="Q318" i="5" s="1"/>
  <c r="P319" i="5"/>
  <c r="P318" i="5" s="1"/>
  <c r="AH318" i="5" s="1"/>
  <c r="O319" i="5"/>
  <c r="O318" i="5" s="1"/>
  <c r="N319" i="5"/>
  <c r="N318" i="5" s="1"/>
  <c r="L319" i="5"/>
  <c r="L318" i="5" s="1"/>
  <c r="L317" i="5" s="1"/>
  <c r="G319" i="5"/>
  <c r="G318" i="5" s="1"/>
  <c r="AE317" i="5"/>
  <c r="H317" i="5"/>
  <c r="W316" i="5"/>
  <c r="AH315" i="5"/>
  <c r="S315" i="5"/>
  <c r="O315" i="5"/>
  <c r="N315" i="5"/>
  <c r="AH314" i="5"/>
  <c r="M314" i="5"/>
  <c r="AH313" i="5"/>
  <c r="AH312" i="5"/>
  <c r="AH311" i="5"/>
  <c r="AH310" i="5"/>
  <c r="AH309" i="5"/>
  <c r="AH308" i="5"/>
  <c r="AH307" i="5"/>
  <c r="AH306" i="5"/>
  <c r="AH305" i="5"/>
  <c r="S305" i="5"/>
  <c r="O305" i="5"/>
  <c r="M305" i="5"/>
  <c r="AH304" i="5"/>
  <c r="W304" i="5"/>
  <c r="S304" i="5"/>
  <c r="O304" i="5"/>
  <c r="M304" i="5"/>
  <c r="AH303" i="5"/>
  <c r="W303" i="5"/>
  <c r="S303" i="5"/>
  <c r="O303" i="5"/>
  <c r="M303" i="5"/>
  <c r="AF302" i="5"/>
  <c r="AE302" i="5"/>
  <c r="AD302" i="5"/>
  <c r="AC302" i="5"/>
  <c r="AB302" i="5"/>
  <c r="AA302" i="5"/>
  <c r="Z302" i="5"/>
  <c r="Y302" i="5"/>
  <c r="X302" i="5"/>
  <c r="V302" i="5"/>
  <c r="U302" i="5"/>
  <c r="T302" i="5"/>
  <c r="R302" i="5"/>
  <c r="Q302" i="5"/>
  <c r="P302" i="5"/>
  <c r="N302" i="5"/>
  <c r="H302" i="5"/>
  <c r="G302" i="5"/>
  <c r="AH301" i="5"/>
  <c r="S301" i="5"/>
  <c r="Q301" i="5"/>
  <c r="G301" i="5"/>
  <c r="AH300" i="5"/>
  <c r="S300" i="5"/>
  <c r="Q300" i="5"/>
  <c r="G300" i="5"/>
  <c r="AH299" i="5"/>
  <c r="S299" i="5"/>
  <c r="Q299" i="5"/>
  <c r="G299" i="5"/>
  <c r="AH298" i="5"/>
  <c r="S298" i="5"/>
  <c r="Q298" i="5"/>
  <c r="G298" i="5"/>
  <c r="AH297" i="5"/>
  <c r="S297" i="5"/>
  <c r="Q297" i="5"/>
  <c r="G297" i="5"/>
  <c r="AH296" i="5"/>
  <c r="S296" i="5"/>
  <c r="Q296" i="5"/>
  <c r="G296" i="5"/>
  <c r="AH295" i="5"/>
  <c r="S295" i="5"/>
  <c r="Q295" i="5"/>
  <c r="G295" i="5"/>
  <c r="AH294" i="5"/>
  <c r="S294" i="5"/>
  <c r="Q294" i="5"/>
  <c r="G294" i="5"/>
  <c r="AH293" i="5"/>
  <c r="S293" i="5"/>
  <c r="Q293" i="5"/>
  <c r="G293" i="5"/>
  <c r="AH292" i="5"/>
  <c r="S292" i="5"/>
  <c r="Q292" i="5"/>
  <c r="G292" i="5"/>
  <c r="AH291" i="5"/>
  <c r="S291" i="5"/>
  <c r="Q291" i="5"/>
  <c r="G291" i="5"/>
  <c r="AH290" i="5"/>
  <c r="S290" i="5"/>
  <c r="Q290" i="5"/>
  <c r="G290" i="5"/>
  <c r="AH289" i="5"/>
  <c r="S289" i="5"/>
  <c r="Q289" i="5"/>
  <c r="G289" i="5"/>
  <c r="AH288" i="5"/>
  <c r="S288" i="5"/>
  <c r="Q288" i="5"/>
  <c r="G288" i="5"/>
  <c r="AH287" i="5"/>
  <c r="S287" i="5"/>
  <c r="Q287" i="5"/>
  <c r="G287" i="5"/>
  <c r="AH286" i="5"/>
  <c r="S286" i="5"/>
  <c r="Q286" i="5"/>
  <c r="G286" i="5"/>
  <c r="AH285" i="5"/>
  <c r="S285" i="5"/>
  <c r="Q285" i="5"/>
  <c r="G285" i="5"/>
  <c r="AH284" i="5"/>
  <c r="S284" i="5"/>
  <c r="Q284" i="5"/>
  <c r="G284" i="5"/>
  <c r="AH283" i="5"/>
  <c r="S283" i="5"/>
  <c r="Q283" i="5"/>
  <c r="G283" i="5"/>
  <c r="AH282" i="5"/>
  <c r="S282" i="5"/>
  <c r="Q282" i="5"/>
  <c r="G282" i="5"/>
  <c r="AH281" i="5"/>
  <c r="S281" i="5"/>
  <c r="Q281" i="5"/>
  <c r="G281" i="5"/>
  <c r="AH280" i="5"/>
  <c r="S280" i="5"/>
  <c r="Q280" i="5"/>
  <c r="G280" i="5"/>
  <c r="AH279" i="5"/>
  <c r="S279" i="5"/>
  <c r="Q279" i="5"/>
  <c r="Q248" i="5" s="1"/>
  <c r="Q247" i="5" s="1"/>
  <c r="Q246" i="5" s="1"/>
  <c r="G279" i="5"/>
  <c r="AH278" i="5"/>
  <c r="S278" i="5"/>
  <c r="R278" i="5"/>
  <c r="O278" i="5"/>
  <c r="G278" i="5"/>
  <c r="AH277" i="5"/>
  <c r="S277" i="5"/>
  <c r="R277" i="5"/>
  <c r="O277" i="5"/>
  <c r="H277" i="5"/>
  <c r="G277" i="5"/>
  <c r="AH276" i="5"/>
  <c r="S276" i="5"/>
  <c r="R276" i="5"/>
  <c r="O276" i="5"/>
  <c r="H276" i="5"/>
  <c r="G276" i="5"/>
  <c r="AH275" i="5"/>
  <c r="S275" i="5"/>
  <c r="R275" i="5"/>
  <c r="O275" i="5"/>
  <c r="H275" i="5"/>
  <c r="G275" i="5"/>
  <c r="AH274" i="5"/>
  <c r="S274" i="5"/>
  <c r="R274" i="5"/>
  <c r="O274" i="5"/>
  <c r="H274" i="5"/>
  <c r="G274" i="5"/>
  <c r="AH273" i="5"/>
  <c r="S273" i="5"/>
  <c r="R273" i="5"/>
  <c r="O273" i="5"/>
  <c r="G273" i="5"/>
  <c r="AH272" i="5"/>
  <c r="S272" i="5"/>
  <c r="R272" i="5"/>
  <c r="O272" i="5"/>
  <c r="G272" i="5"/>
  <c r="AH271" i="5"/>
  <c r="S271" i="5"/>
  <c r="O271" i="5"/>
  <c r="G271" i="5"/>
  <c r="AH270" i="5"/>
  <c r="S270" i="5"/>
  <c r="O270" i="5"/>
  <c r="G270" i="5"/>
  <c r="AH269" i="5"/>
  <c r="S269" i="5"/>
  <c r="R269" i="5"/>
  <c r="O269" i="5"/>
  <c r="G269" i="5"/>
  <c r="AH268" i="5"/>
  <c r="S268" i="5"/>
  <c r="M268" i="5"/>
  <c r="H268" i="5"/>
  <c r="AH267" i="5"/>
  <c r="S267" i="5"/>
  <c r="M267" i="5"/>
  <c r="H267" i="5"/>
  <c r="AH266" i="5"/>
  <c r="S266" i="5"/>
  <c r="M266" i="5"/>
  <c r="H266" i="5"/>
  <c r="AH265" i="5"/>
  <c r="S265" i="5"/>
  <c r="M265" i="5"/>
  <c r="H265" i="5"/>
  <c r="AH264" i="5"/>
  <c r="S264" i="5"/>
  <c r="M264" i="5"/>
  <c r="H264" i="5"/>
  <c r="AH263" i="5"/>
  <c r="S263" i="5"/>
  <c r="R263" i="5"/>
  <c r="O263" i="5"/>
  <c r="M263" i="5"/>
  <c r="H263" i="5"/>
  <c r="AH262" i="5"/>
  <c r="S262" i="5"/>
  <c r="M262" i="5"/>
  <c r="H262" i="5"/>
  <c r="AH261" i="5"/>
  <c r="S261" i="5"/>
  <c r="M261" i="5"/>
  <c r="H261" i="5"/>
  <c r="AH260" i="5"/>
  <c r="S260" i="5"/>
  <c r="M260" i="5"/>
  <c r="H260" i="5"/>
  <c r="AH259" i="5"/>
  <c r="S259" i="5"/>
  <c r="M259" i="5"/>
  <c r="H259" i="5"/>
  <c r="AH258" i="5"/>
  <c r="S258" i="5"/>
  <c r="M258" i="5"/>
  <c r="H258" i="5"/>
  <c r="AH257" i="5"/>
  <c r="S257" i="5"/>
  <c r="R257" i="5"/>
  <c r="M257" i="5"/>
  <c r="H257" i="5"/>
  <c r="H248" i="5" s="1"/>
  <c r="H247" i="5" s="1"/>
  <c r="H246" i="5" s="1"/>
  <c r="AH256" i="5"/>
  <c r="M256" i="5"/>
  <c r="H256" i="5"/>
  <c r="AH255" i="5"/>
  <c r="W255" i="5"/>
  <c r="S255" i="5"/>
  <c r="R255" i="5"/>
  <c r="O255" i="5"/>
  <c r="M255" i="5"/>
  <c r="G255" i="5"/>
  <c r="AH254" i="5"/>
  <c r="W254" i="5"/>
  <c r="S254" i="5"/>
  <c r="R254" i="5"/>
  <c r="O254" i="5"/>
  <c r="M254" i="5"/>
  <c r="G254" i="5"/>
  <c r="AH253" i="5"/>
  <c r="W253" i="5"/>
  <c r="S253" i="5"/>
  <c r="R253" i="5"/>
  <c r="O253" i="5"/>
  <c r="O248" i="5" s="1"/>
  <c r="O247" i="5" s="1"/>
  <c r="O246" i="5" s="1"/>
  <c r="M253" i="5"/>
  <c r="G253" i="5"/>
  <c r="G248" i="5" s="1"/>
  <c r="G247" i="5" s="1"/>
  <c r="G246" i="5" s="1"/>
  <c r="AH252" i="5"/>
  <c r="W252" i="5"/>
  <c r="W248" i="5" s="1"/>
  <c r="W247" i="5" s="1"/>
  <c r="W246" i="5" s="1"/>
  <c r="W18" i="5" s="1"/>
  <c r="W16" i="5" s="1"/>
  <c r="S252" i="5"/>
  <c r="R252" i="5"/>
  <c r="O252" i="5"/>
  <c r="M252" i="5"/>
  <c r="G252" i="5"/>
  <c r="AH251" i="5"/>
  <c r="W251" i="5"/>
  <c r="S251" i="5"/>
  <c r="R251" i="5"/>
  <c r="M251" i="5"/>
  <c r="G251" i="5"/>
  <c r="AH250" i="5"/>
  <c r="W250" i="5"/>
  <c r="S250" i="5"/>
  <c r="S248" i="5" s="1"/>
  <c r="S247" i="5" s="1"/>
  <c r="S246" i="5" s="1"/>
  <c r="R250" i="5"/>
  <c r="M250" i="5"/>
  <c r="G250" i="5"/>
  <c r="AH249" i="5"/>
  <c r="W249" i="5"/>
  <c r="M249" i="5"/>
  <c r="G249" i="5"/>
  <c r="AF248" i="5"/>
  <c r="AF247" i="5" s="1"/>
  <c r="AF246" i="5" s="1"/>
  <c r="AE248" i="5"/>
  <c r="AD248" i="5"/>
  <c r="AC248" i="5"/>
  <c r="AB248" i="5"/>
  <c r="AA248" i="5"/>
  <c r="Z248" i="5"/>
  <c r="Y248" i="5"/>
  <c r="X248" i="5"/>
  <c r="V248" i="5"/>
  <c r="U248" i="5"/>
  <c r="T248" i="5"/>
  <c r="R248" i="5"/>
  <c r="P248" i="5"/>
  <c r="N248" i="5"/>
  <c r="AE247" i="5"/>
  <c r="AD247" i="5"/>
  <c r="AD246" i="5" s="1"/>
  <c r="AC247" i="5"/>
  <c r="AB247" i="5"/>
  <c r="AB246" i="5" s="1"/>
  <c r="AA247" i="5"/>
  <c r="Z247" i="5"/>
  <c r="Z246" i="5" s="1"/>
  <c r="Y247" i="5"/>
  <c r="X247" i="5"/>
  <c r="X246" i="5" s="1"/>
  <c r="X18" i="5" s="1"/>
  <c r="V247" i="5"/>
  <c r="U247" i="5"/>
  <c r="T247" i="5"/>
  <c r="R247" i="5"/>
  <c r="R246" i="5" s="1"/>
  <c r="P247" i="5"/>
  <c r="N247" i="5"/>
  <c r="N246" i="5" s="1"/>
  <c r="N18" i="5" s="1"/>
  <c r="AE246" i="5"/>
  <c r="AC246" i="5"/>
  <c r="AA246" i="5"/>
  <c r="Y246" i="5"/>
  <c r="T246" i="5"/>
  <c r="P246" i="5"/>
  <c r="T245" i="5"/>
  <c r="P245" i="5"/>
  <c r="H245" i="5"/>
  <c r="T244" i="5"/>
  <c r="P244" i="5"/>
  <c r="H244" i="5"/>
  <c r="T243" i="5"/>
  <c r="P243" i="5"/>
  <c r="H243" i="5"/>
  <c r="T242" i="5"/>
  <c r="P242" i="5"/>
  <c r="H242" i="5"/>
  <c r="T241" i="5"/>
  <c r="P241" i="5"/>
  <c r="H241" i="5"/>
  <c r="T240" i="5"/>
  <c r="P240" i="5"/>
  <c r="H240" i="5"/>
  <c r="T239" i="5"/>
  <c r="P239" i="5"/>
  <c r="H239" i="5"/>
  <c r="T238" i="5"/>
  <c r="P238" i="5"/>
  <c r="H238" i="5"/>
  <c r="T237" i="5"/>
  <c r="P237" i="5"/>
  <c r="H237" i="5"/>
  <c r="T236" i="5"/>
  <c r="P236" i="5"/>
  <c r="H236" i="5"/>
  <c r="T235" i="5"/>
  <c r="P235" i="5"/>
  <c r="H235" i="5"/>
  <c r="T234" i="5"/>
  <c r="P234" i="5"/>
  <c r="H234" i="5"/>
  <c r="T233" i="5"/>
  <c r="P233" i="5"/>
  <c r="H233" i="5"/>
  <c r="T232" i="5"/>
  <c r="P232" i="5"/>
  <c r="H232" i="5"/>
  <c r="T231" i="5"/>
  <c r="P231" i="5"/>
  <c r="H231" i="5"/>
  <c r="T230" i="5"/>
  <c r="P230" i="5"/>
  <c r="H230" i="5"/>
  <c r="T229" i="5"/>
  <c r="P229" i="5"/>
  <c r="H229" i="5"/>
  <c r="T228" i="5"/>
  <c r="P228" i="5"/>
  <c r="H228" i="5"/>
  <c r="T227" i="5"/>
  <c r="P227" i="5"/>
  <c r="H227" i="5"/>
  <c r="T226" i="5"/>
  <c r="P226" i="5"/>
  <c r="H226" i="5"/>
  <c r="T225" i="5"/>
  <c r="P225" i="5"/>
  <c r="H225" i="5"/>
  <c r="T224" i="5"/>
  <c r="P224" i="5"/>
  <c r="H224" i="5"/>
  <c r="T223" i="5"/>
  <c r="P223" i="5"/>
  <c r="H223" i="5"/>
  <c r="T222" i="5"/>
  <c r="P222" i="5"/>
  <c r="H222" i="5"/>
  <c r="T221" i="5"/>
  <c r="P221" i="5"/>
  <c r="H221" i="5"/>
  <c r="T220" i="5"/>
  <c r="P220" i="5"/>
  <c r="H220" i="5"/>
  <c r="T219" i="5"/>
  <c r="P219" i="5"/>
  <c r="H219" i="5"/>
  <c r="T218" i="5"/>
  <c r="P218" i="5"/>
  <c r="H218" i="5"/>
  <c r="T217" i="5"/>
  <c r="P217" i="5"/>
  <c r="H217" i="5"/>
  <c r="T216" i="5"/>
  <c r="P216" i="5"/>
  <c r="H216" i="5"/>
  <c r="T215" i="5"/>
  <c r="P215" i="5"/>
  <c r="H215" i="5"/>
  <c r="T214" i="5"/>
  <c r="P214" i="5"/>
  <c r="H214" i="5"/>
  <c r="T213" i="5"/>
  <c r="P213" i="5"/>
  <c r="H213" i="5"/>
  <c r="T212" i="5"/>
  <c r="P212" i="5"/>
  <c r="H212" i="5"/>
  <c r="T211" i="5"/>
  <c r="P211" i="5"/>
  <c r="H211" i="5"/>
  <c r="T210" i="5"/>
  <c r="P210" i="5"/>
  <c r="H210" i="5"/>
  <c r="T209" i="5"/>
  <c r="P209" i="5"/>
  <c r="H209" i="5"/>
  <c r="T208" i="5"/>
  <c r="P208" i="5"/>
  <c r="H208" i="5"/>
  <c r="T207" i="5"/>
  <c r="P207" i="5"/>
  <c r="H207" i="5"/>
  <c r="T206" i="5"/>
  <c r="P206" i="5"/>
  <c r="H206" i="5"/>
  <c r="T205" i="5"/>
  <c r="P205" i="5"/>
  <c r="H205" i="5"/>
  <c r="T204" i="5"/>
  <c r="P204" i="5"/>
  <c r="H204" i="5"/>
  <c r="T203" i="5"/>
  <c r="P203" i="5"/>
  <c r="H203" i="5"/>
  <c r="AH202" i="5"/>
  <c r="S202" i="5"/>
  <c r="O202" i="5"/>
  <c r="H202" i="5"/>
  <c r="AH201" i="5"/>
  <c r="S201" i="5"/>
  <c r="O201" i="5"/>
  <c r="H201" i="5"/>
  <c r="AH200" i="5"/>
  <c r="H200" i="5"/>
  <c r="W199" i="5"/>
  <c r="T199" i="5"/>
  <c r="P199" i="5"/>
  <c r="M199" i="5"/>
  <c r="H199" i="5"/>
  <c r="W198" i="5"/>
  <c r="T198" i="5"/>
  <c r="P198" i="5"/>
  <c r="M198" i="5"/>
  <c r="H198" i="5"/>
  <c r="W197" i="5"/>
  <c r="T197" i="5"/>
  <c r="P197" i="5"/>
  <c r="M197" i="5"/>
  <c r="H197" i="5"/>
  <c r="W196" i="5"/>
  <c r="T196" i="5"/>
  <c r="P196" i="5"/>
  <c r="M196" i="5"/>
  <c r="H196" i="5"/>
  <c r="W195" i="5"/>
  <c r="T195" i="5"/>
  <c r="P195" i="5"/>
  <c r="M195" i="5"/>
  <c r="H195" i="5"/>
  <c r="W194" i="5"/>
  <c r="T194" i="5"/>
  <c r="P194" i="5"/>
  <c r="M194" i="5"/>
  <c r="H194" i="5"/>
  <c r="W193" i="5"/>
  <c r="T193" i="5"/>
  <c r="P193" i="5"/>
  <c r="H193" i="5"/>
  <c r="W192" i="5"/>
  <c r="T192" i="5"/>
  <c r="P192" i="5"/>
  <c r="M192" i="5"/>
  <c r="H192" i="5"/>
  <c r="W191" i="5"/>
  <c r="T191" i="5"/>
  <c r="P191" i="5"/>
  <c r="M191" i="5"/>
  <c r="H191" i="5"/>
  <c r="W190" i="5"/>
  <c r="T190" i="5"/>
  <c r="P190" i="5"/>
  <c r="M190" i="5"/>
  <c r="H190" i="5"/>
  <c r="W189" i="5"/>
  <c r="T189" i="5"/>
  <c r="P189" i="5"/>
  <c r="M189" i="5"/>
  <c r="H189" i="5"/>
  <c r="W188" i="5"/>
  <c r="T188" i="5"/>
  <c r="P188" i="5"/>
  <c r="M188" i="5"/>
  <c r="H188" i="5"/>
  <c r="W187" i="5"/>
  <c r="T187" i="5"/>
  <c r="P187" i="5"/>
  <c r="M187" i="5"/>
  <c r="H187" i="5"/>
  <c r="W186" i="5"/>
  <c r="T186" i="5"/>
  <c r="P186" i="5"/>
  <c r="M186" i="5"/>
  <c r="H186" i="5"/>
  <c r="W185" i="5"/>
  <c r="T185" i="5"/>
  <c r="P185" i="5"/>
  <c r="M185" i="5"/>
  <c r="H185" i="5"/>
  <c r="W184" i="5"/>
  <c r="T184" i="5"/>
  <c r="P184" i="5"/>
  <c r="M184" i="5"/>
  <c r="H184" i="5"/>
  <c r="W183" i="5"/>
  <c r="T183" i="5"/>
  <c r="T139" i="5" s="1"/>
  <c r="T138" i="5" s="1"/>
  <c r="P183" i="5"/>
  <c r="M183" i="5"/>
  <c r="H183" i="5"/>
  <c r="AH182" i="5"/>
  <c r="W182" i="5"/>
  <c r="S182" i="5"/>
  <c r="O182" i="5"/>
  <c r="M182" i="5"/>
  <c r="H182" i="5"/>
  <c r="AH181" i="5"/>
  <c r="W181" i="5"/>
  <c r="S181" i="5"/>
  <c r="O181" i="5"/>
  <c r="M181" i="5"/>
  <c r="H181" i="5"/>
  <c r="AH180" i="5"/>
  <c r="W180" i="5"/>
  <c r="S180" i="5"/>
  <c r="O180" i="5"/>
  <c r="M180" i="5"/>
  <c r="G180" i="5"/>
  <c r="G139" i="5" s="1"/>
  <c r="G138" i="5" s="1"/>
  <c r="G137" i="5" s="1"/>
  <c r="AH179" i="5"/>
  <c r="H179" i="5"/>
  <c r="N179" i="5" s="1"/>
  <c r="M179" i="5" s="1"/>
  <c r="AH178" i="5"/>
  <c r="M178" i="5"/>
  <c r="H178" i="5"/>
  <c r="AH177" i="5"/>
  <c r="H177" i="5"/>
  <c r="N177" i="5" s="1"/>
  <c r="AH176" i="5"/>
  <c r="H176" i="5"/>
  <c r="N176" i="5" s="1"/>
  <c r="M176" i="5" s="1"/>
  <c r="AH175" i="5"/>
  <c r="W175" i="5"/>
  <c r="U175" i="5"/>
  <c r="S175" i="5"/>
  <c r="O175" i="5"/>
  <c r="M175" i="5"/>
  <c r="H175" i="5"/>
  <c r="AH174" i="5"/>
  <c r="W174" i="5"/>
  <c r="U174" i="5"/>
  <c r="S174" i="5"/>
  <c r="O174" i="5"/>
  <c r="M174" i="5"/>
  <c r="H174" i="5"/>
  <c r="AH173" i="5"/>
  <c r="W173" i="5"/>
  <c r="U173" i="5"/>
  <c r="S173" i="5"/>
  <c r="O173" i="5"/>
  <c r="M173" i="5"/>
  <c r="H173" i="5"/>
  <c r="AH172" i="5"/>
  <c r="W172" i="5"/>
  <c r="U172" i="5"/>
  <c r="S172" i="5"/>
  <c r="O172" i="5"/>
  <c r="M172" i="5"/>
  <c r="H172" i="5"/>
  <c r="AH171" i="5"/>
  <c r="W171" i="5"/>
  <c r="U171" i="5"/>
  <c r="S171" i="5"/>
  <c r="O171" i="5"/>
  <c r="M171" i="5"/>
  <c r="H171" i="5"/>
  <c r="AH170" i="5"/>
  <c r="W170" i="5"/>
  <c r="U170" i="5"/>
  <c r="S170" i="5"/>
  <c r="O170" i="5"/>
  <c r="M170" i="5"/>
  <c r="H170" i="5"/>
  <c r="AH169" i="5"/>
  <c r="W169" i="5"/>
  <c r="U169" i="5"/>
  <c r="S169" i="5"/>
  <c r="O169" i="5"/>
  <c r="M169" i="5"/>
  <c r="H169" i="5"/>
  <c r="AH168" i="5"/>
  <c r="W168" i="5"/>
  <c r="U168" i="5"/>
  <c r="S168" i="5"/>
  <c r="O168" i="5"/>
  <c r="M168" i="5"/>
  <c r="H168" i="5"/>
  <c r="AH167" i="5"/>
  <c r="W167" i="5"/>
  <c r="U167" i="5"/>
  <c r="S167" i="5"/>
  <c r="O167" i="5"/>
  <c r="M167" i="5"/>
  <c r="H167" i="5"/>
  <c r="AH166" i="5"/>
  <c r="W166" i="5"/>
  <c r="U166" i="5"/>
  <c r="S166" i="5"/>
  <c r="O166" i="5"/>
  <c r="M166" i="5"/>
  <c r="H166" i="5"/>
  <c r="AH165" i="5"/>
  <c r="W165" i="5"/>
  <c r="U165" i="5"/>
  <c r="S165" i="5"/>
  <c r="O165" i="5"/>
  <c r="M165" i="5"/>
  <c r="H165" i="5"/>
  <c r="AH164" i="5"/>
  <c r="W164" i="5"/>
  <c r="U164" i="5"/>
  <c r="M164" i="5"/>
  <c r="H164" i="5"/>
  <c r="AH163" i="5"/>
  <c r="W163" i="5"/>
  <c r="U163" i="5"/>
  <c r="S163" i="5"/>
  <c r="O163" i="5"/>
  <c r="M163" i="5"/>
  <c r="H163" i="5"/>
  <c r="AH162" i="5"/>
  <c r="W162" i="5"/>
  <c r="U162" i="5"/>
  <c r="M162" i="5"/>
  <c r="H162" i="5"/>
  <c r="AH161" i="5"/>
  <c r="W161" i="5"/>
  <c r="U161" i="5"/>
  <c r="S161" i="5"/>
  <c r="O161" i="5"/>
  <c r="M161" i="5"/>
  <c r="H161" i="5"/>
  <c r="AH160" i="5"/>
  <c r="W160" i="5"/>
  <c r="U160" i="5"/>
  <c r="S160" i="5"/>
  <c r="O160" i="5"/>
  <c r="M160" i="5"/>
  <c r="H160" i="5"/>
  <c r="AH159" i="5"/>
  <c r="W159" i="5"/>
  <c r="U159" i="5"/>
  <c r="M159" i="5"/>
  <c r="H159" i="5"/>
  <c r="AH158" i="5"/>
  <c r="W158" i="5"/>
  <c r="U158" i="5"/>
  <c r="S158" i="5"/>
  <c r="O158" i="5"/>
  <c r="M158" i="5"/>
  <c r="H158" i="5"/>
  <c r="AH157" i="5"/>
  <c r="W157" i="5"/>
  <c r="U157" i="5"/>
  <c r="M157" i="5"/>
  <c r="H157" i="5"/>
  <c r="AH156" i="5"/>
  <c r="W156" i="5"/>
  <c r="U156" i="5"/>
  <c r="M156" i="5"/>
  <c r="H156" i="5"/>
  <c r="AH155" i="5"/>
  <c r="W155" i="5"/>
  <c r="U155" i="5"/>
  <c r="M155" i="5"/>
  <c r="H155" i="5"/>
  <c r="AH154" i="5"/>
  <c r="W154" i="5"/>
  <c r="U154" i="5"/>
  <c r="S154" i="5"/>
  <c r="O154" i="5"/>
  <c r="M154" i="5"/>
  <c r="H154" i="5"/>
  <c r="AH153" i="5"/>
  <c r="W153" i="5"/>
  <c r="U153" i="5"/>
  <c r="M153" i="5"/>
  <c r="H153" i="5"/>
  <c r="AH152" i="5"/>
  <c r="W152" i="5"/>
  <c r="U152" i="5"/>
  <c r="S152" i="5"/>
  <c r="O152" i="5"/>
  <c r="M152" i="5"/>
  <c r="H152" i="5"/>
  <c r="AH151" i="5"/>
  <c r="W151" i="5"/>
  <c r="U151" i="5"/>
  <c r="M151" i="5"/>
  <c r="H151" i="5"/>
  <c r="AH150" i="5"/>
  <c r="W150" i="5"/>
  <c r="U150" i="5"/>
  <c r="M150" i="5"/>
  <c r="H150" i="5"/>
  <c r="AH149" i="5"/>
  <c r="W149" i="5"/>
  <c r="U149" i="5"/>
  <c r="S149" i="5"/>
  <c r="O149" i="5"/>
  <c r="M149" i="5"/>
  <c r="H149" i="5"/>
  <c r="AH148" i="5"/>
  <c r="W148" i="5"/>
  <c r="U148" i="5"/>
  <c r="M148" i="5"/>
  <c r="H148" i="5"/>
  <c r="AH147" i="5"/>
  <c r="W147" i="5"/>
  <c r="U147" i="5"/>
  <c r="M147" i="5"/>
  <c r="H147" i="5"/>
  <c r="AH146" i="5"/>
  <c r="W146" i="5"/>
  <c r="U146" i="5"/>
  <c r="M146" i="5"/>
  <c r="H146" i="5"/>
  <c r="AH145" i="5"/>
  <c r="W145" i="5"/>
  <c r="U145" i="5"/>
  <c r="S145" i="5"/>
  <c r="O145" i="5"/>
  <c r="M145" i="5"/>
  <c r="H145" i="5"/>
  <c r="AH144" i="5"/>
  <c r="W144" i="5"/>
  <c r="U144" i="5"/>
  <c r="S144" i="5"/>
  <c r="O144" i="5"/>
  <c r="M144" i="5"/>
  <c r="H144" i="5"/>
  <c r="AH143" i="5"/>
  <c r="W143" i="5"/>
  <c r="U143" i="5"/>
  <c r="M143" i="5"/>
  <c r="H143" i="5"/>
  <c r="AH142" i="5"/>
  <c r="W142" i="5"/>
  <c r="U142" i="5"/>
  <c r="M142" i="5"/>
  <c r="H142" i="5"/>
  <c r="AH141" i="5"/>
  <c r="W141" i="5"/>
  <c r="U141" i="5"/>
  <c r="S141" i="5"/>
  <c r="O141" i="5"/>
  <c r="M141" i="5"/>
  <c r="H141" i="5"/>
  <c r="AH140" i="5"/>
  <c r="W140" i="5"/>
  <c r="U140" i="5"/>
  <c r="M140" i="5"/>
  <c r="H140" i="5"/>
  <c r="AF139" i="5"/>
  <c r="AF138" i="5" s="1"/>
  <c r="AF137" i="5" s="1"/>
  <c r="AE139" i="5"/>
  <c r="AE138" i="5" s="1"/>
  <c r="AE137" i="5" s="1"/>
  <c r="AD139" i="5"/>
  <c r="AD138" i="5" s="1"/>
  <c r="AD137" i="5" s="1"/>
  <c r="AC139" i="5"/>
  <c r="AC138" i="5" s="1"/>
  <c r="AC137" i="5" s="1"/>
  <c r="AB139" i="5"/>
  <c r="AB138" i="5" s="1"/>
  <c r="AB137" i="5" s="1"/>
  <c r="AA139" i="5"/>
  <c r="AA138" i="5" s="1"/>
  <c r="AA137" i="5" s="1"/>
  <c r="Z139" i="5"/>
  <c r="Z138" i="5" s="1"/>
  <c r="Z137" i="5" s="1"/>
  <c r="Y139" i="5"/>
  <c r="Y138" i="5" s="1"/>
  <c r="Y137" i="5" s="1"/>
  <c r="X139" i="5"/>
  <c r="X138" i="5" s="1"/>
  <c r="X137" i="5" s="1"/>
  <c r="V139" i="5"/>
  <c r="V138" i="5" s="1"/>
  <c r="V137" i="5" s="1"/>
  <c r="R139" i="5"/>
  <c r="R138" i="5" s="1"/>
  <c r="Q139" i="5"/>
  <c r="Q138" i="5" s="1"/>
  <c r="Q137" i="5" s="1"/>
  <c r="H139" i="5"/>
  <c r="H138" i="5" s="1"/>
  <c r="H137" i="5" s="1"/>
  <c r="R137" i="5"/>
  <c r="AH136" i="5"/>
  <c r="M136" i="5"/>
  <c r="P135" i="5"/>
  <c r="T135" i="5" s="1"/>
  <c r="M135" i="5"/>
  <c r="G135" i="5"/>
  <c r="O135" i="5" s="1"/>
  <c r="AH134" i="5"/>
  <c r="M134" i="5"/>
  <c r="H134" i="5"/>
  <c r="AH133" i="5"/>
  <c r="S133" i="5"/>
  <c r="O133" i="5"/>
  <c r="N133" i="5"/>
  <c r="M133" i="5" s="1"/>
  <c r="G133" i="5"/>
  <c r="G117" i="5" s="1"/>
  <c r="G116" i="5" s="1"/>
  <c r="G107" i="5" s="1"/>
  <c r="AH132" i="5"/>
  <c r="M132" i="5"/>
  <c r="H132" i="5"/>
  <c r="H117" i="5" s="1"/>
  <c r="H116" i="5" s="1"/>
  <c r="H107" i="5" s="1"/>
  <c r="AH131" i="5"/>
  <c r="M131" i="5"/>
  <c r="H131" i="5"/>
  <c r="AH130" i="5"/>
  <c r="M130" i="5"/>
  <c r="H130" i="5"/>
  <c r="AH129" i="5"/>
  <c r="M129" i="5"/>
  <c r="H129" i="5"/>
  <c r="AH128" i="5"/>
  <c r="M128" i="5"/>
  <c r="H128" i="5"/>
  <c r="AH127" i="5"/>
  <c r="U127" i="5"/>
  <c r="M127" i="5"/>
  <c r="H127" i="5"/>
  <c r="AH126" i="5"/>
  <c r="M126" i="5"/>
  <c r="H126" i="5"/>
  <c r="AH125" i="5"/>
  <c r="M125" i="5"/>
  <c r="H125" i="5"/>
  <c r="AH124" i="5"/>
  <c r="M124" i="5"/>
  <c r="H124" i="5"/>
  <c r="AH123" i="5"/>
  <c r="M123" i="5"/>
  <c r="H123" i="5"/>
  <c r="AH122" i="5"/>
  <c r="M122" i="5"/>
  <c r="H122" i="5"/>
  <c r="AH121" i="5"/>
  <c r="M121" i="5"/>
  <c r="H121" i="5"/>
  <c r="AH120" i="5"/>
  <c r="H120" i="5"/>
  <c r="AH119" i="5"/>
  <c r="M119" i="5"/>
  <c r="H119" i="5"/>
  <c r="AH118" i="5"/>
  <c r="M118" i="5"/>
  <c r="H118" i="5"/>
  <c r="AF117" i="5"/>
  <c r="AF116" i="5" s="1"/>
  <c r="AE117" i="5"/>
  <c r="AE116" i="5" s="1"/>
  <c r="AD117" i="5"/>
  <c r="AD116" i="5" s="1"/>
  <c r="AC117" i="5"/>
  <c r="AC116" i="5" s="1"/>
  <c r="AB117" i="5"/>
  <c r="AB116" i="5" s="1"/>
  <c r="AA117" i="5"/>
  <c r="AA116" i="5" s="1"/>
  <c r="Z117" i="5"/>
  <c r="Z116" i="5" s="1"/>
  <c r="Y117" i="5"/>
  <c r="Y116" i="5" s="1"/>
  <c r="X117" i="5"/>
  <c r="X116" i="5" s="1"/>
  <c r="X107" i="5" s="1"/>
  <c r="W117" i="5"/>
  <c r="W116" i="5" s="1"/>
  <c r="W107" i="5" s="1"/>
  <c r="V117" i="5"/>
  <c r="V116" i="5" s="1"/>
  <c r="U117" i="5"/>
  <c r="U116" i="5" s="1"/>
  <c r="U107" i="5" s="1"/>
  <c r="R117" i="5"/>
  <c r="R116" i="5" s="1"/>
  <c r="R107" i="5" s="1"/>
  <c r="Q117" i="5"/>
  <c r="Q116" i="5" s="1"/>
  <c r="Q107" i="5" s="1"/>
  <c r="P117" i="5"/>
  <c r="P116" i="5" s="1"/>
  <c r="N117" i="5"/>
  <c r="N116" i="5" s="1"/>
  <c r="N107" i="5" s="1"/>
  <c r="AH115" i="5"/>
  <c r="U115" i="5"/>
  <c r="S115" i="5"/>
  <c r="O115" i="5"/>
  <c r="M115" i="5"/>
  <c r="L115" i="5"/>
  <c r="J115" i="5"/>
  <c r="H115" i="5"/>
  <c r="AH114" i="5"/>
  <c r="U114" i="5"/>
  <c r="S114" i="5"/>
  <c r="O114" i="5"/>
  <c r="M114" i="5"/>
  <c r="L114" i="5"/>
  <c r="J114" i="5"/>
  <c r="H114" i="5"/>
  <c r="AH113" i="5"/>
  <c r="S113" i="5"/>
  <c r="O113" i="5"/>
  <c r="M113" i="5"/>
  <c r="L113" i="5"/>
  <c r="J113" i="5"/>
  <c r="H113" i="5"/>
  <c r="AH112" i="5"/>
  <c r="S112" i="5"/>
  <c r="O112" i="5"/>
  <c r="M112" i="5"/>
  <c r="L112" i="5"/>
  <c r="J112" i="5"/>
  <c r="H112" i="5"/>
  <c r="AH111" i="5"/>
  <c r="AH110" i="5"/>
  <c r="AF109" i="5"/>
  <c r="AF108" i="5" s="1"/>
  <c r="AF107" i="5" s="1"/>
  <c r="AE109" i="5"/>
  <c r="AE108" i="5" s="1"/>
  <c r="AD109" i="5"/>
  <c r="AD108" i="5" s="1"/>
  <c r="AD107" i="5" s="1"/>
  <c r="AC109" i="5"/>
  <c r="AB109" i="5"/>
  <c r="AB108" i="5" s="1"/>
  <c r="AB107" i="5" s="1"/>
  <c r="AA109" i="5"/>
  <c r="AA108" i="5" s="1"/>
  <c r="Z109" i="5"/>
  <c r="Z108" i="5" s="1"/>
  <c r="Z107" i="5" s="1"/>
  <c r="Y109" i="5"/>
  <c r="X109" i="5"/>
  <c r="X108" i="5" s="1"/>
  <c r="W109" i="5"/>
  <c r="W108" i="5" s="1"/>
  <c r="V109" i="5"/>
  <c r="V108" i="5" s="1"/>
  <c r="U109" i="5"/>
  <c r="T109" i="5"/>
  <c r="R109" i="5"/>
  <c r="R108" i="5" s="1"/>
  <c r="Q109" i="5"/>
  <c r="Q108" i="5" s="1"/>
  <c r="P109" i="5"/>
  <c r="N109" i="5"/>
  <c r="N108" i="5" s="1"/>
  <c r="K109" i="5"/>
  <c r="K108" i="5" s="1"/>
  <c r="K107" i="5" s="1"/>
  <c r="I109" i="5"/>
  <c r="I108" i="5" s="1"/>
  <c r="I107" i="5" s="1"/>
  <c r="G109" i="5"/>
  <c r="AC108" i="5"/>
  <c r="Y108" i="5"/>
  <c r="U108" i="5"/>
  <c r="P108" i="5"/>
  <c r="G108" i="5"/>
  <c r="V107" i="5"/>
  <c r="P107" i="5"/>
  <c r="U106" i="5"/>
  <c r="S106" i="5"/>
  <c r="T106" i="5" s="1"/>
  <c r="G106" i="5"/>
  <c r="S105" i="5"/>
  <c r="Q105" i="5" s="1"/>
  <c r="P105" i="5"/>
  <c r="AH105" i="5" s="1"/>
  <c r="G105" i="5"/>
  <c r="S104" i="5"/>
  <c r="P104" i="5"/>
  <c r="AH104" i="5" s="1"/>
  <c r="G104" i="5"/>
  <c r="S103" i="5"/>
  <c r="Q103" i="5" s="1"/>
  <c r="P103" i="5"/>
  <c r="AH103" i="5" s="1"/>
  <c r="G103" i="5"/>
  <c r="Q102" i="5"/>
  <c r="P102" i="5"/>
  <c r="R102" i="5" s="1"/>
  <c r="G102" i="5"/>
  <c r="S101" i="5"/>
  <c r="Q101" i="5" s="1"/>
  <c r="P101" i="5"/>
  <c r="AH101" i="5" s="1"/>
  <c r="G101" i="5"/>
  <c r="S100" i="5"/>
  <c r="Q100" i="5" s="1"/>
  <c r="P100" i="5"/>
  <c r="AH100" i="5" s="1"/>
  <c r="G100" i="5"/>
  <c r="Q99" i="5"/>
  <c r="P99" i="5"/>
  <c r="AH99" i="5" s="1"/>
  <c r="G99" i="5"/>
  <c r="S98" i="5"/>
  <c r="Q98" i="5" s="1"/>
  <c r="P98" i="5"/>
  <c r="AH98" i="5" s="1"/>
  <c r="G98" i="5"/>
  <c r="S97" i="5"/>
  <c r="Q97" i="5" s="1"/>
  <c r="P97" i="5"/>
  <c r="AH97" i="5" s="1"/>
  <c r="G97" i="5"/>
  <c r="S96" i="5"/>
  <c r="Q96" i="5" s="1"/>
  <c r="P96" i="5"/>
  <c r="AH96" i="5" s="1"/>
  <c r="G96" i="5"/>
  <c r="S95" i="5"/>
  <c r="P95" i="5"/>
  <c r="AH95" i="5" s="1"/>
  <c r="G95" i="5"/>
  <c r="AH94" i="5"/>
  <c r="S94" i="5"/>
  <c r="R94" i="5"/>
  <c r="G94" i="5"/>
  <c r="S93" i="5"/>
  <c r="Q93" i="5" s="1"/>
  <c r="P93" i="5"/>
  <c r="AH93" i="5" s="1"/>
  <c r="H93" i="5"/>
  <c r="S92" i="5"/>
  <c r="P92" i="5"/>
  <c r="AH92" i="5" s="1"/>
  <c r="N92" i="5"/>
  <c r="G92" i="5"/>
  <c r="AH91" i="5"/>
  <c r="R91" i="5"/>
  <c r="Q91" i="5"/>
  <c r="N91" i="5"/>
  <c r="H91" i="5"/>
  <c r="AH90" i="5"/>
  <c r="R90" i="5"/>
  <c r="Q90" i="5"/>
  <c r="N90" i="5"/>
  <c r="H90" i="5"/>
  <c r="AH89" i="5"/>
  <c r="R89" i="5"/>
  <c r="Q89" i="5"/>
  <c r="N89" i="5"/>
  <c r="H89" i="5"/>
  <c r="S88" i="5"/>
  <c r="P88" i="5"/>
  <c r="AH88" i="5" s="1"/>
  <c r="N88" i="5"/>
  <c r="G88" i="5"/>
  <c r="AH87" i="5"/>
  <c r="R87" i="5"/>
  <c r="Q87" i="5"/>
  <c r="N87" i="5"/>
  <c r="H87" i="5"/>
  <c r="AH86" i="5"/>
  <c r="R86" i="5"/>
  <c r="Q86" i="5"/>
  <c r="N86" i="5"/>
  <c r="H86" i="5"/>
  <c r="S85" i="5"/>
  <c r="P85" i="5"/>
  <c r="AH85" i="5" s="1"/>
  <c r="N85" i="5"/>
  <c r="H85" i="5"/>
  <c r="P84" i="5"/>
  <c r="R84" i="5" s="1"/>
  <c r="N84" i="5"/>
  <c r="H84" i="5"/>
  <c r="P83" i="5"/>
  <c r="N83" i="5"/>
  <c r="H83" i="5"/>
  <c r="P82" i="5"/>
  <c r="R82" i="5" s="1"/>
  <c r="N82" i="5"/>
  <c r="H82" i="5"/>
  <c r="AH81" i="5"/>
  <c r="R81" i="5"/>
  <c r="Q81" i="5"/>
  <c r="N81" i="5"/>
  <c r="H81" i="5"/>
  <c r="AH80" i="5"/>
  <c r="R80" i="5"/>
  <c r="Q80" i="5"/>
  <c r="N80" i="5"/>
  <c r="H80" i="5"/>
  <c r="P79" i="5"/>
  <c r="AH79" i="5" s="1"/>
  <c r="N79" i="5"/>
  <c r="H79" i="5"/>
  <c r="AH78" i="5"/>
  <c r="R78" i="5"/>
  <c r="Q78" i="5"/>
  <c r="N78" i="5"/>
  <c r="H78" i="5"/>
  <c r="P77" i="5"/>
  <c r="N77" i="5"/>
  <c r="H77" i="5"/>
  <c r="P76" i="5"/>
  <c r="R76" i="5" s="1"/>
  <c r="N76" i="5"/>
  <c r="H76" i="5"/>
  <c r="P75" i="5"/>
  <c r="AH75" i="5" s="1"/>
  <c r="N75" i="5"/>
  <c r="H75" i="5"/>
  <c r="P74" i="5"/>
  <c r="R74" i="5" s="1"/>
  <c r="N74" i="5"/>
  <c r="H74" i="5"/>
  <c r="P73" i="5"/>
  <c r="N73" i="5"/>
  <c r="H73" i="5"/>
  <c r="P72" i="5"/>
  <c r="R72" i="5" s="1"/>
  <c r="N72" i="5"/>
  <c r="H72" i="5"/>
  <c r="AH71" i="5"/>
  <c r="R71" i="5"/>
  <c r="Q71" i="5"/>
  <c r="N71" i="5"/>
  <c r="H71" i="5"/>
  <c r="AH70" i="5"/>
  <c r="R70" i="5"/>
  <c r="Q70" i="5"/>
  <c r="N70" i="5"/>
  <c r="H70" i="5"/>
  <c r="AH69" i="5"/>
  <c r="R69" i="5"/>
  <c r="Q69" i="5"/>
  <c r="N69" i="5"/>
  <c r="H69" i="5"/>
  <c r="AH68" i="5"/>
  <c r="R68" i="5"/>
  <c r="Q68" i="5"/>
  <c r="N68" i="5"/>
  <c r="H68" i="5"/>
  <c r="AH67" i="5"/>
  <c r="R67" i="5"/>
  <c r="Q67" i="5"/>
  <c r="N67" i="5"/>
  <c r="H67" i="5"/>
  <c r="AH66" i="5"/>
  <c r="R66" i="5"/>
  <c r="Q66" i="5"/>
  <c r="N66" i="5"/>
  <c r="H66" i="5"/>
  <c r="AH65" i="5"/>
  <c r="R65" i="5"/>
  <c r="Q65" i="5"/>
  <c r="N65" i="5"/>
  <c r="H65" i="5"/>
  <c r="AH64" i="5"/>
  <c r="R64" i="5"/>
  <c r="Q64" i="5"/>
  <c r="N64" i="5"/>
  <c r="H64" i="5"/>
  <c r="AH63" i="5"/>
  <c r="R63" i="5"/>
  <c r="Q63" i="5"/>
  <c r="N63" i="5"/>
  <c r="G63" i="5"/>
  <c r="H63" i="5" s="1"/>
  <c r="S62" i="5"/>
  <c r="P62" i="5"/>
  <c r="AH62" i="5" s="1"/>
  <c r="N62" i="5"/>
  <c r="H62" i="5"/>
  <c r="G62" i="5"/>
  <c r="Q61" i="5"/>
  <c r="P61" i="5"/>
  <c r="R61" i="5" s="1"/>
  <c r="N61" i="5"/>
  <c r="G61" i="5"/>
  <c r="H61" i="5" s="1"/>
  <c r="Q60" i="5"/>
  <c r="P60" i="5"/>
  <c r="AH60" i="5" s="1"/>
  <c r="N60" i="5"/>
  <c r="G60" i="5"/>
  <c r="H60" i="5" s="1"/>
  <c r="Q59" i="5"/>
  <c r="P59" i="5"/>
  <c r="R59" i="5" s="1"/>
  <c r="N59" i="5"/>
  <c r="G59" i="5"/>
  <c r="H59" i="5" s="1"/>
  <c r="Q58" i="5"/>
  <c r="P58" i="5"/>
  <c r="AH58" i="5" s="1"/>
  <c r="N58" i="5"/>
  <c r="G58" i="5"/>
  <c r="H58" i="5" s="1"/>
  <c r="S57" i="5"/>
  <c r="P57" i="5"/>
  <c r="AH57" i="5" s="1"/>
  <c r="N57" i="5"/>
  <c r="G57" i="5"/>
  <c r="H57" i="5" s="1"/>
  <c r="Q56" i="5"/>
  <c r="P56" i="5"/>
  <c r="AH56" i="5" s="1"/>
  <c r="N56" i="5"/>
  <c r="G56" i="5"/>
  <c r="H56" i="5" s="1"/>
  <c r="W55" i="5"/>
  <c r="Q55" i="5"/>
  <c r="P55" i="5"/>
  <c r="AH55" i="5" s="1"/>
  <c r="N55" i="5"/>
  <c r="G55" i="5"/>
  <c r="S54" i="5"/>
  <c r="P54" i="5"/>
  <c r="AH54" i="5" s="1"/>
  <c r="N54" i="5"/>
  <c r="G54" i="5"/>
  <c r="H54" i="5" s="1"/>
  <c r="S53" i="5"/>
  <c r="P53" i="5"/>
  <c r="N53" i="5"/>
  <c r="G53" i="5"/>
  <c r="S52" i="5"/>
  <c r="P52" i="5"/>
  <c r="AH52" i="5" s="1"/>
  <c r="N52" i="5"/>
  <c r="G52" i="5"/>
  <c r="H52" i="5" s="1"/>
  <c r="S51" i="5"/>
  <c r="P51" i="5"/>
  <c r="AH51" i="5" s="1"/>
  <c r="N51" i="5"/>
  <c r="G51" i="5"/>
  <c r="S50" i="5"/>
  <c r="Q50" i="5" s="1"/>
  <c r="P50" i="5"/>
  <c r="AH50" i="5" s="1"/>
  <c r="N50" i="5"/>
  <c r="G50" i="5"/>
  <c r="H50" i="5" s="1"/>
  <c r="AH49" i="5"/>
  <c r="R49" i="5"/>
  <c r="Q49" i="5"/>
  <c r="N49" i="5"/>
  <c r="G49" i="5"/>
  <c r="H49" i="5" s="1"/>
  <c r="S48" i="5"/>
  <c r="S27" i="5" s="1"/>
  <c r="S26" i="5" s="1"/>
  <c r="S19" i="5" s="1"/>
  <c r="S18" i="5" s="1"/>
  <c r="P48" i="5"/>
  <c r="N48" i="5"/>
  <c r="H48" i="5"/>
  <c r="W47" i="5"/>
  <c r="Q47" i="5"/>
  <c r="P47" i="5"/>
  <c r="AH47" i="5" s="1"/>
  <c r="N47" i="5"/>
  <c r="H47" i="5"/>
  <c r="W46" i="5"/>
  <c r="Q46" i="5"/>
  <c r="P46" i="5"/>
  <c r="AH46" i="5" s="1"/>
  <c r="N46" i="5"/>
  <c r="H46" i="5"/>
  <c r="W45" i="5"/>
  <c r="U45" i="5"/>
  <c r="Q45" i="5"/>
  <c r="P45" i="5"/>
  <c r="AH45" i="5" s="1"/>
  <c r="N45" i="5"/>
  <c r="H45" i="5"/>
  <c r="W44" i="5"/>
  <c r="U44" i="5"/>
  <c r="Q44" i="5"/>
  <c r="P44" i="5"/>
  <c r="AH44" i="5" s="1"/>
  <c r="N44" i="5"/>
  <c r="H44" i="5"/>
  <c r="W43" i="5"/>
  <c r="U43" i="5"/>
  <c r="Q43" i="5"/>
  <c r="P43" i="5"/>
  <c r="AH43" i="5" s="1"/>
  <c r="N43" i="5"/>
  <c r="H43" i="5"/>
  <c r="W42" i="5"/>
  <c r="U42" i="5"/>
  <c r="Q42" i="5"/>
  <c r="P42" i="5"/>
  <c r="AH42" i="5" s="1"/>
  <c r="N42" i="5"/>
  <c r="H42" i="5"/>
  <c r="W41" i="5"/>
  <c r="U41" i="5"/>
  <c r="Q41" i="5"/>
  <c r="P41" i="5"/>
  <c r="AH41" i="5" s="1"/>
  <c r="N41" i="5"/>
  <c r="H41" i="5"/>
  <c r="W40" i="5"/>
  <c r="U40" i="5"/>
  <c r="Q40" i="5"/>
  <c r="P40" i="5"/>
  <c r="AH40" i="5" s="1"/>
  <c r="N40" i="5"/>
  <c r="H40" i="5"/>
  <c r="W39" i="5"/>
  <c r="U39" i="5"/>
  <c r="Q39" i="5"/>
  <c r="P39" i="5"/>
  <c r="AH39" i="5" s="1"/>
  <c r="N39" i="5"/>
  <c r="H39" i="5"/>
  <c r="W38" i="5"/>
  <c r="U38" i="5"/>
  <c r="Q38" i="5"/>
  <c r="P38" i="5"/>
  <c r="AH38" i="5" s="1"/>
  <c r="N38" i="5"/>
  <c r="H38" i="5"/>
  <c r="W37" i="5"/>
  <c r="U37" i="5"/>
  <c r="Q37" i="5"/>
  <c r="P37" i="5"/>
  <c r="AH37" i="5" s="1"/>
  <c r="N37" i="5"/>
  <c r="H37" i="5"/>
  <c r="W36" i="5"/>
  <c r="U36" i="5"/>
  <c r="Q36" i="5"/>
  <c r="P36" i="5"/>
  <c r="AH36" i="5" s="1"/>
  <c r="N36" i="5"/>
  <c r="H36" i="5"/>
  <c r="AH35" i="5"/>
  <c r="W35" i="5"/>
  <c r="U35" i="5"/>
  <c r="S35" i="5"/>
  <c r="R35" i="5"/>
  <c r="O35" i="5"/>
  <c r="Q35" i="5" s="1"/>
  <c r="N35" i="5"/>
  <c r="H35" i="5"/>
  <c r="W34" i="5"/>
  <c r="U34" i="5"/>
  <c r="Q34" i="5"/>
  <c r="P34" i="5"/>
  <c r="R34" i="5" s="1"/>
  <c r="N34" i="5"/>
  <c r="H34" i="5"/>
  <c r="W33" i="5"/>
  <c r="U33" i="5"/>
  <c r="Q33" i="5"/>
  <c r="P33" i="5"/>
  <c r="R33" i="5" s="1"/>
  <c r="N33" i="5"/>
  <c r="H33" i="5"/>
  <c r="W32" i="5"/>
  <c r="U32" i="5"/>
  <c r="Q32" i="5"/>
  <c r="P32" i="5"/>
  <c r="R32" i="5" s="1"/>
  <c r="N32" i="5"/>
  <c r="H32" i="5"/>
  <c r="W31" i="5"/>
  <c r="U31" i="5"/>
  <c r="Q31" i="5"/>
  <c r="P31" i="5"/>
  <c r="R31" i="5" s="1"/>
  <c r="N31" i="5"/>
  <c r="H31" i="5"/>
  <c r="W30" i="5"/>
  <c r="U30" i="5"/>
  <c r="Q30" i="5"/>
  <c r="P30" i="5"/>
  <c r="R30" i="5" s="1"/>
  <c r="N30" i="5"/>
  <c r="H30" i="5"/>
  <c r="W29" i="5"/>
  <c r="U29" i="5"/>
  <c r="Q29" i="5"/>
  <c r="P29" i="5"/>
  <c r="R29" i="5" s="1"/>
  <c r="N29" i="5"/>
  <c r="H29" i="5"/>
  <c r="W28" i="5"/>
  <c r="U28" i="5"/>
  <c r="Q28" i="5"/>
  <c r="P28" i="5"/>
  <c r="R28" i="5" s="1"/>
  <c r="N28" i="5"/>
  <c r="H28" i="5"/>
  <c r="AF27" i="5"/>
  <c r="AF26" i="5" s="1"/>
  <c r="AE27" i="5"/>
  <c r="AE26" i="5" s="1"/>
  <c r="AD27" i="5"/>
  <c r="AD26" i="5" s="1"/>
  <c r="AC27" i="5"/>
  <c r="AC26" i="5" s="1"/>
  <c r="AB27" i="5"/>
  <c r="AA27" i="5"/>
  <c r="AA26" i="5" s="1"/>
  <c r="Z27" i="5"/>
  <c r="Z26" i="5" s="1"/>
  <c r="Y27" i="5"/>
  <c r="Y26" i="5" s="1"/>
  <c r="X27" i="5"/>
  <c r="X26" i="5" s="1"/>
  <c r="X19" i="5" s="1"/>
  <c r="V27" i="5"/>
  <c r="V26" i="5" s="1"/>
  <c r="V19" i="5" s="1"/>
  <c r="O27" i="5"/>
  <c r="O26" i="5" s="1"/>
  <c r="O19" i="5" s="1"/>
  <c r="O18" i="5" s="1"/>
  <c r="M27" i="5"/>
  <c r="M26" i="5" s="1"/>
  <c r="M19" i="5" s="1"/>
  <c r="AB26" i="5"/>
  <c r="U25" i="5"/>
  <c r="P25" i="5"/>
  <c r="AH25" i="5" s="1"/>
  <c r="N25" i="5"/>
  <c r="L25" i="5"/>
  <c r="J25" i="5"/>
  <c r="H25" i="5"/>
  <c r="U24" i="5"/>
  <c r="U21" i="5" s="1"/>
  <c r="U20" i="5" s="1"/>
  <c r="P24" i="5"/>
  <c r="AH24" i="5" s="1"/>
  <c r="N24" i="5"/>
  <c r="N21" i="5" s="1"/>
  <c r="N20" i="5" s="1"/>
  <c r="L24" i="5"/>
  <c r="J24" i="5"/>
  <c r="J21" i="5" s="1"/>
  <c r="J20" i="5" s="1"/>
  <c r="H24" i="5"/>
  <c r="AH23" i="5"/>
  <c r="AH22" i="5"/>
  <c r="AF21" i="5"/>
  <c r="AF20" i="5" s="1"/>
  <c r="AE21" i="5"/>
  <c r="AE20" i="5" s="1"/>
  <c r="AD21" i="5"/>
  <c r="AD20" i="5" s="1"/>
  <c r="AD19" i="5" s="1"/>
  <c r="AC21" i="5"/>
  <c r="AC20" i="5" s="1"/>
  <c r="AB21" i="5"/>
  <c r="AB20" i="5" s="1"/>
  <c r="AB19" i="5" s="1"/>
  <c r="AA21" i="5"/>
  <c r="AA20" i="5" s="1"/>
  <c r="Z21" i="5"/>
  <c r="Y21" i="5"/>
  <c r="Y20" i="5" s="1"/>
  <c r="X21" i="5"/>
  <c r="X20" i="5" s="1"/>
  <c r="W21" i="5"/>
  <c r="W20" i="5" s="1"/>
  <c r="V21" i="5"/>
  <c r="V20" i="5" s="1"/>
  <c r="T21" i="5"/>
  <c r="T20" i="5" s="1"/>
  <c r="S21" i="5"/>
  <c r="S20" i="5" s="1"/>
  <c r="R21" i="5"/>
  <c r="R20" i="5" s="1"/>
  <c r="Q21" i="5"/>
  <c r="P21" i="5"/>
  <c r="P20" i="5" s="1"/>
  <c r="O21" i="5"/>
  <c r="O20" i="5" s="1"/>
  <c r="M21" i="5"/>
  <c r="L21" i="5"/>
  <c r="L20" i="5" s="1"/>
  <c r="K21" i="5"/>
  <c r="K20" i="5" s="1"/>
  <c r="I21" i="5"/>
  <c r="H21" i="5"/>
  <c r="H20" i="5" s="1"/>
  <c r="G21" i="5"/>
  <c r="G20" i="5" s="1"/>
  <c r="Z20" i="5"/>
  <c r="Q20" i="5"/>
  <c r="M20" i="5"/>
  <c r="I20" i="5"/>
  <c r="L19" i="5"/>
  <c r="L18" i="5" s="1"/>
  <c r="K19" i="5"/>
  <c r="K18" i="5" s="1"/>
  <c r="J19" i="5"/>
  <c r="J18" i="5" s="1"/>
  <c r="I19" i="5"/>
  <c r="I18" i="5" s="1"/>
  <c r="V18" i="5"/>
  <c r="U18" i="5"/>
  <c r="R17" i="5"/>
  <c r="Q17" i="5" s="1"/>
  <c r="P17" i="5"/>
  <c r="T17" i="5" s="1"/>
  <c r="M17" i="5"/>
  <c r="AU387" i="3"/>
  <c r="T380" i="3"/>
  <c r="Q380" i="3" s="1"/>
  <c r="M380" i="3"/>
  <c r="AU379" i="3"/>
  <c r="AV379" i="3" s="1"/>
  <c r="AQ379" i="3"/>
  <c r="AB379" i="3"/>
  <c r="AA379" i="3"/>
  <c r="AC379" i="3" s="1"/>
  <c r="P379" i="3"/>
  <c r="T379" i="3" s="1"/>
  <c r="AU378" i="3"/>
  <c r="AV378" i="3" s="1"/>
  <c r="AS378" i="3"/>
  <c r="AT378" i="3" s="1"/>
  <c r="AQ378" i="3"/>
  <c r="AR378" i="3" s="1"/>
  <c r="AO378" i="3"/>
  <c r="AP378" i="3" s="1"/>
  <c r="AJ378" i="3"/>
  <c r="AM378" i="3" s="1"/>
  <c r="AB378" i="3"/>
  <c r="AA378" i="3"/>
  <c r="H378" i="3"/>
  <c r="G378" i="3"/>
  <c r="M378" i="3" s="1"/>
  <c r="AS377" i="3"/>
  <c r="AT377" i="3" s="1"/>
  <c r="AQ377" i="3"/>
  <c r="AR377" i="3" s="1"/>
  <c r="AO377" i="3"/>
  <c r="AP377" i="3" s="1"/>
  <c r="AJ377" i="3"/>
  <c r="AB377" i="3"/>
  <c r="AA377" i="3"/>
  <c r="S377" i="3"/>
  <c r="O377" i="3"/>
  <c r="AC377" i="3" s="1"/>
  <c r="AU376" i="3"/>
  <c r="AV376" i="3" s="1"/>
  <c r="AS376" i="3"/>
  <c r="AT376" i="3" s="1"/>
  <c r="AQ376" i="3"/>
  <c r="AR376" i="3" s="1"/>
  <c r="AO376" i="3"/>
  <c r="AP376" i="3" s="1"/>
  <c r="AJ376" i="3"/>
  <c r="AM376" i="3" s="1"/>
  <c r="AB376" i="3"/>
  <c r="AA376" i="3"/>
  <c r="AC376" i="3" s="1"/>
  <c r="AS375" i="3"/>
  <c r="AT375" i="3" s="1"/>
  <c r="AQ375" i="3"/>
  <c r="AR375" i="3" s="1"/>
  <c r="AO375" i="3"/>
  <c r="AP375" i="3" s="1"/>
  <c r="AJ375" i="3"/>
  <c r="AB375" i="3"/>
  <c r="AA375" i="3"/>
  <c r="AC375" i="3" s="1"/>
  <c r="AU374" i="3"/>
  <c r="AV374" i="3" s="1"/>
  <c r="AS374" i="3"/>
  <c r="AT374" i="3" s="1"/>
  <c r="AQ374" i="3"/>
  <c r="AR374" i="3" s="1"/>
  <c r="AO374" i="3"/>
  <c r="AP374" i="3" s="1"/>
  <c r="AJ374" i="3"/>
  <c r="AM374" i="3" s="1"/>
  <c r="AB374" i="3"/>
  <c r="AA374" i="3"/>
  <c r="AC374" i="3" s="1"/>
  <c r="AU373" i="3"/>
  <c r="AV373" i="3" s="1"/>
  <c r="AS373" i="3"/>
  <c r="AT373" i="3" s="1"/>
  <c r="AQ373" i="3"/>
  <c r="AR373" i="3" s="1"/>
  <c r="AO373" i="3"/>
  <c r="AP373" i="3" s="1"/>
  <c r="AJ373" i="3"/>
  <c r="AM373" i="3" s="1"/>
  <c r="AB373" i="3"/>
  <c r="AA373" i="3"/>
  <c r="S373" i="3"/>
  <c r="O373" i="3"/>
  <c r="AC373" i="3" s="1"/>
  <c r="AU372" i="3"/>
  <c r="AV372" i="3" s="1"/>
  <c r="AS372" i="3"/>
  <c r="AT372" i="3" s="1"/>
  <c r="AQ372" i="3"/>
  <c r="AR372" i="3" s="1"/>
  <c r="AO372" i="3"/>
  <c r="AP372" i="3" s="1"/>
  <c r="AJ372" i="3"/>
  <c r="AM372" i="3" s="1"/>
  <c r="AB372" i="3"/>
  <c r="AA372" i="3"/>
  <c r="AC372" i="3" s="1"/>
  <c r="AU371" i="3"/>
  <c r="AV371" i="3" s="1"/>
  <c r="AS371" i="3"/>
  <c r="AT371" i="3" s="1"/>
  <c r="AQ371" i="3"/>
  <c r="AR371" i="3" s="1"/>
  <c r="AO371" i="3"/>
  <c r="AP371" i="3" s="1"/>
  <c r="AJ371" i="3"/>
  <c r="AK371" i="3" s="1"/>
  <c r="AB371" i="3"/>
  <c r="AF371" i="3" s="1"/>
  <c r="AE371" i="3" s="1"/>
  <c r="Y371" i="3"/>
  <c r="AA371" i="3" s="1"/>
  <c r="AC371" i="3" s="1"/>
  <c r="G371" i="3"/>
  <c r="AU370" i="3"/>
  <c r="AV370" i="3" s="1"/>
  <c r="AS370" i="3"/>
  <c r="AT370" i="3" s="1"/>
  <c r="AQ370" i="3"/>
  <c r="AR370" i="3" s="1"/>
  <c r="AO370" i="3"/>
  <c r="AP370" i="3" s="1"/>
  <c r="AJ370" i="3"/>
  <c r="AM370" i="3" s="1"/>
  <c r="AB370" i="3"/>
  <c r="AF370" i="3" s="1"/>
  <c r="AE370" i="3" s="1"/>
  <c r="Y370" i="3"/>
  <c r="AA370" i="3" s="1"/>
  <c r="AC370" i="3" s="1"/>
  <c r="AS369" i="3"/>
  <c r="AT369" i="3" s="1"/>
  <c r="AQ369" i="3"/>
  <c r="AR369" i="3" s="1"/>
  <c r="AO369" i="3"/>
  <c r="AP369" i="3" s="1"/>
  <c r="AJ369" i="3"/>
  <c r="AM369" i="3" s="1"/>
  <c r="AB369" i="3"/>
  <c r="AA369" i="3"/>
  <c r="AC369" i="3" s="1"/>
  <c r="AU368" i="3"/>
  <c r="AV368" i="3" s="1"/>
  <c r="AS368" i="3"/>
  <c r="AT368" i="3" s="1"/>
  <c r="AQ368" i="3"/>
  <c r="AR368" i="3" s="1"/>
  <c r="AO368" i="3"/>
  <c r="AP368" i="3" s="1"/>
  <c r="AJ368" i="3"/>
  <c r="AK368" i="3" s="1"/>
  <c r="AB368" i="3"/>
  <c r="AF368" i="3" s="1"/>
  <c r="AE368" i="3" s="1"/>
  <c r="Y368" i="3"/>
  <c r="G368" i="3"/>
  <c r="AU367" i="3"/>
  <c r="AV367" i="3" s="1"/>
  <c r="AS367" i="3"/>
  <c r="AT367" i="3" s="1"/>
  <c r="AQ367" i="3"/>
  <c r="AR367" i="3" s="1"/>
  <c r="AO367" i="3"/>
  <c r="AP367" i="3" s="1"/>
  <c r="AJ367" i="3"/>
  <c r="AM367" i="3" s="1"/>
  <c r="AB367" i="3"/>
  <c r="AF367" i="3" s="1"/>
  <c r="AE367" i="3" s="1"/>
  <c r="Y367" i="3"/>
  <c r="AA367" i="3" s="1"/>
  <c r="AC367" i="3" s="1"/>
  <c r="AU366" i="3"/>
  <c r="AV366" i="3" s="1"/>
  <c r="AS366" i="3"/>
  <c r="AT366" i="3" s="1"/>
  <c r="AQ366" i="3"/>
  <c r="AR366" i="3" s="1"/>
  <c r="AO366" i="3"/>
  <c r="AP366" i="3" s="1"/>
  <c r="AJ366" i="3"/>
  <c r="AM366" i="3" s="1"/>
  <c r="AB366" i="3"/>
  <c r="AF366" i="3" s="1"/>
  <c r="AE366" i="3" s="1"/>
  <c r="Y366" i="3"/>
  <c r="AA366" i="3" s="1"/>
  <c r="AC366" i="3" s="1"/>
  <c r="AU365" i="3"/>
  <c r="AV365" i="3" s="1"/>
  <c r="AS365" i="3"/>
  <c r="AT365" i="3" s="1"/>
  <c r="AQ365" i="3"/>
  <c r="AR365" i="3" s="1"/>
  <c r="AO365" i="3"/>
  <c r="AP365" i="3" s="1"/>
  <c r="AJ365" i="3"/>
  <c r="AM365" i="3" s="1"/>
  <c r="AB365" i="3"/>
  <c r="AF365" i="3" s="1"/>
  <c r="AE365" i="3" s="1"/>
  <c r="Y365" i="3"/>
  <c r="AA365" i="3" s="1"/>
  <c r="G365" i="3"/>
  <c r="G326" i="3" s="1"/>
  <c r="G325" i="3" s="1"/>
  <c r="AS364" i="3"/>
  <c r="AT364" i="3" s="1"/>
  <c r="AQ364" i="3"/>
  <c r="AR364" i="3" s="1"/>
  <c r="AO364" i="3"/>
  <c r="AP364" i="3" s="1"/>
  <c r="AJ364" i="3"/>
  <c r="AK364" i="3" s="1"/>
  <c r="AB364" i="3"/>
  <c r="AA364" i="3"/>
  <c r="AC364" i="3" s="1"/>
  <c r="AU363" i="3"/>
  <c r="AV363" i="3" s="1"/>
  <c r="AS363" i="3"/>
  <c r="AT363" i="3" s="1"/>
  <c r="AQ363" i="3"/>
  <c r="AR363" i="3" s="1"/>
  <c r="AO363" i="3"/>
  <c r="AP363" i="3" s="1"/>
  <c r="AJ363" i="3"/>
  <c r="AM363" i="3" s="1"/>
  <c r="AB363" i="3"/>
  <c r="AF363" i="3" s="1"/>
  <c r="AE363" i="3" s="1"/>
  <c r="AA363" i="3"/>
  <c r="AC363" i="3" s="1"/>
  <c r="AU362" i="3"/>
  <c r="AV362" i="3" s="1"/>
  <c r="AS362" i="3"/>
  <c r="AT362" i="3" s="1"/>
  <c r="AQ362" i="3"/>
  <c r="AR362" i="3" s="1"/>
  <c r="AO362" i="3"/>
  <c r="AP362" i="3" s="1"/>
  <c r="AJ362" i="3"/>
  <c r="AK362" i="3" s="1"/>
  <c r="AB362" i="3"/>
  <c r="AF362" i="3" s="1"/>
  <c r="AE362" i="3" s="1"/>
  <c r="AA362" i="3"/>
  <c r="AC362" i="3" s="1"/>
  <c r="AU361" i="3"/>
  <c r="AV361" i="3" s="1"/>
  <c r="AS361" i="3"/>
  <c r="AT361" i="3" s="1"/>
  <c r="AQ361" i="3"/>
  <c r="AR361" i="3" s="1"/>
  <c r="AO361" i="3"/>
  <c r="AP361" i="3" s="1"/>
  <c r="AJ361" i="3"/>
  <c r="AB361" i="3"/>
  <c r="AF361" i="3" s="1"/>
  <c r="AE361" i="3" s="1"/>
  <c r="AA361" i="3"/>
  <c r="AC361" i="3" s="1"/>
  <c r="AU360" i="3"/>
  <c r="AV360" i="3" s="1"/>
  <c r="AS360" i="3"/>
  <c r="AT360" i="3" s="1"/>
  <c r="AQ360" i="3"/>
  <c r="AR360" i="3" s="1"/>
  <c r="AO360" i="3"/>
  <c r="AP360" i="3" s="1"/>
  <c r="AJ360" i="3"/>
  <c r="AK360" i="3" s="1"/>
  <c r="AB360" i="3"/>
  <c r="AF360" i="3" s="1"/>
  <c r="AE360" i="3" s="1"/>
  <c r="AA360" i="3"/>
  <c r="AC360" i="3" s="1"/>
  <c r="AU359" i="3"/>
  <c r="AV359" i="3" s="1"/>
  <c r="AS359" i="3"/>
  <c r="AT359" i="3" s="1"/>
  <c r="AQ359" i="3"/>
  <c r="AR359" i="3" s="1"/>
  <c r="AO359" i="3"/>
  <c r="AP359" i="3" s="1"/>
  <c r="AJ359" i="3"/>
  <c r="AM359" i="3" s="1"/>
  <c r="AB359" i="3"/>
  <c r="AF359" i="3" s="1"/>
  <c r="AE359" i="3" s="1"/>
  <c r="AA359" i="3"/>
  <c r="AC359" i="3" s="1"/>
  <c r="AU358" i="3"/>
  <c r="AV358" i="3" s="1"/>
  <c r="AS358" i="3"/>
  <c r="AT358" i="3" s="1"/>
  <c r="AQ358" i="3"/>
  <c r="AR358" i="3" s="1"/>
  <c r="AO358" i="3"/>
  <c r="AP358" i="3" s="1"/>
  <c r="AJ358" i="3"/>
  <c r="AK358" i="3" s="1"/>
  <c r="AB358" i="3"/>
  <c r="AF358" i="3" s="1"/>
  <c r="AE358" i="3" s="1"/>
  <c r="AA358" i="3"/>
  <c r="AC358" i="3" s="1"/>
  <c r="AU357" i="3"/>
  <c r="AV357" i="3" s="1"/>
  <c r="AS357" i="3"/>
  <c r="AT357" i="3" s="1"/>
  <c r="AQ357" i="3"/>
  <c r="AR357" i="3" s="1"/>
  <c r="AO357" i="3"/>
  <c r="AP357" i="3" s="1"/>
  <c r="AJ357" i="3"/>
  <c r="AB357" i="3"/>
  <c r="AF357" i="3" s="1"/>
  <c r="AE357" i="3" s="1"/>
  <c r="AA357" i="3"/>
  <c r="AC357" i="3" s="1"/>
  <c r="AU356" i="3"/>
  <c r="AV356" i="3" s="1"/>
  <c r="AS356" i="3"/>
  <c r="AT356" i="3" s="1"/>
  <c r="AQ356" i="3"/>
  <c r="AR356" i="3" s="1"/>
  <c r="AO356" i="3"/>
  <c r="AP356" i="3" s="1"/>
  <c r="AJ356" i="3"/>
  <c r="AK356" i="3" s="1"/>
  <c r="AB356" i="3"/>
  <c r="AF356" i="3" s="1"/>
  <c r="AE356" i="3" s="1"/>
  <c r="AA356" i="3"/>
  <c r="AC356" i="3" s="1"/>
  <c r="AU355" i="3"/>
  <c r="AV355" i="3" s="1"/>
  <c r="AS355" i="3"/>
  <c r="AT355" i="3" s="1"/>
  <c r="AQ355" i="3"/>
  <c r="AR355" i="3" s="1"/>
  <c r="AO355" i="3"/>
  <c r="AP355" i="3" s="1"/>
  <c r="AJ355" i="3"/>
  <c r="AM355" i="3" s="1"/>
  <c r="AB355" i="3"/>
  <c r="AF355" i="3" s="1"/>
  <c r="AE355" i="3" s="1"/>
  <c r="AA355" i="3"/>
  <c r="AC355" i="3" s="1"/>
  <c r="AU354" i="3"/>
  <c r="AV354" i="3" s="1"/>
  <c r="AS354" i="3"/>
  <c r="AT354" i="3" s="1"/>
  <c r="AQ354" i="3"/>
  <c r="AR354" i="3" s="1"/>
  <c r="AO354" i="3"/>
  <c r="AP354" i="3" s="1"/>
  <c r="AJ354" i="3"/>
  <c r="AK354" i="3" s="1"/>
  <c r="AB354" i="3"/>
  <c r="AF354" i="3" s="1"/>
  <c r="AE354" i="3" s="1"/>
  <c r="AA354" i="3"/>
  <c r="AC354" i="3" s="1"/>
  <c r="AU353" i="3"/>
  <c r="AV353" i="3" s="1"/>
  <c r="AS353" i="3"/>
  <c r="AT353" i="3" s="1"/>
  <c r="AQ353" i="3"/>
  <c r="AR353" i="3" s="1"/>
  <c r="AO353" i="3"/>
  <c r="AP353" i="3" s="1"/>
  <c r="AJ353" i="3"/>
  <c r="AB353" i="3"/>
  <c r="AF353" i="3" s="1"/>
  <c r="AE353" i="3" s="1"/>
  <c r="AA353" i="3"/>
  <c r="AC353" i="3" s="1"/>
  <c r="AU352" i="3"/>
  <c r="AV352" i="3" s="1"/>
  <c r="AS352" i="3"/>
  <c r="AT352" i="3" s="1"/>
  <c r="AQ352" i="3"/>
  <c r="AR352" i="3" s="1"/>
  <c r="AO352" i="3"/>
  <c r="AP352" i="3" s="1"/>
  <c r="AJ352" i="3"/>
  <c r="AK352" i="3" s="1"/>
  <c r="AB352" i="3"/>
  <c r="AF352" i="3" s="1"/>
  <c r="AE352" i="3" s="1"/>
  <c r="AA352" i="3"/>
  <c r="AC352" i="3" s="1"/>
  <c r="AU351" i="3"/>
  <c r="AV351" i="3" s="1"/>
  <c r="AS351" i="3"/>
  <c r="AT351" i="3" s="1"/>
  <c r="AQ351" i="3"/>
  <c r="AR351" i="3" s="1"/>
  <c r="AO351" i="3"/>
  <c r="AP351" i="3" s="1"/>
  <c r="AJ351" i="3"/>
  <c r="AB351" i="3"/>
  <c r="AF351" i="3" s="1"/>
  <c r="AE351" i="3" s="1"/>
  <c r="AA351" i="3"/>
  <c r="AC351" i="3" s="1"/>
  <c r="AU350" i="3"/>
  <c r="AV350" i="3" s="1"/>
  <c r="AS350" i="3"/>
  <c r="AT350" i="3" s="1"/>
  <c r="AQ350" i="3"/>
  <c r="AR350" i="3" s="1"/>
  <c r="AO350" i="3"/>
  <c r="AP350" i="3" s="1"/>
  <c r="AJ350" i="3"/>
  <c r="AK350" i="3" s="1"/>
  <c r="AB350" i="3"/>
  <c r="AF350" i="3" s="1"/>
  <c r="AE350" i="3" s="1"/>
  <c r="AA350" i="3"/>
  <c r="AC350" i="3" s="1"/>
  <c r="AU349" i="3"/>
  <c r="AV349" i="3" s="1"/>
  <c r="AS349" i="3"/>
  <c r="AT349" i="3" s="1"/>
  <c r="AB349" i="3"/>
  <c r="AF349" i="3" s="1"/>
  <c r="AE349" i="3" s="1"/>
  <c r="AA349" i="3"/>
  <c r="AC349" i="3" s="1"/>
  <c r="T349" i="3"/>
  <c r="P349" i="3"/>
  <c r="N349" i="3"/>
  <c r="AQ349" i="3" s="1"/>
  <c r="AR349" i="3" s="1"/>
  <c r="H349" i="3"/>
  <c r="AU348" i="3"/>
  <c r="AV348" i="3" s="1"/>
  <c r="AS348" i="3"/>
  <c r="AT348" i="3" s="1"/>
  <c r="AB348" i="3"/>
  <c r="AF348" i="3" s="1"/>
  <c r="AE348" i="3" s="1"/>
  <c r="AA348" i="3"/>
  <c r="AC348" i="3" s="1"/>
  <c r="T348" i="3"/>
  <c r="P348" i="3"/>
  <c r="AO348" i="3" s="1"/>
  <c r="AP348" i="3" s="1"/>
  <c r="N348" i="3"/>
  <c r="AQ348" i="3" s="1"/>
  <c r="AR348" i="3" s="1"/>
  <c r="H348" i="3"/>
  <c r="AU347" i="3"/>
  <c r="AV347" i="3" s="1"/>
  <c r="AS347" i="3"/>
  <c r="AT347" i="3" s="1"/>
  <c r="AB347" i="3"/>
  <c r="AF347" i="3" s="1"/>
  <c r="AE347" i="3" s="1"/>
  <c r="AA347" i="3"/>
  <c r="AC347" i="3" s="1"/>
  <c r="T347" i="3"/>
  <c r="P347" i="3"/>
  <c r="N347" i="3"/>
  <c r="AQ347" i="3" s="1"/>
  <c r="AR347" i="3" s="1"/>
  <c r="H347" i="3"/>
  <c r="AU346" i="3"/>
  <c r="AV346" i="3" s="1"/>
  <c r="AS346" i="3"/>
  <c r="AT346" i="3" s="1"/>
  <c r="AB346" i="3"/>
  <c r="AF346" i="3" s="1"/>
  <c r="AE346" i="3" s="1"/>
  <c r="AA346" i="3"/>
  <c r="AC346" i="3" s="1"/>
  <c r="T346" i="3"/>
  <c r="P346" i="3"/>
  <c r="AO346" i="3" s="1"/>
  <c r="AP346" i="3" s="1"/>
  <c r="N346" i="3"/>
  <c r="AQ346" i="3" s="1"/>
  <c r="AR346" i="3" s="1"/>
  <c r="H346" i="3"/>
  <c r="AU345" i="3"/>
  <c r="AV345" i="3" s="1"/>
  <c r="AS345" i="3"/>
  <c r="AT345" i="3" s="1"/>
  <c r="AB345" i="3"/>
  <c r="AF345" i="3" s="1"/>
  <c r="AE345" i="3" s="1"/>
  <c r="AA345" i="3"/>
  <c r="AC345" i="3" s="1"/>
  <c r="T345" i="3"/>
  <c r="P345" i="3"/>
  <c r="N345" i="3"/>
  <c r="AQ345" i="3" s="1"/>
  <c r="AR345" i="3" s="1"/>
  <c r="H345" i="3"/>
  <c r="AU344" i="3"/>
  <c r="AV344" i="3" s="1"/>
  <c r="AS344" i="3"/>
  <c r="AT344" i="3" s="1"/>
  <c r="AB344" i="3"/>
  <c r="AF344" i="3" s="1"/>
  <c r="AE344" i="3" s="1"/>
  <c r="AA344" i="3"/>
  <c r="AC344" i="3" s="1"/>
  <c r="T344" i="3"/>
  <c r="P344" i="3"/>
  <c r="AO344" i="3" s="1"/>
  <c r="AP344" i="3" s="1"/>
  <c r="N344" i="3"/>
  <c r="AQ344" i="3" s="1"/>
  <c r="AR344" i="3" s="1"/>
  <c r="H344" i="3"/>
  <c r="AU343" i="3"/>
  <c r="AV343" i="3" s="1"/>
  <c r="AS343" i="3"/>
  <c r="AT343" i="3" s="1"/>
  <c r="AB343" i="3"/>
  <c r="AF343" i="3" s="1"/>
  <c r="AE343" i="3" s="1"/>
  <c r="AA343" i="3"/>
  <c r="AC343" i="3" s="1"/>
  <c r="T343" i="3"/>
  <c r="P343" i="3"/>
  <c r="N343" i="3"/>
  <c r="AQ343" i="3" s="1"/>
  <c r="AR343" i="3" s="1"/>
  <c r="H343" i="3"/>
  <c r="AU342" i="3"/>
  <c r="AV342" i="3" s="1"/>
  <c r="AS342" i="3"/>
  <c r="AT342" i="3" s="1"/>
  <c r="AB342" i="3"/>
  <c r="AF342" i="3" s="1"/>
  <c r="AE342" i="3" s="1"/>
  <c r="AA342" i="3"/>
  <c r="AC342" i="3" s="1"/>
  <c r="T342" i="3"/>
  <c r="P342" i="3"/>
  <c r="AO342" i="3" s="1"/>
  <c r="AP342" i="3" s="1"/>
  <c r="N342" i="3"/>
  <c r="AQ342" i="3" s="1"/>
  <c r="AR342" i="3" s="1"/>
  <c r="H342" i="3"/>
  <c r="AU341" i="3"/>
  <c r="AV341" i="3" s="1"/>
  <c r="AS341" i="3"/>
  <c r="AT341" i="3" s="1"/>
  <c r="AB341" i="3"/>
  <c r="AF341" i="3" s="1"/>
  <c r="AE341" i="3" s="1"/>
  <c r="AA341" i="3"/>
  <c r="AC341" i="3" s="1"/>
  <c r="T341" i="3"/>
  <c r="P341" i="3"/>
  <c r="N341" i="3"/>
  <c r="AQ341" i="3" s="1"/>
  <c r="AR341" i="3" s="1"/>
  <c r="H341" i="3"/>
  <c r="AU340" i="3"/>
  <c r="AV340" i="3" s="1"/>
  <c r="AS340" i="3"/>
  <c r="AT340" i="3" s="1"/>
  <c r="AB340" i="3"/>
  <c r="AF340" i="3" s="1"/>
  <c r="AE340" i="3" s="1"/>
  <c r="AA340" i="3"/>
  <c r="AC340" i="3" s="1"/>
  <c r="T340" i="3"/>
  <c r="P340" i="3"/>
  <c r="AO340" i="3" s="1"/>
  <c r="AP340" i="3" s="1"/>
  <c r="N340" i="3"/>
  <c r="AQ340" i="3" s="1"/>
  <c r="AR340" i="3" s="1"/>
  <c r="H340" i="3"/>
  <c r="AU339" i="3"/>
  <c r="AV339" i="3" s="1"/>
  <c r="AS339" i="3"/>
  <c r="AT339" i="3" s="1"/>
  <c r="AB339" i="3"/>
  <c r="AF339" i="3" s="1"/>
  <c r="AE339" i="3" s="1"/>
  <c r="AA339" i="3"/>
  <c r="AC339" i="3" s="1"/>
  <c r="T339" i="3"/>
  <c r="P339" i="3"/>
  <c r="N339" i="3"/>
  <c r="AQ339" i="3" s="1"/>
  <c r="AR339" i="3" s="1"/>
  <c r="H339" i="3"/>
  <c r="AU338" i="3"/>
  <c r="AV338" i="3" s="1"/>
  <c r="AS338" i="3"/>
  <c r="AT338" i="3" s="1"/>
  <c r="AB338" i="3"/>
  <c r="AF338" i="3" s="1"/>
  <c r="AE338" i="3" s="1"/>
  <c r="AA338" i="3"/>
  <c r="AC338" i="3" s="1"/>
  <c r="T338" i="3"/>
  <c r="P338" i="3"/>
  <c r="AO338" i="3" s="1"/>
  <c r="AP338" i="3" s="1"/>
  <c r="N338" i="3"/>
  <c r="AQ338" i="3" s="1"/>
  <c r="AR338" i="3" s="1"/>
  <c r="H338" i="3"/>
  <c r="AU337" i="3"/>
  <c r="AV337" i="3" s="1"/>
  <c r="AS337" i="3"/>
  <c r="AT337" i="3" s="1"/>
  <c r="AO337" i="3"/>
  <c r="AP337" i="3" s="1"/>
  <c r="AJ337" i="3"/>
  <c r="AB337" i="3"/>
  <c r="AF337" i="3" s="1"/>
  <c r="AE337" i="3" s="1"/>
  <c r="AA337" i="3"/>
  <c r="S337" i="3"/>
  <c r="O337" i="3"/>
  <c r="AC337" i="3" s="1"/>
  <c r="N337" i="3"/>
  <c r="AQ337" i="3" s="1"/>
  <c r="AR337" i="3" s="1"/>
  <c r="H337" i="3"/>
  <c r="AU336" i="3"/>
  <c r="AV336" i="3" s="1"/>
  <c r="AS336" i="3"/>
  <c r="AT336" i="3" s="1"/>
  <c r="AB336" i="3"/>
  <c r="AF336" i="3" s="1"/>
  <c r="AE336" i="3" s="1"/>
  <c r="AA336" i="3"/>
  <c r="AC336" i="3" s="1"/>
  <c r="T336" i="3"/>
  <c r="P336" i="3"/>
  <c r="AO336" i="3" s="1"/>
  <c r="AP336" i="3" s="1"/>
  <c r="N336" i="3"/>
  <c r="AQ336" i="3" s="1"/>
  <c r="AR336" i="3" s="1"/>
  <c r="H336" i="3"/>
  <c r="AU335" i="3"/>
  <c r="AV335" i="3" s="1"/>
  <c r="AS335" i="3"/>
  <c r="AT335" i="3" s="1"/>
  <c r="AB335" i="3"/>
  <c r="AF335" i="3" s="1"/>
  <c r="AE335" i="3" s="1"/>
  <c r="AA335" i="3"/>
  <c r="AC335" i="3" s="1"/>
  <c r="T335" i="3"/>
  <c r="P335" i="3"/>
  <c r="N335" i="3"/>
  <c r="AQ335" i="3" s="1"/>
  <c r="AR335" i="3" s="1"/>
  <c r="H335" i="3"/>
  <c r="AU334" i="3"/>
  <c r="AV334" i="3" s="1"/>
  <c r="AS334" i="3"/>
  <c r="AT334" i="3" s="1"/>
  <c r="AB334" i="3"/>
  <c r="AF334" i="3" s="1"/>
  <c r="AE334" i="3" s="1"/>
  <c r="AA334" i="3"/>
  <c r="AC334" i="3" s="1"/>
  <c r="T334" i="3"/>
  <c r="P334" i="3"/>
  <c r="AO334" i="3" s="1"/>
  <c r="AP334" i="3" s="1"/>
  <c r="N334" i="3"/>
  <c r="AQ334" i="3" s="1"/>
  <c r="AR334" i="3" s="1"/>
  <c r="H334" i="3"/>
  <c r="AU333" i="3"/>
  <c r="AV333" i="3" s="1"/>
  <c r="AS333" i="3"/>
  <c r="AT333" i="3" s="1"/>
  <c r="AB333" i="3"/>
  <c r="AF333" i="3" s="1"/>
  <c r="AE333" i="3" s="1"/>
  <c r="AA333" i="3"/>
  <c r="AC333" i="3" s="1"/>
  <c r="T333" i="3"/>
  <c r="P333" i="3"/>
  <c r="N333" i="3"/>
  <c r="AQ333" i="3" s="1"/>
  <c r="AR333" i="3" s="1"/>
  <c r="H333" i="3"/>
  <c r="AU332" i="3"/>
  <c r="AV332" i="3" s="1"/>
  <c r="AS332" i="3"/>
  <c r="AT332" i="3" s="1"/>
  <c r="AB332" i="3"/>
  <c r="AF332" i="3" s="1"/>
  <c r="AE332" i="3" s="1"/>
  <c r="AA332" i="3"/>
  <c r="AC332" i="3" s="1"/>
  <c r="T332" i="3"/>
  <c r="P332" i="3"/>
  <c r="AO332" i="3" s="1"/>
  <c r="AP332" i="3" s="1"/>
  <c r="N332" i="3"/>
  <c r="AQ332" i="3" s="1"/>
  <c r="AR332" i="3" s="1"/>
  <c r="H332" i="3"/>
  <c r="AU331" i="3"/>
  <c r="AV331" i="3" s="1"/>
  <c r="AS331" i="3"/>
  <c r="AT331" i="3" s="1"/>
  <c r="AB331" i="3"/>
  <c r="AF331" i="3" s="1"/>
  <c r="AE331" i="3" s="1"/>
  <c r="AA331" i="3"/>
  <c r="AC331" i="3" s="1"/>
  <c r="T331" i="3"/>
  <c r="P331" i="3"/>
  <c r="N331" i="3"/>
  <c r="AQ331" i="3" s="1"/>
  <c r="AR331" i="3" s="1"/>
  <c r="H331" i="3"/>
  <c r="AU330" i="3"/>
  <c r="AV330" i="3" s="1"/>
  <c r="AS330" i="3"/>
  <c r="AT330" i="3" s="1"/>
  <c r="AB330" i="3"/>
  <c r="AF330" i="3" s="1"/>
  <c r="AE330" i="3" s="1"/>
  <c r="AA330" i="3"/>
  <c r="AC330" i="3" s="1"/>
  <c r="T330" i="3"/>
  <c r="P330" i="3"/>
  <c r="AO330" i="3" s="1"/>
  <c r="AP330" i="3" s="1"/>
  <c r="N330" i="3"/>
  <c r="AQ330" i="3" s="1"/>
  <c r="AR330" i="3" s="1"/>
  <c r="H330" i="3"/>
  <c r="AU329" i="3"/>
  <c r="AV329" i="3" s="1"/>
  <c r="AS329" i="3"/>
  <c r="AT329" i="3" s="1"/>
  <c r="AB329" i="3"/>
  <c r="AF329" i="3" s="1"/>
  <c r="AE329" i="3" s="1"/>
  <c r="AA329" i="3"/>
  <c r="AC329" i="3" s="1"/>
  <c r="T329" i="3"/>
  <c r="P329" i="3"/>
  <c r="N329" i="3"/>
  <c r="AU328" i="3"/>
  <c r="AV328" i="3" s="1"/>
  <c r="AS328" i="3"/>
  <c r="AT328" i="3" s="1"/>
  <c r="AB328" i="3"/>
  <c r="AA328" i="3"/>
  <c r="AC328" i="3" s="1"/>
  <c r="T328" i="3"/>
  <c r="P328" i="3"/>
  <c r="N328" i="3"/>
  <c r="AQ328" i="3" s="1"/>
  <c r="AR328" i="3" s="1"/>
  <c r="AU327" i="3"/>
  <c r="AV327" i="3" s="1"/>
  <c r="AS327" i="3"/>
  <c r="AT327" i="3" s="1"/>
  <c r="AQ327" i="3"/>
  <c r="AR327" i="3" s="1"/>
  <c r="AO327" i="3"/>
  <c r="AP327" i="3" s="1"/>
  <c r="AJ327" i="3"/>
  <c r="AB327" i="3"/>
  <c r="AF327" i="3" s="1"/>
  <c r="AA327" i="3"/>
  <c r="S327" i="3"/>
  <c r="O327" i="3"/>
  <c r="AC327" i="3" s="1"/>
  <c r="M327" i="3"/>
  <c r="H327" i="3"/>
  <c r="AV326" i="3"/>
  <c r="AT326" i="3"/>
  <c r="AR326" i="3"/>
  <c r="AP326" i="3"/>
  <c r="AH326" i="3"/>
  <c r="AH325" i="3" s="1"/>
  <c r="AG326" i="3"/>
  <c r="Z326" i="3"/>
  <c r="Z325" i="3" s="1"/>
  <c r="X326" i="3"/>
  <c r="X325" i="3" s="1"/>
  <c r="W326" i="3"/>
  <c r="W325" i="3" s="1"/>
  <c r="V326" i="3"/>
  <c r="U326" i="3"/>
  <c r="U325" i="3" s="1"/>
  <c r="R326" i="3"/>
  <c r="R325" i="3" s="1"/>
  <c r="Q326" i="3"/>
  <c r="Q325" i="3" s="1"/>
  <c r="L326" i="3"/>
  <c r="L325" i="3" s="1"/>
  <c r="K326" i="3"/>
  <c r="K325" i="3" s="1"/>
  <c r="J326" i="3"/>
  <c r="J325" i="3" s="1"/>
  <c r="I326" i="3"/>
  <c r="I325" i="3" s="1"/>
  <c r="AV325" i="3"/>
  <c r="AT325" i="3"/>
  <c r="AR325" i="3"/>
  <c r="AP325" i="3"/>
  <c r="AG325" i="3"/>
  <c r="V325" i="3"/>
  <c r="AU324" i="3"/>
  <c r="AV324" i="3" s="1"/>
  <c r="AS324" i="3"/>
  <c r="AT324" i="3" s="1"/>
  <c r="AQ324" i="3"/>
  <c r="AR324" i="3" s="1"/>
  <c r="AO324" i="3"/>
  <c r="AP324" i="3" s="1"/>
  <c r="AJ324" i="3"/>
  <c r="AK324" i="3" s="1"/>
  <c r="AB324" i="3"/>
  <c r="AF324" i="3" s="1"/>
  <c r="AE324" i="3" s="1"/>
  <c r="U324" i="3"/>
  <c r="AA324" i="3" s="1"/>
  <c r="S324" i="3"/>
  <c r="O324" i="3"/>
  <c r="M324" i="3"/>
  <c r="L324" i="3"/>
  <c r="J324" i="3"/>
  <c r="H324" i="3"/>
  <c r="AU323" i="3"/>
  <c r="AV323" i="3" s="1"/>
  <c r="AS323" i="3"/>
  <c r="AT323" i="3" s="1"/>
  <c r="AQ323" i="3"/>
  <c r="AR323" i="3" s="1"/>
  <c r="AO323" i="3"/>
  <c r="AP323" i="3" s="1"/>
  <c r="AJ323" i="3"/>
  <c r="AK323" i="3" s="1"/>
  <c r="AB323" i="3"/>
  <c r="AF323" i="3" s="1"/>
  <c r="AE323" i="3" s="1"/>
  <c r="Y323" i="3"/>
  <c r="Y318" i="3" s="1"/>
  <c r="Y317" i="3" s="1"/>
  <c r="W323" i="3"/>
  <c r="U323" i="3"/>
  <c r="S323" i="3"/>
  <c r="O323" i="3"/>
  <c r="M323" i="3"/>
  <c r="L323" i="3"/>
  <c r="J323" i="3"/>
  <c r="H323" i="3"/>
  <c r="AU322" i="3"/>
  <c r="AV322" i="3" s="1"/>
  <c r="AS322" i="3"/>
  <c r="AT322" i="3" s="1"/>
  <c r="AB322" i="3"/>
  <c r="AF322" i="3" s="1"/>
  <c r="AE322" i="3" s="1"/>
  <c r="U322" i="3"/>
  <c r="AA322" i="3" s="1"/>
  <c r="T322" i="3"/>
  <c r="S322" i="3" s="1"/>
  <c r="P322" i="3"/>
  <c r="AO322" i="3" s="1"/>
  <c r="AP322" i="3" s="1"/>
  <c r="N322" i="3"/>
  <c r="K322" i="3"/>
  <c r="L322" i="3" s="1"/>
  <c r="I322" i="3"/>
  <c r="J322" i="3" s="1"/>
  <c r="H322" i="3"/>
  <c r="AU321" i="3"/>
  <c r="AV321" i="3" s="1"/>
  <c r="AB321" i="3"/>
  <c r="AF321" i="3" s="1"/>
  <c r="U321" i="3"/>
  <c r="S321" i="3"/>
  <c r="S318" i="3" s="1"/>
  <c r="S317" i="3" s="1"/>
  <c r="S316" i="3" s="1"/>
  <c r="P321" i="3"/>
  <c r="N321" i="3"/>
  <c r="L321" i="3"/>
  <c r="L318" i="3" s="1"/>
  <c r="L317" i="3" s="1"/>
  <c r="L316" i="3" s="1"/>
  <c r="J321" i="3"/>
  <c r="AV320" i="3"/>
  <c r="AT320" i="3"/>
  <c r="AR320" i="3"/>
  <c r="AP320" i="3"/>
  <c r="AJ320" i="3"/>
  <c r="AV319" i="3"/>
  <c r="AT319" i="3"/>
  <c r="AR319" i="3"/>
  <c r="AP319" i="3"/>
  <c r="AJ319" i="3"/>
  <c r="AV318" i="3"/>
  <c r="AT318" i="3"/>
  <c r="AR318" i="3"/>
  <c r="AP318" i="3"/>
  <c r="AH318" i="3"/>
  <c r="AG318" i="3"/>
  <c r="Z318" i="3"/>
  <c r="X318" i="3"/>
  <c r="W318" i="3"/>
  <c r="V318" i="3"/>
  <c r="T318" i="3"/>
  <c r="R318" i="3"/>
  <c r="K318" i="3"/>
  <c r="K317" i="3" s="1"/>
  <c r="K316" i="3" s="1"/>
  <c r="J318" i="3"/>
  <c r="J317" i="3" s="1"/>
  <c r="J316" i="3" s="1"/>
  <c r="I318" i="3"/>
  <c r="I317" i="3" s="1"/>
  <c r="I316" i="3" s="1"/>
  <c r="H318" i="3"/>
  <c r="AV317" i="3"/>
  <c r="AT317" i="3"/>
  <c r="AR317" i="3"/>
  <c r="AP317" i="3"/>
  <c r="AH317" i="3"/>
  <c r="AG317" i="3"/>
  <c r="AG316" i="3" s="1"/>
  <c r="Z317" i="3"/>
  <c r="X317" i="3"/>
  <c r="X316" i="3" s="1"/>
  <c r="W317" i="3"/>
  <c r="V317" i="3"/>
  <c r="V316" i="3" s="1"/>
  <c r="T317" i="3"/>
  <c r="T316" i="3" s="1"/>
  <c r="R317" i="3"/>
  <c r="H317" i="3"/>
  <c r="H316" i="3" s="1"/>
  <c r="G317" i="3"/>
  <c r="G316" i="3" s="1"/>
  <c r="AV316" i="3"/>
  <c r="AT316" i="3"/>
  <c r="AR316" i="3"/>
  <c r="AP316" i="3"/>
  <c r="W316" i="3"/>
  <c r="AU315" i="3"/>
  <c r="AV315" i="3" s="1"/>
  <c r="AQ315" i="3"/>
  <c r="AR315" i="3" s="1"/>
  <c r="AO315" i="3"/>
  <c r="AP315" i="3" s="1"/>
  <c r="AG315" i="3"/>
  <c r="AB315" i="3"/>
  <c r="AA315" i="3"/>
  <c r="AC315" i="3" s="1"/>
  <c r="T315" i="3"/>
  <c r="AJ315" i="3" s="1"/>
  <c r="H315" i="3"/>
  <c r="AH315" i="3" s="1"/>
  <c r="AS314" i="3"/>
  <c r="AT314" i="3" s="1"/>
  <c r="AQ314" i="3"/>
  <c r="AR314" i="3" s="1"/>
  <c r="AO314" i="3"/>
  <c r="AP314" i="3" s="1"/>
  <c r="AJ314" i="3"/>
  <c r="AH314" i="3"/>
  <c r="AG314" i="3"/>
  <c r="AG313" i="3" s="1"/>
  <c r="AB314" i="3"/>
  <c r="AA314" i="3"/>
  <c r="AC314" i="3" s="1"/>
  <c r="R314" i="3"/>
  <c r="AV313" i="3"/>
  <c r="AT313" i="3"/>
  <c r="AR313" i="3"/>
  <c r="AP313" i="3"/>
  <c r="AJ313" i="3"/>
  <c r="Z313" i="3"/>
  <c r="Y313" i="3"/>
  <c r="X313" i="3"/>
  <c r="W313" i="3"/>
  <c r="V313" i="3"/>
  <c r="U313" i="3"/>
  <c r="T313" i="3"/>
  <c r="S313" i="3"/>
  <c r="P313" i="3"/>
  <c r="O313" i="3"/>
  <c r="N313" i="3"/>
  <c r="M313" i="3"/>
  <c r="L313" i="3"/>
  <c r="K313" i="3"/>
  <c r="J313" i="3"/>
  <c r="I313" i="3"/>
  <c r="G313" i="3"/>
  <c r="AU312" i="3"/>
  <c r="AV312" i="3" s="1"/>
  <c r="AQ312" i="3"/>
  <c r="AR312" i="3" s="1"/>
  <c r="AO312" i="3"/>
  <c r="AP312" i="3" s="1"/>
  <c r="AJ312" i="3"/>
  <c r="AK312" i="3" s="1"/>
  <c r="AB312" i="3"/>
  <c r="AA312" i="3"/>
  <c r="S312" i="3"/>
  <c r="O312" i="3"/>
  <c r="AC312" i="3" s="1"/>
  <c r="G312" i="3"/>
  <c r="AU311" i="3"/>
  <c r="AV311" i="3" s="1"/>
  <c r="AQ311" i="3"/>
  <c r="AR311" i="3" s="1"/>
  <c r="AO311" i="3"/>
  <c r="AP311" i="3" s="1"/>
  <c r="AJ311" i="3"/>
  <c r="AK311" i="3" s="1"/>
  <c r="AB311" i="3"/>
  <c r="AA311" i="3"/>
  <c r="S311" i="3"/>
  <c r="O311" i="3"/>
  <c r="AC311" i="3" s="1"/>
  <c r="G311" i="3"/>
  <c r="AU310" i="3"/>
  <c r="AV310" i="3" s="1"/>
  <c r="AQ310" i="3"/>
  <c r="AB310" i="3"/>
  <c r="AA310" i="3"/>
  <c r="T310" i="3"/>
  <c r="S310" i="3" s="1"/>
  <c r="P310" i="3"/>
  <c r="AO310" i="3" s="1"/>
  <c r="AP310" i="3" s="1"/>
  <c r="H310" i="3"/>
  <c r="G310" i="3" s="1"/>
  <c r="AU309" i="3"/>
  <c r="AV309" i="3" s="1"/>
  <c r="AS309" i="3"/>
  <c r="AT309" i="3" s="1"/>
  <c r="AB309" i="3"/>
  <c r="AA309" i="3"/>
  <c r="AC309" i="3" s="1"/>
  <c r="T309" i="3"/>
  <c r="P309" i="3"/>
  <c r="N309" i="3"/>
  <c r="AQ309" i="3" s="1"/>
  <c r="AR309" i="3" s="1"/>
  <c r="H309" i="3"/>
  <c r="AU308" i="3"/>
  <c r="AV308" i="3" s="1"/>
  <c r="AS308" i="3"/>
  <c r="AT308" i="3" s="1"/>
  <c r="AQ308" i="3"/>
  <c r="AR308" i="3" s="1"/>
  <c r="AO308" i="3"/>
  <c r="AP308" i="3" s="1"/>
  <c r="AB308" i="3"/>
  <c r="AA308" i="3"/>
  <c r="T308" i="3"/>
  <c r="AJ308" i="3" s="1"/>
  <c r="M308" i="3"/>
  <c r="O308" i="3" s="1"/>
  <c r="H308" i="3"/>
  <c r="AS307" i="3"/>
  <c r="AT307" i="3" s="1"/>
  <c r="AQ307" i="3"/>
  <c r="AR307" i="3" s="1"/>
  <c r="AO307" i="3"/>
  <c r="AP307" i="3" s="1"/>
  <c r="AJ307" i="3"/>
  <c r="AK307" i="3" s="1"/>
  <c r="AB307" i="3"/>
  <c r="AA307" i="3"/>
  <c r="AC307" i="3" s="1"/>
  <c r="AU306" i="3"/>
  <c r="AV306" i="3" s="1"/>
  <c r="AS306" i="3"/>
  <c r="AT306" i="3" s="1"/>
  <c r="AB306" i="3"/>
  <c r="AF306" i="3" s="1"/>
  <c r="AE306" i="3" s="1"/>
  <c r="Y306" i="3"/>
  <c r="AA306" i="3" s="1"/>
  <c r="H306" i="3"/>
  <c r="N306" i="3" s="1"/>
  <c r="AU305" i="3"/>
  <c r="AV305" i="3" s="1"/>
  <c r="AS305" i="3"/>
  <c r="AT305" i="3" s="1"/>
  <c r="AQ305" i="3"/>
  <c r="AR305" i="3" s="1"/>
  <c r="AB305" i="3"/>
  <c r="AF305" i="3" s="1"/>
  <c r="AE305" i="3" s="1"/>
  <c r="Y305" i="3"/>
  <c r="W305" i="3"/>
  <c r="P305" i="3"/>
  <c r="AO305" i="3" s="1"/>
  <c r="AP305" i="3" s="1"/>
  <c r="M305" i="3"/>
  <c r="G305" i="3"/>
  <c r="AS304" i="3"/>
  <c r="AT304" i="3" s="1"/>
  <c r="AQ304" i="3"/>
  <c r="AR304" i="3" s="1"/>
  <c r="AO304" i="3"/>
  <c r="AP304" i="3" s="1"/>
  <c r="AJ304" i="3"/>
  <c r="AM304" i="3" s="1"/>
  <c r="AB304" i="3"/>
  <c r="AA304" i="3"/>
  <c r="AC304" i="3" s="1"/>
  <c r="M304" i="3"/>
  <c r="G304" i="3"/>
  <c r="AU303" i="3"/>
  <c r="AV303" i="3" s="1"/>
  <c r="AS303" i="3"/>
  <c r="AT303" i="3" s="1"/>
  <c r="AQ303" i="3"/>
  <c r="AR303" i="3" s="1"/>
  <c r="AO303" i="3"/>
  <c r="AP303" i="3" s="1"/>
  <c r="AJ303" i="3"/>
  <c r="AK303" i="3" s="1"/>
  <c r="AB303" i="3"/>
  <c r="AA303" i="3"/>
  <c r="S303" i="3"/>
  <c r="O303" i="3"/>
  <c r="AC303" i="3" s="1"/>
  <c r="M303" i="3"/>
  <c r="G303" i="3"/>
  <c r="AU302" i="3"/>
  <c r="AV302" i="3" s="1"/>
  <c r="AS302" i="3"/>
  <c r="AT302" i="3" s="1"/>
  <c r="AB302" i="3"/>
  <c r="AF302" i="3" s="1"/>
  <c r="AE302" i="3" s="1"/>
  <c r="Y302" i="3"/>
  <c r="W302" i="3"/>
  <c r="T302" i="3"/>
  <c r="P302" i="3"/>
  <c r="N302" i="3"/>
  <c r="AQ302" i="3" s="1"/>
  <c r="AR302" i="3" s="1"/>
  <c r="H302" i="3"/>
  <c r="AU301" i="3"/>
  <c r="AV301" i="3" s="1"/>
  <c r="AS301" i="3"/>
  <c r="AT301" i="3" s="1"/>
  <c r="AQ301" i="3"/>
  <c r="AR301" i="3" s="1"/>
  <c r="AO301" i="3"/>
  <c r="AP301" i="3" s="1"/>
  <c r="AJ301" i="3"/>
  <c r="AK301" i="3" s="1"/>
  <c r="AB301" i="3"/>
  <c r="AF301" i="3" s="1"/>
  <c r="AE301" i="3" s="1"/>
  <c r="Y301" i="3"/>
  <c r="W301" i="3"/>
  <c r="S301" i="3"/>
  <c r="O301" i="3"/>
  <c r="M301" i="3"/>
  <c r="H301" i="3"/>
  <c r="AU300" i="3"/>
  <c r="AV300" i="3" s="1"/>
  <c r="AS300" i="3"/>
  <c r="AT300" i="3" s="1"/>
  <c r="AQ300" i="3"/>
  <c r="AR300" i="3" s="1"/>
  <c r="AO300" i="3"/>
  <c r="AP300" i="3" s="1"/>
  <c r="AJ300" i="3"/>
  <c r="AM300" i="3" s="1"/>
  <c r="AB300" i="3"/>
  <c r="AF300" i="3" s="1"/>
  <c r="AE300" i="3" s="1"/>
  <c r="Y300" i="3"/>
  <c r="W300" i="3"/>
  <c r="AU299" i="3"/>
  <c r="AV299" i="3" s="1"/>
  <c r="AS299" i="3"/>
  <c r="AT299" i="3" s="1"/>
  <c r="AQ299" i="3"/>
  <c r="AR299" i="3" s="1"/>
  <c r="AO299" i="3"/>
  <c r="AP299" i="3" s="1"/>
  <c r="AJ299" i="3"/>
  <c r="AK299" i="3" s="1"/>
  <c r="AB299" i="3"/>
  <c r="AF299" i="3" s="1"/>
  <c r="AE299" i="3" s="1"/>
  <c r="Y299" i="3"/>
  <c r="W299" i="3"/>
  <c r="S299" i="3"/>
  <c r="O299" i="3"/>
  <c r="M299" i="3"/>
  <c r="H299" i="3"/>
  <c r="AU298" i="3"/>
  <c r="AV298" i="3" s="1"/>
  <c r="AS298" i="3"/>
  <c r="AT298" i="3" s="1"/>
  <c r="AQ298" i="3"/>
  <c r="AR298" i="3" s="1"/>
  <c r="AO298" i="3"/>
  <c r="AP298" i="3" s="1"/>
  <c r="AJ298" i="3"/>
  <c r="AB298" i="3"/>
  <c r="AF298" i="3" s="1"/>
  <c r="AE298" i="3" s="1"/>
  <c r="Y298" i="3"/>
  <c r="W298" i="3"/>
  <c r="S298" i="3"/>
  <c r="O298" i="3"/>
  <c r="M298" i="3"/>
  <c r="H298" i="3"/>
  <c r="AU297" i="3"/>
  <c r="AV297" i="3" s="1"/>
  <c r="AS297" i="3"/>
  <c r="AT297" i="3" s="1"/>
  <c r="AQ297" i="3"/>
  <c r="AR297" i="3" s="1"/>
  <c r="AO297" i="3"/>
  <c r="AP297" i="3" s="1"/>
  <c r="AB297" i="3"/>
  <c r="AF297" i="3" s="1"/>
  <c r="AE297" i="3" s="1"/>
  <c r="U297" i="3"/>
  <c r="AA297" i="3" s="1"/>
  <c r="T297" i="3"/>
  <c r="S297" i="3" s="1"/>
  <c r="O297" i="3"/>
  <c r="AC297" i="3" s="1"/>
  <c r="M297" i="3"/>
  <c r="H297" i="3"/>
  <c r="AU296" i="3"/>
  <c r="AV296" i="3" s="1"/>
  <c r="AS296" i="3"/>
  <c r="AT296" i="3" s="1"/>
  <c r="AQ296" i="3"/>
  <c r="AR296" i="3" s="1"/>
  <c r="AO296" i="3"/>
  <c r="AP296" i="3" s="1"/>
  <c r="AJ296" i="3"/>
  <c r="AB296" i="3"/>
  <c r="AF296" i="3" s="1"/>
  <c r="AE296" i="3" s="1"/>
  <c r="Y296" i="3"/>
  <c r="W296" i="3"/>
  <c r="U296" i="3"/>
  <c r="S296" i="3"/>
  <c r="O296" i="3"/>
  <c r="M296" i="3"/>
  <c r="H296" i="3"/>
  <c r="AS295" i="3"/>
  <c r="AT295" i="3" s="1"/>
  <c r="AQ295" i="3"/>
  <c r="AR295" i="3" s="1"/>
  <c r="AO295" i="3"/>
  <c r="AP295" i="3" s="1"/>
  <c r="AJ295" i="3"/>
  <c r="AB295" i="3"/>
  <c r="AF295" i="3" s="1"/>
  <c r="AE295" i="3" s="1"/>
  <c r="U295" i="3"/>
  <c r="AA295" i="3" s="1"/>
  <c r="S295" i="3"/>
  <c r="R295" i="3"/>
  <c r="AU295" i="3" s="1"/>
  <c r="AV295" i="3" s="1"/>
  <c r="O295" i="3"/>
  <c r="M295" i="3"/>
  <c r="H295" i="3"/>
  <c r="AU294" i="3"/>
  <c r="AV294" i="3" s="1"/>
  <c r="AS294" i="3"/>
  <c r="AT294" i="3" s="1"/>
  <c r="AQ294" i="3"/>
  <c r="AR294" i="3" s="1"/>
  <c r="AO294" i="3"/>
  <c r="AP294" i="3" s="1"/>
  <c r="AJ294" i="3"/>
  <c r="AK294" i="3" s="1"/>
  <c r="AB294" i="3"/>
  <c r="AF294" i="3" s="1"/>
  <c r="AE294" i="3" s="1"/>
  <c r="Y294" i="3"/>
  <c r="W294" i="3"/>
  <c r="O294" i="3"/>
  <c r="S294" i="3" s="1"/>
  <c r="H294" i="3"/>
  <c r="AU293" i="3"/>
  <c r="AV293" i="3" s="1"/>
  <c r="AS293" i="3"/>
  <c r="AT293" i="3" s="1"/>
  <c r="AQ293" i="3"/>
  <c r="AR293" i="3" s="1"/>
  <c r="AO293" i="3"/>
  <c r="AP293" i="3" s="1"/>
  <c r="AB293" i="3"/>
  <c r="AF293" i="3" s="1"/>
  <c r="AE293" i="3" s="1"/>
  <c r="U293" i="3"/>
  <c r="AA293" i="3" s="1"/>
  <c r="T293" i="3"/>
  <c r="O293" i="3"/>
  <c r="M293" i="3"/>
  <c r="H293" i="3"/>
  <c r="AS292" i="3"/>
  <c r="AT292" i="3" s="1"/>
  <c r="AQ292" i="3"/>
  <c r="AR292" i="3" s="1"/>
  <c r="AO292" i="3"/>
  <c r="AP292" i="3" s="1"/>
  <c r="AJ292" i="3"/>
  <c r="AB292" i="3"/>
  <c r="AF292" i="3" s="1"/>
  <c r="Y292" i="3"/>
  <c r="W292" i="3"/>
  <c r="W291" i="3" s="1"/>
  <c r="W290" i="3" s="1"/>
  <c r="U292" i="3"/>
  <c r="S292" i="3"/>
  <c r="R292" i="3"/>
  <c r="AU292" i="3" s="1"/>
  <c r="AV292" i="3" s="1"/>
  <c r="O292" i="3"/>
  <c r="M292" i="3"/>
  <c r="H292" i="3"/>
  <c r="AV291" i="3"/>
  <c r="AT291" i="3"/>
  <c r="AR291" i="3"/>
  <c r="AP291" i="3"/>
  <c r="AH291" i="3"/>
  <c r="AG291" i="3"/>
  <c r="Z291" i="3"/>
  <c r="Z290" i="3" s="1"/>
  <c r="X291" i="3"/>
  <c r="V291" i="3"/>
  <c r="V290" i="3" s="1"/>
  <c r="Q291" i="3"/>
  <c r="P291" i="3"/>
  <c r="N291" i="3"/>
  <c r="N290" i="3" s="1"/>
  <c r="L291" i="3"/>
  <c r="K291" i="3"/>
  <c r="K290" i="3" s="1"/>
  <c r="J291" i="3"/>
  <c r="I291" i="3"/>
  <c r="I290" i="3" s="1"/>
  <c r="G291" i="3"/>
  <c r="AV290" i="3"/>
  <c r="AT290" i="3"/>
  <c r="AR290" i="3"/>
  <c r="AP290" i="3"/>
  <c r="X290" i="3"/>
  <c r="L290" i="3"/>
  <c r="J290" i="3"/>
  <c r="G290" i="3"/>
  <c r="AU289" i="3"/>
  <c r="AV289" i="3" s="1"/>
  <c r="AQ289" i="3"/>
  <c r="AR289" i="3" s="1"/>
  <c r="AO289" i="3"/>
  <c r="AP289" i="3" s="1"/>
  <c r="AJ289" i="3"/>
  <c r="AK289" i="3" s="1"/>
  <c r="AB289" i="3"/>
  <c r="AF289" i="3" s="1"/>
  <c r="AE289" i="3" s="1"/>
  <c r="Y289" i="3"/>
  <c r="Y283" i="3" s="1"/>
  <c r="Y282" i="3" s="1"/>
  <c r="W289" i="3"/>
  <c r="W283" i="3" s="1"/>
  <c r="W282" i="3" s="1"/>
  <c r="U289" i="3"/>
  <c r="S289" i="3"/>
  <c r="Q289" i="3"/>
  <c r="AS288" i="3"/>
  <c r="AT288" i="3" s="1"/>
  <c r="AB288" i="3"/>
  <c r="AF288" i="3" s="1"/>
  <c r="AE288" i="3" s="1"/>
  <c r="U288" i="3"/>
  <c r="AA288" i="3" s="1"/>
  <c r="AC288" i="3" s="1"/>
  <c r="S288" i="3"/>
  <c r="P288" i="3"/>
  <c r="AO288" i="3" s="1"/>
  <c r="AP288" i="3" s="1"/>
  <c r="N288" i="3"/>
  <c r="AQ288" i="3" s="1"/>
  <c r="AR288" i="3" s="1"/>
  <c r="K288" i="3"/>
  <c r="I288" i="3"/>
  <c r="H288" i="3"/>
  <c r="H283" i="3" s="1"/>
  <c r="H282" i="3" s="1"/>
  <c r="AU287" i="3"/>
  <c r="AV287" i="3" s="1"/>
  <c r="AS287" i="3"/>
  <c r="AT287" i="3" s="1"/>
  <c r="AB287" i="3"/>
  <c r="U287" i="3"/>
  <c r="AA287" i="3" s="1"/>
  <c r="AC287" i="3" s="1"/>
  <c r="T287" i="3"/>
  <c r="P287" i="3"/>
  <c r="N287" i="3"/>
  <c r="AQ287" i="3" s="1"/>
  <c r="AR287" i="3" s="1"/>
  <c r="K287" i="3"/>
  <c r="I287" i="3"/>
  <c r="H287" i="3"/>
  <c r="AS286" i="3"/>
  <c r="AT286" i="3" s="1"/>
  <c r="AB286" i="3"/>
  <c r="AF286" i="3" s="1"/>
  <c r="U286" i="3"/>
  <c r="S286" i="3"/>
  <c r="P286" i="3"/>
  <c r="N286" i="3"/>
  <c r="AQ286" i="3" s="1"/>
  <c r="AR286" i="3" s="1"/>
  <c r="K286" i="3"/>
  <c r="I286" i="3"/>
  <c r="AV285" i="3"/>
  <c r="AT285" i="3"/>
  <c r="AR285" i="3"/>
  <c r="AP285" i="3"/>
  <c r="AJ285" i="3"/>
  <c r="AV284" i="3"/>
  <c r="AT284" i="3"/>
  <c r="AR284" i="3"/>
  <c r="AP284" i="3"/>
  <c r="AJ284" i="3"/>
  <c r="AV283" i="3"/>
  <c r="AT283" i="3"/>
  <c r="AR283" i="3"/>
  <c r="AP283" i="3"/>
  <c r="AH283" i="3"/>
  <c r="AH282" i="3" s="1"/>
  <c r="AG283" i="3"/>
  <c r="Z283" i="3"/>
  <c r="Z282" i="3" s="1"/>
  <c r="X283" i="3"/>
  <c r="X282" i="3" s="1"/>
  <c r="V283" i="3"/>
  <c r="T283" i="3"/>
  <c r="T282" i="3" s="1"/>
  <c r="O283" i="3"/>
  <c r="O282" i="3" s="1"/>
  <c r="M283" i="3"/>
  <c r="L283" i="3"/>
  <c r="L282" i="3" s="1"/>
  <c r="L281" i="3" s="1"/>
  <c r="J283" i="3"/>
  <c r="J282" i="3" s="1"/>
  <c r="G283" i="3"/>
  <c r="G282" i="3" s="1"/>
  <c r="AV282" i="3"/>
  <c r="AT282" i="3"/>
  <c r="AR282" i="3"/>
  <c r="AP282" i="3"/>
  <c r="AG282" i="3"/>
  <c r="V282" i="3"/>
  <c r="M282" i="3"/>
  <c r="AV281" i="3"/>
  <c r="AT281" i="3"/>
  <c r="AR281" i="3"/>
  <c r="AP281" i="3"/>
  <c r="G281" i="3"/>
  <c r="AU280" i="3"/>
  <c r="AV280" i="3" s="1"/>
  <c r="AS280" i="3"/>
  <c r="AT280" i="3" s="1"/>
  <c r="AQ280" i="3"/>
  <c r="AR280" i="3" s="1"/>
  <c r="AO280" i="3"/>
  <c r="AP280" i="3" s="1"/>
  <c r="AJ280" i="3"/>
  <c r="AK280" i="3" s="1"/>
  <c r="AB280" i="3"/>
  <c r="AA280" i="3"/>
  <c r="S280" i="3"/>
  <c r="O280" i="3"/>
  <c r="AC280" i="3" s="1"/>
  <c r="M280" i="3"/>
  <c r="AU279" i="3"/>
  <c r="AV279" i="3" s="1"/>
  <c r="AS279" i="3"/>
  <c r="AT279" i="3" s="1"/>
  <c r="AQ279" i="3"/>
  <c r="AR279" i="3" s="1"/>
  <c r="AO279" i="3"/>
  <c r="AP279" i="3" s="1"/>
  <c r="AJ279" i="3"/>
  <c r="AK279" i="3" s="1"/>
  <c r="AB279" i="3"/>
  <c r="AA279" i="3"/>
  <c r="S279" i="3"/>
  <c r="O279" i="3"/>
  <c r="AC279" i="3" s="1"/>
  <c r="M279" i="3"/>
  <c r="AU278" i="3"/>
  <c r="AV278" i="3" s="1"/>
  <c r="AS278" i="3"/>
  <c r="AT278" i="3" s="1"/>
  <c r="AQ278" i="3"/>
  <c r="AR278" i="3" s="1"/>
  <c r="AO278" i="3"/>
  <c r="AP278" i="3" s="1"/>
  <c r="AJ278" i="3"/>
  <c r="AK278" i="3" s="1"/>
  <c r="AB278" i="3"/>
  <c r="AA278" i="3"/>
  <c r="S278" i="3"/>
  <c r="O278" i="3"/>
  <c r="AC278" i="3" s="1"/>
  <c r="M278" i="3"/>
  <c r="AU277" i="3"/>
  <c r="AV277" i="3" s="1"/>
  <c r="AS277" i="3"/>
  <c r="AT277" i="3" s="1"/>
  <c r="AQ277" i="3"/>
  <c r="AR277" i="3" s="1"/>
  <c r="AO277" i="3"/>
  <c r="AP277" i="3" s="1"/>
  <c r="AJ277" i="3"/>
  <c r="AK277" i="3" s="1"/>
  <c r="AB277" i="3"/>
  <c r="AA277" i="3"/>
  <c r="S277" i="3"/>
  <c r="O277" i="3"/>
  <c r="AC277" i="3" s="1"/>
  <c r="M277" i="3"/>
  <c r="AU276" i="3"/>
  <c r="AV276" i="3" s="1"/>
  <c r="AS276" i="3"/>
  <c r="AT276" i="3" s="1"/>
  <c r="AQ276" i="3"/>
  <c r="AR276" i="3" s="1"/>
  <c r="AO276" i="3"/>
  <c r="AP276" i="3" s="1"/>
  <c r="AJ276" i="3"/>
  <c r="AK276" i="3" s="1"/>
  <c r="AB276" i="3"/>
  <c r="AA276" i="3"/>
  <c r="S276" i="3"/>
  <c r="O276" i="3"/>
  <c r="AC276" i="3" s="1"/>
  <c r="M276" i="3"/>
  <c r="AU275" i="3"/>
  <c r="AV275" i="3" s="1"/>
  <c r="AS275" i="3"/>
  <c r="AT275" i="3" s="1"/>
  <c r="AQ275" i="3"/>
  <c r="AR275" i="3" s="1"/>
  <c r="AO275" i="3"/>
  <c r="AP275" i="3" s="1"/>
  <c r="AJ275" i="3"/>
  <c r="AK275" i="3" s="1"/>
  <c r="AB275" i="3"/>
  <c r="AA275" i="3"/>
  <c r="S275" i="3"/>
  <c r="O275" i="3"/>
  <c r="AC275" i="3" s="1"/>
  <c r="M275" i="3"/>
  <c r="AU274" i="3"/>
  <c r="AV274" i="3" s="1"/>
  <c r="AS274" i="3"/>
  <c r="AT274" i="3" s="1"/>
  <c r="AQ274" i="3"/>
  <c r="AR274" i="3" s="1"/>
  <c r="AO274" i="3"/>
  <c r="AP274" i="3" s="1"/>
  <c r="AJ274" i="3"/>
  <c r="AK274" i="3" s="1"/>
  <c r="AB274" i="3"/>
  <c r="AA274" i="3"/>
  <c r="S274" i="3"/>
  <c r="O274" i="3"/>
  <c r="AC274" i="3" s="1"/>
  <c r="M274" i="3"/>
  <c r="AU273" i="3"/>
  <c r="AV273" i="3" s="1"/>
  <c r="AS273" i="3"/>
  <c r="AT273" i="3" s="1"/>
  <c r="AQ273" i="3"/>
  <c r="AR273" i="3" s="1"/>
  <c r="AO273" i="3"/>
  <c r="AP273" i="3" s="1"/>
  <c r="AJ273" i="3"/>
  <c r="AK273" i="3" s="1"/>
  <c r="AB273" i="3"/>
  <c r="AA273" i="3"/>
  <c r="S273" i="3"/>
  <c r="O273" i="3"/>
  <c r="AC273" i="3" s="1"/>
  <c r="M273" i="3"/>
  <c r="AU272" i="3"/>
  <c r="AV272" i="3" s="1"/>
  <c r="AS272" i="3"/>
  <c r="AT272" i="3" s="1"/>
  <c r="AQ272" i="3"/>
  <c r="AR272" i="3" s="1"/>
  <c r="AO272" i="3"/>
  <c r="AP272" i="3" s="1"/>
  <c r="AJ272" i="3"/>
  <c r="AK272" i="3" s="1"/>
  <c r="AB272" i="3"/>
  <c r="AA272" i="3"/>
  <c r="S272" i="3"/>
  <c r="O272" i="3"/>
  <c r="AC272" i="3" s="1"/>
  <c r="M272" i="3"/>
  <c r="G272" i="3"/>
  <c r="AS271" i="3"/>
  <c r="AT271" i="3" s="1"/>
  <c r="AQ271" i="3"/>
  <c r="AR271" i="3" s="1"/>
  <c r="AO271" i="3"/>
  <c r="AP271" i="3" s="1"/>
  <c r="AJ271" i="3"/>
  <c r="AB271" i="3"/>
  <c r="AA271" i="3"/>
  <c r="S271" i="3"/>
  <c r="S269" i="3" s="1"/>
  <c r="R271" i="3"/>
  <c r="AU271" i="3" s="1"/>
  <c r="AV271" i="3" s="1"/>
  <c r="O271" i="3"/>
  <c r="M271" i="3"/>
  <c r="H271" i="3"/>
  <c r="AU270" i="3"/>
  <c r="AV270" i="3" s="1"/>
  <c r="AS270" i="3"/>
  <c r="AT270" i="3" s="1"/>
  <c r="AQ270" i="3"/>
  <c r="AR270" i="3" s="1"/>
  <c r="AO270" i="3"/>
  <c r="AP270" i="3" s="1"/>
  <c r="AJ270" i="3"/>
  <c r="AM270" i="3" s="1"/>
  <c r="AB270" i="3"/>
  <c r="AA270" i="3"/>
  <c r="S270" i="3"/>
  <c r="O270" i="3"/>
  <c r="AG270" i="3" s="1"/>
  <c r="M270" i="3"/>
  <c r="H270" i="3"/>
  <c r="AH270" i="3" s="1"/>
  <c r="AV269" i="3"/>
  <c r="AT269" i="3"/>
  <c r="AR269" i="3"/>
  <c r="AP269" i="3"/>
  <c r="T269" i="3"/>
  <c r="R269" i="3"/>
  <c r="Q269" i="3"/>
  <c r="P269" i="3"/>
  <c r="AJ269" i="3" s="1"/>
  <c r="N269" i="3"/>
  <c r="G269" i="3"/>
  <c r="AQ268" i="3"/>
  <c r="AB268" i="3"/>
  <c r="AA268" i="3"/>
  <c r="AC268" i="3" s="1"/>
  <c r="P268" i="3"/>
  <c r="AU267" i="3"/>
  <c r="AV267" i="3" s="1"/>
  <c r="AQ267" i="3"/>
  <c r="AB267" i="3"/>
  <c r="AA267" i="3"/>
  <c r="S267" i="3"/>
  <c r="P267" i="3"/>
  <c r="AO267" i="3" s="1"/>
  <c r="AP267" i="3" s="1"/>
  <c r="G267" i="3"/>
  <c r="AU266" i="3"/>
  <c r="AV266" i="3" s="1"/>
  <c r="AQ266" i="3"/>
  <c r="AR266" i="3" s="1"/>
  <c r="AO266" i="3"/>
  <c r="AP266" i="3" s="1"/>
  <c r="AJ266" i="3"/>
  <c r="AB266" i="3"/>
  <c r="AA266" i="3"/>
  <c r="S266" i="3"/>
  <c r="O266" i="3"/>
  <c r="AC266" i="3" s="1"/>
  <c r="AU265" i="3"/>
  <c r="AV265" i="3" s="1"/>
  <c r="AS265" i="3"/>
  <c r="AT265" i="3" s="1"/>
  <c r="AQ265" i="3"/>
  <c r="AR265" i="3" s="1"/>
  <c r="AO265" i="3"/>
  <c r="AP265" i="3" s="1"/>
  <c r="AJ265" i="3"/>
  <c r="AK265" i="3" s="1"/>
  <c r="AB265" i="3"/>
  <c r="AA265" i="3"/>
  <c r="AC265" i="3" s="1"/>
  <c r="AU264" i="3"/>
  <c r="AV264" i="3" s="1"/>
  <c r="AS264" i="3"/>
  <c r="AT264" i="3" s="1"/>
  <c r="AQ264" i="3"/>
  <c r="AR264" i="3" s="1"/>
  <c r="AO264" i="3"/>
  <c r="AP264" i="3" s="1"/>
  <c r="AJ264" i="3"/>
  <c r="AB264" i="3"/>
  <c r="AA264" i="3"/>
  <c r="S264" i="3"/>
  <c r="O264" i="3"/>
  <c r="AC264" i="3" s="1"/>
  <c r="M264" i="3"/>
  <c r="H264" i="3"/>
  <c r="AU263" i="3"/>
  <c r="AV263" i="3" s="1"/>
  <c r="AS263" i="3"/>
  <c r="AT263" i="3" s="1"/>
  <c r="AQ263" i="3"/>
  <c r="AR263" i="3" s="1"/>
  <c r="AO263" i="3"/>
  <c r="AP263" i="3" s="1"/>
  <c r="AJ263" i="3"/>
  <c r="AK263" i="3" s="1"/>
  <c r="AB263" i="3"/>
  <c r="AA263" i="3"/>
  <c r="S263" i="3"/>
  <c r="O263" i="3"/>
  <c r="AC263" i="3" s="1"/>
  <c r="M263" i="3"/>
  <c r="H263" i="3"/>
  <c r="AU262" i="3"/>
  <c r="AV262" i="3" s="1"/>
  <c r="AS262" i="3"/>
  <c r="AT262" i="3" s="1"/>
  <c r="AQ262" i="3"/>
  <c r="AR262" i="3" s="1"/>
  <c r="AO262" i="3"/>
  <c r="AP262" i="3" s="1"/>
  <c r="AJ262" i="3"/>
  <c r="AM262" i="3" s="1"/>
  <c r="AB262" i="3"/>
  <c r="AA262" i="3"/>
  <c r="S262" i="3"/>
  <c r="O262" i="3"/>
  <c r="AC262" i="3" s="1"/>
  <c r="M262" i="3"/>
  <c r="H262" i="3"/>
  <c r="AU261" i="3"/>
  <c r="AV261" i="3" s="1"/>
  <c r="AS261" i="3"/>
  <c r="AT261" i="3" s="1"/>
  <c r="AQ261" i="3"/>
  <c r="AR261" i="3" s="1"/>
  <c r="AO261" i="3"/>
  <c r="AP261" i="3" s="1"/>
  <c r="AJ261" i="3"/>
  <c r="AK261" i="3" s="1"/>
  <c r="AB261" i="3"/>
  <c r="AA261" i="3"/>
  <c r="S261" i="3"/>
  <c r="O261" i="3"/>
  <c r="AC261" i="3" s="1"/>
  <c r="M261" i="3"/>
  <c r="H261" i="3"/>
  <c r="AU260" i="3"/>
  <c r="AV260" i="3" s="1"/>
  <c r="AS260" i="3"/>
  <c r="AT260" i="3" s="1"/>
  <c r="AQ260" i="3"/>
  <c r="AR260" i="3" s="1"/>
  <c r="AO260" i="3"/>
  <c r="AP260" i="3" s="1"/>
  <c r="AJ260" i="3"/>
  <c r="AB260" i="3"/>
  <c r="AF260" i="3" s="1"/>
  <c r="AE260" i="3" s="1"/>
  <c r="Y260" i="3"/>
  <c r="AA260" i="3" s="1"/>
  <c r="S260" i="3"/>
  <c r="O260" i="3"/>
  <c r="AC260" i="3" s="1"/>
  <c r="M260" i="3"/>
  <c r="G260" i="3"/>
  <c r="AU259" i="3"/>
  <c r="AV259" i="3" s="1"/>
  <c r="AS259" i="3"/>
  <c r="AT259" i="3" s="1"/>
  <c r="AQ259" i="3"/>
  <c r="AR259" i="3" s="1"/>
  <c r="AO259" i="3"/>
  <c r="AP259" i="3" s="1"/>
  <c r="AJ259" i="3"/>
  <c r="AB259" i="3"/>
  <c r="AF259" i="3" s="1"/>
  <c r="AE259" i="3" s="1"/>
  <c r="Y259" i="3"/>
  <c r="AA259" i="3" s="1"/>
  <c r="S259" i="3"/>
  <c r="O259" i="3"/>
  <c r="AC259" i="3" s="1"/>
  <c r="M259" i="3"/>
  <c r="G259" i="3"/>
  <c r="AU258" i="3"/>
  <c r="AV258" i="3" s="1"/>
  <c r="AS258" i="3"/>
  <c r="AT258" i="3" s="1"/>
  <c r="AQ258" i="3"/>
  <c r="AR258" i="3" s="1"/>
  <c r="AO258" i="3"/>
  <c r="AP258" i="3" s="1"/>
  <c r="AJ258" i="3"/>
  <c r="AB258" i="3"/>
  <c r="AA258" i="3"/>
  <c r="S258" i="3"/>
  <c r="O258" i="3"/>
  <c r="AC258" i="3" s="1"/>
  <c r="M258" i="3"/>
  <c r="G258" i="3"/>
  <c r="AS257" i="3"/>
  <c r="AT257" i="3" s="1"/>
  <c r="AQ257" i="3"/>
  <c r="AR257" i="3" s="1"/>
  <c r="AO257" i="3"/>
  <c r="AP257" i="3" s="1"/>
  <c r="AJ257" i="3"/>
  <c r="AK257" i="3" s="1"/>
  <c r="AB257" i="3"/>
  <c r="AA257" i="3"/>
  <c r="AC257" i="3" s="1"/>
  <c r="M257" i="3"/>
  <c r="G257" i="3"/>
  <c r="AU256" i="3"/>
  <c r="AV256" i="3" s="1"/>
  <c r="AS256" i="3"/>
  <c r="AT256" i="3" s="1"/>
  <c r="AQ256" i="3"/>
  <c r="AR256" i="3" s="1"/>
  <c r="AB256" i="3"/>
  <c r="AF256" i="3" s="1"/>
  <c r="AE256" i="3" s="1"/>
  <c r="Y256" i="3"/>
  <c r="AA256" i="3" s="1"/>
  <c r="S256" i="3"/>
  <c r="M256" i="3"/>
  <c r="H256" i="3"/>
  <c r="P256" i="3" s="1"/>
  <c r="AJ256" i="3" s="1"/>
  <c r="AU255" i="3"/>
  <c r="AV255" i="3" s="1"/>
  <c r="AS255" i="3"/>
  <c r="AT255" i="3" s="1"/>
  <c r="AQ255" i="3"/>
  <c r="AR255" i="3" s="1"/>
  <c r="AO255" i="3"/>
  <c r="AP255" i="3" s="1"/>
  <c r="AJ255" i="3"/>
  <c r="AK255" i="3" s="1"/>
  <c r="AB255" i="3"/>
  <c r="AF255" i="3" s="1"/>
  <c r="AE255" i="3" s="1"/>
  <c r="Y255" i="3"/>
  <c r="AA255" i="3" s="1"/>
  <c r="S255" i="3"/>
  <c r="O255" i="3"/>
  <c r="M255" i="3"/>
  <c r="G255" i="3"/>
  <c r="AU254" i="3"/>
  <c r="AV254" i="3" s="1"/>
  <c r="AS254" i="3"/>
  <c r="AT254" i="3" s="1"/>
  <c r="AQ254" i="3"/>
  <c r="AR254" i="3" s="1"/>
  <c r="AO254" i="3"/>
  <c r="AP254" i="3" s="1"/>
  <c r="AJ254" i="3"/>
  <c r="AK254" i="3" s="1"/>
  <c r="AB254" i="3"/>
  <c r="AF254" i="3" s="1"/>
  <c r="AE254" i="3" s="1"/>
  <c r="Y254" i="3"/>
  <c r="AA254" i="3" s="1"/>
  <c r="S254" i="3"/>
  <c r="O254" i="3"/>
  <c r="M254" i="3"/>
  <c r="G254" i="3"/>
  <c r="AS253" i="3"/>
  <c r="AT253" i="3" s="1"/>
  <c r="AQ253" i="3"/>
  <c r="AR253" i="3" s="1"/>
  <c r="AO253" i="3"/>
  <c r="AP253" i="3" s="1"/>
  <c r="AJ253" i="3"/>
  <c r="AK253" i="3" s="1"/>
  <c r="AB253" i="3"/>
  <c r="AA253" i="3"/>
  <c r="AC253" i="3" s="1"/>
  <c r="M253" i="3"/>
  <c r="H253" i="3"/>
  <c r="AS252" i="3"/>
  <c r="AT252" i="3" s="1"/>
  <c r="AQ252" i="3"/>
  <c r="AR252" i="3" s="1"/>
  <c r="AP252" i="3"/>
  <c r="AJ252" i="3"/>
  <c r="AK252" i="3" s="1"/>
  <c r="AB252" i="3"/>
  <c r="AF252" i="3" s="1"/>
  <c r="AE252" i="3" s="1"/>
  <c r="Y252" i="3"/>
  <c r="W252" i="3"/>
  <c r="S252" i="3"/>
  <c r="O252" i="3"/>
  <c r="M252" i="3"/>
  <c r="H252" i="3"/>
  <c r="AU251" i="3"/>
  <c r="AV251" i="3" s="1"/>
  <c r="AS251" i="3"/>
  <c r="AT251" i="3" s="1"/>
  <c r="AQ251" i="3"/>
  <c r="AR251" i="3" s="1"/>
  <c r="AO251" i="3"/>
  <c r="AP251" i="3" s="1"/>
  <c r="AJ251" i="3"/>
  <c r="AA251" i="3"/>
  <c r="Z251" i="3"/>
  <c r="X251" i="3"/>
  <c r="S251" i="3"/>
  <c r="O251" i="3"/>
  <c r="AC251" i="3" s="1"/>
  <c r="M251" i="3"/>
  <c r="H251" i="3"/>
  <c r="AU250" i="3"/>
  <c r="AV250" i="3" s="1"/>
  <c r="AS250" i="3"/>
  <c r="AT250" i="3" s="1"/>
  <c r="AQ250" i="3"/>
  <c r="AR250" i="3" s="1"/>
  <c r="AO250" i="3"/>
  <c r="AP250" i="3" s="1"/>
  <c r="AJ250" i="3"/>
  <c r="AK250" i="3" s="1"/>
  <c r="AB250" i="3"/>
  <c r="AF250" i="3" s="1"/>
  <c r="AE250" i="3" s="1"/>
  <c r="Y250" i="3"/>
  <c r="W250" i="3"/>
  <c r="U250" i="3"/>
  <c r="S250" i="3"/>
  <c r="O250" i="3"/>
  <c r="M250" i="3"/>
  <c r="H250" i="3"/>
  <c r="AU249" i="3"/>
  <c r="AV249" i="3" s="1"/>
  <c r="AS249" i="3"/>
  <c r="AT249" i="3" s="1"/>
  <c r="AQ249" i="3"/>
  <c r="AR249" i="3" s="1"/>
  <c r="AO249" i="3"/>
  <c r="AP249" i="3" s="1"/>
  <c r="AJ249" i="3"/>
  <c r="AK249" i="3" s="1"/>
  <c r="AB249" i="3"/>
  <c r="AF249" i="3" s="1"/>
  <c r="AE249" i="3" s="1"/>
  <c r="U249" i="3"/>
  <c r="AA249" i="3" s="1"/>
  <c r="S249" i="3"/>
  <c r="O249" i="3"/>
  <c r="M249" i="3"/>
  <c r="H249" i="3"/>
  <c r="AU248" i="3"/>
  <c r="AV248" i="3" s="1"/>
  <c r="AS248" i="3"/>
  <c r="AT248" i="3" s="1"/>
  <c r="AQ248" i="3"/>
  <c r="AR248" i="3" s="1"/>
  <c r="AO248" i="3"/>
  <c r="AP248" i="3" s="1"/>
  <c r="AJ248" i="3"/>
  <c r="AK248" i="3" s="1"/>
  <c r="AB248" i="3"/>
  <c r="AF248" i="3" s="1"/>
  <c r="AE248" i="3" s="1"/>
  <c r="U248" i="3"/>
  <c r="AA248" i="3" s="1"/>
  <c r="S248" i="3"/>
  <c r="O248" i="3"/>
  <c r="AC248" i="3" s="1"/>
  <c r="M248" i="3"/>
  <c r="H248" i="3"/>
  <c r="AS247" i="3"/>
  <c r="AT247" i="3" s="1"/>
  <c r="AQ247" i="3"/>
  <c r="AR247" i="3" s="1"/>
  <c r="AO247" i="3"/>
  <c r="AP247" i="3" s="1"/>
  <c r="AJ247" i="3"/>
  <c r="AK247" i="3" s="1"/>
  <c r="AB247" i="3"/>
  <c r="AF247" i="3" s="1"/>
  <c r="AE247" i="3" s="1"/>
  <c r="Y247" i="3"/>
  <c r="W247" i="3"/>
  <c r="W244" i="3" s="1"/>
  <c r="W243" i="3" s="1"/>
  <c r="W236" i="3" s="1"/>
  <c r="U247" i="3"/>
  <c r="S247" i="3"/>
  <c r="S244" i="3" s="1"/>
  <c r="S243" i="3" s="1"/>
  <c r="S236" i="3" s="1"/>
  <c r="R247" i="3"/>
  <c r="O247" i="3"/>
  <c r="O244" i="3" s="1"/>
  <c r="M247" i="3"/>
  <c r="M244" i="3" s="1"/>
  <c r="AU246" i="3"/>
  <c r="AV246" i="3" s="1"/>
  <c r="AS246" i="3"/>
  <c r="AT246" i="3" s="1"/>
  <c r="AQ246" i="3"/>
  <c r="AR246" i="3" s="1"/>
  <c r="AO246" i="3"/>
  <c r="AP246" i="3" s="1"/>
  <c r="AJ246" i="3"/>
  <c r="AB246" i="3"/>
  <c r="AF246" i="3" s="1"/>
  <c r="AE246" i="3" s="1"/>
  <c r="U246" i="3"/>
  <c r="AA246" i="3" s="1"/>
  <c r="S246" i="3"/>
  <c r="O246" i="3"/>
  <c r="AC246" i="3" s="1"/>
  <c r="M246" i="3"/>
  <c r="H246" i="3"/>
  <c r="AU245" i="3"/>
  <c r="AV245" i="3" s="1"/>
  <c r="AS245" i="3"/>
  <c r="AT245" i="3" s="1"/>
  <c r="AQ245" i="3"/>
  <c r="AR245" i="3" s="1"/>
  <c r="AO245" i="3"/>
  <c r="AP245" i="3" s="1"/>
  <c r="AJ245" i="3"/>
  <c r="AB245" i="3"/>
  <c r="AF245" i="3" s="1"/>
  <c r="AE245" i="3" s="1"/>
  <c r="U245" i="3"/>
  <c r="AA245" i="3" s="1"/>
  <c r="S245" i="3"/>
  <c r="O245" i="3"/>
  <c r="AC245" i="3" s="1"/>
  <c r="M245" i="3"/>
  <c r="H245" i="3"/>
  <c r="AV244" i="3"/>
  <c r="AT244" i="3"/>
  <c r="AR244" i="3"/>
  <c r="AP244" i="3"/>
  <c r="X244" i="3"/>
  <c r="X243" i="3" s="1"/>
  <c r="X236" i="3" s="1"/>
  <c r="V244" i="3"/>
  <c r="V243" i="3" s="1"/>
  <c r="V236" i="3" s="1"/>
  <c r="T244" i="3"/>
  <c r="Q244" i="3"/>
  <c r="Q243" i="3" s="1"/>
  <c r="N244" i="3"/>
  <c r="L244" i="3"/>
  <c r="L243" i="3" s="1"/>
  <c r="L236" i="3" s="1"/>
  <c r="K244" i="3"/>
  <c r="K243" i="3" s="1"/>
  <c r="K236" i="3" s="1"/>
  <c r="J244" i="3"/>
  <c r="I244" i="3"/>
  <c r="I243" i="3" s="1"/>
  <c r="I236" i="3" s="1"/>
  <c r="H244" i="3"/>
  <c r="G244" i="3"/>
  <c r="AV243" i="3"/>
  <c r="AT243" i="3"/>
  <c r="AR243" i="3"/>
  <c r="AP243" i="3"/>
  <c r="J243" i="3"/>
  <c r="J236" i="3" s="1"/>
  <c r="AU242" i="3"/>
  <c r="AV242" i="3" s="1"/>
  <c r="AS242" i="3"/>
  <c r="AT242" i="3" s="1"/>
  <c r="AQ242" i="3"/>
  <c r="AR242" i="3" s="1"/>
  <c r="AO242" i="3"/>
  <c r="AP242" i="3" s="1"/>
  <c r="AJ242" i="3"/>
  <c r="AB242" i="3"/>
  <c r="AF242" i="3" s="1"/>
  <c r="AE242" i="3" s="1"/>
  <c r="U242" i="3"/>
  <c r="AA242" i="3" s="1"/>
  <c r="S242" i="3"/>
  <c r="O242" i="3"/>
  <c r="AC242" i="3" s="1"/>
  <c r="M242" i="3"/>
  <c r="L242" i="3"/>
  <c r="I242" i="3"/>
  <c r="K242" i="3" s="1"/>
  <c r="AU241" i="3"/>
  <c r="AV241" i="3" s="1"/>
  <c r="AS241" i="3"/>
  <c r="AT241" i="3" s="1"/>
  <c r="AQ241" i="3"/>
  <c r="AR241" i="3" s="1"/>
  <c r="AB241" i="3"/>
  <c r="AF241" i="3" s="1"/>
  <c r="Y241" i="3"/>
  <c r="W241" i="3"/>
  <c r="W238" i="3" s="1"/>
  <c r="W237" i="3" s="1"/>
  <c r="U241" i="3"/>
  <c r="P241" i="3"/>
  <c r="AO241" i="3" s="1"/>
  <c r="AP241" i="3" s="1"/>
  <c r="M241" i="3"/>
  <c r="M238" i="3" s="1"/>
  <c r="M237" i="3" s="1"/>
  <c r="L241" i="3"/>
  <c r="L238" i="3" s="1"/>
  <c r="L237" i="3" s="1"/>
  <c r="I241" i="3"/>
  <c r="K241" i="3" s="1"/>
  <c r="AV240" i="3"/>
  <c r="AT240" i="3"/>
  <c r="AR240" i="3"/>
  <c r="AP240" i="3"/>
  <c r="AJ240" i="3"/>
  <c r="AV239" i="3"/>
  <c r="AT239" i="3"/>
  <c r="AR239" i="3"/>
  <c r="AP239" i="3"/>
  <c r="AJ239" i="3"/>
  <c r="AV238" i="3"/>
  <c r="AT238" i="3"/>
  <c r="AR238" i="3"/>
  <c r="AP238" i="3"/>
  <c r="AH238" i="3"/>
  <c r="AH237" i="3" s="1"/>
  <c r="AG238" i="3"/>
  <c r="Z238" i="3"/>
  <c r="Z237" i="3" s="1"/>
  <c r="Y238" i="3"/>
  <c r="Y237" i="3" s="1"/>
  <c r="X238" i="3"/>
  <c r="X237" i="3" s="1"/>
  <c r="V238" i="3"/>
  <c r="V237" i="3" s="1"/>
  <c r="U238" i="3"/>
  <c r="U237" i="3" s="1"/>
  <c r="R238" i="3"/>
  <c r="Q238" i="3"/>
  <c r="Q237" i="3" s="1"/>
  <c r="Q236" i="3" s="1"/>
  <c r="N238" i="3"/>
  <c r="N237" i="3" s="1"/>
  <c r="J238" i="3"/>
  <c r="J237" i="3" s="1"/>
  <c r="H238" i="3"/>
  <c r="H237" i="3" s="1"/>
  <c r="G238" i="3"/>
  <c r="G237" i="3" s="1"/>
  <c r="AV237" i="3"/>
  <c r="AT237" i="3"/>
  <c r="AR237" i="3"/>
  <c r="AP237" i="3"/>
  <c r="AG237" i="3"/>
  <c r="R237" i="3"/>
  <c r="AV236" i="3"/>
  <c r="AT236" i="3"/>
  <c r="AR236" i="3"/>
  <c r="AP236" i="3"/>
  <c r="AU235" i="3"/>
  <c r="AV235" i="3" s="1"/>
  <c r="AS235" i="3"/>
  <c r="AT235" i="3" s="1"/>
  <c r="AQ235" i="3"/>
  <c r="AR235" i="3" s="1"/>
  <c r="AO235" i="3"/>
  <c r="AP235" i="3" s="1"/>
  <c r="AJ235" i="3"/>
  <c r="AM235" i="3" s="1"/>
  <c r="U235" i="3"/>
  <c r="U229" i="3" s="1"/>
  <c r="U228" i="3" s="1"/>
  <c r="S235" i="3"/>
  <c r="O235" i="3"/>
  <c r="M235" i="3"/>
  <c r="G235" i="3"/>
  <c r="G229" i="3" s="1"/>
  <c r="G228" i="3" s="1"/>
  <c r="AS234" i="3"/>
  <c r="AT234" i="3" s="1"/>
  <c r="AQ234" i="3"/>
  <c r="AR234" i="3" s="1"/>
  <c r="AO234" i="3"/>
  <c r="AP234" i="3" s="1"/>
  <c r="AJ234" i="3"/>
  <c r="AM234" i="3" s="1"/>
  <c r="M234" i="3"/>
  <c r="H234" i="3"/>
  <c r="AS233" i="3"/>
  <c r="AT233" i="3" s="1"/>
  <c r="AQ233" i="3"/>
  <c r="AR233" i="3" s="1"/>
  <c r="AO233" i="3"/>
  <c r="AP233" i="3" s="1"/>
  <c r="AJ233" i="3"/>
  <c r="AK233" i="3" s="1"/>
  <c r="M233" i="3"/>
  <c r="H233" i="3"/>
  <c r="AS232" i="3"/>
  <c r="AT232" i="3" s="1"/>
  <c r="AQ232" i="3"/>
  <c r="AR232" i="3" s="1"/>
  <c r="AO232" i="3"/>
  <c r="AP232" i="3" s="1"/>
  <c r="AJ232" i="3"/>
  <c r="AM232" i="3" s="1"/>
  <c r="M232" i="3"/>
  <c r="H232" i="3"/>
  <c r="AS231" i="3"/>
  <c r="AT231" i="3" s="1"/>
  <c r="AQ231" i="3"/>
  <c r="AR231" i="3" s="1"/>
  <c r="AO231" i="3"/>
  <c r="AP231" i="3" s="1"/>
  <c r="AJ231" i="3"/>
  <c r="AK231" i="3" s="1"/>
  <c r="M231" i="3"/>
  <c r="H231" i="3"/>
  <c r="AU230" i="3"/>
  <c r="AV230" i="3" s="1"/>
  <c r="AS230" i="3"/>
  <c r="AT230" i="3" s="1"/>
  <c r="AQ230" i="3"/>
  <c r="AR230" i="3" s="1"/>
  <c r="AO230" i="3"/>
  <c r="AP230" i="3" s="1"/>
  <c r="AJ230" i="3"/>
  <c r="AM230" i="3" s="1"/>
  <c r="AB230" i="3"/>
  <c r="AF230" i="3" s="1"/>
  <c r="Y230" i="3"/>
  <c r="AA230" i="3" s="1"/>
  <c r="AA229" i="3" s="1"/>
  <c r="AA228" i="3" s="1"/>
  <c r="S230" i="3"/>
  <c r="O230" i="3"/>
  <c r="AC230" i="3" s="1"/>
  <c r="AC229" i="3" s="1"/>
  <c r="AC228" i="3" s="1"/>
  <c r="M230" i="3"/>
  <c r="H230" i="3"/>
  <c r="AV229" i="3"/>
  <c r="AT229" i="3"/>
  <c r="AR229" i="3"/>
  <c r="AP229" i="3"/>
  <c r="AH229" i="3"/>
  <c r="AH228" i="3" s="1"/>
  <c r="AG229" i="3"/>
  <c r="AG228" i="3" s="1"/>
  <c r="AB229" i="3"/>
  <c r="AB228" i="3" s="1"/>
  <c r="Z229" i="3"/>
  <c r="Z228" i="3" s="1"/>
  <c r="X229" i="3"/>
  <c r="X228" i="3" s="1"/>
  <c r="W229" i="3"/>
  <c r="W228" i="3" s="1"/>
  <c r="V229" i="3"/>
  <c r="T229" i="3"/>
  <c r="T228" i="3" s="1"/>
  <c r="R229" i="3"/>
  <c r="R228" i="3" s="1"/>
  <c r="Q229" i="3"/>
  <c r="Q228" i="3" s="1"/>
  <c r="Q219" i="3" s="1"/>
  <c r="P229" i="3"/>
  <c r="N229" i="3"/>
  <c r="N228" i="3" s="1"/>
  <c r="L229" i="3"/>
  <c r="L228" i="3" s="1"/>
  <c r="K229" i="3"/>
  <c r="K228" i="3" s="1"/>
  <c r="J229" i="3"/>
  <c r="J228" i="3" s="1"/>
  <c r="I229" i="3"/>
  <c r="I228" i="3" s="1"/>
  <c r="AV228" i="3"/>
  <c r="AT228" i="3"/>
  <c r="AR228" i="3"/>
  <c r="AP228" i="3"/>
  <c r="V228" i="3"/>
  <c r="AU227" i="3"/>
  <c r="AV227" i="3" s="1"/>
  <c r="AS227" i="3"/>
  <c r="AT227" i="3" s="1"/>
  <c r="AQ227" i="3"/>
  <c r="AR227" i="3" s="1"/>
  <c r="AO227" i="3"/>
  <c r="AP227" i="3" s="1"/>
  <c r="AJ227" i="3"/>
  <c r="AM227" i="3" s="1"/>
  <c r="S227" i="3"/>
  <c r="O227" i="3"/>
  <c r="M227" i="3"/>
  <c r="AU226" i="3"/>
  <c r="AV226" i="3" s="1"/>
  <c r="AS226" i="3"/>
  <c r="AT226" i="3" s="1"/>
  <c r="AQ226" i="3"/>
  <c r="AR226" i="3" s="1"/>
  <c r="AO226" i="3"/>
  <c r="AP226" i="3" s="1"/>
  <c r="AJ226" i="3"/>
  <c r="AM226" i="3" s="1"/>
  <c r="S226" i="3"/>
  <c r="O226" i="3"/>
  <c r="M226" i="3"/>
  <c r="L226" i="3"/>
  <c r="K226" i="3" s="1"/>
  <c r="J226" i="3"/>
  <c r="I226" i="3" s="1"/>
  <c r="AU225" i="3"/>
  <c r="AV225" i="3" s="1"/>
  <c r="AS225" i="3"/>
  <c r="AT225" i="3" s="1"/>
  <c r="AO225" i="3"/>
  <c r="AP225" i="3" s="1"/>
  <c r="AJ225" i="3"/>
  <c r="AM225" i="3" s="1"/>
  <c r="S225" i="3"/>
  <c r="O225" i="3"/>
  <c r="K225" i="3"/>
  <c r="I225" i="3"/>
  <c r="N225" i="3" s="1"/>
  <c r="AU224" i="3"/>
  <c r="AV224" i="3" s="1"/>
  <c r="AS224" i="3"/>
  <c r="AT224" i="3" s="1"/>
  <c r="AQ224" i="3"/>
  <c r="AR224" i="3" s="1"/>
  <c r="AO224" i="3"/>
  <c r="AP224" i="3" s="1"/>
  <c r="AJ224" i="3"/>
  <c r="AK224" i="3" s="1"/>
  <c r="AB224" i="3"/>
  <c r="AF224" i="3" s="1"/>
  <c r="Y224" i="3"/>
  <c r="Y221" i="3" s="1"/>
  <c r="Y220" i="3" s="1"/>
  <c r="W224" i="3"/>
  <c r="W221" i="3" s="1"/>
  <c r="W220" i="3" s="1"/>
  <c r="S224" i="3"/>
  <c r="S221" i="3" s="1"/>
  <c r="S220" i="3" s="1"/>
  <c r="O224" i="3"/>
  <c r="M224" i="3"/>
  <c r="M221" i="3" s="1"/>
  <c r="M220" i="3" s="1"/>
  <c r="J224" i="3"/>
  <c r="L224" i="3" s="1"/>
  <c r="L221" i="3" s="1"/>
  <c r="L220" i="3" s="1"/>
  <c r="I224" i="3"/>
  <c r="K224" i="3" s="1"/>
  <c r="K221" i="3" s="1"/>
  <c r="K220" i="3" s="1"/>
  <c r="AV223" i="3"/>
  <c r="AT223" i="3"/>
  <c r="AR223" i="3"/>
  <c r="AP223" i="3"/>
  <c r="AJ223" i="3"/>
  <c r="AV222" i="3"/>
  <c r="AT222" i="3"/>
  <c r="AR222" i="3"/>
  <c r="AP222" i="3"/>
  <c r="AJ222" i="3"/>
  <c r="AV221" i="3"/>
  <c r="AT221" i="3"/>
  <c r="AR221" i="3"/>
  <c r="AP221" i="3"/>
  <c r="AH221" i="3"/>
  <c r="AH220" i="3" s="1"/>
  <c r="AG221" i="3"/>
  <c r="AG220" i="3" s="1"/>
  <c r="AB221" i="3"/>
  <c r="Z221" i="3"/>
  <c r="Z220" i="3" s="1"/>
  <c r="X221" i="3"/>
  <c r="X220" i="3" s="1"/>
  <c r="V221" i="3"/>
  <c r="V220" i="3" s="1"/>
  <c r="V219" i="3" s="1"/>
  <c r="U221" i="3"/>
  <c r="T221" i="3"/>
  <c r="T220" i="3" s="1"/>
  <c r="P221" i="3"/>
  <c r="O221" i="3"/>
  <c r="O220" i="3" s="1"/>
  <c r="N221" i="3"/>
  <c r="N220" i="3" s="1"/>
  <c r="J221" i="3"/>
  <c r="J220" i="3" s="1"/>
  <c r="H221" i="3"/>
  <c r="H220" i="3" s="1"/>
  <c r="G221" i="3"/>
  <c r="G220" i="3" s="1"/>
  <c r="AV220" i="3"/>
  <c r="AT220" i="3"/>
  <c r="AR220" i="3"/>
  <c r="AP220" i="3"/>
  <c r="AB220" i="3"/>
  <c r="U220" i="3"/>
  <c r="AV219" i="3"/>
  <c r="AT219" i="3"/>
  <c r="AR219" i="3"/>
  <c r="AP219" i="3"/>
  <c r="R219" i="3"/>
  <c r="AU218" i="3"/>
  <c r="AV218" i="3" s="1"/>
  <c r="AS218" i="3"/>
  <c r="AT218" i="3" s="1"/>
  <c r="AQ218" i="3"/>
  <c r="AR218" i="3" s="1"/>
  <c r="AO218" i="3"/>
  <c r="AP218" i="3" s="1"/>
  <c r="AJ218" i="3"/>
  <c r="AB218" i="3"/>
  <c r="AF218" i="3" s="1"/>
  <c r="AE218" i="3" s="1"/>
  <c r="AA218" i="3"/>
  <c r="S218" i="3"/>
  <c r="O218" i="3"/>
  <c r="AC218" i="3" s="1"/>
  <c r="M218" i="3"/>
  <c r="G218" i="3"/>
  <c r="AU217" i="3"/>
  <c r="AV217" i="3" s="1"/>
  <c r="AS217" i="3"/>
  <c r="AT217" i="3" s="1"/>
  <c r="AQ217" i="3"/>
  <c r="AR217" i="3" s="1"/>
  <c r="AO217" i="3"/>
  <c r="AP217" i="3" s="1"/>
  <c r="AJ217" i="3"/>
  <c r="AK217" i="3" s="1"/>
  <c r="AB217" i="3"/>
  <c r="AF217" i="3" s="1"/>
  <c r="AE217" i="3" s="1"/>
  <c r="AA217" i="3"/>
  <c r="S217" i="3"/>
  <c r="O217" i="3"/>
  <c r="AC217" i="3" s="1"/>
  <c r="M217" i="3"/>
  <c r="G217" i="3"/>
  <c r="AU216" i="3"/>
  <c r="AV216" i="3" s="1"/>
  <c r="AS216" i="3"/>
  <c r="AT216" i="3" s="1"/>
  <c r="AQ216" i="3"/>
  <c r="AR216" i="3" s="1"/>
  <c r="AO216" i="3"/>
  <c r="AP216" i="3" s="1"/>
  <c r="AJ216" i="3"/>
  <c r="AB216" i="3"/>
  <c r="AF216" i="3" s="1"/>
  <c r="AE216" i="3" s="1"/>
  <c r="AA216" i="3"/>
  <c r="S216" i="3"/>
  <c r="O216" i="3"/>
  <c r="AC216" i="3" s="1"/>
  <c r="M216" i="3"/>
  <c r="G216" i="3"/>
  <c r="AU215" i="3"/>
  <c r="AV215" i="3" s="1"/>
  <c r="AS215" i="3"/>
  <c r="AT215" i="3" s="1"/>
  <c r="AQ215" i="3"/>
  <c r="AR215" i="3" s="1"/>
  <c r="AO215" i="3"/>
  <c r="AP215" i="3" s="1"/>
  <c r="AJ215" i="3"/>
  <c r="AK215" i="3" s="1"/>
  <c r="AB215" i="3"/>
  <c r="AF215" i="3" s="1"/>
  <c r="AE215" i="3" s="1"/>
  <c r="AA215" i="3"/>
  <c r="S215" i="3"/>
  <c r="O215" i="3"/>
  <c r="AC215" i="3" s="1"/>
  <c r="M215" i="3"/>
  <c r="G215" i="3"/>
  <c r="AU214" i="3"/>
  <c r="AV214" i="3" s="1"/>
  <c r="AS214" i="3"/>
  <c r="AT214" i="3" s="1"/>
  <c r="AQ214" i="3"/>
  <c r="AR214" i="3" s="1"/>
  <c r="AO214" i="3"/>
  <c r="AP214" i="3" s="1"/>
  <c r="AJ214" i="3"/>
  <c r="AM214" i="3" s="1"/>
  <c r="AB214" i="3"/>
  <c r="AA214" i="3"/>
  <c r="S214" i="3"/>
  <c r="O214" i="3"/>
  <c r="AC214" i="3" s="1"/>
  <c r="M214" i="3"/>
  <c r="G214" i="3"/>
  <c r="AS213" i="3"/>
  <c r="AT213" i="3" s="1"/>
  <c r="AO213" i="3"/>
  <c r="AJ213" i="3"/>
  <c r="AK213" i="3" s="1"/>
  <c r="AB213" i="3"/>
  <c r="AA213" i="3"/>
  <c r="AC213" i="3" s="1"/>
  <c r="N213" i="3"/>
  <c r="N202" i="3" s="1"/>
  <c r="N201" i="3" s="1"/>
  <c r="G213" i="3"/>
  <c r="AU212" i="3"/>
  <c r="AV212" i="3" s="1"/>
  <c r="AS212" i="3"/>
  <c r="AT212" i="3" s="1"/>
  <c r="AQ212" i="3"/>
  <c r="AR212" i="3" s="1"/>
  <c r="AO212" i="3"/>
  <c r="AP212" i="3" s="1"/>
  <c r="AJ212" i="3"/>
  <c r="AK212" i="3" s="1"/>
  <c r="AB212" i="3"/>
  <c r="AA212" i="3"/>
  <c r="S212" i="3"/>
  <c r="O212" i="3"/>
  <c r="AC212" i="3" s="1"/>
  <c r="M212" i="3"/>
  <c r="H212" i="3"/>
  <c r="AU211" i="3"/>
  <c r="AV211" i="3" s="1"/>
  <c r="AS211" i="3"/>
  <c r="AT211" i="3" s="1"/>
  <c r="AQ211" i="3"/>
  <c r="AR211" i="3" s="1"/>
  <c r="AO211" i="3"/>
  <c r="AP211" i="3" s="1"/>
  <c r="AJ211" i="3"/>
  <c r="AM211" i="3" s="1"/>
  <c r="AB211" i="3"/>
  <c r="AF211" i="3" s="1"/>
  <c r="AE211" i="3" s="1"/>
  <c r="AA211" i="3"/>
  <c r="S211" i="3"/>
  <c r="O211" i="3"/>
  <c r="AC211" i="3" s="1"/>
  <c r="M211" i="3"/>
  <c r="G211" i="3"/>
  <c r="AU210" i="3"/>
  <c r="AV210" i="3" s="1"/>
  <c r="AS210" i="3"/>
  <c r="AT210" i="3" s="1"/>
  <c r="AQ210" i="3"/>
  <c r="AR210" i="3" s="1"/>
  <c r="AO210" i="3"/>
  <c r="AP210" i="3" s="1"/>
  <c r="AJ210" i="3"/>
  <c r="AK210" i="3" s="1"/>
  <c r="AB210" i="3"/>
  <c r="AF210" i="3" s="1"/>
  <c r="AE210" i="3" s="1"/>
  <c r="W210" i="3"/>
  <c r="AA210" i="3" s="1"/>
  <c r="S210" i="3"/>
  <c r="O210" i="3"/>
  <c r="M210" i="3"/>
  <c r="H210" i="3"/>
  <c r="AU209" i="3"/>
  <c r="AV209" i="3" s="1"/>
  <c r="AS209" i="3"/>
  <c r="AT209" i="3" s="1"/>
  <c r="AQ209" i="3"/>
  <c r="AR209" i="3" s="1"/>
  <c r="AO209" i="3"/>
  <c r="AP209" i="3" s="1"/>
  <c r="AJ209" i="3"/>
  <c r="AK209" i="3" s="1"/>
  <c r="AB209" i="3"/>
  <c r="AF209" i="3" s="1"/>
  <c r="AE209" i="3" s="1"/>
  <c r="W209" i="3"/>
  <c r="AA209" i="3" s="1"/>
  <c r="S209" i="3"/>
  <c r="O209" i="3"/>
  <c r="M209" i="3"/>
  <c r="H209" i="3"/>
  <c r="AU208" i="3"/>
  <c r="AV208" i="3" s="1"/>
  <c r="AS208" i="3"/>
  <c r="AT208" i="3" s="1"/>
  <c r="AQ208" i="3"/>
  <c r="AR208" i="3" s="1"/>
  <c r="AO208" i="3"/>
  <c r="AP208" i="3" s="1"/>
  <c r="AJ208" i="3"/>
  <c r="AK208" i="3" s="1"/>
  <c r="AB208" i="3"/>
  <c r="AF208" i="3" s="1"/>
  <c r="AE208" i="3" s="1"/>
  <c r="W208" i="3"/>
  <c r="AA208" i="3" s="1"/>
  <c r="S208" i="3"/>
  <c r="O208" i="3"/>
  <c r="M208" i="3"/>
  <c r="H208" i="3"/>
  <c r="AU207" i="3"/>
  <c r="AV207" i="3" s="1"/>
  <c r="AS207" i="3"/>
  <c r="AT207" i="3" s="1"/>
  <c r="AQ207" i="3"/>
  <c r="AR207" i="3" s="1"/>
  <c r="AO207" i="3"/>
  <c r="AP207" i="3" s="1"/>
  <c r="AJ207" i="3"/>
  <c r="AK207" i="3" s="1"/>
  <c r="AB207" i="3"/>
  <c r="AF207" i="3" s="1"/>
  <c r="AE207" i="3" s="1"/>
  <c r="U207" i="3"/>
  <c r="AA207" i="3" s="1"/>
  <c r="S207" i="3"/>
  <c r="O207" i="3"/>
  <c r="M207" i="3"/>
  <c r="H207" i="3"/>
  <c r="AU206" i="3"/>
  <c r="AV206" i="3" s="1"/>
  <c r="AS206" i="3"/>
  <c r="AT206" i="3" s="1"/>
  <c r="AQ206" i="3"/>
  <c r="AR206" i="3" s="1"/>
  <c r="AO206" i="3"/>
  <c r="AP206" i="3" s="1"/>
  <c r="AJ206" i="3"/>
  <c r="AK206" i="3" s="1"/>
  <c r="AB206" i="3"/>
  <c r="AF206" i="3" s="1"/>
  <c r="AE206" i="3" s="1"/>
  <c r="W206" i="3"/>
  <c r="U206" i="3"/>
  <c r="S206" i="3"/>
  <c r="O206" i="3"/>
  <c r="M206" i="3"/>
  <c r="H206" i="3"/>
  <c r="AU205" i="3"/>
  <c r="AV205" i="3" s="1"/>
  <c r="AS205" i="3"/>
  <c r="AT205" i="3" s="1"/>
  <c r="AQ205" i="3"/>
  <c r="AR205" i="3" s="1"/>
  <c r="AO205" i="3"/>
  <c r="AP205" i="3" s="1"/>
  <c r="AJ205" i="3"/>
  <c r="AM205" i="3" s="1"/>
  <c r="AB205" i="3"/>
  <c r="AF205" i="3" s="1"/>
  <c r="AE205" i="3" s="1"/>
  <c r="U205" i="3"/>
  <c r="AA205" i="3" s="1"/>
  <c r="S205" i="3"/>
  <c r="O205" i="3"/>
  <c r="AC205" i="3" s="1"/>
  <c r="M205" i="3"/>
  <c r="H205" i="3"/>
  <c r="AU204" i="3"/>
  <c r="AV204" i="3" s="1"/>
  <c r="AS204" i="3"/>
  <c r="AT204" i="3" s="1"/>
  <c r="AQ204" i="3"/>
  <c r="AR204" i="3" s="1"/>
  <c r="AO204" i="3"/>
  <c r="AP204" i="3" s="1"/>
  <c r="AJ204" i="3"/>
  <c r="AM204" i="3" s="1"/>
  <c r="AB204" i="3"/>
  <c r="AF204" i="3" s="1"/>
  <c r="AE204" i="3" s="1"/>
  <c r="U204" i="3"/>
  <c r="AA204" i="3" s="1"/>
  <c r="S204" i="3"/>
  <c r="O204" i="3"/>
  <c r="AC204" i="3" s="1"/>
  <c r="M204" i="3"/>
  <c r="H204" i="3"/>
  <c r="AU203" i="3"/>
  <c r="AV203" i="3" s="1"/>
  <c r="AS203" i="3"/>
  <c r="AT203" i="3" s="1"/>
  <c r="AQ203" i="3"/>
  <c r="AR203" i="3" s="1"/>
  <c r="AB203" i="3"/>
  <c r="AF203" i="3" s="1"/>
  <c r="W203" i="3"/>
  <c r="W202" i="3" s="1"/>
  <c r="W201" i="3" s="1"/>
  <c r="U203" i="3"/>
  <c r="P203" i="3"/>
  <c r="P202" i="3" s="1"/>
  <c r="P201" i="3" s="1"/>
  <c r="M203" i="3"/>
  <c r="H203" i="3"/>
  <c r="AH202" i="3"/>
  <c r="AH201" i="3" s="1"/>
  <c r="AG202" i="3"/>
  <c r="Z202" i="3"/>
  <c r="Z201" i="3" s="1"/>
  <c r="Y202" i="3"/>
  <c r="Y201" i="3" s="1"/>
  <c r="X202" i="3"/>
  <c r="V202" i="3"/>
  <c r="V201" i="3" s="1"/>
  <c r="R202" i="3"/>
  <c r="Q202" i="3"/>
  <c r="L202" i="3"/>
  <c r="K202" i="3"/>
  <c r="J202" i="3"/>
  <c r="I202" i="3"/>
  <c r="AG201" i="3"/>
  <c r="X201" i="3"/>
  <c r="AU200" i="3"/>
  <c r="AV200" i="3" s="1"/>
  <c r="AS200" i="3"/>
  <c r="AT200" i="3" s="1"/>
  <c r="AQ200" i="3"/>
  <c r="AR200" i="3" s="1"/>
  <c r="AO200" i="3"/>
  <c r="AP200" i="3" s="1"/>
  <c r="AJ200" i="3"/>
  <c r="AK200" i="3" s="1"/>
  <c r="AB200" i="3"/>
  <c r="AF200" i="3" s="1"/>
  <c r="AE200" i="3" s="1"/>
  <c r="U200" i="3"/>
  <c r="AA200" i="3" s="1"/>
  <c r="S200" i="3"/>
  <c r="O200" i="3"/>
  <c r="M200" i="3"/>
  <c r="L200" i="3"/>
  <c r="K200" i="3" s="1"/>
  <c r="I200" i="3"/>
  <c r="H200" i="3"/>
  <c r="AU199" i="3"/>
  <c r="AV199" i="3" s="1"/>
  <c r="AS199" i="3"/>
  <c r="AT199" i="3" s="1"/>
  <c r="AQ199" i="3"/>
  <c r="AR199" i="3" s="1"/>
  <c r="AO199" i="3"/>
  <c r="AP199" i="3" s="1"/>
  <c r="AJ199" i="3"/>
  <c r="AM199" i="3" s="1"/>
  <c r="AB199" i="3"/>
  <c r="AF199" i="3" s="1"/>
  <c r="U199" i="3"/>
  <c r="AA199" i="3" s="1"/>
  <c r="S199" i="3"/>
  <c r="O199" i="3"/>
  <c r="AC199" i="3" s="1"/>
  <c r="M199" i="3"/>
  <c r="L199" i="3"/>
  <c r="K199" i="3" s="1"/>
  <c r="I199" i="3"/>
  <c r="H199" i="3"/>
  <c r="AJ198" i="3"/>
  <c r="AJ197" i="3"/>
  <c r="AV196" i="3"/>
  <c r="AT196" i="3"/>
  <c r="AR196" i="3"/>
  <c r="AP196" i="3"/>
  <c r="AH196" i="3"/>
  <c r="AH195" i="3" s="1"/>
  <c r="AG196" i="3"/>
  <c r="AG195" i="3" s="1"/>
  <c r="AG194" i="3" s="1"/>
  <c r="Z196" i="3"/>
  <c r="Y196" i="3"/>
  <c r="Y195" i="3" s="1"/>
  <c r="X196" i="3"/>
  <c r="X195" i="3" s="1"/>
  <c r="X194" i="3" s="1"/>
  <c r="W196" i="3"/>
  <c r="W195" i="3" s="1"/>
  <c r="V196" i="3"/>
  <c r="T196" i="3"/>
  <c r="T195" i="3" s="1"/>
  <c r="P196" i="3"/>
  <c r="P195" i="3" s="1"/>
  <c r="N196" i="3"/>
  <c r="N195" i="3" s="1"/>
  <c r="J196" i="3"/>
  <c r="J195" i="3" s="1"/>
  <c r="J194" i="3" s="1"/>
  <c r="G196" i="3"/>
  <c r="G195" i="3" s="1"/>
  <c r="AV195" i="3"/>
  <c r="AT195" i="3"/>
  <c r="AR195" i="3"/>
  <c r="AP195" i="3"/>
  <c r="Z195" i="3"/>
  <c r="V195" i="3"/>
  <c r="AV194" i="3"/>
  <c r="AT194" i="3"/>
  <c r="AR194" i="3"/>
  <c r="AP194" i="3"/>
  <c r="R194" i="3"/>
  <c r="Q194" i="3"/>
  <c r="AU193" i="3"/>
  <c r="AV193" i="3" s="1"/>
  <c r="AO193" i="3"/>
  <c r="AP193" i="3" s="1"/>
  <c r="AM193" i="3"/>
  <c r="AK193" i="3"/>
  <c r="AH193" i="3"/>
  <c r="AB193" i="3"/>
  <c r="AA193" i="3"/>
  <c r="S193" i="3"/>
  <c r="O193" i="3"/>
  <c r="AC193" i="3" s="1"/>
  <c r="N193" i="3"/>
  <c r="AQ193" i="3" s="1"/>
  <c r="AR193" i="3" s="1"/>
  <c r="G193" i="3"/>
  <c r="AG193" i="3" s="1"/>
  <c r="AU192" i="3"/>
  <c r="AV192" i="3" s="1"/>
  <c r="AQ192" i="3"/>
  <c r="AR192" i="3" s="1"/>
  <c r="AO192" i="3"/>
  <c r="AP192" i="3" s="1"/>
  <c r="AJ192" i="3"/>
  <c r="AM192" i="3" s="1"/>
  <c r="AH192" i="3"/>
  <c r="AB192" i="3"/>
  <c r="AA192" i="3"/>
  <c r="S192" i="3"/>
  <c r="O192" i="3"/>
  <c r="AC192" i="3" s="1"/>
  <c r="M192" i="3"/>
  <c r="G192" i="3"/>
  <c r="AG192" i="3" s="1"/>
  <c r="AU191" i="3"/>
  <c r="AV191" i="3" s="1"/>
  <c r="AS191" i="3"/>
  <c r="AT191" i="3" s="1"/>
  <c r="AG191" i="3"/>
  <c r="AB191" i="3"/>
  <c r="AA191" i="3"/>
  <c r="AC191" i="3" s="1"/>
  <c r="T191" i="3"/>
  <c r="P191" i="3"/>
  <c r="AO191" i="3" s="1"/>
  <c r="AP191" i="3" s="1"/>
  <c r="N191" i="3"/>
  <c r="AQ191" i="3" s="1"/>
  <c r="AR191" i="3" s="1"/>
  <c r="AU190" i="3"/>
  <c r="AV190" i="3" s="1"/>
  <c r="AS190" i="3"/>
  <c r="AT190" i="3" s="1"/>
  <c r="AG190" i="3"/>
  <c r="AB190" i="3"/>
  <c r="AA190" i="3"/>
  <c r="AC190" i="3" s="1"/>
  <c r="T190" i="3"/>
  <c r="P190" i="3"/>
  <c r="AO190" i="3" s="1"/>
  <c r="AP190" i="3" s="1"/>
  <c r="N190" i="3"/>
  <c r="AQ190" i="3" s="1"/>
  <c r="AR190" i="3" s="1"/>
  <c r="AV189" i="3"/>
  <c r="AT189" i="3"/>
  <c r="AR189" i="3"/>
  <c r="AP189" i="3"/>
  <c r="X189" i="3"/>
  <c r="X167" i="3" s="1"/>
  <c r="X158" i="3" s="1"/>
  <c r="W189" i="3"/>
  <c r="V189" i="3"/>
  <c r="V167" i="3" s="1"/>
  <c r="V158" i="3" s="1"/>
  <c r="U189" i="3"/>
  <c r="T189" i="3"/>
  <c r="S189" i="3"/>
  <c r="R189" i="3"/>
  <c r="Q189" i="3"/>
  <c r="P189" i="3"/>
  <c r="N189" i="3"/>
  <c r="M189" i="3"/>
  <c r="L189" i="3"/>
  <c r="K189" i="3"/>
  <c r="K167" i="3" s="1"/>
  <c r="K158" i="3" s="1"/>
  <c r="J189" i="3"/>
  <c r="J167" i="3" s="1"/>
  <c r="J158" i="3" s="1"/>
  <c r="I189" i="3"/>
  <c r="I167" i="3" s="1"/>
  <c r="I158" i="3" s="1"/>
  <c r="H189" i="3"/>
  <c r="AU188" i="3"/>
  <c r="AV188" i="3" s="1"/>
  <c r="AB188" i="3"/>
  <c r="AA188" i="3"/>
  <c r="AC188" i="3" s="1"/>
  <c r="S188" i="3"/>
  <c r="P188" i="3"/>
  <c r="AO188" i="3" s="1"/>
  <c r="AP188" i="3" s="1"/>
  <c r="N188" i="3"/>
  <c r="AQ188" i="3" s="1"/>
  <c r="AR188" i="3" s="1"/>
  <c r="G188" i="3"/>
  <c r="AG188" i="3" s="1"/>
  <c r="AU187" i="3"/>
  <c r="AV187" i="3" s="1"/>
  <c r="AB187" i="3"/>
  <c r="AA187" i="3"/>
  <c r="AC187" i="3" s="1"/>
  <c r="S187" i="3"/>
  <c r="P187" i="3"/>
  <c r="AO187" i="3" s="1"/>
  <c r="AP187" i="3" s="1"/>
  <c r="N187" i="3"/>
  <c r="AQ187" i="3" s="1"/>
  <c r="AR187" i="3" s="1"/>
  <c r="G187" i="3"/>
  <c r="AG187" i="3" s="1"/>
  <c r="AU186" i="3"/>
  <c r="AV186" i="3" s="1"/>
  <c r="AQ186" i="3"/>
  <c r="AB186" i="3"/>
  <c r="AA186" i="3"/>
  <c r="S186" i="3"/>
  <c r="P186" i="3"/>
  <c r="AO186" i="3" s="1"/>
  <c r="AP186" i="3" s="1"/>
  <c r="AU185" i="3"/>
  <c r="AV185" i="3" s="1"/>
  <c r="AS185" i="3"/>
  <c r="AT185" i="3" s="1"/>
  <c r="AB185" i="3"/>
  <c r="AA185" i="3"/>
  <c r="M185" i="3"/>
  <c r="O185" i="3" s="1"/>
  <c r="H185" i="3"/>
  <c r="N185" i="3" s="1"/>
  <c r="AU184" i="3"/>
  <c r="AV184" i="3" s="1"/>
  <c r="AS184" i="3"/>
  <c r="AT184" i="3" s="1"/>
  <c r="AB184" i="3"/>
  <c r="AF184" i="3" s="1"/>
  <c r="AE184" i="3" s="1"/>
  <c r="Y184" i="3"/>
  <c r="AA184" i="3" s="1"/>
  <c r="AC184" i="3" s="1"/>
  <c r="S184" i="3"/>
  <c r="P184" i="3"/>
  <c r="AO184" i="3" s="1"/>
  <c r="AP184" i="3" s="1"/>
  <c r="N184" i="3"/>
  <c r="AQ184" i="3" s="1"/>
  <c r="AR184" i="3" s="1"/>
  <c r="G184" i="3"/>
  <c r="AU183" i="3"/>
  <c r="AV183" i="3" s="1"/>
  <c r="AS183" i="3"/>
  <c r="AT183" i="3" s="1"/>
  <c r="AQ183" i="3"/>
  <c r="AR183" i="3" s="1"/>
  <c r="AB183" i="3"/>
  <c r="AF183" i="3" s="1"/>
  <c r="AE183" i="3" s="1"/>
  <c r="Y183" i="3"/>
  <c r="AA183" i="3" s="1"/>
  <c r="P183" i="3"/>
  <c r="M183" i="3"/>
  <c r="O183" i="3" s="1"/>
  <c r="G183" i="3"/>
  <c r="AU182" i="3"/>
  <c r="AV182" i="3" s="1"/>
  <c r="AS182" i="3"/>
  <c r="AT182" i="3" s="1"/>
  <c r="AQ182" i="3"/>
  <c r="AR182" i="3" s="1"/>
  <c r="AO182" i="3"/>
  <c r="AP182" i="3" s="1"/>
  <c r="AB182" i="3"/>
  <c r="AF182" i="3" s="1"/>
  <c r="AE182" i="3" s="1"/>
  <c r="Y182" i="3"/>
  <c r="AA182" i="3" s="1"/>
  <c r="T182" i="3"/>
  <c r="AJ182" i="3" s="1"/>
  <c r="O182" i="3"/>
  <c r="S182" i="3" s="1"/>
  <c r="M182" i="3"/>
  <c r="G182" i="3"/>
  <c r="AU181" i="3"/>
  <c r="AV181" i="3" s="1"/>
  <c r="AS181" i="3"/>
  <c r="AT181" i="3" s="1"/>
  <c r="AQ181" i="3"/>
  <c r="AR181" i="3" s="1"/>
  <c r="AO181" i="3"/>
  <c r="AP181" i="3" s="1"/>
  <c r="AB181" i="3"/>
  <c r="AF181" i="3" s="1"/>
  <c r="AE181" i="3" s="1"/>
  <c r="Y181" i="3"/>
  <c r="AA181" i="3" s="1"/>
  <c r="T181" i="3"/>
  <c r="AJ181" i="3" s="1"/>
  <c r="O181" i="3"/>
  <c r="S181" i="3" s="1"/>
  <c r="M181" i="3"/>
  <c r="G181" i="3"/>
  <c r="AU180" i="3"/>
  <c r="AV180" i="3" s="1"/>
  <c r="AS180" i="3"/>
  <c r="AT180" i="3" s="1"/>
  <c r="AO180" i="3"/>
  <c r="AP180" i="3" s="1"/>
  <c r="AB180" i="3"/>
  <c r="AF180" i="3" s="1"/>
  <c r="AE180" i="3" s="1"/>
  <c r="Y180" i="3"/>
  <c r="AA180" i="3" s="1"/>
  <c r="T180" i="3"/>
  <c r="AJ180" i="3" s="1"/>
  <c r="O180" i="3"/>
  <c r="S180" i="3" s="1"/>
  <c r="N180" i="3"/>
  <c r="AQ180" i="3" s="1"/>
  <c r="AR180" i="3" s="1"/>
  <c r="G180" i="3"/>
  <c r="AU179" i="3"/>
  <c r="AV179" i="3" s="1"/>
  <c r="AS179" i="3"/>
  <c r="AT179" i="3" s="1"/>
  <c r="AO179" i="3"/>
  <c r="AP179" i="3" s="1"/>
  <c r="AB179" i="3"/>
  <c r="AF179" i="3" s="1"/>
  <c r="AE179" i="3" s="1"/>
  <c r="Y179" i="3"/>
  <c r="AA179" i="3" s="1"/>
  <c r="T179" i="3"/>
  <c r="AJ179" i="3" s="1"/>
  <c r="O179" i="3"/>
  <c r="S179" i="3" s="1"/>
  <c r="N179" i="3"/>
  <c r="AQ179" i="3" s="1"/>
  <c r="AR179" i="3" s="1"/>
  <c r="G179" i="3"/>
  <c r="AU178" i="3"/>
  <c r="AV178" i="3" s="1"/>
  <c r="AS178" i="3"/>
  <c r="AT178" i="3" s="1"/>
  <c r="AB178" i="3"/>
  <c r="AF178" i="3" s="1"/>
  <c r="AE178" i="3" s="1"/>
  <c r="Y178" i="3"/>
  <c r="W178" i="3"/>
  <c r="S178" i="3"/>
  <c r="P178" i="3"/>
  <c r="N178" i="3"/>
  <c r="AQ178" i="3" s="1"/>
  <c r="AR178" i="3" s="1"/>
  <c r="G178" i="3"/>
  <c r="AU177" i="3"/>
  <c r="AV177" i="3" s="1"/>
  <c r="AS177" i="3"/>
  <c r="AT177" i="3" s="1"/>
  <c r="AB177" i="3"/>
  <c r="AF177" i="3" s="1"/>
  <c r="AE177" i="3" s="1"/>
  <c r="W177" i="3"/>
  <c r="AA177" i="3" s="1"/>
  <c r="AC177" i="3" s="1"/>
  <c r="S177" i="3"/>
  <c r="P177" i="3"/>
  <c r="N177" i="3"/>
  <c r="AQ177" i="3" s="1"/>
  <c r="AR177" i="3" s="1"/>
  <c r="G177" i="3"/>
  <c r="AU176" i="3"/>
  <c r="AV176" i="3" s="1"/>
  <c r="AS176" i="3"/>
  <c r="AT176" i="3" s="1"/>
  <c r="U176" i="3"/>
  <c r="S176" i="3"/>
  <c r="P176" i="3"/>
  <c r="AO176" i="3" s="1"/>
  <c r="AP176" i="3" s="1"/>
  <c r="N176" i="3"/>
  <c r="AQ176" i="3" s="1"/>
  <c r="AR176" i="3" s="1"/>
  <c r="H176" i="3"/>
  <c r="AU175" i="3"/>
  <c r="AV175" i="3" s="1"/>
  <c r="AS175" i="3"/>
  <c r="AT175" i="3" s="1"/>
  <c r="AO175" i="3"/>
  <c r="AP175" i="3" s="1"/>
  <c r="AB175" i="3"/>
  <c r="AF175" i="3" s="1"/>
  <c r="AE175" i="3" s="1"/>
  <c r="W175" i="3"/>
  <c r="U175" i="3"/>
  <c r="T175" i="3"/>
  <c r="AJ175" i="3" s="1"/>
  <c r="O175" i="3"/>
  <c r="S175" i="3" s="1"/>
  <c r="N175" i="3"/>
  <c r="AQ175" i="3" s="1"/>
  <c r="AR175" i="3" s="1"/>
  <c r="H175" i="3"/>
  <c r="AU174" i="3"/>
  <c r="AV174" i="3" s="1"/>
  <c r="AS174" i="3"/>
  <c r="AT174" i="3" s="1"/>
  <c r="AQ174" i="3"/>
  <c r="AR174" i="3" s="1"/>
  <c r="AB174" i="3"/>
  <c r="AF174" i="3" s="1"/>
  <c r="AE174" i="3" s="1"/>
  <c r="W174" i="3"/>
  <c r="U174" i="3"/>
  <c r="P174" i="3"/>
  <c r="H174" i="3"/>
  <c r="AU173" i="3"/>
  <c r="AV173" i="3" s="1"/>
  <c r="AS173" i="3"/>
  <c r="AT173" i="3" s="1"/>
  <c r="W173" i="3"/>
  <c r="U173" i="3"/>
  <c r="S173" i="3"/>
  <c r="P173" i="3"/>
  <c r="N173" i="3"/>
  <c r="AQ173" i="3" s="1"/>
  <c r="AR173" i="3" s="1"/>
  <c r="H173" i="3"/>
  <c r="AU172" i="3"/>
  <c r="AV172" i="3" s="1"/>
  <c r="AS172" i="3"/>
  <c r="AT172" i="3" s="1"/>
  <c r="AB172" i="3"/>
  <c r="AF172" i="3" s="1"/>
  <c r="AE172" i="3" s="1"/>
  <c r="W172" i="3"/>
  <c r="U172" i="3"/>
  <c r="S172" i="3"/>
  <c r="P172" i="3"/>
  <c r="N172" i="3"/>
  <c r="AQ172" i="3" s="1"/>
  <c r="AR172" i="3" s="1"/>
  <c r="H172" i="3"/>
  <c r="AU171" i="3"/>
  <c r="AV171" i="3" s="1"/>
  <c r="AS171" i="3"/>
  <c r="AT171" i="3" s="1"/>
  <c r="AO171" i="3"/>
  <c r="AP171" i="3" s="1"/>
  <c r="AB171" i="3"/>
  <c r="AF171" i="3" s="1"/>
  <c r="AE171" i="3" s="1"/>
  <c r="U171" i="3"/>
  <c r="AA171" i="3" s="1"/>
  <c r="T171" i="3"/>
  <c r="AJ171" i="3" s="1"/>
  <c r="O171" i="3"/>
  <c r="S171" i="3" s="1"/>
  <c r="M171" i="3"/>
  <c r="N171" i="3" s="1"/>
  <c r="AQ171" i="3" s="1"/>
  <c r="AR171" i="3" s="1"/>
  <c r="H171" i="3"/>
  <c r="AU170" i="3"/>
  <c r="AV170" i="3" s="1"/>
  <c r="AS170" i="3"/>
  <c r="AT170" i="3" s="1"/>
  <c r="AB170" i="3"/>
  <c r="AF170" i="3" s="1"/>
  <c r="AE170" i="3" s="1"/>
  <c r="U170" i="3"/>
  <c r="AA170" i="3" s="1"/>
  <c r="AC170" i="3" s="1"/>
  <c r="S170" i="3"/>
  <c r="P170" i="3"/>
  <c r="N170" i="3"/>
  <c r="AQ170" i="3" s="1"/>
  <c r="AR170" i="3" s="1"/>
  <c r="H170" i="3"/>
  <c r="AU169" i="3"/>
  <c r="AV169" i="3" s="1"/>
  <c r="AS169" i="3"/>
  <c r="AT169" i="3" s="1"/>
  <c r="AQ169" i="3"/>
  <c r="AR169" i="3" s="1"/>
  <c r="AO169" i="3"/>
  <c r="AP169" i="3" s="1"/>
  <c r="AB169" i="3"/>
  <c r="AF169" i="3" s="1"/>
  <c r="Y169" i="3"/>
  <c r="W169" i="3"/>
  <c r="U169" i="3"/>
  <c r="T169" i="3"/>
  <c r="AJ169" i="3" s="1"/>
  <c r="S169" i="3"/>
  <c r="H169" i="3"/>
  <c r="AV168" i="3"/>
  <c r="AT168" i="3"/>
  <c r="AR168" i="3"/>
  <c r="AP168" i="3"/>
  <c r="AH168" i="3"/>
  <c r="AG168" i="3"/>
  <c r="X168" i="3"/>
  <c r="V168" i="3"/>
  <c r="T168" i="3"/>
  <c r="T167" i="3" s="1"/>
  <c r="T158" i="3" s="1"/>
  <c r="R168" i="3"/>
  <c r="O168" i="3"/>
  <c r="M168" i="3"/>
  <c r="L168" i="3"/>
  <c r="K168" i="3"/>
  <c r="J168" i="3"/>
  <c r="I168" i="3"/>
  <c r="H168" i="3"/>
  <c r="AV167" i="3"/>
  <c r="AT167" i="3"/>
  <c r="AR167" i="3"/>
  <c r="AP167" i="3"/>
  <c r="W167" i="3"/>
  <c r="U167" i="3"/>
  <c r="L167" i="3"/>
  <c r="H167" i="3"/>
  <c r="AU166" i="3"/>
  <c r="AV166" i="3" s="1"/>
  <c r="AS166" i="3"/>
  <c r="AT166" i="3" s="1"/>
  <c r="AQ166" i="3"/>
  <c r="AR166" i="3" s="1"/>
  <c r="AO166" i="3"/>
  <c r="AP166" i="3" s="1"/>
  <c r="AJ166" i="3"/>
  <c r="AK166" i="3" s="1"/>
  <c r="AB166" i="3"/>
  <c r="AF166" i="3" s="1"/>
  <c r="AE166" i="3" s="1"/>
  <c r="U166" i="3"/>
  <c r="AA166" i="3" s="1"/>
  <c r="S166" i="3"/>
  <c r="O166" i="3"/>
  <c r="AC166" i="3" s="1"/>
  <c r="M166" i="3"/>
  <c r="K166" i="3"/>
  <c r="I166" i="3"/>
  <c r="H166" i="3"/>
  <c r="AU165" i="3"/>
  <c r="AV165" i="3" s="1"/>
  <c r="AS165" i="3"/>
  <c r="AT165" i="3" s="1"/>
  <c r="AQ165" i="3"/>
  <c r="AR165" i="3" s="1"/>
  <c r="AO165" i="3"/>
  <c r="AP165" i="3" s="1"/>
  <c r="AJ165" i="3"/>
  <c r="AK165" i="3" s="1"/>
  <c r="AB165" i="3"/>
  <c r="AF165" i="3" s="1"/>
  <c r="AE165" i="3" s="1"/>
  <c r="U165" i="3"/>
  <c r="AA165" i="3" s="1"/>
  <c r="S165" i="3"/>
  <c r="O165" i="3"/>
  <c r="AC165" i="3" s="1"/>
  <c r="M165" i="3"/>
  <c r="K165" i="3"/>
  <c r="I165" i="3"/>
  <c r="H165" i="3"/>
  <c r="AU164" i="3"/>
  <c r="AV164" i="3" s="1"/>
  <c r="AS164" i="3"/>
  <c r="AT164" i="3" s="1"/>
  <c r="AQ164" i="3"/>
  <c r="AR164" i="3" s="1"/>
  <c r="AO164" i="3"/>
  <c r="AP164" i="3" s="1"/>
  <c r="AJ164" i="3"/>
  <c r="AK164" i="3" s="1"/>
  <c r="AB164" i="3"/>
  <c r="AF164" i="3" s="1"/>
  <c r="AE164" i="3" s="1"/>
  <c r="U164" i="3"/>
  <c r="AA164" i="3" s="1"/>
  <c r="S164" i="3"/>
  <c r="O164" i="3"/>
  <c r="AC164" i="3" s="1"/>
  <c r="M164" i="3"/>
  <c r="K164" i="3"/>
  <c r="I164" i="3"/>
  <c r="H164" i="3"/>
  <c r="AU163" i="3"/>
  <c r="AV163" i="3" s="1"/>
  <c r="AS163" i="3"/>
  <c r="AT163" i="3" s="1"/>
  <c r="AQ163" i="3"/>
  <c r="AR163" i="3" s="1"/>
  <c r="AO163" i="3"/>
  <c r="AP163" i="3" s="1"/>
  <c r="AJ163" i="3"/>
  <c r="AM163" i="3" s="1"/>
  <c r="AB163" i="3"/>
  <c r="AF163" i="3" s="1"/>
  <c r="U163" i="3"/>
  <c r="AA163" i="3" s="1"/>
  <c r="S163" i="3"/>
  <c r="O163" i="3"/>
  <c r="AC163" i="3" s="1"/>
  <c r="M163" i="3"/>
  <c r="K163" i="3"/>
  <c r="I163" i="3"/>
  <c r="H163" i="3"/>
  <c r="AV162" i="3"/>
  <c r="AT162" i="3"/>
  <c r="AR162" i="3"/>
  <c r="AP162" i="3"/>
  <c r="AJ162" i="3"/>
  <c r="AV161" i="3"/>
  <c r="AT161" i="3"/>
  <c r="AR161" i="3"/>
  <c r="AP161" i="3"/>
  <c r="AJ161" i="3"/>
  <c r="AV160" i="3"/>
  <c r="AT160" i="3"/>
  <c r="AR160" i="3"/>
  <c r="AP160" i="3"/>
  <c r="AH160" i="3"/>
  <c r="AH159" i="3" s="1"/>
  <c r="AG160" i="3"/>
  <c r="AG159" i="3" s="1"/>
  <c r="Z160" i="3"/>
  <c r="Z159" i="3" s="1"/>
  <c r="Y160" i="3"/>
  <c r="Y159" i="3" s="1"/>
  <c r="X160" i="3"/>
  <c r="X159" i="3" s="1"/>
  <c r="W160" i="3"/>
  <c r="W159" i="3" s="1"/>
  <c r="V160" i="3"/>
  <c r="V159" i="3" s="1"/>
  <c r="T160" i="3"/>
  <c r="T159" i="3" s="1"/>
  <c r="R160" i="3"/>
  <c r="R159" i="3" s="1"/>
  <c r="Q160" i="3"/>
  <c r="Q159" i="3" s="1"/>
  <c r="P160" i="3"/>
  <c r="N160" i="3"/>
  <c r="N159" i="3" s="1"/>
  <c r="L160" i="3"/>
  <c r="L159" i="3" s="1"/>
  <c r="J160" i="3"/>
  <c r="J159" i="3" s="1"/>
  <c r="G160" i="3"/>
  <c r="G159" i="3" s="1"/>
  <c r="AV159" i="3"/>
  <c r="AT159" i="3"/>
  <c r="AR159" i="3"/>
  <c r="AP159" i="3"/>
  <c r="AV158" i="3"/>
  <c r="AT158" i="3"/>
  <c r="AR158" i="3"/>
  <c r="AP158" i="3"/>
  <c r="W158" i="3"/>
  <c r="U158" i="3"/>
  <c r="L158" i="3"/>
  <c r="H158" i="3"/>
  <c r="AU157" i="3"/>
  <c r="AV157" i="3" s="1"/>
  <c r="AS157" i="3"/>
  <c r="AT157" i="3" s="1"/>
  <c r="AQ157" i="3"/>
  <c r="AR157" i="3" s="1"/>
  <c r="AO157" i="3"/>
  <c r="AP157" i="3" s="1"/>
  <c r="AH157" i="3"/>
  <c r="AH155" i="3" s="1"/>
  <c r="AB157" i="3"/>
  <c r="AA157" i="3"/>
  <c r="T157" i="3"/>
  <c r="AJ157" i="3" s="1"/>
  <c r="O157" i="3"/>
  <c r="AC157" i="3" s="1"/>
  <c r="M157" i="3"/>
  <c r="G157" i="3"/>
  <c r="AG157" i="3" s="1"/>
  <c r="AG155" i="3" s="1"/>
  <c r="AU156" i="3"/>
  <c r="AV156" i="3" s="1"/>
  <c r="AS156" i="3"/>
  <c r="AT156" i="3" s="1"/>
  <c r="AQ156" i="3"/>
  <c r="AR156" i="3" s="1"/>
  <c r="AO156" i="3"/>
  <c r="AP156" i="3" s="1"/>
  <c r="AJ156" i="3"/>
  <c r="AM156" i="3" s="1"/>
  <c r="AB156" i="3"/>
  <c r="AF156" i="3" s="1"/>
  <c r="Y156" i="3"/>
  <c r="Y155" i="3" s="1"/>
  <c r="W156" i="3"/>
  <c r="W155" i="3" s="1"/>
  <c r="W138" i="3" s="1"/>
  <c r="W126" i="3" s="1"/>
  <c r="S156" i="3"/>
  <c r="O156" i="3"/>
  <c r="M156" i="3"/>
  <c r="M155" i="3" s="1"/>
  <c r="AV155" i="3"/>
  <c r="AT155" i="3"/>
  <c r="AR155" i="3"/>
  <c r="AP155" i="3"/>
  <c r="AB155" i="3"/>
  <c r="Z155" i="3"/>
  <c r="X155" i="3"/>
  <c r="R155" i="3"/>
  <c r="Q155" i="3"/>
  <c r="P155" i="3"/>
  <c r="N155" i="3"/>
  <c r="L155" i="3"/>
  <c r="L138" i="3" s="1"/>
  <c r="L126" i="3" s="1"/>
  <c r="K155" i="3"/>
  <c r="J155" i="3"/>
  <c r="J138" i="3" s="1"/>
  <c r="J126" i="3" s="1"/>
  <c r="I155" i="3"/>
  <c r="H155" i="3"/>
  <c r="H138" i="3" s="1"/>
  <c r="H126" i="3" s="1"/>
  <c r="AU154" i="3"/>
  <c r="AV154" i="3" s="1"/>
  <c r="AQ154" i="3"/>
  <c r="AB154" i="3"/>
  <c r="AA154" i="3"/>
  <c r="AC154" i="3" s="1"/>
  <c r="P154" i="3"/>
  <c r="AO154" i="3" s="1"/>
  <c r="AP154" i="3" s="1"/>
  <c r="AU153" i="3"/>
  <c r="AV153" i="3" s="1"/>
  <c r="AS153" i="3"/>
  <c r="AT153" i="3" s="1"/>
  <c r="AQ153" i="3"/>
  <c r="AR153" i="3" s="1"/>
  <c r="AO153" i="3"/>
  <c r="AP153" i="3" s="1"/>
  <c r="AJ153" i="3"/>
  <c r="AK153" i="3" s="1"/>
  <c r="AB153" i="3"/>
  <c r="AA153" i="3"/>
  <c r="S153" i="3"/>
  <c r="O153" i="3"/>
  <c r="AC153" i="3" s="1"/>
  <c r="M153" i="3"/>
  <c r="H153" i="3"/>
  <c r="AU152" i="3"/>
  <c r="AV152" i="3" s="1"/>
  <c r="AS152" i="3"/>
  <c r="AT152" i="3" s="1"/>
  <c r="AQ152" i="3"/>
  <c r="AR152" i="3" s="1"/>
  <c r="AO152" i="3"/>
  <c r="AP152" i="3" s="1"/>
  <c r="AJ152" i="3"/>
  <c r="AM152" i="3" s="1"/>
  <c r="AB152" i="3"/>
  <c r="AA152" i="3"/>
  <c r="S152" i="3"/>
  <c r="O152" i="3"/>
  <c r="AC152" i="3" s="1"/>
  <c r="M152" i="3"/>
  <c r="H152" i="3"/>
  <c r="AU151" i="3"/>
  <c r="AV151" i="3" s="1"/>
  <c r="AS151" i="3"/>
  <c r="AT151" i="3" s="1"/>
  <c r="AQ151" i="3"/>
  <c r="AR151" i="3" s="1"/>
  <c r="AO151" i="3"/>
  <c r="AP151" i="3" s="1"/>
  <c r="AJ151" i="3"/>
  <c r="AK151" i="3" s="1"/>
  <c r="AB151" i="3"/>
  <c r="AA151" i="3"/>
  <c r="S151" i="3"/>
  <c r="O151" i="3"/>
  <c r="AC151" i="3" s="1"/>
  <c r="M151" i="3"/>
  <c r="H151" i="3"/>
  <c r="AU150" i="3"/>
  <c r="AV150" i="3" s="1"/>
  <c r="AS150" i="3"/>
  <c r="AT150" i="3" s="1"/>
  <c r="AQ150" i="3"/>
  <c r="AR150" i="3" s="1"/>
  <c r="AB150" i="3"/>
  <c r="AA150" i="3"/>
  <c r="T150" i="3"/>
  <c r="S150" i="3" s="1"/>
  <c r="P150" i="3"/>
  <c r="M150" i="3"/>
  <c r="H150" i="3"/>
  <c r="AU149" i="3"/>
  <c r="AV149" i="3" s="1"/>
  <c r="AS149" i="3"/>
  <c r="AT149" i="3" s="1"/>
  <c r="AQ149" i="3"/>
  <c r="AR149" i="3" s="1"/>
  <c r="AO149" i="3"/>
  <c r="AP149" i="3" s="1"/>
  <c r="AJ149" i="3"/>
  <c r="AK149" i="3" s="1"/>
  <c r="AB149" i="3"/>
  <c r="AA149" i="3"/>
  <c r="S149" i="3"/>
  <c r="O149" i="3"/>
  <c r="AC149" i="3" s="1"/>
  <c r="M149" i="3"/>
  <c r="H149" i="3"/>
  <c r="AU148" i="3"/>
  <c r="AV148" i="3" s="1"/>
  <c r="AS148" i="3"/>
  <c r="AT148" i="3" s="1"/>
  <c r="AQ148" i="3"/>
  <c r="AR148" i="3" s="1"/>
  <c r="AO148" i="3"/>
  <c r="AP148" i="3" s="1"/>
  <c r="AJ148" i="3"/>
  <c r="AM148" i="3" s="1"/>
  <c r="AB148" i="3"/>
  <c r="AA148" i="3"/>
  <c r="S148" i="3"/>
  <c r="O148" i="3"/>
  <c r="AC148" i="3" s="1"/>
  <c r="M148" i="3"/>
  <c r="H148" i="3"/>
  <c r="AU147" i="3"/>
  <c r="AV147" i="3" s="1"/>
  <c r="AS147" i="3"/>
  <c r="AT147" i="3" s="1"/>
  <c r="AQ147" i="3"/>
  <c r="AR147" i="3" s="1"/>
  <c r="AO147" i="3"/>
  <c r="AP147" i="3" s="1"/>
  <c r="AJ147" i="3"/>
  <c r="AK147" i="3" s="1"/>
  <c r="AB147" i="3"/>
  <c r="AA147" i="3"/>
  <c r="S147" i="3"/>
  <c r="O147" i="3"/>
  <c r="AC147" i="3" s="1"/>
  <c r="M147" i="3"/>
  <c r="H147" i="3"/>
  <c r="AU146" i="3"/>
  <c r="AV146" i="3" s="1"/>
  <c r="AS146" i="3"/>
  <c r="AT146" i="3" s="1"/>
  <c r="AQ146" i="3"/>
  <c r="AR146" i="3" s="1"/>
  <c r="AO146" i="3"/>
  <c r="AP146" i="3" s="1"/>
  <c r="AJ146" i="3"/>
  <c r="AM146" i="3" s="1"/>
  <c r="AB146" i="3"/>
  <c r="AA146" i="3"/>
  <c r="S146" i="3"/>
  <c r="O146" i="3"/>
  <c r="AC146" i="3" s="1"/>
  <c r="M146" i="3"/>
  <c r="H146" i="3"/>
  <c r="AU145" i="3"/>
  <c r="AV145" i="3" s="1"/>
  <c r="AS145" i="3"/>
  <c r="AT145" i="3" s="1"/>
  <c r="AQ145" i="3"/>
  <c r="AR145" i="3" s="1"/>
  <c r="AO145" i="3"/>
  <c r="AP145" i="3" s="1"/>
  <c r="AJ145" i="3"/>
  <c r="AK145" i="3" s="1"/>
  <c r="AB145" i="3"/>
  <c r="AA145" i="3"/>
  <c r="S145" i="3"/>
  <c r="O145" i="3"/>
  <c r="AC145" i="3" s="1"/>
  <c r="M145" i="3"/>
  <c r="AU144" i="3"/>
  <c r="AV144" i="3" s="1"/>
  <c r="AS144" i="3"/>
  <c r="AT144" i="3" s="1"/>
  <c r="AQ144" i="3"/>
  <c r="AR144" i="3" s="1"/>
  <c r="AO144" i="3"/>
  <c r="AP144" i="3" s="1"/>
  <c r="AJ144" i="3"/>
  <c r="AK144" i="3" s="1"/>
  <c r="AB144" i="3"/>
  <c r="AA144" i="3"/>
  <c r="S144" i="3"/>
  <c r="O144" i="3"/>
  <c r="AC144" i="3" s="1"/>
  <c r="M144" i="3"/>
  <c r="H144" i="3"/>
  <c r="AU143" i="3"/>
  <c r="AV143" i="3" s="1"/>
  <c r="AS143" i="3"/>
  <c r="AT143" i="3" s="1"/>
  <c r="AQ143" i="3"/>
  <c r="AR143" i="3" s="1"/>
  <c r="AO143" i="3"/>
  <c r="AP143" i="3" s="1"/>
  <c r="AJ143" i="3"/>
  <c r="AM143" i="3" s="1"/>
  <c r="AB143" i="3"/>
  <c r="AF143" i="3" s="1"/>
  <c r="AE143" i="3" s="1"/>
  <c r="AA143" i="3"/>
  <c r="S143" i="3"/>
  <c r="O143" i="3"/>
  <c r="AC143" i="3" s="1"/>
  <c r="M143" i="3"/>
  <c r="H143" i="3"/>
  <c r="AU142" i="3"/>
  <c r="AV142" i="3" s="1"/>
  <c r="AS142" i="3"/>
  <c r="AT142" i="3" s="1"/>
  <c r="AQ142" i="3"/>
  <c r="AR142" i="3" s="1"/>
  <c r="AO142" i="3"/>
  <c r="AP142" i="3" s="1"/>
  <c r="AJ142" i="3"/>
  <c r="AK142" i="3" s="1"/>
  <c r="AB142" i="3"/>
  <c r="AF142" i="3" s="1"/>
  <c r="AE142" i="3" s="1"/>
  <c r="Y142" i="3"/>
  <c r="Y139" i="3" s="1"/>
  <c r="W142" i="3"/>
  <c r="W139" i="3" s="1"/>
  <c r="S142" i="3"/>
  <c r="O142" i="3"/>
  <c r="M142" i="3"/>
  <c r="H142" i="3"/>
  <c r="AU141" i="3"/>
  <c r="AV141" i="3" s="1"/>
  <c r="AS141" i="3"/>
  <c r="AT141" i="3" s="1"/>
  <c r="AQ141" i="3"/>
  <c r="AR141" i="3" s="1"/>
  <c r="AO141" i="3"/>
  <c r="AP141" i="3" s="1"/>
  <c r="AJ141" i="3"/>
  <c r="AM141" i="3" s="1"/>
  <c r="AB141" i="3"/>
  <c r="AF141" i="3" s="1"/>
  <c r="AE141" i="3" s="1"/>
  <c r="AA141" i="3"/>
  <c r="S141" i="3"/>
  <c r="O141" i="3"/>
  <c r="AC141" i="3" s="1"/>
  <c r="M141" i="3"/>
  <c r="H141" i="3"/>
  <c r="AU140" i="3"/>
  <c r="AV140" i="3" s="1"/>
  <c r="AS140" i="3"/>
  <c r="AT140" i="3" s="1"/>
  <c r="AQ140" i="3"/>
  <c r="AR140" i="3" s="1"/>
  <c r="AO140" i="3"/>
  <c r="AP140" i="3" s="1"/>
  <c r="AJ140" i="3"/>
  <c r="AK140" i="3" s="1"/>
  <c r="AB140" i="3"/>
  <c r="AF140" i="3" s="1"/>
  <c r="AA140" i="3"/>
  <c r="S140" i="3"/>
  <c r="O140" i="3"/>
  <c r="AC140" i="3" s="1"/>
  <c r="M140" i="3"/>
  <c r="H140" i="3"/>
  <c r="AV139" i="3"/>
  <c r="AT139" i="3"/>
  <c r="AR139" i="3"/>
  <c r="AP139" i="3"/>
  <c r="AH139" i="3"/>
  <c r="AG139" i="3"/>
  <c r="Z139" i="3"/>
  <c r="X139" i="3"/>
  <c r="V139" i="3"/>
  <c r="U139" i="3"/>
  <c r="T139" i="3"/>
  <c r="R139" i="3"/>
  <c r="Q139" i="3"/>
  <c r="N139" i="3"/>
  <c r="N138" i="3" s="1"/>
  <c r="L139" i="3"/>
  <c r="K139" i="3"/>
  <c r="J139" i="3"/>
  <c r="I139" i="3"/>
  <c r="G139" i="3"/>
  <c r="AV138" i="3"/>
  <c r="AT138" i="3"/>
  <c r="AR138" i="3"/>
  <c r="AP138" i="3"/>
  <c r="X138" i="3"/>
  <c r="X126" i="3" s="1"/>
  <c r="V138" i="3"/>
  <c r="U138" i="3"/>
  <c r="U126" i="3" s="1"/>
  <c r="Q138" i="3"/>
  <c r="K138" i="3"/>
  <c r="I138" i="3"/>
  <c r="AU137" i="3"/>
  <c r="AV137" i="3" s="1"/>
  <c r="AS137" i="3"/>
  <c r="AT137" i="3" s="1"/>
  <c r="AQ137" i="3"/>
  <c r="AR137" i="3" s="1"/>
  <c r="AO137" i="3"/>
  <c r="AP137" i="3" s="1"/>
  <c r="AJ137" i="3"/>
  <c r="AM137" i="3" s="1"/>
  <c r="AB137" i="3"/>
  <c r="AF137" i="3" s="1"/>
  <c r="AE137" i="3" s="1"/>
  <c r="AA137" i="3"/>
  <c r="S137" i="3"/>
  <c r="O137" i="3"/>
  <c r="AC137" i="3" s="1"/>
  <c r="M137" i="3"/>
  <c r="K137" i="3"/>
  <c r="I137" i="3"/>
  <c r="H137" i="3"/>
  <c r="AU136" i="3"/>
  <c r="AV136" i="3" s="1"/>
  <c r="AS136" i="3"/>
  <c r="AT136" i="3" s="1"/>
  <c r="AQ136" i="3"/>
  <c r="AR136" i="3" s="1"/>
  <c r="AO136" i="3"/>
  <c r="AP136" i="3" s="1"/>
  <c r="AJ136" i="3"/>
  <c r="AK136" i="3" s="1"/>
  <c r="AB136" i="3"/>
  <c r="AF136" i="3" s="1"/>
  <c r="AE136" i="3" s="1"/>
  <c r="W136" i="3"/>
  <c r="AA136" i="3" s="1"/>
  <c r="S136" i="3"/>
  <c r="O136" i="3"/>
  <c r="AC136" i="3" s="1"/>
  <c r="M136" i="3"/>
  <c r="K136" i="3"/>
  <c r="I136" i="3"/>
  <c r="H136" i="3"/>
  <c r="AU135" i="3"/>
  <c r="AV135" i="3" s="1"/>
  <c r="AS135" i="3"/>
  <c r="AT135" i="3" s="1"/>
  <c r="AQ135" i="3"/>
  <c r="AR135" i="3" s="1"/>
  <c r="AO135" i="3"/>
  <c r="AP135" i="3" s="1"/>
  <c r="AJ135" i="3"/>
  <c r="AK135" i="3" s="1"/>
  <c r="AB135" i="3"/>
  <c r="AF135" i="3" s="1"/>
  <c r="AE135" i="3" s="1"/>
  <c r="W135" i="3"/>
  <c r="AA135" i="3" s="1"/>
  <c r="S135" i="3"/>
  <c r="O135" i="3"/>
  <c r="M135" i="3"/>
  <c r="K135" i="3"/>
  <c r="I135" i="3"/>
  <c r="H135" i="3"/>
  <c r="AU134" i="3"/>
  <c r="AV134" i="3" s="1"/>
  <c r="AS134" i="3"/>
  <c r="AT134" i="3" s="1"/>
  <c r="AQ134" i="3"/>
  <c r="AR134" i="3" s="1"/>
  <c r="AB134" i="3"/>
  <c r="AF134" i="3" s="1"/>
  <c r="AE134" i="3" s="1"/>
  <c r="Y134" i="3"/>
  <c r="W134" i="3"/>
  <c r="U134" i="3"/>
  <c r="P134" i="3"/>
  <c r="AO134" i="3" s="1"/>
  <c r="AP134" i="3" s="1"/>
  <c r="M134" i="3"/>
  <c r="K134" i="3"/>
  <c r="I134" i="3"/>
  <c r="AU133" i="3"/>
  <c r="AV133" i="3" s="1"/>
  <c r="AS133" i="3"/>
  <c r="AT133" i="3" s="1"/>
  <c r="AQ133" i="3"/>
  <c r="AR133" i="3" s="1"/>
  <c r="AO133" i="3"/>
  <c r="AP133" i="3" s="1"/>
  <c r="AJ133" i="3"/>
  <c r="AM133" i="3" s="1"/>
  <c r="AB133" i="3"/>
  <c r="AF133" i="3" s="1"/>
  <c r="AE133" i="3" s="1"/>
  <c r="W133" i="3"/>
  <c r="AA133" i="3" s="1"/>
  <c r="S133" i="3"/>
  <c r="O133" i="3"/>
  <c r="M133" i="3"/>
  <c r="K133" i="3"/>
  <c r="I133" i="3"/>
  <c r="H133" i="3"/>
  <c r="AU132" i="3"/>
  <c r="AV132" i="3" s="1"/>
  <c r="AS132" i="3"/>
  <c r="AT132" i="3" s="1"/>
  <c r="AQ132" i="3"/>
  <c r="AR132" i="3" s="1"/>
  <c r="AO132" i="3"/>
  <c r="AP132" i="3" s="1"/>
  <c r="AJ132" i="3"/>
  <c r="AM132" i="3" s="1"/>
  <c r="AB132" i="3"/>
  <c r="AF132" i="3" s="1"/>
  <c r="AE132" i="3" s="1"/>
  <c r="AA132" i="3"/>
  <c r="S132" i="3"/>
  <c r="O132" i="3"/>
  <c r="AC132" i="3" s="1"/>
  <c r="M132" i="3"/>
  <c r="K132" i="3"/>
  <c r="I132" i="3"/>
  <c r="H132" i="3"/>
  <c r="AU131" i="3"/>
  <c r="AV131" i="3" s="1"/>
  <c r="AS131" i="3"/>
  <c r="AT131" i="3" s="1"/>
  <c r="AQ131" i="3"/>
  <c r="AR131" i="3" s="1"/>
  <c r="AO131" i="3"/>
  <c r="AP131" i="3" s="1"/>
  <c r="AJ131" i="3"/>
  <c r="AK131" i="3" s="1"/>
  <c r="AB131" i="3"/>
  <c r="AF131" i="3" s="1"/>
  <c r="W131" i="3"/>
  <c r="AA131" i="3" s="1"/>
  <c r="S131" i="3"/>
  <c r="O131" i="3"/>
  <c r="M131" i="3"/>
  <c r="M128" i="3" s="1"/>
  <c r="M127" i="3" s="1"/>
  <c r="K131" i="3"/>
  <c r="I131" i="3"/>
  <c r="I128" i="3" s="1"/>
  <c r="I127" i="3" s="1"/>
  <c r="H131" i="3"/>
  <c r="AV130" i="3"/>
  <c r="AT130" i="3"/>
  <c r="AR130" i="3"/>
  <c r="AP130" i="3"/>
  <c r="AJ130" i="3"/>
  <c r="AV129" i="3"/>
  <c r="AT129" i="3"/>
  <c r="AR129" i="3"/>
  <c r="AP129" i="3"/>
  <c r="AJ129" i="3"/>
  <c r="AV128" i="3"/>
  <c r="AT128" i="3"/>
  <c r="AR128" i="3"/>
  <c r="AP128" i="3"/>
  <c r="AH128" i="3"/>
  <c r="AG128" i="3"/>
  <c r="AB128" i="3"/>
  <c r="Z128" i="3"/>
  <c r="Y128" i="3"/>
  <c r="X128" i="3"/>
  <c r="W128" i="3"/>
  <c r="V128" i="3"/>
  <c r="U128" i="3"/>
  <c r="R128" i="3"/>
  <c r="Q128" i="3"/>
  <c r="N128" i="3"/>
  <c r="L128" i="3"/>
  <c r="J128" i="3"/>
  <c r="H128" i="3"/>
  <c r="G128" i="3"/>
  <c r="AV127" i="3"/>
  <c r="AT127" i="3"/>
  <c r="AR127" i="3"/>
  <c r="AP127" i="3"/>
  <c r="AH127" i="3"/>
  <c r="AG127" i="3"/>
  <c r="AB127" i="3"/>
  <c r="Z127" i="3"/>
  <c r="Y127" i="3"/>
  <c r="X127" i="3"/>
  <c r="W127" i="3"/>
  <c r="V127" i="3"/>
  <c r="U127" i="3"/>
  <c r="R127" i="3"/>
  <c r="Q127" i="3"/>
  <c r="Q126" i="3" s="1"/>
  <c r="N127" i="3"/>
  <c r="L127" i="3"/>
  <c r="J127" i="3"/>
  <c r="H127" i="3"/>
  <c r="G127" i="3"/>
  <c r="AV126" i="3"/>
  <c r="AT126" i="3"/>
  <c r="AR126" i="3"/>
  <c r="AP126" i="3"/>
  <c r="V126" i="3"/>
  <c r="K126" i="3"/>
  <c r="I126" i="3"/>
  <c r="AU125" i="3"/>
  <c r="AV125" i="3" s="1"/>
  <c r="AS125" i="3"/>
  <c r="AT125" i="3" s="1"/>
  <c r="T125" i="3"/>
  <c r="S125" i="3" s="1"/>
  <c r="S124" i="3" s="1"/>
  <c r="P125" i="3"/>
  <c r="N125" i="3"/>
  <c r="M125" i="3" s="1"/>
  <c r="M124" i="3" s="1"/>
  <c r="H125" i="3"/>
  <c r="AH125" i="3" s="1"/>
  <c r="AH124" i="3" s="1"/>
  <c r="AV124" i="3"/>
  <c r="AT124" i="3"/>
  <c r="AR124" i="3"/>
  <c r="AP124" i="3"/>
  <c r="T124" i="3"/>
  <c r="P124" i="3"/>
  <c r="N124" i="3"/>
  <c r="H124" i="3"/>
  <c r="G124" i="3"/>
  <c r="AU123" i="3"/>
  <c r="AV123" i="3" s="1"/>
  <c r="AQ123" i="3"/>
  <c r="AR123" i="3" s="1"/>
  <c r="AO123" i="3"/>
  <c r="AP123" i="3" s="1"/>
  <c r="AJ123" i="3"/>
  <c r="AK123" i="3" s="1"/>
  <c r="AB123" i="3"/>
  <c r="AA123" i="3"/>
  <c r="S123" i="3"/>
  <c r="O123" i="3"/>
  <c r="AC123" i="3" s="1"/>
  <c r="G123" i="3"/>
  <c r="AU122" i="3"/>
  <c r="AV122" i="3" s="1"/>
  <c r="AQ122" i="3"/>
  <c r="AR122" i="3" s="1"/>
  <c r="AO122" i="3"/>
  <c r="AP122" i="3" s="1"/>
  <c r="AJ122" i="3"/>
  <c r="AM122" i="3" s="1"/>
  <c r="AB122" i="3"/>
  <c r="AA122" i="3"/>
  <c r="S122" i="3"/>
  <c r="O122" i="3"/>
  <c r="AC122" i="3" s="1"/>
  <c r="G122" i="3"/>
  <c r="AU121" i="3"/>
  <c r="AV121" i="3" s="1"/>
  <c r="AQ121" i="3"/>
  <c r="AR121" i="3" s="1"/>
  <c r="AO121" i="3"/>
  <c r="AP121" i="3" s="1"/>
  <c r="AM121" i="3"/>
  <c r="AK121" i="3"/>
  <c r="AB121" i="3"/>
  <c r="AA121" i="3"/>
  <c r="S121" i="3"/>
  <c r="Q121" i="3"/>
  <c r="O121" i="3"/>
  <c r="G121" i="3"/>
  <c r="AU120" i="3"/>
  <c r="AV120" i="3" s="1"/>
  <c r="AS120" i="3"/>
  <c r="AT120" i="3" s="1"/>
  <c r="AQ120" i="3"/>
  <c r="AR120" i="3" s="1"/>
  <c r="AO120" i="3"/>
  <c r="AP120" i="3" s="1"/>
  <c r="AJ120" i="3"/>
  <c r="AK120" i="3" s="1"/>
  <c r="AB120" i="3"/>
  <c r="AA120" i="3"/>
  <c r="AC120" i="3" s="1"/>
  <c r="H120" i="3"/>
  <c r="AS119" i="3"/>
  <c r="AT119" i="3" s="1"/>
  <c r="AQ119" i="3"/>
  <c r="AR119" i="3" s="1"/>
  <c r="AO119" i="3"/>
  <c r="AP119" i="3" s="1"/>
  <c r="AJ119" i="3"/>
  <c r="AK119" i="3" s="1"/>
  <c r="AB119" i="3"/>
  <c r="AA119" i="3"/>
  <c r="AC119" i="3" s="1"/>
  <c r="M119" i="3"/>
  <c r="H119" i="3"/>
  <c r="AS118" i="3"/>
  <c r="AT118" i="3" s="1"/>
  <c r="AQ118" i="3"/>
  <c r="AR118" i="3" s="1"/>
  <c r="AO118" i="3"/>
  <c r="AP118" i="3" s="1"/>
  <c r="AJ118" i="3"/>
  <c r="AM118" i="3" s="1"/>
  <c r="AB118" i="3"/>
  <c r="AA118" i="3"/>
  <c r="AC118" i="3" s="1"/>
  <c r="M118" i="3"/>
  <c r="H118" i="3"/>
  <c r="AU117" i="3"/>
  <c r="AV117" i="3" s="1"/>
  <c r="AS117" i="3"/>
  <c r="AT117" i="3" s="1"/>
  <c r="AQ117" i="3"/>
  <c r="AR117" i="3" s="1"/>
  <c r="AO117" i="3"/>
  <c r="AP117" i="3" s="1"/>
  <c r="AJ117" i="3"/>
  <c r="AK117" i="3" s="1"/>
  <c r="AB117" i="3"/>
  <c r="AA117" i="3"/>
  <c r="S117" i="3"/>
  <c r="O117" i="3"/>
  <c r="AC117" i="3" s="1"/>
  <c r="M117" i="3"/>
  <c r="H117" i="3"/>
  <c r="AS116" i="3"/>
  <c r="AT116" i="3" s="1"/>
  <c r="AQ116" i="3"/>
  <c r="AR116" i="3" s="1"/>
  <c r="AO116" i="3"/>
  <c r="AP116" i="3" s="1"/>
  <c r="AJ116" i="3"/>
  <c r="AM116" i="3" s="1"/>
  <c r="AB116" i="3"/>
  <c r="AA116" i="3"/>
  <c r="AC116" i="3" s="1"/>
  <c r="M116" i="3"/>
  <c r="H116" i="3"/>
  <c r="AU115" i="3"/>
  <c r="AV115" i="3" s="1"/>
  <c r="AS115" i="3"/>
  <c r="AT115" i="3" s="1"/>
  <c r="AQ115" i="3"/>
  <c r="AR115" i="3" s="1"/>
  <c r="AO115" i="3"/>
  <c r="AP115" i="3" s="1"/>
  <c r="AJ115" i="3"/>
  <c r="AK115" i="3" s="1"/>
  <c r="AB115" i="3"/>
  <c r="AA115" i="3"/>
  <c r="S115" i="3"/>
  <c r="O115" i="3"/>
  <c r="AC115" i="3" s="1"/>
  <c r="M115" i="3"/>
  <c r="H115" i="3"/>
  <c r="AS114" i="3"/>
  <c r="AT114" i="3" s="1"/>
  <c r="AQ114" i="3"/>
  <c r="AR114" i="3" s="1"/>
  <c r="AO114" i="3"/>
  <c r="AP114" i="3" s="1"/>
  <c r="AJ114" i="3"/>
  <c r="AM114" i="3" s="1"/>
  <c r="AB114" i="3"/>
  <c r="AA114" i="3"/>
  <c r="AC114" i="3" s="1"/>
  <c r="M114" i="3"/>
  <c r="H114" i="3"/>
  <c r="AU113" i="3"/>
  <c r="AV113" i="3" s="1"/>
  <c r="AS113" i="3"/>
  <c r="AT113" i="3" s="1"/>
  <c r="AQ113" i="3"/>
  <c r="AR113" i="3" s="1"/>
  <c r="AO113" i="3"/>
  <c r="AP113" i="3" s="1"/>
  <c r="AJ113" i="3"/>
  <c r="AK113" i="3" s="1"/>
  <c r="AB113" i="3"/>
  <c r="AA113" i="3"/>
  <c r="S113" i="3"/>
  <c r="O113" i="3"/>
  <c r="AC113" i="3" s="1"/>
  <c r="M113" i="3"/>
  <c r="H113" i="3"/>
  <c r="AU112" i="3"/>
  <c r="AV112" i="3" s="1"/>
  <c r="AS112" i="3"/>
  <c r="AT112" i="3" s="1"/>
  <c r="AQ112" i="3"/>
  <c r="AR112" i="3" s="1"/>
  <c r="AO112" i="3"/>
  <c r="AP112" i="3" s="1"/>
  <c r="AJ112" i="3"/>
  <c r="AM112" i="3" s="1"/>
  <c r="AB112" i="3"/>
  <c r="AA112" i="3"/>
  <c r="O112" i="3"/>
  <c r="M112" i="3"/>
  <c r="H112" i="3"/>
  <c r="AS111" i="3"/>
  <c r="AT111" i="3" s="1"/>
  <c r="AQ111" i="3"/>
  <c r="AR111" i="3" s="1"/>
  <c r="AO111" i="3"/>
  <c r="AP111" i="3" s="1"/>
  <c r="AJ111" i="3"/>
  <c r="AM111" i="3" s="1"/>
  <c r="AB111" i="3"/>
  <c r="AA111" i="3"/>
  <c r="AC111" i="3" s="1"/>
  <c r="M111" i="3"/>
  <c r="H111" i="3"/>
  <c r="AU110" i="3"/>
  <c r="AV110" i="3" s="1"/>
  <c r="AS110" i="3"/>
  <c r="AT110" i="3" s="1"/>
  <c r="AO110" i="3"/>
  <c r="AP110" i="3" s="1"/>
  <c r="AJ110" i="3"/>
  <c r="AK110" i="3" s="1"/>
  <c r="AB110" i="3"/>
  <c r="AA110" i="3"/>
  <c r="S110" i="3"/>
  <c r="O110" i="3"/>
  <c r="AC110" i="3" s="1"/>
  <c r="N110" i="3"/>
  <c r="AQ110" i="3" s="1"/>
  <c r="AR110" i="3" s="1"/>
  <c r="G110" i="3"/>
  <c r="AS109" i="3"/>
  <c r="AT109" i="3" s="1"/>
  <c r="AO109" i="3"/>
  <c r="AP109" i="3" s="1"/>
  <c r="AJ109" i="3"/>
  <c r="AB109" i="3"/>
  <c r="AA109" i="3"/>
  <c r="R109" i="3"/>
  <c r="AU109" i="3" s="1"/>
  <c r="AV109" i="3" s="1"/>
  <c r="O109" i="3"/>
  <c r="AC109" i="3" s="1"/>
  <c r="N109" i="3"/>
  <c r="AQ109" i="3" s="1"/>
  <c r="AR109" i="3" s="1"/>
  <c r="H109" i="3"/>
  <c r="AS108" i="3"/>
  <c r="AT108" i="3" s="1"/>
  <c r="AO108" i="3"/>
  <c r="AJ108" i="3"/>
  <c r="AM108" i="3" s="1"/>
  <c r="AB108" i="3"/>
  <c r="AA108" i="3"/>
  <c r="AC108" i="3" s="1"/>
  <c r="H108" i="3"/>
  <c r="M108" i="3" s="1"/>
  <c r="N108" i="3" s="1"/>
  <c r="AQ108" i="3" s="1"/>
  <c r="AR108" i="3" s="1"/>
  <c r="AU107" i="3"/>
  <c r="AV107" i="3" s="1"/>
  <c r="AS107" i="3"/>
  <c r="AT107" i="3" s="1"/>
  <c r="AO107" i="3"/>
  <c r="AP107" i="3" s="1"/>
  <c r="AJ107" i="3"/>
  <c r="AM107" i="3" s="1"/>
  <c r="AB107" i="3"/>
  <c r="AA107" i="3"/>
  <c r="S107" i="3"/>
  <c r="O107" i="3"/>
  <c r="AC107" i="3" s="1"/>
  <c r="N107" i="3"/>
  <c r="AQ107" i="3" s="1"/>
  <c r="AR107" i="3" s="1"/>
  <c r="H107" i="3"/>
  <c r="AU106" i="3"/>
  <c r="AV106" i="3" s="1"/>
  <c r="AS106" i="3"/>
  <c r="AT106" i="3" s="1"/>
  <c r="AO106" i="3"/>
  <c r="AP106" i="3" s="1"/>
  <c r="AJ106" i="3"/>
  <c r="AK106" i="3" s="1"/>
  <c r="AB106" i="3"/>
  <c r="AA106" i="3"/>
  <c r="S106" i="3"/>
  <c r="O106" i="3"/>
  <c r="AC106" i="3" s="1"/>
  <c r="N106" i="3"/>
  <c r="AQ106" i="3" s="1"/>
  <c r="AR106" i="3" s="1"/>
  <c r="H106" i="3"/>
  <c r="AS105" i="3"/>
  <c r="AT105" i="3" s="1"/>
  <c r="AQ105" i="3"/>
  <c r="AR105" i="3" s="1"/>
  <c r="AO105" i="3"/>
  <c r="AP105" i="3" s="1"/>
  <c r="AJ105" i="3"/>
  <c r="AM105" i="3" s="1"/>
  <c r="AB105" i="3"/>
  <c r="AD105" i="3" s="1"/>
  <c r="AA105" i="3"/>
  <c r="AC105" i="3" s="1"/>
  <c r="M105" i="3"/>
  <c r="H105" i="3"/>
  <c r="AU104" i="3"/>
  <c r="AV104" i="3" s="1"/>
  <c r="AS104" i="3"/>
  <c r="AT104" i="3" s="1"/>
  <c r="AQ104" i="3"/>
  <c r="AR104" i="3" s="1"/>
  <c r="AO104" i="3"/>
  <c r="AP104" i="3" s="1"/>
  <c r="AM104" i="3"/>
  <c r="AK104" i="3"/>
  <c r="AB104" i="3"/>
  <c r="AD104" i="3" s="1"/>
  <c r="AA104" i="3"/>
  <c r="S104" i="3"/>
  <c r="O104" i="3"/>
  <c r="AC104" i="3" s="1"/>
  <c r="M104" i="3"/>
  <c r="G104" i="3"/>
  <c r="AS103" i="3"/>
  <c r="AT103" i="3" s="1"/>
  <c r="AQ103" i="3"/>
  <c r="AR103" i="3" s="1"/>
  <c r="AO103" i="3"/>
  <c r="AP103" i="3" s="1"/>
  <c r="AJ103" i="3"/>
  <c r="AK103" i="3" s="1"/>
  <c r="AB103" i="3"/>
  <c r="AA103" i="3"/>
  <c r="AC103" i="3" s="1"/>
  <c r="M103" i="3"/>
  <c r="AU102" i="3"/>
  <c r="AV102" i="3" s="1"/>
  <c r="AS102" i="3"/>
  <c r="AT102" i="3" s="1"/>
  <c r="AQ102" i="3"/>
  <c r="AR102" i="3" s="1"/>
  <c r="AO102" i="3"/>
  <c r="AP102" i="3" s="1"/>
  <c r="AJ102" i="3"/>
  <c r="AK102" i="3" s="1"/>
  <c r="AB102" i="3"/>
  <c r="AA102" i="3"/>
  <c r="S102" i="3"/>
  <c r="O102" i="3"/>
  <c r="AC102" i="3" s="1"/>
  <c r="M102" i="3"/>
  <c r="H102" i="3"/>
  <c r="AU101" i="3"/>
  <c r="AV101" i="3" s="1"/>
  <c r="AS101" i="3"/>
  <c r="AT101" i="3" s="1"/>
  <c r="AQ101" i="3"/>
  <c r="AR101" i="3" s="1"/>
  <c r="AO101" i="3"/>
  <c r="AP101" i="3" s="1"/>
  <c r="AJ101" i="3"/>
  <c r="AM101" i="3" s="1"/>
  <c r="AB101" i="3"/>
  <c r="AA101" i="3"/>
  <c r="S101" i="3"/>
  <c r="O101" i="3"/>
  <c r="AC101" i="3" s="1"/>
  <c r="M101" i="3"/>
  <c r="G101" i="3"/>
  <c r="AU100" i="3"/>
  <c r="AV100" i="3" s="1"/>
  <c r="AS100" i="3"/>
  <c r="AT100" i="3" s="1"/>
  <c r="AQ100" i="3"/>
  <c r="AR100" i="3" s="1"/>
  <c r="AO100" i="3"/>
  <c r="AP100" i="3" s="1"/>
  <c r="AJ100" i="3"/>
  <c r="AK100" i="3" s="1"/>
  <c r="AB100" i="3"/>
  <c r="AA100" i="3"/>
  <c r="S100" i="3"/>
  <c r="O100" i="3"/>
  <c r="AC100" i="3" s="1"/>
  <c r="M100" i="3"/>
  <c r="H100" i="3"/>
  <c r="AU99" i="3"/>
  <c r="AV99" i="3" s="1"/>
  <c r="AS99" i="3"/>
  <c r="AT99" i="3" s="1"/>
  <c r="AQ99" i="3"/>
  <c r="AR99" i="3" s="1"/>
  <c r="AO99" i="3"/>
  <c r="AP99" i="3" s="1"/>
  <c r="AJ99" i="3"/>
  <c r="AB99" i="3"/>
  <c r="AA99" i="3"/>
  <c r="S99" i="3"/>
  <c r="O99" i="3"/>
  <c r="AC99" i="3" s="1"/>
  <c r="M99" i="3"/>
  <c r="H99" i="3"/>
  <c r="AS98" i="3"/>
  <c r="AT98" i="3" s="1"/>
  <c r="AQ98" i="3"/>
  <c r="AR98" i="3" s="1"/>
  <c r="AP98" i="3"/>
  <c r="AJ98" i="3"/>
  <c r="AM98" i="3" s="1"/>
  <c r="AB98" i="3"/>
  <c r="AA98" i="3"/>
  <c r="AC98" i="3" s="1"/>
  <c r="M98" i="3"/>
  <c r="H98" i="3"/>
  <c r="AU97" i="3"/>
  <c r="AV97" i="3" s="1"/>
  <c r="AS97" i="3"/>
  <c r="AT97" i="3" s="1"/>
  <c r="AQ97" i="3"/>
  <c r="AR97" i="3" s="1"/>
  <c r="AO97" i="3"/>
  <c r="AP97" i="3" s="1"/>
  <c r="AJ97" i="3"/>
  <c r="AK97" i="3" s="1"/>
  <c r="AB97" i="3"/>
  <c r="AA97" i="3"/>
  <c r="S97" i="3"/>
  <c r="O97" i="3"/>
  <c r="AC97" i="3" s="1"/>
  <c r="M97" i="3"/>
  <c r="H97" i="3"/>
  <c r="AS96" i="3"/>
  <c r="AT96" i="3" s="1"/>
  <c r="AQ96" i="3"/>
  <c r="AR96" i="3" s="1"/>
  <c r="AO96" i="3"/>
  <c r="AP96" i="3" s="1"/>
  <c r="AJ96" i="3"/>
  <c r="AM96" i="3" s="1"/>
  <c r="AB96" i="3"/>
  <c r="AA96" i="3"/>
  <c r="S96" i="3"/>
  <c r="O96" i="3"/>
  <c r="AC96" i="3" s="1"/>
  <c r="M96" i="3"/>
  <c r="H96" i="3"/>
  <c r="AU95" i="3"/>
  <c r="AV95" i="3" s="1"/>
  <c r="AS95" i="3"/>
  <c r="AT95" i="3" s="1"/>
  <c r="AQ95" i="3"/>
  <c r="AR95" i="3" s="1"/>
  <c r="AO95" i="3"/>
  <c r="AP95" i="3" s="1"/>
  <c r="AJ95" i="3"/>
  <c r="AK95" i="3" s="1"/>
  <c r="Z95" i="3"/>
  <c r="AB95" i="3" s="1"/>
  <c r="W95" i="3"/>
  <c r="S95" i="3"/>
  <c r="O95" i="3"/>
  <c r="M95" i="3"/>
  <c r="H95" i="3"/>
  <c r="AU94" i="3"/>
  <c r="AV94" i="3" s="1"/>
  <c r="AS94" i="3"/>
  <c r="AT94" i="3" s="1"/>
  <c r="AQ94" i="3"/>
  <c r="AR94" i="3" s="1"/>
  <c r="AO94" i="3"/>
  <c r="AP94" i="3" s="1"/>
  <c r="AJ94" i="3"/>
  <c r="AK94" i="3" s="1"/>
  <c r="Z94" i="3"/>
  <c r="AB94" i="3" s="1"/>
  <c r="S94" i="3"/>
  <c r="O94" i="3"/>
  <c r="M94" i="3"/>
  <c r="H94" i="3"/>
  <c r="AU93" i="3"/>
  <c r="AV93" i="3" s="1"/>
  <c r="AS93" i="3"/>
  <c r="AT93" i="3" s="1"/>
  <c r="AQ93" i="3"/>
  <c r="AR93" i="3" s="1"/>
  <c r="AO93" i="3"/>
  <c r="AP93" i="3" s="1"/>
  <c r="AJ93" i="3"/>
  <c r="AM93" i="3" s="1"/>
  <c r="Z93" i="3"/>
  <c r="Y93" i="3" s="1"/>
  <c r="W93" i="3"/>
  <c r="S93" i="3"/>
  <c r="O93" i="3"/>
  <c r="M93" i="3"/>
  <c r="H93" i="3"/>
  <c r="AU92" i="3"/>
  <c r="AV92" i="3" s="1"/>
  <c r="AS92" i="3"/>
  <c r="AT92" i="3" s="1"/>
  <c r="AQ92" i="3"/>
  <c r="AR92" i="3" s="1"/>
  <c r="AO92" i="3"/>
  <c r="AP92" i="3" s="1"/>
  <c r="AJ92" i="3"/>
  <c r="AM92" i="3" s="1"/>
  <c r="Z92" i="3"/>
  <c r="Y92" i="3" s="1"/>
  <c r="W92" i="3"/>
  <c r="S92" i="3"/>
  <c r="O92" i="3"/>
  <c r="M92" i="3"/>
  <c r="H92" i="3"/>
  <c r="AU91" i="3"/>
  <c r="AV91" i="3" s="1"/>
  <c r="AS91" i="3"/>
  <c r="AT91" i="3" s="1"/>
  <c r="AQ91" i="3"/>
  <c r="AR91" i="3" s="1"/>
  <c r="AO91" i="3"/>
  <c r="AP91" i="3" s="1"/>
  <c r="AJ91" i="3"/>
  <c r="AM91" i="3" s="1"/>
  <c r="Z91" i="3"/>
  <c r="Y91" i="3" s="1"/>
  <c r="W91" i="3"/>
  <c r="S91" i="3"/>
  <c r="O91" i="3"/>
  <c r="M91" i="3"/>
  <c r="H91" i="3"/>
  <c r="AU90" i="3"/>
  <c r="AV90" i="3" s="1"/>
  <c r="AS90" i="3"/>
  <c r="AT90" i="3" s="1"/>
  <c r="AQ90" i="3"/>
  <c r="AR90" i="3" s="1"/>
  <c r="AO90" i="3"/>
  <c r="AP90" i="3" s="1"/>
  <c r="AJ90" i="3"/>
  <c r="AM90" i="3" s="1"/>
  <c r="Z90" i="3"/>
  <c r="Y90" i="3" s="1"/>
  <c r="W90" i="3"/>
  <c r="S90" i="3"/>
  <c r="O90" i="3"/>
  <c r="M90" i="3"/>
  <c r="H90" i="3"/>
  <c r="AU89" i="3"/>
  <c r="AV89" i="3" s="1"/>
  <c r="AS89" i="3"/>
  <c r="AT89" i="3" s="1"/>
  <c r="AQ89" i="3"/>
  <c r="AR89" i="3" s="1"/>
  <c r="AO89" i="3"/>
  <c r="AP89" i="3" s="1"/>
  <c r="AJ89" i="3"/>
  <c r="AM89" i="3" s="1"/>
  <c r="Z89" i="3"/>
  <c r="Y89" i="3" s="1"/>
  <c r="W89" i="3"/>
  <c r="S89" i="3"/>
  <c r="O89" i="3"/>
  <c r="M89" i="3"/>
  <c r="H89" i="3"/>
  <c r="AS88" i="3"/>
  <c r="AT88" i="3" s="1"/>
  <c r="AQ88" i="3"/>
  <c r="AR88" i="3" s="1"/>
  <c r="AP88" i="3"/>
  <c r="AJ88" i="3"/>
  <c r="AK88" i="3" s="1"/>
  <c r="Z88" i="3"/>
  <c r="W88" i="3"/>
  <c r="S88" i="3"/>
  <c r="O88" i="3"/>
  <c r="M88" i="3"/>
  <c r="H88" i="3"/>
  <c r="AU87" i="3"/>
  <c r="AV87" i="3" s="1"/>
  <c r="AS87" i="3"/>
  <c r="AT87" i="3" s="1"/>
  <c r="AQ87" i="3"/>
  <c r="AR87" i="3" s="1"/>
  <c r="AO87" i="3"/>
  <c r="AP87" i="3" s="1"/>
  <c r="AJ87" i="3"/>
  <c r="AK87" i="3" s="1"/>
  <c r="Z87" i="3"/>
  <c r="W87" i="3"/>
  <c r="S87" i="3"/>
  <c r="O87" i="3"/>
  <c r="M87" i="3"/>
  <c r="H87" i="3"/>
  <c r="AU86" i="3"/>
  <c r="AV86" i="3" s="1"/>
  <c r="AS86" i="3"/>
  <c r="AT86" i="3" s="1"/>
  <c r="AQ86" i="3"/>
  <c r="AR86" i="3" s="1"/>
  <c r="AO86" i="3"/>
  <c r="AP86" i="3" s="1"/>
  <c r="AJ86" i="3"/>
  <c r="AK86" i="3" s="1"/>
  <c r="Z86" i="3"/>
  <c r="S86" i="3"/>
  <c r="O86" i="3"/>
  <c r="M86" i="3"/>
  <c r="H86" i="3"/>
  <c r="AU85" i="3"/>
  <c r="AV85" i="3" s="1"/>
  <c r="AS85" i="3"/>
  <c r="AT85" i="3" s="1"/>
  <c r="AQ85" i="3"/>
  <c r="AR85" i="3" s="1"/>
  <c r="AO85" i="3"/>
  <c r="AP85" i="3" s="1"/>
  <c r="AJ85" i="3"/>
  <c r="AM85" i="3" s="1"/>
  <c r="Z85" i="3"/>
  <c r="Y85" i="3" s="1"/>
  <c r="AA85" i="3" s="1"/>
  <c r="S85" i="3"/>
  <c r="O85" i="3"/>
  <c r="AC85" i="3" s="1"/>
  <c r="M85" i="3"/>
  <c r="H85" i="3"/>
  <c r="AU84" i="3"/>
  <c r="AV84" i="3" s="1"/>
  <c r="AS84" i="3"/>
  <c r="AT84" i="3" s="1"/>
  <c r="AQ84" i="3"/>
  <c r="AR84" i="3" s="1"/>
  <c r="AO84" i="3"/>
  <c r="AP84" i="3" s="1"/>
  <c r="AJ84" i="3"/>
  <c r="AK84" i="3" s="1"/>
  <c r="Z84" i="3"/>
  <c r="AB84" i="3" s="1"/>
  <c r="S84" i="3"/>
  <c r="O84" i="3"/>
  <c r="M84" i="3"/>
  <c r="H84" i="3"/>
  <c r="AU83" i="3"/>
  <c r="AV83" i="3" s="1"/>
  <c r="AS83" i="3"/>
  <c r="AT83" i="3" s="1"/>
  <c r="AQ83" i="3"/>
  <c r="AR83" i="3" s="1"/>
  <c r="AO83" i="3"/>
  <c r="AP83" i="3" s="1"/>
  <c r="AB83" i="3"/>
  <c r="AF83" i="3" s="1"/>
  <c r="AE83" i="3" s="1"/>
  <c r="Y83" i="3"/>
  <c r="AA83" i="3" s="1"/>
  <c r="T83" i="3"/>
  <c r="AJ83" i="3" s="1"/>
  <c r="O83" i="3"/>
  <c r="M83" i="3"/>
  <c r="M75" i="3" s="1"/>
  <c r="M74" i="3" s="1"/>
  <c r="M59" i="3" s="1"/>
  <c r="H83" i="3"/>
  <c r="AV82" i="3"/>
  <c r="AU82" i="3"/>
  <c r="AT82" i="3"/>
  <c r="AS82" i="3"/>
  <c r="AR82" i="3"/>
  <c r="AQ82" i="3"/>
  <c r="AP82" i="3"/>
  <c r="AO82" i="3"/>
  <c r="AJ82" i="3"/>
  <c r="AK82" i="3" s="1"/>
  <c r="Z82" i="3"/>
  <c r="AB82" i="3" s="1"/>
  <c r="Y82" i="3"/>
  <c r="AA82" i="3" s="1"/>
  <c r="S82" i="3"/>
  <c r="O82" i="3"/>
  <c r="AC82" i="3" s="1"/>
  <c r="M82" i="3"/>
  <c r="H82" i="3"/>
  <c r="AU81" i="3"/>
  <c r="AV81" i="3" s="1"/>
  <c r="AS81" i="3"/>
  <c r="AT81" i="3" s="1"/>
  <c r="AQ81" i="3"/>
  <c r="AR81" i="3" s="1"/>
  <c r="AO81" i="3"/>
  <c r="AP81" i="3" s="1"/>
  <c r="AJ81" i="3"/>
  <c r="AM81" i="3" s="1"/>
  <c r="Z81" i="3"/>
  <c r="Y81" i="3" s="1"/>
  <c r="AA81" i="3" s="1"/>
  <c r="S81" i="3"/>
  <c r="O81" i="3"/>
  <c r="AC81" i="3" s="1"/>
  <c r="M81" i="3"/>
  <c r="H81" i="3"/>
  <c r="AU80" i="3"/>
  <c r="AV80" i="3" s="1"/>
  <c r="AS80" i="3"/>
  <c r="AT80" i="3" s="1"/>
  <c r="AQ80" i="3"/>
  <c r="AR80" i="3" s="1"/>
  <c r="AO80" i="3"/>
  <c r="AP80" i="3" s="1"/>
  <c r="AJ80" i="3"/>
  <c r="AK80" i="3" s="1"/>
  <c r="Z80" i="3"/>
  <c r="S80" i="3"/>
  <c r="O80" i="3"/>
  <c r="M80" i="3"/>
  <c r="H80" i="3"/>
  <c r="AU79" i="3"/>
  <c r="AV79" i="3" s="1"/>
  <c r="AS79" i="3"/>
  <c r="AT79" i="3" s="1"/>
  <c r="AQ79" i="3"/>
  <c r="AR79" i="3" s="1"/>
  <c r="AO79" i="3"/>
  <c r="AP79" i="3" s="1"/>
  <c r="AJ79" i="3"/>
  <c r="AM79" i="3" s="1"/>
  <c r="Z79" i="3"/>
  <c r="Y79" i="3" s="1"/>
  <c r="W79" i="3"/>
  <c r="S79" i="3"/>
  <c r="O79" i="3"/>
  <c r="M79" i="3"/>
  <c r="H79" i="3"/>
  <c r="AU78" i="3"/>
  <c r="AV78" i="3" s="1"/>
  <c r="AS78" i="3"/>
  <c r="AT78" i="3" s="1"/>
  <c r="AQ78" i="3"/>
  <c r="AR78" i="3" s="1"/>
  <c r="AO78" i="3"/>
  <c r="AP78" i="3" s="1"/>
  <c r="AJ78" i="3"/>
  <c r="AM78" i="3" s="1"/>
  <c r="Z78" i="3"/>
  <c r="Y78" i="3" s="1"/>
  <c r="W78" i="3"/>
  <c r="S78" i="3"/>
  <c r="O78" i="3"/>
  <c r="M78" i="3"/>
  <c r="H78" i="3"/>
  <c r="AU77" i="3"/>
  <c r="AV77" i="3" s="1"/>
  <c r="AS77" i="3"/>
  <c r="AT77" i="3" s="1"/>
  <c r="AQ77" i="3"/>
  <c r="AR77" i="3" s="1"/>
  <c r="AO77" i="3"/>
  <c r="AP77" i="3" s="1"/>
  <c r="AJ77" i="3"/>
  <c r="AM77" i="3" s="1"/>
  <c r="Z77" i="3"/>
  <c r="Y77" i="3" s="1"/>
  <c r="S77" i="3"/>
  <c r="O77" i="3"/>
  <c r="M77" i="3"/>
  <c r="H77" i="3"/>
  <c r="AU76" i="3"/>
  <c r="AV76" i="3" s="1"/>
  <c r="AS76" i="3"/>
  <c r="AT76" i="3" s="1"/>
  <c r="AQ76" i="3"/>
  <c r="AR76" i="3" s="1"/>
  <c r="AO76" i="3"/>
  <c r="AP76" i="3" s="1"/>
  <c r="AJ76" i="3"/>
  <c r="AK76" i="3" s="1"/>
  <c r="Z76" i="3"/>
  <c r="AB76" i="3" s="1"/>
  <c r="W76" i="3"/>
  <c r="S76" i="3"/>
  <c r="O76" i="3"/>
  <c r="M76" i="3"/>
  <c r="G76" i="3"/>
  <c r="AV75" i="3"/>
  <c r="AT75" i="3"/>
  <c r="AR75" i="3"/>
  <c r="AP75" i="3"/>
  <c r="AH75" i="3"/>
  <c r="AH74" i="3" s="1"/>
  <c r="AG75" i="3"/>
  <c r="X75" i="3"/>
  <c r="X74" i="3" s="1"/>
  <c r="W75" i="3"/>
  <c r="W74" i="3" s="1"/>
  <c r="V75" i="3"/>
  <c r="U75" i="3"/>
  <c r="U74" i="3" s="1"/>
  <c r="T75" i="3"/>
  <c r="T74" i="3" s="1"/>
  <c r="T59" i="3" s="1"/>
  <c r="Q75" i="3"/>
  <c r="Q74" i="3" s="1"/>
  <c r="Q59" i="3" s="1"/>
  <c r="P75" i="3"/>
  <c r="P74" i="3" s="1"/>
  <c r="N75" i="3"/>
  <c r="N74" i="3" s="1"/>
  <c r="N59" i="3" s="1"/>
  <c r="L75" i="3"/>
  <c r="K75" i="3"/>
  <c r="K74" i="3" s="1"/>
  <c r="J75" i="3"/>
  <c r="J74" i="3" s="1"/>
  <c r="I75" i="3"/>
  <c r="I74" i="3" s="1"/>
  <c r="AV74" i="3"/>
  <c r="AT74" i="3"/>
  <c r="AR74" i="3"/>
  <c r="AP74" i="3"/>
  <c r="V74" i="3"/>
  <c r="L74" i="3"/>
  <c r="AU73" i="3"/>
  <c r="AV73" i="3" s="1"/>
  <c r="AS73" i="3"/>
  <c r="AT73" i="3" s="1"/>
  <c r="AQ73" i="3"/>
  <c r="AR73" i="3" s="1"/>
  <c r="AO73" i="3"/>
  <c r="AP73" i="3" s="1"/>
  <c r="AJ73" i="3"/>
  <c r="AK73" i="3" s="1"/>
  <c r="AB73" i="3"/>
  <c r="AF73" i="3" s="1"/>
  <c r="AE73" i="3" s="1"/>
  <c r="U73" i="3"/>
  <c r="AA73" i="3" s="1"/>
  <c r="S73" i="3"/>
  <c r="O73" i="3"/>
  <c r="M73" i="3"/>
  <c r="AU72" i="3"/>
  <c r="AV72" i="3" s="1"/>
  <c r="AS72" i="3"/>
  <c r="AT72" i="3" s="1"/>
  <c r="AQ72" i="3"/>
  <c r="AR72" i="3" s="1"/>
  <c r="AO72" i="3"/>
  <c r="AP72" i="3" s="1"/>
  <c r="AJ72" i="3"/>
  <c r="AM72" i="3" s="1"/>
  <c r="AB72" i="3"/>
  <c r="AF72" i="3" s="1"/>
  <c r="AE72" i="3" s="1"/>
  <c r="U72" i="3"/>
  <c r="AA72" i="3" s="1"/>
  <c r="S72" i="3"/>
  <c r="O72" i="3"/>
  <c r="AC72" i="3" s="1"/>
  <c r="M72" i="3"/>
  <c r="L72" i="3"/>
  <c r="I72" i="3"/>
  <c r="I61" i="3" s="1"/>
  <c r="I60" i="3" s="1"/>
  <c r="G72" i="3"/>
  <c r="G61" i="3" s="1"/>
  <c r="G60" i="3" s="1"/>
  <c r="AJ71" i="3"/>
  <c r="K71" i="3"/>
  <c r="I71" i="3"/>
  <c r="H71" i="3"/>
  <c r="AJ70" i="3"/>
  <c r="S70" i="3"/>
  <c r="O70" i="3"/>
  <c r="K70" i="3"/>
  <c r="I70" i="3"/>
  <c r="H70" i="3"/>
  <c r="AJ69" i="3"/>
  <c r="S69" i="3"/>
  <c r="O69" i="3"/>
  <c r="K69" i="3"/>
  <c r="I69" i="3"/>
  <c r="H69" i="3"/>
  <c r="AJ68" i="3"/>
  <c r="S68" i="3"/>
  <c r="O68" i="3"/>
  <c r="K68" i="3"/>
  <c r="I68" i="3"/>
  <c r="H68" i="3"/>
  <c r="AJ67" i="3"/>
  <c r="S67" i="3"/>
  <c r="O67" i="3"/>
  <c r="M67" i="3"/>
  <c r="AJ66" i="3"/>
  <c r="M66" i="3"/>
  <c r="AJ65" i="3"/>
  <c r="M65" i="3"/>
  <c r="AU64" i="3"/>
  <c r="AV64" i="3" s="1"/>
  <c r="AS64" i="3"/>
  <c r="AT64" i="3" s="1"/>
  <c r="AQ64" i="3"/>
  <c r="AR64" i="3" s="1"/>
  <c r="AB64" i="3"/>
  <c r="AF64" i="3" s="1"/>
  <c r="W64" i="3"/>
  <c r="W63" i="3" s="1"/>
  <c r="U64" i="3"/>
  <c r="T64" i="3"/>
  <c r="S64" i="3" s="1"/>
  <c r="S61" i="3" s="1"/>
  <c r="S60" i="3" s="1"/>
  <c r="P64" i="3"/>
  <c r="AO64" i="3" s="1"/>
  <c r="AP64" i="3" s="1"/>
  <c r="M64" i="3"/>
  <c r="AV63" i="3"/>
  <c r="AT63" i="3"/>
  <c r="AR63" i="3"/>
  <c r="AP63" i="3"/>
  <c r="AJ63" i="3"/>
  <c r="AH63" i="3"/>
  <c r="AG63" i="3"/>
  <c r="Z63" i="3"/>
  <c r="Y63" i="3"/>
  <c r="X63" i="3"/>
  <c r="V63" i="3"/>
  <c r="AV62" i="3"/>
  <c r="AT62" i="3"/>
  <c r="AR62" i="3"/>
  <c r="AP62" i="3"/>
  <c r="AJ62" i="3"/>
  <c r="AV61" i="3"/>
  <c r="AT61" i="3"/>
  <c r="AR61" i="3"/>
  <c r="AP61" i="3"/>
  <c r="AH61" i="3"/>
  <c r="AH60" i="3" s="1"/>
  <c r="AG61" i="3"/>
  <c r="AG60" i="3" s="1"/>
  <c r="Z61" i="3"/>
  <c r="Y61" i="3"/>
  <c r="Y60" i="3" s="1"/>
  <c r="X61" i="3"/>
  <c r="X60" i="3" s="1"/>
  <c r="X59" i="3" s="1"/>
  <c r="V61" i="3"/>
  <c r="R61" i="3"/>
  <c r="Q61" i="3"/>
  <c r="P61" i="3"/>
  <c r="P60" i="3" s="1"/>
  <c r="N61" i="3"/>
  <c r="N60" i="3" s="1"/>
  <c r="J61" i="3"/>
  <c r="J60" i="3" s="1"/>
  <c r="H61" i="3"/>
  <c r="H60" i="3" s="1"/>
  <c r="AV60" i="3"/>
  <c r="AT60" i="3"/>
  <c r="AR60" i="3"/>
  <c r="AP60" i="3"/>
  <c r="Z60" i="3"/>
  <c r="V60" i="3"/>
  <c r="AV59" i="3"/>
  <c r="AT59" i="3"/>
  <c r="AR59" i="3"/>
  <c r="AP59" i="3"/>
  <c r="S58" i="3"/>
  <c r="T58" i="3" s="1"/>
  <c r="AJ58" i="3" s="1"/>
  <c r="G58" i="3"/>
  <c r="AU57" i="3"/>
  <c r="AV57" i="3" s="1"/>
  <c r="AQ57" i="3"/>
  <c r="AR57" i="3" s="1"/>
  <c r="AO57" i="3"/>
  <c r="AP57" i="3" s="1"/>
  <c r="AJ57" i="3"/>
  <c r="AM57" i="3" s="1"/>
  <c r="AB57" i="3"/>
  <c r="AA57" i="3"/>
  <c r="S57" i="3"/>
  <c r="O57" i="3"/>
  <c r="AC57" i="3" s="1"/>
  <c r="G57" i="3"/>
  <c r="AU56" i="3"/>
  <c r="AV56" i="3" s="1"/>
  <c r="AQ56" i="3"/>
  <c r="AB56" i="3"/>
  <c r="AA56" i="3"/>
  <c r="P56" i="3"/>
  <c r="P46" i="3" s="1"/>
  <c r="G56" i="3"/>
  <c r="AU55" i="3"/>
  <c r="AV55" i="3" s="1"/>
  <c r="AS55" i="3"/>
  <c r="AT55" i="3" s="1"/>
  <c r="AQ55" i="3"/>
  <c r="AR55" i="3" s="1"/>
  <c r="AO55" i="3"/>
  <c r="AP55" i="3" s="1"/>
  <c r="AJ55" i="3"/>
  <c r="AB55" i="3"/>
  <c r="AA55" i="3"/>
  <c r="S55" i="3"/>
  <c r="O55" i="3"/>
  <c r="AC55" i="3" s="1"/>
  <c r="M55" i="3"/>
  <c r="G55" i="3"/>
  <c r="AH55" i="3" s="1"/>
  <c r="AG55" i="3" s="1"/>
  <c r="AU54" i="3"/>
  <c r="AV54" i="3" s="1"/>
  <c r="AS54" i="3"/>
  <c r="AT54" i="3" s="1"/>
  <c r="AQ54" i="3"/>
  <c r="AR54" i="3" s="1"/>
  <c r="AO54" i="3"/>
  <c r="AP54" i="3" s="1"/>
  <c r="AB54" i="3"/>
  <c r="AA54" i="3"/>
  <c r="T54" i="3"/>
  <c r="AJ54" i="3" s="1"/>
  <c r="O54" i="3"/>
  <c r="M54" i="3"/>
  <c r="G54" i="3"/>
  <c r="AH54" i="3" s="1"/>
  <c r="AG54" i="3" s="1"/>
  <c r="AU53" i="3"/>
  <c r="AV53" i="3" s="1"/>
  <c r="AS53" i="3"/>
  <c r="AT53" i="3" s="1"/>
  <c r="AQ53" i="3"/>
  <c r="AR53" i="3" s="1"/>
  <c r="AO53" i="3"/>
  <c r="AP53" i="3" s="1"/>
  <c r="AJ53" i="3"/>
  <c r="AK53" i="3" s="1"/>
  <c r="AB53" i="3"/>
  <c r="AA53" i="3"/>
  <c r="S53" i="3"/>
  <c r="O53" i="3"/>
  <c r="AC53" i="3" s="1"/>
  <c r="M53" i="3"/>
  <c r="G53" i="3"/>
  <c r="AH53" i="3" s="1"/>
  <c r="AG53" i="3" s="1"/>
  <c r="AU52" i="3"/>
  <c r="AV52" i="3" s="1"/>
  <c r="AS52" i="3"/>
  <c r="AT52" i="3" s="1"/>
  <c r="AQ52" i="3"/>
  <c r="AR52" i="3" s="1"/>
  <c r="AO52" i="3"/>
  <c r="AP52" i="3" s="1"/>
  <c r="AB52" i="3"/>
  <c r="AA52" i="3"/>
  <c r="T52" i="3"/>
  <c r="AJ52" i="3" s="1"/>
  <c r="O52" i="3"/>
  <c r="AC52" i="3" s="1"/>
  <c r="M52" i="3"/>
  <c r="G52" i="3"/>
  <c r="AH52" i="3" s="1"/>
  <c r="AG52" i="3" s="1"/>
  <c r="AU51" i="3"/>
  <c r="AV51" i="3" s="1"/>
  <c r="AS51" i="3"/>
  <c r="AT51" i="3" s="1"/>
  <c r="AQ51" i="3"/>
  <c r="AR51" i="3" s="1"/>
  <c r="AO51" i="3"/>
  <c r="AP51" i="3" s="1"/>
  <c r="AB51" i="3"/>
  <c r="AA51" i="3"/>
  <c r="T51" i="3"/>
  <c r="AJ51" i="3" s="1"/>
  <c r="O51" i="3"/>
  <c r="AC51" i="3" s="1"/>
  <c r="M51" i="3"/>
  <c r="G51" i="3"/>
  <c r="AH51" i="3" s="1"/>
  <c r="AG51" i="3" s="1"/>
  <c r="AU50" i="3"/>
  <c r="AV50" i="3" s="1"/>
  <c r="AS50" i="3"/>
  <c r="AT50" i="3" s="1"/>
  <c r="AQ50" i="3"/>
  <c r="AR50" i="3" s="1"/>
  <c r="AO50" i="3"/>
  <c r="AP50" i="3" s="1"/>
  <c r="AJ50" i="3"/>
  <c r="AM50" i="3" s="1"/>
  <c r="AB50" i="3"/>
  <c r="AA50" i="3"/>
  <c r="S50" i="3"/>
  <c r="O50" i="3"/>
  <c r="AC50" i="3" s="1"/>
  <c r="M50" i="3"/>
  <c r="AU49" i="3"/>
  <c r="AV49" i="3" s="1"/>
  <c r="AS49" i="3"/>
  <c r="AT49" i="3" s="1"/>
  <c r="AQ49" i="3"/>
  <c r="AR49" i="3" s="1"/>
  <c r="AO49" i="3"/>
  <c r="AP49" i="3" s="1"/>
  <c r="AJ49" i="3"/>
  <c r="AB49" i="3"/>
  <c r="AA49" i="3"/>
  <c r="S49" i="3"/>
  <c r="O49" i="3"/>
  <c r="AC49" i="3" s="1"/>
  <c r="M49" i="3"/>
  <c r="G49" i="3"/>
  <c r="AH49" i="3" s="1"/>
  <c r="AG49" i="3" s="1"/>
  <c r="AU48" i="3"/>
  <c r="AV48" i="3" s="1"/>
  <c r="AS48" i="3"/>
  <c r="AT48" i="3" s="1"/>
  <c r="AQ48" i="3"/>
  <c r="AR48" i="3" s="1"/>
  <c r="AO48" i="3"/>
  <c r="AP48" i="3" s="1"/>
  <c r="AB48" i="3"/>
  <c r="AA48" i="3"/>
  <c r="T48" i="3"/>
  <c r="AJ48" i="3" s="1"/>
  <c r="AK48" i="3" s="1"/>
  <c r="O48" i="3"/>
  <c r="M48" i="3"/>
  <c r="G48" i="3"/>
  <c r="AH48" i="3" s="1"/>
  <c r="AG48" i="3" s="1"/>
  <c r="AU47" i="3"/>
  <c r="AV47" i="3" s="1"/>
  <c r="AS47" i="3"/>
  <c r="AT47" i="3" s="1"/>
  <c r="AQ47" i="3"/>
  <c r="AR47" i="3" s="1"/>
  <c r="AO47" i="3"/>
  <c r="AP47" i="3" s="1"/>
  <c r="AJ47" i="3"/>
  <c r="AK47" i="3" s="1"/>
  <c r="AB47" i="3"/>
  <c r="AA47" i="3"/>
  <c r="S47" i="3"/>
  <c r="O47" i="3"/>
  <c r="AH47" i="3" s="1"/>
  <c r="M47" i="3"/>
  <c r="AV46" i="3"/>
  <c r="AT46" i="3"/>
  <c r="AR46" i="3"/>
  <c r="AP46" i="3"/>
  <c r="Z46" i="3"/>
  <c r="Y46" i="3"/>
  <c r="X46" i="3"/>
  <c r="W46" i="3"/>
  <c r="V46" i="3"/>
  <c r="U46" i="3"/>
  <c r="R46" i="3"/>
  <c r="Q46" i="3"/>
  <c r="N46" i="3"/>
  <c r="L46" i="3"/>
  <c r="K46" i="3"/>
  <c r="J46" i="3"/>
  <c r="I46" i="3"/>
  <c r="H46" i="3"/>
  <c r="AU45" i="3"/>
  <c r="AV45" i="3" s="1"/>
  <c r="AQ45" i="3"/>
  <c r="AR45" i="3" s="1"/>
  <c r="AO45" i="3"/>
  <c r="AP45" i="3" s="1"/>
  <c r="AJ45" i="3"/>
  <c r="AM45" i="3" s="1"/>
  <c r="AB45" i="3"/>
  <c r="AA45" i="3"/>
  <c r="S45" i="3"/>
  <c r="O45" i="3"/>
  <c r="AC45" i="3" s="1"/>
  <c r="G45" i="3"/>
  <c r="AU44" i="3"/>
  <c r="AV44" i="3" s="1"/>
  <c r="AQ44" i="3"/>
  <c r="AR44" i="3" s="1"/>
  <c r="AO44" i="3"/>
  <c r="AP44" i="3" s="1"/>
  <c r="AJ44" i="3"/>
  <c r="AM44" i="3" s="1"/>
  <c r="AB44" i="3"/>
  <c r="AA44" i="3"/>
  <c r="S44" i="3"/>
  <c r="O44" i="3"/>
  <c r="AC44" i="3" s="1"/>
  <c r="G44" i="3"/>
  <c r="AU43" i="3"/>
  <c r="AV43" i="3" s="1"/>
  <c r="AS43" i="3"/>
  <c r="AT43" i="3" s="1"/>
  <c r="AQ43" i="3"/>
  <c r="AR43" i="3" s="1"/>
  <c r="AO43" i="3"/>
  <c r="AP43" i="3" s="1"/>
  <c r="AJ43" i="3"/>
  <c r="AM43" i="3" s="1"/>
  <c r="AB43" i="3"/>
  <c r="AA43" i="3"/>
  <c r="S43" i="3"/>
  <c r="O43" i="3"/>
  <c r="AC43" i="3" s="1"/>
  <c r="M43" i="3"/>
  <c r="H43" i="3"/>
  <c r="AU42" i="3"/>
  <c r="AV42" i="3" s="1"/>
  <c r="AS42" i="3"/>
  <c r="AT42" i="3" s="1"/>
  <c r="AQ42" i="3"/>
  <c r="AR42" i="3" s="1"/>
  <c r="AO42" i="3"/>
  <c r="AP42" i="3" s="1"/>
  <c r="AJ42" i="3"/>
  <c r="AK42" i="3" s="1"/>
  <c r="AB42" i="3"/>
  <c r="AA42" i="3"/>
  <c r="S42" i="3"/>
  <c r="O42" i="3"/>
  <c r="AC42" i="3" s="1"/>
  <c r="M42" i="3"/>
  <c r="AU41" i="3"/>
  <c r="AV41" i="3" s="1"/>
  <c r="AS41" i="3"/>
  <c r="AT41" i="3" s="1"/>
  <c r="AQ41" i="3"/>
  <c r="AR41" i="3" s="1"/>
  <c r="AO41" i="3"/>
  <c r="AP41" i="3" s="1"/>
  <c r="AJ41" i="3"/>
  <c r="AK41" i="3" s="1"/>
  <c r="AB41" i="3"/>
  <c r="AA41" i="3"/>
  <c r="S41" i="3"/>
  <c r="O41" i="3"/>
  <c r="AC41" i="3" s="1"/>
  <c r="M41" i="3"/>
  <c r="AU40" i="3"/>
  <c r="AV40" i="3" s="1"/>
  <c r="AS40" i="3"/>
  <c r="AT40" i="3" s="1"/>
  <c r="AQ40" i="3"/>
  <c r="AR40" i="3" s="1"/>
  <c r="AO40" i="3"/>
  <c r="AP40" i="3" s="1"/>
  <c r="AJ40" i="3"/>
  <c r="AK40" i="3" s="1"/>
  <c r="AB40" i="3"/>
  <c r="AA40" i="3"/>
  <c r="S40" i="3"/>
  <c r="O40" i="3"/>
  <c r="AC40" i="3" s="1"/>
  <c r="M40" i="3"/>
  <c r="AU39" i="3"/>
  <c r="AV39" i="3" s="1"/>
  <c r="AS39" i="3"/>
  <c r="AT39" i="3" s="1"/>
  <c r="AQ39" i="3"/>
  <c r="AR39" i="3" s="1"/>
  <c r="AO39" i="3"/>
  <c r="AP39" i="3" s="1"/>
  <c r="AB39" i="3"/>
  <c r="AF39" i="3" s="1"/>
  <c r="AE39" i="3" s="1"/>
  <c r="W39" i="3"/>
  <c r="AA39" i="3" s="1"/>
  <c r="T39" i="3"/>
  <c r="AJ39" i="3" s="1"/>
  <c r="O39" i="3"/>
  <c r="AC39" i="3" s="1"/>
  <c r="M39" i="3"/>
  <c r="G39" i="3"/>
  <c r="AU38" i="3"/>
  <c r="AV38" i="3" s="1"/>
  <c r="AS38" i="3"/>
  <c r="AT38" i="3" s="1"/>
  <c r="AQ38" i="3"/>
  <c r="AR38" i="3" s="1"/>
  <c r="AO38" i="3"/>
  <c r="AP38" i="3" s="1"/>
  <c r="AJ38" i="3"/>
  <c r="AM38" i="3" s="1"/>
  <c r="AB38" i="3"/>
  <c r="AF38" i="3" s="1"/>
  <c r="AE38" i="3" s="1"/>
  <c r="W38" i="3"/>
  <c r="AA38" i="3" s="1"/>
  <c r="S38" i="3"/>
  <c r="O38" i="3"/>
  <c r="M38" i="3"/>
  <c r="H38" i="3"/>
  <c r="AU37" i="3"/>
  <c r="AV37" i="3" s="1"/>
  <c r="AS37" i="3"/>
  <c r="AT37" i="3" s="1"/>
  <c r="AQ37" i="3"/>
  <c r="AR37" i="3" s="1"/>
  <c r="AO37" i="3"/>
  <c r="AP37" i="3" s="1"/>
  <c r="AB37" i="3"/>
  <c r="AF37" i="3" s="1"/>
  <c r="AE37" i="3" s="1"/>
  <c r="W37" i="3"/>
  <c r="AA37" i="3" s="1"/>
  <c r="T37" i="3"/>
  <c r="AJ37" i="3" s="1"/>
  <c r="S37" i="3"/>
  <c r="O37" i="3"/>
  <c r="M37" i="3"/>
  <c r="G37" i="3"/>
  <c r="AV36" i="3"/>
  <c r="AU36" i="3"/>
  <c r="AT36" i="3"/>
  <c r="AS36" i="3"/>
  <c r="AR36" i="3"/>
  <c r="AQ36" i="3"/>
  <c r="AP36" i="3"/>
  <c r="AO36" i="3"/>
  <c r="AJ36" i="3"/>
  <c r="AK36" i="3" s="1"/>
  <c r="AB36" i="3"/>
  <c r="AF36" i="3" s="1"/>
  <c r="AE36" i="3" s="1"/>
  <c r="AA36" i="3"/>
  <c r="AC36" i="3" s="1"/>
  <c r="W36" i="3"/>
  <c r="S36" i="3"/>
  <c r="O36" i="3"/>
  <c r="M36" i="3"/>
  <c r="H36" i="3"/>
  <c r="AV35" i="3"/>
  <c r="AU35" i="3"/>
  <c r="AT35" i="3"/>
  <c r="AS35" i="3"/>
  <c r="AR35" i="3"/>
  <c r="AQ35" i="3"/>
  <c r="AP35" i="3"/>
  <c r="AO35" i="3"/>
  <c r="AB35" i="3"/>
  <c r="AF35" i="3" s="1"/>
  <c r="W35" i="3"/>
  <c r="AA35" i="3" s="1"/>
  <c r="T35" i="3"/>
  <c r="S35" i="3" s="1"/>
  <c r="O35" i="3"/>
  <c r="M35" i="3"/>
  <c r="G35" i="3"/>
  <c r="G33" i="3" s="1"/>
  <c r="AU34" i="3"/>
  <c r="AV34" i="3" s="1"/>
  <c r="AS34" i="3"/>
  <c r="AT34" i="3" s="1"/>
  <c r="AQ34" i="3"/>
  <c r="AR34" i="3" s="1"/>
  <c r="AO34" i="3"/>
  <c r="AP34" i="3" s="1"/>
  <c r="AJ34" i="3"/>
  <c r="AM34" i="3" s="1"/>
  <c r="AB34" i="3"/>
  <c r="W34" i="3"/>
  <c r="AA34" i="3" s="1"/>
  <c r="G34" i="3"/>
  <c r="AV33" i="3"/>
  <c r="AT33" i="3"/>
  <c r="AR33" i="3"/>
  <c r="AP33" i="3"/>
  <c r="AH33" i="3"/>
  <c r="AG33" i="3"/>
  <c r="AB33" i="3"/>
  <c r="Z33" i="3"/>
  <c r="Y33" i="3"/>
  <c r="Y32" i="3" s="1"/>
  <c r="X33" i="3"/>
  <c r="W33" i="3"/>
  <c r="W32" i="3" s="1"/>
  <c r="V33" i="3"/>
  <c r="U33" i="3"/>
  <c r="U32" i="3" s="1"/>
  <c r="R33" i="3"/>
  <c r="Q33" i="3"/>
  <c r="Q32" i="3" s="1"/>
  <c r="P33" i="3"/>
  <c r="N33" i="3"/>
  <c r="N32" i="3" s="1"/>
  <c r="L33" i="3"/>
  <c r="K33" i="3"/>
  <c r="J33" i="3"/>
  <c r="I33" i="3"/>
  <c r="H33" i="3"/>
  <c r="AV32" i="3"/>
  <c r="AT32" i="3"/>
  <c r="AR32" i="3"/>
  <c r="AP32" i="3"/>
  <c r="Z32" i="3"/>
  <c r="H32" i="3"/>
  <c r="AU31" i="3"/>
  <c r="AV31" i="3" s="1"/>
  <c r="AS31" i="3"/>
  <c r="AT31" i="3" s="1"/>
  <c r="AQ31" i="3"/>
  <c r="AR31" i="3" s="1"/>
  <c r="AO31" i="3"/>
  <c r="AP31" i="3" s="1"/>
  <c r="AJ31" i="3"/>
  <c r="AK31" i="3" s="1"/>
  <c r="AB31" i="3"/>
  <c r="AF31" i="3" s="1"/>
  <c r="AE31" i="3" s="1"/>
  <c r="W31" i="3"/>
  <c r="AA31" i="3" s="1"/>
  <c r="S31" i="3"/>
  <c r="O31" i="3"/>
  <c r="L31" i="3"/>
  <c r="I31" i="3"/>
  <c r="H31" i="3"/>
  <c r="AU30" i="3"/>
  <c r="AV30" i="3" s="1"/>
  <c r="AS30" i="3"/>
  <c r="AT30" i="3" s="1"/>
  <c r="AQ30" i="3"/>
  <c r="AR30" i="3" s="1"/>
  <c r="AO30" i="3"/>
  <c r="AP30" i="3" s="1"/>
  <c r="AJ30" i="3"/>
  <c r="AK30" i="3" s="1"/>
  <c r="AB30" i="3"/>
  <c r="AF30" i="3" s="1"/>
  <c r="AE30" i="3" s="1"/>
  <c r="Y30" i="3"/>
  <c r="W30" i="3"/>
  <c r="AU29" i="3"/>
  <c r="AV29" i="3" s="1"/>
  <c r="AS29" i="3"/>
  <c r="AT29" i="3" s="1"/>
  <c r="AQ29" i="3"/>
  <c r="AR29" i="3" s="1"/>
  <c r="AO29" i="3"/>
  <c r="AP29" i="3" s="1"/>
  <c r="AJ29" i="3"/>
  <c r="AM29" i="3" s="1"/>
  <c r="AB29" i="3"/>
  <c r="AF29" i="3" s="1"/>
  <c r="AE29" i="3" s="1"/>
  <c r="W29" i="3"/>
  <c r="AA29" i="3" s="1"/>
  <c r="S29" i="3"/>
  <c r="O29" i="3"/>
  <c r="AC29" i="3" s="1"/>
  <c r="M29" i="3"/>
  <c r="L29" i="3"/>
  <c r="K29" i="3" s="1"/>
  <c r="I29" i="3"/>
  <c r="H29" i="3"/>
  <c r="AU28" i="3"/>
  <c r="AV28" i="3" s="1"/>
  <c r="AS28" i="3"/>
  <c r="AT28" i="3" s="1"/>
  <c r="AQ28" i="3"/>
  <c r="AR28" i="3" s="1"/>
  <c r="AO28" i="3"/>
  <c r="AP28" i="3" s="1"/>
  <c r="AJ28" i="3"/>
  <c r="AK28" i="3" s="1"/>
  <c r="AB28" i="3"/>
  <c r="AF28" i="3" s="1"/>
  <c r="AE28" i="3" s="1"/>
  <c r="W28" i="3"/>
  <c r="AA28" i="3" s="1"/>
  <c r="S28" i="3"/>
  <c r="O28" i="3"/>
  <c r="M28" i="3"/>
  <c r="H28" i="3"/>
  <c r="AU27" i="3"/>
  <c r="AV27" i="3" s="1"/>
  <c r="AS27" i="3"/>
  <c r="AT27" i="3" s="1"/>
  <c r="AQ27" i="3"/>
  <c r="AR27" i="3" s="1"/>
  <c r="AO27" i="3"/>
  <c r="AP27" i="3" s="1"/>
  <c r="AJ27" i="3"/>
  <c r="AK27" i="3" s="1"/>
  <c r="AB27" i="3"/>
  <c r="AF27" i="3" s="1"/>
  <c r="AE27" i="3" s="1"/>
  <c r="AA27" i="3"/>
  <c r="AC27" i="3" s="1"/>
  <c r="H27" i="3"/>
  <c r="AU26" i="3"/>
  <c r="AS26" i="3"/>
  <c r="AT26" i="3" s="1"/>
  <c r="AQ26" i="3"/>
  <c r="AR26" i="3" s="1"/>
  <c r="AO26" i="3"/>
  <c r="AP26" i="3" s="1"/>
  <c r="AJ26" i="3"/>
  <c r="AM26" i="3" s="1"/>
  <c r="AB26" i="3"/>
  <c r="AF26" i="3" s="1"/>
  <c r="AA26" i="3"/>
  <c r="S26" i="3"/>
  <c r="O26" i="3"/>
  <c r="AC26" i="3" s="1"/>
  <c r="M26" i="3"/>
  <c r="L26" i="3"/>
  <c r="J26" i="3"/>
  <c r="J23" i="3" s="1"/>
  <c r="J22" i="3" s="1"/>
  <c r="J21" i="3" s="1"/>
  <c r="H26" i="3"/>
  <c r="AJ25" i="3"/>
  <c r="AJ24" i="3"/>
  <c r="AH23" i="3"/>
  <c r="AH22" i="3" s="1"/>
  <c r="AG23" i="3"/>
  <c r="AG22" i="3" s="1"/>
  <c r="Z23" i="3"/>
  <c r="Y23" i="3"/>
  <c r="Y22" i="3" s="1"/>
  <c r="X23" i="3"/>
  <c r="X22" i="3" s="1"/>
  <c r="W23" i="3"/>
  <c r="W22" i="3" s="1"/>
  <c r="V23" i="3"/>
  <c r="V22" i="3" s="1"/>
  <c r="U23" i="3"/>
  <c r="U22" i="3" s="1"/>
  <c r="T23" i="3"/>
  <c r="T22" i="3" s="1"/>
  <c r="R23" i="3"/>
  <c r="Q23" i="3"/>
  <c r="Q22" i="3" s="1"/>
  <c r="P23" i="3"/>
  <c r="N23" i="3"/>
  <c r="N22" i="3" s="1"/>
  <c r="G23" i="3"/>
  <c r="G22" i="3" s="1"/>
  <c r="Z22" i="3"/>
  <c r="R22" i="3"/>
  <c r="T19" i="3"/>
  <c r="AJ19" i="3" s="1"/>
  <c r="O19" i="3"/>
  <c r="M19" i="3"/>
  <c r="R37" i="6"/>
  <c r="R36" i="6"/>
  <c r="R35" i="6"/>
  <c r="R34" i="6"/>
  <c r="R33" i="6"/>
  <c r="R32" i="6"/>
  <c r="W31" i="6"/>
  <c r="Q31" i="6"/>
  <c r="J31" i="6"/>
  <c r="G31" i="6"/>
  <c r="I31" i="6" s="1"/>
  <c r="F31" i="6"/>
  <c r="H31" i="6" s="1"/>
  <c r="D31" i="6"/>
  <c r="W30" i="6"/>
  <c r="Q30" i="6"/>
  <c r="I30" i="6"/>
  <c r="H30" i="6"/>
  <c r="G30" i="6"/>
  <c r="F30" i="6"/>
  <c r="E30" i="6"/>
  <c r="D30" i="6"/>
  <c r="W29" i="6"/>
  <c r="J29" i="6"/>
  <c r="D29" i="6"/>
  <c r="W28" i="6"/>
  <c r="J28" i="6"/>
  <c r="D28" i="6"/>
  <c r="W27" i="6"/>
  <c r="Q27" i="6"/>
  <c r="I27" i="6"/>
  <c r="H27" i="6"/>
  <c r="H25" i="6" s="1"/>
  <c r="G27" i="6"/>
  <c r="G25" i="6" s="1"/>
  <c r="F27" i="6"/>
  <c r="E27" i="6"/>
  <c r="E25" i="6" s="1"/>
  <c r="D27" i="6"/>
  <c r="W26" i="6"/>
  <c r="J26" i="6"/>
  <c r="F26" i="6"/>
  <c r="D26" i="6"/>
  <c r="I25" i="6"/>
  <c r="C25" i="6"/>
  <c r="K24" i="6"/>
  <c r="W24" i="6" s="1"/>
  <c r="D24" i="6"/>
  <c r="U23" i="6"/>
  <c r="Q23" i="6"/>
  <c r="K23" i="6"/>
  <c r="I23" i="6"/>
  <c r="G23" i="6" s="1"/>
  <c r="H23" i="6"/>
  <c r="F23" i="6" s="1"/>
  <c r="E23" i="6"/>
  <c r="D23" i="6"/>
  <c r="Q22" i="6"/>
  <c r="K22" i="6"/>
  <c r="I22" i="6"/>
  <c r="G22" i="6" s="1"/>
  <c r="H22" i="6"/>
  <c r="F22" i="6" s="1"/>
  <c r="E22" i="6"/>
  <c r="D22" i="6"/>
  <c r="Q21" i="6"/>
  <c r="L21" i="6"/>
  <c r="K21" i="6"/>
  <c r="I21" i="6"/>
  <c r="G21" i="6" s="1"/>
  <c r="H21" i="6"/>
  <c r="F21" i="6" s="1"/>
  <c r="E21" i="6"/>
  <c r="D21" i="6"/>
  <c r="Q20" i="6"/>
  <c r="I20" i="6"/>
  <c r="H20" i="6"/>
  <c r="G20" i="6"/>
  <c r="E20" i="6"/>
  <c r="R20" i="6" s="1"/>
  <c r="D20" i="6"/>
  <c r="Q19" i="6"/>
  <c r="I19" i="6"/>
  <c r="H19" i="6"/>
  <c r="G19" i="6"/>
  <c r="F19" i="6"/>
  <c r="E19" i="6"/>
  <c r="D19" i="6"/>
  <c r="Q18" i="6"/>
  <c r="I18" i="6"/>
  <c r="G18" i="6" s="1"/>
  <c r="H18" i="6"/>
  <c r="F18" i="6" s="1"/>
  <c r="E18" i="6"/>
  <c r="D18" i="6"/>
  <c r="Q17" i="6"/>
  <c r="L17" i="6"/>
  <c r="I17" i="6"/>
  <c r="G17" i="6" s="1"/>
  <c r="H17" i="6"/>
  <c r="F17" i="6" s="1"/>
  <c r="E17" i="6"/>
  <c r="R17" i="6" s="1"/>
  <c r="D17" i="6"/>
  <c r="Q16" i="6"/>
  <c r="K16" i="6"/>
  <c r="I16" i="6"/>
  <c r="G16" i="6" s="1"/>
  <c r="H16" i="6"/>
  <c r="F16" i="6" s="1"/>
  <c r="E16" i="6"/>
  <c r="D16" i="6"/>
  <c r="Q15" i="6"/>
  <c r="N15" i="6"/>
  <c r="N14" i="6" s="1"/>
  <c r="N12" i="6" s="1"/>
  <c r="N11" i="6" s="1"/>
  <c r="I15" i="6"/>
  <c r="G15" i="6" s="1"/>
  <c r="H15" i="6"/>
  <c r="F15" i="6" s="1"/>
  <c r="E15" i="6"/>
  <c r="D15" i="6"/>
  <c r="M14" i="6"/>
  <c r="M12" i="6" s="1"/>
  <c r="M11" i="6" s="1"/>
  <c r="C14" i="6"/>
  <c r="L13" i="6"/>
  <c r="D13" i="6"/>
  <c r="P12" i="6"/>
  <c r="P11" i="6" s="1"/>
  <c r="C12" i="6"/>
  <c r="C11" i="6" s="1"/>
  <c r="AJ502" i="9"/>
  <c r="U502" i="9"/>
  <c r="S502" i="9"/>
  <c r="R502" i="9"/>
  <c r="O502" i="9"/>
  <c r="Q502" i="9" s="1"/>
  <c r="G502" i="9"/>
  <c r="AJ501" i="9"/>
  <c r="U501" i="9"/>
  <c r="S501" i="9"/>
  <c r="R501" i="9"/>
  <c r="O501" i="9"/>
  <c r="Q501" i="9" s="1"/>
  <c r="G501" i="9"/>
  <c r="AJ500" i="9"/>
  <c r="U500" i="9"/>
  <c r="S500" i="9"/>
  <c r="R500" i="9"/>
  <c r="O500" i="9"/>
  <c r="Q500" i="9" s="1"/>
  <c r="G500" i="9"/>
  <c r="AJ499" i="9"/>
  <c r="U499" i="9"/>
  <c r="S499" i="9"/>
  <c r="R499" i="9"/>
  <c r="O499" i="9"/>
  <c r="Q499" i="9" s="1"/>
  <c r="G499" i="9"/>
  <c r="U498" i="9"/>
  <c r="P498" i="9"/>
  <c r="P489" i="9" s="1"/>
  <c r="P488" i="9" s="1"/>
  <c r="N498" i="9"/>
  <c r="AJ498" i="9" s="1"/>
  <c r="G498" i="9"/>
  <c r="AJ497" i="9"/>
  <c r="Y497" i="9"/>
  <c r="U497" i="9"/>
  <c r="T497" i="9"/>
  <c r="R497" i="9"/>
  <c r="O497" i="9"/>
  <c r="M497" i="9"/>
  <c r="Y496" i="9"/>
  <c r="U496" i="9"/>
  <c r="O496" i="9"/>
  <c r="Q496" i="9" s="1"/>
  <c r="N496" i="9"/>
  <c r="T496" i="9" s="1"/>
  <c r="AJ495" i="9"/>
  <c r="Y495" i="9"/>
  <c r="U495" i="9"/>
  <c r="T495" i="9"/>
  <c r="R495" i="9"/>
  <c r="O495" i="9"/>
  <c r="M495" i="9"/>
  <c r="H495" i="9"/>
  <c r="AJ494" i="9"/>
  <c r="Y494" i="9"/>
  <c r="U494" i="9"/>
  <c r="S494" i="9"/>
  <c r="R494" i="9"/>
  <c r="O494" i="9"/>
  <c r="M494" i="9"/>
  <c r="H494" i="9"/>
  <c r="AJ493" i="9"/>
  <c r="Y493" i="9"/>
  <c r="U493" i="9"/>
  <c r="T493" i="9"/>
  <c r="R493" i="9"/>
  <c r="O493" i="9"/>
  <c r="M493" i="9"/>
  <c r="H493" i="9"/>
  <c r="AJ492" i="9"/>
  <c r="Y492" i="9"/>
  <c r="U492" i="9"/>
  <c r="T492" i="9"/>
  <c r="R492" i="9"/>
  <c r="O492" i="9"/>
  <c r="M492" i="9"/>
  <c r="H492" i="9"/>
  <c r="H489" i="9" s="1"/>
  <c r="H488" i="9" s="1"/>
  <c r="AJ491" i="9"/>
  <c r="Y491" i="9"/>
  <c r="W491" i="9"/>
  <c r="T491" i="9"/>
  <c r="R491" i="9"/>
  <c r="Q491" i="9"/>
  <c r="H491" i="9"/>
  <c r="AJ490" i="9"/>
  <c r="Y490" i="9"/>
  <c r="W490" i="9"/>
  <c r="T490" i="9"/>
  <c r="R490" i="9"/>
  <c r="Q490" i="9"/>
  <c r="H490" i="9"/>
  <c r="AH489" i="9"/>
  <c r="AG489" i="9"/>
  <c r="AG488" i="9" s="1"/>
  <c r="AF489" i="9"/>
  <c r="AF488" i="9" s="1"/>
  <c r="AE489" i="9"/>
  <c r="AE488" i="9" s="1"/>
  <c r="AD489" i="9"/>
  <c r="AD488" i="9" s="1"/>
  <c r="AC489" i="9"/>
  <c r="AC488" i="9" s="1"/>
  <c r="AB489" i="9"/>
  <c r="AB488" i="9" s="1"/>
  <c r="AA489" i="9"/>
  <c r="AA488" i="9" s="1"/>
  <c r="Z489" i="9"/>
  <c r="X489" i="9"/>
  <c r="X488" i="9" s="1"/>
  <c r="V489" i="9"/>
  <c r="V488" i="9" s="1"/>
  <c r="N489" i="9"/>
  <c r="AH488" i="9"/>
  <c r="Z488" i="9"/>
  <c r="AJ487" i="9"/>
  <c r="W487" i="9"/>
  <c r="T487" i="9"/>
  <c r="R487" i="9"/>
  <c r="Q487" i="9"/>
  <c r="L487" i="9"/>
  <c r="J487" i="9"/>
  <c r="H487" i="9"/>
  <c r="AJ486" i="9"/>
  <c r="Y486" i="9"/>
  <c r="W486" i="9"/>
  <c r="U486" i="9"/>
  <c r="T486" i="9"/>
  <c r="R486" i="9"/>
  <c r="O486" i="9"/>
  <c r="M486" i="9"/>
  <c r="H486" i="9"/>
  <c r="AJ485" i="9"/>
  <c r="W485" i="9"/>
  <c r="W480" i="9" s="1"/>
  <c r="W479" i="9" s="1"/>
  <c r="T485" i="9"/>
  <c r="R485" i="9"/>
  <c r="Q485" i="9"/>
  <c r="K485" i="9"/>
  <c r="I485" i="9"/>
  <c r="H485" i="9"/>
  <c r="AJ484" i="9"/>
  <c r="T484" i="9"/>
  <c r="R484" i="9"/>
  <c r="Q484" i="9"/>
  <c r="K484" i="9"/>
  <c r="I484" i="9"/>
  <c r="H484" i="9"/>
  <c r="AJ483" i="9"/>
  <c r="Y483" i="9"/>
  <c r="U483" i="9"/>
  <c r="U480" i="9" s="1"/>
  <c r="U479" i="9" s="1"/>
  <c r="T483" i="9"/>
  <c r="R483" i="9"/>
  <c r="R480" i="9" s="1"/>
  <c r="R479" i="9" s="1"/>
  <c r="O483" i="9"/>
  <c r="M483" i="9"/>
  <c r="Q483" i="9" s="1"/>
  <c r="K483" i="9"/>
  <c r="I483" i="9"/>
  <c r="I480" i="9" s="1"/>
  <c r="I479" i="9" s="1"/>
  <c r="I478" i="9" s="1"/>
  <c r="H483" i="9"/>
  <c r="AJ482" i="9"/>
  <c r="R482" i="9"/>
  <c r="T482" i="9" s="1"/>
  <c r="Q482" i="9"/>
  <c r="AJ481" i="9"/>
  <c r="R481" i="9"/>
  <c r="S481" i="9" s="1"/>
  <c r="Q481" i="9"/>
  <c r="AH480" i="9"/>
  <c r="AH479" i="9" s="1"/>
  <c r="AG480" i="9"/>
  <c r="AG479" i="9" s="1"/>
  <c r="AF480" i="9"/>
  <c r="AE480" i="9"/>
  <c r="AE479" i="9" s="1"/>
  <c r="AD480" i="9"/>
  <c r="AD479" i="9" s="1"/>
  <c r="AC480" i="9"/>
  <c r="AC479" i="9" s="1"/>
  <c r="AB480" i="9"/>
  <c r="AB479" i="9" s="1"/>
  <c r="AA480" i="9"/>
  <c r="AA479" i="9" s="1"/>
  <c r="Z480" i="9"/>
  <c r="Z479" i="9" s="1"/>
  <c r="Y480" i="9"/>
  <c r="Y479" i="9" s="1"/>
  <c r="X480" i="9"/>
  <c r="X479" i="9" s="1"/>
  <c r="V480" i="9"/>
  <c r="V479" i="9" s="1"/>
  <c r="S480" i="9"/>
  <c r="S479" i="9" s="1"/>
  <c r="P480" i="9"/>
  <c r="P479" i="9" s="1"/>
  <c r="N480" i="9"/>
  <c r="L480" i="9"/>
  <c r="L479" i="9" s="1"/>
  <c r="L478" i="9" s="1"/>
  <c r="J480" i="9"/>
  <c r="J479" i="9" s="1"/>
  <c r="J478" i="9" s="1"/>
  <c r="G480" i="9"/>
  <c r="AF479" i="9"/>
  <c r="G479" i="9"/>
  <c r="AJ477" i="9"/>
  <c r="U477" i="9"/>
  <c r="U466" i="9" s="1"/>
  <c r="U465" i="9" s="1"/>
  <c r="S477" i="9"/>
  <c r="R477" i="9"/>
  <c r="O477" i="9"/>
  <c r="Q477" i="9" s="1"/>
  <c r="H477" i="9"/>
  <c r="AJ476" i="9"/>
  <c r="R476" i="9"/>
  <c r="M476" i="9"/>
  <c r="Q476" i="9" s="1"/>
  <c r="H476" i="9"/>
  <c r="AJ475" i="9"/>
  <c r="R475" i="9"/>
  <c r="M475" i="9"/>
  <c r="Q475" i="9" s="1"/>
  <c r="H475" i="9"/>
  <c r="AJ474" i="9"/>
  <c r="R474" i="9"/>
  <c r="M474" i="9"/>
  <c r="Q474" i="9" s="1"/>
  <c r="H474" i="9"/>
  <c r="AJ473" i="9"/>
  <c r="T473" i="9"/>
  <c r="T466" i="9" s="1"/>
  <c r="T465" i="9" s="1"/>
  <c r="R473" i="9"/>
  <c r="M473" i="9"/>
  <c r="Q473" i="9" s="1"/>
  <c r="H473" i="9"/>
  <c r="AJ472" i="9"/>
  <c r="R472" i="9"/>
  <c r="M472" i="9"/>
  <c r="Q472" i="9" s="1"/>
  <c r="H472" i="9"/>
  <c r="AJ471" i="9"/>
  <c r="R471" i="9"/>
  <c r="M471" i="9"/>
  <c r="Q471" i="9" s="1"/>
  <c r="H471" i="9"/>
  <c r="AJ470" i="9"/>
  <c r="R470" i="9"/>
  <c r="M470" i="9"/>
  <c r="Q470" i="9" s="1"/>
  <c r="H470" i="9"/>
  <c r="AJ469" i="9"/>
  <c r="Y469" i="9"/>
  <c r="R469" i="9"/>
  <c r="M469" i="9"/>
  <c r="Q469" i="9" s="1"/>
  <c r="H469" i="9"/>
  <c r="AJ468" i="9"/>
  <c r="Y468" i="9"/>
  <c r="R468" i="9"/>
  <c r="M468" i="9"/>
  <c r="Q468" i="9" s="1"/>
  <c r="H468" i="9"/>
  <c r="AJ467" i="9"/>
  <c r="W467" i="9"/>
  <c r="W466" i="9" s="1"/>
  <c r="W465" i="9" s="1"/>
  <c r="R467" i="9"/>
  <c r="M467" i="9"/>
  <c r="Q467" i="9" s="1"/>
  <c r="H467" i="9"/>
  <c r="AH466" i="9"/>
  <c r="AG466" i="9"/>
  <c r="AF466" i="9"/>
  <c r="AE466" i="9"/>
  <c r="AD466" i="9"/>
  <c r="AC466" i="9"/>
  <c r="AB466" i="9"/>
  <c r="AA466" i="9"/>
  <c r="Z466" i="9"/>
  <c r="Z465" i="9" s="1"/>
  <c r="Y466" i="9"/>
  <c r="Y465" i="9" s="1"/>
  <c r="X466" i="9"/>
  <c r="V466" i="9"/>
  <c r="V465" i="9" s="1"/>
  <c r="V458" i="9" s="1"/>
  <c r="S466" i="9"/>
  <c r="S465" i="9" s="1"/>
  <c r="P466" i="9"/>
  <c r="P465" i="9" s="1"/>
  <c r="O466" i="9"/>
  <c r="N466" i="9"/>
  <c r="N465" i="9" s="1"/>
  <c r="L466" i="9"/>
  <c r="L465" i="9" s="1"/>
  <c r="K466" i="9"/>
  <c r="J466" i="9"/>
  <c r="J465" i="9" s="1"/>
  <c r="I466" i="9"/>
  <c r="G466" i="9"/>
  <c r="G465" i="9" s="1"/>
  <c r="X465" i="9"/>
  <c r="O465" i="9"/>
  <c r="K465" i="9"/>
  <c r="I465" i="9"/>
  <c r="AJ464" i="9"/>
  <c r="W464" i="9"/>
  <c r="R464" i="9"/>
  <c r="M464" i="9"/>
  <c r="K464" i="9"/>
  <c r="I464" i="9"/>
  <c r="I460" i="9" s="1"/>
  <c r="I459" i="9" s="1"/>
  <c r="I458" i="9" s="1"/>
  <c r="H464" i="9"/>
  <c r="H460" i="9" s="1"/>
  <c r="AJ463" i="9"/>
  <c r="W463" i="9"/>
  <c r="R463" i="9"/>
  <c r="R460" i="9" s="1"/>
  <c r="R459" i="9" s="1"/>
  <c r="Q463" i="9"/>
  <c r="AJ462" i="9"/>
  <c r="R462" i="9"/>
  <c r="T462" i="9" s="1"/>
  <c r="Q462" i="9"/>
  <c r="AJ461" i="9"/>
  <c r="R461" i="9"/>
  <c r="T461" i="9" s="1"/>
  <c r="Q461" i="9"/>
  <c r="Z460" i="9"/>
  <c r="Z459" i="9" s="1"/>
  <c r="Y460" i="9"/>
  <c r="Y459" i="9" s="1"/>
  <c r="X460" i="9"/>
  <c r="X459" i="9" s="1"/>
  <c r="V460" i="9"/>
  <c r="U460" i="9"/>
  <c r="U459" i="9" s="1"/>
  <c r="T460" i="9"/>
  <c r="T459" i="9" s="1"/>
  <c r="S460" i="9"/>
  <c r="P460" i="9"/>
  <c r="P459" i="9" s="1"/>
  <c r="O460" i="9"/>
  <c r="O459" i="9" s="1"/>
  <c r="N460" i="9"/>
  <c r="L460" i="9"/>
  <c r="L459" i="9" s="1"/>
  <c r="K460" i="9"/>
  <c r="K459" i="9" s="1"/>
  <c r="K458" i="9" s="1"/>
  <c r="J460" i="9"/>
  <c r="G460" i="9"/>
  <c r="G459" i="9" s="1"/>
  <c r="S459" i="9"/>
  <c r="N459" i="9"/>
  <c r="AJ459" i="9" s="1"/>
  <c r="J459" i="9"/>
  <c r="H459" i="9"/>
  <c r="Q457" i="9"/>
  <c r="N457" i="9"/>
  <c r="R457" i="9" s="1"/>
  <c r="M456" i="9"/>
  <c r="Q456" i="9" s="1"/>
  <c r="H456" i="9"/>
  <c r="G456" i="9"/>
  <c r="Q455" i="9"/>
  <c r="N455" i="9"/>
  <c r="AJ455" i="9" s="1"/>
  <c r="Y454" i="9"/>
  <c r="Q454" i="9"/>
  <c r="N454" i="9"/>
  <c r="AJ454" i="9" s="1"/>
  <c r="Y453" i="9"/>
  <c r="Q453" i="9"/>
  <c r="N453" i="9"/>
  <c r="AJ453" i="9" s="1"/>
  <c r="Y452" i="9"/>
  <c r="Q452" i="9"/>
  <c r="N452" i="9"/>
  <c r="AJ452" i="9" s="1"/>
  <c r="Y451" i="9"/>
  <c r="Q451" i="9"/>
  <c r="N451" i="9"/>
  <c r="AJ451" i="9" s="1"/>
  <c r="Y450" i="9"/>
  <c r="Q450" i="9"/>
  <c r="N450" i="9"/>
  <c r="AJ450" i="9" s="1"/>
  <c r="Q449" i="9"/>
  <c r="N449" i="9"/>
  <c r="R449" i="9" s="1"/>
  <c r="Q448" i="9"/>
  <c r="N448" i="9"/>
  <c r="R448" i="9" s="1"/>
  <c r="Q447" i="9"/>
  <c r="N447" i="9"/>
  <c r="R447" i="9" s="1"/>
  <c r="AJ446" i="9"/>
  <c r="R446" i="9"/>
  <c r="M446" i="9"/>
  <c r="Q446" i="9" s="1"/>
  <c r="Q445" i="9"/>
  <c r="N445" i="9"/>
  <c r="R445" i="9" s="1"/>
  <c r="Y444" i="9"/>
  <c r="Q444" i="9"/>
  <c r="N444" i="9"/>
  <c r="AJ443" i="9"/>
  <c r="Y443" i="9"/>
  <c r="R443" i="9"/>
  <c r="Q443" i="9"/>
  <c r="AJ442" i="9"/>
  <c r="W442" i="9"/>
  <c r="R442" i="9"/>
  <c r="Q442" i="9"/>
  <c r="AJ441" i="9"/>
  <c r="Y441" i="9"/>
  <c r="W441" i="9"/>
  <c r="R441" i="9"/>
  <c r="Q441" i="9"/>
  <c r="Z440" i="9"/>
  <c r="X440" i="9"/>
  <c r="X439" i="9" s="1"/>
  <c r="U440" i="9"/>
  <c r="T440" i="9"/>
  <c r="S440" i="9"/>
  <c r="P440" i="9"/>
  <c r="P439" i="9" s="1"/>
  <c r="O440" i="9"/>
  <c r="O439" i="9" s="1"/>
  <c r="H440" i="9"/>
  <c r="H439" i="9" s="1"/>
  <c r="G440" i="9"/>
  <c r="Z439" i="9"/>
  <c r="U439" i="9"/>
  <c r="AJ438" i="9"/>
  <c r="W438" i="9"/>
  <c r="R438" i="9"/>
  <c r="M438" i="9"/>
  <c r="Q438" i="9" s="1"/>
  <c r="AJ437" i="9"/>
  <c r="W437" i="9"/>
  <c r="R437" i="9"/>
  <c r="Q437" i="9"/>
  <c r="L437" i="9"/>
  <c r="L433" i="9" s="1"/>
  <c r="L432" i="9" s="1"/>
  <c r="L431" i="9" s="1"/>
  <c r="J437" i="9"/>
  <c r="AJ436" i="9"/>
  <c r="W436" i="9"/>
  <c r="W433" i="9" s="1"/>
  <c r="W432" i="9" s="1"/>
  <c r="R436" i="9"/>
  <c r="R433" i="9" s="1"/>
  <c r="R432" i="9" s="1"/>
  <c r="Q436" i="9"/>
  <c r="AJ435" i="9"/>
  <c r="R435" i="9"/>
  <c r="T435" i="9" s="1"/>
  <c r="Q435" i="9"/>
  <c r="AJ434" i="9"/>
  <c r="R434" i="9"/>
  <c r="T434" i="9" s="1"/>
  <c r="Q434" i="9"/>
  <c r="Z433" i="9"/>
  <c r="Y433" i="9"/>
  <c r="X433" i="9"/>
  <c r="U433" i="9"/>
  <c r="T433" i="9"/>
  <c r="S433" i="9"/>
  <c r="P433" i="9"/>
  <c r="O433" i="9"/>
  <c r="N433" i="9"/>
  <c r="AJ433" i="9" s="1"/>
  <c r="K433" i="9"/>
  <c r="J433" i="9"/>
  <c r="I433" i="9"/>
  <c r="H433" i="9"/>
  <c r="G433" i="9"/>
  <c r="Z432" i="9"/>
  <c r="Y432" i="9"/>
  <c r="X432" i="9"/>
  <c r="U432" i="9"/>
  <c r="T432" i="9"/>
  <c r="S432" i="9"/>
  <c r="P432" i="9"/>
  <c r="P431" i="9" s="1"/>
  <c r="O432" i="9"/>
  <c r="O431" i="9" s="1"/>
  <c r="N432" i="9"/>
  <c r="AJ432" i="9" s="1"/>
  <c r="K432" i="9"/>
  <c r="K431" i="9" s="1"/>
  <c r="J432" i="9"/>
  <c r="J431" i="9" s="1"/>
  <c r="I432" i="9"/>
  <c r="H432" i="9"/>
  <c r="G432" i="9"/>
  <c r="I431" i="9"/>
  <c r="V430" i="9"/>
  <c r="AJ430" i="9" s="1"/>
  <c r="R430" i="9"/>
  <c r="O430" i="9"/>
  <c r="Q430" i="9" s="1"/>
  <c r="G430" i="9"/>
  <c r="O429" i="9"/>
  <c r="O428" i="9" s="1"/>
  <c r="N429" i="9"/>
  <c r="R429" i="9" s="1"/>
  <c r="R428" i="9" s="1"/>
  <c r="G429" i="9"/>
  <c r="Z428" i="9"/>
  <c r="Y428" i="9"/>
  <c r="X428" i="9"/>
  <c r="W428" i="9"/>
  <c r="T428" i="9"/>
  <c r="S428" i="9"/>
  <c r="P428" i="9"/>
  <c r="L428" i="9"/>
  <c r="K428" i="9"/>
  <c r="J428" i="9"/>
  <c r="I428" i="9"/>
  <c r="H428" i="9"/>
  <c r="AJ427" i="9"/>
  <c r="U427" i="9"/>
  <c r="R427" i="9"/>
  <c r="O427" i="9"/>
  <c r="Q427" i="9" s="1"/>
  <c r="G427" i="9"/>
  <c r="V426" i="9"/>
  <c r="AJ426" i="9" s="1"/>
  <c r="R426" i="9"/>
  <c r="O426" i="9"/>
  <c r="Q426" i="9" s="1"/>
  <c r="G426" i="9"/>
  <c r="AJ425" i="9"/>
  <c r="Y425" i="9"/>
  <c r="U425" i="9"/>
  <c r="R425" i="9"/>
  <c r="O425" i="9"/>
  <c r="Q425" i="9" s="1"/>
  <c r="G425" i="9"/>
  <c r="Y424" i="9"/>
  <c r="V424" i="9"/>
  <c r="R424" i="9"/>
  <c r="M424" i="9"/>
  <c r="G424" i="9"/>
  <c r="AJ423" i="9"/>
  <c r="Y423" i="9"/>
  <c r="W423" i="9"/>
  <c r="U423" i="9"/>
  <c r="R423" i="9"/>
  <c r="O423" i="9"/>
  <c r="Q423" i="9" s="1"/>
  <c r="AJ422" i="9"/>
  <c r="W422" i="9"/>
  <c r="R422" i="9"/>
  <c r="Q422" i="9"/>
  <c r="AJ421" i="9"/>
  <c r="W421" i="9"/>
  <c r="U421" i="9"/>
  <c r="R421" i="9"/>
  <c r="O421" i="9"/>
  <c r="Q421" i="9" s="1"/>
  <c r="AH420" i="9"/>
  <c r="AG420" i="9"/>
  <c r="AG419" i="9" s="1"/>
  <c r="AG411" i="9" s="1"/>
  <c r="AF420" i="9"/>
  <c r="AF419" i="9" s="1"/>
  <c r="AF411" i="9" s="1"/>
  <c r="AE420" i="9"/>
  <c r="AE419" i="9" s="1"/>
  <c r="AE411" i="9" s="1"/>
  <c r="AD420" i="9"/>
  <c r="AC420" i="9"/>
  <c r="AC419" i="9" s="1"/>
  <c r="AC411" i="9" s="1"/>
  <c r="AB420" i="9"/>
  <c r="AB419" i="9" s="1"/>
  <c r="AB411" i="9" s="1"/>
  <c r="AA420" i="9"/>
  <c r="AA419" i="9" s="1"/>
  <c r="AA411" i="9" s="1"/>
  <c r="Z420" i="9"/>
  <c r="X420" i="9"/>
  <c r="X419" i="9" s="1"/>
  <c r="T420" i="9"/>
  <c r="S420" i="9"/>
  <c r="P420" i="9"/>
  <c r="N420" i="9"/>
  <c r="L420" i="9"/>
  <c r="L419" i="9" s="1"/>
  <c r="K420" i="9"/>
  <c r="J420" i="9"/>
  <c r="I420" i="9"/>
  <c r="H420" i="9"/>
  <c r="H419" i="9" s="1"/>
  <c r="AH419" i="9"/>
  <c r="AH411" i="9" s="1"/>
  <c r="AD419" i="9"/>
  <c r="AD411" i="9" s="1"/>
  <c r="S419" i="9"/>
  <c r="J419" i="9"/>
  <c r="AJ418" i="9"/>
  <c r="Y418" i="9"/>
  <c r="W418" i="9"/>
  <c r="R418" i="9"/>
  <c r="Q418" i="9"/>
  <c r="K418" i="9"/>
  <c r="L418" i="9" s="1"/>
  <c r="I418" i="9"/>
  <c r="AJ417" i="9"/>
  <c r="Y417" i="9"/>
  <c r="W417" i="9"/>
  <c r="U417" i="9"/>
  <c r="R417" i="9"/>
  <c r="O417" i="9"/>
  <c r="Q417" i="9" s="1"/>
  <c r="L417" i="9"/>
  <c r="J417" i="9"/>
  <c r="AJ416" i="9"/>
  <c r="W416" i="9"/>
  <c r="R416" i="9"/>
  <c r="R413" i="9" s="1"/>
  <c r="R412" i="9" s="1"/>
  <c r="Q416" i="9"/>
  <c r="AJ415" i="9"/>
  <c r="R415" i="9"/>
  <c r="T415" i="9" s="1"/>
  <c r="Q415" i="9"/>
  <c r="AJ414" i="9"/>
  <c r="R414" i="9"/>
  <c r="T414" i="9" s="1"/>
  <c r="Q414" i="9"/>
  <c r="AH413" i="9"/>
  <c r="AG413" i="9"/>
  <c r="AF413" i="9"/>
  <c r="AE413" i="9"/>
  <c r="AD413" i="9"/>
  <c r="AC413" i="9"/>
  <c r="AB413" i="9"/>
  <c r="AA413" i="9"/>
  <c r="Z413" i="9"/>
  <c r="X413" i="9"/>
  <c r="X412" i="9" s="1"/>
  <c r="V413" i="9"/>
  <c r="U413" i="9"/>
  <c r="U412" i="9" s="1"/>
  <c r="T413" i="9"/>
  <c r="T412" i="9" s="1"/>
  <c r="S413" i="9"/>
  <c r="S412" i="9" s="1"/>
  <c r="S411" i="9" s="1"/>
  <c r="P413" i="9"/>
  <c r="O413" i="9"/>
  <c r="O412" i="9" s="1"/>
  <c r="N413" i="9"/>
  <c r="AJ413" i="9" s="1"/>
  <c r="M413" i="9"/>
  <c r="M412" i="9" s="1"/>
  <c r="H413" i="9"/>
  <c r="H412" i="9" s="1"/>
  <c r="G413" i="9"/>
  <c r="Z412" i="9"/>
  <c r="V412" i="9"/>
  <c r="P412" i="9"/>
  <c r="G412" i="9"/>
  <c r="AJ410" i="9"/>
  <c r="U410" i="9"/>
  <c r="R410" i="9"/>
  <c r="O410" i="9"/>
  <c r="Q410" i="9" s="1"/>
  <c r="G410" i="9"/>
  <c r="AJ409" i="9"/>
  <c r="T409" i="9"/>
  <c r="R409" i="9"/>
  <c r="Q409" i="9"/>
  <c r="AJ408" i="9"/>
  <c r="T408" i="9"/>
  <c r="R408" i="9"/>
  <c r="Q408" i="9"/>
  <c r="AJ407" i="9"/>
  <c r="T407" i="9"/>
  <c r="R407" i="9"/>
  <c r="Q407" i="9"/>
  <c r="AJ406" i="9"/>
  <c r="U406" i="9"/>
  <c r="T406" i="9"/>
  <c r="O406" i="9"/>
  <c r="M406" i="9"/>
  <c r="AJ405" i="9"/>
  <c r="U405" i="9"/>
  <c r="T405" i="9"/>
  <c r="R405" i="9"/>
  <c r="O405" i="9"/>
  <c r="Q405" i="9" s="1"/>
  <c r="G405" i="9"/>
  <c r="AJ404" i="9"/>
  <c r="Y404" i="9"/>
  <c r="U404" i="9"/>
  <c r="T404" i="9"/>
  <c r="P404" i="9"/>
  <c r="M404" i="9"/>
  <c r="G404" i="9"/>
  <c r="AJ403" i="9"/>
  <c r="Y403" i="9"/>
  <c r="T403" i="9"/>
  <c r="R403" i="9"/>
  <c r="M403" i="9"/>
  <c r="Q403" i="9" s="1"/>
  <c r="AJ402" i="9"/>
  <c r="Y402" i="9"/>
  <c r="U402" i="9"/>
  <c r="T402" i="9"/>
  <c r="R402" i="9"/>
  <c r="O402" i="9"/>
  <c r="M402" i="9"/>
  <c r="AJ401" i="9"/>
  <c r="T401" i="9"/>
  <c r="R401" i="9"/>
  <c r="M401" i="9"/>
  <c r="Q401" i="9" s="1"/>
  <c r="AH400" i="9"/>
  <c r="AH399" i="9" s="1"/>
  <c r="AH398" i="9" s="1"/>
  <c r="AG400" i="9"/>
  <c r="AG399" i="9" s="1"/>
  <c r="AG398" i="9" s="1"/>
  <c r="AF400" i="9"/>
  <c r="AF399" i="9" s="1"/>
  <c r="AF398" i="9" s="1"/>
  <c r="AE400" i="9"/>
  <c r="AD400" i="9"/>
  <c r="AD399" i="9" s="1"/>
  <c r="AD398" i="9" s="1"/>
  <c r="AC400" i="9"/>
  <c r="AC399" i="9" s="1"/>
  <c r="AC398" i="9" s="1"/>
  <c r="AB400" i="9"/>
  <c r="AB399" i="9" s="1"/>
  <c r="AA400" i="9"/>
  <c r="Z400" i="9"/>
  <c r="Z399" i="9" s="1"/>
  <c r="Z398" i="9" s="1"/>
  <c r="X400" i="9"/>
  <c r="X399" i="9" s="1"/>
  <c r="X398" i="9" s="1"/>
  <c r="W400" i="9"/>
  <c r="W399" i="9" s="1"/>
  <c r="W398" i="9" s="1"/>
  <c r="V400" i="9"/>
  <c r="S400" i="9"/>
  <c r="S399" i="9" s="1"/>
  <c r="S398" i="9" s="1"/>
  <c r="N400" i="9"/>
  <c r="H400" i="9"/>
  <c r="H399" i="9" s="1"/>
  <c r="H398" i="9" s="1"/>
  <c r="AE399" i="9"/>
  <c r="AE398" i="9" s="1"/>
  <c r="AA399" i="9"/>
  <c r="AA398" i="9" s="1"/>
  <c r="V399" i="9"/>
  <c r="V398" i="9" s="1"/>
  <c r="N399" i="9"/>
  <c r="N398" i="9" s="1"/>
  <c r="AB398" i="9"/>
  <c r="V397" i="9"/>
  <c r="P397" i="9"/>
  <c r="T396" i="9"/>
  <c r="N396" i="9"/>
  <c r="M396" i="9"/>
  <c r="H396" i="9"/>
  <c r="G396" i="9"/>
  <c r="AJ395" i="9"/>
  <c r="U395" i="9"/>
  <c r="S395" i="9"/>
  <c r="R395" i="9"/>
  <c r="O395" i="9"/>
  <c r="Q395" i="9" s="1"/>
  <c r="G395" i="9"/>
  <c r="U394" i="9"/>
  <c r="O394" i="9"/>
  <c r="Q394" i="9" s="1"/>
  <c r="N394" i="9"/>
  <c r="AJ394" i="9" s="1"/>
  <c r="G394" i="9"/>
  <c r="AJ393" i="9"/>
  <c r="U393" i="9"/>
  <c r="T393" i="9"/>
  <c r="P393" i="9"/>
  <c r="M393" i="9"/>
  <c r="G393" i="9"/>
  <c r="Y392" i="9"/>
  <c r="V392" i="9"/>
  <c r="V386" i="9" s="1"/>
  <c r="N392" i="9"/>
  <c r="H392" i="9"/>
  <c r="AJ391" i="9"/>
  <c r="Y391" i="9"/>
  <c r="U391" i="9"/>
  <c r="T391" i="9"/>
  <c r="R391" i="9"/>
  <c r="Q391" i="9"/>
  <c r="AJ390" i="9"/>
  <c r="Y390" i="9"/>
  <c r="U390" i="9"/>
  <c r="T390" i="9"/>
  <c r="P390" i="9"/>
  <c r="O390" i="9" s="1"/>
  <c r="AJ389" i="9"/>
  <c r="Y389" i="9"/>
  <c r="U389" i="9"/>
  <c r="T389" i="9"/>
  <c r="R389" i="9"/>
  <c r="Q389" i="9"/>
  <c r="AJ388" i="9"/>
  <c r="Y388" i="9"/>
  <c r="W388" i="9"/>
  <c r="U388" i="9"/>
  <c r="T388" i="9"/>
  <c r="R388" i="9"/>
  <c r="O388" i="9"/>
  <c r="Q388" i="9" s="1"/>
  <c r="G388" i="9"/>
  <c r="AJ387" i="9"/>
  <c r="Y387" i="9"/>
  <c r="W387" i="9"/>
  <c r="W386" i="9" s="1"/>
  <c r="W385" i="9" s="1"/>
  <c r="U387" i="9"/>
  <c r="T387" i="9"/>
  <c r="R387" i="9"/>
  <c r="O387" i="9"/>
  <c r="Q387" i="9" s="1"/>
  <c r="G387" i="9"/>
  <c r="AH386" i="9"/>
  <c r="AH385" i="9" s="1"/>
  <c r="AG386" i="9"/>
  <c r="AG385" i="9" s="1"/>
  <c r="AF386" i="9"/>
  <c r="AF385" i="9" s="1"/>
  <c r="AE386" i="9"/>
  <c r="AE385" i="9" s="1"/>
  <c r="AD386" i="9"/>
  <c r="AD385" i="9" s="1"/>
  <c r="AC386" i="9"/>
  <c r="AB386" i="9"/>
  <c r="AB385" i="9" s="1"/>
  <c r="AA386" i="9"/>
  <c r="AA385" i="9" s="1"/>
  <c r="Z386" i="9"/>
  <c r="Z385" i="9" s="1"/>
  <c r="X386" i="9"/>
  <c r="X385" i="9" s="1"/>
  <c r="H386" i="9"/>
  <c r="AC385" i="9"/>
  <c r="Y384" i="9"/>
  <c r="W384" i="9"/>
  <c r="Q384" i="9"/>
  <c r="P384" i="9"/>
  <c r="N384" i="9"/>
  <c r="T384" i="9" s="1"/>
  <c r="T380" i="9" s="1"/>
  <c r="T379" i="9" s="1"/>
  <c r="H384" i="9"/>
  <c r="Y383" i="9"/>
  <c r="Y380" i="9" s="1"/>
  <c r="Y379" i="9" s="1"/>
  <c r="W383" i="9"/>
  <c r="U383" i="9"/>
  <c r="U380" i="9" s="1"/>
  <c r="U379" i="9" s="1"/>
  <c r="O383" i="9"/>
  <c r="Q383" i="9" s="1"/>
  <c r="N383" i="9"/>
  <c r="AJ383" i="9" s="1"/>
  <c r="G383" i="9"/>
  <c r="AJ382" i="9"/>
  <c r="R382" i="9"/>
  <c r="T382" i="9" s="1"/>
  <c r="Q382" i="9"/>
  <c r="AJ381" i="9"/>
  <c r="R381" i="9"/>
  <c r="T381" i="9" s="1"/>
  <c r="Q381" i="9"/>
  <c r="AH380" i="9"/>
  <c r="AG380" i="9"/>
  <c r="AF380" i="9"/>
  <c r="AE380" i="9"/>
  <c r="AD380" i="9"/>
  <c r="AC380" i="9"/>
  <c r="AB380" i="9"/>
  <c r="AA380" i="9"/>
  <c r="Z380" i="9"/>
  <c r="X380" i="9"/>
  <c r="W380" i="9"/>
  <c r="V380" i="9"/>
  <c r="P380" i="9"/>
  <c r="O380" i="9"/>
  <c r="N380" i="9"/>
  <c r="AJ380" i="9" s="1"/>
  <c r="M380" i="9"/>
  <c r="L380" i="9"/>
  <c r="K380" i="9"/>
  <c r="J380" i="9"/>
  <c r="I380" i="9"/>
  <c r="H380" i="9"/>
  <c r="G380" i="9"/>
  <c r="AH379" i="9"/>
  <c r="AG379" i="9"/>
  <c r="AF379" i="9"/>
  <c r="AF378" i="9" s="1"/>
  <c r="AE379" i="9"/>
  <c r="AD379" i="9"/>
  <c r="AD378" i="9" s="1"/>
  <c r="AC379" i="9"/>
  <c r="AB379" i="9"/>
  <c r="AB378" i="9" s="1"/>
  <c r="AA379" i="9"/>
  <c r="Z379" i="9"/>
  <c r="Z378" i="9" s="1"/>
  <c r="X379" i="9"/>
  <c r="W379" i="9"/>
  <c r="V379" i="9"/>
  <c r="P379" i="9"/>
  <c r="O379" i="9"/>
  <c r="N379" i="9"/>
  <c r="AJ379" i="9" s="1"/>
  <c r="M379" i="9"/>
  <c r="L379" i="9"/>
  <c r="L378" i="9" s="1"/>
  <c r="K379" i="9"/>
  <c r="J379" i="9"/>
  <c r="J378" i="9" s="1"/>
  <c r="I379" i="9"/>
  <c r="H379" i="9"/>
  <c r="G379" i="9"/>
  <c r="AH378" i="9"/>
  <c r="K378" i="9"/>
  <c r="I378" i="9"/>
  <c r="AJ377" i="9"/>
  <c r="T377" i="9"/>
  <c r="T376" i="9" s="1"/>
  <c r="R377" i="9"/>
  <c r="M377" i="9"/>
  <c r="Q377" i="9" s="1"/>
  <c r="G377" i="9"/>
  <c r="G376" i="9" s="1"/>
  <c r="AH376" i="9"/>
  <c r="AG376" i="9"/>
  <c r="AF376" i="9"/>
  <c r="AE376" i="9"/>
  <c r="AD376" i="9"/>
  <c r="AC376" i="9"/>
  <c r="AB376" i="9"/>
  <c r="AA376" i="9"/>
  <c r="Z376" i="9"/>
  <c r="Y376" i="9"/>
  <c r="X376" i="9"/>
  <c r="W376" i="9"/>
  <c r="U376" i="9"/>
  <c r="S376" i="9"/>
  <c r="P376" i="9"/>
  <c r="O376" i="9"/>
  <c r="N376" i="9"/>
  <c r="AJ376" i="9" s="1"/>
  <c r="H376" i="9"/>
  <c r="AJ375" i="9"/>
  <c r="U375" i="9"/>
  <c r="S375" i="9"/>
  <c r="R375" i="9"/>
  <c r="O375" i="9"/>
  <c r="Q375" i="9" s="1"/>
  <c r="G375" i="9"/>
  <c r="AJ374" i="9"/>
  <c r="U374" i="9"/>
  <c r="S374" i="9"/>
  <c r="R374" i="9"/>
  <c r="O374" i="9"/>
  <c r="Q374" i="9" s="1"/>
  <c r="H374" i="9"/>
  <c r="AJ373" i="9"/>
  <c r="U373" i="9"/>
  <c r="S373" i="9"/>
  <c r="P373" i="9"/>
  <c r="G373" i="9"/>
  <c r="AJ372" i="9"/>
  <c r="U372" i="9"/>
  <c r="S372" i="9"/>
  <c r="R372" i="9"/>
  <c r="O372" i="9"/>
  <c r="Q372" i="9" s="1"/>
  <c r="G372" i="9"/>
  <c r="AJ371" i="9"/>
  <c r="U371" i="9"/>
  <c r="S371" i="9"/>
  <c r="R371" i="9"/>
  <c r="O371" i="9"/>
  <c r="Q371" i="9" s="1"/>
  <c r="G371" i="9"/>
  <c r="AJ370" i="9"/>
  <c r="U370" i="9"/>
  <c r="S370" i="9"/>
  <c r="R370" i="9"/>
  <c r="O370" i="9"/>
  <c r="Q370" i="9" s="1"/>
  <c r="G370" i="9"/>
  <c r="AJ369" i="9"/>
  <c r="U369" i="9"/>
  <c r="S369" i="9"/>
  <c r="R369" i="9"/>
  <c r="O369" i="9"/>
  <c r="Q369" i="9" s="1"/>
  <c r="G369" i="9"/>
  <c r="AJ368" i="9"/>
  <c r="U368" i="9"/>
  <c r="S368" i="9"/>
  <c r="R368" i="9"/>
  <c r="O368" i="9"/>
  <c r="Q368" i="9" s="1"/>
  <c r="AJ367" i="9"/>
  <c r="U367" i="9"/>
  <c r="T367" i="9"/>
  <c r="R367" i="9"/>
  <c r="O367" i="9"/>
  <c r="M367" i="9"/>
  <c r="G367" i="9"/>
  <c r="AJ366" i="9"/>
  <c r="U366" i="9"/>
  <c r="P366" i="9"/>
  <c r="O366" i="9" s="1"/>
  <c r="M366" i="9"/>
  <c r="AJ365" i="9"/>
  <c r="W365" i="9"/>
  <c r="U365" i="9"/>
  <c r="T365" i="9"/>
  <c r="R365" i="9"/>
  <c r="O365" i="9"/>
  <c r="M365" i="9"/>
  <c r="G365" i="9"/>
  <c r="AJ364" i="9"/>
  <c r="W364" i="9"/>
  <c r="U364" i="9"/>
  <c r="S364" i="9"/>
  <c r="R364" i="9"/>
  <c r="O364" i="9"/>
  <c r="M364" i="9"/>
  <c r="AJ363" i="9"/>
  <c r="W363" i="9"/>
  <c r="U363" i="9"/>
  <c r="T363" i="9"/>
  <c r="R363" i="9"/>
  <c r="O363" i="9"/>
  <c r="M363" i="9"/>
  <c r="G363" i="9"/>
  <c r="AJ362" i="9"/>
  <c r="Y362" i="9"/>
  <c r="Y358" i="9" s="1"/>
  <c r="W362" i="9"/>
  <c r="U362" i="9"/>
  <c r="T362" i="9"/>
  <c r="R362" i="9"/>
  <c r="O362" i="9"/>
  <c r="M362" i="9"/>
  <c r="G362" i="9"/>
  <c r="AJ361" i="9"/>
  <c r="W361" i="9"/>
  <c r="U361" i="9"/>
  <c r="T361" i="9"/>
  <c r="R361" i="9"/>
  <c r="O361" i="9"/>
  <c r="M361" i="9"/>
  <c r="G361" i="9"/>
  <c r="AJ360" i="9"/>
  <c r="W360" i="9"/>
  <c r="U360" i="9"/>
  <c r="T360" i="9"/>
  <c r="R360" i="9"/>
  <c r="O360" i="9"/>
  <c r="M360" i="9"/>
  <c r="G360" i="9"/>
  <c r="AJ359" i="9"/>
  <c r="W359" i="9"/>
  <c r="U359" i="9"/>
  <c r="T359" i="9"/>
  <c r="R359" i="9"/>
  <c r="O359" i="9"/>
  <c r="M359" i="9"/>
  <c r="G359" i="9"/>
  <c r="AH358" i="9"/>
  <c r="AG358" i="9"/>
  <c r="AG357" i="9" s="1"/>
  <c r="AF358" i="9"/>
  <c r="AE358" i="9"/>
  <c r="AE357" i="9" s="1"/>
  <c r="AD358" i="9"/>
  <c r="AC358" i="9"/>
  <c r="AB358" i="9"/>
  <c r="AA358" i="9"/>
  <c r="AA357" i="9" s="1"/>
  <c r="Z358" i="9"/>
  <c r="X358" i="9"/>
  <c r="V358" i="9"/>
  <c r="V357" i="9" s="1"/>
  <c r="N358" i="9"/>
  <c r="N357" i="9" s="1"/>
  <c r="L358" i="9"/>
  <c r="L357" i="9" s="1"/>
  <c r="K358" i="9"/>
  <c r="K357" i="9" s="1"/>
  <c r="J358" i="9"/>
  <c r="J357" i="9" s="1"/>
  <c r="I358" i="9"/>
  <c r="I357" i="9" s="1"/>
  <c r="H358" i="9"/>
  <c r="AC357" i="9"/>
  <c r="AJ356" i="9"/>
  <c r="W356" i="9"/>
  <c r="U356" i="9"/>
  <c r="T356" i="9"/>
  <c r="R356" i="9"/>
  <c r="O356" i="9"/>
  <c r="M356" i="9"/>
  <c r="K356" i="9"/>
  <c r="I356" i="9"/>
  <c r="G356" i="9"/>
  <c r="AJ355" i="9"/>
  <c r="W355" i="9"/>
  <c r="U355" i="9"/>
  <c r="T355" i="9"/>
  <c r="R355" i="9"/>
  <c r="R351" i="9" s="1"/>
  <c r="R350" i="9" s="1"/>
  <c r="O355" i="9"/>
  <c r="M355" i="9"/>
  <c r="M351" i="9" s="1"/>
  <c r="M350" i="9" s="1"/>
  <c r="L355" i="9"/>
  <c r="K355" i="9" s="1"/>
  <c r="K351" i="9" s="1"/>
  <c r="K350" i="9" s="1"/>
  <c r="J355" i="9"/>
  <c r="G355" i="9"/>
  <c r="G351" i="9" s="1"/>
  <c r="G350" i="9" s="1"/>
  <c r="W354" i="9"/>
  <c r="U354" i="9"/>
  <c r="O354" i="9"/>
  <c r="N354" i="9"/>
  <c r="AJ353" i="9"/>
  <c r="R353" i="9"/>
  <c r="Q353" i="9"/>
  <c r="AJ352" i="9"/>
  <c r="R352" i="9"/>
  <c r="S352" i="9" s="1"/>
  <c r="Q352" i="9"/>
  <c r="AH351" i="9"/>
  <c r="AG351" i="9"/>
  <c r="AG350" i="9" s="1"/>
  <c r="AF351" i="9"/>
  <c r="AE351" i="9"/>
  <c r="AE350" i="9" s="1"/>
  <c r="AE349" i="9" s="1"/>
  <c r="AD351" i="9"/>
  <c r="AC351" i="9"/>
  <c r="AC350" i="9" s="1"/>
  <c r="AB351" i="9"/>
  <c r="AA351" i="9"/>
  <c r="AA350" i="9" s="1"/>
  <c r="Z351" i="9"/>
  <c r="Y351" i="9"/>
  <c r="Y350" i="9" s="1"/>
  <c r="X351" i="9"/>
  <c r="V351" i="9"/>
  <c r="V350" i="9" s="1"/>
  <c r="S351" i="9"/>
  <c r="P351" i="9"/>
  <c r="P350" i="9" s="1"/>
  <c r="H351" i="9"/>
  <c r="AH350" i="9"/>
  <c r="AF350" i="9"/>
  <c r="AD350" i="9"/>
  <c r="AB350" i="9"/>
  <c r="Z350" i="9"/>
  <c r="X350" i="9"/>
  <c r="S350" i="9"/>
  <c r="H350" i="9"/>
  <c r="AJ348" i="9"/>
  <c r="U348" i="9"/>
  <c r="S348" i="9"/>
  <c r="R348" i="9"/>
  <c r="O348" i="9"/>
  <c r="Q348" i="9" s="1"/>
  <c r="AJ347" i="9"/>
  <c r="U347" i="9"/>
  <c r="S347" i="9"/>
  <c r="R347" i="9"/>
  <c r="O347" i="9"/>
  <c r="Q347" i="9" s="1"/>
  <c r="G347" i="9"/>
  <c r="Q346" i="9"/>
  <c r="N346" i="9"/>
  <c r="T346" i="9" s="1"/>
  <c r="Q345" i="9"/>
  <c r="N345" i="9"/>
  <c r="AJ345" i="9" s="1"/>
  <c r="U344" i="9"/>
  <c r="O344" i="9"/>
  <c r="Q344" i="9" s="1"/>
  <c r="N344" i="9"/>
  <c r="R344" i="9" s="1"/>
  <c r="G344" i="9"/>
  <c r="Y343" i="9"/>
  <c r="U343" i="9"/>
  <c r="O343" i="9"/>
  <c r="Q343" i="9" s="1"/>
  <c r="N343" i="9"/>
  <c r="T343" i="9" s="1"/>
  <c r="Y342" i="9"/>
  <c r="U342" i="9"/>
  <c r="O342" i="9"/>
  <c r="Q342" i="9" s="1"/>
  <c r="N342" i="9"/>
  <c r="T342" i="9" s="1"/>
  <c r="Q341" i="9"/>
  <c r="N341" i="9"/>
  <c r="T341" i="9" s="1"/>
  <c r="U340" i="9"/>
  <c r="O340" i="9"/>
  <c r="Q340" i="9" s="1"/>
  <c r="N340" i="9"/>
  <c r="AJ340" i="9" s="1"/>
  <c r="Q339" i="9"/>
  <c r="N339" i="9"/>
  <c r="Y338" i="9"/>
  <c r="W338" i="9"/>
  <c r="U338" i="9"/>
  <c r="O338" i="9"/>
  <c r="Q338" i="9" s="1"/>
  <c r="N338" i="9"/>
  <c r="AJ338" i="9" s="1"/>
  <c r="Y337" i="9"/>
  <c r="W337" i="9"/>
  <c r="U337" i="9"/>
  <c r="O337" i="9"/>
  <c r="N337" i="9"/>
  <c r="R337" i="9" s="1"/>
  <c r="Y336" i="9"/>
  <c r="W336" i="9"/>
  <c r="U336" i="9"/>
  <c r="O336" i="9"/>
  <c r="Q336" i="9" s="1"/>
  <c r="N336" i="9"/>
  <c r="AJ336" i="9" s="1"/>
  <c r="Z335" i="9"/>
  <c r="Z334" i="9" s="1"/>
  <c r="Z333" i="9" s="1"/>
  <c r="X335" i="9"/>
  <c r="X334" i="9" s="1"/>
  <c r="X333" i="9" s="1"/>
  <c r="P335" i="9"/>
  <c r="P334" i="9" s="1"/>
  <c r="P333" i="9" s="1"/>
  <c r="M335" i="9"/>
  <c r="M334" i="9" s="1"/>
  <c r="M333" i="9" s="1"/>
  <c r="L335" i="9"/>
  <c r="L334" i="9" s="1"/>
  <c r="L333" i="9" s="1"/>
  <c r="K335" i="9"/>
  <c r="K334" i="9" s="1"/>
  <c r="K333" i="9" s="1"/>
  <c r="J335" i="9"/>
  <c r="J334" i="9" s="1"/>
  <c r="J333" i="9" s="1"/>
  <c r="I335" i="9"/>
  <c r="I334" i="9" s="1"/>
  <c r="I333" i="9" s="1"/>
  <c r="H335" i="9"/>
  <c r="H334" i="9" s="1"/>
  <c r="H333" i="9" s="1"/>
  <c r="G335" i="9"/>
  <c r="G334" i="9" s="1"/>
  <c r="G333" i="9" s="1"/>
  <c r="AH333" i="9"/>
  <c r="AG333" i="9"/>
  <c r="AF333" i="9"/>
  <c r="AE333" i="9"/>
  <c r="AD333" i="9"/>
  <c r="AC333" i="9"/>
  <c r="AB333" i="9"/>
  <c r="AA333" i="9"/>
  <c r="AJ332" i="9"/>
  <c r="U332" i="9"/>
  <c r="S332" i="9"/>
  <c r="P332" i="9"/>
  <c r="R332" i="9" s="1"/>
  <c r="G332" i="9"/>
  <c r="AJ331" i="9"/>
  <c r="U331" i="9"/>
  <c r="S331" i="9"/>
  <c r="P331" i="9"/>
  <c r="R331" i="9" s="1"/>
  <c r="G331" i="9"/>
  <c r="U330" i="9"/>
  <c r="O330" i="9"/>
  <c r="Q330" i="9" s="1"/>
  <c r="N330" i="9"/>
  <c r="R330" i="9" s="1"/>
  <c r="U329" i="9"/>
  <c r="O329" i="9"/>
  <c r="Q329" i="9" s="1"/>
  <c r="N329" i="9"/>
  <c r="AJ329" i="9" s="1"/>
  <c r="Y328" i="9"/>
  <c r="U328" i="9"/>
  <c r="O328" i="9"/>
  <c r="Q328" i="9" s="1"/>
  <c r="N328" i="9"/>
  <c r="T328" i="9" s="1"/>
  <c r="Y327" i="9"/>
  <c r="U327" i="9"/>
  <c r="P327" i="9"/>
  <c r="O327" i="9"/>
  <c r="Q327" i="9" s="1"/>
  <c r="N327" i="9"/>
  <c r="T327" i="9" s="1"/>
  <c r="Y326" i="9"/>
  <c r="Q326" i="9"/>
  <c r="N326" i="9"/>
  <c r="AJ326" i="9" s="1"/>
  <c r="AH325" i="9"/>
  <c r="AH324" i="9" s="1"/>
  <c r="AH317" i="9" s="1"/>
  <c r="AG325" i="9"/>
  <c r="AG324" i="9" s="1"/>
  <c r="AG317" i="9" s="1"/>
  <c r="AF325" i="9"/>
  <c r="AF324" i="9" s="1"/>
  <c r="AF317" i="9" s="1"/>
  <c r="AE325" i="9"/>
  <c r="AD325" i="9"/>
  <c r="AD324" i="9" s="1"/>
  <c r="AD317" i="9" s="1"/>
  <c r="AC325" i="9"/>
  <c r="AC324" i="9" s="1"/>
  <c r="AC317" i="9" s="1"/>
  <c r="AB325" i="9"/>
  <c r="AB324" i="9" s="1"/>
  <c r="AB317" i="9" s="1"/>
  <c r="AA325" i="9"/>
  <c r="AA324" i="9" s="1"/>
  <c r="AA317" i="9" s="1"/>
  <c r="Z325" i="9"/>
  <c r="Z324" i="9" s="1"/>
  <c r="Z317" i="9" s="1"/>
  <c r="X325" i="9"/>
  <c r="X324" i="9" s="1"/>
  <c r="W325" i="9"/>
  <c r="V325" i="9"/>
  <c r="V324" i="9" s="1"/>
  <c r="V317" i="9" s="1"/>
  <c r="M325" i="9"/>
  <c r="M324" i="9" s="1"/>
  <c r="L325" i="9"/>
  <c r="K325" i="9"/>
  <c r="K324" i="9" s="1"/>
  <c r="H325" i="9"/>
  <c r="H324" i="9" s="1"/>
  <c r="H317" i="9" s="1"/>
  <c r="G325" i="9"/>
  <c r="G324" i="9" s="1"/>
  <c r="G317" i="9" s="1"/>
  <c r="AE324" i="9"/>
  <c r="AE317" i="9" s="1"/>
  <c r="W324" i="9"/>
  <c r="L324" i="9"/>
  <c r="AJ323" i="9"/>
  <c r="W323" i="9"/>
  <c r="R323" i="9"/>
  <c r="M323" i="9"/>
  <c r="Q323" i="9" s="1"/>
  <c r="L323" i="9"/>
  <c r="L319" i="9" s="1"/>
  <c r="L318" i="9" s="1"/>
  <c r="J323" i="9"/>
  <c r="J319" i="9" s="1"/>
  <c r="J318" i="9" s="1"/>
  <c r="J317" i="9" s="1"/>
  <c r="H323" i="9"/>
  <c r="W322" i="9"/>
  <c r="W319" i="9" s="1"/>
  <c r="W318" i="9" s="1"/>
  <c r="W317" i="9" s="1"/>
  <c r="Q322" i="9"/>
  <c r="N322" i="9"/>
  <c r="K322" i="9"/>
  <c r="K319" i="9" s="1"/>
  <c r="K318" i="9" s="1"/>
  <c r="I322" i="9"/>
  <c r="I319" i="9" s="1"/>
  <c r="I318" i="9" s="1"/>
  <c r="I317" i="9" s="1"/>
  <c r="H322" i="9"/>
  <c r="H319" i="9" s="1"/>
  <c r="H318" i="9" s="1"/>
  <c r="AJ321" i="9"/>
  <c r="R321" i="9"/>
  <c r="T321" i="9" s="1"/>
  <c r="Q321" i="9"/>
  <c r="AJ320" i="9"/>
  <c r="R320" i="9"/>
  <c r="S320" i="9" s="1"/>
  <c r="Q320" i="9"/>
  <c r="X319" i="9"/>
  <c r="X318" i="9" s="1"/>
  <c r="U319" i="9"/>
  <c r="U318" i="9" s="1"/>
  <c r="T319" i="9"/>
  <c r="T318" i="9" s="1"/>
  <c r="S319" i="9"/>
  <c r="S318" i="9" s="1"/>
  <c r="P319" i="9"/>
  <c r="O319" i="9"/>
  <c r="O318" i="9" s="1"/>
  <c r="G319" i="9"/>
  <c r="G318" i="9" s="1"/>
  <c r="P318" i="9"/>
  <c r="U315" i="9"/>
  <c r="O315" i="9"/>
  <c r="Q315" i="9" s="1"/>
  <c r="N315" i="9"/>
  <c r="AJ315" i="9" s="1"/>
  <c r="AJ314" i="9"/>
  <c r="T314" i="9"/>
  <c r="R314" i="9"/>
  <c r="M314" i="9"/>
  <c r="Q314" i="9" s="1"/>
  <c r="AJ313" i="9"/>
  <c r="R313" i="9"/>
  <c r="Q313" i="9"/>
  <c r="AJ312" i="9"/>
  <c r="R312" i="9"/>
  <c r="Q312" i="9"/>
  <c r="AJ311" i="9"/>
  <c r="R311" i="9"/>
  <c r="Q311" i="9"/>
  <c r="AJ310" i="9"/>
  <c r="R310" i="9"/>
  <c r="Q310" i="9"/>
  <c r="AJ309" i="9"/>
  <c r="R309" i="9"/>
  <c r="Q309" i="9"/>
  <c r="AJ308" i="9"/>
  <c r="R308" i="9"/>
  <c r="Q308" i="9"/>
  <c r="AJ307" i="9"/>
  <c r="R307" i="9"/>
  <c r="Q307" i="9"/>
  <c r="AJ306" i="9"/>
  <c r="R306" i="9"/>
  <c r="Q306" i="9"/>
  <c r="AJ305" i="9"/>
  <c r="U305" i="9"/>
  <c r="R305" i="9"/>
  <c r="O305" i="9"/>
  <c r="M305" i="9"/>
  <c r="AJ304" i="9"/>
  <c r="Y304" i="9"/>
  <c r="U304" i="9"/>
  <c r="R304" i="9"/>
  <c r="O304" i="9"/>
  <c r="M304" i="9"/>
  <c r="AJ303" i="9"/>
  <c r="Y303" i="9"/>
  <c r="U303" i="9"/>
  <c r="R303" i="9"/>
  <c r="O303" i="9"/>
  <c r="M303" i="9"/>
  <c r="AH302" i="9"/>
  <c r="AG302" i="9"/>
  <c r="AF302" i="9"/>
  <c r="AE302" i="9"/>
  <c r="AD302" i="9"/>
  <c r="AC302" i="9"/>
  <c r="AB302" i="9"/>
  <c r="AA302" i="9"/>
  <c r="Z302" i="9"/>
  <c r="X302" i="9"/>
  <c r="W302" i="9"/>
  <c r="T302" i="9"/>
  <c r="S302" i="9"/>
  <c r="P302" i="9"/>
  <c r="O302" i="9"/>
  <c r="N302" i="9"/>
  <c r="AJ302" i="9" s="1"/>
  <c r="H302" i="9"/>
  <c r="G302" i="9"/>
  <c r="AJ301" i="9"/>
  <c r="U301" i="9"/>
  <c r="S301" i="9"/>
  <c r="AJ300" i="9"/>
  <c r="U300" i="9"/>
  <c r="S300" i="9"/>
  <c r="AJ299" i="9"/>
  <c r="U299" i="9"/>
  <c r="S299" i="9"/>
  <c r="AJ298" i="9"/>
  <c r="U298" i="9"/>
  <c r="S298" i="9"/>
  <c r="AJ297" i="9"/>
  <c r="U297" i="9"/>
  <c r="S297" i="9"/>
  <c r="AJ296" i="9"/>
  <c r="U296" i="9"/>
  <c r="S296" i="9"/>
  <c r="AJ295" i="9"/>
  <c r="U295" i="9"/>
  <c r="S295" i="9"/>
  <c r="AJ294" i="9"/>
  <c r="U294" i="9"/>
  <c r="S294" i="9"/>
  <c r="AJ293" i="9"/>
  <c r="U293" i="9"/>
  <c r="S293" i="9"/>
  <c r="AJ292" i="9"/>
  <c r="U292" i="9"/>
  <c r="S292" i="9"/>
  <c r="AJ291" i="9"/>
  <c r="U291" i="9"/>
  <c r="S291" i="9"/>
  <c r="AJ290" i="9"/>
  <c r="U290" i="9"/>
  <c r="S290" i="9"/>
  <c r="AJ289" i="9"/>
  <c r="U289" i="9"/>
  <c r="S289" i="9"/>
  <c r="AJ288" i="9"/>
  <c r="U288" i="9"/>
  <c r="S288" i="9"/>
  <c r="AJ287" i="9"/>
  <c r="U287" i="9"/>
  <c r="S287" i="9"/>
  <c r="AJ286" i="9"/>
  <c r="U286" i="9"/>
  <c r="S286" i="9"/>
  <c r="AJ285" i="9"/>
  <c r="U285" i="9"/>
  <c r="S285" i="9"/>
  <c r="AJ284" i="9"/>
  <c r="U284" i="9"/>
  <c r="S284" i="9"/>
  <c r="AJ283" i="9"/>
  <c r="U283" i="9"/>
  <c r="S283" i="9"/>
  <c r="AJ282" i="9"/>
  <c r="U282" i="9"/>
  <c r="S282" i="9"/>
  <c r="AJ281" i="9"/>
  <c r="U281" i="9"/>
  <c r="S281" i="9"/>
  <c r="AJ280" i="9"/>
  <c r="U280" i="9"/>
  <c r="S280" i="9"/>
  <c r="AJ279" i="9"/>
  <c r="U279" i="9"/>
  <c r="S279" i="9"/>
  <c r="AJ278" i="9"/>
  <c r="U278" i="9"/>
  <c r="R278" i="9"/>
  <c r="O278" i="9"/>
  <c r="Q278" i="9" s="1"/>
  <c r="G278" i="9"/>
  <c r="AJ277" i="9"/>
  <c r="U277" i="9"/>
  <c r="S277" i="9"/>
  <c r="R277" i="9"/>
  <c r="O277" i="9"/>
  <c r="Q277" i="9" s="1"/>
  <c r="H277" i="9"/>
  <c r="G277" i="9" s="1"/>
  <c r="AJ276" i="9"/>
  <c r="U276" i="9"/>
  <c r="S276" i="9"/>
  <c r="R276" i="9"/>
  <c r="O276" i="9"/>
  <c r="Q276" i="9" s="1"/>
  <c r="H276" i="9"/>
  <c r="G276" i="9" s="1"/>
  <c r="AJ275" i="9"/>
  <c r="U275" i="9"/>
  <c r="S275" i="9"/>
  <c r="R275" i="9"/>
  <c r="O275" i="9"/>
  <c r="Q275" i="9" s="1"/>
  <c r="H275" i="9"/>
  <c r="G275" i="9" s="1"/>
  <c r="AJ274" i="9"/>
  <c r="U274" i="9"/>
  <c r="S274" i="9"/>
  <c r="R274" i="9"/>
  <c r="O274" i="9"/>
  <c r="Q274" i="9" s="1"/>
  <c r="H274" i="9"/>
  <c r="G274" i="9" s="1"/>
  <c r="AJ273" i="9"/>
  <c r="U273" i="9"/>
  <c r="S273" i="9"/>
  <c r="R273" i="9"/>
  <c r="Q273" i="9"/>
  <c r="O273" i="9"/>
  <c r="G273" i="9"/>
  <c r="AJ272" i="9"/>
  <c r="U272" i="9"/>
  <c r="S272" i="9"/>
  <c r="R272" i="9"/>
  <c r="O272" i="9"/>
  <c r="Q272" i="9" s="1"/>
  <c r="G272" i="9"/>
  <c r="AJ271" i="9"/>
  <c r="U271" i="9"/>
  <c r="S271" i="9"/>
  <c r="R271" i="9"/>
  <c r="O271" i="9"/>
  <c r="Q271" i="9" s="1"/>
  <c r="G271" i="9"/>
  <c r="AJ270" i="9"/>
  <c r="U270" i="9"/>
  <c r="S270" i="9"/>
  <c r="R270" i="9"/>
  <c r="O270" i="9"/>
  <c r="Q270" i="9" s="1"/>
  <c r="G270" i="9"/>
  <c r="AJ269" i="9"/>
  <c r="U269" i="9"/>
  <c r="S269" i="9"/>
  <c r="R269" i="9"/>
  <c r="O269" i="9"/>
  <c r="Q269" i="9" s="1"/>
  <c r="G269" i="9"/>
  <c r="AJ268" i="9"/>
  <c r="U268" i="9"/>
  <c r="T268" i="9"/>
  <c r="R268" i="9"/>
  <c r="M268" i="9"/>
  <c r="Q268" i="9" s="1"/>
  <c r="H268" i="9"/>
  <c r="AJ267" i="9"/>
  <c r="U267" i="9"/>
  <c r="T267" i="9"/>
  <c r="R267" i="9"/>
  <c r="M267" i="9"/>
  <c r="Q267" i="9" s="1"/>
  <c r="H267" i="9"/>
  <c r="AJ266" i="9"/>
  <c r="U266" i="9"/>
  <c r="T266" i="9"/>
  <c r="R266" i="9"/>
  <c r="M266" i="9"/>
  <c r="Q266" i="9" s="1"/>
  <c r="H266" i="9"/>
  <c r="AJ265" i="9"/>
  <c r="U265" i="9"/>
  <c r="T265" i="9"/>
  <c r="R265" i="9"/>
  <c r="M265" i="9"/>
  <c r="Q265" i="9" s="1"/>
  <c r="H265" i="9"/>
  <c r="AJ264" i="9"/>
  <c r="U264" i="9"/>
  <c r="T264" i="9"/>
  <c r="R264" i="9"/>
  <c r="M264" i="9"/>
  <c r="Q264" i="9" s="1"/>
  <c r="H264" i="9"/>
  <c r="AJ263" i="9"/>
  <c r="U263" i="9"/>
  <c r="T263" i="9"/>
  <c r="R263" i="9"/>
  <c r="O263" i="9"/>
  <c r="M263" i="9"/>
  <c r="H263" i="9"/>
  <c r="AJ262" i="9"/>
  <c r="U262" i="9"/>
  <c r="T262" i="9"/>
  <c r="R262" i="9"/>
  <c r="M262" i="9"/>
  <c r="Q262" i="9" s="1"/>
  <c r="H262" i="9"/>
  <c r="AJ261" i="9"/>
  <c r="U261" i="9"/>
  <c r="T261" i="9"/>
  <c r="R261" i="9"/>
  <c r="M261" i="9"/>
  <c r="Q261" i="9" s="1"/>
  <c r="H261" i="9"/>
  <c r="AJ260" i="9"/>
  <c r="U260" i="9"/>
  <c r="T260" i="9"/>
  <c r="R260" i="9"/>
  <c r="M260" i="9"/>
  <c r="Q260" i="9" s="1"/>
  <c r="H260" i="9"/>
  <c r="AJ259" i="9"/>
  <c r="U259" i="9"/>
  <c r="T259" i="9"/>
  <c r="R259" i="9"/>
  <c r="M259" i="9"/>
  <c r="Q259" i="9" s="1"/>
  <c r="H259" i="9"/>
  <c r="AJ258" i="9"/>
  <c r="U258" i="9"/>
  <c r="T258" i="9"/>
  <c r="R258" i="9"/>
  <c r="M258" i="9"/>
  <c r="Q258" i="9" s="1"/>
  <c r="H258" i="9"/>
  <c r="AJ257" i="9"/>
  <c r="U257" i="9"/>
  <c r="T257" i="9"/>
  <c r="R257" i="9"/>
  <c r="M257" i="9"/>
  <c r="Q257" i="9" s="1"/>
  <c r="H257" i="9"/>
  <c r="AJ256" i="9"/>
  <c r="R256" i="9"/>
  <c r="M256" i="9"/>
  <c r="Q256" i="9" s="1"/>
  <c r="H256" i="9"/>
  <c r="AJ255" i="9"/>
  <c r="Y255" i="9"/>
  <c r="U255" i="9"/>
  <c r="T255" i="9"/>
  <c r="R255" i="9"/>
  <c r="O255" i="9"/>
  <c r="M255" i="9"/>
  <c r="G255" i="9"/>
  <c r="AJ254" i="9"/>
  <c r="Y254" i="9"/>
  <c r="U254" i="9"/>
  <c r="T254" i="9"/>
  <c r="R254" i="9"/>
  <c r="O254" i="9"/>
  <c r="M254" i="9"/>
  <c r="G254" i="9"/>
  <c r="AJ253" i="9"/>
  <c r="Y253" i="9"/>
  <c r="U253" i="9"/>
  <c r="T253" i="9"/>
  <c r="R253" i="9"/>
  <c r="O253" i="9"/>
  <c r="M253" i="9"/>
  <c r="G253" i="9"/>
  <c r="AJ252" i="9"/>
  <c r="Y252" i="9"/>
  <c r="U252" i="9"/>
  <c r="T252" i="9"/>
  <c r="R252" i="9"/>
  <c r="O252" i="9"/>
  <c r="M252" i="9"/>
  <c r="G252" i="9"/>
  <c r="AJ251" i="9"/>
  <c r="Y251" i="9"/>
  <c r="U251" i="9"/>
  <c r="T251" i="9"/>
  <c r="R251" i="9"/>
  <c r="M251" i="9"/>
  <c r="Q251" i="9" s="1"/>
  <c r="G251" i="9"/>
  <c r="AJ250" i="9"/>
  <c r="Y250" i="9"/>
  <c r="U250" i="9"/>
  <c r="T250" i="9"/>
  <c r="R250" i="9"/>
  <c r="M250" i="9"/>
  <c r="Q250" i="9" s="1"/>
  <c r="G250" i="9"/>
  <c r="AJ249" i="9"/>
  <c r="Y249" i="9"/>
  <c r="R249" i="9"/>
  <c r="M249" i="9"/>
  <c r="Q249" i="9" s="1"/>
  <c r="G249" i="9"/>
  <c r="AH248" i="9"/>
  <c r="AH247" i="9" s="1"/>
  <c r="AG248" i="9"/>
  <c r="AG247" i="9" s="1"/>
  <c r="AG246" i="9" s="1"/>
  <c r="AF248" i="9"/>
  <c r="AF247" i="9" s="1"/>
  <c r="AF246" i="9" s="1"/>
  <c r="AE248" i="9"/>
  <c r="AE247" i="9" s="1"/>
  <c r="AE246" i="9" s="1"/>
  <c r="AD248" i="9"/>
  <c r="AD247" i="9" s="1"/>
  <c r="AD246" i="9" s="1"/>
  <c r="AC248" i="9"/>
  <c r="AC247" i="9" s="1"/>
  <c r="AC246" i="9" s="1"/>
  <c r="AB248" i="9"/>
  <c r="AB247" i="9" s="1"/>
  <c r="AB246" i="9" s="1"/>
  <c r="AA248" i="9"/>
  <c r="AA247" i="9" s="1"/>
  <c r="AA246" i="9" s="1"/>
  <c r="Z248" i="9"/>
  <c r="Z247" i="9" s="1"/>
  <c r="X248" i="9"/>
  <c r="X247" i="9" s="1"/>
  <c r="X246" i="9" s="1"/>
  <c r="W248" i="9"/>
  <c r="W247" i="9" s="1"/>
  <c r="W246" i="9" s="1"/>
  <c r="V248" i="9"/>
  <c r="V247" i="9" s="1"/>
  <c r="V246" i="9" s="1"/>
  <c r="P248" i="9"/>
  <c r="P247" i="9" s="1"/>
  <c r="P246" i="9" s="1"/>
  <c r="N248" i="9"/>
  <c r="AH246" i="9"/>
  <c r="Z246" i="9"/>
  <c r="AJ245" i="9"/>
  <c r="S245" i="9"/>
  <c r="R245" i="9"/>
  <c r="O245" i="9"/>
  <c r="Q245" i="9" s="1"/>
  <c r="H245" i="9"/>
  <c r="AJ244" i="9"/>
  <c r="S244" i="9"/>
  <c r="Q244" i="9"/>
  <c r="P244" i="9"/>
  <c r="R244" i="9" s="1"/>
  <c r="H244" i="9"/>
  <c r="AJ243" i="9"/>
  <c r="S243" i="9"/>
  <c r="Q243" i="9"/>
  <c r="P243" i="9"/>
  <c r="R243" i="9" s="1"/>
  <c r="H243" i="9"/>
  <c r="AJ242" i="9"/>
  <c r="S242" i="9"/>
  <c r="Q242" i="9"/>
  <c r="P242" i="9"/>
  <c r="R242" i="9" s="1"/>
  <c r="H242" i="9"/>
  <c r="AJ241" i="9"/>
  <c r="S241" i="9"/>
  <c r="Q241" i="9"/>
  <c r="P241" i="9"/>
  <c r="R241" i="9" s="1"/>
  <c r="H241" i="9"/>
  <c r="AJ240" i="9"/>
  <c r="S240" i="9"/>
  <c r="Q240" i="9"/>
  <c r="P240" i="9"/>
  <c r="R240" i="9" s="1"/>
  <c r="H240" i="9"/>
  <c r="AJ239" i="9"/>
  <c r="S239" i="9"/>
  <c r="Q239" i="9"/>
  <c r="P239" i="9"/>
  <c r="R239" i="9" s="1"/>
  <c r="H239" i="9"/>
  <c r="AJ238" i="9"/>
  <c r="S238" i="9"/>
  <c r="Q238" i="9"/>
  <c r="P238" i="9"/>
  <c r="R238" i="9" s="1"/>
  <c r="H238" i="9"/>
  <c r="AJ237" i="9"/>
  <c r="S237" i="9"/>
  <c r="Q237" i="9"/>
  <c r="P237" i="9"/>
  <c r="R237" i="9" s="1"/>
  <c r="H237" i="9"/>
  <c r="AJ236" i="9"/>
  <c r="S236" i="9"/>
  <c r="Q236" i="9"/>
  <c r="P236" i="9"/>
  <c r="R236" i="9" s="1"/>
  <c r="H236" i="9"/>
  <c r="AJ235" i="9"/>
  <c r="S235" i="9"/>
  <c r="Q235" i="9"/>
  <c r="P235" i="9"/>
  <c r="R235" i="9" s="1"/>
  <c r="H235" i="9"/>
  <c r="AJ234" i="9"/>
  <c r="S234" i="9"/>
  <c r="Q234" i="9"/>
  <c r="P234" i="9"/>
  <c r="R234" i="9" s="1"/>
  <c r="H234" i="9"/>
  <c r="AJ233" i="9"/>
  <c r="S233" i="9"/>
  <c r="Q233" i="9"/>
  <c r="P233" i="9"/>
  <c r="R233" i="9" s="1"/>
  <c r="H233" i="9"/>
  <c r="AJ232" i="9"/>
  <c r="S232" i="9"/>
  <c r="Q232" i="9"/>
  <c r="P232" i="9"/>
  <c r="R232" i="9" s="1"/>
  <c r="H232" i="9"/>
  <c r="AJ231" i="9"/>
  <c r="S231" i="9"/>
  <c r="Q231" i="9"/>
  <c r="P231" i="9"/>
  <c r="R231" i="9" s="1"/>
  <c r="H231" i="9"/>
  <c r="AJ230" i="9"/>
  <c r="S230" i="9"/>
  <c r="Q230" i="9"/>
  <c r="P230" i="9"/>
  <c r="R230" i="9" s="1"/>
  <c r="H230" i="9"/>
  <c r="AJ229" i="9"/>
  <c r="S229" i="9"/>
  <c r="Q229" i="9"/>
  <c r="P229" i="9"/>
  <c r="R229" i="9" s="1"/>
  <c r="H229" i="9"/>
  <c r="AJ228" i="9"/>
  <c r="S228" i="9"/>
  <c r="Q228" i="9"/>
  <c r="P228" i="9"/>
  <c r="R228" i="9" s="1"/>
  <c r="H228" i="9"/>
  <c r="AJ227" i="9"/>
  <c r="S227" i="9"/>
  <c r="Q227" i="9"/>
  <c r="P227" i="9"/>
  <c r="R227" i="9" s="1"/>
  <c r="H227" i="9"/>
  <c r="AJ226" i="9"/>
  <c r="S226" i="9"/>
  <c r="Q226" i="9"/>
  <c r="P226" i="9"/>
  <c r="R226" i="9" s="1"/>
  <c r="H226" i="9"/>
  <c r="AJ225" i="9"/>
  <c r="S225" i="9"/>
  <c r="Q225" i="9"/>
  <c r="P225" i="9"/>
  <c r="R225" i="9" s="1"/>
  <c r="H225" i="9"/>
  <c r="AJ224" i="9"/>
  <c r="S224" i="9"/>
  <c r="Q224" i="9"/>
  <c r="P224" i="9"/>
  <c r="R224" i="9" s="1"/>
  <c r="H224" i="9"/>
  <c r="AJ223" i="9"/>
  <c r="S223" i="9"/>
  <c r="Q223" i="9"/>
  <c r="P223" i="9"/>
  <c r="R223" i="9" s="1"/>
  <c r="H223" i="9"/>
  <c r="AJ222" i="9"/>
  <c r="S222" i="9"/>
  <c r="Q222" i="9"/>
  <c r="P222" i="9"/>
  <c r="R222" i="9" s="1"/>
  <c r="H222" i="9"/>
  <c r="AJ221" i="9"/>
  <c r="S221" i="9"/>
  <c r="Q221" i="9"/>
  <c r="P221" i="9"/>
  <c r="R221" i="9" s="1"/>
  <c r="H221" i="9"/>
  <c r="AJ220" i="9"/>
  <c r="S220" i="9"/>
  <c r="Q220" i="9"/>
  <c r="P220" i="9"/>
  <c r="R220" i="9" s="1"/>
  <c r="H220" i="9"/>
  <c r="AJ219" i="9"/>
  <c r="S219" i="9"/>
  <c r="Q219" i="9"/>
  <c r="P219" i="9"/>
  <c r="R219" i="9" s="1"/>
  <c r="H219" i="9"/>
  <c r="AJ218" i="9"/>
  <c r="S218" i="9"/>
  <c r="Q218" i="9"/>
  <c r="P218" i="9"/>
  <c r="R218" i="9" s="1"/>
  <c r="H218" i="9"/>
  <c r="AJ217" i="9"/>
  <c r="S217" i="9"/>
  <c r="Q217" i="9"/>
  <c r="P217" i="9"/>
  <c r="R217" i="9" s="1"/>
  <c r="H217" i="9"/>
  <c r="AJ216" i="9"/>
  <c r="S216" i="9"/>
  <c r="Q216" i="9"/>
  <c r="P216" i="9"/>
  <c r="R216" i="9" s="1"/>
  <c r="H216" i="9"/>
  <c r="AJ215" i="9"/>
  <c r="S215" i="9"/>
  <c r="Q215" i="9"/>
  <c r="P215" i="9"/>
  <c r="R215" i="9" s="1"/>
  <c r="H215" i="9"/>
  <c r="AJ214" i="9"/>
  <c r="S214" i="9"/>
  <c r="Q214" i="9"/>
  <c r="P214" i="9"/>
  <c r="R214" i="9" s="1"/>
  <c r="H214" i="9"/>
  <c r="AJ213" i="9"/>
  <c r="S213" i="9"/>
  <c r="Q213" i="9"/>
  <c r="P213" i="9"/>
  <c r="R213" i="9" s="1"/>
  <c r="H213" i="9"/>
  <c r="AJ212" i="9"/>
  <c r="S212" i="9"/>
  <c r="Q212" i="9"/>
  <c r="P212" i="9"/>
  <c r="R212" i="9" s="1"/>
  <c r="H212" i="9"/>
  <c r="AJ211" i="9"/>
  <c r="S211" i="9"/>
  <c r="Q211" i="9"/>
  <c r="P211" i="9"/>
  <c r="R211" i="9" s="1"/>
  <c r="H211" i="9"/>
  <c r="AJ210" i="9"/>
  <c r="S210" i="9"/>
  <c r="Q210" i="9"/>
  <c r="P210" i="9"/>
  <c r="R210" i="9" s="1"/>
  <c r="H210" i="9"/>
  <c r="AJ209" i="9"/>
  <c r="S209" i="9"/>
  <c r="Q209" i="9"/>
  <c r="P209" i="9"/>
  <c r="R209" i="9" s="1"/>
  <c r="H209" i="9"/>
  <c r="AJ208" i="9"/>
  <c r="S208" i="9"/>
  <c r="Q208" i="9"/>
  <c r="P208" i="9"/>
  <c r="R208" i="9" s="1"/>
  <c r="H208" i="9"/>
  <c r="AJ207" i="9"/>
  <c r="S207" i="9"/>
  <c r="Q207" i="9"/>
  <c r="P207" i="9"/>
  <c r="R207" i="9" s="1"/>
  <c r="H207" i="9"/>
  <c r="AJ206" i="9"/>
  <c r="S206" i="9"/>
  <c r="Q206" i="9"/>
  <c r="P206" i="9"/>
  <c r="R206" i="9" s="1"/>
  <c r="H206" i="9"/>
  <c r="AJ205" i="9"/>
  <c r="S205" i="9"/>
  <c r="Q205" i="9"/>
  <c r="P205" i="9"/>
  <c r="R205" i="9" s="1"/>
  <c r="H205" i="9"/>
  <c r="AJ204" i="9"/>
  <c r="S204" i="9"/>
  <c r="Q204" i="9"/>
  <c r="P204" i="9"/>
  <c r="R204" i="9" s="1"/>
  <c r="H204" i="9"/>
  <c r="AJ203" i="9"/>
  <c r="S203" i="9"/>
  <c r="Q203" i="9"/>
  <c r="P203" i="9"/>
  <c r="R203" i="9" s="1"/>
  <c r="H203" i="9"/>
  <c r="AJ202" i="9"/>
  <c r="U202" i="9"/>
  <c r="S202" i="9"/>
  <c r="R202" i="9"/>
  <c r="O202" i="9"/>
  <c r="Q202" i="9" s="1"/>
  <c r="H202" i="9"/>
  <c r="AJ201" i="9"/>
  <c r="U201" i="9"/>
  <c r="S201" i="9"/>
  <c r="R201" i="9"/>
  <c r="O201" i="9"/>
  <c r="Q201" i="9" s="1"/>
  <c r="H201" i="9"/>
  <c r="AJ200" i="9"/>
  <c r="S200" i="9"/>
  <c r="R200" i="9"/>
  <c r="Q200" i="9"/>
  <c r="H200" i="9"/>
  <c r="AJ199" i="9"/>
  <c r="Y199" i="9"/>
  <c r="T199" i="9"/>
  <c r="P199" i="9"/>
  <c r="R199" i="9" s="1"/>
  <c r="M199" i="9"/>
  <c r="Q199" i="9" s="1"/>
  <c r="H199" i="9"/>
  <c r="AJ198" i="9"/>
  <c r="Y198" i="9"/>
  <c r="T198" i="9"/>
  <c r="P198" i="9"/>
  <c r="R198" i="9" s="1"/>
  <c r="M198" i="9"/>
  <c r="Q198" i="9" s="1"/>
  <c r="H198" i="9"/>
  <c r="AJ197" i="9"/>
  <c r="Y197" i="9"/>
  <c r="T197" i="9"/>
  <c r="P197" i="9"/>
  <c r="R197" i="9" s="1"/>
  <c r="M197" i="9"/>
  <c r="Q197" i="9" s="1"/>
  <c r="H197" i="9"/>
  <c r="AJ196" i="9"/>
  <c r="Y196" i="9"/>
  <c r="T196" i="9"/>
  <c r="P196" i="9"/>
  <c r="R196" i="9" s="1"/>
  <c r="M196" i="9"/>
  <c r="Q196" i="9" s="1"/>
  <c r="H196" i="9"/>
  <c r="AJ195" i="9"/>
  <c r="Y195" i="9"/>
  <c r="T195" i="9"/>
  <c r="P195" i="9"/>
  <c r="R195" i="9" s="1"/>
  <c r="M195" i="9"/>
  <c r="Q195" i="9" s="1"/>
  <c r="H195" i="9"/>
  <c r="AJ194" i="9"/>
  <c r="Y194" i="9"/>
  <c r="T194" i="9"/>
  <c r="P194" i="9"/>
  <c r="R194" i="9" s="1"/>
  <c r="M194" i="9"/>
  <c r="Q194" i="9" s="1"/>
  <c r="H194" i="9"/>
  <c r="AJ193" i="9"/>
  <c r="Y193" i="9"/>
  <c r="T193" i="9"/>
  <c r="Q193" i="9"/>
  <c r="P193" i="9"/>
  <c r="H193" i="9"/>
  <c r="AJ192" i="9"/>
  <c r="Y192" i="9"/>
  <c r="T192" i="9"/>
  <c r="P192" i="9"/>
  <c r="R192" i="9" s="1"/>
  <c r="M192" i="9"/>
  <c r="Q192" i="9" s="1"/>
  <c r="H192" i="9"/>
  <c r="AJ191" i="9"/>
  <c r="Y191" i="9"/>
  <c r="T191" i="9"/>
  <c r="P191" i="9"/>
  <c r="R191" i="9" s="1"/>
  <c r="M191" i="9"/>
  <c r="Q191" i="9" s="1"/>
  <c r="H191" i="9"/>
  <c r="AJ190" i="9"/>
  <c r="Y190" i="9"/>
  <c r="T190" i="9"/>
  <c r="P190" i="9"/>
  <c r="R190" i="9" s="1"/>
  <c r="M190" i="9"/>
  <c r="Q190" i="9" s="1"/>
  <c r="H190" i="9"/>
  <c r="AJ189" i="9"/>
  <c r="Y189" i="9"/>
  <c r="T189" i="9"/>
  <c r="P189" i="9"/>
  <c r="R189" i="9" s="1"/>
  <c r="M189" i="9"/>
  <c r="Q189" i="9" s="1"/>
  <c r="H189" i="9"/>
  <c r="AJ188" i="9"/>
  <c r="Y188" i="9"/>
  <c r="S188" i="9"/>
  <c r="P188" i="9"/>
  <c r="R188" i="9" s="1"/>
  <c r="M188" i="9"/>
  <c r="Q188" i="9" s="1"/>
  <c r="H188" i="9"/>
  <c r="AJ187" i="9"/>
  <c r="Y187" i="9"/>
  <c r="T187" i="9"/>
  <c r="P187" i="9"/>
  <c r="R187" i="9" s="1"/>
  <c r="M187" i="9"/>
  <c r="Q187" i="9" s="1"/>
  <c r="H187" i="9"/>
  <c r="AJ186" i="9"/>
  <c r="Y186" i="9"/>
  <c r="S186" i="9"/>
  <c r="P186" i="9"/>
  <c r="R186" i="9" s="1"/>
  <c r="M186" i="9"/>
  <c r="Q186" i="9" s="1"/>
  <c r="H186" i="9"/>
  <c r="AJ185" i="9"/>
  <c r="Y185" i="9"/>
  <c r="T185" i="9"/>
  <c r="P185" i="9"/>
  <c r="R185" i="9" s="1"/>
  <c r="M185" i="9"/>
  <c r="Q185" i="9" s="1"/>
  <c r="H185" i="9"/>
  <c r="AJ184" i="9"/>
  <c r="Y184" i="9"/>
  <c r="S184" i="9"/>
  <c r="P184" i="9"/>
  <c r="R184" i="9" s="1"/>
  <c r="M184" i="9"/>
  <c r="Q184" i="9" s="1"/>
  <c r="H184" i="9"/>
  <c r="AJ183" i="9"/>
  <c r="Y183" i="9"/>
  <c r="S183" i="9"/>
  <c r="P183" i="9"/>
  <c r="R183" i="9" s="1"/>
  <c r="M183" i="9"/>
  <c r="Q183" i="9" s="1"/>
  <c r="H183" i="9"/>
  <c r="AJ182" i="9"/>
  <c r="Y182" i="9"/>
  <c r="U182" i="9"/>
  <c r="S182" i="9"/>
  <c r="R182" i="9"/>
  <c r="O182" i="9"/>
  <c r="M182" i="9"/>
  <c r="H182" i="9"/>
  <c r="AJ181" i="9"/>
  <c r="Y181" i="9"/>
  <c r="U181" i="9"/>
  <c r="T181" i="9"/>
  <c r="R181" i="9"/>
  <c r="O181" i="9"/>
  <c r="M181" i="9"/>
  <c r="H181" i="9"/>
  <c r="AJ180" i="9"/>
  <c r="Y180" i="9"/>
  <c r="U180" i="9"/>
  <c r="T180" i="9"/>
  <c r="R180" i="9"/>
  <c r="O180" i="9"/>
  <c r="M180" i="9"/>
  <c r="G180" i="9"/>
  <c r="G139" i="9" s="1"/>
  <c r="G138" i="9" s="1"/>
  <c r="G137" i="9" s="1"/>
  <c r="H179" i="9"/>
  <c r="N179" i="9" s="1"/>
  <c r="AJ178" i="9"/>
  <c r="T178" i="9"/>
  <c r="R178" i="9"/>
  <c r="M178" i="9"/>
  <c r="Q178" i="9" s="1"/>
  <c r="H178" i="9"/>
  <c r="H177" i="9"/>
  <c r="N177" i="9" s="1"/>
  <c r="AJ177" i="9" s="1"/>
  <c r="H176" i="9"/>
  <c r="N176" i="9" s="1"/>
  <c r="AJ175" i="9"/>
  <c r="Y175" i="9"/>
  <c r="W175" i="9"/>
  <c r="U175" i="9"/>
  <c r="T175" i="9"/>
  <c r="R175" i="9"/>
  <c r="O175" i="9"/>
  <c r="M175" i="9"/>
  <c r="H175" i="9"/>
  <c r="AJ174" i="9"/>
  <c r="Y174" i="9"/>
  <c r="W174" i="9"/>
  <c r="U174" i="9"/>
  <c r="T174" i="9"/>
  <c r="R174" i="9"/>
  <c r="O174" i="9"/>
  <c r="M174" i="9"/>
  <c r="H174" i="9"/>
  <c r="AJ173" i="9"/>
  <c r="Y173" i="9"/>
  <c r="W173" i="9"/>
  <c r="U173" i="9"/>
  <c r="T173" i="9"/>
  <c r="R173" i="9"/>
  <c r="O173" i="9"/>
  <c r="M173" i="9"/>
  <c r="H173" i="9"/>
  <c r="AJ172" i="9"/>
  <c r="Y172" i="9"/>
  <c r="W172" i="9"/>
  <c r="U172" i="9"/>
  <c r="T172" i="9"/>
  <c r="R172" i="9"/>
  <c r="O172" i="9"/>
  <c r="M172" i="9"/>
  <c r="H172" i="9"/>
  <c r="AJ171" i="9"/>
  <c r="Y171" i="9"/>
  <c r="W171" i="9"/>
  <c r="U171" i="9"/>
  <c r="T171" i="9"/>
  <c r="R171" i="9"/>
  <c r="O171" i="9"/>
  <c r="M171" i="9"/>
  <c r="H171" i="9"/>
  <c r="AJ170" i="9"/>
  <c r="Y170" i="9"/>
  <c r="W170" i="9"/>
  <c r="U170" i="9"/>
  <c r="T170" i="9"/>
  <c r="R170" i="9"/>
  <c r="O170" i="9"/>
  <c r="M170" i="9"/>
  <c r="H170" i="9"/>
  <c r="AJ169" i="9"/>
  <c r="Y169" i="9"/>
  <c r="W169" i="9"/>
  <c r="U169" i="9"/>
  <c r="T169" i="9"/>
  <c r="R169" i="9"/>
  <c r="O169" i="9"/>
  <c r="M169" i="9"/>
  <c r="H169" i="9"/>
  <c r="AJ168" i="9"/>
  <c r="Y168" i="9"/>
  <c r="W168" i="9"/>
  <c r="U168" i="9"/>
  <c r="T168" i="9"/>
  <c r="R168" i="9"/>
  <c r="O168" i="9"/>
  <c r="M168" i="9"/>
  <c r="H168" i="9"/>
  <c r="AJ167" i="9"/>
  <c r="Y167" i="9"/>
  <c r="W167" i="9"/>
  <c r="U167" i="9"/>
  <c r="T167" i="9"/>
  <c r="R167" i="9"/>
  <c r="O167" i="9"/>
  <c r="M167" i="9"/>
  <c r="H167" i="9"/>
  <c r="AJ166" i="9"/>
  <c r="Y166" i="9"/>
  <c r="W166" i="9"/>
  <c r="U166" i="9"/>
  <c r="T166" i="9"/>
  <c r="R166" i="9"/>
  <c r="O166" i="9"/>
  <c r="M166" i="9"/>
  <c r="H166" i="9"/>
  <c r="AJ165" i="9"/>
  <c r="Y165" i="9"/>
  <c r="W165" i="9"/>
  <c r="U165" i="9"/>
  <c r="T165" i="9"/>
  <c r="R165" i="9"/>
  <c r="O165" i="9"/>
  <c r="M165" i="9"/>
  <c r="H165" i="9"/>
  <c r="AJ164" i="9"/>
  <c r="Y164" i="9"/>
  <c r="W164" i="9"/>
  <c r="R164" i="9"/>
  <c r="M164" i="9"/>
  <c r="Q164" i="9" s="1"/>
  <c r="H164" i="9"/>
  <c r="AJ163" i="9"/>
  <c r="Y163" i="9"/>
  <c r="W163" i="9"/>
  <c r="U163" i="9"/>
  <c r="T163" i="9"/>
  <c r="R163" i="9"/>
  <c r="O163" i="9"/>
  <c r="M163" i="9"/>
  <c r="H163" i="9"/>
  <c r="AJ162" i="9"/>
  <c r="Y162" i="9"/>
  <c r="W162" i="9"/>
  <c r="R162" i="9"/>
  <c r="M162" i="9"/>
  <c r="Q162" i="9" s="1"/>
  <c r="H162" i="9"/>
  <c r="AJ161" i="9"/>
  <c r="Y161" i="9"/>
  <c r="W161" i="9"/>
  <c r="U161" i="9"/>
  <c r="S161" i="9"/>
  <c r="R161" i="9"/>
  <c r="O161" i="9"/>
  <c r="M161" i="9"/>
  <c r="H161" i="9"/>
  <c r="AJ160" i="9"/>
  <c r="Y160" i="9"/>
  <c r="W160" i="9"/>
  <c r="U160" i="9"/>
  <c r="T160" i="9"/>
  <c r="R160" i="9"/>
  <c r="O160" i="9"/>
  <c r="M160" i="9"/>
  <c r="H160" i="9"/>
  <c r="AJ159" i="9"/>
  <c r="Y159" i="9"/>
  <c r="W159" i="9"/>
  <c r="R159" i="9"/>
  <c r="M159" i="9"/>
  <c r="Q159" i="9" s="1"/>
  <c r="H159" i="9"/>
  <c r="AJ158" i="9"/>
  <c r="Y158" i="9"/>
  <c r="W158" i="9"/>
  <c r="U158" i="9"/>
  <c r="T158" i="9"/>
  <c r="R158" i="9"/>
  <c r="O158" i="9"/>
  <c r="M158" i="9"/>
  <c r="H158" i="9"/>
  <c r="AJ157" i="9"/>
  <c r="Y157" i="9"/>
  <c r="W157" i="9"/>
  <c r="R157" i="9"/>
  <c r="M157" i="9"/>
  <c r="Q157" i="9" s="1"/>
  <c r="H157" i="9"/>
  <c r="AJ156" i="9"/>
  <c r="Y156" i="9"/>
  <c r="W156" i="9"/>
  <c r="R156" i="9"/>
  <c r="M156" i="9"/>
  <c r="Q156" i="9" s="1"/>
  <c r="H156" i="9"/>
  <c r="AJ155" i="9"/>
  <c r="Y155" i="9"/>
  <c r="W155" i="9"/>
  <c r="R155" i="9"/>
  <c r="M155" i="9"/>
  <c r="Q155" i="9" s="1"/>
  <c r="H155" i="9"/>
  <c r="AJ154" i="9"/>
  <c r="Y154" i="9"/>
  <c r="W154" i="9"/>
  <c r="U154" i="9"/>
  <c r="T154" i="9"/>
  <c r="R154" i="9"/>
  <c r="O154" i="9"/>
  <c r="M154" i="9"/>
  <c r="H154" i="9"/>
  <c r="AJ153" i="9"/>
  <c r="Y153" i="9"/>
  <c r="W153" i="9"/>
  <c r="T153" i="9"/>
  <c r="R153" i="9"/>
  <c r="M153" i="9"/>
  <c r="Q153" i="9" s="1"/>
  <c r="H153" i="9"/>
  <c r="AJ152" i="9"/>
  <c r="Y152" i="9"/>
  <c r="W152" i="9"/>
  <c r="U152" i="9"/>
  <c r="T152" i="9"/>
  <c r="R152" i="9"/>
  <c r="O152" i="9"/>
  <c r="M152" i="9"/>
  <c r="H152" i="9"/>
  <c r="AJ151" i="9"/>
  <c r="Y151" i="9"/>
  <c r="W151" i="9"/>
  <c r="R151" i="9"/>
  <c r="M151" i="9"/>
  <c r="Q151" i="9" s="1"/>
  <c r="H151" i="9"/>
  <c r="AJ150" i="9"/>
  <c r="Y150" i="9"/>
  <c r="W150" i="9"/>
  <c r="R150" i="9"/>
  <c r="M150" i="9"/>
  <c r="Q150" i="9" s="1"/>
  <c r="H150" i="9"/>
  <c r="AJ149" i="9"/>
  <c r="Y149" i="9"/>
  <c r="W149" i="9"/>
  <c r="U149" i="9"/>
  <c r="T149" i="9"/>
  <c r="R149" i="9"/>
  <c r="O149" i="9"/>
  <c r="M149" i="9"/>
  <c r="H149" i="9"/>
  <c r="AJ148" i="9"/>
  <c r="Y148" i="9"/>
  <c r="W148" i="9"/>
  <c r="R148" i="9"/>
  <c r="M148" i="9"/>
  <c r="Q148" i="9" s="1"/>
  <c r="H148" i="9"/>
  <c r="AJ147" i="9"/>
  <c r="Y147" i="9"/>
  <c r="W147" i="9"/>
  <c r="R147" i="9"/>
  <c r="M147" i="9"/>
  <c r="Q147" i="9" s="1"/>
  <c r="H147" i="9"/>
  <c r="AJ146" i="9"/>
  <c r="Y146" i="9"/>
  <c r="W146" i="9"/>
  <c r="T146" i="9"/>
  <c r="R146" i="9"/>
  <c r="M146" i="9"/>
  <c r="Q146" i="9" s="1"/>
  <c r="H146" i="9"/>
  <c r="AJ145" i="9"/>
  <c r="Y145" i="9"/>
  <c r="W145" i="9"/>
  <c r="U145" i="9"/>
  <c r="T145" i="9"/>
  <c r="R145" i="9"/>
  <c r="O145" i="9"/>
  <c r="M145" i="9"/>
  <c r="H145" i="9"/>
  <c r="AJ144" i="9"/>
  <c r="Y144" i="9"/>
  <c r="W144" i="9"/>
  <c r="U144" i="9"/>
  <c r="T144" i="9"/>
  <c r="R144" i="9"/>
  <c r="O144" i="9"/>
  <c r="M144" i="9"/>
  <c r="H144" i="9"/>
  <c r="AJ143" i="9"/>
  <c r="Y143" i="9"/>
  <c r="W143" i="9"/>
  <c r="R143" i="9"/>
  <c r="M143" i="9"/>
  <c r="Q143" i="9" s="1"/>
  <c r="H143" i="9"/>
  <c r="AJ142" i="9"/>
  <c r="Y142" i="9"/>
  <c r="W142" i="9"/>
  <c r="R142" i="9"/>
  <c r="M142" i="9"/>
  <c r="Q142" i="9" s="1"/>
  <c r="H142" i="9"/>
  <c r="AJ141" i="9"/>
  <c r="Y141" i="9"/>
  <c r="W141" i="9"/>
  <c r="U141" i="9"/>
  <c r="T141" i="9"/>
  <c r="R141" i="9"/>
  <c r="O141" i="9"/>
  <c r="M141" i="9"/>
  <c r="H141" i="9"/>
  <c r="AJ140" i="9"/>
  <c r="Y140" i="9"/>
  <c r="W140" i="9"/>
  <c r="R140" i="9"/>
  <c r="M140" i="9"/>
  <c r="Q140" i="9" s="1"/>
  <c r="H140" i="9"/>
  <c r="AH139" i="9"/>
  <c r="AH138" i="9" s="1"/>
  <c r="AG139" i="9"/>
  <c r="AF139" i="9"/>
  <c r="AF138" i="9" s="1"/>
  <c r="AF137" i="9" s="1"/>
  <c r="AE139" i="9"/>
  <c r="AE138" i="9" s="1"/>
  <c r="AE137" i="9" s="1"/>
  <c r="AD139" i="9"/>
  <c r="AD138" i="9" s="1"/>
  <c r="AD137" i="9" s="1"/>
  <c r="AC139" i="9"/>
  <c r="AC138" i="9" s="1"/>
  <c r="AC137" i="9" s="1"/>
  <c r="AB139" i="9"/>
  <c r="AB138" i="9" s="1"/>
  <c r="AB137" i="9" s="1"/>
  <c r="AA139" i="9"/>
  <c r="AA138" i="9" s="1"/>
  <c r="AA137" i="9" s="1"/>
  <c r="Z139" i="9"/>
  <c r="Z138" i="9" s="1"/>
  <c r="Z137" i="9" s="1"/>
  <c r="X139" i="9"/>
  <c r="X138" i="9" s="1"/>
  <c r="X137" i="9" s="1"/>
  <c r="V139" i="9"/>
  <c r="V138" i="9" s="1"/>
  <c r="V137" i="9" s="1"/>
  <c r="AG138" i="9"/>
  <c r="AG137" i="9" s="1"/>
  <c r="AH137" i="9"/>
  <c r="AJ136" i="9"/>
  <c r="T136" i="9"/>
  <c r="R136" i="9"/>
  <c r="M136" i="9"/>
  <c r="Q136" i="9" s="1"/>
  <c r="AJ135" i="9"/>
  <c r="U135" i="9"/>
  <c r="P135" i="9"/>
  <c r="M135" i="9"/>
  <c r="G135" i="9"/>
  <c r="AJ134" i="9"/>
  <c r="T134" i="9"/>
  <c r="R134" i="9"/>
  <c r="M134" i="9"/>
  <c r="Q134" i="9" s="1"/>
  <c r="H134" i="9"/>
  <c r="U133" i="9"/>
  <c r="O133" i="9"/>
  <c r="N133" i="9"/>
  <c r="G133" i="9"/>
  <c r="AJ132" i="9"/>
  <c r="T132" i="9"/>
  <c r="R132" i="9"/>
  <c r="M132" i="9"/>
  <c r="Q132" i="9" s="1"/>
  <c r="H132" i="9"/>
  <c r="AJ131" i="9"/>
  <c r="T131" i="9"/>
  <c r="R131" i="9"/>
  <c r="M131" i="9"/>
  <c r="Q131" i="9" s="1"/>
  <c r="H131" i="9"/>
  <c r="AJ130" i="9"/>
  <c r="T130" i="9"/>
  <c r="R130" i="9"/>
  <c r="M130" i="9"/>
  <c r="Q130" i="9" s="1"/>
  <c r="H130" i="9"/>
  <c r="AJ129" i="9"/>
  <c r="T129" i="9"/>
  <c r="R129" i="9"/>
  <c r="M129" i="9"/>
  <c r="Q129" i="9" s="1"/>
  <c r="H129" i="9"/>
  <c r="AJ128" i="9"/>
  <c r="T128" i="9"/>
  <c r="R128" i="9"/>
  <c r="M128" i="9"/>
  <c r="Q128" i="9" s="1"/>
  <c r="H128" i="9"/>
  <c r="AJ127" i="9"/>
  <c r="W127" i="9"/>
  <c r="T127" i="9"/>
  <c r="R127" i="9"/>
  <c r="M127" i="9"/>
  <c r="Q127" i="9" s="1"/>
  <c r="H127" i="9"/>
  <c r="AJ126" i="9"/>
  <c r="T126" i="9"/>
  <c r="R126" i="9"/>
  <c r="M126" i="9"/>
  <c r="Q126" i="9" s="1"/>
  <c r="H126" i="9"/>
  <c r="AJ125" i="9"/>
  <c r="T125" i="9"/>
  <c r="R125" i="9"/>
  <c r="M125" i="9"/>
  <c r="Q125" i="9" s="1"/>
  <c r="H125" i="9"/>
  <c r="AJ124" i="9"/>
  <c r="T124" i="9"/>
  <c r="R124" i="9"/>
  <c r="M124" i="9"/>
  <c r="Q124" i="9" s="1"/>
  <c r="H124" i="9"/>
  <c r="AJ123" i="9"/>
  <c r="T123" i="9"/>
  <c r="R123" i="9"/>
  <c r="M123" i="9"/>
  <c r="Q123" i="9" s="1"/>
  <c r="H123" i="9"/>
  <c r="AJ122" i="9"/>
  <c r="T122" i="9"/>
  <c r="R122" i="9"/>
  <c r="M122" i="9"/>
  <c r="Q122" i="9" s="1"/>
  <c r="H122" i="9"/>
  <c r="AJ121" i="9"/>
  <c r="T121" i="9"/>
  <c r="R121" i="9"/>
  <c r="M121" i="9"/>
  <c r="Q121" i="9" s="1"/>
  <c r="H121" i="9"/>
  <c r="AJ120" i="9"/>
  <c r="T120" i="9"/>
  <c r="R120" i="9"/>
  <c r="Q120" i="9"/>
  <c r="H120" i="9"/>
  <c r="AJ119" i="9"/>
  <c r="T119" i="9"/>
  <c r="R119" i="9"/>
  <c r="M119" i="9"/>
  <c r="H119" i="9"/>
  <c r="AJ118" i="9"/>
  <c r="T118" i="9"/>
  <c r="R118" i="9"/>
  <c r="M118" i="9"/>
  <c r="Q118" i="9" s="1"/>
  <c r="H118" i="9"/>
  <c r="AH117" i="9"/>
  <c r="AG117" i="9"/>
  <c r="AG116" i="9" s="1"/>
  <c r="AF117" i="9"/>
  <c r="AE117" i="9"/>
  <c r="AE116" i="9" s="1"/>
  <c r="AD117" i="9"/>
  <c r="AC117" i="9"/>
  <c r="AC116" i="9" s="1"/>
  <c r="AB117" i="9"/>
  <c r="AA117" i="9"/>
  <c r="AA116" i="9" s="1"/>
  <c r="Z117" i="9"/>
  <c r="Y117" i="9"/>
  <c r="Y116" i="9" s="1"/>
  <c r="X117" i="9"/>
  <c r="W117" i="9"/>
  <c r="W116" i="9" s="1"/>
  <c r="V117" i="9"/>
  <c r="U117" i="9"/>
  <c r="U116" i="9" s="1"/>
  <c r="N117" i="9"/>
  <c r="AJ117" i="9" s="1"/>
  <c r="AH116" i="9"/>
  <c r="AF116" i="9"/>
  <c r="AD116" i="9"/>
  <c r="AB116" i="9"/>
  <c r="Z116" i="9"/>
  <c r="X116" i="9"/>
  <c r="V116" i="9"/>
  <c r="N116" i="9"/>
  <c r="AJ115" i="9"/>
  <c r="W115" i="9"/>
  <c r="U115" i="9"/>
  <c r="R115" i="9"/>
  <c r="O115" i="9"/>
  <c r="M115" i="9"/>
  <c r="L115" i="9"/>
  <c r="J115" i="9"/>
  <c r="H115" i="9"/>
  <c r="AJ114" i="9"/>
  <c r="W114" i="9"/>
  <c r="U114" i="9"/>
  <c r="R114" i="9"/>
  <c r="O114" i="9"/>
  <c r="M114" i="9"/>
  <c r="L114" i="9"/>
  <c r="J114" i="9"/>
  <c r="H114" i="9"/>
  <c r="AJ113" i="9"/>
  <c r="U113" i="9"/>
  <c r="R113" i="9"/>
  <c r="O113" i="9"/>
  <c r="M113" i="9"/>
  <c r="L113" i="9"/>
  <c r="J113" i="9"/>
  <c r="H113" i="9"/>
  <c r="AJ112" i="9"/>
  <c r="U112" i="9"/>
  <c r="R112" i="9"/>
  <c r="O112" i="9"/>
  <c r="M112" i="9"/>
  <c r="M109" i="9" s="1"/>
  <c r="M108" i="9" s="1"/>
  <c r="L112" i="9"/>
  <c r="J112" i="9"/>
  <c r="H112" i="9"/>
  <c r="AJ111" i="9"/>
  <c r="R111" i="9"/>
  <c r="T111" i="9" s="1"/>
  <c r="Q111" i="9"/>
  <c r="AJ110" i="9"/>
  <c r="R110" i="9"/>
  <c r="S110" i="9" s="1"/>
  <c r="Q110" i="9"/>
  <c r="AH109" i="9"/>
  <c r="AH108" i="9" s="1"/>
  <c r="AH107" i="9" s="1"/>
  <c r="AG109" i="9"/>
  <c r="AG108" i="9" s="1"/>
  <c r="AF109" i="9"/>
  <c r="AF108" i="9" s="1"/>
  <c r="AF107" i="9" s="1"/>
  <c r="AE109" i="9"/>
  <c r="AE108" i="9" s="1"/>
  <c r="AD109" i="9"/>
  <c r="AD108" i="9" s="1"/>
  <c r="AC109" i="9"/>
  <c r="AC108" i="9" s="1"/>
  <c r="AB109" i="9"/>
  <c r="AB108" i="9" s="1"/>
  <c r="AB107" i="9" s="1"/>
  <c r="AA109" i="9"/>
  <c r="AA108" i="9" s="1"/>
  <c r="Z109" i="9"/>
  <c r="Z108" i="9" s="1"/>
  <c r="Z107" i="9" s="1"/>
  <c r="Y109" i="9"/>
  <c r="Y108" i="9" s="1"/>
  <c r="X109" i="9"/>
  <c r="X108" i="9" s="1"/>
  <c r="X107" i="9" s="1"/>
  <c r="V109" i="9"/>
  <c r="V108" i="9" s="1"/>
  <c r="T109" i="9"/>
  <c r="S109" i="9"/>
  <c r="S108" i="9" s="1"/>
  <c r="P109" i="9"/>
  <c r="P108" i="9" s="1"/>
  <c r="N109" i="9"/>
  <c r="K109" i="9"/>
  <c r="K108" i="9" s="1"/>
  <c r="K107" i="9" s="1"/>
  <c r="I109" i="9"/>
  <c r="I108" i="9" s="1"/>
  <c r="I107" i="9" s="1"/>
  <c r="G109" i="9"/>
  <c r="G108" i="9" s="1"/>
  <c r="T108" i="9"/>
  <c r="N108" i="9"/>
  <c r="AJ106" i="9"/>
  <c r="U106" i="9"/>
  <c r="S106" i="9"/>
  <c r="G106" i="9"/>
  <c r="AJ105" i="9"/>
  <c r="U105" i="9"/>
  <c r="S105" i="9"/>
  <c r="Q105" i="9"/>
  <c r="P105" i="9"/>
  <c r="R105" i="9" s="1"/>
  <c r="G105" i="9"/>
  <c r="AJ104" i="9"/>
  <c r="U104" i="9"/>
  <c r="S104" i="9"/>
  <c r="Q104" i="9"/>
  <c r="P104" i="9"/>
  <c r="R104" i="9" s="1"/>
  <c r="G104" i="9"/>
  <c r="AJ103" i="9"/>
  <c r="U103" i="9"/>
  <c r="S103" i="9"/>
  <c r="Q103" i="9"/>
  <c r="P103" i="9"/>
  <c r="R103" i="9" s="1"/>
  <c r="G103" i="9"/>
  <c r="AJ102" i="9"/>
  <c r="S102" i="9"/>
  <c r="Q102" i="9"/>
  <c r="P102" i="9"/>
  <c r="R102" i="9" s="1"/>
  <c r="G102" i="9"/>
  <c r="AJ101" i="9"/>
  <c r="U101" i="9"/>
  <c r="S101" i="9"/>
  <c r="Q101" i="9"/>
  <c r="P101" i="9"/>
  <c r="R101" i="9" s="1"/>
  <c r="G101" i="9"/>
  <c r="AJ100" i="9"/>
  <c r="U100" i="9"/>
  <c r="S100" i="9"/>
  <c r="Q100" i="9"/>
  <c r="P100" i="9"/>
  <c r="R100" i="9" s="1"/>
  <c r="G100" i="9"/>
  <c r="AJ99" i="9"/>
  <c r="S99" i="9"/>
  <c r="Q99" i="9"/>
  <c r="P99" i="9"/>
  <c r="R99" i="9" s="1"/>
  <c r="G99" i="9"/>
  <c r="AJ98" i="9"/>
  <c r="U98" i="9"/>
  <c r="S98" i="9"/>
  <c r="Q98" i="9"/>
  <c r="P98" i="9"/>
  <c r="R98" i="9" s="1"/>
  <c r="G98" i="9"/>
  <c r="AJ97" i="9"/>
  <c r="U97" i="9"/>
  <c r="S97" i="9"/>
  <c r="Q97" i="9"/>
  <c r="P97" i="9"/>
  <c r="R97" i="9" s="1"/>
  <c r="G97" i="9"/>
  <c r="AJ96" i="9"/>
  <c r="U96" i="9"/>
  <c r="S96" i="9"/>
  <c r="Q96" i="9"/>
  <c r="P96" i="9"/>
  <c r="R96" i="9" s="1"/>
  <c r="G96" i="9"/>
  <c r="AJ95" i="9"/>
  <c r="U95" i="9"/>
  <c r="S95" i="9"/>
  <c r="Q95" i="9"/>
  <c r="P95" i="9"/>
  <c r="R95" i="9" s="1"/>
  <c r="G95" i="9"/>
  <c r="AJ94" i="9"/>
  <c r="U94" i="9"/>
  <c r="S94" i="9"/>
  <c r="R94" i="9"/>
  <c r="Q94" i="9"/>
  <c r="G94" i="9"/>
  <c r="AJ93" i="9"/>
  <c r="U93" i="9"/>
  <c r="S93" i="9"/>
  <c r="Q93" i="9"/>
  <c r="P93" i="9"/>
  <c r="R93" i="9" s="1"/>
  <c r="H93" i="9"/>
  <c r="U92" i="9"/>
  <c r="Q92" i="9"/>
  <c r="P92" i="9"/>
  <c r="R92" i="9" s="1"/>
  <c r="N92" i="9"/>
  <c r="AJ92" i="9" s="1"/>
  <c r="G92" i="9"/>
  <c r="Q91" i="9"/>
  <c r="N91" i="9"/>
  <c r="AJ91" i="9" s="1"/>
  <c r="H91" i="9"/>
  <c r="Q90" i="9"/>
  <c r="N90" i="9"/>
  <c r="AJ90" i="9" s="1"/>
  <c r="H90" i="9"/>
  <c r="Q89" i="9"/>
  <c r="N89" i="9"/>
  <c r="AJ89" i="9" s="1"/>
  <c r="H89" i="9"/>
  <c r="U88" i="9"/>
  <c r="Q88" i="9"/>
  <c r="P88" i="9"/>
  <c r="N88" i="9"/>
  <c r="AJ88" i="9" s="1"/>
  <c r="G88" i="9"/>
  <c r="Q87" i="9"/>
  <c r="N87" i="9"/>
  <c r="AJ87" i="9" s="1"/>
  <c r="H87" i="9"/>
  <c r="Q86" i="9"/>
  <c r="N86" i="9"/>
  <c r="AJ86" i="9" s="1"/>
  <c r="H86" i="9"/>
  <c r="U85" i="9"/>
  <c r="Q85" i="9"/>
  <c r="P85" i="9"/>
  <c r="N85" i="9"/>
  <c r="AJ85" i="9" s="1"/>
  <c r="H85" i="9"/>
  <c r="Q84" i="9"/>
  <c r="P84" i="9"/>
  <c r="N84" i="9"/>
  <c r="AJ84" i="9" s="1"/>
  <c r="H84" i="9"/>
  <c r="AJ83" i="9"/>
  <c r="Q83" i="9"/>
  <c r="P83" i="9"/>
  <c r="R83" i="9" s="1"/>
  <c r="N83" i="9"/>
  <c r="T83" i="9" s="1"/>
  <c r="H83" i="9"/>
  <c r="Q82" i="9"/>
  <c r="P82" i="9"/>
  <c r="N82" i="9"/>
  <c r="H82" i="9"/>
  <c r="Q81" i="9"/>
  <c r="N81" i="9"/>
  <c r="T81" i="9" s="1"/>
  <c r="H81" i="9"/>
  <c r="Q80" i="9"/>
  <c r="N80" i="9"/>
  <c r="H80" i="9"/>
  <c r="Q79" i="9"/>
  <c r="P79" i="9"/>
  <c r="N79" i="9"/>
  <c r="H79" i="9"/>
  <c r="Q78" i="9"/>
  <c r="N78" i="9"/>
  <c r="AJ78" i="9" s="1"/>
  <c r="H78" i="9"/>
  <c r="Q77" i="9"/>
  <c r="P77" i="9"/>
  <c r="N77" i="9"/>
  <c r="AJ77" i="9" s="1"/>
  <c r="H77" i="9"/>
  <c r="Q76" i="9"/>
  <c r="P76" i="9"/>
  <c r="N76" i="9"/>
  <c r="H76" i="9"/>
  <c r="Q75" i="9"/>
  <c r="P75" i="9"/>
  <c r="N75" i="9"/>
  <c r="H75" i="9"/>
  <c r="Q74" i="9"/>
  <c r="P74" i="9"/>
  <c r="N74" i="9"/>
  <c r="T74" i="9" s="1"/>
  <c r="H74" i="9"/>
  <c r="T73" i="9"/>
  <c r="Q73" i="9"/>
  <c r="P73" i="9"/>
  <c r="R73" i="9" s="1"/>
  <c r="N73" i="9"/>
  <c r="AJ73" i="9" s="1"/>
  <c r="H73" i="9"/>
  <c r="Q72" i="9"/>
  <c r="P72" i="9"/>
  <c r="N72" i="9"/>
  <c r="T72" i="9" s="1"/>
  <c r="H72" i="9"/>
  <c r="Q71" i="9"/>
  <c r="N71" i="9"/>
  <c r="AJ71" i="9" s="1"/>
  <c r="H71" i="9"/>
  <c r="Q70" i="9"/>
  <c r="N70" i="9"/>
  <c r="AJ70" i="9" s="1"/>
  <c r="H70" i="9"/>
  <c r="Q69" i="9"/>
  <c r="N69" i="9"/>
  <c r="AJ69" i="9" s="1"/>
  <c r="H69" i="9"/>
  <c r="Q68" i="9"/>
  <c r="N68" i="9"/>
  <c r="AJ68" i="9" s="1"/>
  <c r="H68" i="9"/>
  <c r="Q67" i="9"/>
  <c r="N67" i="9"/>
  <c r="AJ67" i="9" s="1"/>
  <c r="H67" i="9"/>
  <c r="Q66" i="9"/>
  <c r="N66" i="9"/>
  <c r="AJ66" i="9" s="1"/>
  <c r="H66" i="9"/>
  <c r="Q65" i="9"/>
  <c r="N65" i="9"/>
  <c r="AJ65" i="9" s="1"/>
  <c r="H65" i="9"/>
  <c r="Q64" i="9"/>
  <c r="N64" i="9"/>
  <c r="AJ64" i="9" s="1"/>
  <c r="H64" i="9"/>
  <c r="Q63" i="9"/>
  <c r="N63" i="9"/>
  <c r="AJ63" i="9" s="1"/>
  <c r="G63" i="9"/>
  <c r="H63" i="9" s="1"/>
  <c r="U62" i="9"/>
  <c r="Q62" i="9"/>
  <c r="P62" i="9"/>
  <c r="N62" i="9"/>
  <c r="AJ62" i="9" s="1"/>
  <c r="G62" i="9"/>
  <c r="H62" i="9" s="1"/>
  <c r="Q61" i="9"/>
  <c r="P61" i="9"/>
  <c r="N61" i="9"/>
  <c r="G61" i="9"/>
  <c r="H61" i="9" s="1"/>
  <c r="Q60" i="9"/>
  <c r="P60" i="9"/>
  <c r="N60" i="9"/>
  <c r="G60" i="9"/>
  <c r="H60" i="9" s="1"/>
  <c r="Q59" i="9"/>
  <c r="P59" i="9"/>
  <c r="N59" i="9"/>
  <c r="G59" i="9"/>
  <c r="H59" i="9" s="1"/>
  <c r="Q58" i="9"/>
  <c r="P58" i="9"/>
  <c r="N58" i="9"/>
  <c r="AJ58" i="9" s="1"/>
  <c r="G58" i="9"/>
  <c r="U57" i="9"/>
  <c r="Q57" i="9"/>
  <c r="P57" i="9"/>
  <c r="N57" i="9"/>
  <c r="AJ57" i="9" s="1"/>
  <c r="G57" i="9"/>
  <c r="H57" i="9" s="1"/>
  <c r="Q56" i="9"/>
  <c r="P56" i="9"/>
  <c r="N56" i="9"/>
  <c r="T56" i="9" s="1"/>
  <c r="G56" i="9"/>
  <c r="H56" i="9" s="1"/>
  <c r="Y55" i="9"/>
  <c r="Q55" i="9"/>
  <c r="P55" i="9"/>
  <c r="N55" i="9"/>
  <c r="G55" i="9"/>
  <c r="U54" i="9"/>
  <c r="Q54" i="9"/>
  <c r="P54" i="9"/>
  <c r="N54" i="9"/>
  <c r="AJ54" i="9" s="1"/>
  <c r="G54" i="9"/>
  <c r="H54" i="9" s="1"/>
  <c r="U53" i="9"/>
  <c r="Q53" i="9"/>
  <c r="P53" i="9"/>
  <c r="N53" i="9"/>
  <c r="AJ53" i="9" s="1"/>
  <c r="G53" i="9"/>
  <c r="H53" i="9" s="1"/>
  <c r="U52" i="9"/>
  <c r="Q52" i="9"/>
  <c r="P52" i="9"/>
  <c r="N52" i="9"/>
  <c r="AJ52" i="9" s="1"/>
  <c r="G52" i="9"/>
  <c r="H52" i="9" s="1"/>
  <c r="U51" i="9"/>
  <c r="Q51" i="9"/>
  <c r="P51" i="9"/>
  <c r="N51" i="9"/>
  <c r="AJ51" i="9" s="1"/>
  <c r="G51" i="9"/>
  <c r="U50" i="9"/>
  <c r="Q50" i="9"/>
  <c r="P50" i="9"/>
  <c r="N50" i="9"/>
  <c r="AJ50" i="9" s="1"/>
  <c r="G50" i="9"/>
  <c r="H50" i="9" s="1"/>
  <c r="Q49" i="9"/>
  <c r="N49" i="9"/>
  <c r="T49" i="9" s="1"/>
  <c r="G49" i="9"/>
  <c r="H49" i="9" s="1"/>
  <c r="U48" i="9"/>
  <c r="Q48" i="9"/>
  <c r="P48" i="9"/>
  <c r="N48" i="9"/>
  <c r="AJ48" i="9" s="1"/>
  <c r="H48" i="9"/>
  <c r="Y47" i="9"/>
  <c r="Q47" i="9"/>
  <c r="P47" i="9"/>
  <c r="N47" i="9"/>
  <c r="AJ47" i="9" s="1"/>
  <c r="H47" i="9"/>
  <c r="Y46" i="9"/>
  <c r="Q46" i="9"/>
  <c r="P46" i="9"/>
  <c r="N46" i="9"/>
  <c r="AJ46" i="9" s="1"/>
  <c r="H46" i="9"/>
  <c r="Y45" i="9"/>
  <c r="W45" i="9"/>
  <c r="Q45" i="9"/>
  <c r="P45" i="9"/>
  <c r="N45" i="9"/>
  <c r="H45" i="9"/>
  <c r="Y44" i="9"/>
  <c r="W44" i="9"/>
  <c r="Q44" i="9"/>
  <c r="P44" i="9"/>
  <c r="N44" i="9"/>
  <c r="T44" i="9" s="1"/>
  <c r="H44" i="9"/>
  <c r="Y43" i="9"/>
  <c r="W43" i="9"/>
  <c r="Q43" i="9"/>
  <c r="P43" i="9"/>
  <c r="N43" i="9"/>
  <c r="AJ43" i="9" s="1"/>
  <c r="H43" i="9"/>
  <c r="Y42" i="9"/>
  <c r="W42" i="9"/>
  <c r="Q42" i="9"/>
  <c r="P42" i="9"/>
  <c r="N42" i="9"/>
  <c r="T42" i="9" s="1"/>
  <c r="H42" i="9"/>
  <c r="Y41" i="9"/>
  <c r="W41" i="9"/>
  <c r="Q41" i="9"/>
  <c r="P41" i="9"/>
  <c r="N41" i="9"/>
  <c r="H41" i="9"/>
  <c r="Y40" i="9"/>
  <c r="W40" i="9"/>
  <c r="Q40" i="9"/>
  <c r="P40" i="9"/>
  <c r="N40" i="9"/>
  <c r="H40" i="9"/>
  <c r="Y39" i="9"/>
  <c r="W39" i="9"/>
  <c r="Q39" i="9"/>
  <c r="P39" i="9"/>
  <c r="N39" i="9"/>
  <c r="AJ39" i="9" s="1"/>
  <c r="H39" i="9"/>
  <c r="AJ38" i="9"/>
  <c r="Y38" i="9"/>
  <c r="W38" i="9"/>
  <c r="Q38" i="9"/>
  <c r="P38" i="9"/>
  <c r="R38" i="9" s="1"/>
  <c r="N38" i="9"/>
  <c r="T38" i="9" s="1"/>
  <c r="H38" i="9"/>
  <c r="Y37" i="9"/>
  <c r="W37" i="9"/>
  <c r="Q37" i="9"/>
  <c r="P37" i="9"/>
  <c r="N37" i="9"/>
  <c r="H37" i="9"/>
  <c r="Y36" i="9"/>
  <c r="W36" i="9"/>
  <c r="Q36" i="9"/>
  <c r="P36" i="9"/>
  <c r="N36" i="9"/>
  <c r="T36" i="9" s="1"/>
  <c r="H36" i="9"/>
  <c r="Y35" i="9"/>
  <c r="W35" i="9"/>
  <c r="U35" i="9"/>
  <c r="O35" i="9"/>
  <c r="N35" i="9"/>
  <c r="AJ35" i="9" s="1"/>
  <c r="H35" i="9"/>
  <c r="Y34" i="9"/>
  <c r="W34" i="9"/>
  <c r="Q34" i="9"/>
  <c r="P34" i="9"/>
  <c r="N34" i="9"/>
  <c r="H34" i="9"/>
  <c r="Y33" i="9"/>
  <c r="W33" i="9"/>
  <c r="Q33" i="9"/>
  <c r="P33" i="9"/>
  <c r="N33" i="9"/>
  <c r="T33" i="9" s="1"/>
  <c r="H33" i="9"/>
  <c r="Y32" i="9"/>
  <c r="W32" i="9"/>
  <c r="Q32" i="9"/>
  <c r="P32" i="9"/>
  <c r="N32" i="9"/>
  <c r="H32" i="9"/>
  <c r="Y31" i="9"/>
  <c r="W31" i="9"/>
  <c r="Q31" i="9"/>
  <c r="P31" i="9"/>
  <c r="N31" i="9"/>
  <c r="T31" i="9" s="1"/>
  <c r="H31" i="9"/>
  <c r="Y30" i="9"/>
  <c r="W30" i="9"/>
  <c r="Q30" i="9"/>
  <c r="P30" i="9"/>
  <c r="N30" i="9"/>
  <c r="H30" i="9"/>
  <c r="Y29" i="9"/>
  <c r="W29" i="9"/>
  <c r="Q29" i="9"/>
  <c r="P29" i="9"/>
  <c r="N29" i="9"/>
  <c r="T29" i="9" s="1"/>
  <c r="H29" i="9"/>
  <c r="Y28" i="9"/>
  <c r="W28" i="9"/>
  <c r="Q28" i="9"/>
  <c r="P28" i="9"/>
  <c r="N28" i="9"/>
  <c r="AJ28" i="9" s="1"/>
  <c r="H28" i="9"/>
  <c r="AH27" i="9"/>
  <c r="AG27" i="9"/>
  <c r="AF27" i="9"/>
  <c r="AE27" i="9"/>
  <c r="AD27" i="9"/>
  <c r="AC27" i="9"/>
  <c r="AB27" i="9"/>
  <c r="AA27" i="9"/>
  <c r="Z27" i="9"/>
  <c r="X27" i="9"/>
  <c r="X26" i="9" s="1"/>
  <c r="V27" i="9"/>
  <c r="V26" i="9" s="1"/>
  <c r="M27" i="9"/>
  <c r="AH26" i="9"/>
  <c r="AG26" i="9"/>
  <c r="AF26" i="9"/>
  <c r="AE26" i="9"/>
  <c r="AD26" i="9"/>
  <c r="AC26" i="9"/>
  <c r="AB26" i="9"/>
  <c r="AA26" i="9"/>
  <c r="Z26" i="9"/>
  <c r="M26" i="9"/>
  <c r="W25" i="9"/>
  <c r="Q25" i="9"/>
  <c r="P25" i="9"/>
  <c r="N25" i="9"/>
  <c r="AJ25" i="9" s="1"/>
  <c r="L25" i="9"/>
  <c r="J25" i="9"/>
  <c r="H25" i="9"/>
  <c r="W24" i="9"/>
  <c r="Q24" i="9"/>
  <c r="P24" i="9"/>
  <c r="N24" i="9"/>
  <c r="L24" i="9"/>
  <c r="J24" i="9"/>
  <c r="H24" i="9"/>
  <c r="AJ23" i="9"/>
  <c r="AJ22" i="9"/>
  <c r="AH21" i="9"/>
  <c r="AH20" i="9" s="1"/>
  <c r="AH19" i="9" s="1"/>
  <c r="AG21" i="9"/>
  <c r="AG20" i="9" s="1"/>
  <c r="AG19" i="9" s="1"/>
  <c r="AF21" i="9"/>
  <c r="AE21" i="9"/>
  <c r="AE20" i="9" s="1"/>
  <c r="AE19" i="9" s="1"/>
  <c r="AD21" i="9"/>
  <c r="AD20" i="9" s="1"/>
  <c r="AD19" i="9" s="1"/>
  <c r="AC21" i="9"/>
  <c r="AC20" i="9" s="1"/>
  <c r="AC19" i="9" s="1"/>
  <c r="AB21" i="9"/>
  <c r="AB20" i="9" s="1"/>
  <c r="AA21" i="9"/>
  <c r="AA20" i="9" s="1"/>
  <c r="AA19" i="9" s="1"/>
  <c r="Z21" i="9"/>
  <c r="Z20" i="9" s="1"/>
  <c r="Z19" i="9" s="1"/>
  <c r="Y21" i="9"/>
  <c r="Y20" i="9" s="1"/>
  <c r="X21" i="9"/>
  <c r="V21" i="9"/>
  <c r="V20" i="9" s="1"/>
  <c r="U21" i="9"/>
  <c r="U20" i="9" s="1"/>
  <c r="T21" i="9"/>
  <c r="T20" i="9" s="1"/>
  <c r="S21" i="9"/>
  <c r="S20" i="9" s="1"/>
  <c r="O21" i="9"/>
  <c r="O20" i="9" s="1"/>
  <c r="M21" i="9"/>
  <c r="M20" i="9" s="1"/>
  <c r="K21" i="9"/>
  <c r="K20" i="9" s="1"/>
  <c r="K19" i="9" s="1"/>
  <c r="K18" i="9" s="1"/>
  <c r="I21" i="9"/>
  <c r="I20" i="9" s="1"/>
  <c r="I19" i="9" s="1"/>
  <c r="G21" i="9"/>
  <c r="G20" i="9" s="1"/>
  <c r="AF20" i="9"/>
  <c r="X20" i="9"/>
  <c r="AJ17" i="9"/>
  <c r="U17" i="9"/>
  <c r="T17" i="9"/>
  <c r="P17" i="9"/>
  <c r="M17" i="9"/>
  <c r="AU387" i="11"/>
  <c r="AJ381" i="11"/>
  <c r="T380" i="11"/>
  <c r="AJ380" i="11" s="1"/>
  <c r="M380" i="11"/>
  <c r="AU379" i="11"/>
  <c r="AV379" i="11" s="1"/>
  <c r="AQ379" i="11"/>
  <c r="AJ379" i="11"/>
  <c r="AK379" i="11" s="1"/>
  <c r="AB379" i="11"/>
  <c r="AA379" i="11"/>
  <c r="AC379" i="11" s="1"/>
  <c r="Q379" i="11"/>
  <c r="P379" i="11"/>
  <c r="AS378" i="11"/>
  <c r="AT378" i="11" s="1"/>
  <c r="AQ378" i="11"/>
  <c r="AR378" i="11" s="1"/>
  <c r="AO378" i="11"/>
  <c r="AP378" i="11" s="1"/>
  <c r="AJ378" i="11"/>
  <c r="AB378" i="11"/>
  <c r="AA378" i="11"/>
  <c r="R378" i="11"/>
  <c r="AU378" i="11" s="1"/>
  <c r="AV378" i="11" s="1"/>
  <c r="H378" i="11"/>
  <c r="G378" i="11"/>
  <c r="M378" i="11" s="1"/>
  <c r="O378" i="11" s="1"/>
  <c r="AQ377" i="11"/>
  <c r="AR377" i="11" s="1"/>
  <c r="AO377" i="11"/>
  <c r="AP377" i="11" s="1"/>
  <c r="AJ377" i="11"/>
  <c r="AK377" i="11" s="1"/>
  <c r="AB377" i="11"/>
  <c r="AA377" i="11"/>
  <c r="S377" i="11"/>
  <c r="Q377" i="11"/>
  <c r="AS377" i="11" s="1"/>
  <c r="AT377" i="11" s="1"/>
  <c r="O377" i="11"/>
  <c r="AS376" i="11"/>
  <c r="AT376" i="11" s="1"/>
  <c r="AQ376" i="11"/>
  <c r="AR376" i="11" s="1"/>
  <c r="AO376" i="11"/>
  <c r="AP376" i="11" s="1"/>
  <c r="AJ376" i="11"/>
  <c r="AB376" i="11"/>
  <c r="AA376" i="11"/>
  <c r="AC376" i="11" s="1"/>
  <c r="R376" i="11"/>
  <c r="AU376" i="11" s="1"/>
  <c r="AV376" i="11" s="1"/>
  <c r="AS375" i="11"/>
  <c r="AT375" i="11" s="1"/>
  <c r="AQ375" i="11"/>
  <c r="AR375" i="11" s="1"/>
  <c r="AO375" i="11"/>
  <c r="AP375" i="11" s="1"/>
  <c r="AJ375" i="11"/>
  <c r="AB375" i="11"/>
  <c r="AA375" i="11"/>
  <c r="AC375" i="11" s="1"/>
  <c r="R375" i="11"/>
  <c r="AS374" i="11"/>
  <c r="AT374" i="11" s="1"/>
  <c r="AQ374" i="11"/>
  <c r="AR374" i="11" s="1"/>
  <c r="AO374" i="11"/>
  <c r="AP374" i="11" s="1"/>
  <c r="AJ374" i="11"/>
  <c r="AB374" i="11"/>
  <c r="AA374" i="11"/>
  <c r="AC374" i="11" s="1"/>
  <c r="R374" i="11"/>
  <c r="AU374" i="11" s="1"/>
  <c r="AV374" i="11" s="1"/>
  <c r="AU373" i="11"/>
  <c r="AV373" i="11" s="1"/>
  <c r="AQ373" i="11"/>
  <c r="AR373" i="11" s="1"/>
  <c r="AO373" i="11"/>
  <c r="AP373" i="11" s="1"/>
  <c r="AJ373" i="11"/>
  <c r="AB373" i="11"/>
  <c r="AA373" i="11"/>
  <c r="S373" i="11"/>
  <c r="Q373" i="11"/>
  <c r="AS373" i="11" s="1"/>
  <c r="AT373" i="11" s="1"/>
  <c r="O373" i="11"/>
  <c r="AS372" i="11"/>
  <c r="AT372" i="11" s="1"/>
  <c r="AQ372" i="11"/>
  <c r="AR372" i="11" s="1"/>
  <c r="AO372" i="11"/>
  <c r="AP372" i="11" s="1"/>
  <c r="AJ372" i="11"/>
  <c r="AB372" i="11"/>
  <c r="AA372" i="11"/>
  <c r="AC372" i="11" s="1"/>
  <c r="R372" i="11"/>
  <c r="AU372" i="11" s="1"/>
  <c r="AV372" i="11" s="1"/>
  <c r="AS371" i="11"/>
  <c r="AT371" i="11" s="1"/>
  <c r="AQ371" i="11"/>
  <c r="AR371" i="11" s="1"/>
  <c r="AO371" i="11"/>
  <c r="AP371" i="11" s="1"/>
  <c r="AJ371" i="11"/>
  <c r="AB371" i="11"/>
  <c r="AF371" i="11" s="1"/>
  <c r="AE371" i="11" s="1"/>
  <c r="Y371" i="11"/>
  <c r="AA371" i="11" s="1"/>
  <c r="AC371" i="11" s="1"/>
  <c r="R371" i="11"/>
  <c r="AU371" i="11" s="1"/>
  <c r="AV371" i="11" s="1"/>
  <c r="G371" i="11"/>
  <c r="AS370" i="11"/>
  <c r="AT370" i="11" s="1"/>
  <c r="AQ370" i="11"/>
  <c r="AR370" i="11" s="1"/>
  <c r="AO370" i="11"/>
  <c r="AP370" i="11" s="1"/>
  <c r="AJ370" i="11"/>
  <c r="AB370" i="11"/>
  <c r="AF370" i="11" s="1"/>
  <c r="AE370" i="11" s="1"/>
  <c r="Y370" i="11"/>
  <c r="AA370" i="11" s="1"/>
  <c r="AC370" i="11" s="1"/>
  <c r="R370" i="11"/>
  <c r="AU370" i="11" s="1"/>
  <c r="AV370" i="11" s="1"/>
  <c r="AS369" i="11"/>
  <c r="AT369" i="11" s="1"/>
  <c r="AQ369" i="11"/>
  <c r="AR369" i="11" s="1"/>
  <c r="AO369" i="11"/>
  <c r="AP369" i="11" s="1"/>
  <c r="AJ369" i="11"/>
  <c r="AM369" i="11" s="1"/>
  <c r="AB369" i="11"/>
  <c r="AD369" i="11" s="1"/>
  <c r="AA369" i="11"/>
  <c r="AC369" i="11" s="1"/>
  <c r="R369" i="11"/>
  <c r="AS368" i="11"/>
  <c r="AT368" i="11" s="1"/>
  <c r="AQ368" i="11"/>
  <c r="AR368" i="11" s="1"/>
  <c r="AO368" i="11"/>
  <c r="AP368" i="11" s="1"/>
  <c r="AJ368" i="11"/>
  <c r="AB368" i="11"/>
  <c r="Y368" i="11"/>
  <c r="AA368" i="11" s="1"/>
  <c r="AC368" i="11" s="1"/>
  <c r="R368" i="11"/>
  <c r="AU368" i="11" s="1"/>
  <c r="AV368" i="11" s="1"/>
  <c r="G368" i="11"/>
  <c r="AS367" i="11"/>
  <c r="AT367" i="11" s="1"/>
  <c r="AQ367" i="11"/>
  <c r="AR367" i="11" s="1"/>
  <c r="AO367" i="11"/>
  <c r="AP367" i="11" s="1"/>
  <c r="AJ367" i="11"/>
  <c r="AM367" i="11" s="1"/>
  <c r="AB367" i="11"/>
  <c r="AF367" i="11" s="1"/>
  <c r="AE367" i="11" s="1"/>
  <c r="Y367" i="11"/>
  <c r="AA367" i="11" s="1"/>
  <c r="AC367" i="11" s="1"/>
  <c r="R367" i="11"/>
  <c r="AU367" i="11" s="1"/>
  <c r="AV367" i="11" s="1"/>
  <c r="AU366" i="11"/>
  <c r="AV366" i="11" s="1"/>
  <c r="AQ366" i="11"/>
  <c r="AR366" i="11" s="1"/>
  <c r="AO366" i="11"/>
  <c r="AP366" i="11" s="1"/>
  <c r="AJ366" i="11"/>
  <c r="AB366" i="11"/>
  <c r="AF366" i="11" s="1"/>
  <c r="AE366" i="11" s="1"/>
  <c r="Y366" i="11"/>
  <c r="AA366" i="11" s="1"/>
  <c r="AC366" i="11" s="1"/>
  <c r="Q366" i="11"/>
  <c r="AS366" i="11" s="1"/>
  <c r="AT366" i="11" s="1"/>
  <c r="AS365" i="11"/>
  <c r="AT365" i="11" s="1"/>
  <c r="AQ365" i="11"/>
  <c r="AR365" i="11" s="1"/>
  <c r="AO365" i="11"/>
  <c r="AP365" i="11" s="1"/>
  <c r="AJ365" i="11"/>
  <c r="AB365" i="11"/>
  <c r="Y365" i="11"/>
  <c r="R365" i="11"/>
  <c r="AU365" i="11" s="1"/>
  <c r="AV365" i="11" s="1"/>
  <c r="G365" i="11"/>
  <c r="AS364" i="11"/>
  <c r="AT364" i="11" s="1"/>
  <c r="AQ364" i="11"/>
  <c r="AR364" i="11" s="1"/>
  <c r="AO364" i="11"/>
  <c r="AP364" i="11" s="1"/>
  <c r="AJ364" i="11"/>
  <c r="AB364" i="11"/>
  <c r="AD364" i="11" s="1"/>
  <c r="AA364" i="11"/>
  <c r="AC364" i="11" s="1"/>
  <c r="R364" i="11"/>
  <c r="AS363" i="11"/>
  <c r="AT363" i="11" s="1"/>
  <c r="AQ363" i="11"/>
  <c r="AR363" i="11" s="1"/>
  <c r="AO363" i="11"/>
  <c r="AP363" i="11" s="1"/>
  <c r="AJ363" i="11"/>
  <c r="AB363" i="11"/>
  <c r="AF363" i="11" s="1"/>
  <c r="AE363" i="11" s="1"/>
  <c r="AA363" i="11"/>
  <c r="AC363" i="11" s="1"/>
  <c r="R363" i="11"/>
  <c r="AU363" i="11" s="1"/>
  <c r="AV363" i="11" s="1"/>
  <c r="AS362" i="11"/>
  <c r="AT362" i="11" s="1"/>
  <c r="AQ362" i="11"/>
  <c r="AR362" i="11" s="1"/>
  <c r="AO362" i="11"/>
  <c r="AP362" i="11" s="1"/>
  <c r="AJ362" i="11"/>
  <c r="AM362" i="11" s="1"/>
  <c r="AB362" i="11"/>
  <c r="AD362" i="11" s="1"/>
  <c r="AA362" i="11"/>
  <c r="AC362" i="11" s="1"/>
  <c r="R362" i="11"/>
  <c r="AU362" i="11" s="1"/>
  <c r="AV362" i="11" s="1"/>
  <c r="AS361" i="11"/>
  <c r="AT361" i="11" s="1"/>
  <c r="AQ361" i="11"/>
  <c r="AR361" i="11" s="1"/>
  <c r="AO361" i="11"/>
  <c r="AP361" i="11" s="1"/>
  <c r="AJ361" i="11"/>
  <c r="AM361" i="11" s="1"/>
  <c r="AB361" i="11"/>
  <c r="AF361" i="11" s="1"/>
  <c r="AE361" i="11" s="1"/>
  <c r="AA361" i="11"/>
  <c r="AC361" i="11" s="1"/>
  <c r="R361" i="11"/>
  <c r="AU361" i="11" s="1"/>
  <c r="AV361" i="11" s="1"/>
  <c r="AS360" i="11"/>
  <c r="AT360" i="11" s="1"/>
  <c r="AQ360" i="11"/>
  <c r="AR360" i="11" s="1"/>
  <c r="AO360" i="11"/>
  <c r="AP360" i="11" s="1"/>
  <c r="AJ360" i="11"/>
  <c r="AM360" i="11" s="1"/>
  <c r="AB360" i="11"/>
  <c r="AD360" i="11" s="1"/>
  <c r="AA360" i="11"/>
  <c r="AC360" i="11" s="1"/>
  <c r="R360" i="11"/>
  <c r="AU360" i="11" s="1"/>
  <c r="AV360" i="11" s="1"/>
  <c r="AS359" i="11"/>
  <c r="AT359" i="11" s="1"/>
  <c r="AQ359" i="11"/>
  <c r="AR359" i="11" s="1"/>
  <c r="AO359" i="11"/>
  <c r="AP359" i="11" s="1"/>
  <c r="AJ359" i="11"/>
  <c r="AM359" i="11" s="1"/>
  <c r="AB359" i="11"/>
  <c r="AF359" i="11" s="1"/>
  <c r="AE359" i="11" s="1"/>
  <c r="AA359" i="11"/>
  <c r="AC359" i="11" s="1"/>
  <c r="R359" i="11"/>
  <c r="AU359" i="11" s="1"/>
  <c r="AV359" i="11" s="1"/>
  <c r="AS358" i="11"/>
  <c r="AT358" i="11" s="1"/>
  <c r="AQ358" i="11"/>
  <c r="AR358" i="11" s="1"/>
  <c r="AO358" i="11"/>
  <c r="AP358" i="11" s="1"/>
  <c r="AJ358" i="11"/>
  <c r="AM358" i="11" s="1"/>
  <c r="AB358" i="11"/>
  <c r="AD358" i="11" s="1"/>
  <c r="AA358" i="11"/>
  <c r="AC358" i="11" s="1"/>
  <c r="R358" i="11"/>
  <c r="AU358" i="11" s="1"/>
  <c r="AV358" i="11" s="1"/>
  <c r="AS357" i="11"/>
  <c r="AT357" i="11" s="1"/>
  <c r="AQ357" i="11"/>
  <c r="AR357" i="11" s="1"/>
  <c r="AO357" i="11"/>
  <c r="AP357" i="11" s="1"/>
  <c r="AJ357" i="11"/>
  <c r="AB357" i="11"/>
  <c r="AA357" i="11"/>
  <c r="AC357" i="11" s="1"/>
  <c r="R357" i="11"/>
  <c r="AU357" i="11" s="1"/>
  <c r="AV357" i="11" s="1"/>
  <c r="AS356" i="11"/>
  <c r="AT356" i="11" s="1"/>
  <c r="AQ356" i="11"/>
  <c r="AR356" i="11" s="1"/>
  <c r="AO356" i="11"/>
  <c r="AP356" i="11" s="1"/>
  <c r="AJ356" i="11"/>
  <c r="AM356" i="11" s="1"/>
  <c r="AB356" i="11"/>
  <c r="AD356" i="11" s="1"/>
  <c r="AA356" i="11"/>
  <c r="AC356" i="11" s="1"/>
  <c r="R356" i="11"/>
  <c r="AU356" i="11" s="1"/>
  <c r="AV356" i="11" s="1"/>
  <c r="AS355" i="11"/>
  <c r="AT355" i="11" s="1"/>
  <c r="AQ355" i="11"/>
  <c r="AR355" i="11" s="1"/>
  <c r="AO355" i="11"/>
  <c r="AP355" i="11" s="1"/>
  <c r="AJ355" i="11"/>
  <c r="AM355" i="11" s="1"/>
  <c r="AB355" i="11"/>
  <c r="AF355" i="11" s="1"/>
  <c r="AE355" i="11" s="1"/>
  <c r="AA355" i="11"/>
  <c r="AC355" i="11" s="1"/>
  <c r="R355" i="11"/>
  <c r="AU355" i="11" s="1"/>
  <c r="AV355" i="11" s="1"/>
  <c r="AS354" i="11"/>
  <c r="AT354" i="11" s="1"/>
  <c r="AQ354" i="11"/>
  <c r="AR354" i="11" s="1"/>
  <c r="AO354" i="11"/>
  <c r="AP354" i="11" s="1"/>
  <c r="AJ354" i="11"/>
  <c r="AM354" i="11" s="1"/>
  <c r="AB354" i="11"/>
  <c r="AD354" i="11" s="1"/>
  <c r="AA354" i="11"/>
  <c r="AC354" i="11" s="1"/>
  <c r="R354" i="11"/>
  <c r="AU354" i="11" s="1"/>
  <c r="AV354" i="11" s="1"/>
  <c r="AS353" i="11"/>
  <c r="AT353" i="11" s="1"/>
  <c r="AQ353" i="11"/>
  <c r="AR353" i="11" s="1"/>
  <c r="AO353" i="11"/>
  <c r="AP353" i="11" s="1"/>
  <c r="AJ353" i="11"/>
  <c r="AB353" i="11"/>
  <c r="AF353" i="11" s="1"/>
  <c r="AE353" i="11" s="1"/>
  <c r="AA353" i="11"/>
  <c r="AC353" i="11" s="1"/>
  <c r="R353" i="11"/>
  <c r="AU353" i="11" s="1"/>
  <c r="AV353" i="11" s="1"/>
  <c r="AS352" i="11"/>
  <c r="AT352" i="11" s="1"/>
  <c r="AQ352" i="11"/>
  <c r="AR352" i="11" s="1"/>
  <c r="AO352" i="11"/>
  <c r="AP352" i="11" s="1"/>
  <c r="AJ352" i="11"/>
  <c r="AM352" i="11" s="1"/>
  <c r="AB352" i="11"/>
  <c r="AD352" i="11" s="1"/>
  <c r="AA352" i="11"/>
  <c r="AC352" i="11" s="1"/>
  <c r="R352" i="11"/>
  <c r="AU352" i="11" s="1"/>
  <c r="AV352" i="11" s="1"/>
  <c r="AS351" i="11"/>
  <c r="AT351" i="11" s="1"/>
  <c r="AQ351" i="11"/>
  <c r="AR351" i="11" s="1"/>
  <c r="AO351" i="11"/>
  <c r="AP351" i="11" s="1"/>
  <c r="AJ351" i="11"/>
  <c r="AM351" i="11" s="1"/>
  <c r="AB351" i="11"/>
  <c r="AF351" i="11" s="1"/>
  <c r="AE351" i="11" s="1"/>
  <c r="AA351" i="11"/>
  <c r="AC351" i="11" s="1"/>
  <c r="R351" i="11"/>
  <c r="AU351" i="11" s="1"/>
  <c r="AV351" i="11" s="1"/>
  <c r="AS350" i="11"/>
  <c r="AT350" i="11" s="1"/>
  <c r="AQ350" i="11"/>
  <c r="AR350" i="11" s="1"/>
  <c r="AO350" i="11"/>
  <c r="AP350" i="11" s="1"/>
  <c r="AJ350" i="11"/>
  <c r="AM350" i="11" s="1"/>
  <c r="AB350" i="11"/>
  <c r="AD350" i="11" s="1"/>
  <c r="AA350" i="11"/>
  <c r="AC350" i="11" s="1"/>
  <c r="R350" i="11"/>
  <c r="AU350" i="11" s="1"/>
  <c r="AV350" i="11" s="1"/>
  <c r="AS349" i="11"/>
  <c r="AT349" i="11" s="1"/>
  <c r="AB349" i="11"/>
  <c r="AF349" i="11" s="1"/>
  <c r="AE349" i="11" s="1"/>
  <c r="AA349" i="11"/>
  <c r="AC349" i="11" s="1"/>
  <c r="P349" i="11"/>
  <c r="AO349" i="11" s="1"/>
  <c r="AP349" i="11" s="1"/>
  <c r="N349" i="11"/>
  <c r="H349" i="11"/>
  <c r="AS348" i="11"/>
  <c r="AT348" i="11" s="1"/>
  <c r="AB348" i="11"/>
  <c r="AF348" i="11" s="1"/>
  <c r="AE348" i="11" s="1"/>
  <c r="AA348" i="11"/>
  <c r="AC348" i="11" s="1"/>
  <c r="P348" i="11"/>
  <c r="N348" i="11"/>
  <c r="AQ348" i="11" s="1"/>
  <c r="AR348" i="11" s="1"/>
  <c r="H348" i="11"/>
  <c r="AS347" i="11"/>
  <c r="AT347" i="11" s="1"/>
  <c r="AB347" i="11"/>
  <c r="AF347" i="11" s="1"/>
  <c r="AE347" i="11" s="1"/>
  <c r="AA347" i="11"/>
  <c r="AC347" i="11" s="1"/>
  <c r="P347" i="11"/>
  <c r="AO347" i="11" s="1"/>
  <c r="AP347" i="11" s="1"/>
  <c r="N347" i="11"/>
  <c r="AJ347" i="11" s="1"/>
  <c r="AM347" i="11" s="1"/>
  <c r="H347" i="11"/>
  <c r="AS346" i="11"/>
  <c r="AT346" i="11" s="1"/>
  <c r="AB346" i="11"/>
  <c r="AF346" i="11" s="1"/>
  <c r="AE346" i="11" s="1"/>
  <c r="AA346" i="11"/>
  <c r="AC346" i="11" s="1"/>
  <c r="P346" i="11"/>
  <c r="N346" i="11"/>
  <c r="AQ346" i="11" s="1"/>
  <c r="AR346" i="11" s="1"/>
  <c r="H346" i="11"/>
  <c r="AS345" i="11"/>
  <c r="AT345" i="11" s="1"/>
  <c r="AB345" i="11"/>
  <c r="AA345" i="11"/>
  <c r="AC345" i="11" s="1"/>
  <c r="P345" i="11"/>
  <c r="AO345" i="11" s="1"/>
  <c r="AP345" i="11" s="1"/>
  <c r="N345" i="11"/>
  <c r="H345" i="11"/>
  <c r="AS344" i="11"/>
  <c r="AT344" i="11" s="1"/>
  <c r="AB344" i="11"/>
  <c r="AF344" i="11" s="1"/>
  <c r="AE344" i="11" s="1"/>
  <c r="AA344" i="11"/>
  <c r="AC344" i="11" s="1"/>
  <c r="P344" i="11"/>
  <c r="N344" i="11"/>
  <c r="AQ344" i="11" s="1"/>
  <c r="AR344" i="11" s="1"/>
  <c r="H344" i="11"/>
  <c r="AS343" i="11"/>
  <c r="AT343" i="11" s="1"/>
  <c r="AB343" i="11"/>
  <c r="AF343" i="11" s="1"/>
  <c r="AE343" i="11" s="1"/>
  <c r="AA343" i="11"/>
  <c r="AC343" i="11" s="1"/>
  <c r="P343" i="11"/>
  <c r="N343" i="11"/>
  <c r="AJ343" i="11" s="1"/>
  <c r="AM343" i="11" s="1"/>
  <c r="H343" i="11"/>
  <c r="AS342" i="11"/>
  <c r="AT342" i="11" s="1"/>
  <c r="AB342" i="11"/>
  <c r="AF342" i="11" s="1"/>
  <c r="AE342" i="11" s="1"/>
  <c r="AA342" i="11"/>
  <c r="AC342" i="11" s="1"/>
  <c r="P342" i="11"/>
  <c r="N342" i="11"/>
  <c r="AQ342" i="11" s="1"/>
  <c r="AR342" i="11" s="1"/>
  <c r="H342" i="11"/>
  <c r="AS341" i="11"/>
  <c r="AT341" i="11" s="1"/>
  <c r="AB341" i="11"/>
  <c r="AF341" i="11" s="1"/>
  <c r="AE341" i="11" s="1"/>
  <c r="AA341" i="11"/>
  <c r="AC341" i="11" s="1"/>
  <c r="P341" i="11"/>
  <c r="AO341" i="11" s="1"/>
  <c r="AP341" i="11" s="1"/>
  <c r="N341" i="11"/>
  <c r="H341" i="11"/>
  <c r="AS340" i="11"/>
  <c r="AT340" i="11" s="1"/>
  <c r="AB340" i="11"/>
  <c r="AF340" i="11" s="1"/>
  <c r="AE340" i="11" s="1"/>
  <c r="AA340" i="11"/>
  <c r="AC340" i="11" s="1"/>
  <c r="P340" i="11"/>
  <c r="N340" i="11"/>
  <c r="AQ340" i="11" s="1"/>
  <c r="AR340" i="11" s="1"/>
  <c r="H340" i="11"/>
  <c r="AS339" i="11"/>
  <c r="AT339" i="11" s="1"/>
  <c r="AB339" i="11"/>
  <c r="AF339" i="11" s="1"/>
  <c r="AE339" i="11" s="1"/>
  <c r="AA339" i="11"/>
  <c r="AC339" i="11" s="1"/>
  <c r="P339" i="11"/>
  <c r="AO339" i="11" s="1"/>
  <c r="AP339" i="11" s="1"/>
  <c r="N339" i="11"/>
  <c r="AJ339" i="11" s="1"/>
  <c r="AM339" i="11" s="1"/>
  <c r="H339" i="11"/>
  <c r="AT338" i="11"/>
  <c r="AS338" i="11"/>
  <c r="AB338" i="11"/>
  <c r="AF338" i="11" s="1"/>
  <c r="AE338" i="11" s="1"/>
  <c r="AA338" i="11"/>
  <c r="AC338" i="11" s="1"/>
  <c r="P338" i="11"/>
  <c r="N338" i="11"/>
  <c r="AQ338" i="11" s="1"/>
  <c r="AR338" i="11" s="1"/>
  <c r="H338" i="11"/>
  <c r="AU337" i="11"/>
  <c r="AV337" i="11" s="1"/>
  <c r="AO337" i="11"/>
  <c r="AP337" i="11" s="1"/>
  <c r="AB337" i="11"/>
  <c r="AD337" i="11" s="1"/>
  <c r="AA337" i="11"/>
  <c r="S337" i="11"/>
  <c r="O337" i="11"/>
  <c r="AC337" i="11" s="1"/>
  <c r="N337" i="11"/>
  <c r="AJ337" i="11" s="1"/>
  <c r="H337" i="11"/>
  <c r="AS336" i="11"/>
  <c r="AT336" i="11" s="1"/>
  <c r="AB336" i="11"/>
  <c r="AF336" i="11" s="1"/>
  <c r="AE336" i="11" s="1"/>
  <c r="AA336" i="11"/>
  <c r="AC336" i="11" s="1"/>
  <c r="P336" i="11"/>
  <c r="AO336" i="11" s="1"/>
  <c r="AP336" i="11" s="1"/>
  <c r="N336" i="11"/>
  <c r="AJ336" i="11" s="1"/>
  <c r="AM336" i="11" s="1"/>
  <c r="H336" i="11"/>
  <c r="AS335" i="11"/>
  <c r="AT335" i="11" s="1"/>
  <c r="AB335" i="11"/>
  <c r="AF335" i="11" s="1"/>
  <c r="AE335" i="11" s="1"/>
  <c r="AA335" i="11"/>
  <c r="AC335" i="11" s="1"/>
  <c r="P335" i="11"/>
  <c r="N335" i="11"/>
  <c r="AQ335" i="11" s="1"/>
  <c r="AR335" i="11" s="1"/>
  <c r="H335" i="11"/>
  <c r="AS334" i="11"/>
  <c r="AT334" i="11" s="1"/>
  <c r="AB334" i="11"/>
  <c r="AA334" i="11"/>
  <c r="AC334" i="11" s="1"/>
  <c r="P334" i="11"/>
  <c r="AO334" i="11" s="1"/>
  <c r="AP334" i="11" s="1"/>
  <c r="N334" i="11"/>
  <c r="H334" i="11"/>
  <c r="AS333" i="11"/>
  <c r="AT333" i="11" s="1"/>
  <c r="AB333" i="11"/>
  <c r="AF333" i="11" s="1"/>
  <c r="AE333" i="11" s="1"/>
  <c r="AA333" i="11"/>
  <c r="AC333" i="11" s="1"/>
  <c r="P333" i="11"/>
  <c r="N333" i="11"/>
  <c r="AQ333" i="11" s="1"/>
  <c r="AR333" i="11" s="1"/>
  <c r="H333" i="11"/>
  <c r="AS332" i="11"/>
  <c r="AT332" i="11" s="1"/>
  <c r="AB332" i="11"/>
  <c r="AF332" i="11" s="1"/>
  <c r="AE332" i="11" s="1"/>
  <c r="AA332" i="11"/>
  <c r="AC332" i="11" s="1"/>
  <c r="P332" i="11"/>
  <c r="AO332" i="11" s="1"/>
  <c r="AP332" i="11" s="1"/>
  <c r="N332" i="11"/>
  <c r="AJ332" i="11" s="1"/>
  <c r="AM332" i="11" s="1"/>
  <c r="H332" i="11"/>
  <c r="AS331" i="11"/>
  <c r="AT331" i="11" s="1"/>
  <c r="AB331" i="11"/>
  <c r="AF331" i="11" s="1"/>
  <c r="AE331" i="11" s="1"/>
  <c r="AA331" i="11"/>
  <c r="AC331" i="11" s="1"/>
  <c r="P331" i="11"/>
  <c r="N331" i="11"/>
  <c r="AQ331" i="11" s="1"/>
  <c r="AR331" i="11" s="1"/>
  <c r="H331" i="11"/>
  <c r="AS330" i="11"/>
  <c r="AT330" i="11" s="1"/>
  <c r="AB330" i="11"/>
  <c r="AA330" i="11"/>
  <c r="AC330" i="11" s="1"/>
  <c r="P330" i="11"/>
  <c r="AO330" i="11" s="1"/>
  <c r="AP330" i="11" s="1"/>
  <c r="N330" i="11"/>
  <c r="H330" i="11"/>
  <c r="AS329" i="11"/>
  <c r="AT329" i="11" s="1"/>
  <c r="AB329" i="11"/>
  <c r="AF329" i="11" s="1"/>
  <c r="AE329" i="11" s="1"/>
  <c r="AA329" i="11"/>
  <c r="AC329" i="11" s="1"/>
  <c r="P329" i="11"/>
  <c r="N329" i="11"/>
  <c r="AQ329" i="11" s="1"/>
  <c r="AR329" i="11" s="1"/>
  <c r="AS328" i="11"/>
  <c r="AT328" i="11" s="1"/>
  <c r="AB328" i="11"/>
  <c r="AF328" i="11" s="1"/>
  <c r="AE328" i="11" s="1"/>
  <c r="AA328" i="11"/>
  <c r="AC328" i="11" s="1"/>
  <c r="P328" i="11"/>
  <c r="N328" i="11"/>
  <c r="AQ328" i="11" s="1"/>
  <c r="AR328" i="11" s="1"/>
  <c r="AS327" i="11"/>
  <c r="AT327" i="11" s="1"/>
  <c r="AQ327" i="11"/>
  <c r="AR327" i="11" s="1"/>
  <c r="AO327" i="11"/>
  <c r="AP327" i="11" s="1"/>
  <c r="AJ327" i="11"/>
  <c r="AB327" i="11"/>
  <c r="AF327" i="11" s="1"/>
  <c r="AA327" i="11"/>
  <c r="S327" i="11"/>
  <c r="R327" i="11"/>
  <c r="O327" i="11"/>
  <c r="M327" i="11"/>
  <c r="H327" i="11"/>
  <c r="AV326" i="11"/>
  <c r="AT326" i="11"/>
  <c r="AR326" i="11"/>
  <c r="AP326" i="11"/>
  <c r="AH326" i="11"/>
  <c r="AG326" i="11"/>
  <c r="AG325" i="11" s="1"/>
  <c r="Z326" i="11"/>
  <c r="Z325" i="11" s="1"/>
  <c r="X326" i="11"/>
  <c r="X325" i="11" s="1"/>
  <c r="W326" i="11"/>
  <c r="W325" i="11" s="1"/>
  <c r="V326" i="11"/>
  <c r="V325" i="11" s="1"/>
  <c r="U326" i="11"/>
  <c r="U325" i="11" s="1"/>
  <c r="T326" i="11"/>
  <c r="T325" i="11" s="1"/>
  <c r="L326" i="11"/>
  <c r="L325" i="11" s="1"/>
  <c r="K326" i="11"/>
  <c r="K325" i="11" s="1"/>
  <c r="J326" i="11"/>
  <c r="J325" i="11" s="1"/>
  <c r="I326" i="11"/>
  <c r="I325" i="11" s="1"/>
  <c r="AV325" i="11"/>
  <c r="AT325" i="11"/>
  <c r="AR325" i="11"/>
  <c r="AP325" i="11"/>
  <c r="AH325" i="11"/>
  <c r="AU324" i="11"/>
  <c r="AV324" i="11" s="1"/>
  <c r="AQ324" i="11"/>
  <c r="AR324" i="11" s="1"/>
  <c r="AO324" i="11"/>
  <c r="AP324" i="11" s="1"/>
  <c r="AJ324" i="11"/>
  <c r="AB324" i="11"/>
  <c r="AF324" i="11" s="1"/>
  <c r="AE324" i="11" s="1"/>
  <c r="U324" i="11"/>
  <c r="AA324" i="11" s="1"/>
  <c r="S324" i="11"/>
  <c r="Q324" i="11"/>
  <c r="AS324" i="11" s="1"/>
  <c r="AT324" i="11" s="1"/>
  <c r="O324" i="11"/>
  <c r="M324" i="11"/>
  <c r="L324" i="11"/>
  <c r="J324" i="11"/>
  <c r="H324" i="11"/>
  <c r="AU323" i="11"/>
  <c r="AV323" i="11" s="1"/>
  <c r="AQ323" i="11"/>
  <c r="AR323" i="11" s="1"/>
  <c r="AO323" i="11"/>
  <c r="AP323" i="11" s="1"/>
  <c r="AJ323" i="11"/>
  <c r="AM323" i="11" s="1"/>
  <c r="AB323" i="11"/>
  <c r="AF323" i="11" s="1"/>
  <c r="AE323" i="11" s="1"/>
  <c r="Y323" i="11"/>
  <c r="Y318" i="11" s="1"/>
  <c r="Y317" i="11" s="1"/>
  <c r="W323" i="11"/>
  <c r="U323" i="11"/>
  <c r="S323" i="11"/>
  <c r="Q323" i="11"/>
  <c r="AS323" i="11" s="1"/>
  <c r="AT323" i="11" s="1"/>
  <c r="O323" i="11"/>
  <c r="M323" i="11"/>
  <c r="L323" i="11"/>
  <c r="J323" i="11"/>
  <c r="H323" i="11"/>
  <c r="AU322" i="11"/>
  <c r="AV322" i="11" s="1"/>
  <c r="AB322" i="11"/>
  <c r="AF322" i="11" s="1"/>
  <c r="AE322" i="11" s="1"/>
  <c r="U322" i="11"/>
  <c r="AA322" i="11" s="1"/>
  <c r="S322" i="11"/>
  <c r="P322" i="11"/>
  <c r="N322" i="11"/>
  <c r="K322" i="11"/>
  <c r="I322" i="11"/>
  <c r="J322" i="11" s="1"/>
  <c r="H322" i="11"/>
  <c r="AU321" i="11"/>
  <c r="AV321" i="11" s="1"/>
  <c r="AB321" i="11"/>
  <c r="U321" i="11"/>
  <c r="S321" i="11"/>
  <c r="P321" i="11"/>
  <c r="N321" i="11"/>
  <c r="L321" i="11"/>
  <c r="J321" i="11"/>
  <c r="AV320" i="11"/>
  <c r="AT320" i="11"/>
  <c r="AR320" i="11"/>
  <c r="AP320" i="11"/>
  <c r="AV319" i="11"/>
  <c r="AT319" i="11"/>
  <c r="AR319" i="11"/>
  <c r="AP319" i="11"/>
  <c r="AV318" i="11"/>
  <c r="AT318" i="11"/>
  <c r="AR318" i="11"/>
  <c r="AP318" i="11"/>
  <c r="AH318" i="11"/>
  <c r="AH317" i="11" s="1"/>
  <c r="AG318" i="11"/>
  <c r="AG317" i="11" s="1"/>
  <c r="AG316" i="11" s="1"/>
  <c r="Z318" i="11"/>
  <c r="Z317" i="11" s="1"/>
  <c r="Z316" i="11" s="1"/>
  <c r="X318" i="11"/>
  <c r="X317" i="11" s="1"/>
  <c r="W318" i="11"/>
  <c r="W317" i="11" s="1"/>
  <c r="V318" i="11"/>
  <c r="V317" i="11" s="1"/>
  <c r="T318" i="11"/>
  <c r="T317" i="11" s="1"/>
  <c r="T316" i="11" s="1"/>
  <c r="R318" i="11"/>
  <c r="R317" i="11" s="1"/>
  <c r="I318" i="11"/>
  <c r="I317" i="11" s="1"/>
  <c r="I316" i="11" s="1"/>
  <c r="AV317" i="11"/>
  <c r="AT317" i="11"/>
  <c r="AR317" i="11"/>
  <c r="AP317" i="11"/>
  <c r="AV316" i="11"/>
  <c r="AT316" i="11"/>
  <c r="AR316" i="11"/>
  <c r="AP316" i="11"/>
  <c r="AU315" i="11"/>
  <c r="AV315" i="11" s="1"/>
  <c r="AQ315" i="11"/>
  <c r="AR315" i="11" s="1"/>
  <c r="AO315" i="11"/>
  <c r="AP315" i="11" s="1"/>
  <c r="AG315" i="11"/>
  <c r="AB315" i="11"/>
  <c r="AA315" i="11"/>
  <c r="T315" i="11"/>
  <c r="AJ315" i="11" s="1"/>
  <c r="AK315" i="11" s="1"/>
  <c r="Q315" i="11"/>
  <c r="H315" i="11"/>
  <c r="AH315" i="11" s="1"/>
  <c r="AS314" i="11"/>
  <c r="AT314" i="11" s="1"/>
  <c r="AQ314" i="11"/>
  <c r="AR314" i="11" s="1"/>
  <c r="AO314" i="11"/>
  <c r="AP314" i="11" s="1"/>
  <c r="AJ314" i="11"/>
  <c r="AK314" i="11" s="1"/>
  <c r="AH314" i="11"/>
  <c r="AG314" i="11"/>
  <c r="AB314" i="11"/>
  <c r="AB313" i="11" s="1"/>
  <c r="AA314" i="11"/>
  <c r="AC314" i="11" s="1"/>
  <c r="R314" i="11"/>
  <c r="AU314" i="11" s="1"/>
  <c r="AV314" i="11" s="1"/>
  <c r="AV313" i="11"/>
  <c r="AT313" i="11"/>
  <c r="AR313" i="11"/>
  <c r="AP313" i="11"/>
  <c r="Z313" i="11"/>
  <c r="Y313" i="11"/>
  <c r="X313" i="11"/>
  <c r="W313" i="11"/>
  <c r="V313" i="11"/>
  <c r="U313" i="11"/>
  <c r="T313" i="11"/>
  <c r="S313" i="11"/>
  <c r="P313" i="11"/>
  <c r="O313" i="11"/>
  <c r="N313" i="11"/>
  <c r="M313" i="11"/>
  <c r="L313" i="11"/>
  <c r="K313" i="11"/>
  <c r="J313" i="11"/>
  <c r="I313" i="11"/>
  <c r="H313" i="11"/>
  <c r="G313" i="11"/>
  <c r="AU312" i="11"/>
  <c r="AV312" i="11" s="1"/>
  <c r="AQ312" i="11"/>
  <c r="AR312" i="11" s="1"/>
  <c r="AO312" i="11"/>
  <c r="AP312" i="11" s="1"/>
  <c r="AJ312" i="11"/>
  <c r="AB312" i="11"/>
  <c r="AD312" i="11" s="1"/>
  <c r="AA312" i="11"/>
  <c r="S312" i="11"/>
  <c r="Q312" i="11" s="1"/>
  <c r="O312" i="11"/>
  <c r="AC312" i="11" s="1"/>
  <c r="G312" i="11"/>
  <c r="AU311" i="11"/>
  <c r="AV311" i="11" s="1"/>
  <c r="AQ311" i="11"/>
  <c r="AR311" i="11" s="1"/>
  <c r="AO311" i="11"/>
  <c r="AP311" i="11" s="1"/>
  <c r="AJ311" i="11"/>
  <c r="AK311" i="11" s="1"/>
  <c r="AB311" i="11"/>
  <c r="AA311" i="11"/>
  <c r="S311" i="11"/>
  <c r="Q311" i="11" s="1"/>
  <c r="O311" i="11"/>
  <c r="G311" i="11"/>
  <c r="AU310" i="11"/>
  <c r="AV310" i="11" s="1"/>
  <c r="AQ310" i="11"/>
  <c r="AB310" i="11"/>
  <c r="AA310" i="11"/>
  <c r="T310" i="11"/>
  <c r="P310" i="11"/>
  <c r="AO310" i="11" s="1"/>
  <c r="AP310" i="11" s="1"/>
  <c r="H310" i="11"/>
  <c r="G310" i="11" s="1"/>
  <c r="AU309" i="11"/>
  <c r="AV309" i="11" s="1"/>
  <c r="AS309" i="11"/>
  <c r="AT309" i="11" s="1"/>
  <c r="AB309" i="11"/>
  <c r="AA309" i="11"/>
  <c r="AC309" i="11" s="1"/>
  <c r="T309" i="11"/>
  <c r="P309" i="11"/>
  <c r="AO309" i="11" s="1"/>
  <c r="AP309" i="11" s="1"/>
  <c r="N309" i="11"/>
  <c r="AJ309" i="11" s="1"/>
  <c r="AM309" i="11" s="1"/>
  <c r="H309" i="11"/>
  <c r="AU308" i="11"/>
  <c r="AV308" i="11" s="1"/>
  <c r="AS308" i="11"/>
  <c r="AT308" i="11" s="1"/>
  <c r="AQ308" i="11"/>
  <c r="AR308" i="11" s="1"/>
  <c r="AO308" i="11"/>
  <c r="AP308" i="11" s="1"/>
  <c r="AB308" i="11"/>
  <c r="AA308" i="11"/>
  <c r="T308" i="11"/>
  <c r="AJ308" i="11" s="1"/>
  <c r="M308" i="11"/>
  <c r="O308" i="11" s="1"/>
  <c r="AC308" i="11" s="1"/>
  <c r="H308" i="11"/>
  <c r="AS307" i="11"/>
  <c r="AT307" i="11" s="1"/>
  <c r="AQ307" i="11"/>
  <c r="AR307" i="11" s="1"/>
  <c r="AO307" i="11"/>
  <c r="AP307" i="11" s="1"/>
  <c r="AJ307" i="11"/>
  <c r="AK307" i="11" s="1"/>
  <c r="AB307" i="11"/>
  <c r="AA307" i="11"/>
  <c r="AC307" i="11" s="1"/>
  <c r="R307" i="11"/>
  <c r="AU306" i="11"/>
  <c r="AV306" i="11" s="1"/>
  <c r="AB306" i="11"/>
  <c r="AF306" i="11" s="1"/>
  <c r="AE306" i="11" s="1"/>
  <c r="Y306" i="11"/>
  <c r="AA306" i="11" s="1"/>
  <c r="H306" i="11"/>
  <c r="N306" i="11" s="1"/>
  <c r="M306" i="11" s="1"/>
  <c r="AU305" i="11"/>
  <c r="AV305" i="11" s="1"/>
  <c r="AQ305" i="11"/>
  <c r="AR305" i="11" s="1"/>
  <c r="AB305" i="11"/>
  <c r="AF305" i="11" s="1"/>
  <c r="AE305" i="11" s="1"/>
  <c r="Y305" i="11"/>
  <c r="W305" i="11"/>
  <c r="P305" i="11"/>
  <c r="M305" i="11"/>
  <c r="G305" i="11"/>
  <c r="AS304" i="11"/>
  <c r="AT304" i="11" s="1"/>
  <c r="AQ304" i="11"/>
  <c r="AR304" i="11" s="1"/>
  <c r="AO304" i="11"/>
  <c r="AP304" i="11" s="1"/>
  <c r="AJ304" i="11"/>
  <c r="AK304" i="11" s="1"/>
  <c r="AB304" i="11"/>
  <c r="AA304" i="11"/>
  <c r="AC304" i="11" s="1"/>
  <c r="R304" i="11"/>
  <c r="M304" i="11"/>
  <c r="G304" i="11"/>
  <c r="AU303" i="11"/>
  <c r="AV303" i="11" s="1"/>
  <c r="AQ303" i="11"/>
  <c r="AR303" i="11" s="1"/>
  <c r="AO303" i="11"/>
  <c r="AP303" i="11" s="1"/>
  <c r="AJ303" i="11"/>
  <c r="AB303" i="11"/>
  <c r="AA303" i="11"/>
  <c r="S303" i="11"/>
  <c r="Q303" i="11"/>
  <c r="AS303" i="11" s="1"/>
  <c r="AT303" i="11" s="1"/>
  <c r="O303" i="11"/>
  <c r="M303" i="11"/>
  <c r="G303" i="11"/>
  <c r="AU302" i="11"/>
  <c r="AV302" i="11" s="1"/>
  <c r="AB302" i="11"/>
  <c r="AF302" i="11" s="1"/>
  <c r="AE302" i="11" s="1"/>
  <c r="Y302" i="11"/>
  <c r="W302" i="11"/>
  <c r="T302" i="11"/>
  <c r="P302" i="11"/>
  <c r="AO302" i="11" s="1"/>
  <c r="AP302" i="11" s="1"/>
  <c r="N302" i="11"/>
  <c r="AQ302" i="11" s="1"/>
  <c r="AR302" i="11" s="1"/>
  <c r="H302" i="11"/>
  <c r="AU301" i="11"/>
  <c r="AV301" i="11" s="1"/>
  <c r="AQ301" i="11"/>
  <c r="AR301" i="11" s="1"/>
  <c r="AO301" i="11"/>
  <c r="AP301" i="11" s="1"/>
  <c r="AJ301" i="11"/>
  <c r="AK301" i="11" s="1"/>
  <c r="AB301" i="11"/>
  <c r="AF301" i="11" s="1"/>
  <c r="AE301" i="11" s="1"/>
  <c r="Y301" i="11"/>
  <c r="W301" i="11"/>
  <c r="S301" i="11"/>
  <c r="Q301" i="11"/>
  <c r="AS301" i="11" s="1"/>
  <c r="AT301" i="11" s="1"/>
  <c r="O301" i="11"/>
  <c r="M301" i="11"/>
  <c r="H301" i="11"/>
  <c r="AU300" i="11"/>
  <c r="AV300" i="11" s="1"/>
  <c r="AQ300" i="11"/>
  <c r="AR300" i="11" s="1"/>
  <c r="AO300" i="11"/>
  <c r="AP300" i="11" s="1"/>
  <c r="AJ300" i="11"/>
  <c r="AK300" i="11" s="1"/>
  <c r="AB300" i="11"/>
  <c r="AF300" i="11" s="1"/>
  <c r="AE300" i="11" s="1"/>
  <c r="Y300" i="11"/>
  <c r="W300" i="11"/>
  <c r="Q300" i="11"/>
  <c r="AS300" i="11" s="1"/>
  <c r="AT300" i="11" s="1"/>
  <c r="AU299" i="11"/>
  <c r="AV299" i="11" s="1"/>
  <c r="AQ299" i="11"/>
  <c r="AR299" i="11" s="1"/>
  <c r="AO299" i="11"/>
  <c r="AP299" i="11" s="1"/>
  <c r="AJ299" i="11"/>
  <c r="AK299" i="11" s="1"/>
  <c r="AB299" i="11"/>
  <c r="AF299" i="11" s="1"/>
  <c r="AE299" i="11" s="1"/>
  <c r="Y299" i="11"/>
  <c r="W299" i="11"/>
  <c r="S299" i="11"/>
  <c r="Q299" i="11"/>
  <c r="AS299" i="11" s="1"/>
  <c r="AT299" i="11" s="1"/>
  <c r="O299" i="11"/>
  <c r="M299" i="11"/>
  <c r="H299" i="11"/>
  <c r="AU298" i="11"/>
  <c r="AV298" i="11" s="1"/>
  <c r="AQ298" i="11"/>
  <c r="AR298" i="11" s="1"/>
  <c r="AO298" i="11"/>
  <c r="AP298" i="11" s="1"/>
  <c r="AJ298" i="11"/>
  <c r="AK298" i="11" s="1"/>
  <c r="AB298" i="11"/>
  <c r="AF298" i="11" s="1"/>
  <c r="AE298" i="11" s="1"/>
  <c r="Y298" i="11"/>
  <c r="W298" i="11"/>
  <c r="S298" i="11"/>
  <c r="Q298" i="11"/>
  <c r="AS298" i="11" s="1"/>
  <c r="AT298" i="11" s="1"/>
  <c r="O298" i="11"/>
  <c r="M298" i="11"/>
  <c r="H298" i="11"/>
  <c r="AU297" i="11"/>
  <c r="AV297" i="11" s="1"/>
  <c r="AQ297" i="11"/>
  <c r="AR297" i="11" s="1"/>
  <c r="AO297" i="11"/>
  <c r="AP297" i="11" s="1"/>
  <c r="AB297" i="11"/>
  <c r="AF297" i="11" s="1"/>
  <c r="AE297" i="11" s="1"/>
  <c r="U297" i="11"/>
  <c r="AA297" i="11" s="1"/>
  <c r="T297" i="11"/>
  <c r="S297" i="11" s="1"/>
  <c r="O297" i="11"/>
  <c r="M297" i="11"/>
  <c r="H297" i="11"/>
  <c r="AU296" i="11"/>
  <c r="AV296" i="11" s="1"/>
  <c r="AQ296" i="11"/>
  <c r="AR296" i="11" s="1"/>
  <c r="AO296" i="11"/>
  <c r="AP296" i="11" s="1"/>
  <c r="AJ296" i="11"/>
  <c r="AK296" i="11" s="1"/>
  <c r="AB296" i="11"/>
  <c r="AF296" i="11" s="1"/>
  <c r="AE296" i="11" s="1"/>
  <c r="Y296" i="11"/>
  <c r="W296" i="11"/>
  <c r="U296" i="11"/>
  <c r="S296" i="11"/>
  <c r="Q296" i="11"/>
  <c r="AS296" i="11" s="1"/>
  <c r="AT296" i="11" s="1"/>
  <c r="O296" i="11"/>
  <c r="M296" i="11"/>
  <c r="H296" i="11"/>
  <c r="AS295" i="11"/>
  <c r="AT295" i="11" s="1"/>
  <c r="AQ295" i="11"/>
  <c r="AR295" i="11" s="1"/>
  <c r="AO295" i="11"/>
  <c r="AP295" i="11" s="1"/>
  <c r="AJ295" i="11"/>
  <c r="AB295" i="11"/>
  <c r="U295" i="11"/>
  <c r="AA295" i="11" s="1"/>
  <c r="S295" i="11"/>
  <c r="R295" i="11"/>
  <c r="AU295" i="11" s="1"/>
  <c r="AV295" i="11" s="1"/>
  <c r="O295" i="11"/>
  <c r="M295" i="11"/>
  <c r="H295" i="11"/>
  <c r="AU294" i="11"/>
  <c r="AV294" i="11" s="1"/>
  <c r="AQ294" i="11"/>
  <c r="AR294" i="11" s="1"/>
  <c r="AO294" i="11"/>
  <c r="AP294" i="11" s="1"/>
  <c r="AJ294" i="11"/>
  <c r="AK294" i="11" s="1"/>
  <c r="AB294" i="11"/>
  <c r="AF294" i="11" s="1"/>
  <c r="AE294" i="11" s="1"/>
  <c r="Y294" i="11"/>
  <c r="W294" i="11"/>
  <c r="Q294" i="11"/>
  <c r="O294" i="11"/>
  <c r="S294" i="11" s="1"/>
  <c r="H294" i="11"/>
  <c r="AS293" i="11"/>
  <c r="AT293" i="11" s="1"/>
  <c r="AQ293" i="11"/>
  <c r="AR293" i="11" s="1"/>
  <c r="AO293" i="11"/>
  <c r="AP293" i="11" s="1"/>
  <c r="AJ293" i="11"/>
  <c r="AM293" i="11" s="1"/>
  <c r="AB293" i="11"/>
  <c r="AD293" i="11" s="1"/>
  <c r="U293" i="11"/>
  <c r="S293" i="11"/>
  <c r="R293" i="11"/>
  <c r="AU293" i="11" s="1"/>
  <c r="AV293" i="11" s="1"/>
  <c r="O293" i="11"/>
  <c r="M293" i="11"/>
  <c r="H293" i="11"/>
  <c r="AS292" i="11"/>
  <c r="AT292" i="11" s="1"/>
  <c r="AQ292" i="11"/>
  <c r="AR292" i="11" s="1"/>
  <c r="AO292" i="11"/>
  <c r="AP292" i="11" s="1"/>
  <c r="AJ292" i="11"/>
  <c r="AB292" i="11"/>
  <c r="AF292" i="11" s="1"/>
  <c r="AE292" i="11" s="1"/>
  <c r="Y292" i="11"/>
  <c r="W292" i="11"/>
  <c r="U292" i="11"/>
  <c r="S292" i="11"/>
  <c r="R292" i="11"/>
  <c r="O292" i="11"/>
  <c r="M292" i="11"/>
  <c r="H292" i="11"/>
  <c r="AV291" i="11"/>
  <c r="AT291" i="11"/>
  <c r="AR291" i="11"/>
  <c r="AP291" i="11"/>
  <c r="AH291" i="11"/>
  <c r="AG291" i="11"/>
  <c r="Z291" i="11"/>
  <c r="X291" i="11"/>
  <c r="V291" i="11"/>
  <c r="V290" i="11" s="1"/>
  <c r="N291" i="11"/>
  <c r="L291" i="11"/>
  <c r="K291" i="11"/>
  <c r="K290" i="11" s="1"/>
  <c r="J291" i="11"/>
  <c r="I291" i="11"/>
  <c r="AV290" i="11"/>
  <c r="AT290" i="11"/>
  <c r="AR290" i="11"/>
  <c r="AP290" i="11"/>
  <c r="AU289" i="11"/>
  <c r="AV289" i="11" s="1"/>
  <c r="AQ289" i="11"/>
  <c r="AR289" i="11" s="1"/>
  <c r="AO289" i="11"/>
  <c r="AP289" i="11" s="1"/>
  <c r="AJ289" i="11"/>
  <c r="AM289" i="11" s="1"/>
  <c r="AB289" i="11"/>
  <c r="AF289" i="11" s="1"/>
  <c r="AE289" i="11" s="1"/>
  <c r="Y289" i="11"/>
  <c r="Y283" i="11" s="1"/>
  <c r="Y282" i="11" s="1"/>
  <c r="W289" i="11"/>
  <c r="W283" i="11" s="1"/>
  <c r="W282" i="11" s="1"/>
  <c r="U289" i="11"/>
  <c r="S289" i="11"/>
  <c r="Q289" i="11"/>
  <c r="AS289" i="11" s="1"/>
  <c r="AT289" i="11" s="1"/>
  <c r="AS288" i="11"/>
  <c r="AT288" i="11" s="1"/>
  <c r="AB288" i="11"/>
  <c r="AF288" i="11" s="1"/>
  <c r="AE288" i="11" s="1"/>
  <c r="U288" i="11"/>
  <c r="AA288" i="11" s="1"/>
  <c r="AC288" i="11" s="1"/>
  <c r="S288" i="11"/>
  <c r="P288" i="11"/>
  <c r="AO288" i="11" s="1"/>
  <c r="AP288" i="11" s="1"/>
  <c r="N288" i="11"/>
  <c r="AJ288" i="11" s="1"/>
  <c r="AM288" i="11" s="1"/>
  <c r="K288" i="11"/>
  <c r="I288" i="11"/>
  <c r="H288" i="11"/>
  <c r="AU287" i="11"/>
  <c r="AV287" i="11" s="1"/>
  <c r="AB287" i="11"/>
  <c r="AF287" i="11" s="1"/>
  <c r="AE287" i="11" s="1"/>
  <c r="U287" i="11"/>
  <c r="AA287" i="11" s="1"/>
  <c r="AC287" i="11" s="1"/>
  <c r="T287" i="11"/>
  <c r="T283" i="11" s="1"/>
  <c r="T282" i="11" s="1"/>
  <c r="P287" i="11"/>
  <c r="N287" i="11"/>
  <c r="K287" i="11"/>
  <c r="I287" i="11"/>
  <c r="H287" i="11"/>
  <c r="AS286" i="11"/>
  <c r="AT286" i="11" s="1"/>
  <c r="AB286" i="11"/>
  <c r="AF286" i="11" s="1"/>
  <c r="U286" i="11"/>
  <c r="S286" i="11"/>
  <c r="S283" i="11" s="1"/>
  <c r="S282" i="11" s="1"/>
  <c r="P286" i="11"/>
  <c r="N286" i="11"/>
  <c r="AJ286" i="11" s="1"/>
  <c r="AM286" i="11" s="1"/>
  <c r="K286" i="11"/>
  <c r="I286" i="11"/>
  <c r="AV285" i="11"/>
  <c r="AT285" i="11"/>
  <c r="AR285" i="11"/>
  <c r="AP285" i="11"/>
  <c r="AJ285" i="11"/>
  <c r="AV284" i="11"/>
  <c r="AT284" i="11"/>
  <c r="AR284" i="11"/>
  <c r="AP284" i="11"/>
  <c r="AJ284" i="11"/>
  <c r="AV283" i="11"/>
  <c r="AT283" i="11"/>
  <c r="AR283" i="11"/>
  <c r="AP283" i="11"/>
  <c r="AH283" i="11"/>
  <c r="AH282" i="11" s="1"/>
  <c r="AG283" i="11"/>
  <c r="AG282" i="11" s="1"/>
  <c r="Z283" i="11"/>
  <c r="Z282" i="11" s="1"/>
  <c r="X283" i="11"/>
  <c r="X282" i="11" s="1"/>
  <c r="V283" i="11"/>
  <c r="V282" i="11" s="1"/>
  <c r="O283" i="11"/>
  <c r="O282" i="11" s="1"/>
  <c r="M283" i="11"/>
  <c r="M282" i="11" s="1"/>
  <c r="L283" i="11"/>
  <c r="L282" i="11" s="1"/>
  <c r="J283" i="11"/>
  <c r="J282" i="11" s="1"/>
  <c r="G283" i="11"/>
  <c r="G282" i="11" s="1"/>
  <c r="AV282" i="11"/>
  <c r="AT282" i="11"/>
  <c r="AR282" i="11"/>
  <c r="AP282" i="11"/>
  <c r="AV281" i="11"/>
  <c r="AT281" i="11"/>
  <c r="AR281" i="11"/>
  <c r="AP281" i="11"/>
  <c r="AU280" i="11"/>
  <c r="AV280" i="11" s="1"/>
  <c r="AQ280" i="11"/>
  <c r="AR280" i="11" s="1"/>
  <c r="AO280" i="11"/>
  <c r="AP280" i="11" s="1"/>
  <c r="AJ280" i="11"/>
  <c r="AB280" i="11"/>
  <c r="AA280" i="11"/>
  <c r="S280" i="11"/>
  <c r="Q280" i="11"/>
  <c r="AS280" i="11" s="1"/>
  <c r="AT280" i="11" s="1"/>
  <c r="O280" i="11"/>
  <c r="M280" i="11"/>
  <c r="AU279" i="11"/>
  <c r="AV279" i="11" s="1"/>
  <c r="AQ279" i="11"/>
  <c r="AR279" i="11" s="1"/>
  <c r="AO279" i="11"/>
  <c r="AP279" i="11" s="1"/>
  <c r="AJ279" i="11"/>
  <c r="AM279" i="11" s="1"/>
  <c r="AB279" i="11"/>
  <c r="AA279" i="11"/>
  <c r="S279" i="11"/>
  <c r="Q279" i="11"/>
  <c r="AS279" i="11" s="1"/>
  <c r="AT279" i="11" s="1"/>
  <c r="O279" i="11"/>
  <c r="M279" i="11"/>
  <c r="AU278" i="11"/>
  <c r="AV278" i="11" s="1"/>
  <c r="AQ278" i="11"/>
  <c r="AR278" i="11" s="1"/>
  <c r="AO278" i="11"/>
  <c r="AP278" i="11" s="1"/>
  <c r="AJ278" i="11"/>
  <c r="AK278" i="11" s="1"/>
  <c r="AB278" i="11"/>
  <c r="AA278" i="11"/>
  <c r="S278" i="11"/>
  <c r="Q278" i="11"/>
  <c r="AS278" i="11" s="1"/>
  <c r="AT278" i="11" s="1"/>
  <c r="O278" i="11"/>
  <c r="M278" i="11"/>
  <c r="AU277" i="11"/>
  <c r="AV277" i="11" s="1"/>
  <c r="AQ277" i="11"/>
  <c r="AR277" i="11" s="1"/>
  <c r="AO277" i="11"/>
  <c r="AP277" i="11" s="1"/>
  <c r="AJ277" i="11"/>
  <c r="AM277" i="11" s="1"/>
  <c r="AB277" i="11"/>
  <c r="AD277" i="11" s="1"/>
  <c r="AA277" i="11"/>
  <c r="S277" i="11"/>
  <c r="Q277" i="11"/>
  <c r="AS277" i="11" s="1"/>
  <c r="AT277" i="11" s="1"/>
  <c r="O277" i="11"/>
  <c r="M277" i="11"/>
  <c r="AU276" i="11"/>
  <c r="AV276" i="11" s="1"/>
  <c r="AQ276" i="11"/>
  <c r="AR276" i="11" s="1"/>
  <c r="AO276" i="11"/>
  <c r="AP276" i="11" s="1"/>
  <c r="AJ276" i="11"/>
  <c r="AK276" i="11" s="1"/>
  <c r="AB276" i="11"/>
  <c r="AA276" i="11"/>
  <c r="S276" i="11"/>
  <c r="Q276" i="11"/>
  <c r="AS276" i="11" s="1"/>
  <c r="AT276" i="11" s="1"/>
  <c r="O276" i="11"/>
  <c r="M276" i="11"/>
  <c r="AU275" i="11"/>
  <c r="AV275" i="11" s="1"/>
  <c r="AQ275" i="11"/>
  <c r="AR275" i="11" s="1"/>
  <c r="AO275" i="11"/>
  <c r="AP275" i="11" s="1"/>
  <c r="AJ275" i="11"/>
  <c r="AM275" i="11" s="1"/>
  <c r="AB275" i="11"/>
  <c r="AA275" i="11"/>
  <c r="S275" i="11"/>
  <c r="Q275" i="11"/>
  <c r="AS275" i="11" s="1"/>
  <c r="AT275" i="11" s="1"/>
  <c r="O275" i="11"/>
  <c r="M275" i="11"/>
  <c r="AU274" i="11"/>
  <c r="AV274" i="11" s="1"/>
  <c r="AQ274" i="11"/>
  <c r="AR274" i="11" s="1"/>
  <c r="AO274" i="11"/>
  <c r="AP274" i="11" s="1"/>
  <c r="AJ274" i="11"/>
  <c r="AK274" i="11" s="1"/>
  <c r="AB274" i="11"/>
  <c r="AA274" i="11"/>
  <c r="S274" i="11"/>
  <c r="Q274" i="11"/>
  <c r="AS274" i="11" s="1"/>
  <c r="AT274" i="11" s="1"/>
  <c r="O274" i="11"/>
  <c r="M274" i="11"/>
  <c r="AU273" i="11"/>
  <c r="AV273" i="11" s="1"/>
  <c r="AQ273" i="11"/>
  <c r="AR273" i="11" s="1"/>
  <c r="AO273" i="11"/>
  <c r="AP273" i="11" s="1"/>
  <c r="AJ273" i="11"/>
  <c r="AM273" i="11" s="1"/>
  <c r="AB273" i="11"/>
  <c r="AD273" i="11" s="1"/>
  <c r="AA273" i="11"/>
  <c r="S273" i="11"/>
  <c r="Q273" i="11"/>
  <c r="AS273" i="11" s="1"/>
  <c r="AT273" i="11" s="1"/>
  <c r="O273" i="11"/>
  <c r="M273" i="11"/>
  <c r="AU272" i="11"/>
  <c r="AV272" i="11" s="1"/>
  <c r="AQ272" i="11"/>
  <c r="AR272" i="11" s="1"/>
  <c r="AO272" i="11"/>
  <c r="AP272" i="11" s="1"/>
  <c r="AJ272" i="11"/>
  <c r="AK272" i="11" s="1"/>
  <c r="AB272" i="11"/>
  <c r="AA272" i="11"/>
  <c r="S272" i="11"/>
  <c r="Q272" i="11"/>
  <c r="AS272" i="11" s="1"/>
  <c r="AT272" i="11" s="1"/>
  <c r="O272" i="11"/>
  <c r="M272" i="11"/>
  <c r="G272" i="11"/>
  <c r="G269" i="11" s="1"/>
  <c r="AS271" i="11"/>
  <c r="AT271" i="11" s="1"/>
  <c r="AQ271" i="11"/>
  <c r="AR271" i="11" s="1"/>
  <c r="AO271" i="11"/>
  <c r="AP271" i="11" s="1"/>
  <c r="AJ271" i="11"/>
  <c r="AK271" i="11" s="1"/>
  <c r="AB271" i="11"/>
  <c r="AA271" i="11"/>
  <c r="S271" i="11"/>
  <c r="R271" i="11"/>
  <c r="O271" i="11"/>
  <c r="AG271" i="11" s="1"/>
  <c r="M271" i="11"/>
  <c r="H271" i="11"/>
  <c r="AH271" i="11" s="1"/>
  <c r="AU270" i="11"/>
  <c r="AV270" i="11" s="1"/>
  <c r="AQ270" i="11"/>
  <c r="AR270" i="11" s="1"/>
  <c r="AO270" i="11"/>
  <c r="AP270" i="11" s="1"/>
  <c r="AJ270" i="11"/>
  <c r="AK270" i="11" s="1"/>
  <c r="AB270" i="11"/>
  <c r="AA270" i="11"/>
  <c r="S270" i="11"/>
  <c r="Q270" i="11"/>
  <c r="AS270" i="11" s="1"/>
  <c r="AT270" i="11" s="1"/>
  <c r="O270" i="11"/>
  <c r="AG270" i="11" s="1"/>
  <c r="M270" i="11"/>
  <c r="H270" i="11"/>
  <c r="AV269" i="11"/>
  <c r="AT269" i="11"/>
  <c r="AR269" i="11"/>
  <c r="AP269" i="11"/>
  <c r="T269" i="11"/>
  <c r="P269" i="11"/>
  <c r="N269" i="11"/>
  <c r="L269" i="11"/>
  <c r="K269" i="11"/>
  <c r="J269" i="11"/>
  <c r="I269" i="11"/>
  <c r="AU268" i="11"/>
  <c r="AV268" i="11" s="1"/>
  <c r="AQ268" i="11"/>
  <c r="AJ268" i="11"/>
  <c r="AB268" i="11"/>
  <c r="AA268" i="11"/>
  <c r="AC268" i="11" s="1"/>
  <c r="Q268" i="11"/>
  <c r="P268" i="11"/>
  <c r="AU267" i="11"/>
  <c r="AV267" i="11" s="1"/>
  <c r="AQ267" i="11"/>
  <c r="AJ267" i="11"/>
  <c r="AK267" i="11" s="1"/>
  <c r="AB267" i="11"/>
  <c r="AA267" i="11"/>
  <c r="S267" i="11"/>
  <c r="Q267" i="11"/>
  <c r="P267" i="11"/>
  <c r="G267" i="11"/>
  <c r="AU266" i="11"/>
  <c r="AV266" i="11" s="1"/>
  <c r="AQ266" i="11"/>
  <c r="AR266" i="11" s="1"/>
  <c r="AO266" i="11"/>
  <c r="AP266" i="11" s="1"/>
  <c r="AJ266" i="11"/>
  <c r="AK266" i="11" s="1"/>
  <c r="AB266" i="11"/>
  <c r="AA266" i="11"/>
  <c r="S266" i="11"/>
  <c r="Q266" i="11"/>
  <c r="O266" i="11"/>
  <c r="AU265" i="11"/>
  <c r="AV265" i="11" s="1"/>
  <c r="AQ265" i="11"/>
  <c r="AR265" i="11" s="1"/>
  <c r="AO265" i="11"/>
  <c r="AP265" i="11" s="1"/>
  <c r="AJ265" i="11"/>
  <c r="AK265" i="11" s="1"/>
  <c r="AB265" i="11"/>
  <c r="AA265" i="11"/>
  <c r="AC265" i="11" s="1"/>
  <c r="Q265" i="11"/>
  <c r="AS265" i="11" s="1"/>
  <c r="AT265" i="11" s="1"/>
  <c r="AU264" i="11"/>
  <c r="AV264" i="11" s="1"/>
  <c r="AQ264" i="11"/>
  <c r="AR264" i="11" s="1"/>
  <c r="AO264" i="11"/>
  <c r="AP264" i="11" s="1"/>
  <c r="AJ264" i="11"/>
  <c r="AK264" i="11" s="1"/>
  <c r="AB264" i="11"/>
  <c r="AA264" i="11"/>
  <c r="S264" i="11"/>
  <c r="Q264" i="11"/>
  <c r="AS264" i="11" s="1"/>
  <c r="AT264" i="11" s="1"/>
  <c r="O264" i="11"/>
  <c r="M264" i="11"/>
  <c r="H264" i="11"/>
  <c r="AU263" i="11"/>
  <c r="AV263" i="11" s="1"/>
  <c r="AQ263" i="11"/>
  <c r="AR263" i="11" s="1"/>
  <c r="AO263" i="11"/>
  <c r="AP263" i="11" s="1"/>
  <c r="AJ263" i="11"/>
  <c r="AK263" i="11" s="1"/>
  <c r="AB263" i="11"/>
  <c r="AA263" i="11"/>
  <c r="S263" i="11"/>
  <c r="Q263" i="11"/>
  <c r="AS263" i="11" s="1"/>
  <c r="AT263" i="11" s="1"/>
  <c r="O263" i="11"/>
  <c r="M263" i="11"/>
  <c r="H263" i="11"/>
  <c r="AU262" i="11"/>
  <c r="AV262" i="11" s="1"/>
  <c r="AQ262" i="11"/>
  <c r="AR262" i="11" s="1"/>
  <c r="AO262" i="11"/>
  <c r="AP262" i="11" s="1"/>
  <c r="AJ262" i="11"/>
  <c r="AK262" i="11" s="1"/>
  <c r="AB262" i="11"/>
  <c r="AA262" i="11"/>
  <c r="S262" i="11"/>
  <c r="Q262" i="11"/>
  <c r="AS262" i="11" s="1"/>
  <c r="AT262" i="11" s="1"/>
  <c r="O262" i="11"/>
  <c r="M262" i="11"/>
  <c r="H262" i="11"/>
  <c r="AU261" i="11"/>
  <c r="AV261" i="11" s="1"/>
  <c r="AQ261" i="11"/>
  <c r="AR261" i="11" s="1"/>
  <c r="AO261" i="11"/>
  <c r="AP261" i="11" s="1"/>
  <c r="AJ261" i="11"/>
  <c r="AK261" i="11" s="1"/>
  <c r="AB261" i="11"/>
  <c r="AA261" i="11"/>
  <c r="S261" i="11"/>
  <c r="Q261" i="11"/>
  <c r="AS261" i="11" s="1"/>
  <c r="AT261" i="11" s="1"/>
  <c r="O261" i="11"/>
  <c r="M261" i="11"/>
  <c r="H261" i="11"/>
  <c r="AS260" i="11"/>
  <c r="AT260" i="11" s="1"/>
  <c r="AQ260" i="11"/>
  <c r="AR260" i="11" s="1"/>
  <c r="AO260" i="11"/>
  <c r="AP260" i="11" s="1"/>
  <c r="AJ260" i="11"/>
  <c r="AK260" i="11" s="1"/>
  <c r="AB260" i="11"/>
  <c r="AF260" i="11" s="1"/>
  <c r="AE260" i="11" s="1"/>
  <c r="Y260" i="11"/>
  <c r="AA260" i="11" s="1"/>
  <c r="S260" i="11"/>
  <c r="R260" i="11"/>
  <c r="AU260" i="11" s="1"/>
  <c r="AV260" i="11" s="1"/>
  <c r="O260" i="11"/>
  <c r="M260" i="11"/>
  <c r="G260" i="11"/>
  <c r="AU259" i="11"/>
  <c r="AV259" i="11" s="1"/>
  <c r="AQ259" i="11"/>
  <c r="AR259" i="11" s="1"/>
  <c r="AO259" i="11"/>
  <c r="AP259" i="11" s="1"/>
  <c r="AJ259" i="11"/>
  <c r="AM259" i="11" s="1"/>
  <c r="AB259" i="11"/>
  <c r="AF259" i="11" s="1"/>
  <c r="AE259" i="11" s="1"/>
  <c r="Y259" i="11"/>
  <c r="AA259" i="11" s="1"/>
  <c r="S259" i="11"/>
  <c r="Q259" i="11"/>
  <c r="AS259" i="11" s="1"/>
  <c r="AT259" i="11" s="1"/>
  <c r="O259" i="11"/>
  <c r="M259" i="11"/>
  <c r="G259" i="11"/>
  <c r="AS258" i="11"/>
  <c r="AT258" i="11" s="1"/>
  <c r="AQ258" i="11"/>
  <c r="AR258" i="11" s="1"/>
  <c r="AO258" i="11"/>
  <c r="AP258" i="11" s="1"/>
  <c r="AJ258" i="11"/>
  <c r="AK258" i="11" s="1"/>
  <c r="AB258" i="11"/>
  <c r="AA258" i="11"/>
  <c r="S258" i="11"/>
  <c r="R258" i="11"/>
  <c r="AU258" i="11" s="1"/>
  <c r="AV258" i="11" s="1"/>
  <c r="O258" i="11"/>
  <c r="M258" i="11"/>
  <c r="G258" i="11"/>
  <c r="AS257" i="11"/>
  <c r="AT257" i="11" s="1"/>
  <c r="AQ257" i="11"/>
  <c r="AR257" i="11" s="1"/>
  <c r="AO257" i="11"/>
  <c r="AP257" i="11" s="1"/>
  <c r="AJ257" i="11"/>
  <c r="AK257" i="11" s="1"/>
  <c r="AB257" i="11"/>
  <c r="AA257" i="11"/>
  <c r="AC257" i="11" s="1"/>
  <c r="R257" i="11"/>
  <c r="M257" i="11"/>
  <c r="G257" i="11"/>
  <c r="AS256" i="11"/>
  <c r="AT256" i="11" s="1"/>
  <c r="AQ256" i="11"/>
  <c r="AR256" i="11" s="1"/>
  <c r="AJ256" i="11"/>
  <c r="AK256" i="11" s="1"/>
  <c r="AB256" i="11"/>
  <c r="AF256" i="11" s="1"/>
  <c r="AE256" i="11" s="1"/>
  <c r="Y256" i="11"/>
  <c r="AA256" i="11" s="1"/>
  <c r="S256" i="11"/>
  <c r="R256" i="11"/>
  <c r="AU256" i="11" s="1"/>
  <c r="AV256" i="11" s="1"/>
  <c r="M256" i="11"/>
  <c r="H256" i="11"/>
  <c r="P256" i="11" s="1"/>
  <c r="AS255" i="11"/>
  <c r="AT255" i="11" s="1"/>
  <c r="AQ255" i="11"/>
  <c r="AR255" i="11" s="1"/>
  <c r="AO255" i="11"/>
  <c r="AP255" i="11" s="1"/>
  <c r="AJ255" i="11"/>
  <c r="AK255" i="11" s="1"/>
  <c r="AB255" i="11"/>
  <c r="AF255" i="11" s="1"/>
  <c r="AE255" i="11" s="1"/>
  <c r="Y255" i="11"/>
  <c r="AA255" i="11" s="1"/>
  <c r="S255" i="11"/>
  <c r="R255" i="11"/>
  <c r="AU255" i="11" s="1"/>
  <c r="AV255" i="11" s="1"/>
  <c r="O255" i="11"/>
  <c r="M255" i="11"/>
  <c r="G255" i="11"/>
  <c r="AS254" i="11"/>
  <c r="AT254" i="11" s="1"/>
  <c r="AQ254" i="11"/>
  <c r="AR254" i="11" s="1"/>
  <c r="AO254" i="11"/>
  <c r="AP254" i="11" s="1"/>
  <c r="AJ254" i="11"/>
  <c r="AM254" i="11" s="1"/>
  <c r="AB254" i="11"/>
  <c r="AD254" i="11" s="1"/>
  <c r="Y254" i="11"/>
  <c r="AA254" i="11" s="1"/>
  <c r="S254" i="11"/>
  <c r="R254" i="11"/>
  <c r="AU254" i="11" s="1"/>
  <c r="AV254" i="11" s="1"/>
  <c r="O254" i="11"/>
  <c r="M254" i="11"/>
  <c r="G254" i="11"/>
  <c r="AS253" i="11"/>
  <c r="AT253" i="11" s="1"/>
  <c r="AQ253" i="11"/>
  <c r="AR253" i="11" s="1"/>
  <c r="AO253" i="11"/>
  <c r="AP253" i="11" s="1"/>
  <c r="AJ253" i="11"/>
  <c r="AK253" i="11" s="1"/>
  <c r="AB253" i="11"/>
  <c r="AA253" i="11"/>
  <c r="AC253" i="11" s="1"/>
  <c r="R253" i="11"/>
  <c r="M253" i="11"/>
  <c r="H253" i="11"/>
  <c r="AS252" i="11"/>
  <c r="AT252" i="11" s="1"/>
  <c r="AQ252" i="11"/>
  <c r="AR252" i="11" s="1"/>
  <c r="AJ252" i="11"/>
  <c r="AM252" i="11" s="1"/>
  <c r="AB252" i="11"/>
  <c r="AF252" i="11" s="1"/>
  <c r="AE252" i="11" s="1"/>
  <c r="Y252" i="11"/>
  <c r="W252" i="11"/>
  <c r="S252" i="11"/>
  <c r="R252" i="11"/>
  <c r="AP252" i="11" s="1"/>
  <c r="O252" i="11"/>
  <c r="M252" i="11"/>
  <c r="H252" i="11"/>
  <c r="AU251" i="11"/>
  <c r="AV251" i="11" s="1"/>
  <c r="AQ251" i="11"/>
  <c r="AR251" i="11" s="1"/>
  <c r="AO251" i="11"/>
  <c r="AP251" i="11" s="1"/>
  <c r="AJ251" i="11"/>
  <c r="AA251" i="11"/>
  <c r="Z251" i="11"/>
  <c r="Z244" i="11" s="1"/>
  <c r="Z243" i="11" s="1"/>
  <c r="X251" i="11"/>
  <c r="X244" i="11" s="1"/>
  <c r="X243" i="11" s="1"/>
  <c r="S251" i="11"/>
  <c r="Q251" i="11"/>
  <c r="AS251" i="11" s="1"/>
  <c r="AT251" i="11" s="1"/>
  <c r="O251" i="11"/>
  <c r="M251" i="11"/>
  <c r="H251" i="11"/>
  <c r="AU250" i="11"/>
  <c r="AV250" i="11" s="1"/>
  <c r="AQ250" i="11"/>
  <c r="AR250" i="11" s="1"/>
  <c r="AO250" i="11"/>
  <c r="AP250" i="11" s="1"/>
  <c r="AJ250" i="11"/>
  <c r="AM250" i="11" s="1"/>
  <c r="AB250" i="11"/>
  <c r="AF250" i="11" s="1"/>
  <c r="AE250" i="11" s="1"/>
  <c r="Y250" i="11"/>
  <c r="W250" i="11"/>
  <c r="U250" i="11"/>
  <c r="S250" i="11"/>
  <c r="Q250" i="11"/>
  <c r="AS250" i="11" s="1"/>
  <c r="AT250" i="11" s="1"/>
  <c r="O250" i="11"/>
  <c r="M250" i="11"/>
  <c r="H250" i="11"/>
  <c r="AU249" i="11"/>
  <c r="AV249" i="11" s="1"/>
  <c r="AQ249" i="11"/>
  <c r="AR249" i="11" s="1"/>
  <c r="AO249" i="11"/>
  <c r="AP249" i="11" s="1"/>
  <c r="AJ249" i="11"/>
  <c r="AB249" i="11"/>
  <c r="AF249" i="11" s="1"/>
  <c r="AE249" i="11" s="1"/>
  <c r="U249" i="11"/>
  <c r="AA249" i="11" s="1"/>
  <c r="S249" i="11"/>
  <c r="Q249" i="11"/>
  <c r="AS249" i="11" s="1"/>
  <c r="AT249" i="11" s="1"/>
  <c r="O249" i="11"/>
  <c r="M249" i="11"/>
  <c r="H249" i="11"/>
  <c r="AU248" i="11"/>
  <c r="AV248" i="11" s="1"/>
  <c r="AQ248" i="11"/>
  <c r="AR248" i="11" s="1"/>
  <c r="AO248" i="11"/>
  <c r="AP248" i="11" s="1"/>
  <c r="AJ248" i="11"/>
  <c r="AM248" i="11" s="1"/>
  <c r="AB248" i="11"/>
  <c r="AF248" i="11" s="1"/>
  <c r="AE248" i="11" s="1"/>
  <c r="U248" i="11"/>
  <c r="AA248" i="11" s="1"/>
  <c r="S248" i="11"/>
  <c r="Q248" i="11"/>
  <c r="AS248" i="11" s="1"/>
  <c r="AT248" i="11" s="1"/>
  <c r="O248" i="11"/>
  <c r="M248" i="11"/>
  <c r="H248" i="11"/>
  <c r="AS247" i="11"/>
  <c r="AT247" i="11" s="1"/>
  <c r="AQ247" i="11"/>
  <c r="AR247" i="11" s="1"/>
  <c r="AO247" i="11"/>
  <c r="AP247" i="11" s="1"/>
  <c r="AJ247" i="11"/>
  <c r="AB247" i="11"/>
  <c r="AF247" i="11" s="1"/>
  <c r="AE247" i="11" s="1"/>
  <c r="Y247" i="11"/>
  <c r="W247" i="11"/>
  <c r="U247" i="11"/>
  <c r="S247" i="11"/>
  <c r="R247" i="11"/>
  <c r="AU247" i="11" s="1"/>
  <c r="AV247" i="11" s="1"/>
  <c r="O247" i="11"/>
  <c r="M247" i="11"/>
  <c r="AU246" i="11"/>
  <c r="AV246" i="11" s="1"/>
  <c r="AQ246" i="11"/>
  <c r="AR246" i="11" s="1"/>
  <c r="AO246" i="11"/>
  <c r="AP246" i="11" s="1"/>
  <c r="AJ246" i="11"/>
  <c r="AB246" i="11"/>
  <c r="AF246" i="11" s="1"/>
  <c r="AE246" i="11" s="1"/>
  <c r="U246" i="11"/>
  <c r="AA246" i="11" s="1"/>
  <c r="S246" i="11"/>
  <c r="Q246" i="11"/>
  <c r="AS246" i="11" s="1"/>
  <c r="AT246" i="11" s="1"/>
  <c r="O246" i="11"/>
  <c r="M246" i="11"/>
  <c r="H246" i="11"/>
  <c r="AU245" i="11"/>
  <c r="AV245" i="11" s="1"/>
  <c r="AQ245" i="11"/>
  <c r="AR245" i="11" s="1"/>
  <c r="AO245" i="11"/>
  <c r="AP245" i="11" s="1"/>
  <c r="AJ245" i="11"/>
  <c r="AM245" i="11" s="1"/>
  <c r="AB245" i="11"/>
  <c r="U245" i="11"/>
  <c r="AA245" i="11" s="1"/>
  <c r="S245" i="11"/>
  <c r="Q245" i="11"/>
  <c r="AS245" i="11" s="1"/>
  <c r="AT245" i="11" s="1"/>
  <c r="O245" i="11"/>
  <c r="M245" i="11"/>
  <c r="H245" i="11"/>
  <c r="AV244" i="11"/>
  <c r="AT244" i="11"/>
  <c r="AR244" i="11"/>
  <c r="AP244" i="11"/>
  <c r="V244" i="11"/>
  <c r="V243" i="11" s="1"/>
  <c r="T244" i="11"/>
  <c r="N244" i="11"/>
  <c r="L244" i="11"/>
  <c r="K244" i="11"/>
  <c r="J244" i="11"/>
  <c r="I244" i="11"/>
  <c r="AV243" i="11"/>
  <c r="AT243" i="11"/>
  <c r="AR243" i="11"/>
  <c r="AP243" i="11"/>
  <c r="T243" i="11"/>
  <c r="AU242" i="11"/>
  <c r="AV242" i="11" s="1"/>
  <c r="AQ242" i="11"/>
  <c r="AR242" i="11" s="1"/>
  <c r="AO242" i="11"/>
  <c r="AP242" i="11" s="1"/>
  <c r="AJ242" i="11"/>
  <c r="AB242" i="11"/>
  <c r="AF242" i="11" s="1"/>
  <c r="AE242" i="11" s="1"/>
  <c r="U242" i="11"/>
  <c r="AA242" i="11" s="1"/>
  <c r="S242" i="11"/>
  <c r="Q242" i="11"/>
  <c r="AS242" i="11" s="1"/>
  <c r="AT242" i="11" s="1"/>
  <c r="O242" i="11"/>
  <c r="M242" i="11"/>
  <c r="L242" i="11"/>
  <c r="I242" i="11"/>
  <c r="K242" i="11" s="1"/>
  <c r="AU241" i="11"/>
  <c r="AV241" i="11" s="1"/>
  <c r="AQ241" i="11"/>
  <c r="AR241" i="11" s="1"/>
  <c r="AB241" i="11"/>
  <c r="AB238" i="11" s="1"/>
  <c r="Y241" i="11"/>
  <c r="W241" i="11"/>
  <c r="W238" i="11" s="1"/>
  <c r="W237" i="11" s="1"/>
  <c r="U241" i="11"/>
  <c r="U238" i="11" s="1"/>
  <c r="U237" i="11" s="1"/>
  <c r="P241" i="11"/>
  <c r="AO241" i="11" s="1"/>
  <c r="AP241" i="11" s="1"/>
  <c r="M241" i="11"/>
  <c r="L241" i="11"/>
  <c r="I241" i="11"/>
  <c r="AV240" i="11"/>
  <c r="AT240" i="11"/>
  <c r="AR240" i="11"/>
  <c r="AP240" i="11"/>
  <c r="AV239" i="11"/>
  <c r="AT239" i="11"/>
  <c r="AR239" i="11"/>
  <c r="AP239" i="11"/>
  <c r="AV238" i="11"/>
  <c r="AT238" i="11"/>
  <c r="AR238" i="11"/>
  <c r="AP238" i="11"/>
  <c r="AH238" i="11"/>
  <c r="AH237" i="11" s="1"/>
  <c r="AG238" i="11"/>
  <c r="AG237" i="11" s="1"/>
  <c r="Z238" i="11"/>
  <c r="Z237" i="11" s="1"/>
  <c r="Y238" i="11"/>
  <c r="Y237" i="11" s="1"/>
  <c r="X238" i="11"/>
  <c r="X237" i="11" s="1"/>
  <c r="V238" i="11"/>
  <c r="V237" i="11" s="1"/>
  <c r="R238" i="11"/>
  <c r="R237" i="11" s="1"/>
  <c r="N238" i="11"/>
  <c r="N237" i="11" s="1"/>
  <c r="J238" i="11"/>
  <c r="J237" i="11" s="1"/>
  <c r="H238" i="11"/>
  <c r="G238" i="11"/>
  <c r="G237" i="11" s="1"/>
  <c r="AV237" i="11"/>
  <c r="AT237" i="11"/>
  <c r="AR237" i="11"/>
  <c r="AP237" i="11"/>
  <c r="AB237" i="11"/>
  <c r="H237" i="11"/>
  <c r="AV236" i="11"/>
  <c r="AT236" i="11"/>
  <c r="AR236" i="11"/>
  <c r="AP236" i="11"/>
  <c r="AS235" i="11"/>
  <c r="AT235" i="11" s="1"/>
  <c r="AQ235" i="11"/>
  <c r="AR235" i="11" s="1"/>
  <c r="AO235" i="11"/>
  <c r="AP235" i="11" s="1"/>
  <c r="AJ235" i="11"/>
  <c r="AM235" i="11" s="1"/>
  <c r="U235" i="11"/>
  <c r="U229" i="11" s="1"/>
  <c r="U228" i="11" s="1"/>
  <c r="S235" i="11"/>
  <c r="R235" i="11"/>
  <c r="O235" i="11"/>
  <c r="M235" i="11"/>
  <c r="G235" i="11"/>
  <c r="G229" i="11" s="1"/>
  <c r="G228" i="11" s="1"/>
  <c r="AS234" i="11"/>
  <c r="AT234" i="11" s="1"/>
  <c r="AQ234" i="11"/>
  <c r="AR234" i="11" s="1"/>
  <c r="AO234" i="11"/>
  <c r="AP234" i="11" s="1"/>
  <c r="AJ234" i="11"/>
  <c r="AK234" i="11" s="1"/>
  <c r="R234" i="11"/>
  <c r="M234" i="11"/>
  <c r="H234" i="11"/>
  <c r="AS233" i="11"/>
  <c r="AT233" i="11" s="1"/>
  <c r="AQ233" i="11"/>
  <c r="AR233" i="11" s="1"/>
  <c r="AO233" i="11"/>
  <c r="AP233" i="11" s="1"/>
  <c r="AJ233" i="11"/>
  <c r="AK233" i="11" s="1"/>
  <c r="R233" i="11"/>
  <c r="M233" i="11"/>
  <c r="H233" i="11"/>
  <c r="AS232" i="11"/>
  <c r="AT232" i="11" s="1"/>
  <c r="AQ232" i="11"/>
  <c r="AR232" i="11" s="1"/>
  <c r="AO232" i="11"/>
  <c r="AP232" i="11" s="1"/>
  <c r="AJ232" i="11"/>
  <c r="AK232" i="11" s="1"/>
  <c r="R232" i="11"/>
  <c r="M232" i="11"/>
  <c r="H232" i="11"/>
  <c r="AS231" i="11"/>
  <c r="AT231" i="11" s="1"/>
  <c r="AQ231" i="11"/>
  <c r="AR231" i="11" s="1"/>
  <c r="AO231" i="11"/>
  <c r="AP231" i="11" s="1"/>
  <c r="AJ231" i="11"/>
  <c r="AK231" i="11" s="1"/>
  <c r="R231" i="11"/>
  <c r="M231" i="11"/>
  <c r="H231" i="11"/>
  <c r="AU230" i="11"/>
  <c r="AV230" i="11" s="1"/>
  <c r="AS230" i="11"/>
  <c r="AT230" i="11" s="1"/>
  <c r="AQ230" i="11"/>
  <c r="AR230" i="11" s="1"/>
  <c r="AO230" i="11"/>
  <c r="AP230" i="11" s="1"/>
  <c r="AJ230" i="11"/>
  <c r="AB230" i="11"/>
  <c r="AF230" i="11" s="1"/>
  <c r="AF229" i="11" s="1"/>
  <c r="AF228" i="11" s="1"/>
  <c r="Y230" i="11"/>
  <c r="AA230" i="11" s="1"/>
  <c r="S230" i="11"/>
  <c r="O230" i="11"/>
  <c r="M230" i="11"/>
  <c r="H230" i="11"/>
  <c r="AV229" i="11"/>
  <c r="AT229" i="11"/>
  <c r="AR229" i="11"/>
  <c r="AP229" i="11"/>
  <c r="AH229" i="11"/>
  <c r="AH228" i="11" s="1"/>
  <c r="AG229" i="11"/>
  <c r="AG228" i="11" s="1"/>
  <c r="AB229" i="11"/>
  <c r="AB228" i="11" s="1"/>
  <c r="Z229" i="11"/>
  <c r="Z228" i="11" s="1"/>
  <c r="X229" i="11"/>
  <c r="X228" i="11" s="1"/>
  <c r="W229" i="11"/>
  <c r="W228" i="11" s="1"/>
  <c r="V229" i="11"/>
  <c r="V228" i="11" s="1"/>
  <c r="T229" i="11"/>
  <c r="S229" i="11"/>
  <c r="S228" i="11" s="1"/>
  <c r="Q229" i="11"/>
  <c r="Q228" i="11" s="1"/>
  <c r="P229" i="11"/>
  <c r="P228" i="11" s="1"/>
  <c r="N229" i="11"/>
  <c r="L229" i="11"/>
  <c r="L228" i="11" s="1"/>
  <c r="K229" i="11"/>
  <c r="K228" i="11" s="1"/>
  <c r="J229" i="11"/>
  <c r="J228" i="11" s="1"/>
  <c r="I229" i="11"/>
  <c r="I228" i="11" s="1"/>
  <c r="H229" i="11"/>
  <c r="H228" i="11" s="1"/>
  <c r="AV228" i="11"/>
  <c r="AT228" i="11"/>
  <c r="AR228" i="11"/>
  <c r="AP228" i="11"/>
  <c r="T228" i="11"/>
  <c r="AU227" i="11"/>
  <c r="AV227" i="11" s="1"/>
  <c r="AS227" i="11"/>
  <c r="AT227" i="11" s="1"/>
  <c r="AQ227" i="11"/>
  <c r="AR227" i="11" s="1"/>
  <c r="AO227" i="11"/>
  <c r="AP227" i="11" s="1"/>
  <c r="AM227" i="11"/>
  <c r="AK227" i="11"/>
  <c r="S227" i="11"/>
  <c r="O227" i="11"/>
  <c r="M227" i="11"/>
  <c r="AU226" i="11"/>
  <c r="AV226" i="11" s="1"/>
  <c r="AS226" i="11"/>
  <c r="AT226" i="11" s="1"/>
  <c r="AQ226" i="11"/>
  <c r="AR226" i="11" s="1"/>
  <c r="AO226" i="11"/>
  <c r="AP226" i="11" s="1"/>
  <c r="AM226" i="11"/>
  <c r="AK226" i="11"/>
  <c r="S226" i="11"/>
  <c r="O226" i="11"/>
  <c r="M226" i="11"/>
  <c r="L226" i="11"/>
  <c r="K226" i="11" s="1"/>
  <c r="J226" i="11"/>
  <c r="I226" i="11" s="1"/>
  <c r="AU225" i="11"/>
  <c r="AV225" i="11" s="1"/>
  <c r="AS225" i="11"/>
  <c r="AT225" i="11" s="1"/>
  <c r="AO225" i="11"/>
  <c r="AP225" i="11" s="1"/>
  <c r="AM225" i="11"/>
  <c r="AK225" i="11"/>
  <c r="S225" i="11"/>
  <c r="O225" i="11"/>
  <c r="K225" i="11"/>
  <c r="I225" i="11"/>
  <c r="N225" i="11" s="1"/>
  <c r="AS224" i="11"/>
  <c r="AT224" i="11" s="1"/>
  <c r="AQ224" i="11"/>
  <c r="AR224" i="11" s="1"/>
  <c r="AO224" i="11"/>
  <c r="AP224" i="11" s="1"/>
  <c r="AJ224" i="11"/>
  <c r="AK224" i="11" s="1"/>
  <c r="AB224" i="11"/>
  <c r="AF224" i="11" s="1"/>
  <c r="AF221" i="11" s="1"/>
  <c r="AF220" i="11" s="1"/>
  <c r="Y224" i="11"/>
  <c r="Y221" i="11" s="1"/>
  <c r="Y220" i="11" s="1"/>
  <c r="W224" i="11"/>
  <c r="W221" i="11" s="1"/>
  <c r="W220" i="11" s="1"/>
  <c r="S224" i="11"/>
  <c r="S221" i="11" s="1"/>
  <c r="S220" i="11" s="1"/>
  <c r="R224" i="11"/>
  <c r="AU224" i="11" s="1"/>
  <c r="AV224" i="11" s="1"/>
  <c r="O224" i="11"/>
  <c r="O221" i="11" s="1"/>
  <c r="O220" i="11" s="1"/>
  <c r="M224" i="11"/>
  <c r="M221" i="11" s="1"/>
  <c r="J224" i="11"/>
  <c r="L224" i="11" s="1"/>
  <c r="L221" i="11" s="1"/>
  <c r="L220" i="11" s="1"/>
  <c r="I224" i="11"/>
  <c r="I221" i="11" s="1"/>
  <c r="I220" i="11" s="1"/>
  <c r="I219" i="11" s="1"/>
  <c r="AV223" i="11"/>
  <c r="AT223" i="11"/>
  <c r="AR223" i="11"/>
  <c r="AP223" i="11"/>
  <c r="AJ223" i="11"/>
  <c r="AV222" i="11"/>
  <c r="AT222" i="11"/>
  <c r="AR222" i="11"/>
  <c r="AP222" i="11"/>
  <c r="AJ222" i="11"/>
  <c r="AV221" i="11"/>
  <c r="AT221" i="11"/>
  <c r="AR221" i="11"/>
  <c r="AP221" i="11"/>
  <c r="AH221" i="11"/>
  <c r="AH220" i="11" s="1"/>
  <c r="AG221" i="11"/>
  <c r="Z221" i="11"/>
  <c r="Z220" i="11" s="1"/>
  <c r="X221" i="11"/>
  <c r="X220" i="11" s="1"/>
  <c r="V221" i="11"/>
  <c r="V220" i="11" s="1"/>
  <c r="U221" i="11"/>
  <c r="U220" i="11" s="1"/>
  <c r="T221" i="11"/>
  <c r="T220" i="11" s="1"/>
  <c r="R221" i="11"/>
  <c r="R220" i="11" s="1"/>
  <c r="Q221" i="11"/>
  <c r="P221" i="11"/>
  <c r="P220" i="11" s="1"/>
  <c r="N221" i="11"/>
  <c r="H221" i="11"/>
  <c r="H220" i="11" s="1"/>
  <c r="G221" i="11"/>
  <c r="G220" i="11" s="1"/>
  <c r="AV220" i="11"/>
  <c r="AT220" i="11"/>
  <c r="AR220" i="11"/>
  <c r="AP220" i="11"/>
  <c r="AG220" i="11"/>
  <c r="Q220" i="11"/>
  <c r="M220" i="11"/>
  <c r="AV219" i="11"/>
  <c r="AT219" i="11"/>
  <c r="AR219" i="11"/>
  <c r="AP219" i="11"/>
  <c r="AS218" i="11"/>
  <c r="AT218" i="11" s="1"/>
  <c r="AQ218" i="11"/>
  <c r="AR218" i="11" s="1"/>
  <c r="AO218" i="11"/>
  <c r="AP218" i="11" s="1"/>
  <c r="AJ218" i="11"/>
  <c r="AB218" i="11"/>
  <c r="AF218" i="11" s="1"/>
  <c r="AE218" i="11" s="1"/>
  <c r="AA218" i="11"/>
  <c r="S218" i="11"/>
  <c r="R218" i="11"/>
  <c r="AU218" i="11" s="1"/>
  <c r="AV218" i="11" s="1"/>
  <c r="O218" i="11"/>
  <c r="M218" i="11"/>
  <c r="G218" i="11"/>
  <c r="AS217" i="11"/>
  <c r="AT217" i="11" s="1"/>
  <c r="AQ217" i="11"/>
  <c r="AR217" i="11" s="1"/>
  <c r="AO217" i="11"/>
  <c r="AP217" i="11" s="1"/>
  <c r="AJ217" i="11"/>
  <c r="AK217" i="11" s="1"/>
  <c r="AB217" i="11"/>
  <c r="AF217" i="11" s="1"/>
  <c r="AE217" i="11" s="1"/>
  <c r="AA217" i="11"/>
  <c r="S217" i="11"/>
  <c r="R217" i="11"/>
  <c r="AU217" i="11" s="1"/>
  <c r="AV217" i="11" s="1"/>
  <c r="O217" i="11"/>
  <c r="M217" i="11"/>
  <c r="G217" i="11"/>
  <c r="AS216" i="11"/>
  <c r="AT216" i="11" s="1"/>
  <c r="AQ216" i="11"/>
  <c r="AR216" i="11" s="1"/>
  <c r="AO216" i="11"/>
  <c r="AP216" i="11" s="1"/>
  <c r="AJ216" i="11"/>
  <c r="AB216" i="11"/>
  <c r="AF216" i="11" s="1"/>
  <c r="AE216" i="11" s="1"/>
  <c r="AA216" i="11"/>
  <c r="S216" i="11"/>
  <c r="R216" i="11"/>
  <c r="AU216" i="11" s="1"/>
  <c r="AV216" i="11" s="1"/>
  <c r="O216" i="11"/>
  <c r="M216" i="11"/>
  <c r="G216" i="11"/>
  <c r="AS215" i="11"/>
  <c r="AT215" i="11" s="1"/>
  <c r="AQ215" i="11"/>
  <c r="AR215" i="11" s="1"/>
  <c r="AO215" i="11"/>
  <c r="AP215" i="11" s="1"/>
  <c r="AJ215" i="11"/>
  <c r="AK215" i="11" s="1"/>
  <c r="AB215" i="11"/>
  <c r="AF215" i="11" s="1"/>
  <c r="AE215" i="11" s="1"/>
  <c r="AA215" i="11"/>
  <c r="S215" i="11"/>
  <c r="R215" i="11"/>
  <c r="AU215" i="11" s="1"/>
  <c r="AV215" i="11" s="1"/>
  <c r="O215" i="11"/>
  <c r="M215" i="11"/>
  <c r="G215" i="11"/>
  <c r="AS214" i="11"/>
  <c r="AT214" i="11" s="1"/>
  <c r="AQ214" i="11"/>
  <c r="AR214" i="11" s="1"/>
  <c r="AO214" i="11"/>
  <c r="AP214" i="11" s="1"/>
  <c r="AJ214" i="11"/>
  <c r="AK214" i="11" s="1"/>
  <c r="AB214" i="11"/>
  <c r="AA214" i="11"/>
  <c r="S214" i="11"/>
  <c r="R214" i="11"/>
  <c r="AU214" i="11" s="1"/>
  <c r="AV214" i="11" s="1"/>
  <c r="O214" i="11"/>
  <c r="M214" i="11"/>
  <c r="G214" i="11"/>
  <c r="AS213" i="11"/>
  <c r="AT213" i="11" s="1"/>
  <c r="AO213" i="11"/>
  <c r="AB213" i="11"/>
  <c r="AA213" i="11"/>
  <c r="AC213" i="11" s="1"/>
  <c r="N213" i="11"/>
  <c r="G213" i="11"/>
  <c r="AS212" i="11"/>
  <c r="AT212" i="11" s="1"/>
  <c r="AQ212" i="11"/>
  <c r="AR212" i="11" s="1"/>
  <c r="AO212" i="11"/>
  <c r="AP212" i="11" s="1"/>
  <c r="AJ212" i="11"/>
  <c r="AM212" i="11" s="1"/>
  <c r="AB212" i="11"/>
  <c r="AD212" i="11" s="1"/>
  <c r="AA212" i="11"/>
  <c r="S212" i="11"/>
  <c r="R212" i="11"/>
  <c r="AU212" i="11" s="1"/>
  <c r="AV212" i="11" s="1"/>
  <c r="O212" i="11"/>
  <c r="M212" i="11"/>
  <c r="H212" i="11"/>
  <c r="AS211" i="11"/>
  <c r="AT211" i="11" s="1"/>
  <c r="AQ211" i="11"/>
  <c r="AR211" i="11" s="1"/>
  <c r="AO211" i="11"/>
  <c r="AP211" i="11" s="1"/>
  <c r="AJ211" i="11"/>
  <c r="AM211" i="11" s="1"/>
  <c r="AB211" i="11"/>
  <c r="AF211" i="11" s="1"/>
  <c r="AE211" i="11" s="1"/>
  <c r="AA211" i="11"/>
  <c r="S211" i="11"/>
  <c r="R211" i="11"/>
  <c r="AU211" i="11" s="1"/>
  <c r="AV211" i="11" s="1"/>
  <c r="O211" i="11"/>
  <c r="M211" i="11"/>
  <c r="G211" i="11"/>
  <c r="AS210" i="11"/>
  <c r="AT210" i="11" s="1"/>
  <c r="AQ210" i="11"/>
  <c r="AR210" i="11" s="1"/>
  <c r="AO210" i="11"/>
  <c r="AP210" i="11" s="1"/>
  <c r="AJ210" i="11"/>
  <c r="AM210" i="11" s="1"/>
  <c r="AB210" i="11"/>
  <c r="AD210" i="11" s="1"/>
  <c r="W210" i="11"/>
  <c r="AA210" i="11" s="1"/>
  <c r="S210" i="11"/>
  <c r="R210" i="11"/>
  <c r="AU210" i="11" s="1"/>
  <c r="AV210" i="11" s="1"/>
  <c r="O210" i="11"/>
  <c r="M210" i="11"/>
  <c r="H210" i="11"/>
  <c r="AS209" i="11"/>
  <c r="AT209" i="11" s="1"/>
  <c r="AQ209" i="11"/>
  <c r="AR209" i="11" s="1"/>
  <c r="AO209" i="11"/>
  <c r="AP209" i="11" s="1"/>
  <c r="AJ209" i="11"/>
  <c r="AK209" i="11" s="1"/>
  <c r="AB209" i="11"/>
  <c r="AF209" i="11" s="1"/>
  <c r="AE209" i="11" s="1"/>
  <c r="W209" i="11"/>
  <c r="AA209" i="11" s="1"/>
  <c r="S209" i="11"/>
  <c r="R209" i="11"/>
  <c r="AU209" i="11" s="1"/>
  <c r="AV209" i="11" s="1"/>
  <c r="O209" i="11"/>
  <c r="M209" i="11"/>
  <c r="H209" i="11"/>
  <c r="AS208" i="11"/>
  <c r="AT208" i="11" s="1"/>
  <c r="AQ208" i="11"/>
  <c r="AR208" i="11" s="1"/>
  <c r="AO208" i="11"/>
  <c r="AP208" i="11" s="1"/>
  <c r="AJ208" i="11"/>
  <c r="AM208" i="11" s="1"/>
  <c r="AB208" i="11"/>
  <c r="AF208" i="11" s="1"/>
  <c r="AE208" i="11" s="1"/>
  <c r="W208" i="11"/>
  <c r="AA208" i="11" s="1"/>
  <c r="S208" i="11"/>
  <c r="R208" i="11"/>
  <c r="AU208" i="11" s="1"/>
  <c r="AV208" i="11" s="1"/>
  <c r="O208" i="11"/>
  <c r="M208" i="11"/>
  <c r="H208" i="11"/>
  <c r="AS207" i="11"/>
  <c r="AT207" i="11" s="1"/>
  <c r="AQ207" i="11"/>
  <c r="AR207" i="11" s="1"/>
  <c r="AO207" i="11"/>
  <c r="AP207" i="11" s="1"/>
  <c r="AJ207" i="11"/>
  <c r="AK207" i="11" s="1"/>
  <c r="AB207" i="11"/>
  <c r="AF207" i="11" s="1"/>
  <c r="AE207" i="11" s="1"/>
  <c r="U207" i="11"/>
  <c r="AA207" i="11" s="1"/>
  <c r="S207" i="11"/>
  <c r="R207" i="11"/>
  <c r="AU207" i="11" s="1"/>
  <c r="AV207" i="11" s="1"/>
  <c r="O207" i="11"/>
  <c r="M207" i="11"/>
  <c r="H207" i="11"/>
  <c r="AS206" i="11"/>
  <c r="AT206" i="11" s="1"/>
  <c r="AQ206" i="11"/>
  <c r="AR206" i="11" s="1"/>
  <c r="AO206" i="11"/>
  <c r="AP206" i="11" s="1"/>
  <c r="AJ206" i="11"/>
  <c r="AM206" i="11" s="1"/>
  <c r="AB206" i="11"/>
  <c r="AF206" i="11" s="1"/>
  <c r="AE206" i="11" s="1"/>
  <c r="W206" i="11"/>
  <c r="U206" i="11"/>
  <c r="S206" i="11"/>
  <c r="R206" i="11"/>
  <c r="AU206" i="11" s="1"/>
  <c r="AV206" i="11" s="1"/>
  <c r="O206" i="11"/>
  <c r="M206" i="11"/>
  <c r="H206" i="11"/>
  <c r="AS205" i="11"/>
  <c r="AT205" i="11" s="1"/>
  <c r="AQ205" i="11"/>
  <c r="AR205" i="11" s="1"/>
  <c r="AO205" i="11"/>
  <c r="AP205" i="11" s="1"/>
  <c r="AJ205" i="11"/>
  <c r="AM205" i="11" s="1"/>
  <c r="AB205" i="11"/>
  <c r="AD205" i="11" s="1"/>
  <c r="U205" i="11"/>
  <c r="S205" i="11"/>
  <c r="R205" i="11"/>
  <c r="AU205" i="11" s="1"/>
  <c r="AV205" i="11" s="1"/>
  <c r="O205" i="11"/>
  <c r="M205" i="11"/>
  <c r="H205" i="11"/>
  <c r="AS204" i="11"/>
  <c r="AT204" i="11" s="1"/>
  <c r="AQ204" i="11"/>
  <c r="AR204" i="11" s="1"/>
  <c r="AO204" i="11"/>
  <c r="AP204" i="11" s="1"/>
  <c r="AJ204" i="11"/>
  <c r="AK204" i="11" s="1"/>
  <c r="AB204" i="11"/>
  <c r="AF204" i="11" s="1"/>
  <c r="AE204" i="11" s="1"/>
  <c r="U204" i="11"/>
  <c r="AA204" i="11" s="1"/>
  <c r="S204" i="11"/>
  <c r="R204" i="11"/>
  <c r="AU204" i="11" s="1"/>
  <c r="AV204" i="11" s="1"/>
  <c r="O204" i="11"/>
  <c r="M204" i="11"/>
  <c r="H204" i="11"/>
  <c r="AS203" i="11"/>
  <c r="AT203" i="11" s="1"/>
  <c r="AQ203" i="11"/>
  <c r="AR203" i="11" s="1"/>
  <c r="AB203" i="11"/>
  <c r="AF203" i="11" s="1"/>
  <c r="W203" i="11"/>
  <c r="U203" i="11"/>
  <c r="P203" i="11"/>
  <c r="AO203" i="11" s="1"/>
  <c r="AP203" i="11" s="1"/>
  <c r="M203" i="11"/>
  <c r="H203" i="11"/>
  <c r="AH202" i="11"/>
  <c r="AH201" i="11" s="1"/>
  <c r="AG202" i="11"/>
  <c r="Z202" i="11"/>
  <c r="Z201" i="11" s="1"/>
  <c r="Y202" i="11"/>
  <c r="Y201" i="11" s="1"/>
  <c r="X202" i="11"/>
  <c r="X201" i="11" s="1"/>
  <c r="V202" i="11"/>
  <c r="V201" i="11" s="1"/>
  <c r="Q202" i="11"/>
  <c r="Q201" i="11" s="1"/>
  <c r="Q194" i="11" s="1"/>
  <c r="P202" i="11"/>
  <c r="P201" i="11" s="1"/>
  <c r="N202" i="11"/>
  <c r="L202" i="11"/>
  <c r="K202" i="11"/>
  <c r="J202" i="11"/>
  <c r="I202" i="11"/>
  <c r="AG201" i="11"/>
  <c r="AS200" i="11"/>
  <c r="AT200" i="11" s="1"/>
  <c r="AQ200" i="11"/>
  <c r="AR200" i="11" s="1"/>
  <c r="AO200" i="11"/>
  <c r="AP200" i="11" s="1"/>
  <c r="AJ200" i="11"/>
  <c r="AM200" i="11" s="1"/>
  <c r="AB200" i="11"/>
  <c r="AF200" i="11" s="1"/>
  <c r="AE200" i="11" s="1"/>
  <c r="U200" i="11"/>
  <c r="AA200" i="11" s="1"/>
  <c r="S200" i="11"/>
  <c r="R200" i="11"/>
  <c r="AU200" i="11" s="1"/>
  <c r="AV200" i="11" s="1"/>
  <c r="O200" i="11"/>
  <c r="M200" i="11"/>
  <c r="L200" i="11"/>
  <c r="K200" i="11" s="1"/>
  <c r="I200" i="11"/>
  <c r="H200" i="11"/>
  <c r="AS199" i="11"/>
  <c r="AT199" i="11" s="1"/>
  <c r="AQ199" i="11"/>
  <c r="AR199" i="11" s="1"/>
  <c r="AO199" i="11"/>
  <c r="AP199" i="11" s="1"/>
  <c r="AJ199" i="11"/>
  <c r="AM199" i="11" s="1"/>
  <c r="AB199" i="11"/>
  <c r="AF199" i="11" s="1"/>
  <c r="U199" i="11"/>
  <c r="S199" i="11"/>
  <c r="R199" i="11"/>
  <c r="AU199" i="11" s="1"/>
  <c r="AV199" i="11" s="1"/>
  <c r="O199" i="11"/>
  <c r="M199" i="11"/>
  <c r="M196" i="11" s="1"/>
  <c r="M195" i="11" s="1"/>
  <c r="L199" i="11"/>
  <c r="K199" i="11" s="1"/>
  <c r="I199" i="11"/>
  <c r="I196" i="11" s="1"/>
  <c r="I195" i="11" s="1"/>
  <c r="I194" i="11" s="1"/>
  <c r="H199" i="11"/>
  <c r="AJ198" i="11"/>
  <c r="AJ197" i="11"/>
  <c r="AV196" i="11"/>
  <c r="AT196" i="11"/>
  <c r="AR196" i="11"/>
  <c r="AP196" i="11"/>
  <c r="AH196" i="11"/>
  <c r="AH195" i="11" s="1"/>
  <c r="AH194" i="11" s="1"/>
  <c r="AG196" i="11"/>
  <c r="AB196" i="11"/>
  <c r="AB195" i="11" s="1"/>
  <c r="Z196" i="11"/>
  <c r="Z195" i="11" s="1"/>
  <c r="Y196" i="11"/>
  <c r="Y195" i="11" s="1"/>
  <c r="Y194" i="11" s="1"/>
  <c r="X196" i="11"/>
  <c r="X195" i="11" s="1"/>
  <c r="W196" i="11"/>
  <c r="W195" i="11" s="1"/>
  <c r="V196" i="11"/>
  <c r="V195" i="11" s="1"/>
  <c r="T196" i="11"/>
  <c r="T195" i="11" s="1"/>
  <c r="Q196" i="11"/>
  <c r="P196" i="11"/>
  <c r="P195" i="11" s="1"/>
  <c r="P194" i="11" s="1"/>
  <c r="N196" i="11"/>
  <c r="J196" i="11"/>
  <c r="J195" i="11" s="1"/>
  <c r="G196" i="11"/>
  <c r="AV195" i="11"/>
  <c r="AT195" i="11"/>
  <c r="AR195" i="11"/>
  <c r="AP195" i="11"/>
  <c r="AG195" i="11"/>
  <c r="AG194" i="11" s="1"/>
  <c r="G195" i="11"/>
  <c r="AV194" i="11"/>
  <c r="AT194" i="11"/>
  <c r="AR194" i="11"/>
  <c r="AP194" i="11"/>
  <c r="J194" i="11"/>
  <c r="AU193" i="11"/>
  <c r="AV193" i="11" s="1"/>
  <c r="AQ193" i="11"/>
  <c r="AR193" i="11" s="1"/>
  <c r="AO193" i="11"/>
  <c r="AP193" i="11" s="1"/>
  <c r="AJ193" i="11"/>
  <c r="AK193" i="11" s="1"/>
  <c r="AH193" i="11"/>
  <c r="AB193" i="11"/>
  <c r="AA193" i="11"/>
  <c r="S193" i="11"/>
  <c r="Q193" i="11"/>
  <c r="Q189" i="11" s="1"/>
  <c r="O193" i="11"/>
  <c r="G193" i="11"/>
  <c r="AU192" i="11"/>
  <c r="AV192" i="11" s="1"/>
  <c r="AQ192" i="11"/>
  <c r="AR192" i="11" s="1"/>
  <c r="AO192" i="11"/>
  <c r="AP192" i="11" s="1"/>
  <c r="AJ192" i="11"/>
  <c r="AM192" i="11" s="1"/>
  <c r="AH192" i="11"/>
  <c r="AH189" i="11" s="1"/>
  <c r="AB192" i="11"/>
  <c r="AB189" i="11" s="1"/>
  <c r="AA192" i="11"/>
  <c r="AA189" i="11" s="1"/>
  <c r="S192" i="11"/>
  <c r="O192" i="11"/>
  <c r="AC192" i="11" s="1"/>
  <c r="AC189" i="11" s="1"/>
  <c r="M192" i="11"/>
  <c r="G192" i="11"/>
  <c r="AG192" i="11" s="1"/>
  <c r="AG189" i="11" s="1"/>
  <c r="AS191" i="11"/>
  <c r="AT191" i="11" s="1"/>
  <c r="AG191" i="11"/>
  <c r="AB191" i="11"/>
  <c r="AA191" i="11"/>
  <c r="AC191" i="11" s="1"/>
  <c r="T191" i="11"/>
  <c r="P191" i="11"/>
  <c r="AO191" i="11" s="1"/>
  <c r="AP191" i="11" s="1"/>
  <c r="N191" i="11"/>
  <c r="AJ191" i="11" s="1"/>
  <c r="AS190" i="11"/>
  <c r="AT190" i="11" s="1"/>
  <c r="AG190" i="11"/>
  <c r="AB190" i="11"/>
  <c r="AA190" i="11"/>
  <c r="AC190" i="11" s="1"/>
  <c r="T190" i="11"/>
  <c r="P190" i="11"/>
  <c r="N190" i="11"/>
  <c r="AJ190" i="11" s="1"/>
  <c r="AM190" i="11" s="1"/>
  <c r="AV189" i="11"/>
  <c r="AT189" i="11"/>
  <c r="AR189" i="11"/>
  <c r="AP189" i="11"/>
  <c r="Z189" i="11"/>
  <c r="Y189" i="11"/>
  <c r="X189" i="11"/>
  <c r="X167" i="11" s="1"/>
  <c r="W189" i="11"/>
  <c r="V189" i="11"/>
  <c r="U189" i="11"/>
  <c r="M189" i="11"/>
  <c r="L189" i="11"/>
  <c r="K189" i="11"/>
  <c r="J189" i="11"/>
  <c r="I189" i="11"/>
  <c r="H189" i="11"/>
  <c r="AU188" i="11"/>
  <c r="AV188" i="11" s="1"/>
  <c r="AS188" i="11"/>
  <c r="AT188" i="11" s="1"/>
  <c r="AB188" i="11"/>
  <c r="AA188" i="11"/>
  <c r="AC188" i="11" s="1"/>
  <c r="P188" i="11"/>
  <c r="AO188" i="11" s="1"/>
  <c r="AP188" i="11" s="1"/>
  <c r="N188" i="11"/>
  <c r="G188" i="11"/>
  <c r="AG188" i="11" s="1"/>
  <c r="AU187" i="11"/>
  <c r="AV187" i="11" s="1"/>
  <c r="AS187" i="11"/>
  <c r="AT187" i="11" s="1"/>
  <c r="AB187" i="11"/>
  <c r="AA187" i="11"/>
  <c r="AC187" i="11" s="1"/>
  <c r="P187" i="11"/>
  <c r="AO187" i="11" s="1"/>
  <c r="AP187" i="11" s="1"/>
  <c r="N187" i="11"/>
  <c r="G187" i="11"/>
  <c r="AG187" i="11" s="1"/>
  <c r="AU186" i="11"/>
  <c r="AV186" i="11" s="1"/>
  <c r="AQ186" i="11"/>
  <c r="AJ186" i="11"/>
  <c r="AM186" i="11" s="1"/>
  <c r="AB186" i="11"/>
  <c r="AA186" i="11"/>
  <c r="S186" i="11"/>
  <c r="Q186" i="11"/>
  <c r="P186" i="11"/>
  <c r="O186" i="11" s="1"/>
  <c r="AS185" i="11"/>
  <c r="AT185" i="11" s="1"/>
  <c r="AB185" i="11"/>
  <c r="AA185" i="11"/>
  <c r="M185" i="11"/>
  <c r="O185" i="11" s="1"/>
  <c r="S185" i="11" s="1"/>
  <c r="H185" i="11"/>
  <c r="N185" i="11" s="1"/>
  <c r="AS184" i="11"/>
  <c r="AT184" i="11" s="1"/>
  <c r="AB184" i="11"/>
  <c r="AF184" i="11" s="1"/>
  <c r="AE184" i="11" s="1"/>
  <c r="Y184" i="11"/>
  <c r="AA184" i="11" s="1"/>
  <c r="AC184" i="11" s="1"/>
  <c r="S184" i="11"/>
  <c r="P184" i="11"/>
  <c r="T184" i="11" s="1"/>
  <c r="N184" i="11"/>
  <c r="AQ184" i="11" s="1"/>
  <c r="AR184" i="11" s="1"/>
  <c r="G184" i="11"/>
  <c r="AS183" i="11"/>
  <c r="AT183" i="11" s="1"/>
  <c r="AQ183" i="11"/>
  <c r="AR183" i="11" s="1"/>
  <c r="AB183" i="11"/>
  <c r="AF183" i="11" s="1"/>
  <c r="AE183" i="11" s="1"/>
  <c r="Y183" i="11"/>
  <c r="AA183" i="11" s="1"/>
  <c r="P183" i="11"/>
  <c r="T183" i="11" s="1"/>
  <c r="M183" i="11"/>
  <c r="O183" i="11" s="1"/>
  <c r="AC183" i="11" s="1"/>
  <c r="G183" i="11"/>
  <c r="AS182" i="11"/>
  <c r="AT182" i="11" s="1"/>
  <c r="AQ182" i="11"/>
  <c r="AR182" i="11" s="1"/>
  <c r="AO182" i="11"/>
  <c r="AP182" i="11" s="1"/>
  <c r="AB182" i="11"/>
  <c r="AF182" i="11" s="1"/>
  <c r="AE182" i="11" s="1"/>
  <c r="Y182" i="11"/>
  <c r="AA182" i="11" s="1"/>
  <c r="T182" i="11"/>
  <c r="R182" i="11" s="1"/>
  <c r="AU182" i="11" s="1"/>
  <c r="AV182" i="11" s="1"/>
  <c r="O182" i="11"/>
  <c r="S182" i="11" s="1"/>
  <c r="M182" i="11"/>
  <c r="G182" i="11"/>
  <c r="AS181" i="11"/>
  <c r="AT181" i="11" s="1"/>
  <c r="AQ181" i="11"/>
  <c r="AR181" i="11" s="1"/>
  <c r="AO181" i="11"/>
  <c r="AP181" i="11" s="1"/>
  <c r="AB181" i="11"/>
  <c r="AF181" i="11" s="1"/>
  <c r="AE181" i="11" s="1"/>
  <c r="Y181" i="11"/>
  <c r="AA181" i="11" s="1"/>
  <c r="T181" i="11"/>
  <c r="AJ181" i="11" s="1"/>
  <c r="O181" i="11"/>
  <c r="S181" i="11" s="1"/>
  <c r="M181" i="11"/>
  <c r="G181" i="11"/>
  <c r="AU180" i="11"/>
  <c r="AV180" i="11" s="1"/>
  <c r="AO180" i="11"/>
  <c r="AP180" i="11" s="1"/>
  <c r="AB180" i="11"/>
  <c r="AF180" i="11" s="1"/>
  <c r="AE180" i="11" s="1"/>
  <c r="Y180" i="11"/>
  <c r="AA180" i="11" s="1"/>
  <c r="T180" i="11"/>
  <c r="O180" i="11"/>
  <c r="S180" i="11" s="1"/>
  <c r="N180" i="11"/>
  <c r="AQ180" i="11" s="1"/>
  <c r="AR180" i="11" s="1"/>
  <c r="G180" i="11"/>
  <c r="AS179" i="11"/>
  <c r="AT179" i="11" s="1"/>
  <c r="AO179" i="11"/>
  <c r="AP179" i="11" s="1"/>
  <c r="AB179" i="11"/>
  <c r="AF179" i="11" s="1"/>
  <c r="AE179" i="11" s="1"/>
  <c r="Y179" i="11"/>
  <c r="AA179" i="11" s="1"/>
  <c r="T179" i="11"/>
  <c r="O179" i="11"/>
  <c r="S179" i="11" s="1"/>
  <c r="N179" i="11"/>
  <c r="AQ179" i="11" s="1"/>
  <c r="AR179" i="11" s="1"/>
  <c r="G179" i="11"/>
  <c r="AS178" i="11"/>
  <c r="AT178" i="11" s="1"/>
  <c r="AB178" i="11"/>
  <c r="AF178" i="11" s="1"/>
  <c r="AE178" i="11" s="1"/>
  <c r="Y178" i="11"/>
  <c r="W178" i="11"/>
  <c r="S178" i="11"/>
  <c r="P178" i="11"/>
  <c r="N178" i="11"/>
  <c r="AQ178" i="11" s="1"/>
  <c r="AR178" i="11" s="1"/>
  <c r="G178" i="11"/>
  <c r="AS177" i="11"/>
  <c r="AT177" i="11" s="1"/>
  <c r="AB177" i="11"/>
  <c r="AF177" i="11" s="1"/>
  <c r="AE177" i="11" s="1"/>
  <c r="W177" i="11"/>
  <c r="AA177" i="11" s="1"/>
  <c r="AC177" i="11" s="1"/>
  <c r="S177" i="11"/>
  <c r="P177" i="11"/>
  <c r="T177" i="11" s="1"/>
  <c r="N177" i="11"/>
  <c r="G177" i="11"/>
  <c r="AS176" i="11"/>
  <c r="AT176" i="11" s="1"/>
  <c r="U176" i="11"/>
  <c r="S176" i="11"/>
  <c r="P176" i="11"/>
  <c r="T176" i="11" s="1"/>
  <c r="N176" i="11"/>
  <c r="H176" i="11"/>
  <c r="AS175" i="11"/>
  <c r="AT175" i="11" s="1"/>
  <c r="AO175" i="11"/>
  <c r="AP175" i="11" s="1"/>
  <c r="AB175" i="11"/>
  <c r="AF175" i="11" s="1"/>
  <c r="AE175" i="11" s="1"/>
  <c r="W175" i="11"/>
  <c r="U175" i="11"/>
  <c r="T175" i="11"/>
  <c r="O175" i="11"/>
  <c r="S175" i="11" s="1"/>
  <c r="N175" i="11"/>
  <c r="AJ175" i="11" s="1"/>
  <c r="AM175" i="11" s="1"/>
  <c r="H175" i="11"/>
  <c r="AS174" i="11"/>
  <c r="AT174" i="11" s="1"/>
  <c r="AQ174" i="11"/>
  <c r="AR174" i="11" s="1"/>
  <c r="AB174" i="11"/>
  <c r="AF174" i="11" s="1"/>
  <c r="AE174" i="11" s="1"/>
  <c r="W174" i="11"/>
  <c r="U174" i="11"/>
  <c r="P174" i="11"/>
  <c r="H174" i="11"/>
  <c r="AS173" i="11"/>
  <c r="AT173" i="11" s="1"/>
  <c r="W173" i="11"/>
  <c r="U173" i="11"/>
  <c r="S173" i="11"/>
  <c r="P173" i="11"/>
  <c r="AO173" i="11" s="1"/>
  <c r="AP173" i="11" s="1"/>
  <c r="N173" i="11"/>
  <c r="AQ173" i="11" s="1"/>
  <c r="AR173" i="11" s="1"/>
  <c r="H173" i="11"/>
  <c r="AS172" i="11"/>
  <c r="AT172" i="11" s="1"/>
  <c r="AB172" i="11"/>
  <c r="AF172" i="11" s="1"/>
  <c r="AE172" i="11" s="1"/>
  <c r="W172" i="11"/>
  <c r="U172" i="11"/>
  <c r="S172" i="11"/>
  <c r="P172" i="11"/>
  <c r="N172" i="11"/>
  <c r="AQ172" i="11" s="1"/>
  <c r="AR172" i="11" s="1"/>
  <c r="H172" i="11"/>
  <c r="AS171" i="11"/>
  <c r="AT171" i="11" s="1"/>
  <c r="AO171" i="11"/>
  <c r="AP171" i="11" s="1"/>
  <c r="AB171" i="11"/>
  <c r="AF171" i="11" s="1"/>
  <c r="AE171" i="11" s="1"/>
  <c r="U171" i="11"/>
  <c r="AA171" i="11" s="1"/>
  <c r="T171" i="11"/>
  <c r="O171" i="11"/>
  <c r="S171" i="11" s="1"/>
  <c r="M171" i="11"/>
  <c r="N171" i="11" s="1"/>
  <c r="AQ171" i="11" s="1"/>
  <c r="AR171" i="11" s="1"/>
  <c r="H171" i="11"/>
  <c r="AS170" i="11"/>
  <c r="AT170" i="11" s="1"/>
  <c r="AB170" i="11"/>
  <c r="AF170" i="11" s="1"/>
  <c r="AE170" i="11" s="1"/>
  <c r="AA170" i="11"/>
  <c r="AC170" i="11" s="1"/>
  <c r="U170" i="11"/>
  <c r="S170" i="11"/>
  <c r="P170" i="11"/>
  <c r="AO170" i="11" s="1"/>
  <c r="AP170" i="11" s="1"/>
  <c r="N170" i="11"/>
  <c r="H170" i="11"/>
  <c r="AS169" i="11"/>
  <c r="AT169" i="11" s="1"/>
  <c r="AQ169" i="11"/>
  <c r="AR169" i="11" s="1"/>
  <c r="AO169" i="11"/>
  <c r="AP169" i="11" s="1"/>
  <c r="AB169" i="11"/>
  <c r="AF169" i="11" s="1"/>
  <c r="AE169" i="11" s="1"/>
  <c r="Y169" i="11"/>
  <c r="W169" i="11"/>
  <c r="U169" i="11"/>
  <c r="U168" i="11" s="1"/>
  <c r="U167" i="11" s="1"/>
  <c r="T169" i="11"/>
  <c r="AJ169" i="11" s="1"/>
  <c r="S169" i="11"/>
  <c r="R169" i="11"/>
  <c r="H169" i="11"/>
  <c r="AV168" i="11"/>
  <c r="AT168" i="11"/>
  <c r="AR168" i="11"/>
  <c r="AP168" i="11"/>
  <c r="AH168" i="11"/>
  <c r="AG168" i="11"/>
  <c r="X168" i="11"/>
  <c r="V168" i="11"/>
  <c r="V167" i="11" s="1"/>
  <c r="L168" i="11"/>
  <c r="K168" i="11"/>
  <c r="K167" i="11" s="1"/>
  <c r="J168" i="11"/>
  <c r="I168" i="11"/>
  <c r="I167" i="11" s="1"/>
  <c r="AV167" i="11"/>
  <c r="AT167" i="11"/>
  <c r="AR167" i="11"/>
  <c r="AP167" i="11"/>
  <c r="AS166" i="11"/>
  <c r="AT166" i="11" s="1"/>
  <c r="AQ166" i="11"/>
  <c r="AR166" i="11" s="1"/>
  <c r="AO166" i="11"/>
  <c r="AP166" i="11" s="1"/>
  <c r="AJ166" i="11"/>
  <c r="AK166" i="11" s="1"/>
  <c r="AB166" i="11"/>
  <c r="AF166" i="11" s="1"/>
  <c r="AE166" i="11" s="1"/>
  <c r="U166" i="11"/>
  <c r="AA166" i="11" s="1"/>
  <c r="S166" i="11"/>
  <c r="R166" i="11"/>
  <c r="AU166" i="11" s="1"/>
  <c r="AV166" i="11" s="1"/>
  <c r="O166" i="11"/>
  <c r="M166" i="11"/>
  <c r="K166" i="11"/>
  <c r="I166" i="11"/>
  <c r="H166" i="11"/>
  <c r="AS165" i="11"/>
  <c r="AT165" i="11" s="1"/>
  <c r="AQ165" i="11"/>
  <c r="AR165" i="11" s="1"/>
  <c r="AO165" i="11"/>
  <c r="AP165" i="11" s="1"/>
  <c r="AJ165" i="11"/>
  <c r="AM165" i="11" s="1"/>
  <c r="AB165" i="11"/>
  <c r="AD165" i="11" s="1"/>
  <c r="U165" i="11"/>
  <c r="AA165" i="11" s="1"/>
  <c r="S165" i="11"/>
  <c r="R165" i="11"/>
  <c r="AU165" i="11" s="1"/>
  <c r="AV165" i="11" s="1"/>
  <c r="O165" i="11"/>
  <c r="M165" i="11"/>
  <c r="K165" i="11"/>
  <c r="I165" i="11"/>
  <c r="H165" i="11"/>
  <c r="AS164" i="11"/>
  <c r="AT164" i="11" s="1"/>
  <c r="AQ164" i="11"/>
  <c r="AR164" i="11" s="1"/>
  <c r="AO164" i="11"/>
  <c r="AP164" i="11" s="1"/>
  <c r="AJ164" i="11"/>
  <c r="AM164" i="11" s="1"/>
  <c r="AB164" i="11"/>
  <c r="AF164" i="11" s="1"/>
  <c r="AE164" i="11" s="1"/>
  <c r="U164" i="11"/>
  <c r="AA164" i="11" s="1"/>
  <c r="S164" i="11"/>
  <c r="R164" i="11"/>
  <c r="AU164" i="11" s="1"/>
  <c r="AV164" i="11" s="1"/>
  <c r="O164" i="11"/>
  <c r="M164" i="11"/>
  <c r="K164" i="11"/>
  <c r="I164" i="11"/>
  <c r="H164" i="11"/>
  <c r="AS163" i="11"/>
  <c r="AT163" i="11" s="1"/>
  <c r="AQ163" i="11"/>
  <c r="AR163" i="11" s="1"/>
  <c r="AO163" i="11"/>
  <c r="AP163" i="11" s="1"/>
  <c r="AJ163" i="11"/>
  <c r="AM163" i="11" s="1"/>
  <c r="AB163" i="11"/>
  <c r="AD163" i="11" s="1"/>
  <c r="U163" i="11"/>
  <c r="AA163" i="11" s="1"/>
  <c r="S163" i="11"/>
  <c r="R163" i="11"/>
  <c r="O163" i="11"/>
  <c r="M163" i="11"/>
  <c r="K163" i="11"/>
  <c r="I163" i="11"/>
  <c r="H163" i="11"/>
  <c r="AV162" i="11"/>
  <c r="AT162" i="11"/>
  <c r="AR162" i="11"/>
  <c r="AP162" i="11"/>
  <c r="AV161" i="11"/>
  <c r="AT161" i="11"/>
  <c r="AR161" i="11"/>
  <c r="AP161" i="11"/>
  <c r="AV160" i="11"/>
  <c r="AT160" i="11"/>
  <c r="AR160" i="11"/>
  <c r="AP160" i="11"/>
  <c r="AH160" i="11"/>
  <c r="AG160" i="11"/>
  <c r="AG159" i="11" s="1"/>
  <c r="Z160" i="11"/>
  <c r="Z159" i="11" s="1"/>
  <c r="Y160" i="11"/>
  <c r="Y159" i="11" s="1"/>
  <c r="X160" i="11"/>
  <c r="X159" i="11" s="1"/>
  <c r="X158" i="11" s="1"/>
  <c r="W160" i="11"/>
  <c r="W159" i="11" s="1"/>
  <c r="V160" i="11"/>
  <c r="V159" i="11" s="1"/>
  <c r="T160" i="11"/>
  <c r="Q160" i="11"/>
  <c r="Q159" i="11" s="1"/>
  <c r="P160" i="11"/>
  <c r="N160" i="11"/>
  <c r="AJ160" i="11" s="1"/>
  <c r="L160" i="11"/>
  <c r="L159" i="11" s="1"/>
  <c r="J160" i="11"/>
  <c r="J159" i="11" s="1"/>
  <c r="G160" i="11"/>
  <c r="G159" i="11" s="1"/>
  <c r="AV159" i="11"/>
  <c r="AT159" i="11"/>
  <c r="AR159" i="11"/>
  <c r="AP159" i="11"/>
  <c r="AH159" i="11"/>
  <c r="T159" i="11"/>
  <c r="P159" i="11"/>
  <c r="AV158" i="11"/>
  <c r="AT158" i="11"/>
  <c r="AR158" i="11"/>
  <c r="AP158" i="11"/>
  <c r="AU157" i="11"/>
  <c r="AV157" i="11" s="1"/>
  <c r="AQ157" i="11"/>
  <c r="AR157" i="11" s="1"/>
  <c r="AO157" i="11"/>
  <c r="AP157" i="11" s="1"/>
  <c r="AJ157" i="11"/>
  <c r="AM157" i="11" s="1"/>
  <c r="AH157" i="11"/>
  <c r="AH155" i="11" s="1"/>
  <c r="AB157" i="11"/>
  <c r="AA157" i="11"/>
  <c r="S157" i="11"/>
  <c r="Q157" i="11"/>
  <c r="O157" i="11"/>
  <c r="M157" i="11"/>
  <c r="G157" i="11"/>
  <c r="AG157" i="11" s="1"/>
  <c r="AG155" i="11" s="1"/>
  <c r="AS156" i="11"/>
  <c r="AT156" i="11" s="1"/>
  <c r="AQ156" i="11"/>
  <c r="AR156" i="11" s="1"/>
  <c r="AO156" i="11"/>
  <c r="AP156" i="11" s="1"/>
  <c r="AJ156" i="11"/>
  <c r="AM156" i="11" s="1"/>
  <c r="AB156" i="11"/>
  <c r="AD156" i="11" s="1"/>
  <c r="AD155" i="11" s="1"/>
  <c r="Y156" i="11"/>
  <c r="W156" i="11"/>
  <c r="S156" i="11"/>
  <c r="R156" i="11"/>
  <c r="AU156" i="11" s="1"/>
  <c r="AV156" i="11" s="1"/>
  <c r="O156" i="11"/>
  <c r="M156" i="11"/>
  <c r="M155" i="11" s="1"/>
  <c r="AV155" i="11"/>
  <c r="AT155" i="11"/>
  <c r="AR155" i="11"/>
  <c r="AP155" i="11"/>
  <c r="Z155" i="11"/>
  <c r="Y155" i="11"/>
  <c r="X155" i="11"/>
  <c r="T155" i="11"/>
  <c r="P155" i="11"/>
  <c r="N155" i="11"/>
  <c r="L155" i="11"/>
  <c r="K155" i="11"/>
  <c r="J155" i="11"/>
  <c r="I155" i="11"/>
  <c r="H155" i="11"/>
  <c r="G155" i="11"/>
  <c r="AU154" i="11"/>
  <c r="AV154" i="11" s="1"/>
  <c r="AQ154" i="11"/>
  <c r="AJ154" i="11"/>
  <c r="AM154" i="11" s="1"/>
  <c r="AB154" i="11"/>
  <c r="AA154" i="11"/>
  <c r="AC154" i="11" s="1"/>
  <c r="Q154" i="11"/>
  <c r="Q139" i="11" s="1"/>
  <c r="P154" i="11"/>
  <c r="AO154" i="11" s="1"/>
  <c r="AP154" i="11" s="1"/>
  <c r="AS153" i="11"/>
  <c r="AT153" i="11" s="1"/>
  <c r="AQ153" i="11"/>
  <c r="AR153" i="11" s="1"/>
  <c r="AO153" i="11"/>
  <c r="AP153" i="11" s="1"/>
  <c r="AJ153" i="11"/>
  <c r="AM153" i="11" s="1"/>
  <c r="AB153" i="11"/>
  <c r="AA153" i="11"/>
  <c r="S153" i="11"/>
  <c r="R153" i="11"/>
  <c r="AU153" i="11" s="1"/>
  <c r="AV153" i="11" s="1"/>
  <c r="O153" i="11"/>
  <c r="M153" i="11"/>
  <c r="H153" i="11"/>
  <c r="AS152" i="11"/>
  <c r="AT152" i="11" s="1"/>
  <c r="AQ152" i="11"/>
  <c r="AR152" i="11" s="1"/>
  <c r="AO152" i="11"/>
  <c r="AP152" i="11" s="1"/>
  <c r="AJ152" i="11"/>
  <c r="AM152" i="11" s="1"/>
  <c r="AB152" i="11"/>
  <c r="AA152" i="11"/>
  <c r="S152" i="11"/>
  <c r="R152" i="11"/>
  <c r="AU152" i="11" s="1"/>
  <c r="AV152" i="11" s="1"/>
  <c r="O152" i="11"/>
  <c r="M152" i="11"/>
  <c r="H152" i="11"/>
  <c r="AS151" i="11"/>
  <c r="AT151" i="11" s="1"/>
  <c r="AQ151" i="11"/>
  <c r="AR151" i="11" s="1"/>
  <c r="AO151" i="11"/>
  <c r="AP151" i="11" s="1"/>
  <c r="AJ151" i="11"/>
  <c r="AM151" i="11" s="1"/>
  <c r="AB151" i="11"/>
  <c r="AA151" i="11"/>
  <c r="S151" i="11"/>
  <c r="R151" i="11"/>
  <c r="AU151" i="11" s="1"/>
  <c r="AV151" i="11" s="1"/>
  <c r="O151" i="11"/>
  <c r="M151" i="11"/>
  <c r="H151" i="11"/>
  <c r="AS150" i="11"/>
  <c r="AT150" i="11" s="1"/>
  <c r="AQ150" i="11"/>
  <c r="AR150" i="11" s="1"/>
  <c r="AB150" i="11"/>
  <c r="AA150" i="11"/>
  <c r="T150" i="11"/>
  <c r="P150" i="11"/>
  <c r="AO150" i="11" s="1"/>
  <c r="AP150" i="11" s="1"/>
  <c r="M150" i="11"/>
  <c r="H150" i="11"/>
  <c r="AS149" i="11"/>
  <c r="AT149" i="11" s="1"/>
  <c r="AQ149" i="11"/>
  <c r="AR149" i="11" s="1"/>
  <c r="AO149" i="11"/>
  <c r="AP149" i="11" s="1"/>
  <c r="AJ149" i="11"/>
  <c r="AM149" i="11" s="1"/>
  <c r="AB149" i="11"/>
  <c r="AA149" i="11"/>
  <c r="S149" i="11"/>
  <c r="R149" i="11"/>
  <c r="AU149" i="11" s="1"/>
  <c r="AV149" i="11" s="1"/>
  <c r="O149" i="11"/>
  <c r="M149" i="11"/>
  <c r="H149" i="11"/>
  <c r="AS148" i="11"/>
  <c r="AT148" i="11" s="1"/>
  <c r="AQ148" i="11"/>
  <c r="AR148" i="11" s="1"/>
  <c r="AO148" i="11"/>
  <c r="AP148" i="11" s="1"/>
  <c r="AJ148" i="11"/>
  <c r="AK148" i="11" s="1"/>
  <c r="AB148" i="11"/>
  <c r="AA148" i="11"/>
  <c r="S148" i="11"/>
  <c r="R148" i="11"/>
  <c r="AU148" i="11" s="1"/>
  <c r="AV148" i="11" s="1"/>
  <c r="O148" i="11"/>
  <c r="M148" i="11"/>
  <c r="H148" i="11"/>
  <c r="AS147" i="11"/>
  <c r="AT147" i="11" s="1"/>
  <c r="AQ147" i="11"/>
  <c r="AR147" i="11" s="1"/>
  <c r="AO147" i="11"/>
  <c r="AP147" i="11" s="1"/>
  <c r="AJ147" i="11"/>
  <c r="AM147" i="11" s="1"/>
  <c r="AB147" i="11"/>
  <c r="AA147" i="11"/>
  <c r="S147" i="11"/>
  <c r="R147" i="11"/>
  <c r="AU147" i="11" s="1"/>
  <c r="AV147" i="11" s="1"/>
  <c r="O147" i="11"/>
  <c r="M147" i="11"/>
  <c r="H147" i="11"/>
  <c r="AS146" i="11"/>
  <c r="AT146" i="11" s="1"/>
  <c r="AQ146" i="11"/>
  <c r="AR146" i="11" s="1"/>
  <c r="AO146" i="11"/>
  <c r="AP146" i="11" s="1"/>
  <c r="AJ146" i="11"/>
  <c r="AM146" i="11" s="1"/>
  <c r="AB146" i="11"/>
  <c r="AA146" i="11"/>
  <c r="S146" i="11"/>
  <c r="R146" i="11"/>
  <c r="AU146" i="11" s="1"/>
  <c r="AV146" i="11" s="1"/>
  <c r="O146" i="11"/>
  <c r="M146" i="11"/>
  <c r="H146" i="11"/>
  <c r="AS145" i="11"/>
  <c r="AT145" i="11" s="1"/>
  <c r="AQ145" i="11"/>
  <c r="AR145" i="11" s="1"/>
  <c r="AO145" i="11"/>
  <c r="AP145" i="11" s="1"/>
  <c r="AJ145" i="11"/>
  <c r="AK145" i="11" s="1"/>
  <c r="AB145" i="11"/>
  <c r="AA145" i="11"/>
  <c r="S145" i="11"/>
  <c r="R145" i="11"/>
  <c r="AU145" i="11" s="1"/>
  <c r="AV145" i="11" s="1"/>
  <c r="O145" i="11"/>
  <c r="M145" i="11"/>
  <c r="AS144" i="11"/>
  <c r="AT144" i="11" s="1"/>
  <c r="AQ144" i="11"/>
  <c r="AR144" i="11" s="1"/>
  <c r="AO144" i="11"/>
  <c r="AP144" i="11" s="1"/>
  <c r="AJ144" i="11"/>
  <c r="AM144" i="11" s="1"/>
  <c r="AB144" i="11"/>
  <c r="AA144" i="11"/>
  <c r="S144" i="11"/>
  <c r="R144" i="11"/>
  <c r="AU144" i="11" s="1"/>
  <c r="AV144" i="11" s="1"/>
  <c r="O144" i="11"/>
  <c r="M144" i="11"/>
  <c r="H144" i="11"/>
  <c r="AS143" i="11"/>
  <c r="AT143" i="11" s="1"/>
  <c r="AQ143" i="11"/>
  <c r="AR143" i="11" s="1"/>
  <c r="AO143" i="11"/>
  <c r="AP143" i="11" s="1"/>
  <c r="AJ143" i="11"/>
  <c r="AM143" i="11" s="1"/>
  <c r="AB143" i="11"/>
  <c r="AD143" i="11" s="1"/>
  <c r="AA143" i="11"/>
  <c r="S143" i="11"/>
  <c r="R143" i="11"/>
  <c r="AU143" i="11" s="1"/>
  <c r="AV143" i="11" s="1"/>
  <c r="O143" i="11"/>
  <c r="M143" i="11"/>
  <c r="H143" i="11"/>
  <c r="AS142" i="11"/>
  <c r="AT142" i="11" s="1"/>
  <c r="AQ142" i="11"/>
  <c r="AR142" i="11" s="1"/>
  <c r="AO142" i="11"/>
  <c r="AP142" i="11" s="1"/>
  <c r="AJ142" i="11"/>
  <c r="AM142" i="11" s="1"/>
  <c r="AB142" i="11"/>
  <c r="AF142" i="11" s="1"/>
  <c r="AE142" i="11" s="1"/>
  <c r="Y142" i="11"/>
  <c r="W142" i="11"/>
  <c r="W139" i="11" s="1"/>
  <c r="S142" i="11"/>
  <c r="R142" i="11"/>
  <c r="AU142" i="11" s="1"/>
  <c r="AV142" i="11" s="1"/>
  <c r="O142" i="11"/>
  <c r="M142" i="11"/>
  <c r="H142" i="11"/>
  <c r="AS141" i="11"/>
  <c r="AT141" i="11" s="1"/>
  <c r="AQ141" i="11"/>
  <c r="AR141" i="11" s="1"/>
  <c r="AO141" i="11"/>
  <c r="AP141" i="11" s="1"/>
  <c r="AJ141" i="11"/>
  <c r="AM141" i="11" s="1"/>
  <c r="AB141" i="11"/>
  <c r="AF141" i="11" s="1"/>
  <c r="AE141" i="11" s="1"/>
  <c r="AA141" i="11"/>
  <c r="S141" i="11"/>
  <c r="R141" i="11"/>
  <c r="AU141" i="11" s="1"/>
  <c r="AV141" i="11" s="1"/>
  <c r="O141" i="11"/>
  <c r="M141" i="11"/>
  <c r="H141" i="11"/>
  <c r="AS140" i="11"/>
  <c r="AT140" i="11" s="1"/>
  <c r="AQ140" i="11"/>
  <c r="AR140" i="11" s="1"/>
  <c r="AO140" i="11"/>
  <c r="AP140" i="11" s="1"/>
  <c r="AJ140" i="11"/>
  <c r="AM140" i="11" s="1"/>
  <c r="AB140" i="11"/>
  <c r="AD140" i="11" s="1"/>
  <c r="AA140" i="11"/>
  <c r="S140" i="11"/>
  <c r="R140" i="11"/>
  <c r="AU140" i="11" s="1"/>
  <c r="AV140" i="11" s="1"/>
  <c r="O140" i="11"/>
  <c r="M140" i="11"/>
  <c r="M139" i="11" s="1"/>
  <c r="H140" i="11"/>
  <c r="AV139" i="11"/>
  <c r="AT139" i="11"/>
  <c r="AR139" i="11"/>
  <c r="AP139" i="11"/>
  <c r="AH139" i="11"/>
  <c r="AG139" i="11"/>
  <c r="Z139" i="11"/>
  <c r="Z138" i="11" s="1"/>
  <c r="Y139" i="11"/>
  <c r="X139" i="11"/>
  <c r="X138" i="11" s="1"/>
  <c r="V139" i="11"/>
  <c r="V138" i="11" s="1"/>
  <c r="U139" i="11"/>
  <c r="U138" i="11" s="1"/>
  <c r="N139" i="11"/>
  <c r="N138" i="11" s="1"/>
  <c r="L139" i="11"/>
  <c r="K139" i="11"/>
  <c r="J139" i="11"/>
  <c r="I139" i="11"/>
  <c r="G139" i="11"/>
  <c r="G138" i="11" s="1"/>
  <c r="AV138" i="11"/>
  <c r="AT138" i="11"/>
  <c r="AR138" i="11"/>
  <c r="AP138" i="11"/>
  <c r="AS137" i="11"/>
  <c r="AT137" i="11" s="1"/>
  <c r="AQ137" i="11"/>
  <c r="AR137" i="11" s="1"/>
  <c r="AO137" i="11"/>
  <c r="AP137" i="11" s="1"/>
  <c r="AJ137" i="11"/>
  <c r="AM137" i="11" s="1"/>
  <c r="AB137" i="11"/>
  <c r="AF137" i="11" s="1"/>
  <c r="AE137" i="11" s="1"/>
  <c r="AA137" i="11"/>
  <c r="S137" i="11"/>
  <c r="R137" i="11"/>
  <c r="AU137" i="11" s="1"/>
  <c r="AV137" i="11" s="1"/>
  <c r="O137" i="11"/>
  <c r="M137" i="11"/>
  <c r="K137" i="11"/>
  <c r="I137" i="11"/>
  <c r="H137" i="11"/>
  <c r="AS136" i="11"/>
  <c r="AT136" i="11" s="1"/>
  <c r="AQ136" i="11"/>
  <c r="AR136" i="11" s="1"/>
  <c r="AO136" i="11"/>
  <c r="AP136" i="11" s="1"/>
  <c r="AJ136" i="11"/>
  <c r="AK136" i="11" s="1"/>
  <c r="AB136" i="11"/>
  <c r="AF136" i="11" s="1"/>
  <c r="AE136" i="11" s="1"/>
  <c r="W136" i="11"/>
  <c r="AA136" i="11" s="1"/>
  <c r="S136" i="11"/>
  <c r="R136" i="11"/>
  <c r="AU136" i="11" s="1"/>
  <c r="AV136" i="11" s="1"/>
  <c r="O136" i="11"/>
  <c r="M136" i="11"/>
  <c r="K136" i="11"/>
  <c r="I136" i="11"/>
  <c r="H136" i="11"/>
  <c r="AS135" i="11"/>
  <c r="AT135" i="11" s="1"/>
  <c r="AQ135" i="11"/>
  <c r="AR135" i="11" s="1"/>
  <c r="AO135" i="11"/>
  <c r="AP135" i="11" s="1"/>
  <c r="AJ135" i="11"/>
  <c r="AM135" i="11" s="1"/>
  <c r="AB135" i="11"/>
  <c r="AD135" i="11" s="1"/>
  <c r="W135" i="11"/>
  <c r="AA135" i="11" s="1"/>
  <c r="S135" i="11"/>
  <c r="R135" i="11"/>
  <c r="AU135" i="11" s="1"/>
  <c r="AV135" i="11" s="1"/>
  <c r="O135" i="11"/>
  <c r="M135" i="11"/>
  <c r="K135" i="11"/>
  <c r="I135" i="11"/>
  <c r="H135" i="11"/>
  <c r="AS134" i="11"/>
  <c r="AT134" i="11" s="1"/>
  <c r="AQ134" i="11"/>
  <c r="AR134" i="11" s="1"/>
  <c r="AB134" i="11"/>
  <c r="AF134" i="11" s="1"/>
  <c r="AE134" i="11" s="1"/>
  <c r="Y134" i="11"/>
  <c r="Y128" i="11" s="1"/>
  <c r="Y127" i="11" s="1"/>
  <c r="W134" i="11"/>
  <c r="U134" i="11"/>
  <c r="U128" i="11" s="1"/>
  <c r="U127" i="11" s="1"/>
  <c r="U126" i="11" s="1"/>
  <c r="P134" i="11"/>
  <c r="AO134" i="11" s="1"/>
  <c r="AP134" i="11" s="1"/>
  <c r="M134" i="11"/>
  <c r="K134" i="11"/>
  <c r="I134" i="11"/>
  <c r="AS133" i="11"/>
  <c r="AT133" i="11" s="1"/>
  <c r="AQ133" i="11"/>
  <c r="AR133" i="11" s="1"/>
  <c r="AO133" i="11"/>
  <c r="AP133" i="11" s="1"/>
  <c r="AJ133" i="11"/>
  <c r="AK133" i="11" s="1"/>
  <c r="AB133" i="11"/>
  <c r="AF133" i="11" s="1"/>
  <c r="AE133" i="11" s="1"/>
  <c r="W133" i="11"/>
  <c r="AA133" i="11" s="1"/>
  <c r="S133" i="11"/>
  <c r="R133" i="11"/>
  <c r="AU133" i="11" s="1"/>
  <c r="AV133" i="11" s="1"/>
  <c r="O133" i="11"/>
  <c r="M133" i="11"/>
  <c r="K133" i="11"/>
  <c r="I133" i="11"/>
  <c r="H133" i="11"/>
  <c r="AS132" i="11"/>
  <c r="AT132" i="11" s="1"/>
  <c r="AQ132" i="11"/>
  <c r="AR132" i="11" s="1"/>
  <c r="AO132" i="11"/>
  <c r="AP132" i="11" s="1"/>
  <c r="AJ132" i="11"/>
  <c r="AM132" i="11" s="1"/>
  <c r="AB132" i="11"/>
  <c r="AF132" i="11" s="1"/>
  <c r="AE132" i="11" s="1"/>
  <c r="AA132" i="11"/>
  <c r="S132" i="11"/>
  <c r="R132" i="11"/>
  <c r="AU132" i="11" s="1"/>
  <c r="AV132" i="11" s="1"/>
  <c r="O132" i="11"/>
  <c r="M132" i="11"/>
  <c r="K132" i="11"/>
  <c r="I132" i="11"/>
  <c r="H132" i="11"/>
  <c r="AS131" i="11"/>
  <c r="AT131" i="11" s="1"/>
  <c r="AQ131" i="11"/>
  <c r="AR131" i="11" s="1"/>
  <c r="AO131" i="11"/>
  <c r="AP131" i="11" s="1"/>
  <c r="AJ131" i="11"/>
  <c r="AM131" i="11" s="1"/>
  <c r="AB131" i="11"/>
  <c r="AD131" i="11" s="1"/>
  <c r="W131" i="11"/>
  <c r="AA131" i="11" s="1"/>
  <c r="S131" i="11"/>
  <c r="R131" i="11"/>
  <c r="O131" i="11"/>
  <c r="M131" i="11"/>
  <c r="M128" i="11" s="1"/>
  <c r="M127" i="11" s="1"/>
  <c r="K131" i="11"/>
  <c r="I131" i="11"/>
  <c r="I128" i="11" s="1"/>
  <c r="I127" i="11" s="1"/>
  <c r="I126" i="11" s="1"/>
  <c r="H131" i="11"/>
  <c r="AV130" i="11"/>
  <c r="AT130" i="11"/>
  <c r="AR130" i="11"/>
  <c r="AP130" i="11"/>
  <c r="AJ130" i="11"/>
  <c r="AV129" i="11"/>
  <c r="AT129" i="11"/>
  <c r="AR129" i="11"/>
  <c r="AP129" i="11"/>
  <c r="AJ129" i="11"/>
  <c r="AV128" i="11"/>
  <c r="AT128" i="11"/>
  <c r="AR128" i="11"/>
  <c r="AP128" i="11"/>
  <c r="AH128" i="11"/>
  <c r="AH127" i="11" s="1"/>
  <c r="AG128" i="11"/>
  <c r="AG127" i="11" s="1"/>
  <c r="Z128" i="11"/>
  <c r="Z127" i="11" s="1"/>
  <c r="Z126" i="11" s="1"/>
  <c r="X128" i="11"/>
  <c r="V128" i="11"/>
  <c r="V127" i="11" s="1"/>
  <c r="V126" i="11" s="1"/>
  <c r="Q128" i="11"/>
  <c r="Q127" i="11" s="1"/>
  <c r="N128" i="11"/>
  <c r="N127" i="11" s="1"/>
  <c r="L128" i="11"/>
  <c r="L127" i="11" s="1"/>
  <c r="L126" i="11" s="1"/>
  <c r="J128" i="11"/>
  <c r="G128" i="11"/>
  <c r="G127" i="11" s="1"/>
  <c r="AV127" i="11"/>
  <c r="AT127" i="11"/>
  <c r="AR127" i="11"/>
  <c r="AP127" i="11"/>
  <c r="X127" i="11"/>
  <c r="J127" i="11"/>
  <c r="J126" i="11" s="1"/>
  <c r="AV126" i="11"/>
  <c r="AT126" i="11"/>
  <c r="AR126" i="11"/>
  <c r="AP126" i="11"/>
  <c r="AU125" i="11"/>
  <c r="AV125" i="11" s="1"/>
  <c r="AL125" i="11"/>
  <c r="T125" i="11"/>
  <c r="S125" i="11" s="1"/>
  <c r="S124" i="11" s="1"/>
  <c r="P125" i="11"/>
  <c r="AO125" i="11" s="1"/>
  <c r="AP125" i="11" s="1"/>
  <c r="N125" i="11"/>
  <c r="H125" i="11"/>
  <c r="AH125" i="11" s="1"/>
  <c r="AH124" i="11" s="1"/>
  <c r="AV124" i="11"/>
  <c r="AT124" i="11"/>
  <c r="AR124" i="11"/>
  <c r="AP124" i="11"/>
  <c r="R124" i="11"/>
  <c r="G124" i="11"/>
  <c r="AU123" i="11"/>
  <c r="AV123" i="11" s="1"/>
  <c r="AQ123" i="11"/>
  <c r="AR123" i="11" s="1"/>
  <c r="AO123" i="11"/>
  <c r="AP123" i="11" s="1"/>
  <c r="AL123" i="11"/>
  <c r="AJ123" i="11"/>
  <c r="AM123" i="11" s="1"/>
  <c r="AB123" i="11"/>
  <c r="AA123" i="11"/>
  <c r="S123" i="11"/>
  <c r="Q123" i="11"/>
  <c r="O123" i="11"/>
  <c r="G123" i="11"/>
  <c r="AU122" i="11"/>
  <c r="AV122" i="11" s="1"/>
  <c r="AQ122" i="11"/>
  <c r="AR122" i="11" s="1"/>
  <c r="AO122" i="11"/>
  <c r="AP122" i="11" s="1"/>
  <c r="AL122" i="11"/>
  <c r="AJ122" i="11"/>
  <c r="AM122" i="11" s="1"/>
  <c r="AB122" i="11"/>
  <c r="AA122" i="11"/>
  <c r="S122" i="11"/>
  <c r="Q122" i="11"/>
  <c r="O122" i="11"/>
  <c r="G122" i="11"/>
  <c r="AU121" i="11"/>
  <c r="AV121" i="11" s="1"/>
  <c r="AQ121" i="11"/>
  <c r="AR121" i="11" s="1"/>
  <c r="AO121" i="11"/>
  <c r="AP121" i="11" s="1"/>
  <c r="AL121" i="11"/>
  <c r="AJ121" i="11"/>
  <c r="AM121" i="11" s="1"/>
  <c r="AB121" i="11"/>
  <c r="AA121" i="11"/>
  <c r="S121" i="11"/>
  <c r="Q121" i="11"/>
  <c r="O121" i="11"/>
  <c r="G121" i="11"/>
  <c r="AS120" i="11"/>
  <c r="AT120" i="11" s="1"/>
  <c r="AQ120" i="11"/>
  <c r="AR120" i="11" s="1"/>
  <c r="AO120" i="11"/>
  <c r="AP120" i="11" s="1"/>
  <c r="AL120" i="11"/>
  <c r="AJ120" i="11"/>
  <c r="AM120" i="11" s="1"/>
  <c r="AB120" i="11"/>
  <c r="AA120" i="11"/>
  <c r="AC120" i="11" s="1"/>
  <c r="R120" i="11"/>
  <c r="AU120" i="11" s="1"/>
  <c r="AV120" i="11" s="1"/>
  <c r="H120" i="11"/>
  <c r="AS119" i="11"/>
  <c r="AT119" i="11" s="1"/>
  <c r="AQ119" i="11"/>
  <c r="AR119" i="11" s="1"/>
  <c r="AO119" i="11"/>
  <c r="AP119" i="11" s="1"/>
  <c r="AL119" i="11"/>
  <c r="AJ119" i="11"/>
  <c r="AM119" i="11" s="1"/>
  <c r="AB119" i="11"/>
  <c r="AA119" i="11"/>
  <c r="AC119" i="11" s="1"/>
  <c r="R119" i="11"/>
  <c r="M119" i="11"/>
  <c r="H119" i="11"/>
  <c r="AS118" i="11"/>
  <c r="AT118" i="11" s="1"/>
  <c r="AQ118" i="11"/>
  <c r="AR118" i="11" s="1"/>
  <c r="AO118" i="11"/>
  <c r="AP118" i="11" s="1"/>
  <c r="AL118" i="11"/>
  <c r="AJ118" i="11"/>
  <c r="AM118" i="11" s="1"/>
  <c r="AB118" i="11"/>
  <c r="AA118" i="11"/>
  <c r="AC118" i="11" s="1"/>
  <c r="R118" i="11"/>
  <c r="M118" i="11"/>
  <c r="H118" i="11"/>
  <c r="AS117" i="11"/>
  <c r="AT117" i="11" s="1"/>
  <c r="AQ117" i="11"/>
  <c r="AR117" i="11" s="1"/>
  <c r="AO117" i="11"/>
  <c r="AP117" i="11" s="1"/>
  <c r="AL117" i="11"/>
  <c r="AJ117" i="11"/>
  <c r="AM117" i="11" s="1"/>
  <c r="AB117" i="11"/>
  <c r="AA117" i="11"/>
  <c r="S117" i="11"/>
  <c r="R117" i="11"/>
  <c r="AU117" i="11" s="1"/>
  <c r="AV117" i="11" s="1"/>
  <c r="O117" i="11"/>
  <c r="M117" i="11"/>
  <c r="H117" i="11"/>
  <c r="AS116" i="11"/>
  <c r="AT116" i="11" s="1"/>
  <c r="AQ116" i="11"/>
  <c r="AR116" i="11" s="1"/>
  <c r="AO116" i="11"/>
  <c r="AP116" i="11" s="1"/>
  <c r="AL116" i="11"/>
  <c r="AJ116" i="11"/>
  <c r="AM116" i="11" s="1"/>
  <c r="AB116" i="11"/>
  <c r="AD116" i="11" s="1"/>
  <c r="AA116" i="11"/>
  <c r="AC116" i="11" s="1"/>
  <c r="R116" i="11"/>
  <c r="M116" i="11"/>
  <c r="H116" i="11"/>
  <c r="AS115" i="11"/>
  <c r="AT115" i="11" s="1"/>
  <c r="AQ115" i="11"/>
  <c r="AR115" i="11" s="1"/>
  <c r="AO115" i="11"/>
  <c r="AP115" i="11" s="1"/>
  <c r="AL115" i="11"/>
  <c r="AJ115" i="11"/>
  <c r="AM115" i="11" s="1"/>
  <c r="AB115" i="11"/>
  <c r="AA115" i="11"/>
  <c r="S115" i="11"/>
  <c r="R115" i="11"/>
  <c r="AU115" i="11" s="1"/>
  <c r="AV115" i="11" s="1"/>
  <c r="O115" i="11"/>
  <c r="M115" i="11"/>
  <c r="H115" i="11"/>
  <c r="AS114" i="11"/>
  <c r="AT114" i="11" s="1"/>
  <c r="AQ114" i="11"/>
  <c r="AR114" i="11" s="1"/>
  <c r="AO114" i="11"/>
  <c r="AP114" i="11" s="1"/>
  <c r="AL114" i="11"/>
  <c r="AJ114" i="11"/>
  <c r="AM114" i="11" s="1"/>
  <c r="AB114" i="11"/>
  <c r="AD114" i="11" s="1"/>
  <c r="AA114" i="11"/>
  <c r="AC114" i="11" s="1"/>
  <c r="R114" i="11"/>
  <c r="M114" i="11"/>
  <c r="H114" i="11"/>
  <c r="AU113" i="11"/>
  <c r="AV113" i="11" s="1"/>
  <c r="AQ113" i="11"/>
  <c r="AR113" i="11" s="1"/>
  <c r="AO113" i="11"/>
  <c r="AP113" i="11" s="1"/>
  <c r="AL113" i="11"/>
  <c r="AJ113" i="11"/>
  <c r="AM113" i="11" s="1"/>
  <c r="AB113" i="11"/>
  <c r="AA113" i="11"/>
  <c r="S113" i="11"/>
  <c r="Q113" i="11"/>
  <c r="AS113" i="11" s="1"/>
  <c r="AT113" i="11" s="1"/>
  <c r="O113" i="11"/>
  <c r="M113" i="11"/>
  <c r="H113" i="11"/>
  <c r="AS112" i="11"/>
  <c r="AT112" i="11" s="1"/>
  <c r="AQ112" i="11"/>
  <c r="AR112" i="11" s="1"/>
  <c r="AO112" i="11"/>
  <c r="AP112" i="11" s="1"/>
  <c r="AL112" i="11"/>
  <c r="AJ112" i="11"/>
  <c r="AM112" i="11" s="1"/>
  <c r="AB112" i="11"/>
  <c r="AA112" i="11"/>
  <c r="S112" i="11"/>
  <c r="R112" i="11"/>
  <c r="AU112" i="11" s="1"/>
  <c r="AV112" i="11" s="1"/>
  <c r="O112" i="11"/>
  <c r="M112" i="11"/>
  <c r="H112" i="11"/>
  <c r="AS111" i="11"/>
  <c r="AT111" i="11" s="1"/>
  <c r="AQ111" i="11"/>
  <c r="AR111" i="11" s="1"/>
  <c r="AO111" i="11"/>
  <c r="AP111" i="11" s="1"/>
  <c r="AL111" i="11"/>
  <c r="AJ111" i="11"/>
  <c r="AM111" i="11" s="1"/>
  <c r="AB111" i="11"/>
  <c r="AA111" i="11"/>
  <c r="AC111" i="11" s="1"/>
  <c r="R111" i="11"/>
  <c r="M111" i="11"/>
  <c r="H111" i="11"/>
  <c r="AU110" i="11"/>
  <c r="AV110" i="11" s="1"/>
  <c r="AO110" i="11"/>
  <c r="AP110" i="11" s="1"/>
  <c r="AL110" i="11"/>
  <c r="AB110" i="11"/>
  <c r="AA110" i="11"/>
  <c r="S110" i="11"/>
  <c r="O110" i="11"/>
  <c r="AC110" i="11" s="1"/>
  <c r="N110" i="11"/>
  <c r="AQ110" i="11" s="1"/>
  <c r="AR110" i="11" s="1"/>
  <c r="G110" i="11"/>
  <c r="AS109" i="11"/>
  <c r="AT109" i="11" s="1"/>
  <c r="AO109" i="11"/>
  <c r="AP109" i="11" s="1"/>
  <c r="AL109" i="11"/>
  <c r="AB109" i="11"/>
  <c r="AA109" i="11"/>
  <c r="S109" i="11"/>
  <c r="O109" i="11"/>
  <c r="N109" i="11"/>
  <c r="AJ109" i="11" s="1"/>
  <c r="H109" i="11"/>
  <c r="G109" i="11" s="1"/>
  <c r="AS108" i="11"/>
  <c r="AT108" i="11" s="1"/>
  <c r="AO108" i="11"/>
  <c r="AL108" i="11"/>
  <c r="AB108" i="11"/>
  <c r="AA108" i="11"/>
  <c r="AC108" i="11" s="1"/>
  <c r="H108" i="11"/>
  <c r="M108" i="11" s="1"/>
  <c r="N108" i="11" s="1"/>
  <c r="AU107" i="11"/>
  <c r="AV107" i="11" s="1"/>
  <c r="AO107" i="11"/>
  <c r="AP107" i="11" s="1"/>
  <c r="AL107" i="11"/>
  <c r="AB107" i="11"/>
  <c r="AA107" i="11"/>
  <c r="S107" i="11"/>
  <c r="O107" i="11"/>
  <c r="N107" i="11"/>
  <c r="AJ107" i="11" s="1"/>
  <c r="H107" i="11"/>
  <c r="AU106" i="11"/>
  <c r="AV106" i="11" s="1"/>
  <c r="AO106" i="11"/>
  <c r="AP106" i="11" s="1"/>
  <c r="AL106" i="11"/>
  <c r="AB106" i="11"/>
  <c r="AA106" i="11"/>
  <c r="S106" i="11"/>
  <c r="O106" i="11"/>
  <c r="AC106" i="11" s="1"/>
  <c r="N106" i="11"/>
  <c r="AQ106" i="11" s="1"/>
  <c r="AR106" i="11" s="1"/>
  <c r="H106" i="11"/>
  <c r="AS105" i="11"/>
  <c r="AT105" i="11" s="1"/>
  <c r="AQ105" i="11"/>
  <c r="AR105" i="11" s="1"/>
  <c r="AO105" i="11"/>
  <c r="AP105" i="11" s="1"/>
  <c r="AL105" i="11"/>
  <c r="AJ105" i="11"/>
  <c r="AM105" i="11" s="1"/>
  <c r="AB105" i="11"/>
  <c r="AA105" i="11"/>
  <c r="AC105" i="11" s="1"/>
  <c r="R105" i="11"/>
  <c r="M105" i="11"/>
  <c r="H105" i="11"/>
  <c r="AS104" i="11"/>
  <c r="AT104" i="11" s="1"/>
  <c r="AQ104" i="11"/>
  <c r="AR104" i="11" s="1"/>
  <c r="AO104" i="11"/>
  <c r="AP104" i="11" s="1"/>
  <c r="AL104" i="11"/>
  <c r="AJ104" i="11"/>
  <c r="AM104" i="11" s="1"/>
  <c r="AB104" i="11"/>
  <c r="AA104" i="11"/>
  <c r="S104" i="11"/>
  <c r="R104" i="11"/>
  <c r="AU104" i="11" s="1"/>
  <c r="AV104" i="11" s="1"/>
  <c r="O104" i="11"/>
  <c r="M104" i="11"/>
  <c r="G104" i="11"/>
  <c r="AS103" i="11"/>
  <c r="AT103" i="11" s="1"/>
  <c r="AQ103" i="11"/>
  <c r="AR103" i="11" s="1"/>
  <c r="AO103" i="11"/>
  <c r="AP103" i="11" s="1"/>
  <c r="AL103" i="11"/>
  <c r="AJ103" i="11"/>
  <c r="AM103" i="11" s="1"/>
  <c r="AB103" i="11"/>
  <c r="AA103" i="11"/>
  <c r="AC103" i="11" s="1"/>
  <c r="R103" i="11"/>
  <c r="M103" i="11"/>
  <c r="AS102" i="11"/>
  <c r="AT102" i="11" s="1"/>
  <c r="AQ102" i="11"/>
  <c r="AR102" i="11" s="1"/>
  <c r="AO102" i="11"/>
  <c r="AP102" i="11" s="1"/>
  <c r="AL102" i="11"/>
  <c r="AJ102" i="11"/>
  <c r="AM102" i="11" s="1"/>
  <c r="AB102" i="11"/>
  <c r="AA102" i="11"/>
  <c r="S102" i="11"/>
  <c r="R102" i="11"/>
  <c r="AU102" i="11" s="1"/>
  <c r="AV102" i="11" s="1"/>
  <c r="O102" i="11"/>
  <c r="M102" i="11"/>
  <c r="H102" i="11"/>
  <c r="AS101" i="11"/>
  <c r="AT101" i="11" s="1"/>
  <c r="AQ101" i="11"/>
  <c r="AR101" i="11" s="1"/>
  <c r="AO101" i="11"/>
  <c r="AP101" i="11" s="1"/>
  <c r="AL101" i="11"/>
  <c r="AJ101" i="11"/>
  <c r="AM101" i="11" s="1"/>
  <c r="AB101" i="11"/>
  <c r="AD101" i="11" s="1"/>
  <c r="AA101" i="11"/>
  <c r="S101" i="11"/>
  <c r="R101" i="11"/>
  <c r="AU101" i="11" s="1"/>
  <c r="AV101" i="11" s="1"/>
  <c r="O101" i="11"/>
  <c r="M101" i="11"/>
  <c r="G101" i="11"/>
  <c r="AS100" i="11"/>
  <c r="AT100" i="11" s="1"/>
  <c r="AQ100" i="11"/>
  <c r="AR100" i="11" s="1"/>
  <c r="AO100" i="11"/>
  <c r="AP100" i="11" s="1"/>
  <c r="AL100" i="11"/>
  <c r="AJ100" i="11"/>
  <c r="AM100" i="11" s="1"/>
  <c r="AB100" i="11"/>
  <c r="AA100" i="11"/>
  <c r="S100" i="11"/>
  <c r="R100" i="11"/>
  <c r="AU100" i="11" s="1"/>
  <c r="AV100" i="11" s="1"/>
  <c r="O100" i="11"/>
  <c r="M100" i="11"/>
  <c r="H100" i="11"/>
  <c r="AS99" i="11"/>
  <c r="AT99" i="11" s="1"/>
  <c r="AQ99" i="11"/>
  <c r="AR99" i="11" s="1"/>
  <c r="AO99" i="11"/>
  <c r="AP99" i="11" s="1"/>
  <c r="AL99" i="11"/>
  <c r="AJ99" i="11"/>
  <c r="AM99" i="11" s="1"/>
  <c r="AB99" i="11"/>
  <c r="AD99" i="11" s="1"/>
  <c r="AA99" i="11"/>
  <c r="S99" i="11"/>
  <c r="R99" i="11"/>
  <c r="AU99" i="11" s="1"/>
  <c r="AV99" i="11" s="1"/>
  <c r="O99" i="11"/>
  <c r="M99" i="11"/>
  <c r="H99" i="11"/>
  <c r="AS98" i="11"/>
  <c r="AT98" i="11" s="1"/>
  <c r="AQ98" i="11"/>
  <c r="AR98" i="11" s="1"/>
  <c r="AL98" i="11"/>
  <c r="AJ98" i="11"/>
  <c r="AM98" i="11" s="1"/>
  <c r="AB98" i="11"/>
  <c r="AD98" i="11" s="1"/>
  <c r="AA98" i="11"/>
  <c r="AC98" i="11" s="1"/>
  <c r="R98" i="11"/>
  <c r="AP98" i="11" s="1"/>
  <c r="M98" i="11"/>
  <c r="H98" i="11"/>
  <c r="AS97" i="11"/>
  <c r="AT97" i="11" s="1"/>
  <c r="AQ97" i="11"/>
  <c r="AR97" i="11" s="1"/>
  <c r="AO97" i="11"/>
  <c r="AP97" i="11" s="1"/>
  <c r="AL97" i="11"/>
  <c r="AJ97" i="11"/>
  <c r="AM97" i="11" s="1"/>
  <c r="AB97" i="11"/>
  <c r="AA97" i="11"/>
  <c r="S97" i="11"/>
  <c r="R97" i="11"/>
  <c r="AU97" i="11" s="1"/>
  <c r="AV97" i="11" s="1"/>
  <c r="O97" i="11"/>
  <c r="M97" i="11"/>
  <c r="H97" i="11"/>
  <c r="AS96" i="11"/>
  <c r="AT96" i="11" s="1"/>
  <c r="AQ96" i="11"/>
  <c r="AR96" i="11" s="1"/>
  <c r="AO96" i="11"/>
  <c r="AP96" i="11" s="1"/>
  <c r="AL96" i="11"/>
  <c r="AJ96" i="11"/>
  <c r="AM96" i="11" s="1"/>
  <c r="AB96" i="11"/>
  <c r="AA96" i="11"/>
  <c r="S96" i="11"/>
  <c r="R96" i="11"/>
  <c r="O96" i="11"/>
  <c r="M96" i="11"/>
  <c r="H96" i="11"/>
  <c r="AS95" i="11"/>
  <c r="AT95" i="11" s="1"/>
  <c r="AQ95" i="11"/>
  <c r="AR95" i="11" s="1"/>
  <c r="AO95" i="11"/>
  <c r="AP95" i="11" s="1"/>
  <c r="AL95" i="11"/>
  <c r="AJ95" i="11"/>
  <c r="AM95" i="11" s="1"/>
  <c r="Z95" i="11"/>
  <c r="AB95" i="11" s="1"/>
  <c r="W95" i="11"/>
  <c r="S95" i="11"/>
  <c r="R95" i="11"/>
  <c r="AU95" i="11" s="1"/>
  <c r="AV95" i="11" s="1"/>
  <c r="O95" i="11"/>
  <c r="M95" i="11"/>
  <c r="H95" i="11"/>
  <c r="AS94" i="11"/>
  <c r="AT94" i="11" s="1"/>
  <c r="AQ94" i="11"/>
  <c r="AR94" i="11" s="1"/>
  <c r="AO94" i="11"/>
  <c r="AP94" i="11" s="1"/>
  <c r="AL94" i="11"/>
  <c r="AJ94" i="11"/>
  <c r="AM94" i="11" s="1"/>
  <c r="Z94" i="11"/>
  <c r="AB94" i="11" s="1"/>
  <c r="S94" i="11"/>
  <c r="R94" i="11"/>
  <c r="AU94" i="11" s="1"/>
  <c r="AV94" i="11" s="1"/>
  <c r="O94" i="11"/>
  <c r="M94" i="11"/>
  <c r="H94" i="11"/>
  <c r="AS93" i="11"/>
  <c r="AT93" i="11" s="1"/>
  <c r="AQ93" i="11"/>
  <c r="AR93" i="11" s="1"/>
  <c r="AO93" i="11"/>
  <c r="AP93" i="11" s="1"/>
  <c r="AL93" i="11"/>
  <c r="AJ93" i="11"/>
  <c r="AM93" i="11" s="1"/>
  <c r="Z93" i="11"/>
  <c r="AB93" i="11" s="1"/>
  <c r="W93" i="11"/>
  <c r="S93" i="11"/>
  <c r="R93" i="11"/>
  <c r="AU93" i="11" s="1"/>
  <c r="AV93" i="11" s="1"/>
  <c r="O93" i="11"/>
  <c r="M93" i="11"/>
  <c r="H93" i="11"/>
  <c r="AS92" i="11"/>
  <c r="AT92" i="11" s="1"/>
  <c r="AQ92" i="11"/>
  <c r="AR92" i="11" s="1"/>
  <c r="AO92" i="11"/>
  <c r="AP92" i="11" s="1"/>
  <c r="AL92" i="11"/>
  <c r="AJ92" i="11"/>
  <c r="AM92" i="11" s="1"/>
  <c r="Z92" i="11"/>
  <c r="Y92" i="11" s="1"/>
  <c r="W92" i="11"/>
  <c r="S92" i="11"/>
  <c r="R92" i="11"/>
  <c r="AU92" i="11" s="1"/>
  <c r="AV92" i="11" s="1"/>
  <c r="O92" i="11"/>
  <c r="M92" i="11"/>
  <c r="H92" i="11"/>
  <c r="AS91" i="11"/>
  <c r="AT91" i="11" s="1"/>
  <c r="AQ91" i="11"/>
  <c r="AR91" i="11" s="1"/>
  <c r="AO91" i="11"/>
  <c r="AP91" i="11" s="1"/>
  <c r="AL91" i="11"/>
  <c r="AJ91" i="11"/>
  <c r="AM91" i="11" s="1"/>
  <c r="Z91" i="11"/>
  <c r="AB91" i="11" s="1"/>
  <c r="W91" i="11"/>
  <c r="S91" i="11"/>
  <c r="R91" i="11"/>
  <c r="AU91" i="11" s="1"/>
  <c r="AV91" i="11" s="1"/>
  <c r="O91" i="11"/>
  <c r="M91" i="11"/>
  <c r="H91" i="11"/>
  <c r="AS90" i="11"/>
  <c r="AT90" i="11" s="1"/>
  <c r="AQ90" i="11"/>
  <c r="AR90" i="11" s="1"/>
  <c r="AO90" i="11"/>
  <c r="AP90" i="11" s="1"/>
  <c r="AL90" i="11"/>
  <c r="AJ90" i="11"/>
  <c r="AM90" i="11" s="1"/>
  <c r="Z90" i="11"/>
  <c r="Y90" i="11" s="1"/>
  <c r="W90" i="11"/>
  <c r="S90" i="11"/>
  <c r="R90" i="11"/>
  <c r="AU90" i="11" s="1"/>
  <c r="AV90" i="11" s="1"/>
  <c r="O90" i="11"/>
  <c r="M90" i="11"/>
  <c r="H90" i="11"/>
  <c r="AS89" i="11"/>
  <c r="AT89" i="11" s="1"/>
  <c r="AQ89" i="11"/>
  <c r="AR89" i="11" s="1"/>
  <c r="AO89" i="11"/>
  <c r="AP89" i="11" s="1"/>
  <c r="AL89" i="11"/>
  <c r="AJ89" i="11"/>
  <c r="AM89" i="11" s="1"/>
  <c r="Z89" i="11"/>
  <c r="AB89" i="11" s="1"/>
  <c r="W89" i="11"/>
  <c r="S89" i="11"/>
  <c r="R89" i="11"/>
  <c r="AU89" i="11" s="1"/>
  <c r="AV89" i="11" s="1"/>
  <c r="O89" i="11"/>
  <c r="M89" i="11"/>
  <c r="H89" i="11"/>
  <c r="AS88" i="11"/>
  <c r="AT88" i="11" s="1"/>
  <c r="AQ88" i="11"/>
  <c r="AR88" i="11" s="1"/>
  <c r="AL88" i="11"/>
  <c r="AJ88" i="11"/>
  <c r="AM88" i="11" s="1"/>
  <c r="Z88" i="11"/>
  <c r="AB88" i="11" s="1"/>
  <c r="W88" i="11"/>
  <c r="S88" i="11"/>
  <c r="R88" i="11"/>
  <c r="AP88" i="11" s="1"/>
  <c r="O88" i="11"/>
  <c r="M88" i="11"/>
  <c r="H88" i="11"/>
  <c r="AS87" i="11"/>
  <c r="AT87" i="11" s="1"/>
  <c r="AQ87" i="11"/>
  <c r="AR87" i="11" s="1"/>
  <c r="AO87" i="11"/>
  <c r="AP87" i="11" s="1"/>
  <c r="AL87" i="11"/>
  <c r="AJ87" i="11"/>
  <c r="AM87" i="11" s="1"/>
  <c r="Z87" i="11"/>
  <c r="AB87" i="11" s="1"/>
  <c r="W87" i="11"/>
  <c r="S87" i="11"/>
  <c r="R87" i="11"/>
  <c r="AU87" i="11" s="1"/>
  <c r="AV87" i="11" s="1"/>
  <c r="O87" i="11"/>
  <c r="M87" i="11"/>
  <c r="H87" i="11"/>
  <c r="AS86" i="11"/>
  <c r="AT86" i="11" s="1"/>
  <c r="AQ86" i="11"/>
  <c r="AR86" i="11" s="1"/>
  <c r="AO86" i="11"/>
  <c r="AP86" i="11" s="1"/>
  <c r="AL86" i="11"/>
  <c r="AJ86" i="11"/>
  <c r="AM86" i="11" s="1"/>
  <c r="Z86" i="11"/>
  <c r="AB86" i="11" s="1"/>
  <c r="S86" i="11"/>
  <c r="R86" i="11"/>
  <c r="AU86" i="11" s="1"/>
  <c r="AV86" i="11" s="1"/>
  <c r="O86" i="11"/>
  <c r="M86" i="11"/>
  <c r="H86" i="11"/>
  <c r="AS85" i="11"/>
  <c r="AT85" i="11" s="1"/>
  <c r="AQ85" i="11"/>
  <c r="AR85" i="11" s="1"/>
  <c r="AO85" i="11"/>
  <c r="AP85" i="11" s="1"/>
  <c r="AL85" i="11"/>
  <c r="AJ85" i="11"/>
  <c r="AM85" i="11" s="1"/>
  <c r="Z85" i="11"/>
  <c r="Y85" i="11" s="1"/>
  <c r="AA85" i="11" s="1"/>
  <c r="S85" i="11"/>
  <c r="R85" i="11"/>
  <c r="AU85" i="11" s="1"/>
  <c r="AV85" i="11" s="1"/>
  <c r="O85" i="11"/>
  <c r="M85" i="11"/>
  <c r="H85" i="11"/>
  <c r="AS84" i="11"/>
  <c r="AT84" i="11" s="1"/>
  <c r="AQ84" i="11"/>
  <c r="AR84" i="11" s="1"/>
  <c r="AO84" i="11"/>
  <c r="AP84" i="11" s="1"/>
  <c r="AL84" i="11"/>
  <c r="AJ84" i="11"/>
  <c r="AM84" i="11" s="1"/>
  <c r="Z84" i="11"/>
  <c r="AB84" i="11" s="1"/>
  <c r="S84" i="11"/>
  <c r="R84" i="11"/>
  <c r="AU84" i="11" s="1"/>
  <c r="AV84" i="11" s="1"/>
  <c r="O84" i="11"/>
  <c r="M84" i="11"/>
  <c r="H84" i="11"/>
  <c r="AS83" i="11"/>
  <c r="AT83" i="11" s="1"/>
  <c r="AQ83" i="11"/>
  <c r="AR83" i="11" s="1"/>
  <c r="AO83" i="11"/>
  <c r="AP83" i="11" s="1"/>
  <c r="AL83" i="11"/>
  <c r="AJ83" i="11"/>
  <c r="AM83" i="11" s="1"/>
  <c r="AB83" i="11"/>
  <c r="AD83" i="11" s="1"/>
  <c r="Y83" i="11"/>
  <c r="AA83" i="11" s="1"/>
  <c r="S83" i="11"/>
  <c r="R83" i="11"/>
  <c r="AU83" i="11" s="1"/>
  <c r="AV83" i="11" s="1"/>
  <c r="O83" i="11"/>
  <c r="M83" i="11"/>
  <c r="H83" i="11"/>
  <c r="AS82" i="11"/>
  <c r="AT82" i="11" s="1"/>
  <c r="AQ82" i="11"/>
  <c r="AR82" i="11" s="1"/>
  <c r="AO82" i="11"/>
  <c r="AP82" i="11" s="1"/>
  <c r="AL82" i="11"/>
  <c r="AJ82" i="11"/>
  <c r="AM82" i="11" s="1"/>
  <c r="Z82" i="11"/>
  <c r="AB82" i="11" s="1"/>
  <c r="S82" i="11"/>
  <c r="R82" i="11"/>
  <c r="AU82" i="11" s="1"/>
  <c r="AV82" i="11" s="1"/>
  <c r="O82" i="11"/>
  <c r="M82" i="11"/>
  <c r="H82" i="11"/>
  <c r="AS81" i="11"/>
  <c r="AT81" i="11" s="1"/>
  <c r="AQ81" i="11"/>
  <c r="AR81" i="11" s="1"/>
  <c r="AO81" i="11"/>
  <c r="AP81" i="11" s="1"/>
  <c r="AL81" i="11"/>
  <c r="AJ81" i="11"/>
  <c r="AM81" i="11" s="1"/>
  <c r="Z81" i="11"/>
  <c r="AB81" i="11" s="1"/>
  <c r="S81" i="11"/>
  <c r="R81" i="11"/>
  <c r="AU81" i="11" s="1"/>
  <c r="AV81" i="11" s="1"/>
  <c r="O81" i="11"/>
  <c r="M81" i="11"/>
  <c r="H81" i="11"/>
  <c r="AS80" i="11"/>
  <c r="AT80" i="11" s="1"/>
  <c r="AQ80" i="11"/>
  <c r="AR80" i="11" s="1"/>
  <c r="AO80" i="11"/>
  <c r="AP80" i="11" s="1"/>
  <c r="AL80" i="11"/>
  <c r="AJ80" i="11"/>
  <c r="AM80" i="11" s="1"/>
  <c r="Z80" i="11"/>
  <c r="AB80" i="11" s="1"/>
  <c r="S80" i="11"/>
  <c r="R80" i="11"/>
  <c r="AU80" i="11" s="1"/>
  <c r="AV80" i="11" s="1"/>
  <c r="O80" i="11"/>
  <c r="M80" i="11"/>
  <c r="H80" i="11"/>
  <c r="AS79" i="11"/>
  <c r="AT79" i="11" s="1"/>
  <c r="AQ79" i="11"/>
  <c r="AR79" i="11" s="1"/>
  <c r="AO79" i="11"/>
  <c r="AP79" i="11" s="1"/>
  <c r="AL79" i="11"/>
  <c r="AJ79" i="11"/>
  <c r="AM79" i="11" s="1"/>
  <c r="Z79" i="11"/>
  <c r="AB79" i="11" s="1"/>
  <c r="W79" i="11"/>
  <c r="S79" i="11"/>
  <c r="R79" i="11"/>
  <c r="AU79" i="11" s="1"/>
  <c r="AV79" i="11" s="1"/>
  <c r="O79" i="11"/>
  <c r="M79" i="11"/>
  <c r="H79" i="11"/>
  <c r="AS78" i="11"/>
  <c r="AT78" i="11" s="1"/>
  <c r="AQ78" i="11"/>
  <c r="AR78" i="11" s="1"/>
  <c r="AO78" i="11"/>
  <c r="AP78" i="11" s="1"/>
  <c r="AL78" i="11"/>
  <c r="AJ78" i="11"/>
  <c r="AM78" i="11" s="1"/>
  <c r="Z78" i="11"/>
  <c r="AB78" i="11" s="1"/>
  <c r="W78" i="11"/>
  <c r="S78" i="11"/>
  <c r="R78" i="11"/>
  <c r="AU78" i="11" s="1"/>
  <c r="AV78" i="11" s="1"/>
  <c r="O78" i="11"/>
  <c r="M78" i="11"/>
  <c r="H78" i="11"/>
  <c r="AS77" i="11"/>
  <c r="AT77" i="11" s="1"/>
  <c r="AQ77" i="11"/>
  <c r="AR77" i="11" s="1"/>
  <c r="AO77" i="11"/>
  <c r="AP77" i="11" s="1"/>
  <c r="AL77" i="11"/>
  <c r="AJ77" i="11"/>
  <c r="AM77" i="11" s="1"/>
  <c r="Z77" i="11"/>
  <c r="S77" i="11"/>
  <c r="R77" i="11"/>
  <c r="AU77" i="11" s="1"/>
  <c r="AV77" i="11" s="1"/>
  <c r="O77" i="11"/>
  <c r="M77" i="11"/>
  <c r="AU76" i="11"/>
  <c r="AV76" i="11" s="1"/>
  <c r="AQ76" i="11"/>
  <c r="AR76" i="11" s="1"/>
  <c r="AO76" i="11"/>
  <c r="AP76" i="11" s="1"/>
  <c r="AL76" i="11"/>
  <c r="AJ76" i="11"/>
  <c r="AM76" i="11" s="1"/>
  <c r="Z76" i="11"/>
  <c r="AB76" i="11" s="1"/>
  <c r="W76" i="11"/>
  <c r="S76" i="11"/>
  <c r="Q76" i="11"/>
  <c r="AS76" i="11" s="1"/>
  <c r="AT76" i="11" s="1"/>
  <c r="O76" i="11"/>
  <c r="M76" i="11"/>
  <c r="G76" i="11"/>
  <c r="AV75" i="11"/>
  <c r="AT75" i="11"/>
  <c r="AR75" i="11"/>
  <c r="AP75" i="11"/>
  <c r="AH75" i="11"/>
  <c r="AG75" i="11"/>
  <c r="X75" i="11"/>
  <c r="X74" i="11" s="1"/>
  <c r="V75" i="11"/>
  <c r="V74" i="11" s="1"/>
  <c r="U75" i="11"/>
  <c r="U74" i="11" s="1"/>
  <c r="T75" i="11"/>
  <c r="P75" i="11"/>
  <c r="L75" i="11"/>
  <c r="L74" i="11" s="1"/>
  <c r="K75" i="11"/>
  <c r="K74" i="11" s="1"/>
  <c r="J75" i="11"/>
  <c r="J74" i="11" s="1"/>
  <c r="I75" i="11"/>
  <c r="I74" i="11" s="1"/>
  <c r="AV74" i="11"/>
  <c r="AT74" i="11"/>
  <c r="AR74" i="11"/>
  <c r="AP74" i="11"/>
  <c r="AU73" i="11"/>
  <c r="AV73" i="11" s="1"/>
  <c r="AQ73" i="11"/>
  <c r="AR73" i="11" s="1"/>
  <c r="AO73" i="11"/>
  <c r="AP73" i="11" s="1"/>
  <c r="AJ73" i="11"/>
  <c r="AM73" i="11" s="1"/>
  <c r="AB73" i="11"/>
  <c r="AD73" i="11" s="1"/>
  <c r="U73" i="11"/>
  <c r="AA73" i="11" s="1"/>
  <c r="S73" i="11"/>
  <c r="Q73" i="11"/>
  <c r="AS73" i="11" s="1"/>
  <c r="AT73" i="11" s="1"/>
  <c r="O73" i="11"/>
  <c r="M73" i="11"/>
  <c r="AU72" i="11"/>
  <c r="AV72" i="11" s="1"/>
  <c r="AQ72" i="11"/>
  <c r="AR72" i="11" s="1"/>
  <c r="AO72" i="11"/>
  <c r="AP72" i="11" s="1"/>
  <c r="AJ72" i="11"/>
  <c r="AM72" i="11" s="1"/>
  <c r="AB72" i="11"/>
  <c r="AF72" i="11" s="1"/>
  <c r="AE72" i="11" s="1"/>
  <c r="U72" i="11"/>
  <c r="AA72" i="11" s="1"/>
  <c r="S72" i="11"/>
  <c r="Q72" i="11"/>
  <c r="O72" i="11"/>
  <c r="M72" i="11"/>
  <c r="L72" i="11"/>
  <c r="K72" i="11" s="1"/>
  <c r="K61" i="11" s="1"/>
  <c r="K60" i="11" s="1"/>
  <c r="I72" i="11"/>
  <c r="G72" i="11"/>
  <c r="G61" i="11" s="1"/>
  <c r="G60" i="11" s="1"/>
  <c r="K71" i="11"/>
  <c r="I71" i="11"/>
  <c r="H71" i="11"/>
  <c r="S70" i="11"/>
  <c r="O70" i="11"/>
  <c r="K70" i="11"/>
  <c r="I70" i="11"/>
  <c r="H70" i="11"/>
  <c r="S69" i="11"/>
  <c r="O69" i="11"/>
  <c r="K69" i="11"/>
  <c r="I69" i="11"/>
  <c r="H69" i="11"/>
  <c r="S68" i="11"/>
  <c r="O68" i="11"/>
  <c r="K68" i="11"/>
  <c r="I68" i="11"/>
  <c r="H68" i="11"/>
  <c r="S67" i="11"/>
  <c r="O67" i="11"/>
  <c r="M67" i="11"/>
  <c r="M66" i="11"/>
  <c r="M65" i="11"/>
  <c r="AS64" i="11"/>
  <c r="AT64" i="11" s="1"/>
  <c r="AQ64" i="11"/>
  <c r="AR64" i="11" s="1"/>
  <c r="AB64" i="11"/>
  <c r="AF64" i="11" s="1"/>
  <c r="W64" i="11"/>
  <c r="W63" i="11" s="1"/>
  <c r="U64" i="11"/>
  <c r="T64" i="11"/>
  <c r="AJ64" i="11" s="1"/>
  <c r="AK64" i="11" s="1"/>
  <c r="R64" i="11"/>
  <c r="AU64" i="11" s="1"/>
  <c r="AV64" i="11" s="1"/>
  <c r="P64" i="11"/>
  <c r="AO64" i="11" s="1"/>
  <c r="AP64" i="11" s="1"/>
  <c r="M64" i="11"/>
  <c r="AV63" i="11"/>
  <c r="AT63" i="11"/>
  <c r="AR63" i="11"/>
  <c r="AP63" i="11"/>
  <c r="AJ63" i="11"/>
  <c r="AH63" i="11"/>
  <c r="AG63" i="11"/>
  <c r="Z63" i="11"/>
  <c r="Y63" i="11"/>
  <c r="X63" i="11"/>
  <c r="V63" i="11"/>
  <c r="AV62" i="11"/>
  <c r="AT62" i="11"/>
  <c r="AR62" i="11"/>
  <c r="AP62" i="11"/>
  <c r="AJ62" i="11"/>
  <c r="AV61" i="11"/>
  <c r="AT61" i="11"/>
  <c r="AR61" i="11"/>
  <c r="AP61" i="11"/>
  <c r="AH61" i="11"/>
  <c r="AH60" i="11" s="1"/>
  <c r="AG61" i="11"/>
  <c r="AG60" i="11" s="1"/>
  <c r="Z61" i="11"/>
  <c r="Z60" i="11" s="1"/>
  <c r="Y61" i="11"/>
  <c r="Y60" i="11" s="1"/>
  <c r="X61" i="11"/>
  <c r="X60" i="11" s="1"/>
  <c r="W61" i="11"/>
  <c r="W60" i="11" s="1"/>
  <c r="V61" i="11"/>
  <c r="V60" i="11" s="1"/>
  <c r="V59" i="11" s="1"/>
  <c r="T61" i="11"/>
  <c r="T60" i="11" s="1"/>
  <c r="P61" i="11"/>
  <c r="P60" i="11" s="1"/>
  <c r="N61" i="11"/>
  <c r="J61" i="11"/>
  <c r="J60" i="11" s="1"/>
  <c r="J59" i="11" s="1"/>
  <c r="I61" i="11"/>
  <c r="I60" i="11" s="1"/>
  <c r="H61" i="11"/>
  <c r="H60" i="11" s="1"/>
  <c r="AV60" i="11"/>
  <c r="AT60" i="11"/>
  <c r="AR60" i="11"/>
  <c r="AP60" i="11"/>
  <c r="AV59" i="11"/>
  <c r="AT59" i="11"/>
  <c r="AR59" i="11"/>
  <c r="AP59" i="11"/>
  <c r="AJ58" i="11"/>
  <c r="S58" i="11"/>
  <c r="Q58" i="11"/>
  <c r="G58" i="11"/>
  <c r="AU57" i="11"/>
  <c r="AV57" i="11" s="1"/>
  <c r="AQ57" i="11"/>
  <c r="AR57" i="11" s="1"/>
  <c r="AO57" i="11"/>
  <c r="AP57" i="11" s="1"/>
  <c r="AJ57" i="11"/>
  <c r="AK57" i="11" s="1"/>
  <c r="AB57" i="11"/>
  <c r="AA57" i="11"/>
  <c r="S57" i="11"/>
  <c r="Q57" i="11"/>
  <c r="O57" i="11"/>
  <c r="G57" i="11"/>
  <c r="AU56" i="11"/>
  <c r="AV56" i="11" s="1"/>
  <c r="AQ56" i="11"/>
  <c r="AJ56" i="11"/>
  <c r="AM56" i="11" s="1"/>
  <c r="AB56" i="11"/>
  <c r="AA56" i="11"/>
  <c r="S56" i="11"/>
  <c r="Q56" i="11"/>
  <c r="P56" i="11"/>
  <c r="O56" i="11" s="1"/>
  <c r="G56" i="11"/>
  <c r="AU55" i="11"/>
  <c r="AV55" i="11" s="1"/>
  <c r="AQ55" i="11"/>
  <c r="AR55" i="11" s="1"/>
  <c r="AO55" i="11"/>
  <c r="AP55" i="11" s="1"/>
  <c r="AJ55" i="11"/>
  <c r="AM55" i="11" s="1"/>
  <c r="AB55" i="11"/>
  <c r="AA55" i="11"/>
  <c r="S55" i="11"/>
  <c r="Q55" i="11"/>
  <c r="AS55" i="11" s="1"/>
  <c r="AT55" i="11" s="1"/>
  <c r="O55" i="11"/>
  <c r="M55" i="11"/>
  <c r="G55" i="11"/>
  <c r="AH55" i="11" s="1"/>
  <c r="AG55" i="11" s="1"/>
  <c r="AS54" i="11"/>
  <c r="AT54" i="11" s="1"/>
  <c r="AQ54" i="11"/>
  <c r="AR54" i="11" s="1"/>
  <c r="AO54" i="11"/>
  <c r="AP54" i="11" s="1"/>
  <c r="AJ54" i="11"/>
  <c r="AM54" i="11" s="1"/>
  <c r="AB54" i="11"/>
  <c r="AA54" i="11"/>
  <c r="S54" i="11"/>
  <c r="R54" i="11"/>
  <c r="AU54" i="11" s="1"/>
  <c r="AV54" i="11" s="1"/>
  <c r="O54" i="11"/>
  <c r="M54" i="11"/>
  <c r="G54" i="11"/>
  <c r="AH54" i="11" s="1"/>
  <c r="AG54" i="11" s="1"/>
  <c r="AU53" i="11"/>
  <c r="AV53" i="11" s="1"/>
  <c r="AQ53" i="11"/>
  <c r="AR53" i="11" s="1"/>
  <c r="AO53" i="11"/>
  <c r="AP53" i="11" s="1"/>
  <c r="AJ53" i="11"/>
  <c r="AM53" i="11" s="1"/>
  <c r="AB53" i="11"/>
  <c r="AA53" i="11"/>
  <c r="S53" i="11"/>
  <c r="Q53" i="11"/>
  <c r="AS53" i="11" s="1"/>
  <c r="AT53" i="11" s="1"/>
  <c r="O53" i="11"/>
  <c r="M53" i="11"/>
  <c r="G53" i="11"/>
  <c r="AH53" i="11" s="1"/>
  <c r="AG53" i="11" s="1"/>
  <c r="AS52" i="11"/>
  <c r="AT52" i="11" s="1"/>
  <c r="AQ52" i="11"/>
  <c r="AR52" i="11" s="1"/>
  <c r="AO52" i="11"/>
  <c r="AP52" i="11" s="1"/>
  <c r="AJ52" i="11"/>
  <c r="AM52" i="11" s="1"/>
  <c r="AB52" i="11"/>
  <c r="AD52" i="11" s="1"/>
  <c r="AA52" i="11"/>
  <c r="S52" i="11"/>
  <c r="R52" i="11"/>
  <c r="AU52" i="11" s="1"/>
  <c r="AV52" i="11" s="1"/>
  <c r="O52" i="11"/>
  <c r="M52" i="11"/>
  <c r="G52" i="11"/>
  <c r="AH52" i="11" s="1"/>
  <c r="AG52" i="11" s="1"/>
  <c r="AS51" i="11"/>
  <c r="AT51" i="11" s="1"/>
  <c r="AQ51" i="11"/>
  <c r="AR51" i="11" s="1"/>
  <c r="AO51" i="11"/>
  <c r="AP51" i="11" s="1"/>
  <c r="AJ51" i="11"/>
  <c r="AM51" i="11" s="1"/>
  <c r="AB51" i="11"/>
  <c r="AA51" i="11"/>
  <c r="S51" i="11"/>
  <c r="R51" i="11"/>
  <c r="AU51" i="11" s="1"/>
  <c r="AV51" i="11" s="1"/>
  <c r="O51" i="11"/>
  <c r="M51" i="11"/>
  <c r="G51" i="11"/>
  <c r="AU50" i="11"/>
  <c r="AV50" i="11" s="1"/>
  <c r="AQ50" i="11"/>
  <c r="AR50" i="11" s="1"/>
  <c r="AO50" i="11"/>
  <c r="AP50" i="11" s="1"/>
  <c r="AJ50" i="11"/>
  <c r="AM50" i="11" s="1"/>
  <c r="AB50" i="11"/>
  <c r="AA50" i="11"/>
  <c r="S50" i="11"/>
  <c r="Q50" i="11"/>
  <c r="AS50" i="11" s="1"/>
  <c r="AT50" i="11" s="1"/>
  <c r="O50" i="11"/>
  <c r="M50" i="11"/>
  <c r="AU49" i="11"/>
  <c r="AV49" i="11" s="1"/>
  <c r="AQ49" i="11"/>
  <c r="AR49" i="11" s="1"/>
  <c r="AO49" i="11"/>
  <c r="AP49" i="11" s="1"/>
  <c r="AJ49" i="11"/>
  <c r="AM49" i="11" s="1"/>
  <c r="AB49" i="11"/>
  <c r="AA49" i="11"/>
  <c r="S49" i="11"/>
  <c r="Q49" i="11"/>
  <c r="AS49" i="11" s="1"/>
  <c r="AT49" i="11" s="1"/>
  <c r="O49" i="11"/>
  <c r="M49" i="11"/>
  <c r="G49" i="11"/>
  <c r="AH49" i="11" s="1"/>
  <c r="AG49" i="11" s="1"/>
  <c r="AU48" i="11"/>
  <c r="AV48" i="11" s="1"/>
  <c r="AQ48" i="11"/>
  <c r="AR48" i="11" s="1"/>
  <c r="AO48" i="11"/>
  <c r="AP48" i="11" s="1"/>
  <c r="AJ48" i="11"/>
  <c r="AK48" i="11" s="1"/>
  <c r="AB48" i="11"/>
  <c r="AA48" i="11"/>
  <c r="S48" i="11"/>
  <c r="Q48" i="11"/>
  <c r="AS48" i="11" s="1"/>
  <c r="AT48" i="11" s="1"/>
  <c r="O48" i="11"/>
  <c r="M48" i="11"/>
  <c r="G48" i="11"/>
  <c r="AH48" i="11" s="1"/>
  <c r="AG48" i="11" s="1"/>
  <c r="AU47" i="11"/>
  <c r="AV47" i="11" s="1"/>
  <c r="AQ47" i="11"/>
  <c r="AR47" i="11" s="1"/>
  <c r="AO47" i="11"/>
  <c r="AP47" i="11" s="1"/>
  <c r="AJ47" i="11"/>
  <c r="AK47" i="11" s="1"/>
  <c r="AB47" i="11"/>
  <c r="AA47" i="11"/>
  <c r="S47" i="11"/>
  <c r="Q47" i="11"/>
  <c r="AS47" i="11" s="1"/>
  <c r="AT47" i="11" s="1"/>
  <c r="O47" i="11"/>
  <c r="AH47" i="11" s="1"/>
  <c r="M47" i="11"/>
  <c r="AV46" i="11"/>
  <c r="AT46" i="11"/>
  <c r="AR46" i="11"/>
  <c r="AP46" i="11"/>
  <c r="Z46" i="11"/>
  <c r="Y46" i="11"/>
  <c r="Y32" i="11" s="1"/>
  <c r="X46" i="11"/>
  <c r="W46" i="11"/>
  <c r="V46" i="11"/>
  <c r="U46" i="11"/>
  <c r="T46" i="11"/>
  <c r="P46" i="11"/>
  <c r="N46" i="11"/>
  <c r="L46" i="11"/>
  <c r="K46" i="11"/>
  <c r="J46" i="11"/>
  <c r="I46" i="11"/>
  <c r="H46" i="11"/>
  <c r="AU45" i="11"/>
  <c r="AV45" i="11" s="1"/>
  <c r="AQ45" i="11"/>
  <c r="AR45" i="11" s="1"/>
  <c r="AO45" i="11"/>
  <c r="AP45" i="11" s="1"/>
  <c r="AJ45" i="11"/>
  <c r="AM45" i="11" s="1"/>
  <c r="AB45" i="11"/>
  <c r="AA45" i="11"/>
  <c r="S45" i="11"/>
  <c r="Q45" i="11"/>
  <c r="O45" i="11"/>
  <c r="G45" i="11"/>
  <c r="AU44" i="11"/>
  <c r="AV44" i="11" s="1"/>
  <c r="AQ44" i="11"/>
  <c r="AR44" i="11" s="1"/>
  <c r="AO44" i="11"/>
  <c r="AP44" i="11" s="1"/>
  <c r="AJ44" i="11"/>
  <c r="AM44" i="11" s="1"/>
  <c r="AB44" i="11"/>
  <c r="AD44" i="11" s="1"/>
  <c r="AA44" i="11"/>
  <c r="S44" i="11"/>
  <c r="Q44" i="11"/>
  <c r="O44" i="11"/>
  <c r="G44" i="11"/>
  <c r="AU43" i="11"/>
  <c r="AV43" i="11" s="1"/>
  <c r="AQ43" i="11"/>
  <c r="AR43" i="11" s="1"/>
  <c r="AO43" i="11"/>
  <c r="AP43" i="11" s="1"/>
  <c r="AJ43" i="11"/>
  <c r="AK43" i="11" s="1"/>
  <c r="AB43" i="11"/>
  <c r="AA43" i="11"/>
  <c r="S43" i="11"/>
  <c r="Q43" i="11"/>
  <c r="AS43" i="11" s="1"/>
  <c r="AT43" i="11" s="1"/>
  <c r="O43" i="11"/>
  <c r="H43" i="11"/>
  <c r="AU42" i="11"/>
  <c r="AV42" i="11" s="1"/>
  <c r="AQ42" i="11"/>
  <c r="AR42" i="11" s="1"/>
  <c r="AO42" i="11"/>
  <c r="AP42" i="11" s="1"/>
  <c r="AJ42" i="11"/>
  <c r="AM42" i="11" s="1"/>
  <c r="AB42" i="11"/>
  <c r="AA42" i="11"/>
  <c r="S42" i="11"/>
  <c r="Q42" i="11"/>
  <c r="AS42" i="11" s="1"/>
  <c r="AT42" i="11" s="1"/>
  <c r="O42" i="11"/>
  <c r="M42" i="11"/>
  <c r="AU41" i="11"/>
  <c r="AV41" i="11" s="1"/>
  <c r="AQ41" i="11"/>
  <c r="AR41" i="11" s="1"/>
  <c r="AO41" i="11"/>
  <c r="AP41" i="11" s="1"/>
  <c r="AJ41" i="11"/>
  <c r="AK41" i="11" s="1"/>
  <c r="AB41" i="11"/>
  <c r="AA41" i="11"/>
  <c r="S41" i="11"/>
  <c r="Q41" i="11"/>
  <c r="AS41" i="11" s="1"/>
  <c r="AT41" i="11" s="1"/>
  <c r="O41" i="11"/>
  <c r="M41" i="11"/>
  <c r="AU40" i="11"/>
  <c r="AV40" i="11" s="1"/>
  <c r="AQ40" i="11"/>
  <c r="AR40" i="11" s="1"/>
  <c r="AO40" i="11"/>
  <c r="AP40" i="11" s="1"/>
  <c r="AJ40" i="11"/>
  <c r="AM40" i="11" s="1"/>
  <c r="AB40" i="11"/>
  <c r="AA40" i="11"/>
  <c r="S40" i="11"/>
  <c r="Q40" i="11"/>
  <c r="AS40" i="11" s="1"/>
  <c r="AT40" i="11" s="1"/>
  <c r="O40" i="11"/>
  <c r="M40" i="11"/>
  <c r="AU39" i="11"/>
  <c r="AV39" i="11" s="1"/>
  <c r="AQ39" i="11"/>
  <c r="AR39" i="11" s="1"/>
  <c r="AO39" i="11"/>
  <c r="AP39" i="11" s="1"/>
  <c r="AJ39" i="11"/>
  <c r="AK39" i="11" s="1"/>
  <c r="AB39" i="11"/>
  <c r="AF39" i="11" s="1"/>
  <c r="AE39" i="11" s="1"/>
  <c r="W39" i="11"/>
  <c r="AA39" i="11" s="1"/>
  <c r="S39" i="11"/>
  <c r="Q39" i="11"/>
  <c r="AS39" i="11" s="1"/>
  <c r="AT39" i="11" s="1"/>
  <c r="O39" i="11"/>
  <c r="M39" i="11"/>
  <c r="G39" i="11"/>
  <c r="AU38" i="11"/>
  <c r="AV38" i="11" s="1"/>
  <c r="AQ38" i="11"/>
  <c r="AR38" i="11" s="1"/>
  <c r="AO38" i="11"/>
  <c r="AP38" i="11" s="1"/>
  <c r="AJ38" i="11"/>
  <c r="AM38" i="11" s="1"/>
  <c r="AB38" i="11"/>
  <c r="AF38" i="11" s="1"/>
  <c r="AE38" i="11" s="1"/>
  <c r="W38" i="11"/>
  <c r="AA38" i="11" s="1"/>
  <c r="S38" i="11"/>
  <c r="Q38" i="11"/>
  <c r="AS38" i="11" s="1"/>
  <c r="AT38" i="11" s="1"/>
  <c r="O38" i="11"/>
  <c r="M38" i="11"/>
  <c r="H38" i="11"/>
  <c r="AU37" i="11"/>
  <c r="AV37" i="11" s="1"/>
  <c r="AQ37" i="11"/>
  <c r="AR37" i="11" s="1"/>
  <c r="AO37" i="11"/>
  <c r="AP37" i="11" s="1"/>
  <c r="AJ37" i="11"/>
  <c r="AK37" i="11" s="1"/>
  <c r="AB37" i="11"/>
  <c r="AF37" i="11" s="1"/>
  <c r="AE37" i="11" s="1"/>
  <c r="W37" i="11"/>
  <c r="AA37" i="11" s="1"/>
  <c r="S37" i="11"/>
  <c r="Q37" i="11"/>
  <c r="AS37" i="11" s="1"/>
  <c r="AT37" i="11" s="1"/>
  <c r="O37" i="11"/>
  <c r="M37" i="11"/>
  <c r="G37" i="11"/>
  <c r="AU36" i="11"/>
  <c r="AV36" i="11" s="1"/>
  <c r="AQ36" i="11"/>
  <c r="AR36" i="11" s="1"/>
  <c r="AO36" i="11"/>
  <c r="AP36" i="11" s="1"/>
  <c r="AJ36" i="11"/>
  <c r="AM36" i="11" s="1"/>
  <c r="AB36" i="11"/>
  <c r="AF36" i="11" s="1"/>
  <c r="AE36" i="11" s="1"/>
  <c r="W36" i="11"/>
  <c r="AA36" i="11" s="1"/>
  <c r="S36" i="11"/>
  <c r="Q36" i="11"/>
  <c r="O36" i="11"/>
  <c r="M36" i="11"/>
  <c r="H36" i="11"/>
  <c r="AU35" i="11"/>
  <c r="AV35" i="11" s="1"/>
  <c r="AQ35" i="11"/>
  <c r="AR35" i="11" s="1"/>
  <c r="AO35" i="11"/>
  <c r="AP35" i="11" s="1"/>
  <c r="AJ35" i="11"/>
  <c r="AK35" i="11" s="1"/>
  <c r="AB35" i="11"/>
  <c r="AF35" i="11" s="1"/>
  <c r="W35" i="11"/>
  <c r="AA35" i="11" s="1"/>
  <c r="S35" i="11"/>
  <c r="Q35" i="11"/>
  <c r="AS35" i="11" s="1"/>
  <c r="AT35" i="11" s="1"/>
  <c r="O35" i="11"/>
  <c r="M35" i="11"/>
  <c r="G35" i="11"/>
  <c r="AS34" i="11"/>
  <c r="AT34" i="11" s="1"/>
  <c r="AQ34" i="11"/>
  <c r="AR34" i="11" s="1"/>
  <c r="AO34" i="11"/>
  <c r="AP34" i="11" s="1"/>
  <c r="AJ34" i="11"/>
  <c r="AM34" i="11" s="1"/>
  <c r="AB34" i="11"/>
  <c r="W34" i="11"/>
  <c r="AA34" i="11" s="1"/>
  <c r="R34" i="11"/>
  <c r="AU34" i="11" s="1"/>
  <c r="AV34" i="11" s="1"/>
  <c r="G34" i="11"/>
  <c r="AV33" i="11"/>
  <c r="AT33" i="11"/>
  <c r="AR33" i="11"/>
  <c r="AP33" i="11"/>
  <c r="AH33" i="11"/>
  <c r="AG33" i="11"/>
  <c r="Z33" i="11"/>
  <c r="Z32" i="11" s="1"/>
  <c r="Y33" i="11"/>
  <c r="X33" i="11"/>
  <c r="X32" i="11" s="1"/>
  <c r="V33" i="11"/>
  <c r="U33" i="11"/>
  <c r="U32" i="11" s="1"/>
  <c r="T33" i="11"/>
  <c r="R33" i="11"/>
  <c r="P33" i="11"/>
  <c r="N33" i="11"/>
  <c r="L33" i="11"/>
  <c r="K33" i="11"/>
  <c r="J33" i="11"/>
  <c r="I33" i="11"/>
  <c r="AV32" i="11"/>
  <c r="AT32" i="11"/>
  <c r="AR32" i="11"/>
  <c r="AP32" i="11"/>
  <c r="AU31" i="11"/>
  <c r="AV31" i="11" s="1"/>
  <c r="AQ31" i="11"/>
  <c r="AR31" i="11" s="1"/>
  <c r="AO31" i="11"/>
  <c r="AP31" i="11" s="1"/>
  <c r="AJ31" i="11"/>
  <c r="AM31" i="11" s="1"/>
  <c r="AB31" i="11"/>
  <c r="AD31" i="11" s="1"/>
  <c r="W31" i="11"/>
  <c r="AA31" i="11" s="1"/>
  <c r="S31" i="11"/>
  <c r="Q31" i="11"/>
  <c r="AS31" i="11" s="1"/>
  <c r="AT31" i="11" s="1"/>
  <c r="O31" i="11"/>
  <c r="L31" i="11"/>
  <c r="I31" i="11"/>
  <c r="K31" i="11" s="1"/>
  <c r="H31" i="11"/>
  <c r="AS30" i="11"/>
  <c r="AT30" i="11" s="1"/>
  <c r="AQ30" i="11"/>
  <c r="AR30" i="11" s="1"/>
  <c r="AO30" i="11"/>
  <c r="AP30" i="11" s="1"/>
  <c r="AJ30" i="11"/>
  <c r="AM30" i="11" s="1"/>
  <c r="AB30" i="11"/>
  <c r="AF30" i="11" s="1"/>
  <c r="AE30" i="11" s="1"/>
  <c r="Y30" i="11"/>
  <c r="W30" i="11"/>
  <c r="AA30" i="11" s="1"/>
  <c r="AC30" i="11" s="1"/>
  <c r="R30" i="11"/>
  <c r="AU30" i="11" s="1"/>
  <c r="AV30" i="11" s="1"/>
  <c r="AV29" i="11"/>
  <c r="AU29" i="11"/>
  <c r="AT29" i="11"/>
  <c r="AS29" i="11"/>
  <c r="AR29" i="11"/>
  <c r="AQ29" i="11"/>
  <c r="AP29" i="11"/>
  <c r="AO29" i="11"/>
  <c r="AJ29" i="11"/>
  <c r="AK29" i="11" s="1"/>
  <c r="AB29" i="11"/>
  <c r="AF29" i="11" s="1"/>
  <c r="AE29" i="11" s="1"/>
  <c r="AA29" i="11"/>
  <c r="AC29" i="11" s="1"/>
  <c r="W29" i="11"/>
  <c r="S29" i="11"/>
  <c r="O29" i="11"/>
  <c r="M29" i="11"/>
  <c r="L29" i="11"/>
  <c r="K29" i="11"/>
  <c r="K23" i="11" s="1"/>
  <c r="K22" i="11" s="1"/>
  <c r="K21" i="11" s="1"/>
  <c r="I29" i="11"/>
  <c r="H29" i="11"/>
  <c r="AS28" i="11"/>
  <c r="AT28" i="11" s="1"/>
  <c r="AQ28" i="11"/>
  <c r="AR28" i="11" s="1"/>
  <c r="AO28" i="11"/>
  <c r="AP28" i="11" s="1"/>
  <c r="AK28" i="11"/>
  <c r="AJ28" i="11"/>
  <c r="AM28" i="11" s="1"/>
  <c r="AB28" i="11"/>
  <c r="AF28" i="11" s="1"/>
  <c r="AE28" i="11" s="1"/>
  <c r="W28" i="11"/>
  <c r="AA28" i="11" s="1"/>
  <c r="S28" i="11"/>
  <c r="R28" i="11"/>
  <c r="AU28" i="11" s="1"/>
  <c r="AV28" i="11" s="1"/>
  <c r="O28" i="11"/>
  <c r="M28" i="11"/>
  <c r="H28" i="11"/>
  <c r="AS27" i="11"/>
  <c r="AT27" i="11" s="1"/>
  <c r="AQ27" i="11"/>
  <c r="AR27" i="11" s="1"/>
  <c r="AO27" i="11"/>
  <c r="AP27" i="11" s="1"/>
  <c r="AJ27" i="11"/>
  <c r="AK27" i="11" s="1"/>
  <c r="AB27" i="11"/>
  <c r="AF27" i="11" s="1"/>
  <c r="AE27" i="11" s="1"/>
  <c r="AA27" i="11"/>
  <c r="R27" i="11"/>
  <c r="AU27" i="11" s="1"/>
  <c r="AV27" i="11" s="1"/>
  <c r="H27" i="11"/>
  <c r="H23" i="11" s="1"/>
  <c r="H22" i="11" s="1"/>
  <c r="AS26" i="11"/>
  <c r="AQ26" i="11"/>
  <c r="AR26" i="11" s="1"/>
  <c r="AO26" i="11"/>
  <c r="AJ26" i="11"/>
  <c r="AM26" i="11" s="1"/>
  <c r="AB26" i="11"/>
  <c r="AF26" i="11" s="1"/>
  <c r="AA26" i="11"/>
  <c r="S26" i="11"/>
  <c r="R26" i="11"/>
  <c r="AU26" i="11" s="1"/>
  <c r="O26" i="11"/>
  <c r="M26" i="11"/>
  <c r="L26" i="11"/>
  <c r="J26" i="11"/>
  <c r="H26" i="11"/>
  <c r="AJ25" i="11"/>
  <c r="AJ24" i="11"/>
  <c r="AH23" i="11"/>
  <c r="AH22" i="11" s="1"/>
  <c r="AG23" i="11"/>
  <c r="Z23" i="11"/>
  <c r="Z22" i="11" s="1"/>
  <c r="Z21" i="11" s="1"/>
  <c r="Y23" i="11"/>
  <c r="X23" i="11"/>
  <c r="X22" i="11" s="1"/>
  <c r="X21" i="11" s="1"/>
  <c r="V23" i="11"/>
  <c r="V22" i="11" s="1"/>
  <c r="U23" i="11"/>
  <c r="U22" i="11" s="1"/>
  <c r="T23" i="11"/>
  <c r="T22" i="11" s="1"/>
  <c r="R23" i="11"/>
  <c r="R22" i="11" s="1"/>
  <c r="P23" i="11"/>
  <c r="P22" i="11" s="1"/>
  <c r="N23" i="11"/>
  <c r="AJ23" i="11" s="1"/>
  <c r="L23" i="11"/>
  <c r="L22" i="11" s="1"/>
  <c r="L21" i="11" s="1"/>
  <c r="J23" i="11"/>
  <c r="J22" i="11" s="1"/>
  <c r="J21" i="11" s="1"/>
  <c r="G23" i="11"/>
  <c r="G22" i="11" s="1"/>
  <c r="AG22" i="11"/>
  <c r="Y22" i="11"/>
  <c r="T19" i="11"/>
  <c r="AJ19" i="11" s="1"/>
  <c r="O19" i="11"/>
  <c r="M19" i="11"/>
  <c r="AO321" i="11" l="1"/>
  <c r="AP321" i="11" s="1"/>
  <c r="O321" i="11"/>
  <c r="AJ150" i="11"/>
  <c r="AM150" i="11" s="1"/>
  <c r="T139" i="11"/>
  <c r="T138" i="11" s="1"/>
  <c r="Y21" i="11"/>
  <c r="G33" i="11"/>
  <c r="I59" i="11"/>
  <c r="R61" i="11"/>
  <c r="R60" i="11" s="1"/>
  <c r="AB77" i="11"/>
  <c r="Y77" i="11"/>
  <c r="AA77" i="11" s="1"/>
  <c r="AC77" i="11" s="1"/>
  <c r="AS157" i="11"/>
  <c r="AT157" i="11" s="1"/>
  <c r="Q155" i="11"/>
  <c r="O189" i="11"/>
  <c r="AK246" i="11"/>
  <c r="AM246" i="11"/>
  <c r="AK247" i="11"/>
  <c r="AM247" i="11"/>
  <c r="AK249" i="11"/>
  <c r="AM249" i="11"/>
  <c r="AJ321" i="11"/>
  <c r="AM321" i="11" s="1"/>
  <c r="M321" i="11"/>
  <c r="L317" i="9"/>
  <c r="Z357" i="9"/>
  <c r="AB357" i="9"/>
  <c r="AD357" i="9"/>
  <c r="AF357" i="9"/>
  <c r="AH357" i="9"/>
  <c r="H160" i="3"/>
  <c r="H159" i="3" s="1"/>
  <c r="K160" i="3"/>
  <c r="K159" i="3" s="1"/>
  <c r="AC160" i="3"/>
  <c r="AC159" i="3" s="1"/>
  <c r="AA160" i="3"/>
  <c r="AA159" i="3" s="1"/>
  <c r="U168" i="3"/>
  <c r="AA174" i="3"/>
  <c r="AA175" i="3"/>
  <c r="O186" i="3"/>
  <c r="AC186" i="3" s="1"/>
  <c r="S168" i="3"/>
  <c r="S167" i="3" s="1"/>
  <c r="S158" i="3" s="1"/>
  <c r="L196" i="3"/>
  <c r="L195" i="3" s="1"/>
  <c r="L194" i="3" s="1"/>
  <c r="P194" i="3"/>
  <c r="P238" i="3"/>
  <c r="P237" i="3" s="1"/>
  <c r="K238" i="3"/>
  <c r="K237" i="3" s="1"/>
  <c r="Q316" i="5"/>
  <c r="V357" i="5"/>
  <c r="H357" i="5"/>
  <c r="H349" i="5" s="1"/>
  <c r="I411" i="5"/>
  <c r="M411" i="5"/>
  <c r="U411" i="5"/>
  <c r="U316" i="5" s="1"/>
  <c r="W419" i="5"/>
  <c r="T420" i="5"/>
  <c r="H26" i="13"/>
  <c r="H521" i="8"/>
  <c r="H601" i="8"/>
  <c r="L624" i="8"/>
  <c r="N18" i="10"/>
  <c r="N17" i="10" s="1"/>
  <c r="O75" i="11"/>
  <c r="S75" i="11"/>
  <c r="AL124" i="11"/>
  <c r="AC104" i="11"/>
  <c r="X126" i="11"/>
  <c r="Q138" i="11"/>
  <c r="L167" i="11"/>
  <c r="V194" i="11"/>
  <c r="X236" i="11"/>
  <c r="AA247" i="11"/>
  <c r="AC247" i="11" s="1"/>
  <c r="AA250" i="11"/>
  <c r="G244" i="11"/>
  <c r="Y291" i="11"/>
  <c r="H318" i="11"/>
  <c r="Q181" i="9"/>
  <c r="T480" i="9"/>
  <c r="T479" i="9" s="1"/>
  <c r="M357" i="5"/>
  <c r="Z416" i="8"/>
  <c r="Z415" i="8" s="1"/>
  <c r="Z414" i="8" s="1"/>
  <c r="R422" i="8"/>
  <c r="R421" i="8" s="1"/>
  <c r="AO431" i="8"/>
  <c r="AO432" i="8"/>
  <c r="AO435" i="8"/>
  <c r="AO436" i="8"/>
  <c r="AO437" i="8"/>
  <c r="AO438" i="8"/>
  <c r="AO439" i="8"/>
  <c r="AO440" i="8"/>
  <c r="AO441" i="8"/>
  <c r="AO442" i="8"/>
  <c r="AO443" i="8"/>
  <c r="N635" i="8"/>
  <c r="N634" i="8" s="1"/>
  <c r="N624" i="8" s="1"/>
  <c r="X657" i="8"/>
  <c r="AM658" i="8"/>
  <c r="W154" i="7"/>
  <c r="H349" i="7"/>
  <c r="AK80" i="11"/>
  <c r="Y81" i="11"/>
  <c r="AA81" i="11" s="1"/>
  <c r="AC81" i="11" s="1"/>
  <c r="AK82" i="11"/>
  <c r="R150" i="11"/>
  <c r="AU150" i="11" s="1"/>
  <c r="AV150" i="11" s="1"/>
  <c r="AJ155" i="11"/>
  <c r="X194" i="11"/>
  <c r="AH219" i="11"/>
  <c r="AD268" i="11"/>
  <c r="L243" i="11"/>
  <c r="P318" i="11"/>
  <c r="P317" i="11" s="1"/>
  <c r="AC324" i="11"/>
  <c r="AH316" i="11"/>
  <c r="AK361" i="11"/>
  <c r="AM379" i="11"/>
  <c r="AC378" i="9"/>
  <c r="AA107" i="5"/>
  <c r="AC54" i="11"/>
  <c r="AK54" i="11"/>
  <c r="AH57" i="11"/>
  <c r="AG57" i="11" s="1"/>
  <c r="AC57" i="11"/>
  <c r="S160" i="11"/>
  <c r="S159" i="11" s="1"/>
  <c r="S189" i="11"/>
  <c r="O196" i="11"/>
  <c r="O195" i="11" s="1"/>
  <c r="X219" i="11"/>
  <c r="AJ244" i="11"/>
  <c r="AG313" i="11"/>
  <c r="O109" i="9"/>
  <c r="O108" i="9" s="1"/>
  <c r="S325" i="9"/>
  <c r="S324" i="9" s="1"/>
  <c r="X378" i="9"/>
  <c r="AA378" i="9"/>
  <c r="AE378" i="9"/>
  <c r="AG378" i="9"/>
  <c r="AK43" i="3"/>
  <c r="V32" i="3"/>
  <c r="X32" i="3"/>
  <c r="AK50" i="3"/>
  <c r="S83" i="3"/>
  <c r="S75" i="3" s="1"/>
  <c r="S74" i="3" s="1"/>
  <c r="S59" i="3" s="1"/>
  <c r="Y84" i="3"/>
  <c r="AA84" i="3" s="1"/>
  <c r="AC84" i="3" s="1"/>
  <c r="AK105" i="3"/>
  <c r="AK114" i="3"/>
  <c r="AK116" i="3"/>
  <c r="AK118" i="3"/>
  <c r="AC200" i="3"/>
  <c r="AK365" i="3"/>
  <c r="AK366" i="3"/>
  <c r="AK367" i="3"/>
  <c r="AK370" i="3"/>
  <c r="U358" i="5"/>
  <c r="U357" i="5" s="1"/>
  <c r="O373" i="5"/>
  <c r="O358" i="5" s="1"/>
  <c r="O357" i="5" s="1"/>
  <c r="O349" i="5" s="1"/>
  <c r="X478" i="5"/>
  <c r="AF478" i="5"/>
  <c r="W489" i="5"/>
  <c r="W488" i="5" s="1"/>
  <c r="AC331" i="8"/>
  <c r="T446" i="8"/>
  <c r="T445" i="8" s="1"/>
  <c r="T444" i="8" s="1"/>
  <c r="N521" i="8"/>
  <c r="N520" i="8" s="1"/>
  <c r="N519" i="8" s="1"/>
  <c r="K561" i="8"/>
  <c r="Z419" i="9"/>
  <c r="G439" i="9"/>
  <c r="Q480" i="9"/>
  <c r="Q479" i="9" s="1"/>
  <c r="K480" i="9"/>
  <c r="K479" i="9" s="1"/>
  <c r="K478" i="9" s="1"/>
  <c r="H480" i="9"/>
  <c r="H479" i="9" s="1"/>
  <c r="Q486" i="9"/>
  <c r="AK133" i="3"/>
  <c r="O302" i="5"/>
  <c r="W302" i="5"/>
  <c r="M302" i="5"/>
  <c r="S302" i="5"/>
  <c r="P183" i="8"/>
  <c r="P182" i="8" s="1"/>
  <c r="P510" i="8"/>
  <c r="H594" i="8"/>
  <c r="Y621" i="8"/>
  <c r="AN621" i="8" s="1"/>
  <c r="X622" i="8"/>
  <c r="I635" i="8"/>
  <c r="H45" i="7"/>
  <c r="N62" i="7"/>
  <c r="N45" i="7"/>
  <c r="T45" i="7"/>
  <c r="Y45" i="7"/>
  <c r="I45" i="7"/>
  <c r="BD65" i="7"/>
  <c r="I62" i="7"/>
  <c r="BB67" i="7"/>
  <c r="BC67" i="7" s="1"/>
  <c r="S62" i="7"/>
  <c r="U62" i="7"/>
  <c r="U44" i="7" s="1"/>
  <c r="H62" i="7"/>
  <c r="R62" i="7"/>
  <c r="P45" i="7"/>
  <c r="N368" i="7"/>
  <c r="N367" i="7" s="1"/>
  <c r="X310" i="7"/>
  <c r="AJ33" i="11"/>
  <c r="AC41" i="11"/>
  <c r="AC42" i="11"/>
  <c r="AK42" i="11"/>
  <c r="M46" i="11"/>
  <c r="AA46" i="11"/>
  <c r="L61" i="11"/>
  <c r="L60" i="11" s="1"/>
  <c r="L59" i="11" s="1"/>
  <c r="AB61" i="11"/>
  <c r="AB60" i="11" s="1"/>
  <c r="AK91" i="11"/>
  <c r="AC101" i="11"/>
  <c r="AK116" i="11"/>
  <c r="AC117" i="11"/>
  <c r="AC121" i="11"/>
  <c r="AC123" i="11"/>
  <c r="R155" i="11"/>
  <c r="L158" i="11"/>
  <c r="U160" i="11"/>
  <c r="U159" i="11" s="1"/>
  <c r="K160" i="11"/>
  <c r="K159" i="11" s="1"/>
  <c r="K158" i="11" s="1"/>
  <c r="O160" i="11"/>
  <c r="O159" i="11" s="1"/>
  <c r="M168" i="11"/>
  <c r="M167" i="11" s="1"/>
  <c r="AA175" i="11"/>
  <c r="AJ176" i="11"/>
  <c r="AM176" i="11" s="1"/>
  <c r="Z176" i="11"/>
  <c r="Y176" i="11" s="1"/>
  <c r="R181" i="11"/>
  <c r="AU181" i="11" s="1"/>
  <c r="AV181" i="11" s="1"/>
  <c r="AC181" i="11"/>
  <c r="P189" i="11"/>
  <c r="AG193" i="11"/>
  <c r="L196" i="11"/>
  <c r="L195" i="11" s="1"/>
  <c r="L194" i="11" s="1"/>
  <c r="G219" i="11"/>
  <c r="T219" i="11"/>
  <c r="AB221" i="11"/>
  <c r="AB220" i="11" s="1"/>
  <c r="AB219" i="11" s="1"/>
  <c r="S219" i="11"/>
  <c r="O229" i="11"/>
  <c r="O228" i="11" s="1"/>
  <c r="AM234" i="11"/>
  <c r="AK235" i="11"/>
  <c r="V236" i="11"/>
  <c r="J243" i="11"/>
  <c r="Q244" i="11"/>
  <c r="U244" i="11"/>
  <c r="U243" i="11" s="1"/>
  <c r="U236" i="11" s="1"/>
  <c r="W244" i="11"/>
  <c r="W243" i="11" s="1"/>
  <c r="S269" i="11"/>
  <c r="Q297" i="11"/>
  <c r="AS297" i="11" s="1"/>
  <c r="AT297" i="11" s="1"/>
  <c r="AC297" i="11"/>
  <c r="R313" i="11"/>
  <c r="AJ322" i="9"/>
  <c r="N319" i="9"/>
  <c r="AJ319" i="9" s="1"/>
  <c r="T354" i="9"/>
  <c r="T351" i="9" s="1"/>
  <c r="T350" i="9" s="1"/>
  <c r="N351" i="9"/>
  <c r="Z21" i="3"/>
  <c r="N21" i="3"/>
  <c r="V21" i="3"/>
  <c r="M23" i="3"/>
  <c r="M22" i="3" s="1"/>
  <c r="S23" i="3"/>
  <c r="S22" i="3" s="1"/>
  <c r="AG167" i="11"/>
  <c r="AG158" i="11" s="1"/>
  <c r="AF219" i="11"/>
  <c r="L351" i="9"/>
  <c r="L350" i="9" s="1"/>
  <c r="AJ392" i="9"/>
  <c r="N386" i="9"/>
  <c r="Q424" i="9"/>
  <c r="M420" i="9"/>
  <c r="Z431" i="9"/>
  <c r="Q464" i="9"/>
  <c r="M460" i="9"/>
  <c r="M459" i="9" s="1"/>
  <c r="V194" i="3"/>
  <c r="Z194" i="3"/>
  <c r="R316" i="3"/>
  <c r="AM327" i="3"/>
  <c r="AK327" i="3"/>
  <c r="AM351" i="3"/>
  <c r="AK351" i="3"/>
  <c r="W316" i="11"/>
  <c r="V316" i="11"/>
  <c r="V107" i="9"/>
  <c r="H248" i="9"/>
  <c r="H247" i="9" s="1"/>
  <c r="H246" i="9" s="1"/>
  <c r="W351" i="9"/>
  <c r="W350" i="9" s="1"/>
  <c r="U351" i="9"/>
  <c r="U350" i="9" s="1"/>
  <c r="T358" i="9"/>
  <c r="R376" i="9"/>
  <c r="U392" i="9"/>
  <c r="T400" i="9"/>
  <c r="T399" i="9" s="1"/>
  <c r="T398" i="9" s="1"/>
  <c r="G400" i="9"/>
  <c r="G399" i="9" s="1"/>
  <c r="G398" i="9" s="1"/>
  <c r="H411" i="9"/>
  <c r="W413" i="9"/>
  <c r="W412" i="9" s="1"/>
  <c r="Y413" i="9"/>
  <c r="Y412" i="9" s="1"/>
  <c r="I419" i="9"/>
  <c r="K419" i="9"/>
  <c r="P419" i="9"/>
  <c r="T419" i="9"/>
  <c r="T411" i="9" s="1"/>
  <c r="G431" i="9"/>
  <c r="O458" i="9"/>
  <c r="T458" i="9"/>
  <c r="AJ23" i="3"/>
  <c r="T61" i="3"/>
  <c r="T60" i="3" s="1"/>
  <c r="AJ60" i="3" s="1"/>
  <c r="W61" i="3"/>
  <c r="W60" i="3" s="1"/>
  <c r="W59" i="3" s="1"/>
  <c r="O64" i="3"/>
  <c r="AA64" i="3"/>
  <c r="AJ75" i="3"/>
  <c r="R75" i="3"/>
  <c r="R74" i="3" s="1"/>
  <c r="R59" i="3" s="1"/>
  <c r="N126" i="3"/>
  <c r="Z138" i="3"/>
  <c r="Z126" i="3" s="1"/>
  <c r="H139" i="3"/>
  <c r="AK148" i="3"/>
  <c r="AJ150" i="3"/>
  <c r="T155" i="3"/>
  <c r="T138" i="3" s="1"/>
  <c r="T126" i="3" s="1"/>
  <c r="M167" i="3"/>
  <c r="N194" i="3"/>
  <c r="AB196" i="3"/>
  <c r="AB195" i="3" s="1"/>
  <c r="I196" i="3"/>
  <c r="I195" i="3" s="1"/>
  <c r="I194" i="3" s="1"/>
  <c r="U202" i="3"/>
  <c r="U201" i="3" s="1"/>
  <c r="AB202" i="3"/>
  <c r="AB201" i="3" s="1"/>
  <c r="H202" i="3"/>
  <c r="H201" i="3" s="1"/>
  <c r="G202" i="3"/>
  <c r="G201" i="3" s="1"/>
  <c r="G194" i="3" s="1"/>
  <c r="AB219" i="3"/>
  <c r="AH219" i="3"/>
  <c r="AJ229" i="3"/>
  <c r="S229" i="3"/>
  <c r="S228" i="3" s="1"/>
  <c r="I238" i="3"/>
  <c r="I237" i="3" s="1"/>
  <c r="AB238" i="3"/>
  <c r="AB237" i="3" s="1"/>
  <c r="O241" i="3"/>
  <c r="AA241" i="3"/>
  <c r="AA238" i="3" s="1"/>
  <c r="AA237" i="3" s="1"/>
  <c r="G243" i="3"/>
  <c r="G236" i="3" s="1"/>
  <c r="AA247" i="3"/>
  <c r="Y244" i="3"/>
  <c r="Y243" i="3" s="1"/>
  <c r="P290" i="3"/>
  <c r="AF328" i="3"/>
  <c r="AE328" i="3" s="1"/>
  <c r="AB326" i="3"/>
  <c r="AB325" i="3" s="1"/>
  <c r="AM337" i="3"/>
  <c r="AK337" i="3"/>
  <c r="AA368" i="3"/>
  <c r="AC368" i="3" s="1"/>
  <c r="Y326" i="3"/>
  <c r="Y325" i="3" s="1"/>
  <c r="R349" i="5"/>
  <c r="AJ328" i="3"/>
  <c r="H326" i="3"/>
  <c r="H325" i="3" s="1"/>
  <c r="AJ339" i="3"/>
  <c r="AJ341" i="3"/>
  <c r="AJ343" i="3"/>
  <c r="AJ345" i="3"/>
  <c r="AJ347" i="3"/>
  <c r="AJ349" i="3"/>
  <c r="AE107" i="5"/>
  <c r="J109" i="5"/>
  <c r="J108" i="5" s="1"/>
  <c r="J107" i="5" s="1"/>
  <c r="M109" i="5"/>
  <c r="M108" i="5" s="1"/>
  <c r="S109" i="5"/>
  <c r="S108" i="5" s="1"/>
  <c r="H109" i="5"/>
  <c r="H108" i="5" s="1"/>
  <c r="L109" i="5"/>
  <c r="L108" i="5" s="1"/>
  <c r="L107" i="5" s="1"/>
  <c r="O109" i="5"/>
  <c r="O108" i="5" s="1"/>
  <c r="O139" i="5"/>
  <c r="O138" i="5" s="1"/>
  <c r="O137" i="5" s="1"/>
  <c r="U139" i="5"/>
  <c r="U138" i="5" s="1"/>
  <c r="U137" i="5" s="1"/>
  <c r="P139" i="5"/>
  <c r="P138" i="5" s="1"/>
  <c r="P137" i="5" s="1"/>
  <c r="AH184" i="5"/>
  <c r="AH186" i="5"/>
  <c r="AH188" i="5"/>
  <c r="AH190" i="5"/>
  <c r="AH192" i="5"/>
  <c r="AH193" i="5"/>
  <c r="AH195" i="5"/>
  <c r="AH197" i="5"/>
  <c r="AH199" i="5"/>
  <c r="AH203" i="5"/>
  <c r="AH205" i="5"/>
  <c r="AH207" i="5"/>
  <c r="AH209" i="5"/>
  <c r="AH211" i="5"/>
  <c r="AH212" i="5"/>
  <c r="AH214" i="5"/>
  <c r="AH216" i="5"/>
  <c r="AH218" i="5"/>
  <c r="AH220" i="5"/>
  <c r="AH222" i="5"/>
  <c r="AH224" i="5"/>
  <c r="AH226" i="5"/>
  <c r="AH228" i="5"/>
  <c r="AH230" i="5"/>
  <c r="AH232" i="5"/>
  <c r="AH234" i="5"/>
  <c r="AH236" i="5"/>
  <c r="AH241" i="5"/>
  <c r="AH242" i="5"/>
  <c r="AA378" i="5"/>
  <c r="Y351" i="7"/>
  <c r="AQ351" i="7" s="1"/>
  <c r="N45" i="8"/>
  <c r="R225" i="8"/>
  <c r="I416" i="8"/>
  <c r="AO416" i="8" s="1"/>
  <c r="R414" i="8"/>
  <c r="W414" i="8"/>
  <c r="V421" i="8"/>
  <c r="V414" i="8" s="1"/>
  <c r="AA414" i="8"/>
  <c r="O422" i="8"/>
  <c r="O421" i="8" s="1"/>
  <c r="Q422" i="8"/>
  <c r="Q421" i="8" s="1"/>
  <c r="H422" i="8"/>
  <c r="H421" i="8" s="1"/>
  <c r="Y463" i="8"/>
  <c r="AN463" i="8" s="1"/>
  <c r="AG462" i="8"/>
  <c r="AO464" i="8"/>
  <c r="M462" i="8"/>
  <c r="AA462" i="8"/>
  <c r="AE462" i="8"/>
  <c r="AI462" i="8"/>
  <c r="P464" i="8"/>
  <c r="P463" i="8" s="1"/>
  <c r="X464" i="8"/>
  <c r="X463" i="8" s="1"/>
  <c r="H464" i="8"/>
  <c r="H463" i="8" s="1"/>
  <c r="T464" i="8"/>
  <c r="T463" i="8" s="1"/>
  <c r="Z464" i="8"/>
  <c r="Z463" i="8" s="1"/>
  <c r="N464" i="8"/>
  <c r="N463" i="8" s="1"/>
  <c r="H471" i="8"/>
  <c r="H470" i="8" s="1"/>
  <c r="H462" i="8" s="1"/>
  <c r="N471" i="8"/>
  <c r="N470" i="8" s="1"/>
  <c r="R471" i="8"/>
  <c r="R470" i="8" s="1"/>
  <c r="W496" i="8"/>
  <c r="AC496" i="8"/>
  <c r="AK496" i="8"/>
  <c r="AB498" i="8"/>
  <c r="AB497" i="8" s="1"/>
  <c r="N504" i="8"/>
  <c r="N503" i="8" s="1"/>
  <c r="N496" i="8" s="1"/>
  <c r="Z504" i="8"/>
  <c r="Z503" i="8" s="1"/>
  <c r="AB504" i="8"/>
  <c r="AB503" i="8" s="1"/>
  <c r="AO504" i="8"/>
  <c r="H510" i="8"/>
  <c r="X510" i="8"/>
  <c r="T510" i="8"/>
  <c r="Q521" i="8"/>
  <c r="Q520" i="8" s="1"/>
  <c r="Q519" i="8" s="1"/>
  <c r="O570" i="8"/>
  <c r="O569" i="8" s="1"/>
  <c r="O561" i="8" s="1"/>
  <c r="J594" i="8"/>
  <c r="J624" i="8"/>
  <c r="V18" i="10"/>
  <c r="V17" i="10" s="1"/>
  <c r="Q16" i="10"/>
  <c r="P29" i="10"/>
  <c r="P16" i="10" s="1"/>
  <c r="H385" i="5"/>
  <c r="H378" i="5" s="1"/>
  <c r="M400" i="5"/>
  <c r="M399" i="5" s="1"/>
  <c r="M398" i="5" s="1"/>
  <c r="G400" i="5"/>
  <c r="G399" i="5" s="1"/>
  <c r="G398" i="5" s="1"/>
  <c r="W440" i="5"/>
  <c r="W439" i="5" s="1"/>
  <c r="U440" i="5"/>
  <c r="U439" i="5" s="1"/>
  <c r="G439" i="5"/>
  <c r="AE173" i="8"/>
  <c r="AE133" i="8" s="1"/>
  <c r="AI173" i="8"/>
  <c r="AI133" i="8" s="1"/>
  <c r="N175" i="8"/>
  <c r="N174" i="8" s="1"/>
  <c r="T175" i="8"/>
  <c r="T174" i="8" s="1"/>
  <c r="Q414" i="8"/>
  <c r="AC462" i="8"/>
  <c r="AK462" i="8"/>
  <c r="O462" i="8"/>
  <c r="S549" i="8"/>
  <c r="S548" i="8" s="1"/>
  <c r="L548" i="8"/>
  <c r="V548" i="8"/>
  <c r="M561" i="8"/>
  <c r="AB626" i="8"/>
  <c r="AB625" i="8" s="1"/>
  <c r="AB624" i="8" s="1"/>
  <c r="M624" i="8"/>
  <c r="H635" i="8"/>
  <c r="H634" i="8" s="1"/>
  <c r="N30" i="10"/>
  <c r="V30" i="10"/>
  <c r="AN41" i="10"/>
  <c r="X29" i="10"/>
  <c r="X16" i="10" s="1"/>
  <c r="I368" i="7"/>
  <c r="H368" i="7"/>
  <c r="P368" i="7"/>
  <c r="P367" i="7" s="1"/>
  <c r="S368" i="7"/>
  <c r="S367" i="7" s="1"/>
  <c r="S357" i="7" s="1"/>
  <c r="I322" i="7"/>
  <c r="I321" i="7" s="1"/>
  <c r="Q368" i="7"/>
  <c r="Q367" i="7" s="1"/>
  <c r="Y422" i="7"/>
  <c r="AG422" i="7" s="1"/>
  <c r="AP422" i="7" s="1"/>
  <c r="V368" i="7"/>
  <c r="V367" i="7" s="1"/>
  <c r="V357" i="7" s="1"/>
  <c r="T323" i="7"/>
  <c r="AX370" i="7"/>
  <c r="AY370" i="7" s="1"/>
  <c r="O368" i="7"/>
  <c r="O367" i="7" s="1"/>
  <c r="AX333" i="7"/>
  <c r="AY333" i="7" s="1"/>
  <c r="O322" i="7"/>
  <c r="O321" i="7" s="1"/>
  <c r="AS421" i="7"/>
  <c r="BD383" i="7"/>
  <c r="Q14" i="14"/>
  <c r="AG145" i="7"/>
  <c r="AP145" i="7" s="1"/>
  <c r="AG220" i="7"/>
  <c r="AP220" i="7" s="1"/>
  <c r="AG223" i="7"/>
  <c r="AP223" i="7" s="1"/>
  <c r="AG276" i="7"/>
  <c r="AG307" i="7"/>
  <c r="AP307" i="7" s="1"/>
  <c r="AG324" i="7"/>
  <c r="AP324" i="7" s="1"/>
  <c r="AG340" i="7"/>
  <c r="AP340" i="7" s="1"/>
  <c r="AG353" i="7"/>
  <c r="AP353" i="7" s="1"/>
  <c r="AG376" i="7"/>
  <c r="AP376" i="7" s="1"/>
  <c r="AG381" i="7"/>
  <c r="AP381" i="7" s="1"/>
  <c r="AG383" i="7"/>
  <c r="AP383" i="7" s="1"/>
  <c r="AG385" i="7"/>
  <c r="AP385" i="7" s="1"/>
  <c r="AG387" i="7"/>
  <c r="AP387" i="7" s="1"/>
  <c r="AG389" i="7"/>
  <c r="AP389" i="7" s="1"/>
  <c r="AG391" i="7"/>
  <c r="AP391" i="7" s="1"/>
  <c r="AG423" i="7"/>
  <c r="AP423" i="7" s="1"/>
  <c r="AG425" i="7"/>
  <c r="AP425" i="7" s="1"/>
  <c r="AG310" i="7"/>
  <c r="AP310" i="7" s="1"/>
  <c r="AG150" i="7"/>
  <c r="AP150" i="7" s="1"/>
  <c r="AG178" i="7"/>
  <c r="AG183" i="7"/>
  <c r="AP183" i="7" s="1"/>
  <c r="AG201" i="7"/>
  <c r="AP201" i="7" s="1"/>
  <c r="AG221" i="7"/>
  <c r="AP221" i="7" s="1"/>
  <c r="AG225" i="7"/>
  <c r="AP225" i="7" s="1"/>
  <c r="AG309" i="7"/>
  <c r="AG311" i="7"/>
  <c r="AP311" i="7" s="1"/>
  <c r="AG318" i="7"/>
  <c r="AP318" i="7" s="1"/>
  <c r="AG328" i="7"/>
  <c r="AP328" i="7" s="1"/>
  <c r="AG339" i="7"/>
  <c r="AP339" i="7" s="1"/>
  <c r="AG382" i="7"/>
  <c r="AG384" i="7"/>
  <c r="AP384" i="7" s="1"/>
  <c r="AG388" i="7"/>
  <c r="AP388" i="7" s="1"/>
  <c r="AG390" i="7"/>
  <c r="AP390" i="7" s="1"/>
  <c r="AG424" i="7"/>
  <c r="AP424" i="7" s="1"/>
  <c r="O33" i="11"/>
  <c r="S33" i="11"/>
  <c r="AM46" i="11"/>
  <c r="H75" i="11"/>
  <c r="Y87" i="11"/>
  <c r="AA87" i="11" s="1"/>
  <c r="AC96" i="11"/>
  <c r="AK101" i="11"/>
  <c r="AC102" i="11"/>
  <c r="AK104" i="11"/>
  <c r="AA156" i="11"/>
  <c r="AA155" i="11" s="1"/>
  <c r="AK156" i="11"/>
  <c r="O155" i="11"/>
  <c r="S155" i="11"/>
  <c r="J167" i="11"/>
  <c r="J158" i="11" s="1"/>
  <c r="AK192" i="11"/>
  <c r="AC193" i="11"/>
  <c r="M229" i="11"/>
  <c r="M228" i="11" s="1"/>
  <c r="X316" i="11"/>
  <c r="AA107" i="9"/>
  <c r="AE107" i="9"/>
  <c r="Z411" i="9"/>
  <c r="P411" i="9"/>
  <c r="U431" i="9"/>
  <c r="X478" i="9"/>
  <c r="H478" i="9"/>
  <c r="AC135" i="3"/>
  <c r="Y138" i="3"/>
  <c r="Y126" i="3" s="1"/>
  <c r="M229" i="3"/>
  <c r="M228" i="3" s="1"/>
  <c r="AM266" i="3"/>
  <c r="AK266" i="3"/>
  <c r="AH271" i="3"/>
  <c r="H269" i="3"/>
  <c r="AG271" i="3"/>
  <c r="O269" i="3"/>
  <c r="O243" i="3" s="1"/>
  <c r="AJ286" i="3"/>
  <c r="AO286" i="3"/>
  <c r="AP286" i="3" s="1"/>
  <c r="R286" i="3"/>
  <c r="AU286" i="3" s="1"/>
  <c r="AV286" i="3" s="1"/>
  <c r="AS289" i="3"/>
  <c r="AT289" i="3" s="1"/>
  <c r="Q283" i="3"/>
  <c r="Q282" i="3" s="1"/>
  <c r="U291" i="3"/>
  <c r="U290" i="3" s="1"/>
  <c r="P318" i="3"/>
  <c r="P317" i="3" s="1"/>
  <c r="AB318" i="3"/>
  <c r="AB317" i="3" s="1"/>
  <c r="AJ321" i="3"/>
  <c r="Q321" i="3"/>
  <c r="O321" i="3"/>
  <c r="AC324" i="3"/>
  <c r="H33" i="11"/>
  <c r="H32" i="11" s="1"/>
  <c r="H21" i="11" s="1"/>
  <c r="AC48" i="11"/>
  <c r="AC49" i="11"/>
  <c r="AC50" i="11"/>
  <c r="AB46" i="11"/>
  <c r="AK50" i="11"/>
  <c r="S64" i="11"/>
  <c r="S61" i="11" s="1"/>
  <c r="S60" i="11" s="1"/>
  <c r="AA64" i="11"/>
  <c r="AK72" i="11"/>
  <c r="I160" i="11"/>
  <c r="I159" i="11" s="1"/>
  <c r="I158" i="11" s="1"/>
  <c r="M160" i="11"/>
  <c r="M159" i="11" s="1"/>
  <c r="M158" i="11" s="1"/>
  <c r="AC165" i="11"/>
  <c r="AK165" i="11"/>
  <c r="AC166" i="11"/>
  <c r="AC179" i="11"/>
  <c r="AC186" i="11"/>
  <c r="AK186" i="11"/>
  <c r="S196" i="11"/>
  <c r="S195" i="11" s="1"/>
  <c r="AC212" i="11"/>
  <c r="AK212" i="11"/>
  <c r="AM214" i="11"/>
  <c r="H219" i="11"/>
  <c r="AC261" i="11"/>
  <c r="AG269" i="11"/>
  <c r="AG243" i="11" s="1"/>
  <c r="AM272" i="11"/>
  <c r="AC273" i="11"/>
  <c r="AM276" i="11"/>
  <c r="AC277" i="11"/>
  <c r="AK277" i="11"/>
  <c r="AB283" i="11"/>
  <c r="AB282" i="11" s="1"/>
  <c r="H283" i="11"/>
  <c r="H282" i="11" s="1"/>
  <c r="AB291" i="11"/>
  <c r="AB290" i="11" s="1"/>
  <c r="O310" i="11"/>
  <c r="AC310" i="11" s="1"/>
  <c r="AJ313" i="11"/>
  <c r="R29" i="9"/>
  <c r="AJ29" i="9"/>
  <c r="R43" i="9"/>
  <c r="T43" i="9"/>
  <c r="R50" i="9"/>
  <c r="R52" i="9"/>
  <c r="T52" i="9"/>
  <c r="R53" i="9"/>
  <c r="R56" i="9"/>
  <c r="AJ56" i="9"/>
  <c r="R57" i="9"/>
  <c r="S111" i="9"/>
  <c r="Q113" i="9"/>
  <c r="Q115" i="9"/>
  <c r="W109" i="9"/>
  <c r="W108" i="9" s="1"/>
  <c r="W107" i="9" s="1"/>
  <c r="Q145" i="9"/>
  <c r="Q161" i="9"/>
  <c r="Q163" i="9"/>
  <c r="N318" i="9"/>
  <c r="AJ318" i="9" s="1"/>
  <c r="S321" i="9"/>
  <c r="K317" i="9"/>
  <c r="H357" i="9"/>
  <c r="H349" i="9" s="1"/>
  <c r="L349" i="9"/>
  <c r="X357" i="9"/>
  <c r="AA349" i="9"/>
  <c r="G358" i="9"/>
  <c r="G357" i="9" s="1"/>
  <c r="G349" i="9" s="1"/>
  <c r="M358" i="9"/>
  <c r="M376" i="9"/>
  <c r="H385" i="9"/>
  <c r="H378" i="9" s="1"/>
  <c r="T386" i="9"/>
  <c r="T385" i="9" s="1"/>
  <c r="T378" i="9" s="1"/>
  <c r="Q402" i="9"/>
  <c r="Y400" i="9"/>
  <c r="Y399" i="9" s="1"/>
  <c r="Y398" i="9" s="1"/>
  <c r="N412" i="9"/>
  <c r="AJ412" i="9" s="1"/>
  <c r="V428" i="9"/>
  <c r="G428" i="9"/>
  <c r="X431" i="9"/>
  <c r="S435" i="9"/>
  <c r="Y440" i="9"/>
  <c r="Y439" i="9" s="1"/>
  <c r="Y431" i="9" s="1"/>
  <c r="W440" i="9"/>
  <c r="W439" i="9" s="1"/>
  <c r="W431" i="9" s="1"/>
  <c r="N456" i="9"/>
  <c r="R456" i="9" s="1"/>
  <c r="G458" i="9"/>
  <c r="X458" i="9"/>
  <c r="H466" i="9"/>
  <c r="H465" i="9" s="1"/>
  <c r="R466" i="9"/>
  <c r="R465" i="9" s="1"/>
  <c r="R458" i="9" s="1"/>
  <c r="AA478" i="9"/>
  <c r="AC478" i="9"/>
  <c r="AE478" i="9"/>
  <c r="AE316" i="9" s="1"/>
  <c r="AG478" i="9"/>
  <c r="Y489" i="9"/>
  <c r="Y488" i="9" s="1"/>
  <c r="W489" i="9"/>
  <c r="W488" i="9" s="1"/>
  <c r="W478" i="9" s="1"/>
  <c r="Q492" i="9"/>
  <c r="U489" i="9"/>
  <c r="U488" i="9" s="1"/>
  <c r="U478" i="9" s="1"/>
  <c r="Q494" i="9"/>
  <c r="P22" i="3"/>
  <c r="AJ22" i="3" s="1"/>
  <c r="O23" i="3"/>
  <c r="O22" i="3" s="1"/>
  <c r="Q21" i="3"/>
  <c r="U21" i="3"/>
  <c r="W21" i="3"/>
  <c r="Y21" i="3"/>
  <c r="AK26" i="3"/>
  <c r="M46" i="3"/>
  <c r="AB46" i="3"/>
  <c r="AB32" i="3" s="1"/>
  <c r="AA46" i="3"/>
  <c r="Y76" i="3"/>
  <c r="AA76" i="3" s="1"/>
  <c r="AA79" i="3"/>
  <c r="AC79" i="3" s="1"/>
  <c r="AA90" i="3"/>
  <c r="AC90" i="3" s="1"/>
  <c r="AA92" i="3"/>
  <c r="AC92" i="3" s="1"/>
  <c r="AC131" i="3"/>
  <c r="AJ155" i="3"/>
  <c r="AJ160" i="3"/>
  <c r="G168" i="3"/>
  <c r="R167" i="3"/>
  <c r="R158" i="3" s="1"/>
  <c r="G189" i="3"/>
  <c r="O189" i="3"/>
  <c r="O167" i="3" s="1"/>
  <c r="AJ196" i="3"/>
  <c r="H196" i="3"/>
  <c r="H195" i="3" s="1"/>
  <c r="H194" i="3" s="1"/>
  <c r="AQ213" i="3"/>
  <c r="AR213" i="3" s="1"/>
  <c r="M213" i="3"/>
  <c r="M202" i="3" s="1"/>
  <c r="M201" i="3" s="1"/>
  <c r="AM216" i="3"/>
  <c r="AK216" i="3"/>
  <c r="AM218" i="3"/>
  <c r="AK218" i="3"/>
  <c r="U219" i="3"/>
  <c r="G219" i="3"/>
  <c r="J219" i="3"/>
  <c r="Z219" i="3"/>
  <c r="AM295" i="3"/>
  <c r="AK295" i="3"/>
  <c r="AM314" i="3"/>
  <c r="AK314" i="3"/>
  <c r="AQ321" i="3"/>
  <c r="AR321" i="3" s="1"/>
  <c r="M321" i="3"/>
  <c r="AB316" i="3"/>
  <c r="AH316" i="3"/>
  <c r="K196" i="3"/>
  <c r="K195" i="3" s="1"/>
  <c r="K194" i="3" s="1"/>
  <c r="AC196" i="3"/>
  <c r="AC195" i="3" s="1"/>
  <c r="AA196" i="3"/>
  <c r="AA195" i="3" s="1"/>
  <c r="N219" i="3"/>
  <c r="W219" i="3"/>
  <c r="AR268" i="3"/>
  <c r="AH269" i="3"/>
  <c r="AH243" i="3" s="1"/>
  <c r="AG269" i="3"/>
  <c r="AG243" i="3" s="1"/>
  <c r="J281" i="3"/>
  <c r="AJ287" i="3"/>
  <c r="K283" i="3"/>
  <c r="K282" i="3" s="1"/>
  <c r="K281" i="3" s="1"/>
  <c r="H291" i="3"/>
  <c r="AA294" i="3"/>
  <c r="AA296" i="3"/>
  <c r="AC296" i="3" s="1"/>
  <c r="Y291" i="3"/>
  <c r="Y290" i="3" s="1"/>
  <c r="AB313" i="3"/>
  <c r="Z316" i="3"/>
  <c r="AK359" i="3"/>
  <c r="U16" i="5"/>
  <c r="AF19" i="5"/>
  <c r="W27" i="5"/>
  <c r="W26" i="5" s="1"/>
  <c r="W19" i="5" s="1"/>
  <c r="R51" i="5"/>
  <c r="R57" i="5"/>
  <c r="R79" i="5"/>
  <c r="Y107" i="5"/>
  <c r="AC107" i="5"/>
  <c r="J351" i="5"/>
  <c r="J350" i="5" s="1"/>
  <c r="J349" i="5" s="1"/>
  <c r="P349" i="5"/>
  <c r="P380" i="5"/>
  <c r="P379" i="5" s="1"/>
  <c r="G386" i="5"/>
  <c r="G385" i="5" s="1"/>
  <c r="G378" i="5" s="1"/>
  <c r="O420" i="5"/>
  <c r="O419" i="5" s="1"/>
  <c r="AN134" i="8"/>
  <c r="AM134" i="8"/>
  <c r="X134" i="8"/>
  <c r="AN327" i="8"/>
  <c r="Y225" i="8"/>
  <c r="AN225" i="8" s="1"/>
  <c r="AN445" i="8"/>
  <c r="Y444" i="8"/>
  <c r="AD18" i="5"/>
  <c r="AH383" i="5"/>
  <c r="S383" i="5"/>
  <c r="AH389" i="5"/>
  <c r="S389" i="5"/>
  <c r="AH426" i="5"/>
  <c r="S426" i="5"/>
  <c r="J411" i="5"/>
  <c r="J316" i="5" s="1"/>
  <c r="J16" i="5" s="1"/>
  <c r="J419" i="5"/>
  <c r="L411" i="5"/>
  <c r="L419" i="5"/>
  <c r="S489" i="5"/>
  <c r="S488" i="5" s="1"/>
  <c r="I47" i="8"/>
  <c r="AO47" i="8" s="1"/>
  <c r="H53" i="8"/>
  <c r="H52" i="8" s="1"/>
  <c r="H45" i="8" s="1"/>
  <c r="Z133" i="8"/>
  <c r="L316" i="5"/>
  <c r="L16" i="5" s="1"/>
  <c r="K316" i="5"/>
  <c r="K16" i="5" s="1"/>
  <c r="N335" i="5"/>
  <c r="N334" i="5" s="1"/>
  <c r="N333" i="5" s="1"/>
  <c r="L349" i="5"/>
  <c r="N349" i="5"/>
  <c r="V349" i="5"/>
  <c r="X349" i="5"/>
  <c r="Z349" i="5"/>
  <c r="AB349" i="5"/>
  <c r="AD349" i="5"/>
  <c r="AF349" i="5"/>
  <c r="U349" i="5"/>
  <c r="Q357" i="5"/>
  <c r="Y357" i="5"/>
  <c r="AA357" i="5"/>
  <c r="AC357" i="5"/>
  <c r="AE357" i="5"/>
  <c r="G358" i="5"/>
  <c r="G357" i="5" s="1"/>
  <c r="G349" i="5" s="1"/>
  <c r="V378" i="5"/>
  <c r="Z378" i="5"/>
  <c r="AB378" i="5"/>
  <c r="AD378" i="5"/>
  <c r="AF378" i="5"/>
  <c r="Y380" i="5"/>
  <c r="Y379" i="5" s="1"/>
  <c r="W386" i="5"/>
  <c r="W385" i="5" s="1"/>
  <c r="AH412" i="5"/>
  <c r="AH413" i="5"/>
  <c r="V431" i="5"/>
  <c r="X431" i="5"/>
  <c r="U433" i="5"/>
  <c r="U432" i="5" s="1"/>
  <c r="N440" i="5"/>
  <c r="N439" i="5" s="1"/>
  <c r="N431" i="5" s="1"/>
  <c r="M439" i="5"/>
  <c r="M480" i="5"/>
  <c r="M479" i="5" s="1"/>
  <c r="M478" i="5" s="1"/>
  <c r="S480" i="5"/>
  <c r="S479" i="5" s="1"/>
  <c r="O480" i="5"/>
  <c r="O479" i="5" s="1"/>
  <c r="U478" i="5"/>
  <c r="AH498" i="5"/>
  <c r="V45" i="8"/>
  <c r="AE45" i="8"/>
  <c r="AG45" i="8"/>
  <c r="AI45" i="8"/>
  <c r="AK45" i="8"/>
  <c r="K45" i="8"/>
  <c r="U52" i="8"/>
  <c r="W52" i="8"/>
  <c r="AN138" i="8"/>
  <c r="AM138" i="8"/>
  <c r="X138" i="8"/>
  <c r="AN142" i="8"/>
  <c r="AM142" i="8"/>
  <c r="X142" i="8"/>
  <c r="AN146" i="8"/>
  <c r="AM146" i="8"/>
  <c r="X146" i="8"/>
  <c r="AN150" i="8"/>
  <c r="AM150" i="8"/>
  <c r="X150" i="8"/>
  <c r="AN154" i="8"/>
  <c r="AM154" i="8"/>
  <c r="X154" i="8"/>
  <c r="AN158" i="8"/>
  <c r="AM158" i="8"/>
  <c r="X158" i="8"/>
  <c r="AN162" i="8"/>
  <c r="X162" i="8"/>
  <c r="H182" i="8"/>
  <c r="AC133" i="8"/>
  <c r="H414" i="8"/>
  <c r="X445" i="8"/>
  <c r="X444" i="8" s="1"/>
  <c r="J421" i="8"/>
  <c r="J414" i="8" s="1"/>
  <c r="L421" i="8"/>
  <c r="N421" i="8"/>
  <c r="AO446" i="8"/>
  <c r="R446" i="8"/>
  <c r="R445" i="8" s="1"/>
  <c r="R444" i="8" s="1"/>
  <c r="AO460" i="8"/>
  <c r="Q462" i="8"/>
  <c r="AB462" i="8"/>
  <c r="AD462" i="8"/>
  <c r="AF462" i="8"/>
  <c r="AH462" i="8"/>
  <c r="AJ462" i="8"/>
  <c r="J464" i="8"/>
  <c r="J463" i="8" s="1"/>
  <c r="J462" i="8" s="1"/>
  <c r="S471" i="8"/>
  <c r="I498" i="8"/>
  <c r="AO498" i="8" s="1"/>
  <c r="O498" i="8"/>
  <c r="O497" i="8" s="1"/>
  <c r="U496" i="8"/>
  <c r="AO521" i="8"/>
  <c r="X533" i="8"/>
  <c r="AM533" i="8"/>
  <c r="X535" i="8"/>
  <c r="AM535" i="8"/>
  <c r="R540" i="8"/>
  <c r="W540" i="8"/>
  <c r="Z540" i="8"/>
  <c r="J548" i="8"/>
  <c r="I562" i="8"/>
  <c r="AA561" i="8"/>
  <c r="X587" i="8"/>
  <c r="AM587" i="8"/>
  <c r="Y625" i="8"/>
  <c r="I634" i="8"/>
  <c r="Q635" i="8"/>
  <c r="Q634" i="8" s="1"/>
  <c r="Q624" i="8" s="1"/>
  <c r="P635" i="8"/>
  <c r="P634" i="8" s="1"/>
  <c r="T635" i="8"/>
  <c r="T634" i="8" s="1"/>
  <c r="AN649" i="8"/>
  <c r="X649" i="8"/>
  <c r="V29" i="10"/>
  <c r="V16" i="10" s="1"/>
  <c r="M58" i="10"/>
  <c r="M29" i="10" s="1"/>
  <c r="M16" i="10" s="1"/>
  <c r="U173" i="8"/>
  <c r="P175" i="8"/>
  <c r="P174" i="8" s="1"/>
  <c r="X175" i="8"/>
  <c r="X174" i="8" s="1"/>
  <c r="AO327" i="8"/>
  <c r="AO328" i="8"/>
  <c r="R331" i="8"/>
  <c r="N337" i="8"/>
  <c r="N336" i="8" s="1"/>
  <c r="N335" i="8" s="1"/>
  <c r="S337" i="8"/>
  <c r="S336" i="8" s="1"/>
  <c r="S335" i="8" s="1"/>
  <c r="P337" i="8"/>
  <c r="P336" i="8" s="1"/>
  <c r="P335" i="8" s="1"/>
  <c r="T337" i="8"/>
  <c r="T336" i="8" s="1"/>
  <c r="T335" i="8" s="1"/>
  <c r="AB337" i="8"/>
  <c r="AB336" i="8" s="1"/>
  <c r="L414" i="8"/>
  <c r="W413" i="8"/>
  <c r="N414" i="8"/>
  <c r="R462" i="8"/>
  <c r="AA496" i="8"/>
  <c r="AE496" i="8"/>
  <c r="AI496" i="8"/>
  <c r="T504" i="8"/>
  <c r="T503" i="8" s="1"/>
  <c r="V540" i="8"/>
  <c r="S540" i="8"/>
  <c r="AC561" i="8"/>
  <c r="P624" i="8"/>
  <c r="AO644" i="8"/>
  <c r="Y635" i="8"/>
  <c r="Y634" i="8" s="1"/>
  <c r="AN634" i="8" s="1"/>
  <c r="L594" i="8"/>
  <c r="P594" i="8"/>
  <c r="R594" i="8"/>
  <c r="T594" i="8"/>
  <c r="V594" i="8"/>
  <c r="AO621" i="8"/>
  <c r="H624" i="8"/>
  <c r="T624" i="8"/>
  <c r="V624" i="8"/>
  <c r="Z624" i="8"/>
  <c r="AD624" i="8"/>
  <c r="AF624" i="8"/>
  <c r="AH624" i="8"/>
  <c r="AJ624" i="8"/>
  <c r="AO658" i="8"/>
  <c r="C11" i="13"/>
  <c r="M12" i="13"/>
  <c r="M11" i="13" s="1"/>
  <c r="P12" i="13"/>
  <c r="P11" i="13" s="1"/>
  <c r="O12" i="13"/>
  <c r="O11" i="13" s="1"/>
  <c r="AT306" i="7"/>
  <c r="AG170" i="7"/>
  <c r="AP170" i="7" s="1"/>
  <c r="AR338" i="7"/>
  <c r="AR350" i="7"/>
  <c r="M35" i="7"/>
  <c r="M34" i="7" s="1"/>
  <c r="M33" i="7" s="1"/>
  <c r="P35" i="7"/>
  <c r="P34" i="7" s="1"/>
  <c r="N35" i="7"/>
  <c r="N34" i="7" s="1"/>
  <c r="T35" i="7"/>
  <c r="T34" i="7" s="1"/>
  <c r="X35" i="7"/>
  <c r="X34" i="7" s="1"/>
  <c r="K59" i="11"/>
  <c r="AJ138" i="11"/>
  <c r="AC182" i="11"/>
  <c r="AK216" i="11"/>
  <c r="AM216" i="11"/>
  <c r="AK218" i="11"/>
  <c r="AM218" i="11"/>
  <c r="L219" i="11"/>
  <c r="K241" i="11"/>
  <c r="K238" i="11" s="1"/>
  <c r="K237" i="11" s="1"/>
  <c r="I238" i="11"/>
  <c r="I237" i="11" s="1"/>
  <c r="AK242" i="11"/>
  <c r="AM242" i="11"/>
  <c r="G243" i="11"/>
  <c r="AM251" i="11"/>
  <c r="AK251" i="11"/>
  <c r="AO267" i="11"/>
  <c r="AP267" i="11" s="1"/>
  <c r="O267" i="11"/>
  <c r="AC267" i="11" s="1"/>
  <c r="AR267" i="11"/>
  <c r="AM268" i="11"/>
  <c r="AK268" i="11"/>
  <c r="AJ269" i="11"/>
  <c r="N243" i="11"/>
  <c r="AH270" i="11"/>
  <c r="AH269" i="11" s="1"/>
  <c r="AH243" i="11" s="1"/>
  <c r="H269" i="11"/>
  <c r="AG236" i="11"/>
  <c r="AK280" i="11"/>
  <c r="AM280" i="11"/>
  <c r="AO286" i="11"/>
  <c r="AP286" i="11" s="1"/>
  <c r="P283" i="11"/>
  <c r="P282" i="11" s="1"/>
  <c r="AQ287" i="11"/>
  <c r="AR287" i="11" s="1"/>
  <c r="N283" i="11"/>
  <c r="AU292" i="11"/>
  <c r="AV292" i="11" s="1"/>
  <c r="R291" i="11"/>
  <c r="R290" i="11" s="1"/>
  <c r="AK292" i="11"/>
  <c r="AM292" i="11"/>
  <c r="AM295" i="11"/>
  <c r="AK295" i="11"/>
  <c r="AF357" i="11"/>
  <c r="AE357" i="11" s="1"/>
  <c r="AD357" i="11"/>
  <c r="AM363" i="11"/>
  <c r="AK363" i="11"/>
  <c r="AF365" i="11"/>
  <c r="AE365" i="11" s="1"/>
  <c r="AD365" i="11"/>
  <c r="AF368" i="11"/>
  <c r="AE368" i="11" s="1"/>
  <c r="AD368" i="11"/>
  <c r="AK376" i="11"/>
  <c r="AM376" i="11"/>
  <c r="AD378" i="11"/>
  <c r="AF378" i="11" s="1"/>
  <c r="AE378" i="11" s="1"/>
  <c r="T40" i="9"/>
  <c r="AJ40" i="9"/>
  <c r="T76" i="9"/>
  <c r="AJ76" i="9"/>
  <c r="Q119" i="9"/>
  <c r="U325" i="9"/>
  <c r="U324" i="9" s="1"/>
  <c r="Q354" i="9"/>
  <c r="O351" i="9"/>
  <c r="O350" i="9" s="1"/>
  <c r="I355" i="9"/>
  <c r="I351" i="9" s="1"/>
  <c r="I350" i="9" s="1"/>
  <c r="J351" i="9"/>
  <c r="J350" i="9" s="1"/>
  <c r="J349" i="9" s="1"/>
  <c r="X349" i="9"/>
  <c r="S358" i="9"/>
  <c r="S357" i="9" s="1"/>
  <c r="S349" i="9" s="1"/>
  <c r="R373" i="9"/>
  <c r="P358" i="9"/>
  <c r="P357" i="9" s="1"/>
  <c r="W378" i="9"/>
  <c r="O393" i="9"/>
  <c r="Q393" i="9" s="1"/>
  <c r="Q392" i="9" s="1"/>
  <c r="M392" i="9"/>
  <c r="M386" i="9" s="1"/>
  <c r="M385" i="9" s="1"/>
  <c r="M378" i="9" s="1"/>
  <c r="J418" i="9"/>
  <c r="I413" i="9"/>
  <c r="I412" i="9" s="1"/>
  <c r="I411" i="9" s="1"/>
  <c r="AJ489" i="9"/>
  <c r="N488" i="9"/>
  <c r="AJ488" i="9" s="1"/>
  <c r="K72" i="3"/>
  <c r="K61" i="3" s="1"/>
  <c r="K60" i="3" s="1"/>
  <c r="L61" i="3"/>
  <c r="L60" i="3" s="1"/>
  <c r="L59" i="3" s="1"/>
  <c r="AC73" i="3"/>
  <c r="U21" i="11"/>
  <c r="AR56" i="11"/>
  <c r="Q126" i="11"/>
  <c r="U158" i="11"/>
  <c r="AC26" i="11"/>
  <c r="S23" i="11"/>
  <c r="S22" i="11" s="1"/>
  <c r="AK26" i="11"/>
  <c r="P32" i="11"/>
  <c r="P21" i="11" s="1"/>
  <c r="T32" i="11"/>
  <c r="T21" i="11" s="1"/>
  <c r="V32" i="11"/>
  <c r="V21" i="11" s="1"/>
  <c r="AB33" i="11"/>
  <c r="AB32" i="11" s="1"/>
  <c r="AK36" i="11"/>
  <c r="AC37" i="11"/>
  <c r="R46" i="11"/>
  <c r="R32" i="11" s="1"/>
  <c r="R21" i="11" s="1"/>
  <c r="AC52" i="11"/>
  <c r="AK52" i="11"/>
  <c r="AJ61" i="11"/>
  <c r="X59" i="11"/>
  <c r="AB63" i="11"/>
  <c r="Z75" i="11"/>
  <c r="Z74" i="11" s="1"/>
  <c r="Z59" i="11" s="1"/>
  <c r="AH74" i="11"/>
  <c r="AH59" i="11" s="1"/>
  <c r="AK89" i="11"/>
  <c r="AK93" i="11"/>
  <c r="Y94" i="11"/>
  <c r="AA94" i="11" s="1"/>
  <c r="AC94" i="11" s="1"/>
  <c r="AK98" i="11"/>
  <c r="AC112" i="11"/>
  <c r="AK112" i="11"/>
  <c r="AC113" i="11"/>
  <c r="T124" i="11"/>
  <c r="T74" i="11" s="1"/>
  <c r="T59" i="11" s="1"/>
  <c r="AJ125" i="11"/>
  <c r="G126" i="11"/>
  <c r="P128" i="11"/>
  <c r="P127" i="11" s="1"/>
  <c r="W128" i="11"/>
  <c r="W127" i="11" s="1"/>
  <c r="K128" i="11"/>
  <c r="K127" i="11" s="1"/>
  <c r="K126" i="11" s="1"/>
  <c r="AC131" i="11"/>
  <c r="AK131" i="11"/>
  <c r="AC132" i="11"/>
  <c r="AK132" i="11"/>
  <c r="AC135" i="11"/>
  <c r="AK135" i="11"/>
  <c r="AC136" i="11"/>
  <c r="AC137" i="11"/>
  <c r="Y138" i="11"/>
  <c r="Y126" i="11" s="1"/>
  <c r="AG138" i="11"/>
  <c r="AG126" i="11" s="1"/>
  <c r="H139" i="11"/>
  <c r="H138" i="11" s="1"/>
  <c r="AC140" i="11"/>
  <c r="AK140" i="11"/>
  <c r="AC143" i="11"/>
  <c r="AK143" i="11"/>
  <c r="AC145" i="11"/>
  <c r="AC146" i="11"/>
  <c r="AC147" i="11"/>
  <c r="AC148" i="11"/>
  <c r="AC149" i="11"/>
  <c r="AK157" i="11"/>
  <c r="N159" i="11"/>
  <c r="AJ159" i="11" s="1"/>
  <c r="R160" i="11"/>
  <c r="R159" i="11" s="1"/>
  <c r="AH167" i="11"/>
  <c r="AA169" i="11"/>
  <c r="AA174" i="11"/>
  <c r="AJ177" i="11"/>
  <c r="AM177" i="11" s="1"/>
  <c r="G168" i="11"/>
  <c r="AA178" i="11"/>
  <c r="AC178" i="11" s="1"/>
  <c r="AC180" i="11"/>
  <c r="T188" i="11"/>
  <c r="S188" i="11" s="1"/>
  <c r="T189" i="11"/>
  <c r="Z194" i="11"/>
  <c r="H196" i="11"/>
  <c r="H195" i="11" s="1"/>
  <c r="K196" i="11"/>
  <c r="K195" i="11" s="1"/>
  <c r="K194" i="11" s="1"/>
  <c r="H202" i="11"/>
  <c r="H201" i="11" s="1"/>
  <c r="W202" i="11"/>
  <c r="W201" i="11" s="1"/>
  <c r="AM204" i="11"/>
  <c r="AC207" i="11"/>
  <c r="AC208" i="11"/>
  <c r="AK208" i="11"/>
  <c r="AM209" i="11"/>
  <c r="G202" i="11"/>
  <c r="G201" i="11" s="1"/>
  <c r="G194" i="11" s="1"/>
  <c r="AC211" i="11"/>
  <c r="J221" i="11"/>
  <c r="J220" i="11" s="1"/>
  <c r="J219" i="11" s="1"/>
  <c r="AJ229" i="11"/>
  <c r="N228" i="11"/>
  <c r="AK230" i="11"/>
  <c r="AM230" i="11"/>
  <c r="V281" i="11"/>
  <c r="AF295" i="11"/>
  <c r="AE295" i="11" s="1"/>
  <c r="AD295" i="11"/>
  <c r="AK303" i="11"/>
  <c r="AM303" i="11"/>
  <c r="AM312" i="11"/>
  <c r="AK312" i="11"/>
  <c r="AS315" i="11"/>
  <c r="AT315" i="11" s="1"/>
  <c r="Q313" i="11"/>
  <c r="AC315" i="11"/>
  <c r="AA313" i="11"/>
  <c r="AF321" i="11"/>
  <c r="AB318" i="11"/>
  <c r="AB317" i="11" s="1"/>
  <c r="L322" i="11"/>
  <c r="L318" i="11" s="1"/>
  <c r="L317" i="11" s="1"/>
  <c r="L316" i="11" s="1"/>
  <c r="K318" i="11"/>
  <c r="K317" i="11" s="1"/>
  <c r="K316" i="11" s="1"/>
  <c r="AJ342" i="11"/>
  <c r="AK342" i="11" s="1"/>
  <c r="AO343" i="11"/>
  <c r="AP343" i="11" s="1"/>
  <c r="AD343" i="11"/>
  <c r="AM353" i="11"/>
  <c r="AK353" i="11"/>
  <c r="AM357" i="11"/>
  <c r="AK357" i="11"/>
  <c r="AM364" i="11"/>
  <c r="AK364" i="11"/>
  <c r="AM365" i="11"/>
  <c r="AK365" i="11"/>
  <c r="AM368" i="11"/>
  <c r="AK368" i="11"/>
  <c r="AM378" i="11"/>
  <c r="AK378" i="11"/>
  <c r="AJ32" i="9"/>
  <c r="T32" i="9"/>
  <c r="AJ60" i="9"/>
  <c r="T60" i="9"/>
  <c r="T79" i="9"/>
  <c r="AJ79" i="9"/>
  <c r="AD107" i="9"/>
  <c r="AJ116" i="9"/>
  <c r="AJ133" i="9"/>
  <c r="M133" i="9"/>
  <c r="M117" i="9" s="1"/>
  <c r="M116" i="9" s="1"/>
  <c r="M107" i="9" s="1"/>
  <c r="R135" i="9"/>
  <c r="P117" i="9"/>
  <c r="P116" i="9" s="1"/>
  <c r="P107" i="9" s="1"/>
  <c r="H139" i="9"/>
  <c r="H138" i="9" s="1"/>
  <c r="H137" i="9" s="1"/>
  <c r="T176" i="9"/>
  <c r="M176" i="9"/>
  <c r="Q176" i="9" s="1"/>
  <c r="U317" i="9"/>
  <c r="X317" i="9"/>
  <c r="U335" i="9"/>
  <c r="U334" i="9" s="1"/>
  <c r="U333" i="9" s="1"/>
  <c r="Q337" i="9"/>
  <c r="O335" i="9"/>
  <c r="O334" i="9" s="1"/>
  <c r="O333" i="9" s="1"/>
  <c r="P349" i="9"/>
  <c r="AJ386" i="9"/>
  <c r="N385" i="9"/>
  <c r="R393" i="9"/>
  <c r="P392" i="9"/>
  <c r="O397" i="9"/>
  <c r="P396" i="9"/>
  <c r="R404" i="9"/>
  <c r="O404" i="9"/>
  <c r="Q404" i="9" s="1"/>
  <c r="P400" i="9"/>
  <c r="P399" i="9" s="1"/>
  <c r="P398" i="9" s="1"/>
  <c r="U458" i="9"/>
  <c r="Y458" i="9"/>
  <c r="H458" i="9"/>
  <c r="AB478" i="9"/>
  <c r="V478" i="9"/>
  <c r="W13" i="6"/>
  <c r="J13" i="6"/>
  <c r="K31" i="3"/>
  <c r="K23" i="3" s="1"/>
  <c r="K22" i="3" s="1"/>
  <c r="K21" i="3" s="1"/>
  <c r="I23" i="3"/>
  <c r="I22" i="3" s="1"/>
  <c r="I21" i="3" s="1"/>
  <c r="AC31" i="3"/>
  <c r="AM49" i="3"/>
  <c r="AK49" i="3"/>
  <c r="AB80" i="3"/>
  <c r="Y80" i="3"/>
  <c r="AA80" i="3" s="1"/>
  <c r="Z75" i="3"/>
  <c r="Z74" i="3" s="1"/>
  <c r="AB87" i="3"/>
  <c r="Y87" i="3"/>
  <c r="AA87" i="3" s="1"/>
  <c r="AC87" i="3" s="1"/>
  <c r="O75" i="3"/>
  <c r="AC215" i="11"/>
  <c r="AC217" i="11"/>
  <c r="W219" i="11"/>
  <c r="AG219" i="11"/>
  <c r="P219" i="11"/>
  <c r="V219" i="11"/>
  <c r="G236" i="11"/>
  <c r="Z236" i="11"/>
  <c r="W236" i="11"/>
  <c r="I243" i="11"/>
  <c r="K243" i="11"/>
  <c r="AC255" i="11"/>
  <c r="AC266" i="11"/>
  <c r="AC274" i="11"/>
  <c r="I283" i="11"/>
  <c r="I282" i="11" s="1"/>
  <c r="AA289" i="11"/>
  <c r="AC289" i="11" s="1"/>
  <c r="J290" i="11"/>
  <c r="J281" i="11" s="1"/>
  <c r="L290" i="11"/>
  <c r="L281" i="11" s="1"/>
  <c r="X290" i="11"/>
  <c r="X281" i="11" s="1"/>
  <c r="Z290" i="11"/>
  <c r="Z281" i="11" s="1"/>
  <c r="AA296" i="11"/>
  <c r="AC296" i="11" s="1"/>
  <c r="AA302" i="11"/>
  <c r="AC302" i="11" s="1"/>
  <c r="AD309" i="11"/>
  <c r="AC313" i="11"/>
  <c r="J318" i="11"/>
  <c r="J317" i="11" s="1"/>
  <c r="J316" i="11" s="1"/>
  <c r="M326" i="11"/>
  <c r="M325" i="11" s="1"/>
  <c r="AC327" i="11"/>
  <c r="G326" i="11"/>
  <c r="G325" i="11" s="1"/>
  <c r="AC373" i="11"/>
  <c r="AC377" i="11"/>
  <c r="I18" i="9"/>
  <c r="M19" i="9"/>
  <c r="AD18" i="9"/>
  <c r="J21" i="9"/>
  <c r="J20" i="9" s="1"/>
  <c r="J19" i="9" s="1"/>
  <c r="Q21" i="9"/>
  <c r="Q20" i="9" s="1"/>
  <c r="H21" i="9"/>
  <c r="H20" i="9" s="1"/>
  <c r="L21" i="9"/>
  <c r="L20" i="9" s="1"/>
  <c r="L19" i="9" s="1"/>
  <c r="P21" i="9"/>
  <c r="P20" i="9" s="1"/>
  <c r="R32" i="9"/>
  <c r="U27" i="9"/>
  <c r="U26" i="9" s="1"/>
  <c r="R40" i="9"/>
  <c r="R46" i="9"/>
  <c r="R48" i="9"/>
  <c r="R60" i="9"/>
  <c r="R76" i="9"/>
  <c r="R79" i="9"/>
  <c r="R85" i="9"/>
  <c r="AJ109" i="9"/>
  <c r="S139" i="9"/>
  <c r="S138" i="9" s="1"/>
  <c r="S137" i="9" s="1"/>
  <c r="Q166" i="9"/>
  <c r="Q168" i="9"/>
  <c r="Q170" i="9"/>
  <c r="Q172" i="9"/>
  <c r="Q174" i="9"/>
  <c r="Q254" i="9"/>
  <c r="Q263" i="9"/>
  <c r="Q303" i="9"/>
  <c r="Q305" i="9"/>
  <c r="Y325" i="9"/>
  <c r="Y324" i="9" s="1"/>
  <c r="Y317" i="9" s="1"/>
  <c r="W335" i="9"/>
  <c r="W334" i="9" s="1"/>
  <c r="W333" i="9" s="1"/>
  <c r="AC349" i="9"/>
  <c r="AC316" i="9" s="1"/>
  <c r="AG349" i="9"/>
  <c r="AG316" i="9" s="1"/>
  <c r="V349" i="9"/>
  <c r="Z349" i="9"/>
  <c r="AB349" i="9"/>
  <c r="AB316" i="9" s="1"/>
  <c r="AD349" i="9"/>
  <c r="AF349" i="9"/>
  <c r="AH349" i="9"/>
  <c r="Q359" i="9"/>
  <c r="U358" i="9"/>
  <c r="U357" i="9" s="1"/>
  <c r="U349" i="9" s="1"/>
  <c r="Q362" i="9"/>
  <c r="Y357" i="9"/>
  <c r="Y349" i="9" s="1"/>
  <c r="Q363" i="9"/>
  <c r="W358" i="9"/>
  <c r="W357" i="9" s="1"/>
  <c r="W349" i="9" s="1"/>
  <c r="Q367" i="9"/>
  <c r="U386" i="9"/>
  <c r="Y386" i="9"/>
  <c r="Y385" i="9" s="1"/>
  <c r="G392" i="9"/>
  <c r="G386" i="9" s="1"/>
  <c r="G385" i="9" s="1"/>
  <c r="G378" i="9" s="1"/>
  <c r="AJ397" i="9"/>
  <c r="U397" i="9"/>
  <c r="S397" i="9" s="1"/>
  <c r="S396" i="9" s="1"/>
  <c r="V396" i="9"/>
  <c r="V385" i="9" s="1"/>
  <c r="V378" i="9" s="1"/>
  <c r="X411" i="9"/>
  <c r="U424" i="9"/>
  <c r="V420" i="9"/>
  <c r="V419" i="9" s="1"/>
  <c r="V411" i="9" s="1"/>
  <c r="H431" i="9"/>
  <c r="AJ444" i="9"/>
  <c r="N440" i="9"/>
  <c r="AJ440" i="9" s="1"/>
  <c r="J458" i="9"/>
  <c r="L458" i="9"/>
  <c r="S458" i="9"/>
  <c r="AF478" i="9"/>
  <c r="AJ480" i="9"/>
  <c r="Z478" i="9"/>
  <c r="AD478" i="9"/>
  <c r="AH478" i="9"/>
  <c r="G489" i="9"/>
  <c r="G488" i="9" s="1"/>
  <c r="G478" i="9" s="1"/>
  <c r="M33" i="3"/>
  <c r="M32" i="3" s="1"/>
  <c r="AM55" i="3"/>
  <c r="AK55" i="3"/>
  <c r="V59" i="3"/>
  <c r="Z59" i="3"/>
  <c r="AJ74" i="3"/>
  <c r="P59" i="3"/>
  <c r="AJ59" i="3" s="1"/>
  <c r="I59" i="3"/>
  <c r="AH59" i="3"/>
  <c r="AB86" i="3"/>
  <c r="Y86" i="3"/>
  <c r="AA86" i="3" s="1"/>
  <c r="AB88" i="3"/>
  <c r="Y88" i="3"/>
  <c r="AA88" i="3" s="1"/>
  <c r="AC88" i="3" s="1"/>
  <c r="AM99" i="3"/>
  <c r="AK99" i="3"/>
  <c r="G109" i="3"/>
  <c r="G75" i="3" s="1"/>
  <c r="G74" i="3" s="1"/>
  <c r="G59" i="3" s="1"/>
  <c r="H75" i="3"/>
  <c r="H74" i="3" s="1"/>
  <c r="H59" i="3" s="1"/>
  <c r="AM109" i="3"/>
  <c r="AK109" i="3"/>
  <c r="Q406" i="9"/>
  <c r="U400" i="9"/>
  <c r="U399" i="9" s="1"/>
  <c r="U398" i="9" s="1"/>
  <c r="L413" i="9"/>
  <c r="L412" i="9" s="1"/>
  <c r="L411" i="9" s="1"/>
  <c r="L316" i="9" s="1"/>
  <c r="AJ420" i="9"/>
  <c r="R420" i="9"/>
  <c r="W420" i="9"/>
  <c r="W419" i="9" s="1"/>
  <c r="W411" i="9" s="1"/>
  <c r="Y420" i="9"/>
  <c r="Y419" i="9" s="1"/>
  <c r="Y411" i="9" s="1"/>
  <c r="G420" i="9"/>
  <c r="G419" i="9" s="1"/>
  <c r="Z458" i="9"/>
  <c r="Q460" i="9"/>
  <c r="Q459" i="9" s="1"/>
  <c r="W460" i="9"/>
  <c r="W459" i="9" s="1"/>
  <c r="W458" i="9" s="1"/>
  <c r="N458" i="9"/>
  <c r="P458" i="9"/>
  <c r="P478" i="9"/>
  <c r="Y478" i="9"/>
  <c r="Q497" i="9"/>
  <c r="K14" i="6"/>
  <c r="K12" i="6" s="1"/>
  <c r="K11" i="6" s="1"/>
  <c r="U11" i="6" s="1"/>
  <c r="R21" i="6"/>
  <c r="R27" i="6"/>
  <c r="R25" i="6" s="1"/>
  <c r="X21" i="3"/>
  <c r="H23" i="3"/>
  <c r="H22" i="3" s="1"/>
  <c r="H21" i="3" s="1"/>
  <c r="AA30" i="3"/>
  <c r="AC30" i="3" s="1"/>
  <c r="R32" i="3"/>
  <c r="AJ61" i="3"/>
  <c r="M61" i="3"/>
  <c r="M60" i="3" s="1"/>
  <c r="J59" i="3"/>
  <c r="AC78" i="3"/>
  <c r="AA78" i="3"/>
  <c r="AC80" i="3"/>
  <c r="AC86" i="3"/>
  <c r="AC89" i="3"/>
  <c r="AA89" i="3"/>
  <c r="AC91" i="3"/>
  <c r="AA91" i="3"/>
  <c r="AC93" i="3"/>
  <c r="AA93" i="3"/>
  <c r="AC128" i="3"/>
  <c r="AC127" i="3" s="1"/>
  <c r="AK132" i="3"/>
  <c r="K128" i="3"/>
  <c r="K127" i="3" s="1"/>
  <c r="AA134" i="3"/>
  <c r="M139" i="3"/>
  <c r="M138" i="3" s="1"/>
  <c r="M126" i="3" s="1"/>
  <c r="AK141" i="3"/>
  <c r="AK143" i="3"/>
  <c r="W168" i="3"/>
  <c r="AC208" i="3"/>
  <c r="AC210" i="3"/>
  <c r="T219" i="3"/>
  <c r="X219" i="3"/>
  <c r="H243" i="3"/>
  <c r="H236" i="3" s="1"/>
  <c r="V281" i="3"/>
  <c r="O291" i="3"/>
  <c r="O290" i="3" s="1"/>
  <c r="O281" i="3" s="1"/>
  <c r="AG290" i="3"/>
  <c r="Y316" i="3"/>
  <c r="T326" i="3"/>
  <c r="T325" i="3" s="1"/>
  <c r="Z19" i="5"/>
  <c r="Z18" i="5" s="1"/>
  <c r="AC121" i="3"/>
  <c r="R138" i="3"/>
  <c r="R126" i="3" s="1"/>
  <c r="AH138" i="3"/>
  <c r="AH126" i="3" s="1"/>
  <c r="I160" i="3"/>
  <c r="I159" i="3" s="1"/>
  <c r="M160" i="3"/>
  <c r="M159" i="3" s="1"/>
  <c r="M158" i="3" s="1"/>
  <c r="S160" i="3"/>
  <c r="S159" i="3" s="1"/>
  <c r="AG189" i="3"/>
  <c r="AG167" i="3" s="1"/>
  <c r="AK192" i="3"/>
  <c r="AJ195" i="3"/>
  <c r="M196" i="3"/>
  <c r="M195" i="3" s="1"/>
  <c r="S196" i="3"/>
  <c r="S195" i="3" s="1"/>
  <c r="W194" i="3"/>
  <c r="Y194" i="3"/>
  <c r="AB194" i="3"/>
  <c r="AH194" i="3"/>
  <c r="AA203" i="3"/>
  <c r="AA206" i="3"/>
  <c r="AC206" i="3" s="1"/>
  <c r="AC207" i="3"/>
  <c r="AC209" i="3"/>
  <c r="AJ221" i="3"/>
  <c r="AG219" i="3"/>
  <c r="M219" i="3"/>
  <c r="S219" i="3"/>
  <c r="AK225" i="3"/>
  <c r="AK227" i="3"/>
  <c r="P228" i="3"/>
  <c r="AJ228" i="3" s="1"/>
  <c r="O229" i="3"/>
  <c r="O228" i="3" s="1"/>
  <c r="O219" i="3" s="1"/>
  <c r="Y229" i="3"/>
  <c r="Y228" i="3" s="1"/>
  <c r="Y219" i="3" s="1"/>
  <c r="AK230" i="3"/>
  <c r="AK232" i="3"/>
  <c r="H229" i="3"/>
  <c r="H228" i="3" s="1"/>
  <c r="H219" i="3" s="1"/>
  <c r="AK234" i="3"/>
  <c r="AK235" i="3"/>
  <c r="U244" i="3"/>
  <c r="U243" i="3" s="1"/>
  <c r="U236" i="3" s="1"/>
  <c r="AA252" i="3"/>
  <c r="AC252" i="3" s="1"/>
  <c r="AK262" i="3"/>
  <c r="N243" i="3"/>
  <c r="N236" i="3" s="1"/>
  <c r="T243" i="3"/>
  <c r="T236" i="3" s="1"/>
  <c r="AK270" i="3"/>
  <c r="P283" i="3"/>
  <c r="P282" i="3" s="1"/>
  <c r="P281" i="3" s="1"/>
  <c r="X281" i="3"/>
  <c r="Z281" i="3"/>
  <c r="R288" i="3"/>
  <c r="AU288" i="3" s="1"/>
  <c r="AV288" i="3" s="1"/>
  <c r="S283" i="3"/>
  <c r="S282" i="3" s="1"/>
  <c r="W281" i="3"/>
  <c r="AB291" i="3"/>
  <c r="AB290" i="3" s="1"/>
  <c r="M291" i="3"/>
  <c r="M290" i="3" s="1"/>
  <c r="M281" i="3" s="1"/>
  <c r="AA292" i="3"/>
  <c r="AA299" i="3"/>
  <c r="AC299" i="3" s="1"/>
  <c r="AA300" i="3"/>
  <c r="AC300" i="3" s="1"/>
  <c r="AK300" i="3"/>
  <c r="AK304" i="3"/>
  <c r="O305" i="3"/>
  <c r="AA305" i="3"/>
  <c r="AJ309" i="3"/>
  <c r="O310" i="3"/>
  <c r="AC310" i="3" s="1"/>
  <c r="H313" i="3"/>
  <c r="H290" i="3" s="1"/>
  <c r="H281" i="3" s="1"/>
  <c r="AK355" i="3"/>
  <c r="AK363" i="3"/>
  <c r="AK373" i="3"/>
  <c r="AK378" i="3"/>
  <c r="AB316" i="5"/>
  <c r="M349" i="5"/>
  <c r="Q349" i="5"/>
  <c r="W349" i="5"/>
  <c r="Y349" i="5"/>
  <c r="AA349" i="5"/>
  <c r="AC349" i="5"/>
  <c r="AE349" i="5"/>
  <c r="W380" i="5"/>
  <c r="W379" i="5" s="1"/>
  <c r="W378" i="5" s="1"/>
  <c r="U392" i="5"/>
  <c r="H411" i="5"/>
  <c r="H316" i="5" s="1"/>
  <c r="N411" i="5"/>
  <c r="P411" i="5"/>
  <c r="R411" i="5"/>
  <c r="R431" i="5"/>
  <c r="Y19" i="5"/>
  <c r="Y18" i="5" s="1"/>
  <c r="AA19" i="5"/>
  <c r="AA18" i="5" s="1"/>
  <c r="AC19" i="5"/>
  <c r="AC18" i="5" s="1"/>
  <c r="AE19" i="5"/>
  <c r="AE18" i="5" s="1"/>
  <c r="U27" i="5"/>
  <c r="U26" i="5" s="1"/>
  <c r="U19" i="5" s="1"/>
  <c r="R75" i="5"/>
  <c r="R85" i="5"/>
  <c r="R88" i="5"/>
  <c r="R104" i="5"/>
  <c r="AH302" i="5"/>
  <c r="I316" i="5"/>
  <c r="I16" i="5" s="1"/>
  <c r="N325" i="5"/>
  <c r="N324" i="5" s="1"/>
  <c r="N317" i="5" s="1"/>
  <c r="O335" i="5"/>
  <c r="O334" i="5" s="1"/>
  <c r="O333" i="5" s="1"/>
  <c r="W335" i="5"/>
  <c r="W334" i="5" s="1"/>
  <c r="W333" i="5" s="1"/>
  <c r="S335" i="5"/>
  <c r="S334" i="5" s="1"/>
  <c r="S333" i="5" s="1"/>
  <c r="G335" i="5"/>
  <c r="G334" i="5" s="1"/>
  <c r="G333" i="5" s="1"/>
  <c r="AJ380" i="5"/>
  <c r="Y386" i="5"/>
  <c r="Y385" i="5" s="1"/>
  <c r="Y378" i="5" s="1"/>
  <c r="G431" i="5"/>
  <c r="O431" i="5"/>
  <c r="Q431" i="5"/>
  <c r="S431" i="5"/>
  <c r="W431" i="5"/>
  <c r="M431" i="5"/>
  <c r="H439" i="5"/>
  <c r="H431" i="5" s="1"/>
  <c r="S478" i="5"/>
  <c r="G478" i="5"/>
  <c r="Q478" i="5"/>
  <c r="W478" i="5"/>
  <c r="Y478" i="5"/>
  <c r="AA478" i="5"/>
  <c r="AC478" i="5"/>
  <c r="AE478" i="5"/>
  <c r="H478" i="5"/>
  <c r="N489" i="5"/>
  <c r="N488" i="5" s="1"/>
  <c r="N478" i="5" s="1"/>
  <c r="O498" i="5"/>
  <c r="O489" i="5" s="1"/>
  <c r="O488" i="5" s="1"/>
  <c r="O478" i="5" s="1"/>
  <c r="Q53" i="8"/>
  <c r="Q52" i="8" s="1"/>
  <c r="Y133" i="8"/>
  <c r="AN133" i="8" s="1"/>
  <c r="X165" i="8"/>
  <c r="AM165" i="8"/>
  <c r="AG173" i="8"/>
  <c r="AG133" i="8" s="1"/>
  <c r="AK173" i="8"/>
  <c r="AK133" i="8" s="1"/>
  <c r="K175" i="8"/>
  <c r="K174" i="8" s="1"/>
  <c r="AO187" i="8"/>
  <c r="AO190" i="8"/>
  <c r="AO191" i="8"/>
  <c r="AO192" i="8"/>
  <c r="AO196" i="8"/>
  <c r="X203" i="8"/>
  <c r="AM203" i="8"/>
  <c r="X220" i="8"/>
  <c r="AM220" i="8"/>
  <c r="X391" i="8"/>
  <c r="AM391" i="8"/>
  <c r="X393" i="8"/>
  <c r="AM393" i="8"/>
  <c r="X395" i="8"/>
  <c r="AM395" i="8"/>
  <c r="Y398" i="8"/>
  <c r="AO398" i="8" s="1"/>
  <c r="I415" i="8"/>
  <c r="AO415" i="8" s="1"/>
  <c r="H445" i="8"/>
  <c r="H444" i="8" s="1"/>
  <c r="AM464" i="8"/>
  <c r="L464" i="8"/>
  <c r="L463" i="8" s="1"/>
  <c r="L462" i="8" s="1"/>
  <c r="P521" i="8"/>
  <c r="P520" i="8" s="1"/>
  <c r="P519" i="8" s="1"/>
  <c r="AM622" i="8"/>
  <c r="AA22" i="10"/>
  <c r="AC22" i="10"/>
  <c r="AC24" i="10"/>
  <c r="AN31" i="10"/>
  <c r="U30" i="10"/>
  <c r="U29" i="10" s="1"/>
  <c r="U16" i="10" s="1"/>
  <c r="Y38" i="8"/>
  <c r="Q173" i="8"/>
  <c r="W173" i="8"/>
  <c r="AB225" i="8"/>
  <c r="AB224" i="8" s="1"/>
  <c r="AB223" i="8" s="1"/>
  <c r="X328" i="8"/>
  <c r="AM328" i="8"/>
  <c r="O414" i="8"/>
  <c r="K414" i="8"/>
  <c r="AO422" i="8"/>
  <c r="T422" i="8"/>
  <c r="T421" i="8" s="1"/>
  <c r="AB422" i="8"/>
  <c r="AB421" i="8" s="1"/>
  <c r="AB414" i="8" s="1"/>
  <c r="X422" i="8"/>
  <c r="X431" i="8"/>
  <c r="AM431" i="8"/>
  <c r="X433" i="8"/>
  <c r="AM433" i="8"/>
  <c r="X435" i="8"/>
  <c r="AM435" i="8"/>
  <c r="X437" i="8"/>
  <c r="AM437" i="8"/>
  <c r="X439" i="8"/>
  <c r="AM439" i="8"/>
  <c r="X443" i="8"/>
  <c r="AO444" i="8"/>
  <c r="AO445" i="8"/>
  <c r="T471" i="8"/>
  <c r="T470" i="8" s="1"/>
  <c r="Z471" i="8"/>
  <c r="Z470" i="8" s="1"/>
  <c r="Z462" i="8" s="1"/>
  <c r="M496" i="8"/>
  <c r="Z498" i="8"/>
  <c r="Z497" i="8" s="1"/>
  <c r="Z496" i="8" s="1"/>
  <c r="I503" i="8"/>
  <c r="AO503" i="8" s="1"/>
  <c r="S504" i="8"/>
  <c r="S503" i="8" s="1"/>
  <c r="S496" i="8" s="1"/>
  <c r="AO510" i="8"/>
  <c r="O510" i="8"/>
  <c r="H540" i="8"/>
  <c r="K542" i="8"/>
  <c r="K541" i="8" s="1"/>
  <c r="K540" i="8" s="1"/>
  <c r="T555" i="8"/>
  <c r="X652" i="8"/>
  <c r="AN43" i="10"/>
  <c r="L79" i="7"/>
  <c r="AG199" i="7"/>
  <c r="AP199" i="7" s="1"/>
  <c r="AK308" i="11"/>
  <c r="AM308" i="11"/>
  <c r="AC230" i="11"/>
  <c r="AC229" i="11" s="1"/>
  <c r="AC228" i="11" s="1"/>
  <c r="AA229" i="11"/>
  <c r="AA228" i="11" s="1"/>
  <c r="S317" i="9"/>
  <c r="AA33" i="11"/>
  <c r="AA32" i="11" s="1"/>
  <c r="M33" i="11"/>
  <c r="M32" i="11" s="1"/>
  <c r="Q33" i="11"/>
  <c r="AC38" i="11"/>
  <c r="AK38" i="11"/>
  <c r="AC39" i="11"/>
  <c r="AC40" i="11"/>
  <c r="AK40" i="11"/>
  <c r="AC43" i="11"/>
  <c r="AC44" i="11"/>
  <c r="AK44" i="11"/>
  <c r="AC45" i="11"/>
  <c r="AJ46" i="11"/>
  <c r="G46" i="11"/>
  <c r="G32" i="11" s="1"/>
  <c r="G21" i="11" s="1"/>
  <c r="AC51" i="11"/>
  <c r="AK51" i="11"/>
  <c r="AC53" i="11"/>
  <c r="AK53" i="11"/>
  <c r="AC55" i="11"/>
  <c r="AK55" i="11"/>
  <c r="AC56" i="11"/>
  <c r="AK56" i="11"/>
  <c r="M61" i="11"/>
  <c r="M60" i="11" s="1"/>
  <c r="Q61" i="11"/>
  <c r="Q60" i="11" s="1"/>
  <c r="AC73" i="11"/>
  <c r="AK73" i="11"/>
  <c r="G75" i="11"/>
  <c r="G74" i="11" s="1"/>
  <c r="G59" i="11" s="1"/>
  <c r="S74" i="11"/>
  <c r="Y76" i="11"/>
  <c r="AA76" i="11" s="1"/>
  <c r="AC76" i="11" s="1"/>
  <c r="Y78" i="11"/>
  <c r="AA78" i="11" s="1"/>
  <c r="AC78" i="11" s="1"/>
  <c r="Y79" i="11"/>
  <c r="AA79" i="11" s="1"/>
  <c r="AC79" i="11" s="1"/>
  <c r="AC83" i="11"/>
  <c r="AK83" i="11"/>
  <c r="Y84" i="11"/>
  <c r="AA84" i="11" s="1"/>
  <c r="AC84" i="11" s="1"/>
  <c r="AK85" i="11"/>
  <c r="Y86" i="11"/>
  <c r="AA86" i="11" s="1"/>
  <c r="AC86" i="11" s="1"/>
  <c r="Y88" i="11"/>
  <c r="AA88" i="11" s="1"/>
  <c r="AC88" i="11" s="1"/>
  <c r="AK90" i="11"/>
  <c r="AK92" i="11"/>
  <c r="Y95" i="11"/>
  <c r="AA95" i="11" s="1"/>
  <c r="AC95" i="11" s="1"/>
  <c r="AC107" i="11"/>
  <c r="AC109" i="11"/>
  <c r="H128" i="11"/>
  <c r="H127" i="11" s="1"/>
  <c r="H126" i="11" s="1"/>
  <c r="AH138" i="11"/>
  <c r="V158" i="11"/>
  <c r="AA160" i="11"/>
  <c r="AA159" i="11" s="1"/>
  <c r="T170" i="11"/>
  <c r="T173" i="11"/>
  <c r="AQ177" i="11"/>
  <c r="AR177" i="11" s="1"/>
  <c r="AO186" i="11"/>
  <c r="AP186" i="11" s="1"/>
  <c r="T187" i="11"/>
  <c r="S187" i="11" s="1"/>
  <c r="AQ188" i="11"/>
  <c r="AR188" i="11" s="1"/>
  <c r="AH190" i="11"/>
  <c r="AQ190" i="11"/>
  <c r="AR190" i="11" s="1"/>
  <c r="AD192" i="11"/>
  <c r="AD189" i="11" s="1"/>
  <c r="AD199" i="11"/>
  <c r="AK199" i="11"/>
  <c r="AD200" i="11"/>
  <c r="AK200" i="11"/>
  <c r="O203" i="11"/>
  <c r="O202" i="11" s="1"/>
  <c r="O201" i="11" s="1"/>
  <c r="O194" i="11" s="1"/>
  <c r="AA203" i="11"/>
  <c r="AC204" i="11"/>
  <c r="AK205" i="11"/>
  <c r="AA206" i="11"/>
  <c r="AK206" i="11"/>
  <c r="AM207" i="11"/>
  <c r="AC209" i="11"/>
  <c r="AC210" i="11"/>
  <c r="AK210" i="11"/>
  <c r="AD211" i="11"/>
  <c r="AK211" i="11"/>
  <c r="AC214" i="11"/>
  <c r="AM215" i="11"/>
  <c r="AC216" i="11"/>
  <c r="AM217" i="11"/>
  <c r="AC218" i="11"/>
  <c r="R229" i="11"/>
  <c r="R228" i="11" s="1"/>
  <c r="R219" i="11" s="1"/>
  <c r="M244" i="11"/>
  <c r="AC262" i="11"/>
  <c r="AC263" i="11"/>
  <c r="AC264" i="11"/>
  <c r="AM267" i="11"/>
  <c r="AF268" i="11"/>
  <c r="AE268" i="11" s="1"/>
  <c r="AO268" i="11"/>
  <c r="AP268" i="11" s="1"/>
  <c r="AC270" i="11"/>
  <c r="M269" i="11"/>
  <c r="AC271" i="11"/>
  <c r="AM271" i="11"/>
  <c r="AC272" i="11"/>
  <c r="AK273" i="11"/>
  <c r="AC276" i="11"/>
  <c r="AC280" i="11"/>
  <c r="Q287" i="11"/>
  <c r="H291" i="11"/>
  <c r="H290" i="11" s="1"/>
  <c r="H281" i="11" s="1"/>
  <c r="AA298" i="11"/>
  <c r="AC298" i="11" s="1"/>
  <c r="AM298" i="11"/>
  <c r="AA299" i="11"/>
  <c r="AC299" i="11" s="1"/>
  <c r="AM299" i="11"/>
  <c r="AA300" i="11"/>
  <c r="AC300" i="11" s="1"/>
  <c r="AM300" i="11"/>
  <c r="AA301" i="11"/>
  <c r="AC301" i="11" s="1"/>
  <c r="AM301" i="11"/>
  <c r="AC303" i="11"/>
  <c r="AM304" i="11"/>
  <c r="AA305" i="11"/>
  <c r="AM307" i="11"/>
  <c r="AD310" i="11"/>
  <c r="AR310" i="11"/>
  <c r="AC311" i="11"/>
  <c r="AH313" i="11"/>
  <c r="AK321" i="11"/>
  <c r="AQ321" i="11"/>
  <c r="AR321" i="11" s="1"/>
  <c r="AA323" i="11"/>
  <c r="AD323" i="11"/>
  <c r="AK323" i="11"/>
  <c r="AJ328" i="11"/>
  <c r="AJ331" i="11"/>
  <c r="AD332" i="11"/>
  <c r="AJ333" i="11"/>
  <c r="AK336" i="11"/>
  <c r="AQ336" i="11"/>
  <c r="AR336" i="11" s="1"/>
  <c r="AF337" i="11"/>
  <c r="AE337" i="11" s="1"/>
  <c r="AQ337" i="11"/>
  <c r="AR337" i="11" s="1"/>
  <c r="AJ338" i="11"/>
  <c r="AD339" i="11"/>
  <c r="AJ340" i="11"/>
  <c r="AM342" i="11"/>
  <c r="AK343" i="11"/>
  <c r="AQ343" i="11"/>
  <c r="AR343" i="11" s="1"/>
  <c r="AD345" i="11"/>
  <c r="AJ346" i="11"/>
  <c r="AD347" i="11"/>
  <c r="AJ348" i="11"/>
  <c r="AF350" i="11"/>
  <c r="AE350" i="11" s="1"/>
  <c r="AK350" i="11"/>
  <c r="AD351" i="11"/>
  <c r="AK351" i="11"/>
  <c r="AK352" i="11"/>
  <c r="AF354" i="11"/>
  <c r="AE354" i="11" s="1"/>
  <c r="AK354" i="11"/>
  <c r="AD355" i="11"/>
  <c r="AK355" i="11"/>
  <c r="AK356" i="11"/>
  <c r="AF358" i="11"/>
  <c r="AE358" i="11" s="1"/>
  <c r="AK358" i="11"/>
  <c r="AD359" i="11"/>
  <c r="AK359" i="11"/>
  <c r="AK360" i="11"/>
  <c r="AF362" i="11"/>
  <c r="AE362" i="11" s="1"/>
  <c r="AK362" i="11"/>
  <c r="AD363" i="11"/>
  <c r="R380" i="11"/>
  <c r="R24" i="9"/>
  <c r="W21" i="9"/>
  <c r="W20" i="9" s="1"/>
  <c r="R28" i="9"/>
  <c r="S28" i="9"/>
  <c r="Y27" i="9"/>
  <c r="Y26" i="9" s="1"/>
  <c r="Y19" i="9" s="1"/>
  <c r="P27" i="9"/>
  <c r="P26" i="9" s="1"/>
  <c r="AJ31" i="9"/>
  <c r="R33" i="9"/>
  <c r="AJ33" i="9"/>
  <c r="R35" i="9"/>
  <c r="R36" i="9"/>
  <c r="AJ36" i="9"/>
  <c r="R39" i="9"/>
  <c r="T39" i="9"/>
  <c r="R42" i="9"/>
  <c r="AJ42" i="9"/>
  <c r="R44" i="9"/>
  <c r="AJ44" i="9"/>
  <c r="R47" i="9"/>
  <c r="R51" i="9"/>
  <c r="R54" i="9"/>
  <c r="T54" i="9"/>
  <c r="R58" i="9"/>
  <c r="T58" i="9"/>
  <c r="R62" i="9"/>
  <c r="T62" i="9"/>
  <c r="R72" i="9"/>
  <c r="AJ72" i="9"/>
  <c r="R74" i="9"/>
  <c r="AJ74" i="9"/>
  <c r="R77" i="9"/>
  <c r="T77" i="9"/>
  <c r="T78" i="9"/>
  <c r="AJ81" i="9"/>
  <c r="R84" i="9"/>
  <c r="T84" i="9"/>
  <c r="R88" i="9"/>
  <c r="T89" i="9"/>
  <c r="T90" i="9"/>
  <c r="T91" i="9"/>
  <c r="Q112" i="9"/>
  <c r="R109" i="9"/>
  <c r="R108" i="9" s="1"/>
  <c r="Q114" i="9"/>
  <c r="Q109" i="9" s="1"/>
  <c r="Q108" i="9" s="1"/>
  <c r="P139" i="9"/>
  <c r="P138" i="9" s="1"/>
  <c r="P137" i="9" s="1"/>
  <c r="R302" i="9"/>
  <c r="Y302" i="9"/>
  <c r="R327" i="9"/>
  <c r="R329" i="9"/>
  <c r="Q335" i="9"/>
  <c r="Q334" i="9" s="1"/>
  <c r="Q333" i="9" s="1"/>
  <c r="T339" i="9"/>
  <c r="N335" i="9"/>
  <c r="T353" i="9"/>
  <c r="S353" i="9"/>
  <c r="AB23" i="11"/>
  <c r="AB22" i="11" s="1"/>
  <c r="AB21" i="11" s="1"/>
  <c r="M23" i="11"/>
  <c r="M22" i="11" s="1"/>
  <c r="AK31" i="11"/>
  <c r="AK34" i="11"/>
  <c r="S46" i="11"/>
  <c r="S32" i="11" s="1"/>
  <c r="S21" i="11" s="1"/>
  <c r="M75" i="11"/>
  <c r="AC87" i="11"/>
  <c r="AK96" i="11"/>
  <c r="AC97" i="11"/>
  <c r="AC99" i="11"/>
  <c r="AK99" i="11"/>
  <c r="AC100" i="11"/>
  <c r="AK114" i="11"/>
  <c r="AC115" i="11"/>
  <c r="AK118" i="11"/>
  <c r="AC122" i="11"/>
  <c r="AH126" i="11"/>
  <c r="O134" i="11"/>
  <c r="O128" i="11" s="1"/>
  <c r="O127" i="11" s="1"/>
  <c r="T134" i="11"/>
  <c r="S134" i="11" s="1"/>
  <c r="S128" i="11" s="1"/>
  <c r="S127" i="11" s="1"/>
  <c r="AA134" i="11"/>
  <c r="AA128" i="11" s="1"/>
  <c r="AA127" i="11" s="1"/>
  <c r="M138" i="11"/>
  <c r="M126" i="11" s="1"/>
  <c r="AC141" i="11"/>
  <c r="AK141" i="11"/>
  <c r="AA142" i="11"/>
  <c r="AA139" i="11" s="1"/>
  <c r="AA138" i="11" s="1"/>
  <c r="AK142" i="11"/>
  <c r="AC144" i="11"/>
  <c r="AK144" i="11"/>
  <c r="S150" i="11"/>
  <c r="S139" i="11" s="1"/>
  <c r="S138" i="11" s="1"/>
  <c r="AC151" i="11"/>
  <c r="AC152" i="11"/>
  <c r="AC153" i="11"/>
  <c r="AD154" i="11"/>
  <c r="AK154" i="11"/>
  <c r="AR154" i="11"/>
  <c r="W155" i="11"/>
  <c r="W138" i="11" s="1"/>
  <c r="W126" i="11" s="1"/>
  <c r="AC157" i="11"/>
  <c r="AH158" i="11"/>
  <c r="AK163" i="11"/>
  <c r="H160" i="11"/>
  <c r="H159" i="11" s="1"/>
  <c r="AC164" i="11"/>
  <c r="W168" i="11"/>
  <c r="W167" i="11" s="1"/>
  <c r="W158" i="11" s="1"/>
  <c r="H168" i="11"/>
  <c r="H167" i="11" s="1"/>
  <c r="AA172" i="11"/>
  <c r="AC172" i="11" s="1"/>
  <c r="AJ173" i="11"/>
  <c r="Z173" i="11"/>
  <c r="AB173" i="11" s="1"/>
  <c r="AQ176" i="11"/>
  <c r="AR176" i="11" s="1"/>
  <c r="AO177" i="11"/>
  <c r="AP177" i="11" s="1"/>
  <c r="AO183" i="11"/>
  <c r="AP183" i="11" s="1"/>
  <c r="AD186" i="11"/>
  <c r="AF186" i="11" s="1"/>
  <c r="AE186" i="11" s="1"/>
  <c r="AQ187" i="11"/>
  <c r="AR187" i="11" s="1"/>
  <c r="AO190" i="11"/>
  <c r="AP190" i="11" s="1"/>
  <c r="T203" i="11"/>
  <c r="O219" i="11"/>
  <c r="Z219" i="11"/>
  <c r="AM224" i="11"/>
  <c r="Y229" i="11"/>
  <c r="Y228" i="11" s="1"/>
  <c r="Y219" i="11" s="1"/>
  <c r="AM232" i="11"/>
  <c r="J236" i="11"/>
  <c r="M238" i="11"/>
  <c r="M237" i="11" s="1"/>
  <c r="AA241" i="11"/>
  <c r="AA238" i="11" s="1"/>
  <c r="AA237" i="11" s="1"/>
  <c r="L238" i="11"/>
  <c r="L237" i="11" s="1"/>
  <c r="L236" i="11" s="1"/>
  <c r="L20" i="11" s="1"/>
  <c r="L18" i="11" s="1"/>
  <c r="AC242" i="11"/>
  <c r="AC245" i="11"/>
  <c r="AK245" i="11"/>
  <c r="AC246" i="11"/>
  <c r="AC248" i="11"/>
  <c r="AK248" i="11"/>
  <c r="AC249" i="11"/>
  <c r="AC250" i="11"/>
  <c r="AK250" i="11"/>
  <c r="AC251" i="11"/>
  <c r="S244" i="11"/>
  <c r="S243" i="11" s="1"/>
  <c r="Y244" i="11"/>
  <c r="Y243" i="11" s="1"/>
  <c r="Y236" i="11" s="1"/>
  <c r="AD252" i="11"/>
  <c r="AK252" i="11"/>
  <c r="AC254" i="11"/>
  <c r="AK254" i="11"/>
  <c r="AM255" i="11"/>
  <c r="AM257" i="11"/>
  <c r="AC258" i="11"/>
  <c r="AD259" i="11"/>
  <c r="AK259" i="11"/>
  <c r="AC260" i="11"/>
  <c r="AR268" i="11"/>
  <c r="AF273" i="11"/>
  <c r="AE273" i="11" s="1"/>
  <c r="AC275" i="11"/>
  <c r="AK275" i="11"/>
  <c r="AF277" i="11"/>
  <c r="AE277" i="11" s="1"/>
  <c r="AC278" i="11"/>
  <c r="AC279" i="11"/>
  <c r="AK279" i="11"/>
  <c r="K283" i="11"/>
  <c r="K282" i="11" s="1"/>
  <c r="K281" i="11" s="1"/>
  <c r="AD289" i="11"/>
  <c r="AK289" i="11"/>
  <c r="AH290" i="11"/>
  <c r="AH281" i="11" s="1"/>
  <c r="AK293" i="11"/>
  <c r="AA294" i="11"/>
  <c r="AC294" i="11" s="1"/>
  <c r="G291" i="11"/>
  <c r="G290" i="11" s="1"/>
  <c r="G281" i="11" s="1"/>
  <c r="AF310" i="11"/>
  <c r="AE310" i="11" s="1"/>
  <c r="I290" i="11"/>
  <c r="Y290" i="11"/>
  <c r="Y281" i="11" s="1"/>
  <c r="AG290" i="11"/>
  <c r="AM314" i="11"/>
  <c r="Q321" i="11"/>
  <c r="AD321" i="11"/>
  <c r="S318" i="11"/>
  <c r="S317" i="11" s="1"/>
  <c r="AJ329" i="11"/>
  <c r="H326" i="11"/>
  <c r="H325" i="11" s="1"/>
  <c r="AK332" i="11"/>
  <c r="AQ332" i="11"/>
  <c r="AR332" i="11" s="1"/>
  <c r="AD334" i="11"/>
  <c r="AJ335" i="11"/>
  <c r="AD336" i="11"/>
  <c r="AK339" i="11"/>
  <c r="AQ339" i="11"/>
  <c r="AR339" i="11" s="1"/>
  <c r="AD341" i="11"/>
  <c r="AJ344" i="11"/>
  <c r="AF345" i="11"/>
  <c r="AE345" i="11" s="1"/>
  <c r="AK347" i="11"/>
  <c r="AQ347" i="11"/>
  <c r="AR347" i="11" s="1"/>
  <c r="AD349" i="11"/>
  <c r="AD353" i="11"/>
  <c r="AD361" i="11"/>
  <c r="AD367" i="11"/>
  <c r="AK367" i="11"/>
  <c r="AK369" i="11"/>
  <c r="AM377" i="11"/>
  <c r="AA18" i="9"/>
  <c r="W27" i="9"/>
  <c r="W26" i="9" s="1"/>
  <c r="U19" i="9"/>
  <c r="AJ49" i="9"/>
  <c r="T63" i="9"/>
  <c r="T64" i="9"/>
  <c r="T65" i="9"/>
  <c r="T66" i="9"/>
  <c r="T67" i="9"/>
  <c r="T68" i="9"/>
  <c r="T69" i="9"/>
  <c r="T70" i="9"/>
  <c r="T71" i="9"/>
  <c r="T86" i="9"/>
  <c r="T87" i="9"/>
  <c r="T110" i="9"/>
  <c r="H109" i="9"/>
  <c r="H108" i="9" s="1"/>
  <c r="L109" i="9"/>
  <c r="L108" i="9" s="1"/>
  <c r="L107" i="9" s="1"/>
  <c r="L18" i="9" s="1"/>
  <c r="U109" i="9"/>
  <c r="U108" i="9" s="1"/>
  <c r="U107" i="9" s="1"/>
  <c r="Y107" i="9"/>
  <c r="AC107" i="9"/>
  <c r="AG107" i="9"/>
  <c r="T117" i="9"/>
  <c r="T116" i="9" s="1"/>
  <c r="R133" i="9"/>
  <c r="H117" i="9"/>
  <c r="H116" i="9" s="1"/>
  <c r="H107" i="9" s="1"/>
  <c r="G117" i="9"/>
  <c r="G116" i="9" s="1"/>
  <c r="G107" i="9" s="1"/>
  <c r="W139" i="9"/>
  <c r="W138" i="9" s="1"/>
  <c r="W137" i="9" s="1"/>
  <c r="Q144" i="9"/>
  <c r="Q149" i="9"/>
  <c r="Q152" i="9"/>
  <c r="Q154" i="9"/>
  <c r="U139" i="9"/>
  <c r="U138" i="9" s="1"/>
  <c r="U137" i="9" s="1"/>
  <c r="Q160" i="9"/>
  <c r="Q165" i="9"/>
  <c r="Q167" i="9"/>
  <c r="Q169" i="9"/>
  <c r="Q171" i="9"/>
  <c r="Q173" i="9"/>
  <c r="Q175" i="9"/>
  <c r="Q180" i="9"/>
  <c r="Q182" i="9"/>
  <c r="Q255" i="9"/>
  <c r="T248" i="9"/>
  <c r="T247" i="9" s="1"/>
  <c r="T246" i="9" s="1"/>
  <c r="M302" i="9"/>
  <c r="Q304" i="9"/>
  <c r="Q302" i="9" s="1"/>
  <c r="U302" i="9"/>
  <c r="R315" i="9"/>
  <c r="Q319" i="9"/>
  <c r="Q318" i="9" s="1"/>
  <c r="N325" i="9"/>
  <c r="N324" i="9" s="1"/>
  <c r="N317" i="9" s="1"/>
  <c r="P325" i="9"/>
  <c r="P324" i="9" s="1"/>
  <c r="P317" i="9" s="1"/>
  <c r="R328" i="9"/>
  <c r="O331" i="9"/>
  <c r="O332" i="9"/>
  <c r="Q332" i="9" s="1"/>
  <c r="Y335" i="9"/>
  <c r="Y334" i="9" s="1"/>
  <c r="Y333" i="9" s="1"/>
  <c r="R343" i="9"/>
  <c r="T345" i="9"/>
  <c r="I349" i="9"/>
  <c r="AJ357" i="9"/>
  <c r="T357" i="9"/>
  <c r="Y378" i="9"/>
  <c r="G411" i="9"/>
  <c r="G316" i="9" s="1"/>
  <c r="Q440" i="9"/>
  <c r="Q376" i="9"/>
  <c r="R394" i="9"/>
  <c r="R419" i="9"/>
  <c r="R411" i="9" s="1"/>
  <c r="Q433" i="9"/>
  <c r="Q432" i="9" s="1"/>
  <c r="R498" i="9"/>
  <c r="R21" i="3"/>
  <c r="V20" i="3"/>
  <c r="V18" i="3" s="1"/>
  <c r="M21" i="3"/>
  <c r="W20" i="3"/>
  <c r="W18" i="3" s="1"/>
  <c r="J20" i="3"/>
  <c r="J18" i="3" s="1"/>
  <c r="AA23" i="3"/>
  <c r="AA22" i="3" s="1"/>
  <c r="AA33" i="3"/>
  <c r="AA32" i="3" s="1"/>
  <c r="AC35" i="3"/>
  <c r="AC38" i="3"/>
  <c r="AH50" i="3"/>
  <c r="AG50" i="3" s="1"/>
  <c r="K59" i="3"/>
  <c r="AG138" i="3"/>
  <c r="AG126" i="3" s="1"/>
  <c r="AG158" i="3"/>
  <c r="AA202" i="3"/>
  <c r="AA201" i="3" s="1"/>
  <c r="AA194" i="3" s="1"/>
  <c r="K219" i="3"/>
  <c r="Y236" i="3"/>
  <c r="AM246" i="3"/>
  <c r="AK246" i="3"/>
  <c r="AC255" i="3"/>
  <c r="AM258" i="3"/>
  <c r="AK258" i="3"/>
  <c r="AM260" i="3"/>
  <c r="AK260" i="3"/>
  <c r="AG281" i="3"/>
  <c r="AJ282" i="3"/>
  <c r="AF287" i="3"/>
  <c r="AE287" i="3" s="1"/>
  <c r="AB283" i="3"/>
  <c r="AB282" i="3" s="1"/>
  <c r="AB281" i="3" s="1"/>
  <c r="AM292" i="3"/>
  <c r="AK292" i="3"/>
  <c r="AU314" i="3"/>
  <c r="AV314" i="3" s="1"/>
  <c r="R313" i="3"/>
  <c r="AH313" i="3"/>
  <c r="AH290" i="3" s="1"/>
  <c r="AH281" i="3" s="1"/>
  <c r="AS321" i="3"/>
  <c r="AT321" i="3" s="1"/>
  <c r="Q318" i="3"/>
  <c r="Q317" i="3" s="1"/>
  <c r="Q316" i="3" s="1"/>
  <c r="AA321" i="3"/>
  <c r="AC321" i="3" s="1"/>
  <c r="U318" i="3"/>
  <c r="U317" i="3" s="1"/>
  <c r="U316" i="3" s="1"/>
  <c r="AQ322" i="3"/>
  <c r="AR322" i="3" s="1"/>
  <c r="N318" i="3"/>
  <c r="N317" i="3" s="1"/>
  <c r="AQ329" i="3"/>
  <c r="AR329" i="3" s="1"/>
  <c r="N326" i="3"/>
  <c r="N325" i="3" s="1"/>
  <c r="AM353" i="3"/>
  <c r="AK353" i="3"/>
  <c r="AM361" i="3"/>
  <c r="AK361" i="3"/>
  <c r="AM377" i="3"/>
  <c r="AK377" i="3"/>
  <c r="AB18" i="5"/>
  <c r="AF18" i="5"/>
  <c r="AH20" i="5"/>
  <c r="AH21" i="5"/>
  <c r="AH28" i="5"/>
  <c r="AH32" i="5"/>
  <c r="N27" i="5"/>
  <c r="N26" i="5" s="1"/>
  <c r="N19" i="5" s="1"/>
  <c r="AH77" i="5"/>
  <c r="R77" i="5"/>
  <c r="AH109" i="5"/>
  <c r="T108" i="5"/>
  <c r="AH108" i="5" s="1"/>
  <c r="AH138" i="5"/>
  <c r="T137" i="5"/>
  <c r="AH137" i="5" s="1"/>
  <c r="AH335" i="5"/>
  <c r="T334" i="5"/>
  <c r="AH350" i="5"/>
  <c r="AJ349" i="5"/>
  <c r="T431" i="5"/>
  <c r="R342" i="9"/>
  <c r="T349" i="9"/>
  <c r="K349" i="9"/>
  <c r="Q355" i="9"/>
  <c r="Q356" i="9"/>
  <c r="AJ358" i="9"/>
  <c r="Q360" i="9"/>
  <c r="Q361" i="9"/>
  <c r="Q364" i="9"/>
  <c r="Q365" i="9"/>
  <c r="N378" i="9"/>
  <c r="S381" i="9"/>
  <c r="S382" i="9"/>
  <c r="Q380" i="9"/>
  <c r="Q379" i="9" s="1"/>
  <c r="R384" i="9"/>
  <c r="P386" i="9"/>
  <c r="P385" i="9" s="1"/>
  <c r="P378" i="9" s="1"/>
  <c r="O392" i="9"/>
  <c r="R392" i="9"/>
  <c r="R396" i="9"/>
  <c r="U396" i="9"/>
  <c r="U385" i="9" s="1"/>
  <c r="U378" i="9" s="1"/>
  <c r="M400" i="9"/>
  <c r="M399" i="9" s="1"/>
  <c r="M398" i="9" s="1"/>
  <c r="O400" i="9"/>
  <c r="O399" i="9" s="1"/>
  <c r="O398" i="9" s="1"/>
  <c r="R400" i="9"/>
  <c r="R399" i="9" s="1"/>
  <c r="R398" i="9" s="1"/>
  <c r="K413" i="9"/>
  <c r="K412" i="9" s="1"/>
  <c r="K411" i="9" s="1"/>
  <c r="S415" i="9"/>
  <c r="Q413" i="9"/>
  <c r="Q412" i="9" s="1"/>
  <c r="J413" i="9"/>
  <c r="J412" i="9" s="1"/>
  <c r="J411" i="9" s="1"/>
  <c r="J316" i="9" s="1"/>
  <c r="O420" i="9"/>
  <c r="O419" i="9" s="1"/>
  <c r="O411" i="9" s="1"/>
  <c r="U426" i="9"/>
  <c r="U420" i="9" s="1"/>
  <c r="N428" i="9"/>
  <c r="AJ428" i="9" s="1"/>
  <c r="M433" i="9"/>
  <c r="M432" i="9" s="1"/>
  <c r="N439" i="9"/>
  <c r="AJ439" i="9" s="1"/>
  <c r="M440" i="9"/>
  <c r="M439" i="9" s="1"/>
  <c r="AJ445" i="9"/>
  <c r="Q439" i="9"/>
  <c r="AJ460" i="9"/>
  <c r="S461" i="9"/>
  <c r="S462" i="9"/>
  <c r="M466" i="9"/>
  <c r="M465" i="9" s="1"/>
  <c r="M458" i="9" s="1"/>
  <c r="N479" i="9"/>
  <c r="M480" i="9"/>
  <c r="M479" i="9" s="1"/>
  <c r="O480" i="9"/>
  <c r="O479" i="9" s="1"/>
  <c r="S482" i="9"/>
  <c r="M489" i="9"/>
  <c r="M488" i="9" s="1"/>
  <c r="Q493" i="9"/>
  <c r="Q489" i="9" s="1"/>
  <c r="Q488" i="9" s="1"/>
  <c r="Q478" i="9" s="1"/>
  <c r="Q495" i="9"/>
  <c r="T489" i="9"/>
  <c r="T488" i="9" s="1"/>
  <c r="T478" i="9" s="1"/>
  <c r="O498" i="9"/>
  <c r="Q498" i="9" s="1"/>
  <c r="E14" i="6"/>
  <c r="E12" i="6" s="1"/>
  <c r="E11" i="6" s="1"/>
  <c r="J24" i="6"/>
  <c r="Q24" i="6" s="1"/>
  <c r="Q25" i="6"/>
  <c r="F25" i="6"/>
  <c r="S19" i="3"/>
  <c r="X20" i="3"/>
  <c r="X18" i="3" s="1"/>
  <c r="L23" i="3"/>
  <c r="L22" i="3" s="1"/>
  <c r="L21" i="3" s="1"/>
  <c r="AV26" i="3"/>
  <c r="AK29" i="3"/>
  <c r="P32" i="3"/>
  <c r="O33" i="3"/>
  <c r="T33" i="3"/>
  <c r="AJ33" i="3" s="1"/>
  <c r="AK34" i="3"/>
  <c r="S39" i="3"/>
  <c r="S33" i="3" s="1"/>
  <c r="AK44" i="3"/>
  <c r="AK45" i="3"/>
  <c r="G46" i="3"/>
  <c r="G32" i="3" s="1"/>
  <c r="G21" i="3" s="1"/>
  <c r="S48" i="3"/>
  <c r="AC48" i="3"/>
  <c r="S54" i="3"/>
  <c r="AC54" i="3"/>
  <c r="AR56" i="3"/>
  <c r="AH57" i="3"/>
  <c r="AG57" i="3" s="1"/>
  <c r="O61" i="3"/>
  <c r="O60" i="3" s="1"/>
  <c r="U61" i="3"/>
  <c r="U60" i="3" s="1"/>
  <c r="U59" i="3" s="1"/>
  <c r="AB61" i="3"/>
  <c r="AB60" i="3" s="1"/>
  <c r="U63" i="3"/>
  <c r="AB63" i="3"/>
  <c r="AJ64" i="3"/>
  <c r="AK64" i="3" s="1"/>
  <c r="AK72" i="3"/>
  <c r="AK77" i="3"/>
  <c r="AK78" i="3"/>
  <c r="AK79" i="3"/>
  <c r="AK81" i="3"/>
  <c r="AK85" i="3"/>
  <c r="AK89" i="3"/>
  <c r="AK90" i="3"/>
  <c r="AK91" i="3"/>
  <c r="AK92" i="3"/>
  <c r="Y94" i="3"/>
  <c r="AA94" i="3" s="1"/>
  <c r="AC94" i="3" s="1"/>
  <c r="Y95" i="3"/>
  <c r="AA95" i="3" s="1"/>
  <c r="AC95" i="3" s="1"/>
  <c r="AK96" i="3"/>
  <c r="AK98" i="3"/>
  <c r="AK101" i="3"/>
  <c r="AD107" i="3"/>
  <c r="AF107" i="3" s="1"/>
  <c r="AE107" i="3" s="1"/>
  <c r="AK107" i="3"/>
  <c r="AK108" i="3"/>
  <c r="AK111" i="3"/>
  <c r="AC112" i="3"/>
  <c r="AK112" i="3"/>
  <c r="AK122" i="3"/>
  <c r="AJ124" i="3"/>
  <c r="AJ125" i="3"/>
  <c r="AK125" i="3" s="1"/>
  <c r="P128" i="3"/>
  <c r="P127" i="3" s="1"/>
  <c r="AA128" i="3"/>
  <c r="AA127" i="3" s="1"/>
  <c r="P139" i="3"/>
  <c r="AB139" i="3"/>
  <c r="AB138" i="3" s="1"/>
  <c r="AB126" i="3" s="1"/>
  <c r="AA142" i="3"/>
  <c r="AA139" i="3" s="1"/>
  <c r="AK146" i="3"/>
  <c r="S139" i="3"/>
  <c r="AK152" i="3"/>
  <c r="G155" i="3"/>
  <c r="G138" i="3" s="1"/>
  <c r="G126" i="3" s="1"/>
  <c r="O155" i="3"/>
  <c r="AA156" i="3"/>
  <c r="AA155" i="3" s="1"/>
  <c r="AK156" i="3"/>
  <c r="P159" i="3"/>
  <c r="O160" i="3"/>
  <c r="O159" i="3" s="1"/>
  <c r="U160" i="3"/>
  <c r="U159" i="3" s="1"/>
  <c r="AB160" i="3"/>
  <c r="AB159" i="3" s="1"/>
  <c r="AK163" i="3"/>
  <c r="N168" i="3"/>
  <c r="N167" i="3" s="1"/>
  <c r="N158" i="3" s="1"/>
  <c r="P168" i="3"/>
  <c r="P167" i="3" s="1"/>
  <c r="AJ167" i="3" s="1"/>
  <c r="AA169" i="3"/>
  <c r="AA172" i="3"/>
  <c r="AC172" i="3" s="1"/>
  <c r="AA178" i="3"/>
  <c r="AC178" i="3" s="1"/>
  <c r="AR186" i="3"/>
  <c r="Q188" i="3"/>
  <c r="AS188" i="3" s="1"/>
  <c r="AT188" i="3" s="1"/>
  <c r="O196" i="3"/>
  <c r="O195" i="3" s="1"/>
  <c r="U196" i="3"/>
  <c r="U195" i="3" s="1"/>
  <c r="U194" i="3" s="1"/>
  <c r="AK199" i="3"/>
  <c r="AK204" i="3"/>
  <c r="AK205" i="3"/>
  <c r="AK211" i="3"/>
  <c r="AK214" i="3"/>
  <c r="P220" i="3"/>
  <c r="I221" i="3"/>
  <c r="I220" i="3" s="1"/>
  <c r="I219" i="3" s="1"/>
  <c r="L219" i="3"/>
  <c r="AA224" i="3"/>
  <c r="AA221" i="3" s="1"/>
  <c r="AA220" i="3" s="1"/>
  <c r="AA219" i="3" s="1"/>
  <c r="AM242" i="3"/>
  <c r="AK242" i="3"/>
  <c r="AM245" i="3"/>
  <c r="AK245" i="3"/>
  <c r="AU247" i="3"/>
  <c r="AV247" i="3" s="1"/>
  <c r="AV383" i="3" s="1"/>
  <c r="AB251" i="3"/>
  <c r="Z244" i="3"/>
  <c r="Z243" i="3" s="1"/>
  <c r="Z236" i="3" s="1"/>
  <c r="AM251" i="3"/>
  <c r="AK251" i="3"/>
  <c r="AC254" i="3"/>
  <c r="AM259" i="3"/>
  <c r="AK259" i="3"/>
  <c r="AM264" i="3"/>
  <c r="AK264" i="3"/>
  <c r="AJ268" i="3"/>
  <c r="AM268" i="3" s="1"/>
  <c r="R268" i="3"/>
  <c r="AU268" i="3" s="1"/>
  <c r="AV268" i="3" s="1"/>
  <c r="P244" i="3"/>
  <c r="M269" i="3"/>
  <c r="M243" i="3" s="1"/>
  <c r="M236" i="3" s="1"/>
  <c r="AM271" i="3"/>
  <c r="AK271" i="3"/>
  <c r="N283" i="3"/>
  <c r="N282" i="3" s="1"/>
  <c r="N281" i="3" s="1"/>
  <c r="AJ283" i="3"/>
  <c r="R283" i="3"/>
  <c r="R282" i="3" s="1"/>
  <c r="I283" i="3"/>
  <c r="I282" i="3" s="1"/>
  <c r="I281" i="3" s="1"/>
  <c r="AA286" i="3"/>
  <c r="AC286" i="3" s="1"/>
  <c r="AC283" i="3" s="1"/>
  <c r="AC282" i="3" s="1"/>
  <c r="U283" i="3"/>
  <c r="U282" i="3" s="1"/>
  <c r="U281" i="3" s="1"/>
  <c r="R291" i="3"/>
  <c r="R290" i="3" s="1"/>
  <c r="S293" i="3"/>
  <c r="S291" i="3" s="1"/>
  <c r="S290" i="3" s="1"/>
  <c r="S281" i="3" s="1"/>
  <c r="T291" i="3"/>
  <c r="T290" i="3" s="1"/>
  <c r="T281" i="3" s="1"/>
  <c r="AJ281" i="3" s="1"/>
  <c r="AM296" i="3"/>
  <c r="AK296" i="3"/>
  <c r="AM298" i="3"/>
  <c r="AK298" i="3"/>
  <c r="AA313" i="3"/>
  <c r="AJ317" i="3"/>
  <c r="AJ318" i="3"/>
  <c r="P326" i="3"/>
  <c r="AM357" i="3"/>
  <c r="AK357" i="3"/>
  <c r="AM375" i="3"/>
  <c r="AK375" i="3"/>
  <c r="AH30" i="5"/>
  <c r="AH34" i="5"/>
  <c r="AH48" i="5"/>
  <c r="P27" i="5"/>
  <c r="P26" i="5" s="1"/>
  <c r="P19" i="5" s="1"/>
  <c r="P18" i="5" s="1"/>
  <c r="H53" i="5"/>
  <c r="G27" i="5"/>
  <c r="G26" i="5" s="1"/>
  <c r="G19" i="5" s="1"/>
  <c r="G18" i="5" s="1"/>
  <c r="AH53" i="5"/>
  <c r="R53" i="5"/>
  <c r="AH59" i="5"/>
  <c r="AH61" i="5"/>
  <c r="AH73" i="5"/>
  <c r="R73" i="5"/>
  <c r="AH83" i="5"/>
  <c r="R83" i="5"/>
  <c r="O117" i="5"/>
  <c r="O116" i="5" s="1"/>
  <c r="O107" i="5" s="1"/>
  <c r="AH319" i="5"/>
  <c r="AH327" i="5"/>
  <c r="R327" i="5"/>
  <c r="P325" i="5"/>
  <c r="P324" i="5" s="1"/>
  <c r="P317" i="5" s="1"/>
  <c r="AC249" i="3"/>
  <c r="AA250" i="3"/>
  <c r="AC250" i="3" s="1"/>
  <c r="AH236" i="3"/>
  <c r="AG236" i="3"/>
  <c r="Y281" i="3"/>
  <c r="AA289" i="3"/>
  <c r="AC289" i="3" s="1"/>
  <c r="AC293" i="3"/>
  <c r="AA298" i="3"/>
  <c r="AA301" i="3"/>
  <c r="AC301" i="3" s="1"/>
  <c r="AJ302" i="3"/>
  <c r="AA302" i="3"/>
  <c r="AC302" i="3" s="1"/>
  <c r="AC313" i="3"/>
  <c r="AA323" i="3"/>
  <c r="AC323" i="3" s="1"/>
  <c r="AJ329" i="3"/>
  <c r="AJ331" i="3"/>
  <c r="AM331" i="3" s="1"/>
  <c r="AJ333" i="3"/>
  <c r="AJ335" i="3"/>
  <c r="AM335" i="3" s="1"/>
  <c r="AJ379" i="3"/>
  <c r="AR379" i="3"/>
  <c r="AH29" i="5"/>
  <c r="AH31" i="5"/>
  <c r="AH33" i="5"/>
  <c r="AH102" i="5"/>
  <c r="AH139" i="5"/>
  <c r="S139" i="5"/>
  <c r="S138" i="5" s="1"/>
  <c r="S137" i="5" s="1"/>
  <c r="W139" i="5"/>
  <c r="W138" i="5" s="1"/>
  <c r="W137" i="5" s="1"/>
  <c r="M248" i="5"/>
  <c r="M247" i="5" s="1"/>
  <c r="M246" i="5" s="1"/>
  <c r="M18" i="5" s="1"/>
  <c r="AH351" i="5"/>
  <c r="I349" i="5"/>
  <c r="T366" i="5"/>
  <c r="O366" i="5"/>
  <c r="N379" i="5"/>
  <c r="AJ379" i="5" s="1"/>
  <c r="AH387" i="5"/>
  <c r="S387" i="5"/>
  <c r="U386" i="5"/>
  <c r="U385" i="5" s="1"/>
  <c r="U378" i="5" s="1"/>
  <c r="P392" i="5"/>
  <c r="P386" i="5" s="1"/>
  <c r="O393" i="5"/>
  <c r="O392" i="5" s="1"/>
  <c r="M392" i="5"/>
  <c r="M386" i="5" s="1"/>
  <c r="M385" i="5" s="1"/>
  <c r="M378" i="5" s="1"/>
  <c r="M316" i="5" s="1"/>
  <c r="O397" i="5"/>
  <c r="O396" i="5" s="1"/>
  <c r="P396" i="5"/>
  <c r="G411" i="5"/>
  <c r="G316" i="5" s="1"/>
  <c r="O411" i="5"/>
  <c r="V411" i="5"/>
  <c r="V316" i="5" s="1"/>
  <c r="V16" i="5" s="1"/>
  <c r="X411" i="5"/>
  <c r="X316" i="5" s="1"/>
  <c r="X16" i="5" s="1"/>
  <c r="P432" i="5"/>
  <c r="P431" i="5" s="1"/>
  <c r="U431" i="5"/>
  <c r="AB335" i="8"/>
  <c r="AB331" i="8"/>
  <c r="M117" i="5"/>
  <c r="M116" i="5" s="1"/>
  <c r="M107" i="5" s="1"/>
  <c r="AH183" i="5"/>
  <c r="AH185" i="5"/>
  <c r="AH187" i="5"/>
  <c r="AH189" i="5"/>
  <c r="AH191" i="5"/>
  <c r="AH194" i="5"/>
  <c r="AH196" i="5"/>
  <c r="AH198" i="5"/>
  <c r="AH204" i="5"/>
  <c r="AH206" i="5"/>
  <c r="AH208" i="5"/>
  <c r="AH210" i="5"/>
  <c r="AH213" i="5"/>
  <c r="AH215" i="5"/>
  <c r="AH217" i="5"/>
  <c r="AH219" i="5"/>
  <c r="AH221" i="5"/>
  <c r="AH223" i="5"/>
  <c r="AH225" i="5"/>
  <c r="AH227" i="5"/>
  <c r="AH229" i="5"/>
  <c r="AH231" i="5"/>
  <c r="AH233" i="5"/>
  <c r="AH235" i="5"/>
  <c r="AH237" i="5"/>
  <c r="AH238" i="5"/>
  <c r="AH239" i="5"/>
  <c r="AH240" i="5"/>
  <c r="AH243" i="5"/>
  <c r="AH244" i="5"/>
  <c r="AH245" i="5"/>
  <c r="AH376" i="5"/>
  <c r="AJ392" i="5"/>
  <c r="N386" i="5"/>
  <c r="AH420" i="5"/>
  <c r="AH430" i="5"/>
  <c r="T428" i="5"/>
  <c r="AH428" i="5" s="1"/>
  <c r="AA133" i="8"/>
  <c r="AN222" i="8"/>
  <c r="Y216" i="8"/>
  <c r="AN216" i="8" s="1"/>
  <c r="AH439" i="5"/>
  <c r="AH440" i="5"/>
  <c r="AH458" i="5"/>
  <c r="AH459" i="5"/>
  <c r="AH460" i="5"/>
  <c r="AH465" i="5"/>
  <c r="AH466" i="5"/>
  <c r="AH488" i="5"/>
  <c r="AH489" i="5"/>
  <c r="J13" i="14"/>
  <c r="J24" i="14"/>
  <c r="Q24" i="14" s="1"/>
  <c r="E25" i="14"/>
  <c r="U17" i="8"/>
  <c r="Y35" i="8"/>
  <c r="X35" i="8" s="1"/>
  <c r="Y41" i="8"/>
  <c r="AF45" i="8"/>
  <c r="AJ45" i="8"/>
  <c r="Q45" i="8"/>
  <c r="Q44" i="8" s="1"/>
  <c r="U45" i="8"/>
  <c r="U44" i="8" s="1"/>
  <c r="W45" i="8"/>
  <c r="W44" i="8" s="1"/>
  <c r="W16" i="8" s="1"/>
  <c r="O53" i="8"/>
  <c r="O52" i="8" s="1"/>
  <c r="O45" i="8" s="1"/>
  <c r="AC44" i="8"/>
  <c r="R53" i="8"/>
  <c r="R52" i="8" s="1"/>
  <c r="R45" i="8" s="1"/>
  <c r="Z53" i="8"/>
  <c r="Z52" i="8" s="1"/>
  <c r="Z45" i="8" s="1"/>
  <c r="AB53" i="8"/>
  <c r="AB52" i="8" s="1"/>
  <c r="AB45" i="8" s="1"/>
  <c r="X53" i="8"/>
  <c r="S73" i="8"/>
  <c r="S85" i="8"/>
  <c r="S87" i="8"/>
  <c r="AO133" i="8"/>
  <c r="AO134" i="8"/>
  <c r="X136" i="8"/>
  <c r="AM136" i="8"/>
  <c r="AO138" i="8"/>
  <c r="X140" i="8"/>
  <c r="AM140" i="8"/>
  <c r="AO142" i="8"/>
  <c r="X144" i="8"/>
  <c r="AM144" i="8"/>
  <c r="AO146" i="8"/>
  <c r="X148" i="8"/>
  <c r="AM148" i="8"/>
  <c r="AO150" i="8"/>
  <c r="X152" i="8"/>
  <c r="AM152" i="8"/>
  <c r="AO154" i="8"/>
  <c r="X156" i="8"/>
  <c r="AM156" i="8"/>
  <c r="AO158" i="8"/>
  <c r="X160" i="8"/>
  <c r="AM160" i="8"/>
  <c r="X163" i="8"/>
  <c r="AM163" i="8"/>
  <c r="AO165" i="8"/>
  <c r="Y174" i="8"/>
  <c r="AN174" i="8" s="1"/>
  <c r="AM175" i="8"/>
  <c r="K173" i="8"/>
  <c r="K44" i="8" s="1"/>
  <c r="J173" i="8"/>
  <c r="J44" i="8" s="1"/>
  <c r="L173" i="8"/>
  <c r="O183" i="8"/>
  <c r="O182" i="8" s="1"/>
  <c r="O173" i="8" s="1"/>
  <c r="S183" i="8"/>
  <c r="S182" i="8" s="1"/>
  <c r="S173" i="8" s="1"/>
  <c r="X196" i="8"/>
  <c r="AM196" i="8"/>
  <c r="X199" i="8"/>
  <c r="AM199" i="8"/>
  <c r="AO203" i="8"/>
  <c r="X218" i="8"/>
  <c r="AM218" i="8"/>
  <c r="AO220" i="8"/>
  <c r="Y224" i="8"/>
  <c r="AN224" i="8" s="1"/>
  <c r="I225" i="8"/>
  <c r="AO225" i="8" s="1"/>
  <c r="AM225" i="8"/>
  <c r="X327" i="8"/>
  <c r="AM327" i="8"/>
  <c r="X330" i="8"/>
  <c r="AM330" i="8"/>
  <c r="I337" i="8"/>
  <c r="I336" i="8" s="1"/>
  <c r="V337" i="8"/>
  <c r="V336" i="8" s="1"/>
  <c r="V335" i="8" s="1"/>
  <c r="AO391" i="8"/>
  <c r="X392" i="8"/>
  <c r="AM392" i="8"/>
  <c r="AO393" i="8"/>
  <c r="X394" i="8"/>
  <c r="AM394" i="8"/>
  <c r="AO395" i="8"/>
  <c r="AO396" i="8"/>
  <c r="AM396" i="8"/>
  <c r="X397" i="8"/>
  <c r="X396" i="8" s="1"/>
  <c r="AM397" i="8"/>
  <c r="AH478" i="5"/>
  <c r="AH479" i="5"/>
  <c r="AH480" i="5"/>
  <c r="R23" i="14"/>
  <c r="L45" i="8"/>
  <c r="L44" i="8" s="1"/>
  <c r="P45" i="8"/>
  <c r="AD45" i="8"/>
  <c r="AH45" i="8"/>
  <c r="AE44" i="8"/>
  <c r="AG44" i="8"/>
  <c r="AI44" i="8"/>
  <c r="AK44" i="8"/>
  <c r="Z47" i="8"/>
  <c r="Z46" i="8" s="1"/>
  <c r="AA44" i="8"/>
  <c r="T53" i="8"/>
  <c r="T52" i="8" s="1"/>
  <c r="T45" i="8" s="1"/>
  <c r="AO136" i="8"/>
  <c r="AO140" i="8"/>
  <c r="AO144" i="8"/>
  <c r="AO148" i="8"/>
  <c r="AO152" i="8"/>
  <c r="AO156" i="8"/>
  <c r="AO160" i="8"/>
  <c r="AO163" i="8"/>
  <c r="M175" i="8"/>
  <c r="M174" i="8" s="1"/>
  <c r="M173" i="8" s="1"/>
  <c r="M44" i="8" s="1"/>
  <c r="H173" i="8"/>
  <c r="P173" i="8"/>
  <c r="T173" i="8"/>
  <c r="V173" i="8"/>
  <c r="AB133" i="8"/>
  <c r="AD173" i="8"/>
  <c r="AD133" i="8" s="1"/>
  <c r="AF173" i="8"/>
  <c r="AF133" i="8" s="1"/>
  <c r="AH173" i="8"/>
  <c r="AH133" i="8" s="1"/>
  <c r="AJ173" i="8"/>
  <c r="AJ133" i="8" s="1"/>
  <c r="R173" i="8"/>
  <c r="AO199" i="8"/>
  <c r="AO218" i="8"/>
  <c r="P224" i="8"/>
  <c r="P223" i="8" s="1"/>
  <c r="R224" i="8"/>
  <c r="R223" i="8" s="1"/>
  <c r="AO330" i="8"/>
  <c r="AO392" i="8"/>
  <c r="AO394" i="8"/>
  <c r="AO397" i="8"/>
  <c r="P398" i="8"/>
  <c r="N398" i="8"/>
  <c r="T398" i="8"/>
  <c r="AB398" i="8"/>
  <c r="AA413" i="8"/>
  <c r="AC413" i="8"/>
  <c r="AE413" i="8"/>
  <c r="AG413" i="8"/>
  <c r="AI413" i="8"/>
  <c r="AK413" i="8"/>
  <c r="AM422" i="8"/>
  <c r="I430" i="8"/>
  <c r="Y430" i="8"/>
  <c r="X432" i="8"/>
  <c r="AM432" i="8"/>
  <c r="AO433" i="8"/>
  <c r="X434" i="8"/>
  <c r="AM434" i="8"/>
  <c r="X436" i="8"/>
  <c r="AM436" i="8"/>
  <c r="X438" i="8"/>
  <c r="AM438" i="8"/>
  <c r="X440" i="8"/>
  <c r="AM440" i="8"/>
  <c r="X441" i="8"/>
  <c r="AM441" i="8"/>
  <c r="X442" i="8"/>
  <c r="AM444" i="8"/>
  <c r="O446" i="8"/>
  <c r="O445" i="8" s="1"/>
  <c r="O444" i="8" s="1"/>
  <c r="AM446" i="8"/>
  <c r="I463" i="8"/>
  <c r="S464" i="8"/>
  <c r="S463" i="8" s="1"/>
  <c r="Y470" i="8"/>
  <c r="AN470" i="8" s="1"/>
  <c r="AM471" i="8"/>
  <c r="P471" i="8"/>
  <c r="P470" i="8" s="1"/>
  <c r="P462" i="8" s="1"/>
  <c r="S470" i="8"/>
  <c r="AM504" i="8"/>
  <c r="AM510" i="8"/>
  <c r="AN510" i="8"/>
  <c r="H520" i="8"/>
  <c r="H519" i="8" s="1"/>
  <c r="X532" i="8"/>
  <c r="AM532" i="8"/>
  <c r="AO533" i="8"/>
  <c r="X534" i="8"/>
  <c r="AM534" i="8"/>
  <c r="AO535" i="8"/>
  <c r="X536" i="8"/>
  <c r="AM536" i="8"/>
  <c r="Y537" i="8"/>
  <c r="X539" i="8"/>
  <c r="X537" i="8" s="1"/>
  <c r="AM539" i="8"/>
  <c r="AO542" i="8"/>
  <c r="M542" i="8"/>
  <c r="M541" i="8" s="1"/>
  <c r="M540" i="8" s="1"/>
  <c r="T553" i="8"/>
  <c r="T549" i="8" s="1"/>
  <c r="T560" i="8"/>
  <c r="AO586" i="8"/>
  <c r="AO588" i="8"/>
  <c r="AM596" i="8"/>
  <c r="N602" i="8"/>
  <c r="N601" i="8" s="1"/>
  <c r="N594" i="8" s="1"/>
  <c r="AM621" i="8"/>
  <c r="AO622" i="8"/>
  <c r="X623" i="8"/>
  <c r="X621" i="8" s="1"/>
  <c r="AM623" i="8"/>
  <c r="AM626" i="8"/>
  <c r="S635" i="8"/>
  <c r="S634" i="8" s="1"/>
  <c r="R635" i="8"/>
  <c r="R634" i="8" s="1"/>
  <c r="R624" i="8" s="1"/>
  <c r="X644" i="8"/>
  <c r="X648" i="8"/>
  <c r="X656" i="8"/>
  <c r="AN27" i="10"/>
  <c r="AN30" i="10"/>
  <c r="AN33" i="10"/>
  <c r="AN35" i="10"/>
  <c r="AN37" i="10"/>
  <c r="AN39" i="10"/>
  <c r="AD42" i="10"/>
  <c r="AD44" i="10"/>
  <c r="AE44" i="10" s="1"/>
  <c r="AD46" i="10"/>
  <c r="AD48" i="10"/>
  <c r="AE48" i="10" s="1"/>
  <c r="AD50" i="10"/>
  <c r="AD52" i="10"/>
  <c r="AE52" i="10" s="1"/>
  <c r="T414" i="8"/>
  <c r="K413" i="8"/>
  <c r="AO434" i="8"/>
  <c r="S446" i="8"/>
  <c r="S445" i="8" s="1"/>
  <c r="S444" i="8" s="1"/>
  <c r="AO471" i="8"/>
  <c r="T462" i="8"/>
  <c r="H504" i="8"/>
  <c r="H503" i="8" s="1"/>
  <c r="H496" i="8" s="1"/>
  <c r="AM521" i="8"/>
  <c r="AO532" i="8"/>
  <c r="AO534" i="8"/>
  <c r="AO536" i="8"/>
  <c r="AO539" i="8"/>
  <c r="AB561" i="8"/>
  <c r="AM563" i="8"/>
  <c r="V561" i="8"/>
  <c r="X586" i="8"/>
  <c r="AM586" i="8"/>
  <c r="AO587" i="8"/>
  <c r="X588" i="8"/>
  <c r="AM588" i="8"/>
  <c r="AO623" i="8"/>
  <c r="AM625" i="8"/>
  <c r="S626" i="8"/>
  <c r="S625" i="8" s="1"/>
  <c r="AM635" i="8"/>
  <c r="AM649" i="8"/>
  <c r="X650" i="8"/>
  <c r="X653" i="8"/>
  <c r="AK16" i="10"/>
  <c r="AN17" i="10"/>
  <c r="AN18" i="10"/>
  <c r="AA21" i="10"/>
  <c r="AC21" i="10"/>
  <c r="AA23" i="10"/>
  <c r="AC23" i="10"/>
  <c r="AA25" i="10"/>
  <c r="AC25" i="10"/>
  <c r="AB28" i="10"/>
  <c r="AN29" i="10"/>
  <c r="AD34" i="10"/>
  <c r="AD36" i="10"/>
  <c r="AF36" i="10" s="1"/>
  <c r="AD38" i="10"/>
  <c r="AN45" i="10"/>
  <c r="AN47" i="10"/>
  <c r="AN49" i="10"/>
  <c r="AN51" i="10"/>
  <c r="AN53" i="10"/>
  <c r="AN58" i="10"/>
  <c r="AC59" i="10"/>
  <c r="AC60" i="10"/>
  <c r="BD374" i="7"/>
  <c r="BD388" i="7"/>
  <c r="AP189" i="7"/>
  <c r="AP227" i="7"/>
  <c r="AG264" i="7"/>
  <c r="AP264" i="7" s="1"/>
  <c r="BD381" i="7"/>
  <c r="T219" i="7"/>
  <c r="J253" i="7"/>
  <c r="J252" i="7" s="1"/>
  <c r="J251" i="7" s="1"/>
  <c r="I314" i="7"/>
  <c r="I313" i="7" s="1"/>
  <c r="T228" i="7"/>
  <c r="T227" i="7" s="1"/>
  <c r="AV207" i="7"/>
  <c r="AW207" i="7" s="1"/>
  <c r="AV213" i="7"/>
  <c r="AW213" i="7" s="1"/>
  <c r="U217" i="7"/>
  <c r="Y217" i="7" s="1"/>
  <c r="P363" i="7"/>
  <c r="AV385" i="7"/>
  <c r="AW385" i="7" s="1"/>
  <c r="U218" i="7"/>
  <c r="T218" i="7" s="1"/>
  <c r="AV270" i="7"/>
  <c r="AW270" i="7" s="1"/>
  <c r="AV341" i="7"/>
  <c r="AW341" i="7" s="1"/>
  <c r="U362" i="7"/>
  <c r="AV380" i="7"/>
  <c r="AW380" i="7" s="1"/>
  <c r="AV388" i="7"/>
  <c r="AW388" i="7" s="1"/>
  <c r="AV200" i="7"/>
  <c r="AW200" i="7" s="1"/>
  <c r="U202" i="7"/>
  <c r="Y202" i="7" s="1"/>
  <c r="AV336" i="7"/>
  <c r="AW336" i="7" s="1"/>
  <c r="AV383" i="7"/>
  <c r="AW383" i="7" s="1"/>
  <c r="AV391" i="7"/>
  <c r="AW391" i="7" s="1"/>
  <c r="BD310" i="7"/>
  <c r="U81" i="7"/>
  <c r="U80" i="7" s="1"/>
  <c r="N81" i="7"/>
  <c r="N80" i="7" s="1"/>
  <c r="AQ310" i="7"/>
  <c r="BD341" i="7"/>
  <c r="U317" i="7"/>
  <c r="Y317" i="7" s="1"/>
  <c r="U319" i="7"/>
  <c r="Y319" i="7" s="1"/>
  <c r="AV381" i="7"/>
  <c r="AW381" i="7" s="1"/>
  <c r="AV389" i="7"/>
  <c r="AW389" i="7" s="1"/>
  <c r="AV285" i="7"/>
  <c r="AW285" i="7" s="1"/>
  <c r="AV384" i="7"/>
  <c r="AW384" i="7" s="1"/>
  <c r="AV178" i="7"/>
  <c r="AW178" i="7" s="1"/>
  <c r="T209" i="7"/>
  <c r="X209" i="7" s="1"/>
  <c r="P296" i="7"/>
  <c r="AV318" i="7"/>
  <c r="AW318" i="7" s="1"/>
  <c r="AV382" i="7"/>
  <c r="AW382" i="7" s="1"/>
  <c r="AV390" i="7"/>
  <c r="AW390" i="7" s="1"/>
  <c r="AV421" i="7"/>
  <c r="AW421" i="7" s="1"/>
  <c r="K253" i="7"/>
  <c r="K252" i="7" s="1"/>
  <c r="K251" i="7" s="1"/>
  <c r="V219" i="7"/>
  <c r="Y253" i="7"/>
  <c r="Y252" i="7" s="1"/>
  <c r="X298" i="7"/>
  <c r="Y430" i="7"/>
  <c r="AQ430" i="7" s="1"/>
  <c r="P341" i="7"/>
  <c r="G23" i="15"/>
  <c r="X151" i="7"/>
  <c r="J359" i="7"/>
  <c r="J358" i="7" s="1"/>
  <c r="J357" i="7" s="1"/>
  <c r="Q14" i="6"/>
  <c r="R14" i="6" s="1"/>
  <c r="I14" i="6"/>
  <c r="I12" i="6" s="1"/>
  <c r="I11" i="6" s="1"/>
  <c r="I14" i="14"/>
  <c r="I12" i="14" s="1"/>
  <c r="I11" i="14" s="1"/>
  <c r="E14" i="14"/>
  <c r="E12" i="14" s="1"/>
  <c r="D25" i="6"/>
  <c r="R21" i="14"/>
  <c r="D14" i="13"/>
  <c r="D12" i="13" s="1"/>
  <c r="D26" i="13"/>
  <c r="E14" i="13"/>
  <c r="E12" i="13" s="1"/>
  <c r="E11" i="13" s="1"/>
  <c r="H14" i="13"/>
  <c r="H12" i="13" s="1"/>
  <c r="H11" i="13" s="1"/>
  <c r="F26" i="13"/>
  <c r="G28" i="13"/>
  <c r="G26" i="13" s="1"/>
  <c r="G14" i="6"/>
  <c r="G12" i="6" s="1"/>
  <c r="G11" i="6" s="1"/>
  <c r="D14" i="14"/>
  <c r="D12" i="14" s="1"/>
  <c r="R19" i="6"/>
  <c r="F14" i="14"/>
  <c r="F12" i="14" s="1"/>
  <c r="F11" i="14" s="1"/>
  <c r="D14" i="6"/>
  <c r="D12" i="6" s="1"/>
  <c r="D11" i="6" s="1"/>
  <c r="R19" i="14"/>
  <c r="D25" i="14"/>
  <c r="I14" i="13"/>
  <c r="I12" i="13" s="1"/>
  <c r="I11" i="13" s="1"/>
  <c r="P190" i="7"/>
  <c r="P189" i="7" s="1"/>
  <c r="U219" i="7"/>
  <c r="AQ224" i="7"/>
  <c r="BD420" i="7"/>
  <c r="F14" i="6"/>
  <c r="F12" i="6" s="1"/>
  <c r="F11" i="6" s="1"/>
  <c r="G14" i="14"/>
  <c r="G12" i="14" s="1"/>
  <c r="G11" i="14" s="1"/>
  <c r="R15" i="6"/>
  <c r="R22" i="14"/>
  <c r="H14" i="6"/>
  <c r="H12" i="6" s="1"/>
  <c r="H11" i="6" s="1"/>
  <c r="R18" i="6"/>
  <c r="H14" i="14"/>
  <c r="H12" i="14" s="1"/>
  <c r="H11" i="14" s="1"/>
  <c r="R18" i="14"/>
  <c r="R22" i="6"/>
  <c r="R23" i="6"/>
  <c r="R20" i="14"/>
  <c r="J79" i="7"/>
  <c r="U167" i="7"/>
  <c r="U166" i="7" s="1"/>
  <c r="T81" i="7"/>
  <c r="T80" i="7" s="1"/>
  <c r="T184" i="7"/>
  <c r="W265" i="7"/>
  <c r="X434" i="7"/>
  <c r="M81" i="7"/>
  <c r="M80" i="7" s="1"/>
  <c r="M79" i="7" s="1"/>
  <c r="X224" i="7"/>
  <c r="H341" i="7"/>
  <c r="H322" i="7" s="1"/>
  <c r="F14" i="13"/>
  <c r="F12" i="13" s="1"/>
  <c r="G15" i="13"/>
  <c r="G14" i="13" s="1"/>
  <c r="G12" i="13" s="1"/>
  <c r="BD57" i="7"/>
  <c r="BD129" i="7"/>
  <c r="H129" i="7"/>
  <c r="H96" i="7" s="1"/>
  <c r="AX152" i="7"/>
  <c r="AY152" i="7" s="1"/>
  <c r="N152" i="7"/>
  <c r="N149" i="7" s="1"/>
  <c r="R184" i="7"/>
  <c r="R166" i="7" s="1"/>
  <c r="R154" i="7" s="1"/>
  <c r="AY72" i="7"/>
  <c r="V166" i="7"/>
  <c r="V154" i="7" s="1"/>
  <c r="M228" i="7"/>
  <c r="M227" i="7" s="1"/>
  <c r="M226" i="7" s="1"/>
  <c r="X256" i="7"/>
  <c r="T258" i="7"/>
  <c r="T257" i="7" s="1"/>
  <c r="T251" i="7" s="1"/>
  <c r="U270" i="7"/>
  <c r="T270" i="7" s="1"/>
  <c r="R270" i="7" s="1"/>
  <c r="AT292" i="7"/>
  <c r="BD326" i="7"/>
  <c r="AV340" i="7"/>
  <c r="AW340" i="7" s="1"/>
  <c r="O359" i="7"/>
  <c r="O358" i="7" s="1"/>
  <c r="N362" i="7"/>
  <c r="BD363" i="7"/>
  <c r="AG47" i="11"/>
  <c r="AF77" i="11"/>
  <c r="AE77" i="11" s="1"/>
  <c r="AD77" i="11"/>
  <c r="AF81" i="11"/>
  <c r="AE81" i="11" s="1"/>
  <c r="AD81" i="11"/>
  <c r="AF87" i="11"/>
  <c r="AE87" i="11" s="1"/>
  <c r="AD87" i="11"/>
  <c r="AF94" i="11"/>
  <c r="AE94" i="11" s="1"/>
  <c r="AD94" i="11"/>
  <c r="AM125" i="11"/>
  <c r="AK125" i="11"/>
  <c r="AK169" i="11"/>
  <c r="AM169" i="11"/>
  <c r="AQ185" i="11"/>
  <c r="AR185" i="11" s="1"/>
  <c r="P185" i="11"/>
  <c r="AK191" i="11"/>
  <c r="AM191" i="11"/>
  <c r="AE203" i="11"/>
  <c r="AE286" i="11"/>
  <c r="AE283" i="11" s="1"/>
  <c r="AE282" i="11" s="1"/>
  <c r="AF283" i="11"/>
  <c r="AF282" i="11" s="1"/>
  <c r="AE321" i="11"/>
  <c r="AE318" i="11" s="1"/>
  <c r="AE317" i="11" s="1"/>
  <c r="AF318" i="11"/>
  <c r="AF317" i="11" s="1"/>
  <c r="AC378" i="11"/>
  <c r="O326" i="11"/>
  <c r="O325" i="11" s="1"/>
  <c r="S378" i="11"/>
  <c r="AF23" i="11"/>
  <c r="AF22" i="11" s="1"/>
  <c r="AE26" i="11"/>
  <c r="AE23" i="11" s="1"/>
  <c r="AE22" i="11" s="1"/>
  <c r="AA23" i="11"/>
  <c r="AA22" i="11" s="1"/>
  <c r="AA21" i="11" s="1"/>
  <c r="M21" i="11"/>
  <c r="AC31" i="11"/>
  <c r="AE35" i="11"/>
  <c r="AC36" i="11"/>
  <c r="AH56" i="11"/>
  <c r="AG56" i="11" s="1"/>
  <c r="S59" i="11"/>
  <c r="AA63" i="11"/>
  <c r="AA61" i="11"/>
  <c r="AA60" i="11" s="1"/>
  <c r="AE64" i="11"/>
  <c r="AC72" i="11"/>
  <c r="AF76" i="11"/>
  <c r="AD76" i="11"/>
  <c r="AF78" i="11"/>
  <c r="AE78" i="11" s="1"/>
  <c r="AD78" i="11"/>
  <c r="AF79" i="11"/>
  <c r="AE79" i="11" s="1"/>
  <c r="AD79" i="11"/>
  <c r="AF80" i="11"/>
  <c r="AE80" i="11" s="1"/>
  <c r="AD80" i="11"/>
  <c r="AF82" i="11"/>
  <c r="AE82" i="11" s="1"/>
  <c r="AD82" i="11"/>
  <c r="AF84" i="11"/>
  <c r="AE84" i="11" s="1"/>
  <c r="AD84" i="11"/>
  <c r="AC85" i="11"/>
  <c r="AF86" i="11"/>
  <c r="AE86" i="11" s="1"/>
  <c r="AD86" i="11"/>
  <c r="AF88" i="11"/>
  <c r="AE88" i="11" s="1"/>
  <c r="AD88" i="11"/>
  <c r="AF89" i="11"/>
  <c r="AE89" i="11" s="1"/>
  <c r="AD89" i="11"/>
  <c r="AA90" i="11"/>
  <c r="AC90" i="11" s="1"/>
  <c r="AF91" i="11"/>
  <c r="AE91" i="11" s="1"/>
  <c r="AD91" i="11"/>
  <c r="AA92" i="11"/>
  <c r="AC92" i="11" s="1"/>
  <c r="AF93" i="11"/>
  <c r="AE93" i="11" s="1"/>
  <c r="AD93" i="11"/>
  <c r="AF95" i="11"/>
  <c r="AE95" i="11" s="1"/>
  <c r="AD95" i="11"/>
  <c r="AM107" i="11"/>
  <c r="AK107" i="11"/>
  <c r="AJ108" i="11"/>
  <c r="N75" i="11"/>
  <c r="R108" i="11"/>
  <c r="AQ108" i="11"/>
  <c r="AR108" i="11" s="1"/>
  <c r="AP108" i="11"/>
  <c r="AM109" i="11"/>
  <c r="AK109" i="11"/>
  <c r="S126" i="11"/>
  <c r="AC156" i="11"/>
  <c r="AC155" i="11" s="1"/>
  <c r="AC163" i="11"/>
  <c r="AC160" i="11" s="1"/>
  <c r="AC159" i="11" s="1"/>
  <c r="AF173" i="11"/>
  <c r="AE173" i="11" s="1"/>
  <c r="AD173" i="11"/>
  <c r="AK181" i="11"/>
  <c r="AM181" i="11"/>
  <c r="AE199" i="11"/>
  <c r="AE196" i="11" s="1"/>
  <c r="AE195" i="11" s="1"/>
  <c r="AF196" i="11"/>
  <c r="AF195" i="11" s="1"/>
  <c r="J23" i="14"/>
  <c r="L23" i="14" s="1"/>
  <c r="J23" i="6"/>
  <c r="L23" i="6" s="1"/>
  <c r="AD26" i="11"/>
  <c r="AC27" i="11"/>
  <c r="AC23" i="11" s="1"/>
  <c r="AC22" i="11" s="1"/>
  <c r="AM27" i="11"/>
  <c r="AM29" i="11"/>
  <c r="AF31" i="11"/>
  <c r="AE31" i="11" s="1"/>
  <c r="AC35" i="11"/>
  <c r="AC33" i="11" s="1"/>
  <c r="AM35" i="11"/>
  <c r="AD36" i="11"/>
  <c r="AS36" i="11"/>
  <c r="AT36" i="11" s="1"/>
  <c r="AM37" i="11"/>
  <c r="AD38" i="11"/>
  <c r="AM39" i="11"/>
  <c r="AD40" i="11"/>
  <c r="AF40" i="11" s="1"/>
  <c r="AM41" i="11"/>
  <c r="AD42" i="11"/>
  <c r="AF42" i="11" s="1"/>
  <c r="AE42" i="11" s="1"/>
  <c r="AM43" i="11"/>
  <c r="AF44" i="11"/>
  <c r="AE44" i="11" s="1"/>
  <c r="AC47" i="11"/>
  <c r="AC46" i="11" s="1"/>
  <c r="AM47" i="11"/>
  <c r="AM48" i="11"/>
  <c r="AH50" i="11"/>
  <c r="AG50" i="11" s="1"/>
  <c r="AH51" i="11"/>
  <c r="AG51" i="11" s="1"/>
  <c r="AF52" i="11"/>
  <c r="AE52" i="11" s="1"/>
  <c r="AD53" i="11"/>
  <c r="AF53" i="11" s="1"/>
  <c r="AE53" i="11" s="1"/>
  <c r="AD54" i="11"/>
  <c r="AF54" i="11" s="1"/>
  <c r="AE54" i="11" s="1"/>
  <c r="AD55" i="11"/>
  <c r="AF55" i="11" s="1"/>
  <c r="AE55" i="11" s="1"/>
  <c r="AD56" i="11"/>
  <c r="AF56" i="11" s="1"/>
  <c r="AE56" i="11" s="1"/>
  <c r="AO56" i="11"/>
  <c r="AP56" i="11" s="1"/>
  <c r="AM57" i="11"/>
  <c r="AM64" i="11"/>
  <c r="AD72" i="11"/>
  <c r="AS72" i="11"/>
  <c r="AT72" i="11" s="1"/>
  <c r="AF73" i="11"/>
  <c r="AE73" i="11" s="1"/>
  <c r="AF83" i="11"/>
  <c r="AE83" i="11" s="1"/>
  <c r="AB85" i="11"/>
  <c r="AB90" i="11"/>
  <c r="AB92" i="11"/>
  <c r="AD96" i="11"/>
  <c r="AF96" i="11" s="1"/>
  <c r="AE96" i="11" s="1"/>
  <c r="AF98" i="11"/>
  <c r="AE98" i="11" s="1"/>
  <c r="AF99" i="11"/>
  <c r="AE99" i="11" s="1"/>
  <c r="AF101" i="11"/>
  <c r="AE101" i="11" s="1"/>
  <c r="AD104" i="11"/>
  <c r="AF104" i="11" s="1"/>
  <c r="AE104" i="11" s="1"/>
  <c r="AD106" i="11"/>
  <c r="AF106" i="11" s="1"/>
  <c r="AE106" i="11" s="1"/>
  <c r="AQ107" i="11"/>
  <c r="AR107" i="11" s="1"/>
  <c r="AQ109" i="11"/>
  <c r="AR109" i="11" s="1"/>
  <c r="AD110" i="11"/>
  <c r="AF110" i="11" s="1"/>
  <c r="AD112" i="11"/>
  <c r="AF112" i="11" s="1"/>
  <c r="AE112" i="11" s="1"/>
  <c r="AF114" i="11"/>
  <c r="AE114" i="11" s="1"/>
  <c r="AF116" i="11"/>
  <c r="AE116" i="11" s="1"/>
  <c r="AD118" i="11"/>
  <c r="AF118" i="11" s="1"/>
  <c r="AE118" i="11" s="1"/>
  <c r="AQ125" i="11"/>
  <c r="AR125" i="11" s="1"/>
  <c r="AF131" i="11"/>
  <c r="AU131" i="11"/>
  <c r="AV131" i="11" s="1"/>
  <c r="AD132" i="11"/>
  <c r="AM133" i="11"/>
  <c r="R134" i="11"/>
  <c r="AU134" i="11" s="1"/>
  <c r="AV134" i="11" s="1"/>
  <c r="AJ134" i="11"/>
  <c r="AF135" i="11"/>
  <c r="AE135" i="11" s="1"/>
  <c r="AM136" i="11"/>
  <c r="AF140" i="11"/>
  <c r="AD141" i="11"/>
  <c r="AD142" i="11"/>
  <c r="AF143" i="11"/>
  <c r="AE143" i="11" s="1"/>
  <c r="AD144" i="11"/>
  <c r="AF144" i="11" s="1"/>
  <c r="AE144" i="11" s="1"/>
  <c r="AM145" i="11"/>
  <c r="AM148" i="11"/>
  <c r="AF154" i="11"/>
  <c r="AE154" i="11" s="1"/>
  <c r="AF156" i="11"/>
  <c r="AD157" i="11"/>
  <c r="AF157" i="11" s="1"/>
  <c r="AE157" i="11" s="1"/>
  <c r="AF163" i="11"/>
  <c r="AU163" i="11"/>
  <c r="AV163" i="11" s="1"/>
  <c r="AF165" i="11"/>
  <c r="AE165" i="11" s="1"/>
  <c r="AU169" i="11"/>
  <c r="AV169" i="11" s="1"/>
  <c r="AO174" i="11"/>
  <c r="AP174" i="11" s="1"/>
  <c r="T174" i="11"/>
  <c r="O174" i="11"/>
  <c r="S174" i="11" s="1"/>
  <c r="R175" i="11"/>
  <c r="AU175" i="11" s="1"/>
  <c r="AV175" i="11" s="1"/>
  <c r="AQ175" i="11"/>
  <c r="AR175" i="11" s="1"/>
  <c r="AK176" i="11"/>
  <c r="AO178" i="11"/>
  <c r="AP178" i="11" s="1"/>
  <c r="AD178" i="11"/>
  <c r="T178" i="11"/>
  <c r="AJ178" i="11" s="1"/>
  <c r="R179" i="11"/>
  <c r="AU179" i="11" s="1"/>
  <c r="AV179" i="11" s="1"/>
  <c r="AJ182" i="11"/>
  <c r="S183" i="11"/>
  <c r="AC185" i="11"/>
  <c r="AF205" i="11"/>
  <c r="AE205" i="11" s="1"/>
  <c r="AF210" i="11"/>
  <c r="AE210" i="11" s="1"/>
  <c r="AF212" i="11"/>
  <c r="AE212" i="11" s="1"/>
  <c r="AQ213" i="11"/>
  <c r="AR213" i="11" s="1"/>
  <c r="R213" i="11"/>
  <c r="M213" i="11"/>
  <c r="AP213" i="11"/>
  <c r="AE224" i="11"/>
  <c r="AE221" i="11" s="1"/>
  <c r="AE220" i="11" s="1"/>
  <c r="AQ225" i="11"/>
  <c r="AR225" i="11" s="1"/>
  <c r="M225" i="11"/>
  <c r="AF254" i="11"/>
  <c r="AE254" i="11" s="1"/>
  <c r="AO256" i="11"/>
  <c r="AP256" i="11" s="1"/>
  <c r="AD256" i="11"/>
  <c r="O256" i="11"/>
  <c r="AC256" i="11" s="1"/>
  <c r="P244" i="11"/>
  <c r="P243" i="11" s="1"/>
  <c r="AJ283" i="11"/>
  <c r="N282" i="11"/>
  <c r="N290" i="11"/>
  <c r="AF293" i="11"/>
  <c r="AF309" i="11"/>
  <c r="AE309" i="11" s="1"/>
  <c r="AF312" i="11"/>
  <c r="AE312" i="11" s="1"/>
  <c r="AQ322" i="11"/>
  <c r="AR322" i="11" s="1"/>
  <c r="Q322" i="11"/>
  <c r="AS322" i="11" s="1"/>
  <c r="AT322" i="11" s="1"/>
  <c r="M322" i="11"/>
  <c r="M318" i="11" s="1"/>
  <c r="M317" i="11" s="1"/>
  <c r="M316" i="11" s="1"/>
  <c r="AU327" i="11"/>
  <c r="AV327" i="11" s="1"/>
  <c r="AO328" i="11"/>
  <c r="AP328" i="11" s="1"/>
  <c r="AD328" i="11"/>
  <c r="P326" i="11"/>
  <c r="P325" i="11" s="1"/>
  <c r="P316" i="11" s="1"/>
  <c r="AK329" i="11"/>
  <c r="AM329" i="11"/>
  <c r="AJ330" i="11"/>
  <c r="N326" i="11"/>
  <c r="AQ330" i="11"/>
  <c r="AR330" i="11" s="1"/>
  <c r="R330" i="11"/>
  <c r="AU330" i="11" s="1"/>
  <c r="AV330" i="11" s="1"/>
  <c r="AB326" i="11"/>
  <c r="AB325" i="11" s="1"/>
  <c r="AB316" i="11" s="1"/>
  <c r="AD330" i="11"/>
  <c r="AO331" i="11"/>
  <c r="AP331" i="11" s="1"/>
  <c r="AD331" i="11"/>
  <c r="AK370" i="11"/>
  <c r="AM370" i="11"/>
  <c r="AK372" i="11"/>
  <c r="AM372" i="11"/>
  <c r="AK374" i="11"/>
  <c r="AM374" i="11"/>
  <c r="R31" i="9"/>
  <c r="Q35" i="9"/>
  <c r="O27" i="9"/>
  <c r="O26" i="9" s="1"/>
  <c r="O19" i="9" s="1"/>
  <c r="H58" i="9"/>
  <c r="H27" i="9" s="1"/>
  <c r="H26" i="9" s="1"/>
  <c r="H19" i="9" s="1"/>
  <c r="H18" i="9" s="1"/>
  <c r="G27" i="9"/>
  <c r="G26" i="9" s="1"/>
  <c r="G19" i="9" s="1"/>
  <c r="AJ59" i="9"/>
  <c r="T59" i="9"/>
  <c r="R193" i="9"/>
  <c r="S19" i="11"/>
  <c r="N22" i="11"/>
  <c r="I23" i="11"/>
  <c r="I22" i="11" s="1"/>
  <c r="I21" i="11" s="1"/>
  <c r="O23" i="11"/>
  <c r="O22" i="11" s="1"/>
  <c r="Q23" i="11"/>
  <c r="Q22" i="11" s="1"/>
  <c r="W23" i="11"/>
  <c r="W22" i="11" s="1"/>
  <c r="AP26" i="11"/>
  <c r="AT26" i="11"/>
  <c r="AV26" i="11"/>
  <c r="AD27" i="11"/>
  <c r="AD29" i="11"/>
  <c r="AD30" i="11"/>
  <c r="AK30" i="11"/>
  <c r="N32" i="11"/>
  <c r="AJ32" i="11" s="1"/>
  <c r="W33" i="11"/>
  <c r="W32" i="11" s="1"/>
  <c r="AD35" i="11"/>
  <c r="AD37" i="11"/>
  <c r="AD39" i="11"/>
  <c r="AD41" i="11"/>
  <c r="AF41" i="11" s="1"/>
  <c r="AE41" i="11" s="1"/>
  <c r="AD43" i="11"/>
  <c r="AF43" i="11" s="1"/>
  <c r="AE43" i="11" s="1"/>
  <c r="AD45" i="11"/>
  <c r="AF45" i="11" s="1"/>
  <c r="AE45" i="11" s="1"/>
  <c r="AK45" i="11"/>
  <c r="O46" i="11"/>
  <c r="O32" i="11" s="1"/>
  <c r="Q46" i="11"/>
  <c r="AL46" i="11" s="1"/>
  <c r="AD47" i="11"/>
  <c r="AD48" i="11"/>
  <c r="AF48" i="11" s="1"/>
  <c r="AE48" i="11" s="1"/>
  <c r="AD49" i="11"/>
  <c r="AF49" i="11" s="1"/>
  <c r="AE49" i="11" s="1"/>
  <c r="AK49" i="11"/>
  <c r="AD57" i="11"/>
  <c r="AF57" i="11" s="1"/>
  <c r="AE57" i="11" s="1"/>
  <c r="N60" i="11"/>
  <c r="U61" i="11"/>
  <c r="U60" i="11" s="1"/>
  <c r="U59" i="11" s="1"/>
  <c r="U63" i="11"/>
  <c r="O64" i="11"/>
  <c r="AD64" i="11"/>
  <c r="W75" i="11"/>
  <c r="W74" i="11" s="1"/>
  <c r="W59" i="11" s="1"/>
  <c r="AK76" i="11"/>
  <c r="AK77" i="11"/>
  <c r="AK78" i="11"/>
  <c r="AK79" i="11"/>
  <c r="Y80" i="11"/>
  <c r="AA80" i="11" s="1"/>
  <c r="AC80" i="11" s="1"/>
  <c r="AK81" i="11"/>
  <c r="Y82" i="11"/>
  <c r="AA82" i="11" s="1"/>
  <c r="AC82" i="11" s="1"/>
  <c r="AK84" i="11"/>
  <c r="AK86" i="11"/>
  <c r="AK87" i="11"/>
  <c r="AK88" i="11"/>
  <c r="Y89" i="11"/>
  <c r="AA89" i="11" s="1"/>
  <c r="AC89" i="11" s="1"/>
  <c r="Y91" i="11"/>
  <c r="AA91" i="11" s="1"/>
  <c r="AC91" i="11" s="1"/>
  <c r="Y93" i="11"/>
  <c r="AA93" i="11" s="1"/>
  <c r="AC93" i="11" s="1"/>
  <c r="AK94" i="11"/>
  <c r="AK95" i="11"/>
  <c r="AD97" i="11"/>
  <c r="AF97" i="11" s="1"/>
  <c r="AE97" i="11" s="1"/>
  <c r="AK97" i="11"/>
  <c r="AD100" i="11"/>
  <c r="AF100" i="11" s="1"/>
  <c r="AE100" i="11" s="1"/>
  <c r="AK100" i="11"/>
  <c r="AD102" i="11"/>
  <c r="AF102" i="11" s="1"/>
  <c r="AE102" i="11" s="1"/>
  <c r="AK102" i="11"/>
  <c r="AD103" i="11"/>
  <c r="AF103" i="11" s="1"/>
  <c r="AE103" i="11" s="1"/>
  <c r="AK103" i="11"/>
  <c r="AD105" i="11"/>
  <c r="AF105" i="11" s="1"/>
  <c r="AE105" i="11" s="1"/>
  <c r="AK105" i="11"/>
  <c r="Q106" i="11"/>
  <c r="AJ106" i="11"/>
  <c r="AD107" i="11"/>
  <c r="AF107" i="11" s="1"/>
  <c r="AE107" i="11" s="1"/>
  <c r="AD108" i="11"/>
  <c r="AF108" i="11" s="1"/>
  <c r="AE108" i="11" s="1"/>
  <c r="AD109" i="11"/>
  <c r="AF109" i="11" s="1"/>
  <c r="AE109" i="11" s="1"/>
  <c r="Q110" i="11"/>
  <c r="AS110" i="11" s="1"/>
  <c r="AT110" i="11" s="1"/>
  <c r="AJ110" i="11"/>
  <c r="AD111" i="11"/>
  <c r="AF111" i="11" s="1"/>
  <c r="AE111" i="11" s="1"/>
  <c r="AK111" i="11"/>
  <c r="AD113" i="11"/>
  <c r="AF113" i="11" s="1"/>
  <c r="AE113" i="11" s="1"/>
  <c r="AK113" i="11"/>
  <c r="AD115" i="11"/>
  <c r="AF115" i="11" s="1"/>
  <c r="AE115" i="11" s="1"/>
  <c r="AK115" i="11"/>
  <c r="AD117" i="11"/>
  <c r="AF117" i="11" s="1"/>
  <c r="AE117" i="11" s="1"/>
  <c r="AK117" i="11"/>
  <c r="AD119" i="11"/>
  <c r="AF119" i="11" s="1"/>
  <c r="AE119" i="11" s="1"/>
  <c r="AK119" i="11"/>
  <c r="AD120" i="11"/>
  <c r="AF120" i="11" s="1"/>
  <c r="AE120" i="11" s="1"/>
  <c r="AK120" i="11"/>
  <c r="AD121" i="11"/>
  <c r="AF121" i="11" s="1"/>
  <c r="AE121" i="11" s="1"/>
  <c r="AK121" i="11"/>
  <c r="AD122" i="11"/>
  <c r="AF122" i="11" s="1"/>
  <c r="AE122" i="11" s="1"/>
  <c r="AK122" i="11"/>
  <c r="AD123" i="11"/>
  <c r="AF123" i="11" s="1"/>
  <c r="AE123" i="11" s="1"/>
  <c r="AK123" i="11"/>
  <c r="H124" i="11"/>
  <c r="H74" i="11" s="1"/>
  <c r="H59" i="11" s="1"/>
  <c r="N124" i="11"/>
  <c r="AJ124" i="11" s="1"/>
  <c r="P124" i="11"/>
  <c r="P74" i="11" s="1"/>
  <c r="P59" i="11" s="1"/>
  <c r="M125" i="11"/>
  <c r="M124" i="11" s="1"/>
  <c r="M74" i="11" s="1"/>
  <c r="M59" i="11" s="1"/>
  <c r="O125" i="11"/>
  <c r="Q125" i="11"/>
  <c r="N126" i="11"/>
  <c r="T128" i="11"/>
  <c r="AB128" i="11"/>
  <c r="AB127" i="11" s="1"/>
  <c r="AD136" i="11"/>
  <c r="AD137" i="11"/>
  <c r="AK137" i="11"/>
  <c r="P139" i="11"/>
  <c r="P138" i="11" s="1"/>
  <c r="P126" i="11" s="1"/>
  <c r="R139" i="11"/>
  <c r="R138" i="11" s="1"/>
  <c r="AB139" i="11"/>
  <c r="AD145" i="11"/>
  <c r="AF145" i="11" s="1"/>
  <c r="AE145" i="11" s="1"/>
  <c r="AD146" i="11"/>
  <c r="AF146" i="11" s="1"/>
  <c r="AE146" i="11" s="1"/>
  <c r="AK146" i="11"/>
  <c r="AD147" i="11"/>
  <c r="AF147" i="11" s="1"/>
  <c r="AE147" i="11" s="1"/>
  <c r="AK147" i="11"/>
  <c r="AD148" i="11"/>
  <c r="AF148" i="11" s="1"/>
  <c r="AE148" i="11" s="1"/>
  <c r="AD149" i="11"/>
  <c r="AF149" i="11" s="1"/>
  <c r="AE149" i="11" s="1"/>
  <c r="AK149" i="11"/>
  <c r="O150" i="11"/>
  <c r="AD150" i="11"/>
  <c r="AF150" i="11" s="1"/>
  <c r="AE150" i="11" s="1"/>
  <c r="AK150" i="11"/>
  <c r="AD151" i="11"/>
  <c r="AF151" i="11" s="1"/>
  <c r="AE151" i="11" s="1"/>
  <c r="AK151" i="11"/>
  <c r="AD152" i="11"/>
  <c r="AF152" i="11" s="1"/>
  <c r="AE152" i="11" s="1"/>
  <c r="AK152" i="11"/>
  <c r="AD153" i="11"/>
  <c r="AF153" i="11" s="1"/>
  <c r="AE153" i="11" s="1"/>
  <c r="AK153" i="11"/>
  <c r="AB155" i="11"/>
  <c r="AB160" i="11"/>
  <c r="AB159" i="11" s="1"/>
  <c r="AD164" i="11"/>
  <c r="AK164" i="11"/>
  <c r="AM166" i="11"/>
  <c r="O168" i="11"/>
  <c r="O167" i="11" s="1"/>
  <c r="O158" i="11" s="1"/>
  <c r="AQ170" i="11"/>
  <c r="AR170" i="11" s="1"/>
  <c r="N168" i="11"/>
  <c r="R170" i="11"/>
  <c r="AU170" i="11" s="1"/>
  <c r="AV170" i="11" s="1"/>
  <c r="AJ170" i="11"/>
  <c r="AJ171" i="11"/>
  <c r="R171" i="11"/>
  <c r="AU171" i="11" s="1"/>
  <c r="AV171" i="11" s="1"/>
  <c r="AO172" i="11"/>
  <c r="AP172" i="11" s="1"/>
  <c r="AD172" i="11"/>
  <c r="T172" i="11"/>
  <c r="AJ172" i="11" s="1"/>
  <c r="P168" i="11"/>
  <c r="P167" i="11" s="1"/>
  <c r="P158" i="11" s="1"/>
  <c r="R173" i="11"/>
  <c r="AU173" i="11" s="1"/>
  <c r="AV173" i="11" s="1"/>
  <c r="AA176" i="11"/>
  <c r="AC176" i="11" s="1"/>
  <c r="AB176" i="11"/>
  <c r="AO176" i="11"/>
  <c r="AP176" i="11" s="1"/>
  <c r="AD177" i="11"/>
  <c r="AK177" i="11"/>
  <c r="AJ179" i="11"/>
  <c r="AJ180" i="11"/>
  <c r="AJ183" i="11"/>
  <c r="R183" i="11"/>
  <c r="AU183" i="11" s="1"/>
  <c r="AV183" i="11" s="1"/>
  <c r="AD183" i="11"/>
  <c r="AJ184" i="11"/>
  <c r="AO184" i="11"/>
  <c r="AP184" i="11" s="1"/>
  <c r="AR186" i="11"/>
  <c r="AD187" i="11"/>
  <c r="AF187" i="11" s="1"/>
  <c r="AE187" i="11" s="1"/>
  <c r="AH187" i="11"/>
  <c r="AD188" i="11"/>
  <c r="AF188" i="11" s="1"/>
  <c r="AE188" i="11" s="1"/>
  <c r="AH188" i="11"/>
  <c r="G189" i="11"/>
  <c r="G167" i="11" s="1"/>
  <c r="G158" i="11" s="1"/>
  <c r="AD190" i="11"/>
  <c r="AF190" i="11" s="1"/>
  <c r="AE190" i="11" s="1"/>
  <c r="AK190" i="11"/>
  <c r="AF192" i="11"/>
  <c r="AM193" i="11"/>
  <c r="W194" i="11"/>
  <c r="AJ196" i="11"/>
  <c r="N195" i="11"/>
  <c r="R196" i="11"/>
  <c r="AC200" i="11"/>
  <c r="AB202" i="11"/>
  <c r="AB201" i="11" s="1"/>
  <c r="AB194" i="11" s="1"/>
  <c r="AJ203" i="11"/>
  <c r="S203" i="11"/>
  <c r="S202" i="11" s="1"/>
  <c r="S201" i="11" s="1"/>
  <c r="S194" i="11" s="1"/>
  <c r="M202" i="11"/>
  <c r="M201" i="11" s="1"/>
  <c r="M194" i="11" s="1"/>
  <c r="AA205" i="11"/>
  <c r="AA202" i="11" s="1"/>
  <c r="AA201" i="11" s="1"/>
  <c r="U202" i="11"/>
  <c r="U201" i="11" s="1"/>
  <c r="AC206" i="11"/>
  <c r="AD206" i="11"/>
  <c r="AD208" i="11"/>
  <c r="AJ213" i="11"/>
  <c r="M219" i="11"/>
  <c r="Q219" i="11"/>
  <c r="U219" i="11"/>
  <c r="AJ221" i="11"/>
  <c r="N220" i="11"/>
  <c r="AA224" i="11"/>
  <c r="AJ228" i="11"/>
  <c r="AM231" i="11"/>
  <c r="AM233" i="11"/>
  <c r="N236" i="11"/>
  <c r="AH236" i="11"/>
  <c r="T241" i="11"/>
  <c r="O241" i="11"/>
  <c r="P238" i="11"/>
  <c r="P237" i="11" s="1"/>
  <c r="P236" i="11" s="1"/>
  <c r="AD241" i="11"/>
  <c r="AJ243" i="11"/>
  <c r="AD245" i="11"/>
  <c r="H244" i="11"/>
  <c r="H243" i="11" s="1"/>
  <c r="AD248" i="11"/>
  <c r="AD250" i="11"/>
  <c r="AB251" i="11"/>
  <c r="AA252" i="11"/>
  <c r="AC252" i="11" s="1"/>
  <c r="AM253" i="11"/>
  <c r="R244" i="11"/>
  <c r="AM256" i="11"/>
  <c r="AM258" i="11"/>
  <c r="AC259" i="11"/>
  <c r="AM260" i="11"/>
  <c r="AM261" i="11"/>
  <c r="AM262" i="11"/>
  <c r="AM263" i="11"/>
  <c r="AM264" i="11"/>
  <c r="AM265" i="11"/>
  <c r="AM266" i="11"/>
  <c r="O269" i="11"/>
  <c r="Q269" i="11"/>
  <c r="Q243" i="11" s="1"/>
  <c r="AM270" i="11"/>
  <c r="AM274" i="11"/>
  <c r="AD275" i="11"/>
  <c r="AF275" i="11" s="1"/>
  <c r="AE275" i="11" s="1"/>
  <c r="AM278" i="11"/>
  <c r="AD279" i="11"/>
  <c r="AF279" i="11" s="1"/>
  <c r="AE279" i="11" s="1"/>
  <c r="I281" i="11"/>
  <c r="AG281" i="11"/>
  <c r="R286" i="11"/>
  <c r="AA286" i="11"/>
  <c r="U283" i="11"/>
  <c r="U282" i="11" s="1"/>
  <c r="AD286" i="11"/>
  <c r="AK286" i="11"/>
  <c r="AQ286" i="11"/>
  <c r="AR286" i="11" s="1"/>
  <c r="AS287" i="11"/>
  <c r="AT287" i="11" s="1"/>
  <c r="Q283" i="11"/>
  <c r="Q282" i="11" s="1"/>
  <c r="AJ287" i="11"/>
  <c r="R288" i="11"/>
  <c r="AU288" i="11" s="1"/>
  <c r="AV288" i="11" s="1"/>
  <c r="AD288" i="11"/>
  <c r="AK288" i="11"/>
  <c r="AQ288" i="11"/>
  <c r="AR288" i="11" s="1"/>
  <c r="W291" i="11"/>
  <c r="W290" i="11" s="1"/>
  <c r="AA292" i="11"/>
  <c r="AC292" i="11" s="1"/>
  <c r="M291" i="11"/>
  <c r="M290" i="11" s="1"/>
  <c r="M281" i="11" s="1"/>
  <c r="AA293" i="11"/>
  <c r="U291" i="11"/>
  <c r="U290" i="11" s="1"/>
  <c r="AS294" i="11"/>
  <c r="AT294" i="11" s="1"/>
  <c r="AM294" i="11"/>
  <c r="AC295" i="11"/>
  <c r="AM296" i="11"/>
  <c r="AJ297" i="11"/>
  <c r="Q302" i="11"/>
  <c r="AS302" i="11" s="1"/>
  <c r="AT302" i="11" s="1"/>
  <c r="AJ302" i="11"/>
  <c r="AO305" i="11"/>
  <c r="AP305" i="11" s="1"/>
  <c r="AD305" i="11"/>
  <c r="T305" i="11"/>
  <c r="O305" i="11"/>
  <c r="AQ306" i="11"/>
  <c r="AR306" i="11" s="1"/>
  <c r="P306" i="11"/>
  <c r="S308" i="11"/>
  <c r="AK309" i="11"/>
  <c r="AQ309" i="11"/>
  <c r="AR309" i="11" s="1"/>
  <c r="AJ310" i="11"/>
  <c r="S310" i="11"/>
  <c r="Q310" i="11" s="1"/>
  <c r="AM311" i="11"/>
  <c r="AM315" i="11"/>
  <c r="N318" i="11"/>
  <c r="AS321" i="11"/>
  <c r="AT321" i="11" s="1"/>
  <c r="AJ322" i="11"/>
  <c r="AK324" i="11"/>
  <c r="AM324" i="11"/>
  <c r="AK327" i="11"/>
  <c r="AM327" i="11"/>
  <c r="AF330" i="11"/>
  <c r="AE330" i="11" s="1"/>
  <c r="AF334" i="11"/>
  <c r="AE334" i="11" s="1"/>
  <c r="AM337" i="11"/>
  <c r="AK337" i="11"/>
  <c r="S326" i="11"/>
  <c r="S325" i="11" s="1"/>
  <c r="S316" i="11" s="1"/>
  <c r="AO338" i="11"/>
  <c r="AP338" i="11" s="1"/>
  <c r="AD338" i="11"/>
  <c r="AK340" i="11"/>
  <c r="AM340" i="11"/>
  <c r="AJ341" i="11"/>
  <c r="AQ341" i="11"/>
  <c r="AR341" i="11" s="1"/>
  <c r="R341" i="11"/>
  <c r="AU341" i="11" s="1"/>
  <c r="AV341" i="11" s="1"/>
  <c r="AO342" i="11"/>
  <c r="AP342" i="11" s="1"/>
  <c r="AD342" i="11"/>
  <c r="AK344" i="11"/>
  <c r="AM344" i="11"/>
  <c r="AJ345" i="11"/>
  <c r="AQ345" i="11"/>
  <c r="AR345" i="11" s="1"/>
  <c r="R345" i="11"/>
  <c r="AU345" i="11" s="1"/>
  <c r="AV345" i="11" s="1"/>
  <c r="AO346" i="11"/>
  <c r="AP346" i="11" s="1"/>
  <c r="AD346" i="11"/>
  <c r="AK348" i="11"/>
  <c r="AM348" i="11"/>
  <c r="AJ349" i="11"/>
  <c r="AQ349" i="11"/>
  <c r="AR349" i="11" s="1"/>
  <c r="R349" i="11"/>
  <c r="AU349" i="11" s="1"/>
  <c r="AV349" i="11" s="1"/>
  <c r="AF352" i="11"/>
  <c r="AE352" i="11" s="1"/>
  <c r="AF356" i="11"/>
  <c r="AE356" i="11" s="1"/>
  <c r="AF360" i="11"/>
  <c r="AE360" i="11" s="1"/>
  <c r="AF364" i="11"/>
  <c r="AE364" i="11" s="1"/>
  <c r="AA365" i="11"/>
  <c r="AC365" i="11" s="1"/>
  <c r="AC326" i="11" s="1"/>
  <c r="AC325" i="11" s="1"/>
  <c r="Y326" i="11"/>
  <c r="Y325" i="11" s="1"/>
  <c r="AK366" i="11"/>
  <c r="AM366" i="11"/>
  <c r="AF369" i="11"/>
  <c r="AE369" i="11" s="1"/>
  <c r="O17" i="9"/>
  <c r="AE18" i="9"/>
  <c r="V19" i="9"/>
  <c r="V18" i="9" s="1"/>
  <c r="Z18" i="9"/>
  <c r="AH18" i="9"/>
  <c r="AJ30" i="9"/>
  <c r="S30" i="9"/>
  <c r="N27" i="9"/>
  <c r="N26" i="9" s="1"/>
  <c r="AJ34" i="9"/>
  <c r="T34" i="9"/>
  <c r="AJ37" i="9"/>
  <c r="T37" i="9"/>
  <c r="AJ41" i="9"/>
  <c r="T41" i="9"/>
  <c r="AJ45" i="9"/>
  <c r="T45" i="9"/>
  <c r="AJ55" i="9"/>
  <c r="T55" i="9"/>
  <c r="AJ61" i="9"/>
  <c r="T61" i="9"/>
  <c r="AJ75" i="9"/>
  <c r="T75" i="9"/>
  <c r="T80" i="9"/>
  <c r="AJ80" i="9"/>
  <c r="R80" i="9"/>
  <c r="AJ82" i="9"/>
  <c r="T82" i="9"/>
  <c r="AJ108" i="9"/>
  <c r="N107" i="9"/>
  <c r="AJ107" i="9" s="1"/>
  <c r="O135" i="9"/>
  <c r="T177" i="9"/>
  <c r="M177" i="9"/>
  <c r="Q177" i="9" s="1"/>
  <c r="R177" i="9"/>
  <c r="N139" i="9"/>
  <c r="R248" i="9"/>
  <c r="R247" i="9" s="1"/>
  <c r="R246" i="9" s="1"/>
  <c r="U248" i="9"/>
  <c r="U247" i="9" s="1"/>
  <c r="U246" i="9" s="1"/>
  <c r="M248" i="9"/>
  <c r="M247" i="9" s="1"/>
  <c r="M246" i="9" s="1"/>
  <c r="Q253" i="9"/>
  <c r="Q366" i="9"/>
  <c r="Q390" i="9"/>
  <c r="Q386" i="9" s="1"/>
  <c r="O386" i="9"/>
  <c r="T456" i="9"/>
  <c r="T439" i="9" s="1"/>
  <c r="T431" i="9" s="1"/>
  <c r="S456" i="9"/>
  <c r="S439" i="9" s="1"/>
  <c r="S431" i="9" s="1"/>
  <c r="AE26" i="3"/>
  <c r="AE23" i="3" s="1"/>
  <c r="AE22" i="3" s="1"/>
  <c r="AF23" i="3"/>
  <c r="AF22" i="3" s="1"/>
  <c r="AE35" i="3"/>
  <c r="AK39" i="3"/>
  <c r="AM39" i="3"/>
  <c r="AM51" i="3"/>
  <c r="AK51" i="3"/>
  <c r="AM52" i="3"/>
  <c r="AK52" i="3"/>
  <c r="AK54" i="3"/>
  <c r="AM54" i="3"/>
  <c r="AA63" i="3"/>
  <c r="AA61" i="3"/>
  <c r="AA60" i="3" s="1"/>
  <c r="AF61" i="3"/>
  <c r="AF60" i="3" s="1"/>
  <c r="AE64" i="3"/>
  <c r="AC76" i="3"/>
  <c r="AF94" i="3"/>
  <c r="AE94" i="3" s="1"/>
  <c r="AD94" i="3"/>
  <c r="AF95" i="3"/>
  <c r="AE95" i="3" s="1"/>
  <c r="AD95" i="3"/>
  <c r="AD50" i="11"/>
  <c r="AF50" i="11" s="1"/>
  <c r="AE50" i="11" s="1"/>
  <c r="AD51" i="11"/>
  <c r="AF51" i="11" s="1"/>
  <c r="AE51" i="11" s="1"/>
  <c r="Q107" i="11"/>
  <c r="AS107" i="11" s="1"/>
  <c r="AT107" i="11" s="1"/>
  <c r="R109" i="11"/>
  <c r="AU109" i="11" s="1"/>
  <c r="AV109" i="11" s="1"/>
  <c r="AB168" i="11"/>
  <c r="AB167" i="11" s="1"/>
  <c r="Y173" i="11"/>
  <c r="Y168" i="11" s="1"/>
  <c r="Y167" i="11" s="1"/>
  <c r="Y158" i="11" s="1"/>
  <c r="Z168" i="11"/>
  <c r="Z167" i="11" s="1"/>
  <c r="Z158" i="11" s="1"/>
  <c r="AK175" i="11"/>
  <c r="Q180" i="11"/>
  <c r="AD184" i="11"/>
  <c r="AQ191" i="11"/>
  <c r="AR191" i="11" s="1"/>
  <c r="N189" i="11"/>
  <c r="AJ189" i="11" s="1"/>
  <c r="R191" i="11"/>
  <c r="AU191" i="11" s="1"/>
  <c r="AV191" i="11" s="1"/>
  <c r="AA199" i="11"/>
  <c r="AA196" i="11" s="1"/>
  <c r="AA195" i="11" s="1"/>
  <c r="U196" i="11"/>
  <c r="U195" i="11" s="1"/>
  <c r="U194" i="11" s="1"/>
  <c r="N201" i="11"/>
  <c r="J20" i="14"/>
  <c r="J20" i="6"/>
  <c r="K224" i="11"/>
  <c r="K221" i="11" s="1"/>
  <c r="K220" i="11" s="1"/>
  <c r="K219" i="11" s="1"/>
  <c r="AE230" i="11"/>
  <c r="AE229" i="11" s="1"/>
  <c r="AE228" i="11" s="1"/>
  <c r="AU235" i="11"/>
  <c r="AV235" i="11" s="1"/>
  <c r="H236" i="11"/>
  <c r="AF241" i="11"/>
  <c r="AF245" i="11"/>
  <c r="AE245" i="11" s="1"/>
  <c r="AU271" i="11"/>
  <c r="AV271" i="11" s="1"/>
  <c r="R269" i="11"/>
  <c r="W281" i="11"/>
  <c r="AO287" i="11"/>
  <c r="AP287" i="11" s="1"/>
  <c r="AD287" i="11"/>
  <c r="AC293" i="11"/>
  <c r="Y316" i="11"/>
  <c r="G318" i="11"/>
  <c r="G317" i="11" s="1"/>
  <c r="G316" i="11" s="1"/>
  <c r="H317" i="11"/>
  <c r="H316" i="11" s="1"/>
  <c r="AA321" i="11"/>
  <c r="AA318" i="11" s="1"/>
  <c r="AA317" i="11" s="1"/>
  <c r="U318" i="11"/>
  <c r="U317" i="11" s="1"/>
  <c r="U316" i="11" s="1"/>
  <c r="AA326" i="11"/>
  <c r="AA325" i="11" s="1"/>
  <c r="AK333" i="11"/>
  <c r="AM333" i="11"/>
  <c r="AJ334" i="11"/>
  <c r="AQ334" i="11"/>
  <c r="AR334" i="11" s="1"/>
  <c r="R334" i="11"/>
  <c r="AU334" i="11" s="1"/>
  <c r="AV334" i="11" s="1"/>
  <c r="AO335" i="11"/>
  <c r="AP335" i="11" s="1"/>
  <c r="AD335" i="11"/>
  <c r="AK371" i="11"/>
  <c r="AM371" i="11"/>
  <c r="AK373" i="11"/>
  <c r="AM373" i="11"/>
  <c r="AK375" i="11"/>
  <c r="AM375" i="11"/>
  <c r="U18" i="9"/>
  <c r="Q141" i="9"/>
  <c r="AJ179" i="9"/>
  <c r="R179" i="9"/>
  <c r="T179" i="9"/>
  <c r="M179" i="9"/>
  <c r="Q179" i="9" s="1"/>
  <c r="AD166" i="11"/>
  <c r="AD170" i="11"/>
  <c r="R172" i="11"/>
  <c r="AU172" i="11" s="1"/>
  <c r="AV172" i="11" s="1"/>
  <c r="R176" i="11"/>
  <c r="AU176" i="11" s="1"/>
  <c r="AV176" i="11" s="1"/>
  <c r="R177" i="11"/>
  <c r="AU177" i="11" s="1"/>
  <c r="AV177" i="11" s="1"/>
  <c r="AD179" i="11"/>
  <c r="AD180" i="11"/>
  <c r="AD181" i="11"/>
  <c r="AD182" i="11"/>
  <c r="R184" i="11"/>
  <c r="AU184" i="11" s="1"/>
  <c r="AV184" i="11" s="1"/>
  <c r="R190" i="11"/>
  <c r="AD191" i="11"/>
  <c r="AF191" i="11" s="1"/>
  <c r="AE191" i="11" s="1"/>
  <c r="AH191" i="11"/>
  <c r="AD193" i="11"/>
  <c r="AF193" i="11" s="1"/>
  <c r="AE193" i="11" s="1"/>
  <c r="AD204" i="11"/>
  <c r="AD207" i="11"/>
  <c r="AD209" i="11"/>
  <c r="AD213" i="11"/>
  <c r="AF213" i="11" s="1"/>
  <c r="AE213" i="11" s="1"/>
  <c r="AD214" i="11"/>
  <c r="AF214" i="11" s="1"/>
  <c r="AE214" i="11" s="1"/>
  <c r="AD215" i="11"/>
  <c r="AD216" i="11"/>
  <c r="AD217" i="11"/>
  <c r="AD218" i="11"/>
  <c r="AD224" i="11"/>
  <c r="AD221" i="11" s="1"/>
  <c r="AD220" i="11" s="1"/>
  <c r="AD230" i="11"/>
  <c r="AD229" i="11" s="1"/>
  <c r="AD228" i="11" s="1"/>
  <c r="AD242" i="11"/>
  <c r="AD246" i="11"/>
  <c r="AD247" i="11"/>
  <c r="AD249" i="11"/>
  <c r="AD253" i="11"/>
  <c r="AF253" i="11" s="1"/>
  <c r="AE253" i="11" s="1"/>
  <c r="AD255" i="11"/>
  <c r="AD257" i="11"/>
  <c r="AF257" i="11" s="1"/>
  <c r="AE257" i="11" s="1"/>
  <c r="AD258" i="11"/>
  <c r="AF258" i="11" s="1"/>
  <c r="AE258" i="11" s="1"/>
  <c r="AD260" i="11"/>
  <c r="AD261" i="11"/>
  <c r="AF261" i="11" s="1"/>
  <c r="AE261" i="11" s="1"/>
  <c r="AD262" i="11"/>
  <c r="AF262" i="11" s="1"/>
  <c r="AE262" i="11" s="1"/>
  <c r="AD263" i="11"/>
  <c r="AF263" i="11" s="1"/>
  <c r="AE263" i="11" s="1"/>
  <c r="AD264" i="11"/>
  <c r="AF264" i="11" s="1"/>
  <c r="AE264" i="11" s="1"/>
  <c r="AD265" i="11"/>
  <c r="AF265" i="11" s="1"/>
  <c r="AE265" i="11" s="1"/>
  <c r="AD266" i="11"/>
  <c r="AF266" i="11" s="1"/>
  <c r="AE266" i="11" s="1"/>
  <c r="AD267" i="11"/>
  <c r="AF267" i="11" s="1"/>
  <c r="AE267" i="11" s="1"/>
  <c r="AD270" i="11"/>
  <c r="AF270" i="11" s="1"/>
  <c r="AD271" i="11"/>
  <c r="AF271" i="11" s="1"/>
  <c r="AE271" i="11" s="1"/>
  <c r="AD272" i="11"/>
  <c r="AF272" i="11" s="1"/>
  <c r="AE272" i="11" s="1"/>
  <c r="AD274" i="11"/>
  <c r="AF274" i="11" s="1"/>
  <c r="AE274" i="11" s="1"/>
  <c r="AD276" i="11"/>
  <c r="AF276" i="11" s="1"/>
  <c r="AE276" i="11" s="1"/>
  <c r="AD278" i="11"/>
  <c r="AF278" i="11" s="1"/>
  <c r="AE278" i="11" s="1"/>
  <c r="AD280" i="11"/>
  <c r="AF280" i="11" s="1"/>
  <c r="AE280" i="11" s="1"/>
  <c r="AD292" i="11"/>
  <c r="AD294" i="11"/>
  <c r="AD296" i="11"/>
  <c r="AD297" i="11"/>
  <c r="AD298" i="11"/>
  <c r="AD299" i="11"/>
  <c r="AD300" i="11"/>
  <c r="AD301" i="11"/>
  <c r="AD302" i="11"/>
  <c r="AD303" i="11"/>
  <c r="AF303" i="11" s="1"/>
  <c r="AE303" i="11" s="1"/>
  <c r="AD304" i="11"/>
  <c r="AF304" i="11" s="1"/>
  <c r="AE304" i="11" s="1"/>
  <c r="AD307" i="11"/>
  <c r="AF307" i="11" s="1"/>
  <c r="AE307" i="11" s="1"/>
  <c r="AD308" i="11"/>
  <c r="AF308" i="11" s="1"/>
  <c r="AE308" i="11" s="1"/>
  <c r="AD311" i="11"/>
  <c r="AF311" i="11" s="1"/>
  <c r="AE311" i="11" s="1"/>
  <c r="AD314" i="11"/>
  <c r="AD315" i="11"/>
  <c r="AF315" i="11" s="1"/>
  <c r="AE315" i="11" s="1"/>
  <c r="AO322" i="11"/>
  <c r="AP322" i="11" s="1"/>
  <c r="AD322" i="11"/>
  <c r="O322" i="11"/>
  <c r="AC322" i="11" s="1"/>
  <c r="AC323" i="11"/>
  <c r="AE327" i="11"/>
  <c r="AO329" i="11"/>
  <c r="AP329" i="11" s="1"/>
  <c r="AD329" i="11"/>
  <c r="R332" i="11"/>
  <c r="AU332" i="11" s="1"/>
  <c r="AV332" i="11" s="1"/>
  <c r="AO333" i="11"/>
  <c r="AP333" i="11" s="1"/>
  <c r="AD333" i="11"/>
  <c r="R336" i="11"/>
  <c r="AU336" i="11" s="1"/>
  <c r="AV336" i="11" s="1"/>
  <c r="R339" i="11"/>
  <c r="AU339" i="11" s="1"/>
  <c r="AV339" i="11" s="1"/>
  <c r="AO340" i="11"/>
  <c r="AP340" i="11" s="1"/>
  <c r="AD340" i="11"/>
  <c r="R343" i="11"/>
  <c r="AU343" i="11" s="1"/>
  <c r="AV343" i="11" s="1"/>
  <c r="AO344" i="11"/>
  <c r="AP344" i="11" s="1"/>
  <c r="AD344" i="11"/>
  <c r="R347" i="11"/>
  <c r="AU347" i="11" s="1"/>
  <c r="AV347" i="11" s="1"/>
  <c r="AO348" i="11"/>
  <c r="AP348" i="11" s="1"/>
  <c r="AD348" i="11"/>
  <c r="AO379" i="11"/>
  <c r="AP379" i="11" s="1"/>
  <c r="AD379" i="11"/>
  <c r="AF379" i="11" s="1"/>
  <c r="AE379" i="11" s="1"/>
  <c r="AR379" i="11"/>
  <c r="S17" i="9"/>
  <c r="AC18" i="9"/>
  <c r="AG18" i="9"/>
  <c r="P19" i="9"/>
  <c r="X19" i="9"/>
  <c r="X18" i="9" s="1"/>
  <c r="AB19" i="9"/>
  <c r="AB18" i="9" s="1"/>
  <c r="AF19" i="9"/>
  <c r="AF18" i="9" s="1"/>
  <c r="AJ24" i="9"/>
  <c r="N21" i="9"/>
  <c r="R25" i="9"/>
  <c r="R21" i="9" s="1"/>
  <c r="R20" i="9" s="1"/>
  <c r="Q27" i="9"/>
  <c r="Q26" i="9" s="1"/>
  <c r="Q19" i="9" s="1"/>
  <c r="R30" i="9"/>
  <c r="R34" i="9"/>
  <c r="R37" i="9"/>
  <c r="R41" i="9"/>
  <c r="R45" i="9"/>
  <c r="R49" i="9"/>
  <c r="R55" i="9"/>
  <c r="R59" i="9"/>
  <c r="R61" i="9"/>
  <c r="R75" i="9"/>
  <c r="R81" i="9"/>
  <c r="R82" i="9"/>
  <c r="T107" i="9"/>
  <c r="J109" i="9"/>
  <c r="J108" i="9" s="1"/>
  <c r="J107" i="9" s="1"/>
  <c r="J18" i="9" s="1"/>
  <c r="R117" i="9"/>
  <c r="R116" i="9" s="1"/>
  <c r="R107" i="9" s="1"/>
  <c r="Q133" i="9"/>
  <c r="Y139" i="9"/>
  <c r="Y138" i="9" s="1"/>
  <c r="Y137" i="9" s="1"/>
  <c r="Q158" i="9"/>
  <c r="O139" i="9"/>
  <c r="O138" i="9" s="1"/>
  <c r="O137" i="9" s="1"/>
  <c r="AJ176" i="9"/>
  <c r="R176" i="9"/>
  <c r="AJ248" i="9"/>
  <c r="N247" i="9"/>
  <c r="Y248" i="9"/>
  <c r="Y247" i="9" s="1"/>
  <c r="Y246" i="9" s="1"/>
  <c r="G248" i="9"/>
  <c r="G247" i="9" s="1"/>
  <c r="G246" i="9" s="1"/>
  <c r="Q252" i="9"/>
  <c r="Q248" i="9" s="1"/>
  <c r="Q247" i="9" s="1"/>
  <c r="Q246" i="9" s="1"/>
  <c r="O248" i="9"/>
  <c r="O247" i="9" s="1"/>
  <c r="O246" i="9" s="1"/>
  <c r="S248" i="9"/>
  <c r="S247" i="9" s="1"/>
  <c r="S246" i="9" s="1"/>
  <c r="I316" i="9"/>
  <c r="I16" i="9" s="1"/>
  <c r="Q397" i="9"/>
  <c r="O396" i="9"/>
  <c r="Q396" i="9" s="1"/>
  <c r="Q400" i="9"/>
  <c r="Q399" i="9" s="1"/>
  <c r="Q398" i="9" s="1"/>
  <c r="Q420" i="9"/>
  <c r="Q466" i="9"/>
  <c r="Q465" i="9" s="1"/>
  <c r="Q458" i="9" s="1"/>
  <c r="R24" i="6"/>
  <c r="AC23" i="3"/>
  <c r="AC22" i="3" s="1"/>
  <c r="AC37" i="3"/>
  <c r="AC33" i="3" s="1"/>
  <c r="AM37" i="3"/>
  <c r="AK37" i="3"/>
  <c r="AG47" i="3"/>
  <c r="AF76" i="3"/>
  <c r="AD76" i="3"/>
  <c r="AA77" i="3"/>
  <c r="Y75" i="3"/>
  <c r="Y74" i="3" s="1"/>
  <c r="Y59" i="3" s="1"/>
  <c r="AF80" i="3"/>
  <c r="AE80" i="3" s="1"/>
  <c r="AD80" i="3"/>
  <c r="AF82" i="3"/>
  <c r="AE82" i="3" s="1"/>
  <c r="AD82" i="3"/>
  <c r="AC83" i="3"/>
  <c r="AM83" i="3"/>
  <c r="AK83" i="3"/>
  <c r="AF84" i="3"/>
  <c r="AE84" i="3" s="1"/>
  <c r="AD84" i="3"/>
  <c r="AF86" i="3"/>
  <c r="AE86" i="3" s="1"/>
  <c r="AD86" i="3"/>
  <c r="AF87" i="3"/>
  <c r="AE87" i="3" s="1"/>
  <c r="AD87" i="3"/>
  <c r="AF88" i="3"/>
  <c r="AE88" i="3" s="1"/>
  <c r="AD88" i="3"/>
  <c r="AD324" i="11"/>
  <c r="AD327" i="11"/>
  <c r="R328" i="11"/>
  <c r="AU328" i="11" s="1"/>
  <c r="AV328" i="11" s="1"/>
  <c r="R329" i="11"/>
  <c r="AU329" i="11" s="1"/>
  <c r="AV329" i="11" s="1"/>
  <c r="R331" i="11"/>
  <c r="AU331" i="11" s="1"/>
  <c r="AV331" i="11" s="1"/>
  <c r="R333" i="11"/>
  <c r="AU333" i="11" s="1"/>
  <c r="AV333" i="11" s="1"/>
  <c r="R335" i="11"/>
  <c r="AU335" i="11" s="1"/>
  <c r="AV335" i="11" s="1"/>
  <c r="Q337" i="11"/>
  <c r="R338" i="11"/>
  <c r="AU338" i="11" s="1"/>
  <c r="AV338" i="11" s="1"/>
  <c r="R340" i="11"/>
  <c r="AU340" i="11" s="1"/>
  <c r="AV340" i="11" s="1"/>
  <c r="R342" i="11"/>
  <c r="AU342" i="11" s="1"/>
  <c r="AV342" i="11" s="1"/>
  <c r="R344" i="11"/>
  <c r="AU344" i="11" s="1"/>
  <c r="AV344" i="11" s="1"/>
  <c r="R346" i="11"/>
  <c r="AU346" i="11" s="1"/>
  <c r="AV346" i="11" s="1"/>
  <c r="R348" i="11"/>
  <c r="AU348" i="11" s="1"/>
  <c r="AV348" i="11" s="1"/>
  <c r="AD366" i="11"/>
  <c r="AD370" i="11"/>
  <c r="AD371" i="11"/>
  <c r="AD372" i="11"/>
  <c r="AF372" i="11" s="1"/>
  <c r="AD373" i="11"/>
  <c r="AF373" i="11" s="1"/>
  <c r="AE373" i="11" s="1"/>
  <c r="AD374" i="11"/>
  <c r="AF374" i="11" s="1"/>
  <c r="AE374" i="11" s="1"/>
  <c r="AD375" i="11"/>
  <c r="AF375" i="11" s="1"/>
  <c r="AE375" i="11" s="1"/>
  <c r="AD376" i="11"/>
  <c r="AF376" i="11" s="1"/>
  <c r="AE376" i="11" s="1"/>
  <c r="AD377" i="11"/>
  <c r="AF377" i="11" s="1"/>
  <c r="AE377" i="11" s="1"/>
  <c r="T35" i="9"/>
  <c r="T46" i="9"/>
  <c r="T47" i="9"/>
  <c r="T48" i="9"/>
  <c r="S50" i="9"/>
  <c r="S51" i="9"/>
  <c r="T53" i="9"/>
  <c r="T57" i="9"/>
  <c r="R63" i="9"/>
  <c r="R64" i="9"/>
  <c r="R65" i="9"/>
  <c r="R66" i="9"/>
  <c r="R67" i="9"/>
  <c r="R68" i="9"/>
  <c r="R69" i="9"/>
  <c r="R70" i="9"/>
  <c r="R71" i="9"/>
  <c r="R78" i="9"/>
  <c r="S85" i="9"/>
  <c r="R86" i="9"/>
  <c r="R87" i="9"/>
  <c r="T88" i="9"/>
  <c r="R89" i="9"/>
  <c r="R90" i="9"/>
  <c r="R91" i="9"/>
  <c r="T92" i="9"/>
  <c r="S133" i="9"/>
  <c r="S117" i="9" s="1"/>
  <c r="S116" i="9" s="1"/>
  <c r="S107" i="9" s="1"/>
  <c r="T320" i="9"/>
  <c r="R322" i="9"/>
  <c r="R319" i="9" s="1"/>
  <c r="R318" i="9" s="1"/>
  <c r="AJ327" i="9"/>
  <c r="AJ328" i="9"/>
  <c r="T330" i="9"/>
  <c r="AJ330" i="9"/>
  <c r="R336" i="9"/>
  <c r="S337" i="9"/>
  <c r="AJ337" i="9"/>
  <c r="R338" i="9"/>
  <c r="R339" i="9"/>
  <c r="AJ339" i="9"/>
  <c r="R340" i="9"/>
  <c r="R341" i="9"/>
  <c r="AJ341" i="9"/>
  <c r="AJ342" i="9"/>
  <c r="AJ343" i="9"/>
  <c r="S344" i="9"/>
  <c r="AJ344" i="9"/>
  <c r="R346" i="9"/>
  <c r="AJ346" i="9"/>
  <c r="T352" i="9"/>
  <c r="R354" i="9"/>
  <c r="AJ354" i="9"/>
  <c r="R366" i="9"/>
  <c r="R358" i="9" s="1"/>
  <c r="R357" i="9" s="1"/>
  <c r="R349" i="9" s="1"/>
  <c r="O373" i="9"/>
  <c r="Q373" i="9" s="1"/>
  <c r="Q358" i="9" s="1"/>
  <c r="Q357" i="9" s="1"/>
  <c r="R383" i="9"/>
  <c r="R380" i="9" s="1"/>
  <c r="R379" i="9" s="1"/>
  <c r="AJ384" i="9"/>
  <c r="R390" i="9"/>
  <c r="R386" i="9" s="1"/>
  <c r="R385" i="9" s="1"/>
  <c r="S394" i="9"/>
  <c r="R397" i="9"/>
  <c r="S414" i="9"/>
  <c r="AJ424" i="9"/>
  <c r="AJ429" i="9"/>
  <c r="S434" i="9"/>
  <c r="R444" i="9"/>
  <c r="AJ447" i="9"/>
  <c r="AJ448" i="9"/>
  <c r="AJ449" i="9"/>
  <c r="R451" i="9"/>
  <c r="R453" i="9"/>
  <c r="R455" i="9"/>
  <c r="AJ456" i="9"/>
  <c r="AJ457" i="9"/>
  <c r="T481" i="9"/>
  <c r="R496" i="9"/>
  <c r="R489" i="9" s="1"/>
  <c r="R488" i="9" s="1"/>
  <c r="R478" i="9" s="1"/>
  <c r="AJ496" i="9"/>
  <c r="P21" i="3"/>
  <c r="AB23" i="3"/>
  <c r="AB22" i="3" s="1"/>
  <c r="AB21" i="3" s="1"/>
  <c r="AM27" i="3"/>
  <c r="AM28" i="3"/>
  <c r="AD29" i="3"/>
  <c r="AM30" i="3"/>
  <c r="AM31" i="3"/>
  <c r="AJ35" i="3"/>
  <c r="AM36" i="3"/>
  <c r="AD37" i="3"/>
  <c r="AD38" i="3"/>
  <c r="AK38" i="3"/>
  <c r="AM40" i="3"/>
  <c r="AM41" i="3"/>
  <c r="AM42" i="3"/>
  <c r="AD43" i="3"/>
  <c r="AF43" i="3" s="1"/>
  <c r="AE43" i="3" s="1"/>
  <c r="AD44" i="3"/>
  <c r="AF44" i="3" s="1"/>
  <c r="AE44" i="3" s="1"/>
  <c r="AD45" i="3"/>
  <c r="AF45" i="3" s="1"/>
  <c r="AE45" i="3" s="1"/>
  <c r="AC47" i="3"/>
  <c r="AM47" i="3"/>
  <c r="AM48" i="3"/>
  <c r="AD49" i="3"/>
  <c r="AF49" i="3" s="1"/>
  <c r="AE49" i="3" s="1"/>
  <c r="AD50" i="3"/>
  <c r="AF50" i="3" s="1"/>
  <c r="AE50" i="3" s="1"/>
  <c r="AD51" i="3"/>
  <c r="AF51" i="3" s="1"/>
  <c r="AE51" i="3" s="1"/>
  <c r="AD52" i="3"/>
  <c r="AF52" i="3" s="1"/>
  <c r="AE52" i="3" s="1"/>
  <c r="AM53" i="3"/>
  <c r="AD55" i="3"/>
  <c r="AF55" i="3" s="1"/>
  <c r="AE55" i="3" s="1"/>
  <c r="T56" i="3"/>
  <c r="AD56" i="3"/>
  <c r="AF56" i="3" s="1"/>
  <c r="AE56" i="3" s="1"/>
  <c r="AO56" i="3"/>
  <c r="AP56" i="3" s="1"/>
  <c r="AD57" i="3"/>
  <c r="AF57" i="3" s="1"/>
  <c r="AE57" i="3" s="1"/>
  <c r="AK57" i="3"/>
  <c r="AM64" i="3"/>
  <c r="AD72" i="3"/>
  <c r="AM73" i="3"/>
  <c r="AM76" i="3"/>
  <c r="AB77" i="3"/>
  <c r="AB78" i="3"/>
  <c r="AB79" i="3"/>
  <c r="AM80" i="3"/>
  <c r="AB81" i="3"/>
  <c r="AM82" i="3"/>
  <c r="AD83" i="3"/>
  <c r="AM84" i="3"/>
  <c r="AB85" i="3"/>
  <c r="AM86" i="3"/>
  <c r="AM87" i="3"/>
  <c r="AM88" i="3"/>
  <c r="AB89" i="3"/>
  <c r="AB90" i="3"/>
  <c r="AB91" i="3"/>
  <c r="AB92" i="3"/>
  <c r="AB93" i="3"/>
  <c r="AK93" i="3"/>
  <c r="AM94" i="3"/>
  <c r="AM95" i="3"/>
  <c r="AD96" i="3"/>
  <c r="AF96" i="3" s="1"/>
  <c r="AE96" i="3" s="1"/>
  <c r="AM97" i="3"/>
  <c r="AD98" i="3"/>
  <c r="AF98" i="3" s="1"/>
  <c r="AE98" i="3" s="1"/>
  <c r="AD99" i="3"/>
  <c r="AF99" i="3" s="1"/>
  <c r="AE99" i="3" s="1"/>
  <c r="AM100" i="3"/>
  <c r="AD101" i="3"/>
  <c r="AF101" i="3" s="1"/>
  <c r="AE101" i="3" s="1"/>
  <c r="AM102" i="3"/>
  <c r="AM103" i="3"/>
  <c r="AF104" i="3"/>
  <c r="AE104" i="3" s="1"/>
  <c r="AF105" i="3"/>
  <c r="AE105" i="3" s="1"/>
  <c r="AP108" i="3"/>
  <c r="AM150" i="3"/>
  <c r="AK150" i="3"/>
  <c r="AK181" i="3"/>
  <c r="AM181" i="3"/>
  <c r="AQ185" i="3"/>
  <c r="AR185" i="3" s="1"/>
  <c r="P185" i="3"/>
  <c r="AE203" i="3"/>
  <c r="AE230" i="3"/>
  <c r="AE229" i="3" s="1"/>
  <c r="AE228" i="3" s="1"/>
  <c r="AF229" i="3"/>
  <c r="AF228" i="3" s="1"/>
  <c r="AB244" i="3"/>
  <c r="AB243" i="3" s="1"/>
  <c r="AB236" i="3" s="1"/>
  <c r="AF251" i="3"/>
  <c r="AE251" i="3" s="1"/>
  <c r="AD251" i="3"/>
  <c r="AM256" i="3"/>
  <c r="AK256" i="3"/>
  <c r="AK268" i="3"/>
  <c r="AA283" i="3"/>
  <c r="AA282" i="3" s="1"/>
  <c r="M319" i="9"/>
  <c r="M318" i="9" s="1"/>
  <c r="M317" i="9" s="1"/>
  <c r="R326" i="9"/>
  <c r="R325" i="9" s="1"/>
  <c r="R324" i="9" s="1"/>
  <c r="T329" i="9"/>
  <c r="T336" i="9"/>
  <c r="T338" i="9"/>
  <c r="T340" i="9"/>
  <c r="R345" i="9"/>
  <c r="S383" i="9"/>
  <c r="S380" i="9" s="1"/>
  <c r="S379" i="9" s="1"/>
  <c r="S392" i="9"/>
  <c r="S386" i="9" s="1"/>
  <c r="S385" i="9" s="1"/>
  <c r="M429" i="9"/>
  <c r="U430" i="9"/>
  <c r="U428" i="9" s="1"/>
  <c r="R450" i="9"/>
  <c r="R452" i="9"/>
  <c r="R454" i="9"/>
  <c r="S498" i="9"/>
  <c r="S489" i="9" s="1"/>
  <c r="S488" i="9" s="1"/>
  <c r="S478" i="9" s="1"/>
  <c r="AD26" i="3"/>
  <c r="AD27" i="3"/>
  <c r="AD30" i="3"/>
  <c r="AD31" i="3"/>
  <c r="AD35" i="3"/>
  <c r="AD36" i="3"/>
  <c r="AD39" i="3"/>
  <c r="AD40" i="3"/>
  <c r="AF40" i="3" s="1"/>
  <c r="AD41" i="3"/>
  <c r="AF41" i="3" s="1"/>
  <c r="AE41" i="3" s="1"/>
  <c r="AD42" i="3"/>
  <c r="AF42" i="3" s="1"/>
  <c r="AE42" i="3" s="1"/>
  <c r="AD47" i="3"/>
  <c r="AD48" i="3"/>
  <c r="AF48" i="3" s="1"/>
  <c r="AE48" i="3" s="1"/>
  <c r="S51" i="3"/>
  <c r="S52" i="3"/>
  <c r="AD53" i="3"/>
  <c r="AF53" i="3" s="1"/>
  <c r="AE53" i="3" s="1"/>
  <c r="AD54" i="3"/>
  <c r="AF54" i="3" s="1"/>
  <c r="AE54" i="3" s="1"/>
  <c r="O56" i="3"/>
  <c r="AD64" i="3"/>
  <c r="AD73" i="3"/>
  <c r="AD97" i="3"/>
  <c r="AF97" i="3" s="1"/>
  <c r="AE97" i="3" s="1"/>
  <c r="AD100" i="3"/>
  <c r="AF100" i="3" s="1"/>
  <c r="AE100" i="3" s="1"/>
  <c r="AD102" i="3"/>
  <c r="AF102" i="3" s="1"/>
  <c r="AE102" i="3" s="1"/>
  <c r="AD103" i="3"/>
  <c r="AF103" i="3" s="1"/>
  <c r="AE103" i="3" s="1"/>
  <c r="AM106" i="3"/>
  <c r="AM125" i="3"/>
  <c r="AF128" i="3"/>
  <c r="AF127" i="3" s="1"/>
  <c r="AE131" i="3"/>
  <c r="AE128" i="3" s="1"/>
  <c r="AE127" i="3" s="1"/>
  <c r="AE140" i="3"/>
  <c r="AE156" i="3"/>
  <c r="AE155" i="3" s="1"/>
  <c r="AF155" i="3"/>
  <c r="AM157" i="3"/>
  <c r="AK157" i="3"/>
  <c r="AF160" i="3"/>
  <c r="AF159" i="3" s="1"/>
  <c r="AE163" i="3"/>
  <c r="AE160" i="3" s="1"/>
  <c r="AE159" i="3" s="1"/>
  <c r="AK169" i="3"/>
  <c r="AM169" i="3"/>
  <c r="AE169" i="3"/>
  <c r="AM171" i="3"/>
  <c r="AK171" i="3"/>
  <c r="AM175" i="3"/>
  <c r="AK175" i="3"/>
  <c r="AK179" i="3"/>
  <c r="AM179" i="3"/>
  <c r="AC180" i="3"/>
  <c r="AM180" i="3"/>
  <c r="AK180" i="3"/>
  <c r="AC182" i="3"/>
  <c r="AM182" i="3"/>
  <c r="AK182" i="3"/>
  <c r="AC183" i="3"/>
  <c r="S183" i="3"/>
  <c r="AC185" i="3"/>
  <c r="S185" i="3"/>
  <c r="AC189" i="3"/>
  <c r="AE199" i="3"/>
  <c r="AE196" i="3" s="1"/>
  <c r="AE195" i="3" s="1"/>
  <c r="AF196" i="3"/>
  <c r="AF195" i="3" s="1"/>
  <c r="AF221" i="3"/>
  <c r="AF220" i="3" s="1"/>
  <c r="AF219" i="3" s="1"/>
  <c r="AE224" i="3"/>
  <c r="AE221" i="3" s="1"/>
  <c r="AE220" i="3" s="1"/>
  <c r="AE219" i="3" s="1"/>
  <c r="M225" i="3"/>
  <c r="AQ225" i="3"/>
  <c r="AR225" i="3" s="1"/>
  <c r="AF238" i="3"/>
  <c r="AF237" i="3" s="1"/>
  <c r="AE241" i="3"/>
  <c r="AE238" i="3" s="1"/>
  <c r="AE237" i="3" s="1"/>
  <c r="AC247" i="3"/>
  <c r="AM286" i="3"/>
  <c r="AK286" i="3"/>
  <c r="AE286" i="3"/>
  <c r="AE283" i="3" s="1"/>
  <c r="AE282" i="3" s="1"/>
  <c r="AF283" i="3"/>
  <c r="AF282" i="3" s="1"/>
  <c r="AD108" i="3"/>
  <c r="AF108" i="3" s="1"/>
  <c r="AE108" i="3" s="1"/>
  <c r="AD109" i="3"/>
  <c r="AF109" i="3" s="1"/>
  <c r="AE109" i="3" s="1"/>
  <c r="AM110" i="3"/>
  <c r="AD111" i="3"/>
  <c r="AF111" i="3" s="1"/>
  <c r="AE111" i="3" s="1"/>
  <c r="AD112" i="3"/>
  <c r="AF112" i="3" s="1"/>
  <c r="AE112" i="3" s="1"/>
  <c r="AM113" i="3"/>
  <c r="AD114" i="3"/>
  <c r="AF114" i="3" s="1"/>
  <c r="AE114" i="3" s="1"/>
  <c r="AM115" i="3"/>
  <c r="AD116" i="3"/>
  <c r="AF116" i="3" s="1"/>
  <c r="AE116" i="3" s="1"/>
  <c r="AM117" i="3"/>
  <c r="AD118" i="3"/>
  <c r="AF118" i="3" s="1"/>
  <c r="AE118" i="3" s="1"/>
  <c r="AM119" i="3"/>
  <c r="AM120" i="3"/>
  <c r="AD121" i="3"/>
  <c r="AF121" i="3" s="1"/>
  <c r="AE121" i="3" s="1"/>
  <c r="AM123" i="3"/>
  <c r="AO125" i="3"/>
  <c r="AP125" i="3" s="1"/>
  <c r="AQ125" i="3"/>
  <c r="AR125" i="3" s="1"/>
  <c r="AM131" i="3"/>
  <c r="AD132" i="3"/>
  <c r="T134" i="3"/>
  <c r="AJ134" i="3" s="1"/>
  <c r="AM135" i="3"/>
  <c r="AM136" i="3"/>
  <c r="AD137" i="3"/>
  <c r="AK137" i="3"/>
  <c r="AM140" i="3"/>
  <c r="AD141" i="3"/>
  <c r="AM142" i="3"/>
  <c r="AD143" i="3"/>
  <c r="AM144" i="3"/>
  <c r="AM145" i="3"/>
  <c r="AD146" i="3"/>
  <c r="AF146" i="3" s="1"/>
  <c r="AE146" i="3" s="1"/>
  <c r="AM147" i="3"/>
  <c r="AD148" i="3"/>
  <c r="AF148" i="3" s="1"/>
  <c r="AE148" i="3" s="1"/>
  <c r="AM149" i="3"/>
  <c r="AD150" i="3"/>
  <c r="AF150" i="3" s="1"/>
  <c r="AE150" i="3" s="1"/>
  <c r="AO150" i="3"/>
  <c r="AP150" i="3" s="1"/>
  <c r="AM151" i="3"/>
  <c r="AD152" i="3"/>
  <c r="AF152" i="3" s="1"/>
  <c r="AE152" i="3" s="1"/>
  <c r="AM153" i="3"/>
  <c r="AJ154" i="3"/>
  <c r="AR154" i="3"/>
  <c r="AD156" i="3"/>
  <c r="AD155" i="3" s="1"/>
  <c r="AD157" i="3"/>
  <c r="AF157" i="3" s="1"/>
  <c r="AE157" i="3" s="1"/>
  <c r="AM164" i="3"/>
  <c r="AM165" i="3"/>
  <c r="AM166" i="3"/>
  <c r="AD170" i="3"/>
  <c r="AO170" i="3"/>
  <c r="AP170" i="3" s="1"/>
  <c r="T172" i="3"/>
  <c r="AJ172" i="3" s="1"/>
  <c r="AD172" i="3"/>
  <c r="AO172" i="3"/>
  <c r="AP172" i="3" s="1"/>
  <c r="T173" i="3"/>
  <c r="AJ173" i="3" s="1"/>
  <c r="Z173" i="3"/>
  <c r="AO173" i="3"/>
  <c r="AP173" i="3" s="1"/>
  <c r="T174" i="3"/>
  <c r="AJ174" i="3" s="1"/>
  <c r="AO174" i="3"/>
  <c r="AP174" i="3" s="1"/>
  <c r="T176" i="3"/>
  <c r="AJ176" i="3" s="1"/>
  <c r="AD177" i="3"/>
  <c r="AO177" i="3"/>
  <c r="AP177" i="3" s="1"/>
  <c r="T178" i="3"/>
  <c r="AJ178" i="3" s="1"/>
  <c r="AD178" i="3"/>
  <c r="AO178" i="3"/>
  <c r="AP178" i="3" s="1"/>
  <c r="AC179" i="3"/>
  <c r="AD180" i="3"/>
  <c r="AC181" i="3"/>
  <c r="AD182" i="3"/>
  <c r="AD183" i="3"/>
  <c r="AO183" i="3"/>
  <c r="AP183" i="3" s="1"/>
  <c r="T184" i="3"/>
  <c r="AJ184" i="3" s="1"/>
  <c r="AJ186" i="3"/>
  <c r="Q187" i="3"/>
  <c r="AJ187" i="3"/>
  <c r="AJ188" i="3"/>
  <c r="AJ190" i="3"/>
  <c r="AJ191" i="3"/>
  <c r="AD192" i="3"/>
  <c r="AF192" i="3" s="1"/>
  <c r="AE192" i="3" s="1"/>
  <c r="AD199" i="3"/>
  <c r="AM200" i="3"/>
  <c r="T203" i="3"/>
  <c r="AO203" i="3"/>
  <c r="AP203" i="3" s="1"/>
  <c r="AD204" i="3"/>
  <c r="AD205" i="3"/>
  <c r="AM206" i="3"/>
  <c r="AM207" i="3"/>
  <c r="AM208" i="3"/>
  <c r="AM209" i="3"/>
  <c r="AM210" i="3"/>
  <c r="AD211" i="3"/>
  <c r="AM212" i="3"/>
  <c r="AM213" i="3"/>
  <c r="AP213" i="3"/>
  <c r="AD214" i="3"/>
  <c r="AF214" i="3" s="1"/>
  <c r="AE214" i="3" s="1"/>
  <c r="AM215" i="3"/>
  <c r="AD216" i="3"/>
  <c r="AM217" i="3"/>
  <c r="AD218" i="3"/>
  <c r="AM224" i="3"/>
  <c r="AK226" i="3"/>
  <c r="AD230" i="3"/>
  <c r="AD229" i="3" s="1"/>
  <c r="AD228" i="3" s="1"/>
  <c r="AM231" i="3"/>
  <c r="AM233" i="3"/>
  <c r="T241" i="3"/>
  <c r="AJ241" i="3" s="1"/>
  <c r="AM247" i="3"/>
  <c r="AM248" i="3"/>
  <c r="AM249" i="3"/>
  <c r="AM250" i="3"/>
  <c r="AM252" i="3"/>
  <c r="AM253" i="3"/>
  <c r="AM254" i="3"/>
  <c r="AM255" i="3"/>
  <c r="AD256" i="3"/>
  <c r="AO256" i="3"/>
  <c r="AP256" i="3" s="1"/>
  <c r="AM257" i="3"/>
  <c r="AD258" i="3"/>
  <c r="AF258" i="3" s="1"/>
  <c r="AE258" i="3" s="1"/>
  <c r="AD259" i="3"/>
  <c r="AD260" i="3"/>
  <c r="AM261" i="3"/>
  <c r="AD262" i="3"/>
  <c r="AF262" i="3" s="1"/>
  <c r="AE262" i="3" s="1"/>
  <c r="AM263" i="3"/>
  <c r="AD264" i="3"/>
  <c r="AF264" i="3" s="1"/>
  <c r="AE264" i="3" s="1"/>
  <c r="AM265" i="3"/>
  <c r="AD266" i="3"/>
  <c r="AF266" i="3" s="1"/>
  <c r="AE266" i="3" s="1"/>
  <c r="AJ267" i="3"/>
  <c r="AR267" i="3"/>
  <c r="AD268" i="3"/>
  <c r="AF268" i="3" s="1"/>
  <c r="AE268" i="3" s="1"/>
  <c r="AO268" i="3"/>
  <c r="AP268" i="3" s="1"/>
  <c r="AD270" i="3"/>
  <c r="AF270" i="3" s="1"/>
  <c r="AD271" i="3"/>
  <c r="AF271" i="3" s="1"/>
  <c r="AE271" i="3" s="1"/>
  <c r="AM272" i="3"/>
  <c r="AM273" i="3"/>
  <c r="AM274" i="3"/>
  <c r="AM275" i="3"/>
  <c r="AM276" i="3"/>
  <c r="AM277" i="3"/>
  <c r="AM278" i="3"/>
  <c r="AM279" i="3"/>
  <c r="AM280" i="3"/>
  <c r="AD286" i="3"/>
  <c r="AM287" i="3"/>
  <c r="AK287" i="3"/>
  <c r="AC295" i="3"/>
  <c r="AC308" i="3"/>
  <c r="S308" i="3"/>
  <c r="AM309" i="3"/>
  <c r="AK309" i="3"/>
  <c r="AE327" i="3"/>
  <c r="AM328" i="3"/>
  <c r="AK328" i="3"/>
  <c r="AM339" i="3"/>
  <c r="AK339" i="3"/>
  <c r="AM341" i="3"/>
  <c r="AK341" i="3"/>
  <c r="AM343" i="3"/>
  <c r="AK343" i="3"/>
  <c r="AM345" i="3"/>
  <c r="AK345" i="3"/>
  <c r="AM347" i="3"/>
  <c r="AK347" i="3"/>
  <c r="AM349" i="3"/>
  <c r="AK349" i="3"/>
  <c r="AH17" i="5"/>
  <c r="S17" i="5"/>
  <c r="AH106" i="5"/>
  <c r="T27" i="5"/>
  <c r="T26" i="5" s="1"/>
  <c r="T19" i="5" s="1"/>
  <c r="T18" i="5" s="1"/>
  <c r="N139" i="5"/>
  <c r="N138" i="5" s="1"/>
  <c r="N137" i="5" s="1"/>
  <c r="M177" i="5"/>
  <c r="M139" i="5" s="1"/>
  <c r="M138" i="5" s="1"/>
  <c r="M137" i="5" s="1"/>
  <c r="AH373" i="5"/>
  <c r="S373" i="5"/>
  <c r="S358" i="5" s="1"/>
  <c r="S357" i="5" s="1"/>
  <c r="S349" i="5" s="1"/>
  <c r="T358" i="5"/>
  <c r="AD106" i="3"/>
  <c r="AF106" i="3" s="1"/>
  <c r="AE106" i="3" s="1"/>
  <c r="AD110" i="3"/>
  <c r="AF110" i="3" s="1"/>
  <c r="AD113" i="3"/>
  <c r="AF113" i="3" s="1"/>
  <c r="AE113" i="3" s="1"/>
  <c r="AD115" i="3"/>
  <c r="AF115" i="3" s="1"/>
  <c r="AE115" i="3" s="1"/>
  <c r="AD117" i="3"/>
  <c r="AF117" i="3" s="1"/>
  <c r="AE117" i="3" s="1"/>
  <c r="AD119" i="3"/>
  <c r="AF119" i="3" s="1"/>
  <c r="AE119" i="3" s="1"/>
  <c r="AD120" i="3"/>
  <c r="AF120" i="3" s="1"/>
  <c r="AE120" i="3" s="1"/>
  <c r="AD122" i="3"/>
  <c r="AF122" i="3" s="1"/>
  <c r="AE122" i="3" s="1"/>
  <c r="AD123" i="3"/>
  <c r="AF123" i="3" s="1"/>
  <c r="AE123" i="3" s="1"/>
  <c r="O125" i="3"/>
  <c r="AD131" i="3"/>
  <c r="O134" i="3"/>
  <c r="O128" i="3" s="1"/>
  <c r="O127" i="3" s="1"/>
  <c r="AD135" i="3"/>
  <c r="AD136" i="3"/>
  <c r="AD140" i="3"/>
  <c r="AD142" i="3"/>
  <c r="AD144" i="3"/>
  <c r="AF144" i="3" s="1"/>
  <c r="AD145" i="3"/>
  <c r="AF145" i="3" s="1"/>
  <c r="AE145" i="3" s="1"/>
  <c r="AD147" i="3"/>
  <c r="AF147" i="3" s="1"/>
  <c r="AE147" i="3" s="1"/>
  <c r="AD149" i="3"/>
  <c r="AF149" i="3" s="1"/>
  <c r="AE149" i="3" s="1"/>
  <c r="O150" i="3"/>
  <c r="AD151" i="3"/>
  <c r="AF151" i="3" s="1"/>
  <c r="AE151" i="3" s="1"/>
  <c r="AD153" i="3"/>
  <c r="AF153" i="3" s="1"/>
  <c r="AE153" i="3" s="1"/>
  <c r="AD154" i="3"/>
  <c r="AF154" i="3" s="1"/>
  <c r="AE154" i="3" s="1"/>
  <c r="S157" i="3"/>
  <c r="S155" i="3" s="1"/>
  <c r="S138" i="3" s="1"/>
  <c r="S126" i="3" s="1"/>
  <c r="AD163" i="3"/>
  <c r="AD164" i="3"/>
  <c r="AD165" i="3"/>
  <c r="AD166" i="3"/>
  <c r="T170" i="3"/>
  <c r="AJ170" i="3" s="1"/>
  <c r="O174" i="3"/>
  <c r="S174" i="3" s="1"/>
  <c r="Z176" i="3"/>
  <c r="T177" i="3"/>
  <c r="AJ177" i="3" s="1"/>
  <c r="AD179" i="3"/>
  <c r="AD181" i="3"/>
  <c r="T183" i="3"/>
  <c r="AJ183" i="3" s="1"/>
  <c r="AD184" i="3"/>
  <c r="AD186" i="3"/>
  <c r="AF186" i="3" s="1"/>
  <c r="AE186" i="3" s="1"/>
  <c r="AD187" i="3"/>
  <c r="AF187" i="3" s="1"/>
  <c r="AE187" i="3" s="1"/>
  <c r="AH187" i="3"/>
  <c r="AD188" i="3"/>
  <c r="AF188" i="3" s="1"/>
  <c r="AE188" i="3" s="1"/>
  <c r="AH188" i="3"/>
  <c r="AD190" i="3"/>
  <c r="AH190" i="3"/>
  <c r="AD191" i="3"/>
  <c r="AF191" i="3" s="1"/>
  <c r="AE191" i="3" s="1"/>
  <c r="AH191" i="3"/>
  <c r="AD193" i="3"/>
  <c r="AF193" i="3" s="1"/>
  <c r="AE193" i="3" s="1"/>
  <c r="AD200" i="3"/>
  <c r="O203" i="3"/>
  <c r="O202" i="3" s="1"/>
  <c r="O201" i="3" s="1"/>
  <c r="O194" i="3" s="1"/>
  <c r="AD206" i="3"/>
  <c r="AD207" i="3"/>
  <c r="AD208" i="3"/>
  <c r="AD209" i="3"/>
  <c r="AD210" i="3"/>
  <c r="AD212" i="3"/>
  <c r="AF212" i="3" s="1"/>
  <c r="AD213" i="3"/>
  <c r="AF213" i="3" s="1"/>
  <c r="AE213" i="3" s="1"/>
  <c r="AD215" i="3"/>
  <c r="AD217" i="3"/>
  <c r="AD224" i="3"/>
  <c r="AD221" i="3" s="1"/>
  <c r="AD220" i="3" s="1"/>
  <c r="AD241" i="3"/>
  <c r="AD242" i="3"/>
  <c r="AD245" i="3"/>
  <c r="AD246" i="3"/>
  <c r="AD247" i="3"/>
  <c r="AD248" i="3"/>
  <c r="AD249" i="3"/>
  <c r="AD250" i="3"/>
  <c r="AD252" i="3"/>
  <c r="AD253" i="3"/>
  <c r="AF253" i="3" s="1"/>
  <c r="AE253" i="3" s="1"/>
  <c r="AD254" i="3"/>
  <c r="AD255" i="3"/>
  <c r="O256" i="3"/>
  <c r="AC256" i="3" s="1"/>
  <c r="AD257" i="3"/>
  <c r="AF257" i="3" s="1"/>
  <c r="AE257" i="3" s="1"/>
  <c r="AD261" i="3"/>
  <c r="AF261" i="3" s="1"/>
  <c r="AE261" i="3" s="1"/>
  <c r="AD263" i="3"/>
  <c r="AF263" i="3" s="1"/>
  <c r="AE263" i="3" s="1"/>
  <c r="AD265" i="3"/>
  <c r="AF265" i="3" s="1"/>
  <c r="AE265" i="3" s="1"/>
  <c r="O267" i="3"/>
  <c r="AC267" i="3" s="1"/>
  <c r="AD267" i="3"/>
  <c r="AF267" i="3" s="1"/>
  <c r="AE267" i="3" s="1"/>
  <c r="AC270" i="3"/>
  <c r="AC271" i="3"/>
  <c r="AD272" i="3"/>
  <c r="AF272" i="3" s="1"/>
  <c r="AE272" i="3" s="1"/>
  <c r="AD273" i="3"/>
  <c r="AF273" i="3" s="1"/>
  <c r="AE273" i="3" s="1"/>
  <c r="AD274" i="3"/>
  <c r="AF274" i="3" s="1"/>
  <c r="AE274" i="3" s="1"/>
  <c r="AD275" i="3"/>
  <c r="AF275" i="3" s="1"/>
  <c r="AE275" i="3" s="1"/>
  <c r="AD276" i="3"/>
  <c r="AF276" i="3" s="1"/>
  <c r="AE276" i="3" s="1"/>
  <c r="AD277" i="3"/>
  <c r="AF277" i="3" s="1"/>
  <c r="AE277" i="3" s="1"/>
  <c r="AD278" i="3"/>
  <c r="AF278" i="3" s="1"/>
  <c r="AE278" i="3" s="1"/>
  <c r="AD279" i="3"/>
  <c r="AF279" i="3" s="1"/>
  <c r="AE279" i="3" s="1"/>
  <c r="AD280" i="3"/>
  <c r="AF280" i="3" s="1"/>
  <c r="AE280" i="3" s="1"/>
  <c r="AC292" i="3"/>
  <c r="AE292" i="3"/>
  <c r="AM302" i="3"/>
  <c r="AK302" i="3"/>
  <c r="P306" i="3"/>
  <c r="AQ306" i="3"/>
  <c r="AR306" i="3" s="1"/>
  <c r="M306" i="3"/>
  <c r="AK308" i="3"/>
  <c r="AM308" i="3"/>
  <c r="AM315" i="3"/>
  <c r="AK315" i="3"/>
  <c r="AM321" i="3"/>
  <c r="AK321" i="3"/>
  <c r="AE321" i="3"/>
  <c r="AE318" i="3" s="1"/>
  <c r="AE317" i="3" s="1"/>
  <c r="AF318" i="3"/>
  <c r="AF317" i="3" s="1"/>
  <c r="AM329" i="3"/>
  <c r="AK329" i="3"/>
  <c r="AK331" i="3"/>
  <c r="AM333" i="3"/>
  <c r="AK333" i="3"/>
  <c r="AK335" i="3"/>
  <c r="AC365" i="3"/>
  <c r="AA326" i="3"/>
  <c r="AA325" i="3" s="1"/>
  <c r="O378" i="3"/>
  <c r="M326" i="3"/>
  <c r="M325" i="3" s="1"/>
  <c r="AM379" i="3"/>
  <c r="AK379" i="3"/>
  <c r="H27" i="5"/>
  <c r="H26" i="5" s="1"/>
  <c r="H19" i="5" s="1"/>
  <c r="H18" i="5" s="1"/>
  <c r="AH135" i="5"/>
  <c r="S135" i="5"/>
  <c r="S117" i="5" s="1"/>
  <c r="S116" i="5" s="1"/>
  <c r="S107" i="5" s="1"/>
  <c r="T117" i="5"/>
  <c r="AH366" i="5"/>
  <c r="S366" i="5"/>
  <c r="AH384" i="5"/>
  <c r="S384" i="5"/>
  <c r="S380" i="5" s="1"/>
  <c r="S379" i="5" s="1"/>
  <c r="T380" i="5"/>
  <c r="AH390" i="5"/>
  <c r="S390" i="5"/>
  <c r="AD287" i="3"/>
  <c r="AO287" i="3"/>
  <c r="AP287" i="3" s="1"/>
  <c r="AJ288" i="3"/>
  <c r="AM289" i="3"/>
  <c r="AD292" i="3"/>
  <c r="AJ293" i="3"/>
  <c r="AC294" i="3"/>
  <c r="AM294" i="3"/>
  <c r="AD295" i="3"/>
  <c r="AD296" i="3"/>
  <c r="AJ297" i="3"/>
  <c r="AD298" i="3"/>
  <c r="AM299" i="3"/>
  <c r="AD300" i="3"/>
  <c r="AM301" i="3"/>
  <c r="AD302" i="3"/>
  <c r="AO302" i="3"/>
  <c r="AP302" i="3" s="1"/>
  <c r="AM303" i="3"/>
  <c r="AD304" i="3"/>
  <c r="AF304" i="3" s="1"/>
  <c r="AE304" i="3" s="1"/>
  <c r="S305" i="3"/>
  <c r="AM307" i="3"/>
  <c r="AD309" i="3"/>
  <c r="AF309" i="3" s="1"/>
  <c r="AE309" i="3" s="1"/>
  <c r="AO309" i="3"/>
  <c r="AP309" i="3" s="1"/>
  <c r="AJ310" i="3"/>
  <c r="AR310" i="3"/>
  <c r="AM311" i="3"/>
  <c r="AM312" i="3"/>
  <c r="AD314" i="3"/>
  <c r="AD315" i="3"/>
  <c r="AF315" i="3" s="1"/>
  <c r="AE315" i="3" s="1"/>
  <c r="AD321" i="3"/>
  <c r="AO321" i="3"/>
  <c r="AP321" i="3" s="1"/>
  <c r="AJ322" i="3"/>
  <c r="AM323" i="3"/>
  <c r="AM324" i="3"/>
  <c r="AD327" i="3"/>
  <c r="AD328" i="3"/>
  <c r="AO328" i="3"/>
  <c r="AP328" i="3" s="1"/>
  <c r="AD329" i="3"/>
  <c r="AO329" i="3"/>
  <c r="AP329" i="3" s="1"/>
  <c r="AJ330" i="3"/>
  <c r="AD331" i="3"/>
  <c r="AO331" i="3"/>
  <c r="AP331" i="3" s="1"/>
  <c r="AJ332" i="3"/>
  <c r="AD333" i="3"/>
  <c r="AO333" i="3"/>
  <c r="AP333" i="3" s="1"/>
  <c r="AJ334" i="3"/>
  <c r="AD335" i="3"/>
  <c r="AO335" i="3"/>
  <c r="AP335" i="3" s="1"/>
  <c r="AJ336" i="3"/>
  <c r="AD337" i="3"/>
  <c r="AJ338" i="3"/>
  <c r="AD339" i="3"/>
  <c r="AO339" i="3"/>
  <c r="AP339" i="3" s="1"/>
  <c r="AJ340" i="3"/>
  <c r="AD341" i="3"/>
  <c r="AO341" i="3"/>
  <c r="AP341" i="3" s="1"/>
  <c r="AJ342" i="3"/>
  <c r="AD343" i="3"/>
  <c r="AO343" i="3"/>
  <c r="AP343" i="3" s="1"/>
  <c r="AJ344" i="3"/>
  <c r="AD345" i="3"/>
  <c r="AO345" i="3"/>
  <c r="AP345" i="3" s="1"/>
  <c r="AJ346" i="3"/>
  <c r="AD347" i="3"/>
  <c r="AO347" i="3"/>
  <c r="AP347" i="3" s="1"/>
  <c r="AJ348" i="3"/>
  <c r="AD349" i="3"/>
  <c r="AO349" i="3"/>
  <c r="AP349" i="3" s="1"/>
  <c r="AM350" i="3"/>
  <c r="AD351" i="3"/>
  <c r="AM352" i="3"/>
  <c r="AD353" i="3"/>
  <c r="AM354" i="3"/>
  <c r="AD355" i="3"/>
  <c r="AM356" i="3"/>
  <c r="AD357" i="3"/>
  <c r="AM358" i="3"/>
  <c r="AD359" i="3"/>
  <c r="AM360" i="3"/>
  <c r="AD361" i="3"/>
  <c r="AM362" i="3"/>
  <c r="AD363" i="3"/>
  <c r="AM364" i="3"/>
  <c r="AD365" i="3"/>
  <c r="AD366" i="3"/>
  <c r="AD367" i="3"/>
  <c r="AM368" i="3"/>
  <c r="AD369" i="3"/>
  <c r="AF369" i="3" s="1"/>
  <c r="AE369" i="3" s="1"/>
  <c r="AK369" i="3"/>
  <c r="AD370" i="3"/>
  <c r="AM371" i="3"/>
  <c r="AD372" i="3"/>
  <c r="AF372" i="3" s="1"/>
  <c r="AE372" i="3" s="1"/>
  <c r="AK372" i="3"/>
  <c r="AD374" i="3"/>
  <c r="AF374" i="3" s="1"/>
  <c r="AE374" i="3" s="1"/>
  <c r="AK374" i="3"/>
  <c r="AD376" i="3"/>
  <c r="AF376" i="3" s="1"/>
  <c r="AE376" i="3" s="1"/>
  <c r="AK376" i="3"/>
  <c r="AD379" i="3"/>
  <c r="AF379" i="3" s="1"/>
  <c r="AE379" i="3" s="1"/>
  <c r="AO379" i="3"/>
  <c r="AP379" i="3" s="1"/>
  <c r="O17" i="5"/>
  <c r="R36" i="5"/>
  <c r="R37" i="5"/>
  <c r="R38" i="5"/>
  <c r="R39" i="5"/>
  <c r="R40" i="5"/>
  <c r="R41" i="5"/>
  <c r="R42" i="5"/>
  <c r="R43" i="5"/>
  <c r="R44" i="5"/>
  <c r="R45" i="5"/>
  <c r="R46" i="5"/>
  <c r="R55" i="5"/>
  <c r="R56" i="5"/>
  <c r="R58" i="5"/>
  <c r="R60" i="5"/>
  <c r="AH72" i="5"/>
  <c r="AH74" i="5"/>
  <c r="AH76" i="5"/>
  <c r="AH82" i="5"/>
  <c r="AH84" i="5"/>
  <c r="R99" i="5"/>
  <c r="T331" i="5"/>
  <c r="T381" i="5"/>
  <c r="AH381" i="5" s="1"/>
  <c r="T382" i="5"/>
  <c r="AH382" i="5" s="1"/>
  <c r="S388" i="5"/>
  <c r="O390" i="5"/>
  <c r="S391" i="5"/>
  <c r="AH404" i="5"/>
  <c r="S404" i="5"/>
  <c r="S400" i="5" s="1"/>
  <c r="S399" i="5" s="1"/>
  <c r="S398" i="5" s="1"/>
  <c r="T400" i="5"/>
  <c r="AM35" i="8"/>
  <c r="AN35" i="8"/>
  <c r="AN41" i="8"/>
  <c r="AM41" i="8"/>
  <c r="X41" i="8"/>
  <c r="AD288" i="3"/>
  <c r="AD289" i="3"/>
  <c r="AD293" i="3"/>
  <c r="AD294" i="3"/>
  <c r="AD297" i="3"/>
  <c r="AD299" i="3"/>
  <c r="AD301" i="3"/>
  <c r="AD303" i="3"/>
  <c r="AF303" i="3" s="1"/>
  <c r="T305" i="3"/>
  <c r="AJ305" i="3" s="1"/>
  <c r="AD305" i="3"/>
  <c r="AD307" i="3"/>
  <c r="AF307" i="3" s="1"/>
  <c r="AE307" i="3" s="1"/>
  <c r="AD308" i="3"/>
  <c r="AF308" i="3" s="1"/>
  <c r="AE308" i="3" s="1"/>
  <c r="AD310" i="3"/>
  <c r="AF310" i="3" s="1"/>
  <c r="AE310" i="3" s="1"/>
  <c r="AD311" i="3"/>
  <c r="AF311" i="3" s="1"/>
  <c r="AE311" i="3" s="1"/>
  <c r="AD312" i="3"/>
  <c r="AF312" i="3" s="1"/>
  <c r="AE312" i="3" s="1"/>
  <c r="Q315" i="3"/>
  <c r="M322" i="3"/>
  <c r="M318" i="3" s="1"/>
  <c r="M317" i="3" s="1"/>
  <c r="M316" i="3" s="1"/>
  <c r="O322" i="3"/>
  <c r="AD322" i="3"/>
  <c r="AD323" i="3"/>
  <c r="AD324" i="3"/>
  <c r="AD330" i="3"/>
  <c r="AD332" i="3"/>
  <c r="AD334" i="3"/>
  <c r="AD336" i="3"/>
  <c r="AD338" i="3"/>
  <c r="AD340" i="3"/>
  <c r="AD342" i="3"/>
  <c r="AD344" i="3"/>
  <c r="AD346" i="3"/>
  <c r="AD348" i="3"/>
  <c r="AD350" i="3"/>
  <c r="AD352" i="3"/>
  <c r="AD354" i="3"/>
  <c r="AD356" i="3"/>
  <c r="AD358" i="3"/>
  <c r="AD360" i="3"/>
  <c r="AD362" i="3"/>
  <c r="AD364" i="3"/>
  <c r="AF364" i="3" s="1"/>
  <c r="AD368" i="3"/>
  <c r="AD371" i="3"/>
  <c r="AD373" i="3"/>
  <c r="AF373" i="3" s="1"/>
  <c r="AE373" i="3" s="1"/>
  <c r="AD375" i="3"/>
  <c r="AF375" i="3" s="1"/>
  <c r="AE375" i="3" s="1"/>
  <c r="AD377" i="3"/>
  <c r="AF377" i="3" s="1"/>
  <c r="AE377" i="3" s="1"/>
  <c r="AD378" i="3"/>
  <c r="AF378" i="3" s="1"/>
  <c r="AE378" i="3" s="1"/>
  <c r="R47" i="5"/>
  <c r="R48" i="5"/>
  <c r="R52" i="5"/>
  <c r="R54" i="5"/>
  <c r="R62" i="5"/>
  <c r="R92" i="5"/>
  <c r="R95" i="5"/>
  <c r="Q106" i="5"/>
  <c r="Q27" i="5" s="1"/>
  <c r="Q26" i="5" s="1"/>
  <c r="Q19" i="5" s="1"/>
  <c r="Q18" i="5" s="1"/>
  <c r="Q16" i="5" s="1"/>
  <c r="O332" i="5"/>
  <c r="O325" i="5" s="1"/>
  <c r="O324" i="5" s="1"/>
  <c r="O317" i="5" s="1"/>
  <c r="R332" i="5"/>
  <c r="R325" i="5" s="1"/>
  <c r="R324" i="5" s="1"/>
  <c r="R317" i="5" s="1"/>
  <c r="R316" i="5" s="1"/>
  <c r="S393" i="5"/>
  <c r="S392" i="5" s="1"/>
  <c r="T392" i="5"/>
  <c r="AH392" i="5" s="1"/>
  <c r="AH393" i="5"/>
  <c r="R24" i="14"/>
  <c r="T17" i="8"/>
  <c r="AM18" i="8"/>
  <c r="X18" i="8"/>
  <c r="AN18" i="8"/>
  <c r="Y17" i="8"/>
  <c r="AN23" i="8"/>
  <c r="AM23" i="8"/>
  <c r="X23" i="8"/>
  <c r="AN26" i="8"/>
  <c r="AM26" i="8"/>
  <c r="X26" i="8"/>
  <c r="AN32" i="8"/>
  <c r="AM32" i="8"/>
  <c r="X32" i="8"/>
  <c r="AN38" i="8"/>
  <c r="AM38" i="8"/>
  <c r="X38" i="8"/>
  <c r="AO75" i="8"/>
  <c r="I53" i="8"/>
  <c r="T397" i="5"/>
  <c r="AJ397" i="5"/>
  <c r="O404" i="5"/>
  <c r="O400" i="5" s="1"/>
  <c r="O399" i="5" s="1"/>
  <c r="O398" i="5" s="1"/>
  <c r="AH425" i="5"/>
  <c r="S427" i="5"/>
  <c r="S420" i="5" s="1"/>
  <c r="AT17" i="7"/>
  <c r="AR65" i="7"/>
  <c r="AT112" i="7"/>
  <c r="AR118" i="7"/>
  <c r="S151" i="7"/>
  <c r="S149" i="7" s="1"/>
  <c r="U95" i="7"/>
  <c r="AR160" i="7"/>
  <c r="BD178" i="7"/>
  <c r="P178" i="7"/>
  <c r="T178" i="7"/>
  <c r="T167" i="7" s="1"/>
  <c r="X178" i="7"/>
  <c r="X223" i="7"/>
  <c r="AT231" i="7"/>
  <c r="AR242" i="7"/>
  <c r="AT280" i="7"/>
  <c r="AR293" i="7"/>
  <c r="T326" i="7"/>
  <c r="AT338" i="7"/>
  <c r="AV363" i="7"/>
  <c r="AW363" i="7" s="1"/>
  <c r="R379" i="7"/>
  <c r="AR398" i="7"/>
  <c r="AR408" i="7"/>
  <c r="H430" i="7"/>
  <c r="V27" i="8"/>
  <c r="X29" i="8"/>
  <c r="AM29" i="8"/>
  <c r="V33" i="8"/>
  <c r="V39" i="8"/>
  <c r="V42" i="8"/>
  <c r="I46" i="8"/>
  <c r="Y46" i="8"/>
  <c r="AM47" i="8"/>
  <c r="Y52" i="8"/>
  <c r="AM53" i="8"/>
  <c r="S82" i="8"/>
  <c r="S86" i="8"/>
  <c r="AM133" i="8"/>
  <c r="X135" i="8"/>
  <c r="AM135" i="8"/>
  <c r="AO135" i="8"/>
  <c r="X137" i="8"/>
  <c r="AM137" i="8"/>
  <c r="AO137" i="8"/>
  <c r="X139" i="8"/>
  <c r="AM139" i="8"/>
  <c r="AO139" i="8"/>
  <c r="X141" i="8"/>
  <c r="AM141" i="8"/>
  <c r="AO141" i="8"/>
  <c r="X143" i="8"/>
  <c r="AM143" i="8"/>
  <c r="AO143" i="8"/>
  <c r="X145" i="8"/>
  <c r="AM145" i="8"/>
  <c r="AO145" i="8"/>
  <c r="X147" i="8"/>
  <c r="AM147" i="8"/>
  <c r="AO147" i="8"/>
  <c r="X149" i="8"/>
  <c r="AM149" i="8"/>
  <c r="AO149" i="8"/>
  <c r="X151" i="8"/>
  <c r="AM151" i="8"/>
  <c r="AO151" i="8"/>
  <c r="X153" i="8"/>
  <c r="AM153" i="8"/>
  <c r="AO153" i="8"/>
  <c r="X155" i="8"/>
  <c r="AM155" i="8"/>
  <c r="AO155" i="8"/>
  <c r="X157" i="8"/>
  <c r="AM157" i="8"/>
  <c r="AO157" i="8"/>
  <c r="X159" i="8"/>
  <c r="AM159" i="8"/>
  <c r="AO159" i="8"/>
  <c r="X161" i="8"/>
  <c r="AM161" i="8"/>
  <c r="AO161" i="8"/>
  <c r="AO162" i="8"/>
  <c r="AM162" i="8"/>
  <c r="AO208" i="8"/>
  <c r="AM208" i="8"/>
  <c r="AN208" i="8"/>
  <c r="AO212" i="8"/>
  <c r="AM212" i="8"/>
  <c r="AN212" i="8"/>
  <c r="Z335" i="8"/>
  <c r="Z44" i="8" s="1"/>
  <c r="Z331" i="8"/>
  <c r="AO352" i="8"/>
  <c r="AO358" i="8"/>
  <c r="AM358" i="8"/>
  <c r="X358" i="8"/>
  <c r="AN358" i="8"/>
  <c r="S430" i="5"/>
  <c r="S428" i="5" s="1"/>
  <c r="Y17" i="7"/>
  <c r="AQ17" i="7" s="1"/>
  <c r="AR51" i="7"/>
  <c r="X73" i="7"/>
  <c r="AR104" i="7"/>
  <c r="AR129" i="7"/>
  <c r="AR131" i="7"/>
  <c r="AR135" i="7"/>
  <c r="BD151" i="7"/>
  <c r="Q95" i="7"/>
  <c r="AQ178" i="7"/>
  <c r="AR241" i="7"/>
  <c r="AR290" i="7"/>
  <c r="AR306" i="7"/>
  <c r="AQ311" i="7"/>
  <c r="Y323" i="7"/>
  <c r="BD324" i="7"/>
  <c r="AR331" i="7"/>
  <c r="AQ341" i="7"/>
  <c r="AY341" i="7"/>
  <c r="J321" i="7"/>
  <c r="M363" i="7"/>
  <c r="M359" i="7" s="1"/>
  <c r="M358" i="7" s="1"/>
  <c r="M357" i="7" s="1"/>
  <c r="AQ363" i="7"/>
  <c r="AR364" i="7"/>
  <c r="AR402" i="7"/>
  <c r="AR404" i="7"/>
  <c r="AR406" i="7"/>
  <c r="AO210" i="8"/>
  <c r="AM210" i="8"/>
  <c r="AN210" i="8"/>
  <c r="AO214" i="8"/>
  <c r="AM214" i="8"/>
  <c r="AN214" i="8"/>
  <c r="AM352" i="8"/>
  <c r="X352" i="8"/>
  <c r="AN352" i="8"/>
  <c r="Y337" i="8"/>
  <c r="AO368" i="8"/>
  <c r="AM368" i="8"/>
  <c r="X368" i="8"/>
  <c r="AN368" i="8"/>
  <c r="AN369" i="8"/>
  <c r="AO369" i="8"/>
  <c r="AM369" i="8"/>
  <c r="X369" i="8"/>
  <c r="AO370" i="8"/>
  <c r="AM370" i="8"/>
  <c r="X370" i="8"/>
  <c r="AN370" i="8"/>
  <c r="AN371" i="8"/>
  <c r="AO371" i="8"/>
  <c r="AM371" i="8"/>
  <c r="X371" i="8"/>
  <c r="AO372" i="8"/>
  <c r="AM372" i="8"/>
  <c r="X372" i="8"/>
  <c r="AN372" i="8"/>
  <c r="AN373" i="8"/>
  <c r="AO373" i="8"/>
  <c r="AM373" i="8"/>
  <c r="X373" i="8"/>
  <c r="AO374" i="8"/>
  <c r="AM374" i="8"/>
  <c r="X374" i="8"/>
  <c r="AN374" i="8"/>
  <c r="AN375" i="8"/>
  <c r="AO375" i="8"/>
  <c r="AM375" i="8"/>
  <c r="X375" i="8"/>
  <c r="AO376" i="8"/>
  <c r="AM376" i="8"/>
  <c r="X376" i="8"/>
  <c r="AN376" i="8"/>
  <c r="AN377" i="8"/>
  <c r="AO377" i="8"/>
  <c r="AM377" i="8"/>
  <c r="X377" i="8"/>
  <c r="AO378" i="8"/>
  <c r="AM378" i="8"/>
  <c r="X378" i="8"/>
  <c r="AN378" i="8"/>
  <c r="AN379" i="8"/>
  <c r="AO379" i="8"/>
  <c r="AM379" i="8"/>
  <c r="X379" i="8"/>
  <c r="AO380" i="8"/>
  <c r="AM380" i="8"/>
  <c r="X380" i="8"/>
  <c r="AN380" i="8"/>
  <c r="AN381" i="8"/>
  <c r="AO381" i="8"/>
  <c r="AM381" i="8"/>
  <c r="X381" i="8"/>
  <c r="AO382" i="8"/>
  <c r="AM382" i="8"/>
  <c r="X382" i="8"/>
  <c r="AN382" i="8"/>
  <c r="AN383" i="8"/>
  <c r="AO383" i="8"/>
  <c r="AM383" i="8"/>
  <c r="X383" i="8"/>
  <c r="AO384" i="8"/>
  <c r="AM384" i="8"/>
  <c r="X384" i="8"/>
  <c r="AN384" i="8"/>
  <c r="AN385" i="8"/>
  <c r="AO385" i="8"/>
  <c r="AM385" i="8"/>
  <c r="X385" i="8"/>
  <c r="AO386" i="8"/>
  <c r="AM386" i="8"/>
  <c r="X386" i="8"/>
  <c r="AN386" i="8"/>
  <c r="AN387" i="8"/>
  <c r="AO387" i="8"/>
  <c r="AM387" i="8"/>
  <c r="X387" i="8"/>
  <c r="AO388" i="8"/>
  <c r="AM388" i="8"/>
  <c r="X388" i="8"/>
  <c r="AN388" i="8"/>
  <c r="AN389" i="8"/>
  <c r="AO389" i="8"/>
  <c r="AM389" i="8"/>
  <c r="X389" i="8"/>
  <c r="AO390" i="8"/>
  <c r="AM390" i="8"/>
  <c r="X390" i="8"/>
  <c r="AN390" i="8"/>
  <c r="X164" i="8"/>
  <c r="AM164" i="8"/>
  <c r="AO164" i="8"/>
  <c r="X166" i="8"/>
  <c r="AM166" i="8"/>
  <c r="AO166" i="8"/>
  <c r="AM174" i="8"/>
  <c r="I175" i="8"/>
  <c r="I183" i="8"/>
  <c r="Y183" i="8"/>
  <c r="X187" i="8"/>
  <c r="AM187" i="8"/>
  <c r="X190" i="8"/>
  <c r="AM190" i="8"/>
  <c r="X191" i="8"/>
  <c r="AM191" i="8"/>
  <c r="X192" i="8"/>
  <c r="AM192" i="8"/>
  <c r="X197" i="8"/>
  <c r="AM197" i="8"/>
  <c r="AO197" i="8"/>
  <c r="N199" i="8"/>
  <c r="N183" i="8" s="1"/>
  <c r="N182" i="8" s="1"/>
  <c r="N173" i="8" s="1"/>
  <c r="X201" i="8"/>
  <c r="AM201" i="8"/>
  <c r="AO201" i="8"/>
  <c r="X204" i="8"/>
  <c r="AM204" i="8"/>
  <c r="AO204" i="8"/>
  <c r="X205" i="8"/>
  <c r="AM205" i="8"/>
  <c r="AO205" i="8"/>
  <c r="X206" i="8"/>
  <c r="AM206" i="8"/>
  <c r="AO206" i="8"/>
  <c r="AM209" i="8"/>
  <c r="AO209" i="8"/>
  <c r="AM211" i="8"/>
  <c r="AO211" i="8"/>
  <c r="AM213" i="8"/>
  <c r="AO213" i="8"/>
  <c r="AM215" i="8"/>
  <c r="AO215" i="8"/>
  <c r="AM216" i="8"/>
  <c r="X219" i="8"/>
  <c r="AM219" i="8"/>
  <c r="AO219" i="8"/>
  <c r="X221" i="8"/>
  <c r="AM221" i="8"/>
  <c r="AO221" i="8"/>
  <c r="AM222" i="8"/>
  <c r="AO222" i="8"/>
  <c r="Y223" i="8"/>
  <c r="O262" i="8"/>
  <c r="O265" i="8"/>
  <c r="I331" i="8"/>
  <c r="I335" i="8"/>
  <c r="H363" i="8"/>
  <c r="H364" i="8"/>
  <c r="H365" i="8"/>
  <c r="H366" i="8"/>
  <c r="X367" i="8"/>
  <c r="AM367" i="8"/>
  <c r="AO367" i="8"/>
  <c r="X403" i="8"/>
  <c r="X398" i="8" s="1"/>
  <c r="AM403" i="8"/>
  <c r="AO403" i="8"/>
  <c r="AM410" i="8"/>
  <c r="AO410" i="8"/>
  <c r="S422" i="8"/>
  <c r="S421" i="8" s="1"/>
  <c r="S414" i="8" s="1"/>
  <c r="P422" i="8"/>
  <c r="P421" i="8" s="1"/>
  <c r="P414" i="8" s="1"/>
  <c r="T496" i="8"/>
  <c r="P504" i="8"/>
  <c r="P503" i="8" s="1"/>
  <c r="P496" i="8" s="1"/>
  <c r="AN557" i="8"/>
  <c r="AM557" i="8"/>
  <c r="AO557" i="8"/>
  <c r="O263" i="8"/>
  <c r="AN553" i="8"/>
  <c r="X553" i="8"/>
  <c r="X549" i="8" s="1"/>
  <c r="Y549" i="8"/>
  <c r="AO553" i="8"/>
  <c r="AM553" i="8"/>
  <c r="AN558" i="8"/>
  <c r="AM442" i="8"/>
  <c r="AM443" i="8"/>
  <c r="AN444" i="8"/>
  <c r="AM445" i="8"/>
  <c r="AN446" i="8"/>
  <c r="AM463" i="8"/>
  <c r="AM470" i="8"/>
  <c r="X482" i="8"/>
  <c r="AM482" i="8"/>
  <c r="AO482" i="8"/>
  <c r="X489" i="8"/>
  <c r="AM489" i="8"/>
  <c r="AO489" i="8"/>
  <c r="X490" i="8"/>
  <c r="AM490" i="8"/>
  <c r="AO490" i="8"/>
  <c r="X491" i="8"/>
  <c r="AM491" i="8"/>
  <c r="AO491" i="8"/>
  <c r="X492" i="8"/>
  <c r="AM492" i="8"/>
  <c r="AO492" i="8"/>
  <c r="AM494" i="8"/>
  <c r="I497" i="8"/>
  <c r="Y497" i="8"/>
  <c r="AM498" i="8"/>
  <c r="AM503" i="8"/>
  <c r="Q504" i="8"/>
  <c r="Q503" i="8" s="1"/>
  <c r="Q496" i="8" s="1"/>
  <c r="Q413" i="8" s="1"/>
  <c r="X514" i="8"/>
  <c r="AM514" i="8"/>
  <c r="AO514" i="8"/>
  <c r="X515" i="8"/>
  <c r="AM515" i="8"/>
  <c r="AO515" i="8"/>
  <c r="X516" i="8"/>
  <c r="AM516" i="8"/>
  <c r="AO516" i="8"/>
  <c r="X517" i="8"/>
  <c r="AM517" i="8"/>
  <c r="AO517" i="8"/>
  <c r="X518" i="8"/>
  <c r="AM518" i="8"/>
  <c r="AO518" i="8"/>
  <c r="I519" i="8"/>
  <c r="I541" i="8"/>
  <c r="Y541" i="8"/>
  <c r="J542" i="8"/>
  <c r="J541" i="8" s="1"/>
  <c r="J540" i="8" s="1"/>
  <c r="L542" i="8"/>
  <c r="L541" i="8" s="1"/>
  <c r="L540" i="8" s="1"/>
  <c r="L413" i="8" s="1"/>
  <c r="AM542" i="8"/>
  <c r="I548" i="8"/>
  <c r="H561" i="8"/>
  <c r="J561" i="8"/>
  <c r="AN589" i="8"/>
  <c r="AO589" i="8"/>
  <c r="AM589" i="8"/>
  <c r="X589" i="8"/>
  <c r="M594" i="8"/>
  <c r="M413" i="8" s="1"/>
  <c r="AO558" i="8"/>
  <c r="U559" i="8"/>
  <c r="N559" i="8"/>
  <c r="N558" i="8" s="1"/>
  <c r="N548" i="8" s="1"/>
  <c r="N540" i="8" s="1"/>
  <c r="AO560" i="8"/>
  <c r="AM560" i="8"/>
  <c r="X560" i="8"/>
  <c r="X558" i="8" s="1"/>
  <c r="AN560" i="8"/>
  <c r="AO575" i="8"/>
  <c r="AM575" i="8"/>
  <c r="X575" i="8"/>
  <c r="AN575" i="8"/>
  <c r="Y570" i="8"/>
  <c r="X590" i="8"/>
  <c r="AM590" i="8"/>
  <c r="AO590" i="8"/>
  <c r="X591" i="8"/>
  <c r="AM591" i="8"/>
  <c r="AO591" i="8"/>
  <c r="X592" i="8"/>
  <c r="AM592" i="8"/>
  <c r="AO592" i="8"/>
  <c r="X593" i="8"/>
  <c r="AM593" i="8"/>
  <c r="AO593" i="8"/>
  <c r="AM595" i="8"/>
  <c r="I596" i="8"/>
  <c r="I601" i="8"/>
  <c r="Y601" i="8"/>
  <c r="AM602" i="8"/>
  <c r="X614" i="8"/>
  <c r="AM614" i="8"/>
  <c r="AO614" i="8"/>
  <c r="X615" i="8"/>
  <c r="AM615" i="8"/>
  <c r="AO615" i="8"/>
  <c r="X616" i="8"/>
  <c r="AM616" i="8"/>
  <c r="AO616" i="8"/>
  <c r="X617" i="8"/>
  <c r="AM617" i="8"/>
  <c r="AO617" i="8"/>
  <c r="X618" i="8"/>
  <c r="AM618" i="8"/>
  <c r="AO618" i="8"/>
  <c r="X619" i="8"/>
  <c r="AM619" i="8"/>
  <c r="AO619" i="8"/>
  <c r="X620" i="8"/>
  <c r="AM620" i="8"/>
  <c r="AO620" i="8"/>
  <c r="I626" i="8"/>
  <c r="I625" i="8" s="1"/>
  <c r="I624" i="8" s="1"/>
  <c r="AE21" i="10"/>
  <c r="AF21" i="10"/>
  <c r="AE23" i="10"/>
  <c r="AF23" i="10"/>
  <c r="AE25" i="10"/>
  <c r="AF25" i="10"/>
  <c r="AM16" i="10"/>
  <c r="AE22" i="10"/>
  <c r="AF22" i="10"/>
  <c r="AE24" i="10"/>
  <c r="AF24" i="10"/>
  <c r="AD28" i="10"/>
  <c r="AC28" i="10"/>
  <c r="AA28" i="10"/>
  <c r="AM634" i="8"/>
  <c r="AN635" i="8"/>
  <c r="AM644" i="8"/>
  <c r="X646" i="8"/>
  <c r="AM646" i="8"/>
  <c r="AO646" i="8"/>
  <c r="AN647" i="8"/>
  <c r="AM648" i="8"/>
  <c r="AO648" i="8"/>
  <c r="AO649" i="8"/>
  <c r="AM650" i="8"/>
  <c r="AO650" i="8"/>
  <c r="AM652" i="8"/>
  <c r="AO652" i="8"/>
  <c r="AM653" i="8"/>
  <c r="AO653" i="8"/>
  <c r="X654" i="8"/>
  <c r="AM654" i="8"/>
  <c r="AO654" i="8"/>
  <c r="X655" i="8"/>
  <c r="AM655" i="8"/>
  <c r="AO655" i="8"/>
  <c r="AM656" i="8"/>
  <c r="AO656" i="8"/>
  <c r="AM657" i="8"/>
  <c r="AO657" i="8"/>
  <c r="AN658" i="8"/>
  <c r="AN659" i="8"/>
  <c r="AN660" i="8"/>
  <c r="AC26" i="10"/>
  <c r="AE26" i="10"/>
  <c r="AB27" i="10"/>
  <c r="AN28" i="10"/>
  <c r="AB31" i="10"/>
  <c r="AD32" i="10"/>
  <c r="AB32" i="10"/>
  <c r="AF42" i="10"/>
  <c r="AE42" i="10"/>
  <c r="AF44" i="10"/>
  <c r="AF46" i="10"/>
  <c r="AE46" i="10"/>
  <c r="AF48" i="10"/>
  <c r="AF50" i="10"/>
  <c r="AE50" i="10"/>
  <c r="AF52" i="10"/>
  <c r="AD57" i="10"/>
  <c r="X647" i="8"/>
  <c r="AM647" i="8"/>
  <c r="X659" i="8"/>
  <c r="AM659" i="8"/>
  <c r="X660" i="8"/>
  <c r="AM660" i="8"/>
  <c r="AF34" i="10"/>
  <c r="AE34" i="10"/>
  <c r="AE36" i="10"/>
  <c r="AF38" i="10"/>
  <c r="AE38" i="10"/>
  <c r="AD59" i="10"/>
  <c r="AB59" i="10"/>
  <c r="N58" i="10"/>
  <c r="N29" i="10" s="1"/>
  <c r="N16" i="10" s="1"/>
  <c r="AD60" i="10"/>
  <c r="AB60" i="10"/>
  <c r="AA60" i="10" s="1"/>
  <c r="AB33" i="10"/>
  <c r="AA33" i="10" s="1"/>
  <c r="AD33" i="10"/>
  <c r="AN34" i="10"/>
  <c r="AB35" i="10"/>
  <c r="AA35" i="10" s="1"/>
  <c r="AD35" i="10"/>
  <c r="AN36" i="10"/>
  <c r="AB37" i="10"/>
  <c r="AA37" i="10" s="1"/>
  <c r="AD37" i="10"/>
  <c r="AN38" i="10"/>
  <c r="AB39" i="10"/>
  <c r="AA39" i="10" s="1"/>
  <c r="AD39" i="10"/>
  <c r="AF40" i="10"/>
  <c r="AB41" i="10"/>
  <c r="AA41" i="10" s="1"/>
  <c r="AD41" i="10"/>
  <c r="AN42" i="10"/>
  <c r="AB43" i="10"/>
  <c r="AA43" i="10" s="1"/>
  <c r="AD43" i="10"/>
  <c r="AN44" i="10"/>
  <c r="AB45" i="10"/>
  <c r="AA45" i="10" s="1"/>
  <c r="AD45" i="10"/>
  <c r="AN46" i="10"/>
  <c r="AB47" i="10"/>
  <c r="AA47" i="10" s="1"/>
  <c r="AD47" i="10"/>
  <c r="AN48" i="10"/>
  <c r="AB49" i="10"/>
  <c r="AA49" i="10" s="1"/>
  <c r="AD49" i="10"/>
  <c r="AN50" i="10"/>
  <c r="AB51" i="10"/>
  <c r="AA51" i="10" s="1"/>
  <c r="AD51" i="10"/>
  <c r="AN52" i="10"/>
  <c r="AB53" i="10"/>
  <c r="AA53" i="10" s="1"/>
  <c r="AD53" i="10"/>
  <c r="AF54" i="10"/>
  <c r="AE55" i="10"/>
  <c r="AF56" i="10"/>
  <c r="AN57" i="10"/>
  <c r="AA32" i="10"/>
  <c r="AB34" i="10"/>
  <c r="AA34" i="10" s="1"/>
  <c r="AB36" i="10"/>
  <c r="AA36" i="10" s="1"/>
  <c r="AB38" i="10"/>
  <c r="AA38" i="10" s="1"/>
  <c r="AB42" i="10"/>
  <c r="AA42" i="10" s="1"/>
  <c r="AB44" i="10"/>
  <c r="AA44" i="10" s="1"/>
  <c r="AB46" i="10"/>
  <c r="AA46" i="10" s="1"/>
  <c r="AB48" i="10"/>
  <c r="AA48" i="10" s="1"/>
  <c r="AB50" i="10"/>
  <c r="AA50" i="10" s="1"/>
  <c r="AB52" i="10"/>
  <c r="AA52" i="10" s="1"/>
  <c r="AB57" i="10"/>
  <c r="W357" i="7"/>
  <c r="BD431" i="7"/>
  <c r="BD371" i="7"/>
  <c r="AT400" i="7"/>
  <c r="AQ370" i="7"/>
  <c r="AT392" i="7"/>
  <c r="AT409" i="7"/>
  <c r="AR412" i="7"/>
  <c r="AQ372" i="7"/>
  <c r="AQ420" i="7"/>
  <c r="AV386" i="7"/>
  <c r="AW386" i="7" s="1"/>
  <c r="AR410" i="7"/>
  <c r="U421" i="7"/>
  <c r="U368" i="7" s="1"/>
  <c r="AQ209" i="7"/>
  <c r="AQ205" i="7"/>
  <c r="X326" i="7"/>
  <c r="AQ333" i="7"/>
  <c r="X352" i="7"/>
  <c r="BD201" i="7"/>
  <c r="M251" i="7"/>
  <c r="S201" i="7"/>
  <c r="BB201" i="7" s="1"/>
  <c r="BC201" i="7" s="1"/>
  <c r="N228" i="7"/>
  <c r="N227" i="7" s="1"/>
  <c r="AT301" i="7"/>
  <c r="AR164" i="7"/>
  <c r="AR171" i="7"/>
  <c r="AT185" i="7"/>
  <c r="AR193" i="7"/>
  <c r="AT195" i="7"/>
  <c r="AV217" i="7"/>
  <c r="AW217" i="7" s="1"/>
  <c r="AR247" i="7"/>
  <c r="AR288" i="7"/>
  <c r="AR296" i="7"/>
  <c r="X328" i="7"/>
  <c r="V321" i="7"/>
  <c r="V312" i="7" s="1"/>
  <c r="X228" i="7"/>
  <c r="X227" i="7" s="1"/>
  <c r="BD256" i="7"/>
  <c r="AQ298" i="7"/>
  <c r="AQ328" i="7"/>
  <c r="X225" i="7"/>
  <c r="AF225" i="7" s="1"/>
  <c r="M267" i="7"/>
  <c r="M266" i="7" s="1"/>
  <c r="M265" i="7" s="1"/>
  <c r="T328" i="7"/>
  <c r="BD170" i="7"/>
  <c r="X170" i="7"/>
  <c r="BD183" i="7"/>
  <c r="BD199" i="7"/>
  <c r="AV202" i="7"/>
  <c r="AW202" i="7" s="1"/>
  <c r="BD205" i="7"/>
  <c r="S209" i="7"/>
  <c r="BB209" i="7" s="1"/>
  <c r="BC209" i="7" s="1"/>
  <c r="U213" i="7"/>
  <c r="Y213" i="7" s="1"/>
  <c r="H234" i="7"/>
  <c r="H233" i="7" s="1"/>
  <c r="H226" i="7" s="1"/>
  <c r="AR246" i="7"/>
  <c r="AT262" i="7"/>
  <c r="Q267" i="7"/>
  <c r="Q266" i="7" s="1"/>
  <c r="P270" i="7"/>
  <c r="P285" i="7"/>
  <c r="AR285" i="7"/>
  <c r="AR286" i="7"/>
  <c r="H273" i="7"/>
  <c r="H272" i="7" s="1"/>
  <c r="H265" i="7" s="1"/>
  <c r="AY296" i="7"/>
  <c r="BD309" i="7"/>
  <c r="J314" i="7"/>
  <c r="J313" i="7" s="1"/>
  <c r="AQ318" i="7"/>
  <c r="L321" i="7"/>
  <c r="AT350" i="7"/>
  <c r="H149" i="7"/>
  <c r="AQ151" i="7"/>
  <c r="O149" i="7"/>
  <c r="AW151" i="7"/>
  <c r="Y96" i="7"/>
  <c r="BD144" i="7"/>
  <c r="BD145" i="7"/>
  <c r="AT116" i="7"/>
  <c r="AT120" i="7"/>
  <c r="AT121" i="7"/>
  <c r="R127" i="7"/>
  <c r="AZ127" i="7" s="1"/>
  <c r="BA127" i="7" s="1"/>
  <c r="AT136" i="7"/>
  <c r="AQ145" i="7"/>
  <c r="AQ143" i="7"/>
  <c r="BD146" i="7"/>
  <c r="BD148" i="7"/>
  <c r="X143" i="7"/>
  <c r="X145" i="7"/>
  <c r="AT119" i="7"/>
  <c r="AT134" i="7"/>
  <c r="AQ84" i="7"/>
  <c r="AQ77" i="7"/>
  <c r="BD68" i="7"/>
  <c r="BD67" i="7"/>
  <c r="AQ70" i="7"/>
  <c r="AQ53" i="7"/>
  <c r="AQ55" i="7"/>
  <c r="AT40" i="7"/>
  <c r="AT102" i="7"/>
  <c r="AR102" i="7"/>
  <c r="AT132" i="7"/>
  <c r="AR132" i="7"/>
  <c r="AR194" i="7"/>
  <c r="AT194" i="7"/>
  <c r="Y210" i="7"/>
  <c r="R210" i="7"/>
  <c r="AZ210" i="7" s="1"/>
  <c r="BA210" i="7" s="1"/>
  <c r="AR243" i="7"/>
  <c r="AT243" i="7"/>
  <c r="AR282" i="7"/>
  <c r="AT282" i="7"/>
  <c r="AR300" i="7"/>
  <c r="AT300" i="7"/>
  <c r="AT330" i="7"/>
  <c r="AR330" i="7"/>
  <c r="AQ183" i="7"/>
  <c r="O219" i="7"/>
  <c r="AX221" i="7"/>
  <c r="AY221" i="7" s="1"/>
  <c r="AR260" i="7"/>
  <c r="AT260" i="7"/>
  <c r="AT294" i="7"/>
  <c r="AR294" i="7"/>
  <c r="T320" i="7"/>
  <c r="Y320" i="7"/>
  <c r="AQ320" i="7" s="1"/>
  <c r="AT327" i="7"/>
  <c r="AR327" i="7"/>
  <c r="AV370" i="7"/>
  <c r="AW370" i="7" s="1"/>
  <c r="AR413" i="7"/>
  <c r="AT413" i="7"/>
  <c r="AR99" i="7"/>
  <c r="AT99" i="7"/>
  <c r="AT137" i="7"/>
  <c r="AR137" i="7"/>
  <c r="BD150" i="7"/>
  <c r="AT168" i="7"/>
  <c r="AR168" i="7"/>
  <c r="AR172" i="7"/>
  <c r="AT172" i="7"/>
  <c r="BD193" i="7"/>
  <c r="I190" i="7"/>
  <c r="I189" i="7" s="1"/>
  <c r="AR237" i="7"/>
  <c r="AT237" i="7"/>
  <c r="P253" i="7"/>
  <c r="P252" i="7" s="1"/>
  <c r="AR277" i="7"/>
  <c r="AT277" i="7"/>
  <c r="AR283" i="7"/>
  <c r="AT283" i="7"/>
  <c r="AT334" i="7"/>
  <c r="AR334" i="7"/>
  <c r="AQ340" i="7"/>
  <c r="R351" i="7"/>
  <c r="R349" i="7" s="1"/>
  <c r="AQ382" i="7"/>
  <c r="AR396" i="7"/>
  <c r="AT396" i="7"/>
  <c r="AQ424" i="7"/>
  <c r="BD424" i="7"/>
  <c r="X424" i="7"/>
  <c r="T64" i="7"/>
  <c r="T62" i="7" s="1"/>
  <c r="AT71" i="7"/>
  <c r="AT93" i="7"/>
  <c r="L231" i="7"/>
  <c r="L228" i="7" s="1"/>
  <c r="L227" i="7" s="1"/>
  <c r="L226" i="7" s="1"/>
  <c r="BD55" i="7"/>
  <c r="BD76" i="7"/>
  <c r="Q81" i="7"/>
  <c r="Q80" i="7" s="1"/>
  <c r="AR100" i="7"/>
  <c r="AR115" i="7"/>
  <c r="V96" i="7"/>
  <c r="V95" i="7" s="1"/>
  <c r="V79" i="7" s="1"/>
  <c r="X148" i="7"/>
  <c r="P152" i="7"/>
  <c r="X183" i="7"/>
  <c r="O265" i="7"/>
  <c r="R273" i="7"/>
  <c r="R272" i="7" s="1"/>
  <c r="O314" i="7"/>
  <c r="O313" i="7" s="1"/>
  <c r="AT106" i="7"/>
  <c r="AR106" i="7"/>
  <c r="AR122" i="7"/>
  <c r="AT122" i="7"/>
  <c r="AR123" i="7"/>
  <c r="AT123" i="7"/>
  <c r="AR138" i="7"/>
  <c r="AT138" i="7"/>
  <c r="R152" i="7"/>
  <c r="R149" i="7" s="1"/>
  <c r="Y152" i="7"/>
  <c r="T152" i="7"/>
  <c r="T149" i="7" s="1"/>
  <c r="AV221" i="7"/>
  <c r="AW221" i="7" s="1"/>
  <c r="S245" i="7"/>
  <c r="S234" i="7" s="1"/>
  <c r="S233" i="7" s="1"/>
  <c r="S226" i="7" s="1"/>
  <c r="O234" i="7"/>
  <c r="O233" i="7" s="1"/>
  <c r="O226" i="7" s="1"/>
  <c r="N245" i="7"/>
  <c r="N234" i="7" s="1"/>
  <c r="N233" i="7" s="1"/>
  <c r="AT418" i="7"/>
  <c r="AR418" i="7"/>
  <c r="AR98" i="7"/>
  <c r="AT98" i="7"/>
  <c r="AX128" i="7"/>
  <c r="AY128" i="7" s="1"/>
  <c r="R128" i="7"/>
  <c r="AZ128" i="7" s="1"/>
  <c r="BA128" i="7" s="1"/>
  <c r="AT128" i="7"/>
  <c r="AR128" i="7"/>
  <c r="S129" i="7"/>
  <c r="BB129" i="7" s="1"/>
  <c r="BC129" i="7" s="1"/>
  <c r="AX129" i="7"/>
  <c r="AY129" i="7" s="1"/>
  <c r="AT140" i="7"/>
  <c r="AR140" i="7"/>
  <c r="I149" i="7"/>
  <c r="I228" i="7"/>
  <c r="BD228" i="7" s="1"/>
  <c r="BD232" i="7"/>
  <c r="AR245" i="7"/>
  <c r="AT245" i="7"/>
  <c r="AR279" i="7"/>
  <c r="AT279" i="7"/>
  <c r="AR289" i="7"/>
  <c r="AT289" i="7"/>
  <c r="AR342" i="7"/>
  <c r="AT342" i="7"/>
  <c r="AQ352" i="7"/>
  <c r="BD352" i="7"/>
  <c r="AT111" i="7"/>
  <c r="AR111" i="7"/>
  <c r="AR126" i="7"/>
  <c r="AT126" i="7"/>
  <c r="AT169" i="7"/>
  <c r="AR169" i="7"/>
  <c r="AR182" i="7"/>
  <c r="AT182" i="7"/>
  <c r="AQ201" i="7"/>
  <c r="AQ221" i="7"/>
  <c r="X221" i="7"/>
  <c r="AR222" i="7"/>
  <c r="AT222" i="7"/>
  <c r="AQ223" i="7"/>
  <c r="BD223" i="7"/>
  <c r="AQ225" i="7"/>
  <c r="AR238" i="7"/>
  <c r="AT238" i="7"/>
  <c r="AT259" i="7"/>
  <c r="AR259" i="7"/>
  <c r="AR274" i="7"/>
  <c r="AT274" i="7"/>
  <c r="AT281" i="7"/>
  <c r="AR281" i="7"/>
  <c r="AR295" i="7"/>
  <c r="AT295" i="7"/>
  <c r="P336" i="7"/>
  <c r="U336" i="7"/>
  <c r="Y336" i="7" s="1"/>
  <c r="BD336" i="7" s="1"/>
  <c r="T420" i="7"/>
  <c r="X420" i="7" s="1"/>
  <c r="AF420" i="7" s="1"/>
  <c r="BD423" i="7"/>
  <c r="X423" i="7"/>
  <c r="AV84" i="7"/>
  <c r="AW84" i="7" s="1"/>
  <c r="V44" i="7"/>
  <c r="X67" i="7"/>
  <c r="BD70" i="7"/>
  <c r="X76" i="7"/>
  <c r="X144" i="7"/>
  <c r="AV152" i="7"/>
  <c r="AW152" i="7" s="1"/>
  <c r="I156" i="7"/>
  <c r="I155" i="7" s="1"/>
  <c r="W197" i="7"/>
  <c r="W188" i="7" s="1"/>
  <c r="J35" i="7"/>
  <c r="J34" i="7" s="1"/>
  <c r="J33" i="7" s="1"/>
  <c r="Y64" i="7"/>
  <c r="AQ67" i="7"/>
  <c r="AQ68" i="7"/>
  <c r="AQ76" i="7"/>
  <c r="O96" i="7"/>
  <c r="W79" i="7"/>
  <c r="N96" i="7"/>
  <c r="AT113" i="7"/>
  <c r="AT117" i="7"/>
  <c r="X150" i="7"/>
  <c r="J156" i="7"/>
  <c r="J155" i="7" s="1"/>
  <c r="J154" i="7" s="1"/>
  <c r="T156" i="7"/>
  <c r="T155" i="7" s="1"/>
  <c r="P184" i="7"/>
  <c r="N190" i="7"/>
  <c r="N189" i="7" s="1"/>
  <c r="X190" i="7"/>
  <c r="X189" i="7" s="1"/>
  <c r="H198" i="7"/>
  <c r="H219" i="7"/>
  <c r="AT244" i="7"/>
  <c r="L314" i="7"/>
  <c r="L313" i="7" s="1"/>
  <c r="AX317" i="7"/>
  <c r="AY317" i="7" s="1"/>
  <c r="T324" i="7"/>
  <c r="AQ380" i="7"/>
  <c r="AV203" i="7"/>
  <c r="AW203" i="7" s="1"/>
  <c r="U203" i="7"/>
  <c r="Y203" i="7" s="1"/>
  <c r="BD203" i="7" s="1"/>
  <c r="AV296" i="7"/>
  <c r="AW296" i="7" s="1"/>
  <c r="AV297" i="7"/>
  <c r="AW297" i="7" s="1"/>
  <c r="AQ309" i="7"/>
  <c r="X309" i="7"/>
  <c r="AR394" i="7"/>
  <c r="AT394" i="7"/>
  <c r="BD425" i="7"/>
  <c r="AQ425" i="7"/>
  <c r="K79" i="7"/>
  <c r="BD143" i="7"/>
  <c r="N184" i="7"/>
  <c r="H184" i="7"/>
  <c r="H166" i="7" s="1"/>
  <c r="H154" i="7" s="1"/>
  <c r="AQ190" i="7"/>
  <c r="L190" i="7"/>
  <c r="L189" i="7" s="1"/>
  <c r="L188" i="7" s="1"/>
  <c r="AY216" i="7"/>
  <c r="AV218" i="7"/>
  <c r="AW218" i="7" s="1"/>
  <c r="U251" i="7"/>
  <c r="BD285" i="7"/>
  <c r="M321" i="7"/>
  <c r="M312" i="7" s="1"/>
  <c r="W321" i="7"/>
  <c r="W312" i="7" s="1"/>
  <c r="BD328" i="7"/>
  <c r="L357" i="7"/>
  <c r="AT287" i="7"/>
  <c r="AR287" i="7"/>
  <c r="BD300" i="7"/>
  <c r="I299" i="7"/>
  <c r="AQ326" i="7"/>
  <c r="AV362" i="7"/>
  <c r="AW362" i="7" s="1"/>
  <c r="Q359" i="7"/>
  <c r="Q358" i="7" s="1"/>
  <c r="P362" i="7"/>
  <c r="AV387" i="7"/>
  <c r="AW387" i="7" s="1"/>
  <c r="AQ415" i="7"/>
  <c r="BD415" i="7"/>
  <c r="X415" i="7"/>
  <c r="AT417" i="7"/>
  <c r="AR417" i="7"/>
  <c r="L156" i="7"/>
  <c r="L155" i="7" s="1"/>
  <c r="L154" i="7" s="1"/>
  <c r="T190" i="7"/>
  <c r="T189" i="7" s="1"/>
  <c r="Y219" i="7"/>
  <c r="AQ219" i="7" s="1"/>
  <c r="BD225" i="7"/>
  <c r="N273" i="7"/>
  <c r="V272" i="7"/>
  <c r="V265" i="7" s="1"/>
  <c r="AV333" i="7"/>
  <c r="AW333" i="7" s="1"/>
  <c r="AQ384" i="7"/>
  <c r="K359" i="7"/>
  <c r="K358" i="7" s="1"/>
  <c r="K357" i="7" s="1"/>
  <c r="AY421" i="7"/>
  <c r="AW245" i="7"/>
  <c r="Q251" i="7"/>
  <c r="V251" i="7"/>
  <c r="N258" i="7"/>
  <c r="N257" i="7" s="1"/>
  <c r="N251" i="7" s="1"/>
  <c r="K265" i="7"/>
  <c r="S273" i="7"/>
  <c r="S272" i="7" s="1"/>
  <c r="S265" i="7" s="1"/>
  <c r="AV317" i="7"/>
  <c r="AW317" i="7" s="1"/>
  <c r="BD318" i="7"/>
  <c r="N363" i="7"/>
  <c r="X431" i="7"/>
  <c r="AQ35" i="7"/>
  <c r="AR109" i="7"/>
  <c r="AT109" i="7"/>
  <c r="T213" i="7"/>
  <c r="X213" i="7" s="1"/>
  <c r="Q219" i="7"/>
  <c r="BD278" i="7"/>
  <c r="I273" i="7"/>
  <c r="AT46" i="7"/>
  <c r="AR46" i="7"/>
  <c r="AT47" i="7"/>
  <c r="AR47" i="7"/>
  <c r="AR50" i="7"/>
  <c r="AT50" i="7"/>
  <c r="Y80" i="7"/>
  <c r="AR180" i="7"/>
  <c r="AT180" i="7"/>
  <c r="P219" i="7"/>
  <c r="AZ55" i="7"/>
  <c r="BA55" i="7" s="1"/>
  <c r="AZ97" i="7"/>
  <c r="BA97" i="7" s="1"/>
  <c r="AT97" i="7"/>
  <c r="AR97" i="7"/>
  <c r="AR127" i="7"/>
  <c r="AT127" i="7"/>
  <c r="AR163" i="7"/>
  <c r="AT163" i="7"/>
  <c r="AR181" i="7"/>
  <c r="AT181" i="7"/>
  <c r="AQ184" i="7"/>
  <c r="X200" i="7"/>
  <c r="U214" i="7"/>
  <c r="Y214" i="7" s="1"/>
  <c r="AV214" i="7"/>
  <c r="AW214" i="7" s="1"/>
  <c r="T215" i="7"/>
  <c r="X215" i="7" s="1"/>
  <c r="AR240" i="7"/>
  <c r="AT240" i="7"/>
  <c r="BD48" i="7"/>
  <c r="I84" i="7"/>
  <c r="T96" i="7"/>
  <c r="N198" i="7"/>
  <c r="N197" i="7" s="1"/>
  <c r="AV220" i="7"/>
  <c r="AW220" i="7" s="1"/>
  <c r="L41" i="7"/>
  <c r="L35" i="7" s="1"/>
  <c r="L34" i="7" s="1"/>
  <c r="L33" i="7" s="1"/>
  <c r="AR41" i="7"/>
  <c r="AT41" i="7"/>
  <c r="AT107" i="7"/>
  <c r="AR107" i="7"/>
  <c r="AR173" i="7"/>
  <c r="AT173" i="7"/>
  <c r="AR179" i="7"/>
  <c r="AT179" i="7"/>
  <c r="U204" i="7"/>
  <c r="Y204" i="7" s="1"/>
  <c r="AV204" i="7"/>
  <c r="AW204" i="7" s="1"/>
  <c r="P204" i="7"/>
  <c r="T204" i="7" s="1"/>
  <c r="X204" i="7" s="1"/>
  <c r="AT48" i="7"/>
  <c r="AR48" i="7"/>
  <c r="AR49" i="7"/>
  <c r="AT49" i="7"/>
  <c r="BD73" i="7"/>
  <c r="AQ73" i="7"/>
  <c r="R81" i="7"/>
  <c r="R80" i="7" s="1"/>
  <c r="AZ93" i="7"/>
  <c r="BA93" i="7" s="1"/>
  <c r="I167" i="7"/>
  <c r="BD168" i="7"/>
  <c r="AR236" i="7"/>
  <c r="AT236" i="7"/>
  <c r="AT105" i="7"/>
  <c r="AR105" i="7"/>
  <c r="X125" i="7"/>
  <c r="AQ125" i="7"/>
  <c r="BD125" i="7"/>
  <c r="AR133" i="7"/>
  <c r="AT133" i="7"/>
  <c r="O198" i="7"/>
  <c r="AX202" i="7"/>
  <c r="AY202" i="7" s="1"/>
  <c r="U208" i="7"/>
  <c r="Y208" i="7" s="1"/>
  <c r="AV208" i="7"/>
  <c r="AW208" i="7" s="1"/>
  <c r="P228" i="7"/>
  <c r="P227" i="7" s="1"/>
  <c r="AT302" i="7"/>
  <c r="AR302" i="7"/>
  <c r="AT305" i="7"/>
  <c r="AR305" i="7"/>
  <c r="AQ81" i="7"/>
  <c r="P96" i="7"/>
  <c r="I96" i="7"/>
  <c r="N156" i="7"/>
  <c r="N155" i="7" s="1"/>
  <c r="AR401" i="7"/>
  <c r="AT401" i="7"/>
  <c r="AV182" i="7"/>
  <c r="AW182" i="7" s="1"/>
  <c r="Q167" i="7"/>
  <c r="Q166" i="7" s="1"/>
  <c r="U200" i="7"/>
  <c r="AV206" i="7"/>
  <c r="AW206" i="7" s="1"/>
  <c r="U206" i="7"/>
  <c r="Y206" i="7" s="1"/>
  <c r="I234" i="7"/>
  <c r="AR405" i="7"/>
  <c r="AT405" i="7"/>
  <c r="AR110" i="7"/>
  <c r="AT110" i="7"/>
  <c r="AR114" i="7"/>
  <c r="AT114" i="7"/>
  <c r="AX130" i="7"/>
  <c r="AY130" i="7" s="1"/>
  <c r="R130" i="7"/>
  <c r="AZ130" i="7" s="1"/>
  <c r="BA130" i="7" s="1"/>
  <c r="AR141" i="7"/>
  <c r="AT141" i="7"/>
  <c r="AQ148" i="7"/>
  <c r="AR174" i="7"/>
  <c r="AT174" i="7"/>
  <c r="AR175" i="7"/>
  <c r="AT175" i="7"/>
  <c r="AR176" i="7"/>
  <c r="AT176" i="7"/>
  <c r="AR177" i="7"/>
  <c r="AT177" i="7"/>
  <c r="T201" i="7"/>
  <c r="X201" i="7" s="1"/>
  <c r="Y211" i="7"/>
  <c r="S211" i="7"/>
  <c r="Y212" i="7"/>
  <c r="S212" i="7"/>
  <c r="BB212" i="7" s="1"/>
  <c r="BC212" i="7" s="1"/>
  <c r="BD221" i="7"/>
  <c r="Y227" i="7"/>
  <c r="AQ228" i="7"/>
  <c r="BD261" i="7"/>
  <c r="I258" i="7"/>
  <c r="AR263" i="7"/>
  <c r="AT263" i="7"/>
  <c r="X324" i="7"/>
  <c r="AQ324" i="7"/>
  <c r="AX374" i="7"/>
  <c r="AY374" i="7" s="1"/>
  <c r="AQ387" i="7"/>
  <c r="AQ57" i="7"/>
  <c r="AY182" i="7"/>
  <c r="I35" i="7"/>
  <c r="I34" i="7" s="1"/>
  <c r="BD38" i="7"/>
  <c r="X53" i="7"/>
  <c r="AF53" i="7" s="1"/>
  <c r="BD53" i="7"/>
  <c r="X55" i="7"/>
  <c r="X57" i="7"/>
  <c r="Q44" i="7"/>
  <c r="Q33" i="7" s="1"/>
  <c r="AT66" i="7"/>
  <c r="X70" i="7"/>
  <c r="P72" i="7"/>
  <c r="P62" i="7" s="1"/>
  <c r="AV72" i="7"/>
  <c r="AW72" i="7" s="1"/>
  <c r="X77" i="7"/>
  <c r="P84" i="7"/>
  <c r="X84" i="7"/>
  <c r="AT101" i="7"/>
  <c r="AT103" i="7"/>
  <c r="P162" i="7"/>
  <c r="P156" i="7" s="1"/>
  <c r="P155" i="7" s="1"/>
  <c r="AV162" i="7"/>
  <c r="AW162" i="7" s="1"/>
  <c r="S167" i="7"/>
  <c r="S166" i="7" s="1"/>
  <c r="S154" i="7" s="1"/>
  <c r="J190" i="7"/>
  <c r="J189" i="7" s="1"/>
  <c r="J188" i="7" s="1"/>
  <c r="S190" i="7"/>
  <c r="S189" i="7" s="1"/>
  <c r="BD209" i="7"/>
  <c r="J228" i="7"/>
  <c r="J227" i="7" s="1"/>
  <c r="J226" i="7" s="1"/>
  <c r="I252" i="7"/>
  <c r="N299" i="7"/>
  <c r="AR399" i="7"/>
  <c r="AT399" i="7"/>
  <c r="AQ147" i="7"/>
  <c r="BD147" i="7"/>
  <c r="X147" i="7"/>
  <c r="Q215" i="7"/>
  <c r="AV216" i="7"/>
  <c r="AW216" i="7" s="1"/>
  <c r="P216" i="7"/>
  <c r="L270" i="7"/>
  <c r="L267" i="7" s="1"/>
  <c r="L266" i="7" s="1"/>
  <c r="L265" i="7" s="1"/>
  <c r="J267" i="7"/>
  <c r="J266" i="7" s="1"/>
  <c r="J265" i="7" s="1"/>
  <c r="AZ415" i="7"/>
  <c r="BA415" i="7" s="1"/>
  <c r="AQ144" i="7"/>
  <c r="AQ150" i="7"/>
  <c r="Y167" i="7"/>
  <c r="AQ170" i="7"/>
  <c r="AQ187" i="7"/>
  <c r="BD187" i="7"/>
  <c r="X187" i="7"/>
  <c r="AQ199" i="7"/>
  <c r="U207" i="7"/>
  <c r="Y207" i="7" s="1"/>
  <c r="T210" i="7"/>
  <c r="X210" i="7" s="1"/>
  <c r="T211" i="7"/>
  <c r="X211" i="7" s="1"/>
  <c r="T212" i="7"/>
  <c r="X212" i="7" s="1"/>
  <c r="X220" i="7"/>
  <c r="AQ220" i="7"/>
  <c r="AR248" i="7"/>
  <c r="AT248" i="7"/>
  <c r="X264" i="7"/>
  <c r="Y258" i="7"/>
  <c r="AQ276" i="7"/>
  <c r="X276" i="7"/>
  <c r="Y273" i="7"/>
  <c r="BD276" i="7"/>
  <c r="P299" i="7"/>
  <c r="BD339" i="7"/>
  <c r="AQ391" i="7"/>
  <c r="BD77" i="7"/>
  <c r="AT108" i="7"/>
  <c r="AT130" i="7"/>
  <c r="AT139" i="7"/>
  <c r="Q156" i="7"/>
  <c r="Q155" i="7" s="1"/>
  <c r="U156" i="7"/>
  <c r="U155" i="7" s="1"/>
  <c r="AT159" i="7"/>
  <c r="Y162" i="7"/>
  <c r="N167" i="7"/>
  <c r="I198" i="7"/>
  <c r="AX215" i="7"/>
  <c r="AY215" i="7" s="1"/>
  <c r="BD220" i="7"/>
  <c r="BD264" i="7"/>
  <c r="AQ339" i="7"/>
  <c r="AR239" i="7"/>
  <c r="AT239" i="7"/>
  <c r="AR249" i="7"/>
  <c r="AT249" i="7"/>
  <c r="AR261" i="7"/>
  <c r="AT261" i="7"/>
  <c r="AT278" i="7"/>
  <c r="AR278" i="7"/>
  <c r="BD307" i="7"/>
  <c r="X307" i="7"/>
  <c r="Y299" i="7"/>
  <c r="AQ307" i="7"/>
  <c r="Q337" i="7"/>
  <c r="Q322" i="7" s="1"/>
  <c r="N337" i="7"/>
  <c r="N322" i="7" s="1"/>
  <c r="AX337" i="7"/>
  <c r="AY337" i="7" s="1"/>
  <c r="BD369" i="7"/>
  <c r="AV375" i="7"/>
  <c r="AW375" i="7" s="1"/>
  <c r="AV377" i="7"/>
  <c r="AW377" i="7" s="1"/>
  <c r="AQ385" i="7"/>
  <c r="AQ389" i="7"/>
  <c r="AR411" i="7"/>
  <c r="AT411" i="7"/>
  <c r="U235" i="7"/>
  <c r="AV235" i="7"/>
  <c r="AW235" i="7" s="1"/>
  <c r="P235" i="7"/>
  <c r="P234" i="7" s="1"/>
  <c r="P233" i="7" s="1"/>
  <c r="Q234" i="7"/>
  <c r="Q233" i="7" s="1"/>
  <c r="Q226" i="7" s="1"/>
  <c r="P258" i="7"/>
  <c r="P257" i="7" s="1"/>
  <c r="AT275" i="7"/>
  <c r="AR275" i="7"/>
  <c r="AT284" i="7"/>
  <c r="AR284" i="7"/>
  <c r="AT291" i="7"/>
  <c r="AR291" i="7"/>
  <c r="AT303" i="7"/>
  <c r="AR303" i="7"/>
  <c r="AT304" i="7"/>
  <c r="AR304" i="7"/>
  <c r="AV319" i="7"/>
  <c r="AW319" i="7" s="1"/>
  <c r="Q314" i="7"/>
  <c r="Q313" i="7" s="1"/>
  <c r="AT329" i="7"/>
  <c r="AR329" i="7"/>
  <c r="S321" i="7"/>
  <c r="S312" i="7" s="1"/>
  <c r="BB350" i="7"/>
  <c r="BC350" i="7" s="1"/>
  <c r="AV373" i="7"/>
  <c r="AW373" i="7" s="1"/>
  <c r="X146" i="7"/>
  <c r="L251" i="7"/>
  <c r="S258" i="7"/>
  <c r="S257" i="7" s="1"/>
  <c r="S251" i="7" s="1"/>
  <c r="N267" i="7"/>
  <c r="N266" i="7" s="1"/>
  <c r="T273" i="7"/>
  <c r="AY297" i="7"/>
  <c r="Q273" i="7"/>
  <c r="Q272" i="7" s="1"/>
  <c r="BD311" i="7"/>
  <c r="X311" i="7"/>
  <c r="BD353" i="7"/>
  <c r="AQ353" i="7"/>
  <c r="X353" i="7"/>
  <c r="AV372" i="7"/>
  <c r="AW372" i="7" s="1"/>
  <c r="AQ381" i="7"/>
  <c r="AR393" i="7"/>
  <c r="AT393" i="7"/>
  <c r="AR403" i="7"/>
  <c r="AT403" i="7"/>
  <c r="T299" i="7"/>
  <c r="T339" i="7"/>
  <c r="X339" i="7" s="1"/>
  <c r="AF339" i="7" s="1"/>
  <c r="AV371" i="7"/>
  <c r="AW371" i="7" s="1"/>
  <c r="AQ383" i="7"/>
  <c r="AQ388" i="7"/>
  <c r="AQ390" i="7"/>
  <c r="AR395" i="7"/>
  <c r="AT395" i="7"/>
  <c r="AR397" i="7"/>
  <c r="AT397" i="7"/>
  <c r="AR414" i="7"/>
  <c r="AT414" i="7"/>
  <c r="K321" i="7"/>
  <c r="K312" i="7" s="1"/>
  <c r="BD365" i="7"/>
  <c r="I359" i="7"/>
  <c r="BD370" i="7"/>
  <c r="AV376" i="7"/>
  <c r="AW376" i="7" s="1"/>
  <c r="AR416" i="7"/>
  <c r="AT416" i="7"/>
  <c r="AQ423" i="7"/>
  <c r="AV374" i="7"/>
  <c r="AW374" i="7" s="1"/>
  <c r="AV378" i="7"/>
  <c r="AW378" i="7" s="1"/>
  <c r="AT407" i="7"/>
  <c r="AQ371" i="7"/>
  <c r="AQ373" i="7"/>
  <c r="AQ374" i="7"/>
  <c r="AQ375" i="7"/>
  <c r="AQ376" i="7"/>
  <c r="AQ377" i="7"/>
  <c r="AQ378" i="7"/>
  <c r="X425" i="7"/>
  <c r="AT38" i="7"/>
  <c r="AY38" i="7"/>
  <c r="BC38" i="7"/>
  <c r="AT39" i="7"/>
  <c r="AT42" i="7"/>
  <c r="AC202" i="3" l="1"/>
  <c r="AC201" i="3" s="1"/>
  <c r="AC194" i="3" s="1"/>
  <c r="Q12" i="14"/>
  <c r="AT62" i="7"/>
  <c r="U154" i="7"/>
  <c r="AT154" i="7" s="1"/>
  <c r="L16" i="8"/>
  <c r="Q16" i="8"/>
  <c r="AM224" i="8"/>
  <c r="AO216" i="8"/>
  <c r="O386" i="5"/>
  <c r="O385" i="5" s="1"/>
  <c r="O378" i="5" s="1"/>
  <c r="O316" i="5" s="1"/>
  <c r="O16" i="5" s="1"/>
  <c r="AD219" i="3"/>
  <c r="T325" i="9"/>
  <c r="T324" i="9" s="1"/>
  <c r="T317" i="9" s="1"/>
  <c r="AA75" i="3"/>
  <c r="AA74" i="3" s="1"/>
  <c r="R139" i="9"/>
  <c r="R138" i="9" s="1"/>
  <c r="R137" i="9" s="1"/>
  <c r="R178" i="11"/>
  <c r="AU178" i="11" s="1"/>
  <c r="AV178" i="11" s="1"/>
  <c r="O244" i="11"/>
  <c r="E11" i="14"/>
  <c r="S624" i="8"/>
  <c r="V44" i="8"/>
  <c r="AB44" i="8"/>
  <c r="Q154" i="7"/>
  <c r="U33" i="7"/>
  <c r="AT44" i="7"/>
  <c r="Y62" i="7"/>
  <c r="AF63" i="7"/>
  <c r="Y349" i="7"/>
  <c r="BD349" i="7" s="1"/>
  <c r="X45" i="7"/>
  <c r="X349" i="7"/>
  <c r="BD351" i="7"/>
  <c r="AQ422" i="7"/>
  <c r="V413" i="8"/>
  <c r="AH413" i="8"/>
  <c r="AD413" i="8"/>
  <c r="AD316" i="5"/>
  <c r="Z316" i="5"/>
  <c r="AA316" i="9"/>
  <c r="AB496" i="8"/>
  <c r="N462" i="8"/>
  <c r="AC241" i="3"/>
  <c r="AC238" i="3" s="1"/>
  <c r="AC237" i="3" s="1"/>
  <c r="O238" i="3"/>
  <c r="O237" i="3" s="1"/>
  <c r="O236" i="3" s="1"/>
  <c r="AC64" i="3"/>
  <c r="AJ351" i="9"/>
  <c r="N350" i="9"/>
  <c r="M16" i="5"/>
  <c r="AB413" i="8"/>
  <c r="AB16" i="8" s="1"/>
  <c r="AJ413" i="8"/>
  <c r="AF413" i="8"/>
  <c r="AF316" i="5"/>
  <c r="R14" i="14"/>
  <c r="AP382" i="7"/>
  <c r="AR382" i="7" s="1"/>
  <c r="AP276" i="7"/>
  <c r="AR276" i="7" s="1"/>
  <c r="AP178" i="7"/>
  <c r="AR178" i="7" s="1"/>
  <c r="AP309" i="7"/>
  <c r="AT309" i="7" s="1"/>
  <c r="BD422" i="7"/>
  <c r="X422" i="7"/>
  <c r="X368" i="7" s="1"/>
  <c r="T368" i="7"/>
  <c r="T367" i="7" s="1"/>
  <c r="AG323" i="7"/>
  <c r="AP323" i="7" s="1"/>
  <c r="U359" i="7"/>
  <c r="U358" i="7" s="1"/>
  <c r="AZ379" i="7"/>
  <c r="BA379" i="7" s="1"/>
  <c r="N321" i="7"/>
  <c r="N312" i="7" s="1"/>
  <c r="U367" i="7"/>
  <c r="AG415" i="7"/>
  <c r="AF422" i="7"/>
  <c r="AF276" i="7"/>
  <c r="AF388" i="7"/>
  <c r="AF311" i="7"/>
  <c r="AF324" i="7"/>
  <c r="AF387" i="7"/>
  <c r="AF310" i="7"/>
  <c r="AF376" i="7"/>
  <c r="AF178" i="7"/>
  <c r="AF391" i="7"/>
  <c r="AF383" i="7"/>
  <c r="AF221" i="7"/>
  <c r="AF423" i="7"/>
  <c r="AF382" i="7"/>
  <c r="AF328" i="7"/>
  <c r="AF223" i="7"/>
  <c r="AF145" i="7"/>
  <c r="AG299" i="7"/>
  <c r="AP299" i="7" s="1"/>
  <c r="AF353" i="7"/>
  <c r="AF340" i="7"/>
  <c r="AF220" i="7"/>
  <c r="AF150" i="7"/>
  <c r="AF307" i="7"/>
  <c r="AF424" i="7"/>
  <c r="AF389" i="7"/>
  <c r="AF385" i="7"/>
  <c r="AF381" i="7"/>
  <c r="AF318" i="7"/>
  <c r="AF309" i="7"/>
  <c r="AF201" i="7"/>
  <c r="AF425" i="7"/>
  <c r="AF390" i="7"/>
  <c r="AF384" i="7"/>
  <c r="AF183" i="7"/>
  <c r="AG167" i="7"/>
  <c r="AP167" i="7" s="1"/>
  <c r="AG55" i="7"/>
  <c r="AR84" i="7"/>
  <c r="AG147" i="7"/>
  <c r="AP147" i="7" s="1"/>
  <c r="AG420" i="7"/>
  <c r="AP420" i="7" s="1"/>
  <c r="AG386" i="7"/>
  <c r="AG374" i="7"/>
  <c r="AG375" i="7"/>
  <c r="AG380" i="7"/>
  <c r="AG341" i="7"/>
  <c r="AG317" i="7"/>
  <c r="AG217" i="7"/>
  <c r="AP217" i="7" s="1"/>
  <c r="AG207" i="7"/>
  <c r="AP207" i="7" s="1"/>
  <c r="AG208" i="7"/>
  <c r="AP208" i="7" s="1"/>
  <c r="AG204" i="7"/>
  <c r="AP204" i="7" s="1"/>
  <c r="AG214" i="7"/>
  <c r="AP214" i="7" s="1"/>
  <c r="AG152" i="7"/>
  <c r="AP152" i="7" s="1"/>
  <c r="AG70" i="7"/>
  <c r="AG67" i="7"/>
  <c r="AG68" i="7"/>
  <c r="AG77" i="7"/>
  <c r="AP77" i="7" s="1"/>
  <c r="AG76" i="7"/>
  <c r="AP76" i="7" s="1"/>
  <c r="AG148" i="7"/>
  <c r="AP148" i="7" s="1"/>
  <c r="AG146" i="7"/>
  <c r="AP146" i="7" s="1"/>
  <c r="AG143" i="7"/>
  <c r="AG144" i="7"/>
  <c r="AP144" i="7" s="1"/>
  <c r="AG125" i="7"/>
  <c r="AG151" i="7"/>
  <c r="AP151" i="7" s="1"/>
  <c r="AG213" i="7"/>
  <c r="AG333" i="7"/>
  <c r="AG326" i="7"/>
  <c r="AG205" i="7"/>
  <c r="AP205" i="7" s="1"/>
  <c r="AG378" i="7"/>
  <c r="AG372" i="7"/>
  <c r="AG377" i="7"/>
  <c r="AG373" i="7"/>
  <c r="AG371" i="7"/>
  <c r="AG434" i="7"/>
  <c r="J24" i="13" s="1"/>
  <c r="AG363" i="7"/>
  <c r="AG370" i="7"/>
  <c r="AP370" i="7" s="1"/>
  <c r="AG202" i="7"/>
  <c r="AP202" i="7" s="1"/>
  <c r="AF170" i="7"/>
  <c r="G32" i="15"/>
  <c r="AN16" i="10"/>
  <c r="O158" i="3"/>
  <c r="AC156" i="3"/>
  <c r="AC155" i="3" s="1"/>
  <c r="AA138" i="3"/>
  <c r="AJ187" i="11"/>
  <c r="Z413" i="8"/>
  <c r="M194" i="3"/>
  <c r="H316" i="9"/>
  <c r="AF316" i="9"/>
  <c r="AJ188" i="11"/>
  <c r="V20" i="11"/>
  <c r="V18" i="11" s="1"/>
  <c r="AO634" i="8"/>
  <c r="AN625" i="8"/>
  <c r="Y624" i="8"/>
  <c r="AO562" i="8"/>
  <c r="I561" i="8"/>
  <c r="M357" i="9"/>
  <c r="M349" i="9" s="1"/>
  <c r="AO624" i="8"/>
  <c r="Z20" i="11"/>
  <c r="Z18" i="11" s="1"/>
  <c r="K316" i="9"/>
  <c r="K16" i="9" s="1"/>
  <c r="J20" i="11"/>
  <c r="J18" i="11" s="1"/>
  <c r="W316" i="9"/>
  <c r="AH316" i="9"/>
  <c r="AD316" i="9"/>
  <c r="Z316" i="9"/>
  <c r="AO635" i="8"/>
  <c r="G167" i="3"/>
  <c r="G158" i="3" s="1"/>
  <c r="AB281" i="11"/>
  <c r="X11" i="13"/>
  <c r="AR66" i="7"/>
  <c r="AG211" i="7"/>
  <c r="AP211" i="7" s="1"/>
  <c r="AG57" i="7"/>
  <c r="AG212" i="7"/>
  <c r="AP212" i="7" s="1"/>
  <c r="AG209" i="7"/>
  <c r="AP209" i="7" s="1"/>
  <c r="AF199" i="7"/>
  <c r="AR340" i="7"/>
  <c r="AT308" i="7"/>
  <c r="AR308" i="7"/>
  <c r="V33" i="7"/>
  <c r="AS45" i="7" s="1"/>
  <c r="T317" i="7"/>
  <c r="AG53" i="7"/>
  <c r="V316" i="9"/>
  <c r="J16" i="14"/>
  <c r="J16" i="6"/>
  <c r="X20" i="11"/>
  <c r="X18" i="11" s="1"/>
  <c r="J15" i="14"/>
  <c r="L15" i="14" s="1"/>
  <c r="J15" i="6"/>
  <c r="L15" i="6" s="1"/>
  <c r="L14" i="6" s="1"/>
  <c r="AO601" i="8"/>
  <c r="S53" i="8"/>
  <c r="S52" i="8" s="1"/>
  <c r="S45" i="8" s="1"/>
  <c r="H16" i="9"/>
  <c r="S168" i="11"/>
  <c r="S167" i="11" s="1"/>
  <c r="S158" i="11" s="1"/>
  <c r="S462" i="8"/>
  <c r="S413" i="8" s="1"/>
  <c r="V16" i="8"/>
  <c r="K16" i="8"/>
  <c r="R44" i="8"/>
  <c r="AA291" i="3"/>
  <c r="AA290" i="3" s="1"/>
  <c r="AJ291" i="3"/>
  <c r="R281" i="3"/>
  <c r="R244" i="3"/>
  <c r="R243" i="3" s="1"/>
  <c r="R236" i="3" s="1"/>
  <c r="I20" i="3"/>
  <c r="I18" i="3" s="1"/>
  <c r="K20" i="3"/>
  <c r="K18" i="3" s="1"/>
  <c r="AA126" i="11"/>
  <c r="R510" i="8"/>
  <c r="R504" i="8" s="1"/>
  <c r="R503" i="8" s="1"/>
  <c r="R496" i="8" s="1"/>
  <c r="R413" i="8" s="1"/>
  <c r="O504" i="8"/>
  <c r="O503" i="8" s="1"/>
  <c r="O496" i="8" s="1"/>
  <c r="O413" i="8" s="1"/>
  <c r="AC316" i="5"/>
  <c r="Y316" i="5"/>
  <c r="AC305" i="3"/>
  <c r="AJ396" i="9"/>
  <c r="K236" i="11"/>
  <c r="K20" i="11" s="1"/>
  <c r="K18" i="11" s="1"/>
  <c r="Z16" i="8"/>
  <c r="H16" i="5"/>
  <c r="P18" i="9"/>
  <c r="Z16" i="9"/>
  <c r="T44" i="8"/>
  <c r="U20" i="3"/>
  <c r="U18" i="3" s="1"/>
  <c r="G20" i="3"/>
  <c r="G18" i="3" s="1"/>
  <c r="AJ378" i="9"/>
  <c r="Y316" i="9"/>
  <c r="L16" i="9"/>
  <c r="AN398" i="8"/>
  <c r="G28" i="15"/>
  <c r="AE316" i="5"/>
  <c r="AA316" i="5"/>
  <c r="H20" i="3"/>
  <c r="H18" i="3" s="1"/>
  <c r="AJ385" i="9"/>
  <c r="X316" i="9"/>
  <c r="X16" i="9" s="1"/>
  <c r="H194" i="11"/>
  <c r="AC128" i="11"/>
  <c r="AC127" i="11" s="1"/>
  <c r="I236" i="11"/>
  <c r="AF264" i="7"/>
  <c r="AF258" i="7" s="1"/>
  <c r="AF257" i="7" s="1"/>
  <c r="AG258" i="7"/>
  <c r="AP258" i="7" s="1"/>
  <c r="AF84" i="7"/>
  <c r="AG81" i="7"/>
  <c r="AP81" i="7" s="1"/>
  <c r="M16" i="8"/>
  <c r="H413" i="8"/>
  <c r="J413" i="8"/>
  <c r="J16" i="8" s="1"/>
  <c r="X216" i="8"/>
  <c r="AR383" i="3"/>
  <c r="AA281" i="3"/>
  <c r="J16" i="9"/>
  <c r="G20" i="11"/>
  <c r="G18" i="11" s="1"/>
  <c r="AD160" i="11"/>
  <c r="AD159" i="11" s="1"/>
  <c r="AD128" i="11"/>
  <c r="AD127" i="11" s="1"/>
  <c r="AR383" i="11"/>
  <c r="D11" i="14"/>
  <c r="D11" i="13"/>
  <c r="Y462" i="8"/>
  <c r="AN430" i="8"/>
  <c r="AM430" i="8"/>
  <c r="Y421" i="8"/>
  <c r="AD44" i="8"/>
  <c r="P44" i="8"/>
  <c r="X225" i="8"/>
  <c r="X224" i="8" s="1"/>
  <c r="X223" i="8" s="1"/>
  <c r="AF44" i="8"/>
  <c r="P385" i="5"/>
  <c r="P378" i="5" s="1"/>
  <c r="AC298" i="3"/>
  <c r="P316" i="5"/>
  <c r="AC224" i="3"/>
  <c r="AC221" i="3" s="1"/>
  <c r="AC220" i="3" s="1"/>
  <c r="AC219" i="3" s="1"/>
  <c r="AJ159" i="3"/>
  <c r="P158" i="3"/>
  <c r="AJ158" i="3" s="1"/>
  <c r="AC142" i="3"/>
  <c r="AJ139" i="3"/>
  <c r="P138" i="3"/>
  <c r="AJ138" i="3" s="1"/>
  <c r="P126" i="3"/>
  <c r="AJ126" i="3" s="1"/>
  <c r="O489" i="9"/>
  <c r="O488" i="9" s="1"/>
  <c r="M478" i="9"/>
  <c r="M431" i="9"/>
  <c r="N419" i="9"/>
  <c r="Q351" i="9"/>
  <c r="Q350" i="9" s="1"/>
  <c r="AH431" i="5"/>
  <c r="AA318" i="3"/>
  <c r="AA317" i="3" s="1"/>
  <c r="AJ290" i="3"/>
  <c r="Q431" i="9"/>
  <c r="Q331" i="9"/>
  <c r="Q325" i="9" s="1"/>
  <c r="Q324" i="9" s="1"/>
  <c r="Q317" i="9" s="1"/>
  <c r="O325" i="9"/>
  <c r="O324" i="9" s="1"/>
  <c r="O317" i="9" s="1"/>
  <c r="P316" i="9"/>
  <c r="T202" i="11"/>
  <c r="R203" i="11"/>
  <c r="AU203" i="11" s="1"/>
  <c r="AV203" i="11" s="1"/>
  <c r="AM173" i="11"/>
  <c r="AK173" i="11"/>
  <c r="W19" i="9"/>
  <c r="W18" i="9" s="1"/>
  <c r="W16" i="9" s="1"/>
  <c r="AK338" i="11"/>
  <c r="AM338" i="11"/>
  <c r="AK328" i="11"/>
  <c r="AM328" i="11"/>
  <c r="M243" i="11"/>
  <c r="M236" i="11" s="1"/>
  <c r="M20" i="11" s="1"/>
  <c r="M18" i="11" s="1"/>
  <c r="AC142" i="11"/>
  <c r="N413" i="8"/>
  <c r="R16" i="8"/>
  <c r="X133" i="8"/>
  <c r="X52" i="8" s="1"/>
  <c r="X45" i="8" s="1"/>
  <c r="M20" i="3"/>
  <c r="M18" i="3" s="1"/>
  <c r="AA316" i="3"/>
  <c r="AD238" i="3"/>
  <c r="AD237" i="3" s="1"/>
  <c r="U419" i="9"/>
  <c r="U411" i="9" s="1"/>
  <c r="U316" i="9" s="1"/>
  <c r="Q349" i="9"/>
  <c r="S27" i="9"/>
  <c r="S26" i="9" s="1"/>
  <c r="S19" i="9" s="1"/>
  <c r="S18" i="9" s="1"/>
  <c r="Y18" i="9"/>
  <c r="Y16" i="9" s="1"/>
  <c r="R27" i="9"/>
  <c r="R26" i="9" s="1"/>
  <c r="AD313" i="11"/>
  <c r="Q139" i="9"/>
  <c r="Q138" i="9" s="1"/>
  <c r="Q137" i="9" s="1"/>
  <c r="Q385" i="9"/>
  <c r="Q378" i="9" s="1"/>
  <c r="AD139" i="11"/>
  <c r="AD138" i="11" s="1"/>
  <c r="AB75" i="11"/>
  <c r="AB74" i="11" s="1"/>
  <c r="AB59" i="11" s="1"/>
  <c r="AC58" i="10"/>
  <c r="AN537" i="8"/>
  <c r="AM537" i="8"/>
  <c r="Y520" i="8"/>
  <c r="AO537" i="8"/>
  <c r="X521" i="8"/>
  <c r="X520" i="8" s="1"/>
  <c r="X519" i="8" s="1"/>
  <c r="AO470" i="8"/>
  <c r="AO463" i="8"/>
  <c r="I462" i="8"/>
  <c r="AO462" i="8" s="1"/>
  <c r="X430" i="8"/>
  <c r="X421" i="8" s="1"/>
  <c r="X414" i="8" s="1"/>
  <c r="AO430" i="8"/>
  <c r="I421" i="8"/>
  <c r="AA16" i="8"/>
  <c r="AH44" i="8"/>
  <c r="AC16" i="8"/>
  <c r="AJ44" i="8"/>
  <c r="T419" i="5"/>
  <c r="AH419" i="5" s="1"/>
  <c r="AJ386" i="5"/>
  <c r="N385" i="5"/>
  <c r="T411" i="5"/>
  <c r="G16" i="5"/>
  <c r="P16" i="5"/>
  <c r="AJ326" i="3"/>
  <c r="P325" i="3"/>
  <c r="AJ244" i="3"/>
  <c r="P243" i="3"/>
  <c r="AA244" i="3"/>
  <c r="AA243" i="3" s="1"/>
  <c r="AA236" i="3" s="1"/>
  <c r="AJ220" i="3"/>
  <c r="P219" i="3"/>
  <c r="AJ219" i="3" s="1"/>
  <c r="AA126" i="3"/>
  <c r="L20" i="3"/>
  <c r="L18" i="3" s="1"/>
  <c r="O478" i="9"/>
  <c r="AJ479" i="9"/>
  <c r="N478" i="9"/>
  <c r="N431" i="9"/>
  <c r="AJ431" i="9" s="1"/>
  <c r="AH432" i="5"/>
  <c r="AH334" i="5"/>
  <c r="T333" i="5"/>
  <c r="AH333" i="5" s="1"/>
  <c r="N316" i="3"/>
  <c r="N20" i="3" s="1"/>
  <c r="N18" i="3" s="1"/>
  <c r="AA21" i="3"/>
  <c r="AU383" i="3"/>
  <c r="R20" i="3"/>
  <c r="R18" i="3" s="1"/>
  <c r="AK335" i="11"/>
  <c r="AM335" i="11"/>
  <c r="H158" i="11"/>
  <c r="H20" i="11" s="1"/>
  <c r="H18" i="11" s="1"/>
  <c r="AJ335" i="9"/>
  <c r="N334" i="9"/>
  <c r="AK346" i="11"/>
  <c r="AM346" i="11"/>
  <c r="AK331" i="11"/>
  <c r="AM331" i="11"/>
  <c r="AC269" i="11"/>
  <c r="AC243" i="11" s="1"/>
  <c r="AD196" i="11"/>
  <c r="AD195" i="11" s="1"/>
  <c r="BD323" i="7"/>
  <c r="AQ323" i="7"/>
  <c r="T362" i="7"/>
  <c r="T359" i="7" s="1"/>
  <c r="T358" i="7" s="1"/>
  <c r="H44" i="7"/>
  <c r="H33" i="7" s="1"/>
  <c r="AG162" i="7"/>
  <c r="AP162" i="7" s="1"/>
  <c r="AG224" i="7"/>
  <c r="AP224" i="7" s="1"/>
  <c r="AG298" i="7"/>
  <c r="AG187" i="7"/>
  <c r="AP187" i="7" s="1"/>
  <c r="AG73" i="7"/>
  <c r="AG256" i="7"/>
  <c r="AP256" i="7" s="1"/>
  <c r="AG352" i="7"/>
  <c r="AP352" i="7" s="1"/>
  <c r="AG431" i="7"/>
  <c r="AP431" i="7" s="1"/>
  <c r="AG64" i="7"/>
  <c r="I312" i="7"/>
  <c r="BD217" i="7"/>
  <c r="Y270" i="7"/>
  <c r="T319" i="7"/>
  <c r="T166" i="7"/>
  <c r="T154" i="7" s="1"/>
  <c r="U79" i="7"/>
  <c r="AT79" i="7" s="1"/>
  <c r="Y218" i="7"/>
  <c r="Y362" i="7"/>
  <c r="N226" i="7"/>
  <c r="X323" i="7"/>
  <c r="T267" i="7"/>
  <c r="T266" i="7" s="1"/>
  <c r="BD202" i="7"/>
  <c r="U267" i="7"/>
  <c r="AT267" i="7" s="1"/>
  <c r="AQ252" i="7"/>
  <c r="AQ202" i="7"/>
  <c r="AZ351" i="7"/>
  <c r="BA351" i="7" s="1"/>
  <c r="O357" i="7"/>
  <c r="R44" i="7"/>
  <c r="R33" i="7" s="1"/>
  <c r="U314" i="7"/>
  <c r="U313" i="7" s="1"/>
  <c r="P167" i="7"/>
  <c r="P166" i="7" s="1"/>
  <c r="P154" i="7" s="1"/>
  <c r="AS62" i="7"/>
  <c r="Q198" i="7"/>
  <c r="Q197" i="7" s="1"/>
  <c r="Q188" i="7" s="1"/>
  <c r="T336" i="7"/>
  <c r="X336" i="7" s="1"/>
  <c r="P267" i="7"/>
  <c r="P266" i="7" s="1"/>
  <c r="T217" i="7"/>
  <c r="T198" i="7" s="1"/>
  <c r="T197" i="7" s="1"/>
  <c r="T188" i="7" s="1"/>
  <c r="AQ253" i="7"/>
  <c r="AQ217" i="7"/>
  <c r="BD252" i="7"/>
  <c r="X217" i="7"/>
  <c r="BD430" i="7"/>
  <c r="BD253" i="7"/>
  <c r="H321" i="7"/>
  <c r="H312" i="7" s="1"/>
  <c r="BD17" i="7"/>
  <c r="Y421" i="7"/>
  <c r="S44" i="7"/>
  <c r="S33" i="7" s="1"/>
  <c r="V197" i="7"/>
  <c r="V188" i="7" s="1"/>
  <c r="G12" i="15"/>
  <c r="J312" i="7"/>
  <c r="J32" i="7" s="1"/>
  <c r="J16" i="7" s="1"/>
  <c r="J13" i="13"/>
  <c r="AB13" i="13" s="1"/>
  <c r="X17" i="7"/>
  <c r="O95" i="7"/>
  <c r="O79" i="7" s="1"/>
  <c r="L14" i="14"/>
  <c r="W14" i="14" s="1"/>
  <c r="Q12" i="6"/>
  <c r="R12" i="6" s="1"/>
  <c r="G11" i="13"/>
  <c r="F11" i="13"/>
  <c r="AZ152" i="7"/>
  <c r="BA152" i="7" s="1"/>
  <c r="BD317" i="7"/>
  <c r="N95" i="7"/>
  <c r="N79" i="7" s="1"/>
  <c r="Q79" i="7"/>
  <c r="H367" i="7"/>
  <c r="H357" i="7" s="1"/>
  <c r="X317" i="7"/>
  <c r="N166" i="7"/>
  <c r="N154" i="7" s="1"/>
  <c r="BD213" i="7"/>
  <c r="X253" i="7"/>
  <c r="X252" i="7" s="1"/>
  <c r="X64" i="7"/>
  <c r="X62" i="7" s="1"/>
  <c r="N359" i="7"/>
  <c r="N358" i="7" s="1"/>
  <c r="N357" i="7" s="1"/>
  <c r="O312" i="7"/>
  <c r="AQ213" i="7"/>
  <c r="BD45" i="7"/>
  <c r="T95" i="7"/>
  <c r="T79" i="7" s="1"/>
  <c r="H95" i="7"/>
  <c r="H79" i="7" s="1"/>
  <c r="P413" i="8"/>
  <c r="P16" i="8" s="1"/>
  <c r="AE364" i="3"/>
  <c r="AE326" i="3" s="1"/>
  <c r="AE325" i="3" s="1"/>
  <c r="AE316" i="3" s="1"/>
  <c r="AF326" i="3"/>
  <c r="AF325" i="3" s="1"/>
  <c r="AK305" i="3"/>
  <c r="AM305" i="3"/>
  <c r="AM183" i="3"/>
  <c r="AK183" i="3"/>
  <c r="AM170" i="3"/>
  <c r="AK170" i="3"/>
  <c r="AE110" i="3"/>
  <c r="AF63" i="3"/>
  <c r="AE270" i="3"/>
  <c r="AE269" i="3" s="1"/>
  <c r="AE243" i="3" s="1"/>
  <c r="AE236" i="3" s="1"/>
  <c r="AF269" i="3"/>
  <c r="AF243" i="3" s="1"/>
  <c r="AK176" i="3"/>
  <c r="AM176" i="3"/>
  <c r="AM174" i="3"/>
  <c r="AK174" i="3"/>
  <c r="AM172" i="3"/>
  <c r="AK172" i="3"/>
  <c r="AE40" i="3"/>
  <c r="AF33" i="3"/>
  <c r="AE372" i="11"/>
  <c r="AF326" i="11"/>
  <c r="AF325" i="11" s="1"/>
  <c r="AF269" i="11"/>
  <c r="AF243" i="11" s="1"/>
  <c r="AE270" i="11"/>
  <c r="AE269" i="11" s="1"/>
  <c r="AE243" i="11" s="1"/>
  <c r="AE110" i="11"/>
  <c r="AF63" i="11"/>
  <c r="AE40" i="11"/>
  <c r="AF33" i="11"/>
  <c r="AE303" i="3"/>
  <c r="AF291" i="3"/>
  <c r="AE212" i="3"/>
  <c r="AE202" i="3" s="1"/>
  <c r="AE201" i="3" s="1"/>
  <c r="AE194" i="3" s="1"/>
  <c r="AF202" i="3"/>
  <c r="AF201" i="3" s="1"/>
  <c r="AF194" i="3" s="1"/>
  <c r="AM177" i="3"/>
  <c r="AK177" i="3"/>
  <c r="AE144" i="3"/>
  <c r="AF139" i="3"/>
  <c r="AF138" i="3" s="1"/>
  <c r="AM178" i="3"/>
  <c r="AK178" i="3"/>
  <c r="AM173" i="3"/>
  <c r="AK173" i="3"/>
  <c r="R19" i="9"/>
  <c r="R18" i="9" s="1"/>
  <c r="AT251" i="7"/>
  <c r="AC57" i="10"/>
  <c r="AA57" i="10"/>
  <c r="AE51" i="10"/>
  <c r="AF51" i="10"/>
  <c r="AE47" i="10"/>
  <c r="AF47" i="10"/>
  <c r="AE43" i="10"/>
  <c r="AF43" i="10"/>
  <c r="AE39" i="10"/>
  <c r="AF39" i="10"/>
  <c r="AE35" i="10"/>
  <c r="AF35" i="10"/>
  <c r="AF60" i="10"/>
  <c r="AE60" i="10"/>
  <c r="AA59" i="10"/>
  <c r="AA58" i="10" s="1"/>
  <c r="AB58" i="10"/>
  <c r="AF57" i="10"/>
  <c r="AE57" i="10"/>
  <c r="AE32" i="10"/>
  <c r="AF32" i="10"/>
  <c r="T559" i="8"/>
  <c r="T558" i="8" s="1"/>
  <c r="T548" i="8" s="1"/>
  <c r="T540" i="8" s="1"/>
  <c r="T413" i="8" s="1"/>
  <c r="T16" i="8" s="1"/>
  <c r="U558" i="8"/>
  <c r="AM559" i="8"/>
  <c r="AO541" i="8"/>
  <c r="I540" i="8"/>
  <c r="X504" i="8"/>
  <c r="X503" i="8" s="1"/>
  <c r="X496" i="8" s="1"/>
  <c r="AM497" i="8"/>
  <c r="Y496" i="8"/>
  <c r="AN497" i="8"/>
  <c r="X548" i="8"/>
  <c r="X540" i="8" s="1"/>
  <c r="H337" i="8"/>
  <c r="H336" i="8" s="1"/>
  <c r="H335" i="8" s="1"/>
  <c r="H44" i="8" s="1"/>
  <c r="H16" i="8" s="1"/>
  <c r="I224" i="8"/>
  <c r="AO331" i="8"/>
  <c r="S262" i="8"/>
  <c r="N262" i="8"/>
  <c r="O225" i="8"/>
  <c r="O224" i="8" s="1"/>
  <c r="O223" i="8" s="1"/>
  <c r="O44" i="8" s="1"/>
  <c r="O16" i="8" s="1"/>
  <c r="AM223" i="8"/>
  <c r="AN223" i="8"/>
  <c r="X183" i="8"/>
  <c r="X182" i="8" s="1"/>
  <c r="X173" i="8" s="1"/>
  <c r="AO183" i="8"/>
  <c r="I182" i="8"/>
  <c r="AM337" i="8"/>
  <c r="Y336" i="8"/>
  <c r="AN337" i="8"/>
  <c r="X337" i="8"/>
  <c r="X336" i="8" s="1"/>
  <c r="X335" i="8" s="1"/>
  <c r="AG17" i="7"/>
  <c r="AP17" i="7" s="1"/>
  <c r="AO337" i="8"/>
  <c r="AO46" i="8"/>
  <c r="R12" i="14"/>
  <c r="Q11" i="14"/>
  <c r="S419" i="5"/>
  <c r="S411" i="5"/>
  <c r="R27" i="5"/>
  <c r="R26" i="5" s="1"/>
  <c r="R19" i="5" s="1"/>
  <c r="R18" i="5" s="1"/>
  <c r="R16" i="5" s="1"/>
  <c r="S386" i="5"/>
  <c r="AK346" i="3"/>
  <c r="AM346" i="3"/>
  <c r="AK342" i="3"/>
  <c r="AM342" i="3"/>
  <c r="AK338" i="3"/>
  <c r="AM338" i="3"/>
  <c r="AK336" i="3"/>
  <c r="AM336" i="3"/>
  <c r="AK332" i="3"/>
  <c r="AM332" i="3"/>
  <c r="AD326" i="3"/>
  <c r="AD325" i="3" s="1"/>
  <c r="AK293" i="3"/>
  <c r="AM293" i="3"/>
  <c r="T386" i="5"/>
  <c r="AH117" i="5"/>
  <c r="T116" i="5"/>
  <c r="S378" i="3"/>
  <c r="S326" i="3" s="1"/>
  <c r="S325" i="3" s="1"/>
  <c r="AC378" i="3"/>
  <c r="AC326" i="3" s="1"/>
  <c r="AC325" i="3" s="1"/>
  <c r="O326" i="3"/>
  <c r="O325" i="3" s="1"/>
  <c r="T306" i="3"/>
  <c r="AJ306" i="3" s="1"/>
  <c r="AO306" i="3"/>
  <c r="AP306" i="3" s="1"/>
  <c r="AD306" i="3"/>
  <c r="O306" i="3"/>
  <c r="AH189" i="3"/>
  <c r="AH167" i="3" s="1"/>
  <c r="AH158" i="3" s="1"/>
  <c r="AC150" i="3"/>
  <c r="AC139" i="3" s="1"/>
  <c r="AC138" i="3" s="1"/>
  <c r="AC126" i="3" s="1"/>
  <c r="O139" i="3"/>
  <c r="O138" i="3" s="1"/>
  <c r="AD139" i="3"/>
  <c r="AD138" i="3" s="1"/>
  <c r="AD128" i="3"/>
  <c r="AD127" i="3" s="1"/>
  <c r="AD283" i="3"/>
  <c r="AD282" i="3" s="1"/>
  <c r="AK241" i="3"/>
  <c r="AM241" i="3"/>
  <c r="AD202" i="3"/>
  <c r="AD201" i="3" s="1"/>
  <c r="S203" i="3"/>
  <c r="S202" i="3" s="1"/>
  <c r="S201" i="3" s="1"/>
  <c r="S194" i="3" s="1"/>
  <c r="T202" i="3"/>
  <c r="AD196" i="3"/>
  <c r="AD195" i="3" s="1"/>
  <c r="AK191" i="3"/>
  <c r="AM191" i="3"/>
  <c r="AK188" i="3"/>
  <c r="AM188" i="3"/>
  <c r="AS187" i="3"/>
  <c r="Q168" i="3"/>
  <c r="Q167" i="3" s="1"/>
  <c r="Q158" i="3" s="1"/>
  <c r="AK184" i="3"/>
  <c r="AM184" i="3"/>
  <c r="AK154" i="3"/>
  <c r="AM154" i="3"/>
  <c r="AK134" i="3"/>
  <c r="AM134" i="3"/>
  <c r="AC56" i="3"/>
  <c r="O46" i="3"/>
  <c r="O32" i="3" s="1"/>
  <c r="O21" i="3" s="1"/>
  <c r="AD46" i="3"/>
  <c r="AD33" i="3"/>
  <c r="AD23" i="3"/>
  <c r="AD22" i="3" s="1"/>
  <c r="AF92" i="3"/>
  <c r="AE92" i="3" s="1"/>
  <c r="AD92" i="3"/>
  <c r="AF90" i="3"/>
  <c r="AE90" i="3" s="1"/>
  <c r="AD90" i="3"/>
  <c r="AF78" i="3"/>
  <c r="AE78" i="3" s="1"/>
  <c r="AD78" i="3"/>
  <c r="S56" i="3"/>
  <c r="S46" i="3" s="1"/>
  <c r="S32" i="3" s="1"/>
  <c r="S21" i="3" s="1"/>
  <c r="S20" i="3" s="1"/>
  <c r="S18" i="3" s="1"/>
  <c r="T46" i="3"/>
  <c r="AK35" i="3"/>
  <c r="AM35" i="3"/>
  <c r="R440" i="9"/>
  <c r="R439" i="9" s="1"/>
  <c r="R431" i="9" s="1"/>
  <c r="S335" i="9"/>
  <c r="S334" i="9" s="1"/>
  <c r="S333" i="9" s="1"/>
  <c r="R317" i="9"/>
  <c r="Q326" i="11"/>
  <c r="Q325" i="11" s="1"/>
  <c r="AS337" i="11"/>
  <c r="AT337" i="11" s="1"/>
  <c r="AD326" i="11"/>
  <c r="AD325" i="11" s="1"/>
  <c r="AC77" i="3"/>
  <c r="AJ21" i="9"/>
  <c r="N20" i="9"/>
  <c r="AD202" i="11"/>
  <c r="AD201" i="11" s="1"/>
  <c r="AD194" i="11" s="1"/>
  <c r="R189" i="11"/>
  <c r="AU190" i="11"/>
  <c r="AV190" i="11" s="1"/>
  <c r="U16" i="9"/>
  <c r="AA316" i="11"/>
  <c r="AC321" i="11"/>
  <c r="AC318" i="11" s="1"/>
  <c r="AC317" i="11" s="1"/>
  <c r="AC316" i="11" s="1"/>
  <c r="AE241" i="11"/>
  <c r="AE238" i="11" s="1"/>
  <c r="AE237" i="11" s="1"/>
  <c r="AE236" i="11" s="1"/>
  <c r="AF238" i="11"/>
  <c r="AF237" i="11" s="1"/>
  <c r="AF236" i="11" s="1"/>
  <c r="AA194" i="11"/>
  <c r="AC75" i="3"/>
  <c r="AC74" i="3" s="1"/>
  <c r="AA59" i="3"/>
  <c r="AF47" i="3"/>
  <c r="AE33" i="3"/>
  <c r="O358" i="9"/>
  <c r="O357" i="9" s="1"/>
  <c r="O349" i="9" s="1"/>
  <c r="AJ139" i="9"/>
  <c r="N138" i="9"/>
  <c r="O117" i="9"/>
  <c r="O116" i="9" s="1"/>
  <c r="O107" i="9" s="1"/>
  <c r="Q135" i="9"/>
  <c r="Q117" i="9" s="1"/>
  <c r="Q116" i="9" s="1"/>
  <c r="Q107" i="9" s="1"/>
  <c r="Q18" i="9" s="1"/>
  <c r="T27" i="9"/>
  <c r="T26" i="9" s="1"/>
  <c r="T19" i="9" s="1"/>
  <c r="AM345" i="11"/>
  <c r="AK345" i="11"/>
  <c r="AM310" i="11"/>
  <c r="AK310" i="11"/>
  <c r="Q305" i="11"/>
  <c r="AS305" i="11" s="1"/>
  <c r="AT305" i="11" s="1"/>
  <c r="AJ305" i="11"/>
  <c r="AD283" i="11"/>
  <c r="AD282" i="11" s="1"/>
  <c r="AC286" i="11"/>
  <c r="AC283" i="11" s="1"/>
  <c r="AC282" i="11" s="1"/>
  <c r="AA283" i="11"/>
  <c r="AA282" i="11" s="1"/>
  <c r="R243" i="11"/>
  <c r="R236" i="11" s="1"/>
  <c r="AF251" i="11"/>
  <c r="AE251" i="11" s="1"/>
  <c r="AD251" i="11"/>
  <c r="AJ241" i="11"/>
  <c r="Q241" i="11"/>
  <c r="T238" i="11"/>
  <c r="S241" i="11"/>
  <c r="S238" i="11" s="1"/>
  <c r="S237" i="11" s="1"/>
  <c r="S236" i="11" s="1"/>
  <c r="AA221" i="11"/>
  <c r="AA220" i="11" s="1"/>
  <c r="AA219" i="11" s="1"/>
  <c r="AC224" i="11"/>
  <c r="AC221" i="11" s="1"/>
  <c r="AC220" i="11" s="1"/>
  <c r="AC219" i="11" s="1"/>
  <c r="AK213" i="11"/>
  <c r="AM213" i="11"/>
  <c r="AM203" i="11"/>
  <c r="AK203" i="11"/>
  <c r="AM183" i="11"/>
  <c r="AK183" i="11"/>
  <c r="AK179" i="11"/>
  <c r="AM179" i="11"/>
  <c r="AF176" i="11"/>
  <c r="AD176" i="11"/>
  <c r="AK172" i="11"/>
  <c r="AM172" i="11"/>
  <c r="AM171" i="11"/>
  <c r="AK171" i="11"/>
  <c r="AB158" i="11"/>
  <c r="AB138" i="11"/>
  <c r="AB126" i="11" s="1"/>
  <c r="O124" i="11"/>
  <c r="O74" i="11" s="1"/>
  <c r="AG125" i="11"/>
  <c r="AG124" i="11" s="1"/>
  <c r="AG74" i="11" s="1"/>
  <c r="AG59" i="11" s="1"/>
  <c r="AM106" i="11"/>
  <c r="AK106" i="11"/>
  <c r="O61" i="11"/>
  <c r="O60" i="11" s="1"/>
  <c r="O59" i="11" s="1"/>
  <c r="AC64" i="11"/>
  <c r="AD46" i="11"/>
  <c r="I20" i="11"/>
  <c r="I18" i="11" s="1"/>
  <c r="AJ326" i="11"/>
  <c r="N325" i="11"/>
  <c r="AJ325" i="11" s="1"/>
  <c r="Q318" i="11"/>
  <c r="Q317" i="11" s="1"/>
  <c r="N281" i="11"/>
  <c r="AJ282" i="11"/>
  <c r="AB244" i="11"/>
  <c r="AB243" i="11" s="1"/>
  <c r="AB236" i="11" s="1"/>
  <c r="AK182" i="11"/>
  <c r="AM182" i="11"/>
  <c r="AK178" i="11"/>
  <c r="AM178" i="11"/>
  <c r="AE163" i="11"/>
  <c r="AE160" i="11" s="1"/>
  <c r="AE159" i="11" s="1"/>
  <c r="AF160" i="11"/>
  <c r="AF159" i="11" s="1"/>
  <c r="AE156" i="11"/>
  <c r="AE155" i="11" s="1"/>
  <c r="AF155" i="11"/>
  <c r="AE140" i="11"/>
  <c r="AE139" i="11" s="1"/>
  <c r="AE138" i="11" s="1"/>
  <c r="AF139" i="11"/>
  <c r="AF138" i="11" s="1"/>
  <c r="AE131" i="11"/>
  <c r="AE128" i="11" s="1"/>
  <c r="AE127" i="11" s="1"/>
  <c r="AE126" i="11" s="1"/>
  <c r="AF128" i="11"/>
  <c r="AF127" i="11" s="1"/>
  <c r="AF126" i="11" s="1"/>
  <c r="AF90" i="11"/>
  <c r="AE90" i="11" s="1"/>
  <c r="AD90" i="11"/>
  <c r="AD23" i="11"/>
  <c r="AD22" i="11" s="1"/>
  <c r="R75" i="11"/>
  <c r="R74" i="11" s="1"/>
  <c r="R59" i="11" s="1"/>
  <c r="AM108" i="11"/>
  <c r="AK108" i="11"/>
  <c r="AE76" i="11"/>
  <c r="AF61" i="11"/>
  <c r="AF60" i="11" s="1"/>
  <c r="AE33" i="11"/>
  <c r="AA244" i="11"/>
  <c r="AA243" i="11" s="1"/>
  <c r="AA236" i="11" s="1"/>
  <c r="AF202" i="11"/>
  <c r="AF201" i="11" s="1"/>
  <c r="AF194" i="11" s="1"/>
  <c r="AO185" i="11"/>
  <c r="AP185" i="11" s="1"/>
  <c r="AD185" i="11"/>
  <c r="AF185" i="11" s="1"/>
  <c r="AE185" i="11" s="1"/>
  <c r="T185" i="11"/>
  <c r="AA75" i="11"/>
  <c r="AA74" i="11" s="1"/>
  <c r="AA59" i="11" s="1"/>
  <c r="AF47" i="11"/>
  <c r="AG46" i="11"/>
  <c r="AG32" i="11" s="1"/>
  <c r="AG21" i="11" s="1"/>
  <c r="Q32" i="11"/>
  <c r="AL32" i="11" s="1"/>
  <c r="P198" i="7"/>
  <c r="P197" i="7" s="1"/>
  <c r="P188" i="7" s="1"/>
  <c r="S96" i="7"/>
  <c r="S95" i="7" s="1"/>
  <c r="S79" i="7" s="1"/>
  <c r="AE53" i="10"/>
  <c r="AF53" i="10"/>
  <c r="AE49" i="10"/>
  <c r="AF49" i="10"/>
  <c r="AE45" i="10"/>
  <c r="AF45" i="10"/>
  <c r="AE41" i="10"/>
  <c r="AF41" i="10"/>
  <c r="AE37" i="10"/>
  <c r="AF37" i="10"/>
  <c r="AE33" i="10"/>
  <c r="AF33" i="10"/>
  <c r="AE59" i="10"/>
  <c r="AE58" i="10" s="1"/>
  <c r="AF59" i="10"/>
  <c r="AF58" i="10" s="1"/>
  <c r="AD58" i="10"/>
  <c r="X658" i="8"/>
  <c r="AC31" i="10"/>
  <c r="AC30" i="10" s="1"/>
  <c r="AC29" i="10" s="1"/>
  <c r="AC16" i="10" s="1"/>
  <c r="AA31" i="10"/>
  <c r="AA30" i="10" s="1"/>
  <c r="AA29" i="10" s="1"/>
  <c r="AA16" i="10" s="1"/>
  <c r="AB30" i="10"/>
  <c r="AB29" i="10" s="1"/>
  <c r="AB16" i="10" s="1"/>
  <c r="AD31" i="10"/>
  <c r="AC27" i="10"/>
  <c r="AA27" i="10"/>
  <c r="AA18" i="10" s="1"/>
  <c r="AA17" i="10" s="1"/>
  <c r="AD27" i="10"/>
  <c r="AB18" i="10"/>
  <c r="AB17" i="10" s="1"/>
  <c r="AC18" i="10"/>
  <c r="AC17" i="10" s="1"/>
  <c r="X635" i="8"/>
  <c r="X634" i="8" s="1"/>
  <c r="X624" i="8" s="1"/>
  <c r="AF28" i="10"/>
  <c r="AE28" i="10"/>
  <c r="X602" i="8"/>
  <c r="X601" i="8" s="1"/>
  <c r="X594" i="8" s="1"/>
  <c r="AM601" i="8"/>
  <c r="AN601" i="8"/>
  <c r="AO596" i="8"/>
  <c r="I595" i="8"/>
  <c r="Y594" i="8"/>
  <c r="AO570" i="8"/>
  <c r="AM570" i="8"/>
  <c r="Y569" i="8"/>
  <c r="AN570" i="8"/>
  <c r="X570" i="8"/>
  <c r="X569" i="8" s="1"/>
  <c r="X561" i="8" s="1"/>
  <c r="AM541" i="8"/>
  <c r="AN541" i="8"/>
  <c r="AO497" i="8"/>
  <c r="I496" i="8"/>
  <c r="X471" i="8"/>
  <c r="X470" i="8" s="1"/>
  <c r="X462" i="8" s="1"/>
  <c r="AN549" i="8"/>
  <c r="AM549" i="8"/>
  <c r="Y548" i="8"/>
  <c r="S263" i="8"/>
  <c r="N263" i="8"/>
  <c r="AO549" i="8"/>
  <c r="S265" i="8"/>
  <c r="N265" i="8"/>
  <c r="AM183" i="8"/>
  <c r="Y182" i="8"/>
  <c r="AN183" i="8"/>
  <c r="AO175" i="8"/>
  <c r="I174" i="8"/>
  <c r="AM52" i="8"/>
  <c r="AN52" i="8"/>
  <c r="AM46" i="8"/>
  <c r="Y45" i="8"/>
  <c r="AN46" i="8"/>
  <c r="AH397" i="5"/>
  <c r="S397" i="5"/>
  <c r="S396" i="5" s="1"/>
  <c r="T396" i="5"/>
  <c r="AH396" i="5" s="1"/>
  <c r="AO53" i="8"/>
  <c r="I52" i="8"/>
  <c r="AO52" i="8" s="1"/>
  <c r="AM17" i="8"/>
  <c r="G26" i="15"/>
  <c r="AN17" i="8"/>
  <c r="X17" i="8"/>
  <c r="O318" i="3"/>
  <c r="O317" i="3" s="1"/>
  <c r="O316" i="3" s="1"/>
  <c r="AC322" i="3"/>
  <c r="AC318" i="3" s="1"/>
  <c r="AC317" i="3" s="1"/>
  <c r="AC316" i="3" s="1"/>
  <c r="Q313" i="3"/>
  <c r="Q290" i="3" s="1"/>
  <c r="Q281" i="3" s="1"/>
  <c r="AS315" i="3"/>
  <c r="AT315" i="3" s="1"/>
  <c r="AH400" i="5"/>
  <c r="T399" i="5"/>
  <c r="AH331" i="5"/>
  <c r="S331" i="5"/>
  <c r="AK348" i="3"/>
  <c r="AM348" i="3"/>
  <c r="AK344" i="3"/>
  <c r="AM344" i="3"/>
  <c r="AK340" i="3"/>
  <c r="AM340" i="3"/>
  <c r="AK334" i="3"/>
  <c r="AM334" i="3"/>
  <c r="AK330" i="3"/>
  <c r="AM330" i="3"/>
  <c r="AK322" i="3"/>
  <c r="AM322" i="3"/>
  <c r="AD318" i="3"/>
  <c r="AD317" i="3" s="1"/>
  <c r="AD316" i="3" s="1"/>
  <c r="AD313" i="3"/>
  <c r="AK310" i="3"/>
  <c r="AM310" i="3"/>
  <c r="AK297" i="3"/>
  <c r="AM297" i="3"/>
  <c r="AD291" i="3"/>
  <c r="AK288" i="3"/>
  <c r="AM288" i="3"/>
  <c r="AH380" i="5"/>
  <c r="T379" i="5"/>
  <c r="AH379" i="5" s="1"/>
  <c r="AF316" i="3"/>
  <c r="AE291" i="3"/>
  <c r="AC269" i="3"/>
  <c r="AC243" i="3" s="1"/>
  <c r="AC236" i="3" s="1"/>
  <c r="AD189" i="3"/>
  <c r="AB176" i="3"/>
  <c r="Y176" i="3"/>
  <c r="AA176" i="3" s="1"/>
  <c r="AC176" i="3" s="1"/>
  <c r="AD160" i="3"/>
  <c r="AD159" i="3" s="1"/>
  <c r="O126" i="3"/>
  <c r="AG125" i="3"/>
  <c r="AG124" i="3" s="1"/>
  <c r="AG74" i="3" s="1"/>
  <c r="AG59" i="3" s="1"/>
  <c r="O124" i="3"/>
  <c r="O74" i="3" s="1"/>
  <c r="O59" i="3" s="1"/>
  <c r="AH358" i="5"/>
  <c r="T357" i="5"/>
  <c r="AF314" i="3"/>
  <c r="AD269" i="3"/>
  <c r="AD243" i="3" s="1"/>
  <c r="AD236" i="3" s="1"/>
  <c r="AK267" i="3"/>
  <c r="AM267" i="3"/>
  <c r="S241" i="3"/>
  <c r="S238" i="3" s="1"/>
  <c r="S237" i="3" s="1"/>
  <c r="T238" i="3"/>
  <c r="AK190" i="3"/>
  <c r="AM190" i="3"/>
  <c r="AK187" i="3"/>
  <c r="AM187" i="3"/>
  <c r="AK186" i="3"/>
  <c r="AM186" i="3"/>
  <c r="Y173" i="3"/>
  <c r="Z168" i="3"/>
  <c r="Z167" i="3" s="1"/>
  <c r="Z158" i="3" s="1"/>
  <c r="Z20" i="3" s="1"/>
  <c r="Z18" i="3" s="1"/>
  <c r="AB173" i="3"/>
  <c r="S134" i="3"/>
  <c r="S128" i="3" s="1"/>
  <c r="S127" i="3" s="1"/>
  <c r="T128" i="3"/>
  <c r="AF236" i="3"/>
  <c r="AJ203" i="3"/>
  <c r="AE139" i="3"/>
  <c r="AE138" i="3" s="1"/>
  <c r="AE126" i="3" s="1"/>
  <c r="AF126" i="3"/>
  <c r="AD63" i="3"/>
  <c r="AD61" i="3"/>
  <c r="AD60" i="3" s="1"/>
  <c r="AQ383" i="3"/>
  <c r="M428" i="9"/>
  <c r="M419" i="9" s="1"/>
  <c r="M411" i="9" s="1"/>
  <c r="M316" i="9" s="1"/>
  <c r="Q429" i="9"/>
  <c r="Q428" i="9" s="1"/>
  <c r="S378" i="9"/>
  <c r="T335" i="9"/>
  <c r="T334" i="9" s="1"/>
  <c r="T333" i="9" s="1"/>
  <c r="T316" i="9" s="1"/>
  <c r="AF190" i="3"/>
  <c r="AO185" i="3"/>
  <c r="AP185" i="3" s="1"/>
  <c r="AP383" i="3" s="1"/>
  <c r="AP385" i="3" s="1"/>
  <c r="AD185" i="3"/>
  <c r="AF185" i="3" s="1"/>
  <c r="AE185" i="3" s="1"/>
  <c r="T185" i="3"/>
  <c r="AJ185" i="3" s="1"/>
  <c r="AF93" i="3"/>
  <c r="AE93" i="3" s="1"/>
  <c r="AD93" i="3"/>
  <c r="AF91" i="3"/>
  <c r="AE91" i="3" s="1"/>
  <c r="AD91" i="3"/>
  <c r="AF89" i="3"/>
  <c r="AE89" i="3" s="1"/>
  <c r="AD89" i="3"/>
  <c r="AF85" i="3"/>
  <c r="AE85" i="3" s="1"/>
  <c r="AD85" i="3"/>
  <c r="AF81" i="3"/>
  <c r="AE81" i="3" s="1"/>
  <c r="AD81" i="3"/>
  <c r="AF79" i="3"/>
  <c r="AE79" i="3" s="1"/>
  <c r="AD79" i="3"/>
  <c r="AF77" i="3"/>
  <c r="AE77" i="3" s="1"/>
  <c r="AD77" i="3"/>
  <c r="AD75" i="3" s="1"/>
  <c r="AD74" i="3" s="1"/>
  <c r="AC46" i="3"/>
  <c r="AC32" i="3" s="1"/>
  <c r="AC21" i="3" s="1"/>
  <c r="R378" i="9"/>
  <c r="R335" i="9"/>
  <c r="R334" i="9" s="1"/>
  <c r="R333" i="9" s="1"/>
  <c r="AB75" i="3"/>
  <c r="AB74" i="3" s="1"/>
  <c r="AB59" i="3" s="1"/>
  <c r="AE76" i="3"/>
  <c r="AE75" i="3" s="1"/>
  <c r="AE74" i="3" s="1"/>
  <c r="AH56" i="3"/>
  <c r="Q419" i="9"/>
  <c r="Q411" i="9" s="1"/>
  <c r="Q316" i="9" s="1"/>
  <c r="AJ247" i="9"/>
  <c r="N246" i="9"/>
  <c r="AJ246" i="9" s="1"/>
  <c r="AE326" i="11"/>
  <c r="AE325" i="11" s="1"/>
  <c r="AE316" i="11" s="1"/>
  <c r="AD318" i="11"/>
  <c r="AD317" i="11" s="1"/>
  <c r="AD316" i="11" s="1"/>
  <c r="AD269" i="11"/>
  <c r="AD243" i="11" s="1"/>
  <c r="AD219" i="11"/>
  <c r="AM334" i="11"/>
  <c r="AK334" i="11"/>
  <c r="O318" i="11"/>
  <c r="O317" i="11" s="1"/>
  <c r="O316" i="11" s="1"/>
  <c r="AF314" i="11"/>
  <c r="AS180" i="11"/>
  <c r="AT180" i="11" s="1"/>
  <c r="Q168" i="11"/>
  <c r="Q167" i="11" s="1"/>
  <c r="Q158" i="11" s="1"/>
  <c r="AQ383" i="11"/>
  <c r="AE63" i="3"/>
  <c r="AE61" i="3"/>
  <c r="AE60" i="3" s="1"/>
  <c r="AJ56" i="3"/>
  <c r="O385" i="9"/>
  <c r="O378" i="9" s="1"/>
  <c r="T139" i="9"/>
  <c r="T138" i="9" s="1"/>
  <c r="T137" i="9" s="1"/>
  <c r="J27" i="14"/>
  <c r="J27" i="6"/>
  <c r="V16" i="9"/>
  <c r="AM349" i="11"/>
  <c r="AK349" i="11"/>
  <c r="AM341" i="11"/>
  <c r="AK341" i="11"/>
  <c r="AK322" i="11"/>
  <c r="AM322" i="11"/>
  <c r="AJ318" i="11"/>
  <c r="N317" i="11"/>
  <c r="AO306" i="11"/>
  <c r="AP306" i="11" s="1"/>
  <c r="AD306" i="11"/>
  <c r="AD291" i="11" s="1"/>
  <c r="AD290" i="11" s="1"/>
  <c r="T306" i="11"/>
  <c r="T291" i="11" s="1"/>
  <c r="O306" i="11"/>
  <c r="P291" i="11"/>
  <c r="P290" i="11" s="1"/>
  <c r="P281" i="11" s="1"/>
  <c r="P20" i="11" s="1"/>
  <c r="P18" i="11" s="1"/>
  <c r="AC305" i="11"/>
  <c r="S305" i="11"/>
  <c r="AK302" i="11"/>
  <c r="AM302" i="11"/>
  <c r="AK297" i="11"/>
  <c r="AM297" i="11"/>
  <c r="AA291" i="11"/>
  <c r="AA290" i="11" s="1"/>
  <c r="AK287" i="11"/>
  <c r="AM287" i="11"/>
  <c r="U281" i="11"/>
  <c r="U20" i="11" s="1"/>
  <c r="U18" i="11" s="1"/>
  <c r="AU286" i="11"/>
  <c r="AV286" i="11" s="1"/>
  <c r="R283" i="11"/>
  <c r="R282" i="11" s="1"/>
  <c r="R281" i="11" s="1"/>
  <c r="O243" i="11"/>
  <c r="AD238" i="11"/>
  <c r="AD237" i="11" s="1"/>
  <c r="AD236" i="11" s="1"/>
  <c r="AC241" i="11"/>
  <c r="AC238" i="11" s="1"/>
  <c r="AC237" i="11" s="1"/>
  <c r="AC236" i="11" s="1"/>
  <c r="O238" i="11"/>
  <c r="O237" i="11" s="1"/>
  <c r="N219" i="11"/>
  <c r="AJ219" i="11" s="1"/>
  <c r="AJ220" i="11"/>
  <c r="AC199" i="11"/>
  <c r="AC196" i="11" s="1"/>
  <c r="AC195" i="11" s="1"/>
  <c r="AJ195" i="11"/>
  <c r="N194" i="11"/>
  <c r="AE192" i="11"/>
  <c r="AE189" i="11" s="1"/>
  <c r="AF189" i="11"/>
  <c r="AM184" i="11"/>
  <c r="AK184" i="11"/>
  <c r="AK180" i="11"/>
  <c r="AM180" i="11"/>
  <c r="AK170" i="11"/>
  <c r="AM170" i="11"/>
  <c r="N167" i="11"/>
  <c r="AC150" i="11"/>
  <c r="AC139" i="11" s="1"/>
  <c r="AC138" i="11" s="1"/>
  <c r="AC126" i="11" s="1"/>
  <c r="O139" i="11"/>
  <c r="O138" i="11" s="1"/>
  <c r="O126" i="11" s="1"/>
  <c r="T127" i="11"/>
  <c r="AJ128" i="11"/>
  <c r="AS125" i="11"/>
  <c r="AT125" i="11" s="1"/>
  <c r="Q124" i="11"/>
  <c r="AM110" i="11"/>
  <c r="AK110" i="11"/>
  <c r="AS106" i="11"/>
  <c r="AT106" i="11" s="1"/>
  <c r="Q75" i="11"/>
  <c r="Q74" i="11" s="1"/>
  <c r="Q59" i="11" s="1"/>
  <c r="AD63" i="11"/>
  <c r="AD61" i="11"/>
  <c r="AD60" i="11" s="1"/>
  <c r="AJ60" i="11"/>
  <c r="AD33" i="11"/>
  <c r="AD32" i="11" s="1"/>
  <c r="W21" i="11"/>
  <c r="W20" i="11" s="1"/>
  <c r="W18" i="11" s="1"/>
  <c r="O21" i="11"/>
  <c r="AJ22" i="11"/>
  <c r="N21" i="11"/>
  <c r="M139" i="9"/>
  <c r="M138" i="9" s="1"/>
  <c r="M137" i="9" s="1"/>
  <c r="M18" i="9" s="1"/>
  <c r="M16" i="9" s="1"/>
  <c r="G18" i="9"/>
  <c r="G16" i="9" s="1"/>
  <c r="O18" i="9"/>
  <c r="AM330" i="11"/>
  <c r="AK330" i="11"/>
  <c r="R326" i="11"/>
  <c r="R325" i="11" s="1"/>
  <c r="R316" i="11" s="1"/>
  <c r="AE293" i="11"/>
  <c r="AE291" i="11" s="1"/>
  <c r="AF291" i="11"/>
  <c r="AE219" i="11"/>
  <c r="AC205" i="11"/>
  <c r="AC202" i="11" s="1"/>
  <c r="AC201" i="11" s="1"/>
  <c r="R174" i="11"/>
  <c r="AU174" i="11" s="1"/>
  <c r="AV174" i="11" s="1"/>
  <c r="AJ174" i="11"/>
  <c r="AA173" i="11"/>
  <c r="AK134" i="11"/>
  <c r="AM134" i="11"/>
  <c r="AD92" i="11"/>
  <c r="AF92" i="11"/>
  <c r="AE92" i="11" s="1"/>
  <c r="AD85" i="11"/>
  <c r="AD75" i="11" s="1"/>
  <c r="AD74" i="11" s="1"/>
  <c r="AF85" i="11"/>
  <c r="AE85" i="11" s="1"/>
  <c r="AC75" i="11"/>
  <c r="AC74" i="11" s="1"/>
  <c r="AC32" i="11"/>
  <c r="AC21" i="11" s="1"/>
  <c r="R128" i="11"/>
  <c r="R127" i="11" s="1"/>
  <c r="R126" i="11" s="1"/>
  <c r="AJ75" i="11"/>
  <c r="N74" i="11"/>
  <c r="AJ74" i="11" s="1"/>
  <c r="AE63" i="11"/>
  <c r="AE61" i="11"/>
  <c r="AE60" i="11" s="1"/>
  <c r="AM32" i="11"/>
  <c r="AF316" i="11"/>
  <c r="AE202" i="11"/>
  <c r="AE201" i="11" s="1"/>
  <c r="AE194" i="11" s="1"/>
  <c r="Y75" i="11"/>
  <c r="Y74" i="11" s="1"/>
  <c r="Y59" i="11" s="1"/>
  <c r="Y20" i="11" s="1"/>
  <c r="Y18" i="11" s="1"/>
  <c r="AH46" i="11"/>
  <c r="AH32" i="11" s="1"/>
  <c r="AH21" i="11" s="1"/>
  <c r="AH20" i="11" s="1"/>
  <c r="AH18" i="11" s="1"/>
  <c r="X430" i="7"/>
  <c r="R421" i="7"/>
  <c r="X184" i="7"/>
  <c r="X258" i="7"/>
  <c r="X257" i="7" s="1"/>
  <c r="Y314" i="7"/>
  <c r="AQ314" i="7" s="1"/>
  <c r="P273" i="7"/>
  <c r="P272" i="7" s="1"/>
  <c r="BD299" i="7"/>
  <c r="AT340" i="7"/>
  <c r="P251" i="7"/>
  <c r="AQ317" i="7"/>
  <c r="H197" i="7"/>
  <c r="H188" i="7" s="1"/>
  <c r="BD206" i="7"/>
  <c r="X273" i="7"/>
  <c r="AQ203" i="7"/>
  <c r="AQ336" i="7"/>
  <c r="BD210" i="7"/>
  <c r="Q265" i="7"/>
  <c r="N188" i="7"/>
  <c r="X167" i="7"/>
  <c r="N272" i="7"/>
  <c r="N265" i="7" s="1"/>
  <c r="R198" i="7"/>
  <c r="R197" i="7" s="1"/>
  <c r="R188" i="7" s="1"/>
  <c r="L312" i="7"/>
  <c r="L32" i="7" s="1"/>
  <c r="L16" i="7" s="1"/>
  <c r="X96" i="7"/>
  <c r="K32" i="7"/>
  <c r="K16" i="7" s="1"/>
  <c r="X81" i="7"/>
  <c r="X80" i="7" s="1"/>
  <c r="I44" i="7"/>
  <c r="I33" i="7" s="1"/>
  <c r="N44" i="7"/>
  <c r="N33" i="7" s="1"/>
  <c r="AQ64" i="7"/>
  <c r="BD64" i="7"/>
  <c r="X152" i="7"/>
  <c r="Y149" i="7"/>
  <c r="Y95" i="7" s="1"/>
  <c r="Y79" i="7" s="1"/>
  <c r="I227" i="7"/>
  <c r="BD227" i="7" s="1"/>
  <c r="BD190" i="7"/>
  <c r="AR223" i="7"/>
  <c r="X320" i="7"/>
  <c r="AR376" i="7"/>
  <c r="AT376" i="7"/>
  <c r="P359" i="7"/>
  <c r="P358" i="7" s="1"/>
  <c r="P357" i="7" s="1"/>
  <c r="AT384" i="7"/>
  <c r="AR384" i="7"/>
  <c r="AT201" i="7"/>
  <c r="AR201" i="7"/>
  <c r="P149" i="7"/>
  <c r="P95" i="7" s="1"/>
  <c r="BD319" i="7"/>
  <c r="AQ210" i="7"/>
  <c r="O197" i="7"/>
  <c r="O188" i="7" s="1"/>
  <c r="BD219" i="7"/>
  <c r="X299" i="7"/>
  <c r="X219" i="7"/>
  <c r="Q357" i="7"/>
  <c r="M32" i="7"/>
  <c r="M16" i="7" s="1"/>
  <c r="W32" i="7"/>
  <c r="W16" i="7" s="1"/>
  <c r="T44" i="7"/>
  <c r="T33" i="7" s="1"/>
  <c r="BD152" i="7"/>
  <c r="AT388" i="7"/>
  <c r="AR388" i="7"/>
  <c r="AQ162" i="7"/>
  <c r="Y156" i="7"/>
  <c r="BD162" i="7"/>
  <c r="X162" i="7"/>
  <c r="AT170" i="7"/>
  <c r="AR170" i="7"/>
  <c r="Y200" i="7"/>
  <c r="BD96" i="7"/>
  <c r="I95" i="7"/>
  <c r="I358" i="7"/>
  <c r="U234" i="7"/>
  <c r="U233" i="7" s="1"/>
  <c r="U226" i="7" s="1"/>
  <c r="T235" i="7"/>
  <c r="T234" i="7" s="1"/>
  <c r="T233" i="7" s="1"/>
  <c r="T226" i="7" s="1"/>
  <c r="Y235" i="7"/>
  <c r="AQ273" i="7"/>
  <c r="Y272" i="7"/>
  <c r="AQ207" i="7"/>
  <c r="BD207" i="7"/>
  <c r="AQ167" i="7"/>
  <c r="Y166" i="7"/>
  <c r="BD211" i="7"/>
  <c r="AQ211" i="7"/>
  <c r="AT390" i="7"/>
  <c r="AR390" i="7"/>
  <c r="AT383" i="7"/>
  <c r="AR383" i="7"/>
  <c r="AT385" i="7"/>
  <c r="AR385" i="7"/>
  <c r="I367" i="7"/>
  <c r="X319" i="7"/>
  <c r="AQ319" i="7"/>
  <c r="AR339" i="7"/>
  <c r="AT339" i="7"/>
  <c r="AV215" i="7"/>
  <c r="AW215" i="7" s="1"/>
  <c r="U215" i="7"/>
  <c r="U198" i="7" s="1"/>
  <c r="U197" i="7" s="1"/>
  <c r="U188" i="7" s="1"/>
  <c r="AR221" i="7"/>
  <c r="AT221" i="7"/>
  <c r="BB211" i="7"/>
  <c r="AQ96" i="7"/>
  <c r="BD204" i="7"/>
  <c r="AQ204" i="7"/>
  <c r="I81" i="7"/>
  <c r="BD84" i="7"/>
  <c r="AY437" i="7"/>
  <c r="T272" i="7"/>
  <c r="BD35" i="7"/>
  <c r="P226" i="7"/>
  <c r="R96" i="7"/>
  <c r="R95" i="7" s="1"/>
  <c r="R79" i="7" s="1"/>
  <c r="AT381" i="7"/>
  <c r="AR381" i="7"/>
  <c r="AT389" i="7"/>
  <c r="AR389" i="7"/>
  <c r="I197" i="7"/>
  <c r="I188" i="7" s="1"/>
  <c r="AR324" i="7"/>
  <c r="AT324" i="7"/>
  <c r="I233" i="7"/>
  <c r="BD273" i="7"/>
  <c r="I272" i="7"/>
  <c r="AQ299" i="7"/>
  <c r="AT391" i="7"/>
  <c r="AR391" i="7"/>
  <c r="AR220" i="7"/>
  <c r="AT220" i="7"/>
  <c r="BD258" i="7"/>
  <c r="I257" i="7"/>
  <c r="AQ208" i="7"/>
  <c r="BD208" i="7"/>
  <c r="R267" i="7"/>
  <c r="R266" i="7" s="1"/>
  <c r="R265" i="7" s="1"/>
  <c r="AZ270" i="7"/>
  <c r="AQ214" i="7"/>
  <c r="BD214" i="7"/>
  <c r="AQ80" i="7"/>
  <c r="AR328" i="7"/>
  <c r="AT328" i="7"/>
  <c r="AV337" i="7"/>
  <c r="AW337" i="7" s="1"/>
  <c r="P337" i="7"/>
  <c r="P322" i="7" s="1"/>
  <c r="Q321" i="7"/>
  <c r="Q312" i="7" s="1"/>
  <c r="U337" i="7"/>
  <c r="U322" i="7" s="1"/>
  <c r="AR307" i="7"/>
  <c r="AT307" i="7"/>
  <c r="AQ258" i="7"/>
  <c r="Y257" i="7"/>
  <c r="BD189" i="7"/>
  <c r="P81" i="7"/>
  <c r="P80" i="7" s="1"/>
  <c r="AQ45" i="7"/>
  <c r="AT387" i="7"/>
  <c r="AR387" i="7"/>
  <c r="AQ227" i="7"/>
  <c r="BD212" i="7"/>
  <c r="AQ212" i="7"/>
  <c r="AQ206" i="7"/>
  <c r="BD167" i="7"/>
  <c r="I166" i="7"/>
  <c r="I154" i="7" s="1"/>
  <c r="AQ34" i="7"/>
  <c r="P44" i="7"/>
  <c r="P33" i="7" s="1"/>
  <c r="AX437" i="7"/>
  <c r="BD34" i="7"/>
  <c r="L24" i="13" l="1"/>
  <c r="T24" i="13" s="1"/>
  <c r="AB24" i="13"/>
  <c r="AP434" i="7"/>
  <c r="AG45" i="7"/>
  <c r="AP45" i="7" s="1"/>
  <c r="AQ349" i="7"/>
  <c r="AP64" i="7"/>
  <c r="AT64" i="7" s="1"/>
  <c r="AG62" i="7"/>
  <c r="AP62" i="7" s="1"/>
  <c r="AG351" i="7"/>
  <c r="AP53" i="7"/>
  <c r="AT53" i="7" s="1"/>
  <c r="Q11" i="6"/>
  <c r="AJ350" i="9"/>
  <c r="N349" i="9"/>
  <c r="AJ349" i="9" s="1"/>
  <c r="AC63" i="3"/>
  <c r="AC61" i="3"/>
  <c r="AC60" i="3" s="1"/>
  <c r="AC59" i="3" s="1"/>
  <c r="AT276" i="7"/>
  <c r="AT178" i="7"/>
  <c r="AT382" i="7"/>
  <c r="AR309" i="7"/>
  <c r="AP333" i="7"/>
  <c r="AR333" i="7" s="1"/>
  <c r="AP73" i="7"/>
  <c r="AR73" i="7" s="1"/>
  <c r="AP363" i="7"/>
  <c r="AR363" i="7" s="1"/>
  <c r="AP377" i="7"/>
  <c r="AR377" i="7" s="1"/>
  <c r="AP326" i="7"/>
  <c r="AR326" i="7" s="1"/>
  <c r="AP125" i="7"/>
  <c r="AR125" i="7" s="1"/>
  <c r="AP67" i="7"/>
  <c r="AT67" i="7" s="1"/>
  <c r="AP317" i="7"/>
  <c r="AT317" i="7" s="1"/>
  <c r="AP375" i="7"/>
  <c r="AT375" i="7" s="1"/>
  <c r="U357" i="7"/>
  <c r="AP372" i="7"/>
  <c r="AT372" i="7" s="1"/>
  <c r="AP70" i="7"/>
  <c r="AR70" i="7" s="1"/>
  <c r="AP374" i="7"/>
  <c r="AR374" i="7" s="1"/>
  <c r="AP298" i="7"/>
  <c r="AT298" i="7" s="1"/>
  <c r="AP57" i="7"/>
  <c r="AT57" i="7" s="1"/>
  <c r="AP373" i="7"/>
  <c r="AR373" i="7" s="1"/>
  <c r="AP68" i="7"/>
  <c r="AT68" i="7" s="1"/>
  <c r="AP380" i="7"/>
  <c r="AT380" i="7" s="1"/>
  <c r="AP415" i="7"/>
  <c r="AR415" i="7" s="1"/>
  <c r="AP371" i="7"/>
  <c r="AR371" i="7" s="1"/>
  <c r="AP378" i="7"/>
  <c r="AT378" i="7" s="1"/>
  <c r="AP213" i="7"/>
  <c r="AT213" i="7" s="1"/>
  <c r="AP143" i="7"/>
  <c r="AR143" i="7" s="1"/>
  <c r="AP341" i="7"/>
  <c r="AR341" i="7" s="1"/>
  <c r="AP386" i="7"/>
  <c r="AT386" i="7" s="1"/>
  <c r="AP55" i="7"/>
  <c r="AR55" i="7" s="1"/>
  <c r="Y368" i="7"/>
  <c r="AT323" i="7"/>
  <c r="AT370" i="7"/>
  <c r="AF415" i="7"/>
  <c r="R368" i="7"/>
  <c r="R367" i="7" s="1"/>
  <c r="R357" i="7" s="1"/>
  <c r="Y359" i="7"/>
  <c r="Y358" i="7" s="1"/>
  <c r="AF375" i="7"/>
  <c r="AT84" i="7"/>
  <c r="AF212" i="7"/>
  <c r="AF167" i="7"/>
  <c r="AF386" i="7"/>
  <c r="AF341" i="7"/>
  <c r="AF363" i="7"/>
  <c r="AF380" i="7"/>
  <c r="AF377" i="7"/>
  <c r="AF76" i="7"/>
  <c r="AF55" i="7"/>
  <c r="AF68" i="7"/>
  <c r="AF67" i="7"/>
  <c r="AF323" i="7"/>
  <c r="AF217" i="7"/>
  <c r="AF378" i="7"/>
  <c r="AF143" i="7"/>
  <c r="AF213" i="7"/>
  <c r="AF77" i="7"/>
  <c r="AF152" i="7"/>
  <c r="AF371" i="7"/>
  <c r="AF374" i="7"/>
  <c r="AF148" i="7"/>
  <c r="AF207" i="7"/>
  <c r="AF202" i="7"/>
  <c r="AF326" i="7"/>
  <c r="AF204" i="7"/>
  <c r="AF299" i="7"/>
  <c r="AF144" i="7"/>
  <c r="AF317" i="7"/>
  <c r="AF373" i="7"/>
  <c r="AF151" i="7"/>
  <c r="AF147" i="7"/>
  <c r="AF70" i="7"/>
  <c r="AF214" i="7"/>
  <c r="AF208" i="7"/>
  <c r="T314" i="7"/>
  <c r="T313" i="7" s="1"/>
  <c r="AF372" i="7"/>
  <c r="AG96" i="7"/>
  <c r="AP96" i="7" s="1"/>
  <c r="AG149" i="7"/>
  <c r="AP149" i="7" s="1"/>
  <c r="AF434" i="7"/>
  <c r="AF125" i="7"/>
  <c r="AF146" i="7"/>
  <c r="AF370" i="7"/>
  <c r="AF205" i="7"/>
  <c r="AF333" i="7"/>
  <c r="AG319" i="7"/>
  <c r="AP319" i="7" s="1"/>
  <c r="AG336" i="7"/>
  <c r="AP336" i="7" s="1"/>
  <c r="AG203" i="7"/>
  <c r="AG206" i="7"/>
  <c r="AF57" i="7"/>
  <c r="AF209" i="7"/>
  <c r="AF211" i="7"/>
  <c r="AM187" i="11"/>
  <c r="AK187" i="11"/>
  <c r="X413" i="8"/>
  <c r="AN624" i="8"/>
  <c r="AM624" i="8"/>
  <c r="AM188" i="11"/>
  <c r="AK188" i="11"/>
  <c r="AT223" i="7"/>
  <c r="AG210" i="7"/>
  <c r="AP210" i="7" s="1"/>
  <c r="AG320" i="7"/>
  <c r="AP320" i="7" s="1"/>
  <c r="AG218" i="7"/>
  <c r="AR186" i="7"/>
  <c r="AT186" i="7"/>
  <c r="AR297" i="7"/>
  <c r="AT297" i="7"/>
  <c r="AT161" i="7"/>
  <c r="AR161" i="7"/>
  <c r="AR216" i="7"/>
  <c r="AT216" i="7"/>
  <c r="AT379" i="7"/>
  <c r="AR379" i="7"/>
  <c r="AR419" i="7"/>
  <c r="AT419" i="7"/>
  <c r="AR124" i="7"/>
  <c r="AT124" i="7"/>
  <c r="AR142" i="7"/>
  <c r="AT142" i="7"/>
  <c r="AR56" i="7"/>
  <c r="AT56" i="7"/>
  <c r="AT54" i="7"/>
  <c r="AR54" i="7"/>
  <c r="AT369" i="7"/>
  <c r="AR369" i="7"/>
  <c r="AT325" i="7"/>
  <c r="AR325" i="7"/>
  <c r="AT332" i="7"/>
  <c r="AR332" i="7"/>
  <c r="AT69" i="7"/>
  <c r="AR69" i="7"/>
  <c r="AR151" i="7"/>
  <c r="AT151" i="7"/>
  <c r="AR202" i="7"/>
  <c r="AF17" i="7"/>
  <c r="AF64" i="7"/>
  <c r="AG80" i="7"/>
  <c r="AP80" i="7" s="1"/>
  <c r="AG257" i="7"/>
  <c r="AP257" i="7" s="1"/>
  <c r="U266" i="7"/>
  <c r="U265" i="7" s="1"/>
  <c r="AT265" i="7" s="1"/>
  <c r="AT33" i="7"/>
  <c r="V32" i="7"/>
  <c r="V16" i="7" s="1"/>
  <c r="AQ62" i="7"/>
  <c r="Y44" i="7"/>
  <c r="Y33" i="7" s="1"/>
  <c r="AB20" i="11"/>
  <c r="AB18" i="11" s="1"/>
  <c r="L12" i="6"/>
  <c r="W14" i="6"/>
  <c r="J14" i="6"/>
  <c r="AG20" i="11"/>
  <c r="AG18" i="11" s="1"/>
  <c r="Q316" i="11"/>
  <c r="J14" i="14"/>
  <c r="AF187" i="7"/>
  <c r="AF184" i="7" s="1"/>
  <c r="AG184" i="7"/>
  <c r="AP184" i="7" s="1"/>
  <c r="AF298" i="7"/>
  <c r="AF273" i="7" s="1"/>
  <c r="AG273" i="7"/>
  <c r="AP273" i="7" s="1"/>
  <c r="AF162" i="7"/>
  <c r="AF156" i="7" s="1"/>
  <c r="AF155" i="7" s="1"/>
  <c r="AG156" i="7"/>
  <c r="AP156" i="7" s="1"/>
  <c r="AG200" i="7"/>
  <c r="AP200" i="7" s="1"/>
  <c r="AF431" i="7"/>
  <c r="AF430" i="7" s="1"/>
  <c r="AG430" i="7"/>
  <c r="AP430" i="7" s="1"/>
  <c r="AF224" i="7"/>
  <c r="AF219" i="7" s="1"/>
  <c r="AG219" i="7"/>
  <c r="AP219" i="7" s="1"/>
  <c r="AF83" i="7"/>
  <c r="AF81" i="7"/>
  <c r="AF80" i="7" s="1"/>
  <c r="AF256" i="7"/>
  <c r="AF253" i="7" s="1"/>
  <c r="AF252" i="7" s="1"/>
  <c r="AF251" i="7" s="1"/>
  <c r="AG253" i="7"/>
  <c r="AP253" i="7" s="1"/>
  <c r="AF352" i="7"/>
  <c r="AF349" i="7" s="1"/>
  <c r="AD168" i="11"/>
  <c r="AD167" i="11" s="1"/>
  <c r="AD158" i="11" s="1"/>
  <c r="X44" i="8"/>
  <c r="AJ334" i="9"/>
  <c r="N333" i="9"/>
  <c r="AJ385" i="5"/>
  <c r="N378" i="5"/>
  <c r="J30" i="6"/>
  <c r="J25" i="6" s="1"/>
  <c r="L25" i="6" s="1"/>
  <c r="J30" i="14"/>
  <c r="J25" i="14" s="1"/>
  <c r="L25" i="14" s="1"/>
  <c r="W25" i="14" s="1"/>
  <c r="AJ419" i="9"/>
  <c r="N411" i="9"/>
  <c r="AJ411" i="9" s="1"/>
  <c r="AM421" i="8"/>
  <c r="Y414" i="8"/>
  <c r="AN421" i="8"/>
  <c r="R202" i="11"/>
  <c r="R201" i="11" s="1"/>
  <c r="R194" i="11" s="1"/>
  <c r="AD290" i="3"/>
  <c r="AP383" i="11"/>
  <c r="AD194" i="3"/>
  <c r="AD126" i="3"/>
  <c r="AJ243" i="3"/>
  <c r="P236" i="3"/>
  <c r="AJ325" i="3"/>
  <c r="P316" i="3"/>
  <c r="AJ316" i="3" s="1"/>
  <c r="AO421" i="8"/>
  <c r="I414" i="8"/>
  <c r="AO414" i="8" s="1"/>
  <c r="AN520" i="8"/>
  <c r="AO520" i="8"/>
  <c r="AM520" i="8"/>
  <c r="Y519" i="8"/>
  <c r="P16" i="9"/>
  <c r="T201" i="11"/>
  <c r="AJ202" i="11"/>
  <c r="AM462" i="8"/>
  <c r="AN462" i="8"/>
  <c r="AD126" i="11"/>
  <c r="X270" i="7"/>
  <c r="AQ218" i="7"/>
  <c r="Y267" i="7"/>
  <c r="BD267" i="7" s="1"/>
  <c r="BD270" i="7"/>
  <c r="BD218" i="7"/>
  <c r="T357" i="7"/>
  <c r="X218" i="7"/>
  <c r="AG235" i="7"/>
  <c r="AP235" i="7" s="1"/>
  <c r="AG270" i="7"/>
  <c r="AQ270" i="7"/>
  <c r="AT202" i="7"/>
  <c r="AQ362" i="7"/>
  <c r="T265" i="7"/>
  <c r="X362" i="7"/>
  <c r="BD362" i="7"/>
  <c r="AR323" i="7"/>
  <c r="AS44" i="7"/>
  <c r="H32" i="7"/>
  <c r="H16" i="7" s="1"/>
  <c r="P265" i="7"/>
  <c r="R336" i="7"/>
  <c r="R322" i="7" s="1"/>
  <c r="AQ421" i="7"/>
  <c r="X251" i="7"/>
  <c r="BD421" i="7"/>
  <c r="L12" i="14"/>
  <c r="O32" i="7"/>
  <c r="O16" i="7" s="1"/>
  <c r="Y313" i="7"/>
  <c r="AQ313" i="7" s="1"/>
  <c r="AW437" i="7"/>
  <c r="X272" i="7"/>
  <c r="AR317" i="7"/>
  <c r="AK185" i="3"/>
  <c r="AM185" i="3"/>
  <c r="Q16" i="9"/>
  <c r="T290" i="11"/>
  <c r="AJ291" i="11"/>
  <c r="AK174" i="11"/>
  <c r="AM174" i="11"/>
  <c r="AJ21" i="11"/>
  <c r="N59" i="11"/>
  <c r="AJ59" i="11" s="1"/>
  <c r="AD59" i="11"/>
  <c r="N158" i="11"/>
  <c r="AC194" i="11"/>
  <c r="O236" i="11"/>
  <c r="S306" i="11"/>
  <c r="AC306" i="11"/>
  <c r="AC291" i="11" s="1"/>
  <c r="AC290" i="11" s="1"/>
  <c r="AC281" i="11" s="1"/>
  <c r="N316" i="11"/>
  <c r="AJ316" i="11" s="1"/>
  <c r="AJ317" i="11"/>
  <c r="AE59" i="3"/>
  <c r="AG56" i="3"/>
  <c r="AG46" i="3" s="1"/>
  <c r="AG32" i="3" s="1"/>
  <c r="AG21" i="3" s="1"/>
  <c r="AG20" i="3" s="1"/>
  <c r="AG18" i="3" s="1"/>
  <c r="AH46" i="3"/>
  <c r="AH32" i="3" s="1"/>
  <c r="AH21" i="3" s="1"/>
  <c r="AH20" i="3" s="1"/>
  <c r="AH18" i="3" s="1"/>
  <c r="AF75" i="3"/>
  <c r="AF74" i="3" s="1"/>
  <c r="AF59" i="3" s="1"/>
  <c r="AE190" i="3"/>
  <c r="AE189" i="3" s="1"/>
  <c r="AF189" i="3"/>
  <c r="AD59" i="3"/>
  <c r="AM203" i="3"/>
  <c r="AK203" i="3"/>
  <c r="AB168" i="3"/>
  <c r="AB167" i="3" s="1"/>
  <c r="AB158" i="3" s="1"/>
  <c r="AB20" i="3" s="1"/>
  <c r="AB18" i="3" s="1"/>
  <c r="AF173" i="3"/>
  <c r="AD173" i="3"/>
  <c r="Y168" i="3"/>
  <c r="Y167" i="3" s="1"/>
  <c r="Y158" i="3" s="1"/>
  <c r="Y20" i="3" s="1"/>
  <c r="Y18" i="3" s="1"/>
  <c r="AA173" i="3"/>
  <c r="AE314" i="3"/>
  <c r="AE313" i="3" s="1"/>
  <c r="AF313" i="3"/>
  <c r="AF176" i="3"/>
  <c r="AE176" i="3" s="1"/>
  <c r="AD176" i="3"/>
  <c r="AH399" i="5"/>
  <c r="T398" i="5"/>
  <c r="AH398" i="5" s="1"/>
  <c r="AN45" i="8"/>
  <c r="AM45" i="8"/>
  <c r="AN182" i="8"/>
  <c r="AM182" i="8"/>
  <c r="Y173" i="8"/>
  <c r="AN548" i="8"/>
  <c r="AO496" i="8"/>
  <c r="Y540" i="8"/>
  <c r="AO548" i="8"/>
  <c r="AM594" i="8"/>
  <c r="AN594" i="8"/>
  <c r="AE27" i="10"/>
  <c r="AE18" i="10" s="1"/>
  <c r="AE17" i="10" s="1"/>
  <c r="AF27" i="10"/>
  <c r="AF18" i="10" s="1"/>
  <c r="AF17" i="10" s="1"/>
  <c r="AD18" i="10"/>
  <c r="AD17" i="10" s="1"/>
  <c r="AE47" i="11"/>
  <c r="AE46" i="11" s="1"/>
  <c r="AF46" i="11"/>
  <c r="AF32" i="11" s="1"/>
  <c r="AF21" i="11" s="1"/>
  <c r="AJ185" i="11"/>
  <c r="R185" i="11"/>
  <c r="AU185" i="11" s="1"/>
  <c r="AV185" i="11" s="1"/>
  <c r="AV383" i="11" s="1"/>
  <c r="AP385" i="11" s="1"/>
  <c r="T168" i="11"/>
  <c r="AO383" i="11"/>
  <c r="AE32" i="11"/>
  <c r="AE21" i="11" s="1"/>
  <c r="AE75" i="11"/>
  <c r="AE74" i="11" s="1"/>
  <c r="AE59" i="11" s="1"/>
  <c r="AD21" i="11"/>
  <c r="R168" i="11"/>
  <c r="R167" i="11" s="1"/>
  <c r="R158" i="11" s="1"/>
  <c r="Q21" i="11"/>
  <c r="AC63" i="11"/>
  <c r="AC61" i="11"/>
  <c r="AC60" i="11" s="1"/>
  <c r="AC59" i="11" s="1"/>
  <c r="AS241" i="11"/>
  <c r="Q238" i="11"/>
  <c r="Q237" i="11" s="1"/>
  <c r="Q236" i="11" s="1"/>
  <c r="AJ138" i="9"/>
  <c r="N137" i="9"/>
  <c r="AJ137" i="9" s="1"/>
  <c r="O316" i="9"/>
  <c r="O16" i="9" s="1"/>
  <c r="AJ20" i="9"/>
  <c r="N19" i="9"/>
  <c r="R316" i="9"/>
  <c r="AD21" i="3"/>
  <c r="AD32" i="3"/>
  <c r="AT187" i="3"/>
  <c r="AT383" i="3" s="1"/>
  <c r="AP386" i="3" s="1"/>
  <c r="AP387" i="3" s="1"/>
  <c r="AP389" i="3" s="1"/>
  <c r="AP391" i="3" s="1"/>
  <c r="AS383" i="3"/>
  <c r="T201" i="3"/>
  <c r="AJ202" i="3"/>
  <c r="AH116" i="5"/>
  <c r="T107" i="5"/>
  <c r="AH107" i="5" s="1"/>
  <c r="AH386" i="5"/>
  <c r="T385" i="5"/>
  <c r="T378" i="5" s="1"/>
  <c r="T316" i="5" s="1"/>
  <c r="T16" i="5" s="1"/>
  <c r="S385" i="5"/>
  <c r="S378" i="5" s="1"/>
  <c r="S316" i="5" s="1"/>
  <c r="S16" i="5" s="1"/>
  <c r="S225" i="8"/>
  <c r="S224" i="8" s="1"/>
  <c r="S223" i="8" s="1"/>
  <c r="S44" i="8" s="1"/>
  <c r="S16" i="8" s="1"/>
  <c r="AO224" i="8"/>
  <c r="I223" i="8"/>
  <c r="AO223" i="8" s="1"/>
  <c r="AN496" i="8"/>
  <c r="AM496" i="8"/>
  <c r="U548" i="8"/>
  <c r="U540" i="8" s="1"/>
  <c r="U413" i="8" s="1"/>
  <c r="U16" i="8" s="1"/>
  <c r="AM558" i="8"/>
  <c r="O291" i="11"/>
  <c r="O290" i="11" s="1"/>
  <c r="O281" i="11" s="1"/>
  <c r="AF290" i="3"/>
  <c r="AF281" i="3" s="1"/>
  <c r="AC173" i="11"/>
  <c r="AC168" i="11" s="1"/>
  <c r="AC167" i="11" s="1"/>
  <c r="AC158" i="11" s="1"/>
  <c r="AA168" i="11"/>
  <c r="AA167" i="11" s="1"/>
  <c r="AA158" i="11" s="1"/>
  <c r="T126" i="11"/>
  <c r="AJ127" i="11"/>
  <c r="S291" i="11"/>
  <c r="S290" i="11" s="1"/>
  <c r="S281" i="11" s="1"/>
  <c r="S20" i="11" s="1"/>
  <c r="S18" i="11" s="1"/>
  <c r="Q306" i="11"/>
  <c r="AJ306" i="11"/>
  <c r="AM56" i="3"/>
  <c r="AK56" i="3"/>
  <c r="AF313" i="11"/>
  <c r="AF290" i="11" s="1"/>
  <c r="AF281" i="11" s="1"/>
  <c r="AE314" i="11"/>
  <c r="AE313" i="11" s="1"/>
  <c r="AE290" i="11" s="1"/>
  <c r="AE281" i="11" s="1"/>
  <c r="T127" i="3"/>
  <c r="AJ127" i="3" s="1"/>
  <c r="AJ128" i="3"/>
  <c r="T237" i="3"/>
  <c r="AJ237" i="3" s="1"/>
  <c r="AJ238" i="3"/>
  <c r="AH357" i="5"/>
  <c r="T349" i="5"/>
  <c r="AH349" i="5" s="1"/>
  <c r="AE290" i="3"/>
  <c r="AE281" i="3" s="1"/>
  <c r="X16" i="8"/>
  <c r="L27" i="13"/>
  <c r="X27" i="13" s="1"/>
  <c r="AO174" i="8"/>
  <c r="I173" i="8"/>
  <c r="AO173" i="8" s="1"/>
  <c r="AN569" i="8"/>
  <c r="AM569" i="8"/>
  <c r="Y561" i="8"/>
  <c r="AO569" i="8"/>
  <c r="AO595" i="8"/>
  <c r="I594" i="8"/>
  <c r="AO594" i="8" s="1"/>
  <c r="AF31" i="10"/>
  <c r="AF30" i="10" s="1"/>
  <c r="AF29" i="10" s="1"/>
  <c r="AF16" i="10" s="1"/>
  <c r="AE31" i="10"/>
  <c r="AE30" i="10" s="1"/>
  <c r="AE29" i="10" s="1"/>
  <c r="AE16" i="10" s="1"/>
  <c r="AD30" i="10"/>
  <c r="AD29" i="10" s="1"/>
  <c r="AD16" i="10" s="1"/>
  <c r="AF75" i="11"/>
  <c r="AF74" i="11" s="1"/>
  <c r="AF59" i="11" s="1"/>
  <c r="R20" i="11"/>
  <c r="R18" i="11" s="1"/>
  <c r="AU383" i="11"/>
  <c r="AE176" i="11"/>
  <c r="AE168" i="11" s="1"/>
  <c r="AE167" i="11" s="1"/>
  <c r="AE158" i="11" s="1"/>
  <c r="AF168" i="11"/>
  <c r="AF167" i="11" s="1"/>
  <c r="AF158" i="11" s="1"/>
  <c r="AJ238" i="11"/>
  <c r="T237" i="11"/>
  <c r="AM241" i="11"/>
  <c r="AK241" i="11"/>
  <c r="AA281" i="11"/>
  <c r="AD281" i="11"/>
  <c r="AK305" i="11"/>
  <c r="AM305" i="11"/>
  <c r="T18" i="9"/>
  <c r="T16" i="9" s="1"/>
  <c r="AF46" i="3"/>
  <c r="AF32" i="3" s="1"/>
  <c r="AF21" i="3" s="1"/>
  <c r="AE47" i="3"/>
  <c r="AE46" i="3" s="1"/>
  <c r="AE32" i="3" s="1"/>
  <c r="AE21" i="3" s="1"/>
  <c r="S316" i="9"/>
  <c r="S16" i="9" s="1"/>
  <c r="T32" i="3"/>
  <c r="AJ46" i="3"/>
  <c r="AO383" i="3"/>
  <c r="O20" i="3"/>
  <c r="O18" i="3" s="1"/>
  <c r="Q20" i="3"/>
  <c r="Q18" i="3" s="1"/>
  <c r="AD281" i="3"/>
  <c r="AC306" i="3"/>
  <c r="AC291" i="3" s="1"/>
  <c r="AC290" i="3" s="1"/>
  <c r="AC281" i="3" s="1"/>
  <c r="S306" i="3"/>
  <c r="AM306" i="3"/>
  <c r="AM383" i="3" s="1"/>
  <c r="AK306" i="3"/>
  <c r="I45" i="8"/>
  <c r="AN336" i="8"/>
  <c r="AM336" i="8"/>
  <c r="Y335" i="8"/>
  <c r="AO336" i="8"/>
  <c r="AO182" i="8"/>
  <c r="N225" i="8"/>
  <c r="N224" i="8" s="1"/>
  <c r="N223" i="8" s="1"/>
  <c r="N44" i="8" s="1"/>
  <c r="N16" i="8" s="1"/>
  <c r="AO540" i="8"/>
  <c r="R16" i="9"/>
  <c r="X367" i="7"/>
  <c r="Q32" i="7"/>
  <c r="Q16" i="7" s="1"/>
  <c r="X166" i="7"/>
  <c r="X156" i="7"/>
  <c r="X155" i="7" s="1"/>
  <c r="X314" i="7"/>
  <c r="X313" i="7" s="1"/>
  <c r="X149" i="7"/>
  <c r="X95" i="7" s="1"/>
  <c r="X79" i="7" s="1"/>
  <c r="BD95" i="7"/>
  <c r="BD62" i="7"/>
  <c r="N32" i="7"/>
  <c r="N16" i="7" s="1"/>
  <c r="AQ149" i="7"/>
  <c r="BD149" i="7"/>
  <c r="X44" i="7"/>
  <c r="X33" i="7" s="1"/>
  <c r="AT152" i="7"/>
  <c r="AR152" i="7"/>
  <c r="P79" i="7"/>
  <c r="AV437" i="7"/>
  <c r="AR188" i="7"/>
  <c r="AT188" i="7"/>
  <c r="AT204" i="7"/>
  <c r="AR204" i="7"/>
  <c r="AR208" i="7"/>
  <c r="AT208" i="7"/>
  <c r="AQ95" i="7"/>
  <c r="BC211" i="7"/>
  <c r="AQ166" i="7"/>
  <c r="AR212" i="7"/>
  <c r="AT212" i="7"/>
  <c r="AQ257" i="7"/>
  <c r="Y251" i="7"/>
  <c r="BD257" i="7"/>
  <c r="I251" i="7"/>
  <c r="BD81" i="7"/>
  <c r="I80" i="7"/>
  <c r="AQ272" i="7"/>
  <c r="I357" i="7"/>
  <c r="BD200" i="7"/>
  <c r="AQ200" i="7"/>
  <c r="Y155" i="7"/>
  <c r="Y154" i="7" s="1"/>
  <c r="AQ156" i="7"/>
  <c r="BD156" i="7"/>
  <c r="AQ79" i="7"/>
  <c r="G15" i="15"/>
  <c r="Y215" i="7"/>
  <c r="S215" i="7"/>
  <c r="AR211" i="7"/>
  <c r="AT211" i="7"/>
  <c r="BD166" i="7"/>
  <c r="T337" i="7"/>
  <c r="T322" i="7" s="1"/>
  <c r="P321" i="7"/>
  <c r="P312" i="7" s="1"/>
  <c r="Y337" i="7"/>
  <c r="U321" i="7"/>
  <c r="U312" i="7" s="1"/>
  <c r="BA270" i="7"/>
  <c r="BD272" i="7"/>
  <c r="I265" i="7"/>
  <c r="AR207" i="7"/>
  <c r="AT207" i="7"/>
  <c r="X235" i="7"/>
  <c r="Y234" i="7"/>
  <c r="AQ235" i="7"/>
  <c r="BD235" i="7"/>
  <c r="AR162" i="7"/>
  <c r="AT162" i="7"/>
  <c r="I226" i="7"/>
  <c r="X154" i="7" l="1"/>
  <c r="AR64" i="7"/>
  <c r="AF62" i="7"/>
  <c r="AF45" i="7"/>
  <c r="AP351" i="7"/>
  <c r="AG349" i="7"/>
  <c r="AP349" i="7" s="1"/>
  <c r="AR67" i="7"/>
  <c r="AR386" i="7"/>
  <c r="AR57" i="7"/>
  <c r="AR378" i="7"/>
  <c r="AT55" i="7"/>
  <c r="AF149" i="7"/>
  <c r="AT326" i="7"/>
  <c r="AT373" i="7"/>
  <c r="AT73" i="7"/>
  <c r="AR68" i="7"/>
  <c r="AT363" i="7"/>
  <c r="AT143" i="7"/>
  <c r="AT374" i="7"/>
  <c r="AT333" i="7"/>
  <c r="AT415" i="7"/>
  <c r="AR372" i="7"/>
  <c r="AR375" i="7"/>
  <c r="AR213" i="7"/>
  <c r="AT377" i="7"/>
  <c r="AR298" i="7"/>
  <c r="AR380" i="7"/>
  <c r="AT125" i="7"/>
  <c r="AT341" i="7"/>
  <c r="AP203" i="7"/>
  <c r="AT203" i="7" s="1"/>
  <c r="AT371" i="7"/>
  <c r="AT70" i="7"/>
  <c r="AP270" i="7"/>
  <c r="AR270" i="7" s="1"/>
  <c r="AP218" i="7"/>
  <c r="AT218" i="7" s="1"/>
  <c r="AP206" i="7"/>
  <c r="AT206" i="7" s="1"/>
  <c r="AR370" i="7"/>
  <c r="AG362" i="7"/>
  <c r="AF362" i="7" s="1"/>
  <c r="AG421" i="7"/>
  <c r="Y322" i="7"/>
  <c r="X359" i="7"/>
  <c r="X358" i="7" s="1"/>
  <c r="X357" i="7" s="1"/>
  <c r="AF368" i="7"/>
  <c r="AF367" i="7" s="1"/>
  <c r="AR53" i="7"/>
  <c r="AF166" i="7"/>
  <c r="AF154" i="7" s="1"/>
  <c r="AF319" i="7"/>
  <c r="AF314" i="7" s="1"/>
  <c r="AF313" i="7" s="1"/>
  <c r="AF218" i="7"/>
  <c r="AF210" i="7"/>
  <c r="AF96" i="7"/>
  <c r="AF272" i="7"/>
  <c r="AG95" i="7"/>
  <c r="U32" i="7"/>
  <c r="U16" i="7" s="1"/>
  <c r="AT16" i="7" s="1"/>
  <c r="AF206" i="7"/>
  <c r="AF203" i="7"/>
  <c r="BD44" i="7"/>
  <c r="AF336" i="7"/>
  <c r="AR210" i="7"/>
  <c r="AT210" i="7"/>
  <c r="AT217" i="7"/>
  <c r="AR217" i="7"/>
  <c r="AT319" i="7"/>
  <c r="AR319" i="7"/>
  <c r="AG314" i="7"/>
  <c r="AP314" i="7" s="1"/>
  <c r="AT343" i="7"/>
  <c r="AR343" i="7"/>
  <c r="AG252" i="7"/>
  <c r="AP252" i="7" s="1"/>
  <c r="AR256" i="7"/>
  <c r="AT256" i="7"/>
  <c r="AR63" i="7"/>
  <c r="AT63" i="7"/>
  <c r="AT318" i="7"/>
  <c r="AR318" i="7"/>
  <c r="AT205" i="7"/>
  <c r="AR205" i="7"/>
  <c r="AR335" i="7"/>
  <c r="AT335" i="7"/>
  <c r="AT209" i="7"/>
  <c r="AR209" i="7"/>
  <c r="AR52" i="7"/>
  <c r="AT52" i="7"/>
  <c r="AR72" i="7"/>
  <c r="AT72" i="7"/>
  <c r="AR420" i="7"/>
  <c r="AT420" i="7"/>
  <c r="AF200" i="7"/>
  <c r="AG155" i="7"/>
  <c r="AP155" i="7" s="1"/>
  <c r="AG272" i="7"/>
  <c r="AP272" i="7" s="1"/>
  <c r="AG166" i="7"/>
  <c r="AP166" i="7" s="1"/>
  <c r="AG44" i="7"/>
  <c r="AP44" i="7" s="1"/>
  <c r="J12" i="6"/>
  <c r="W12" i="6"/>
  <c r="AF270" i="7"/>
  <c r="AF267" i="7" s="1"/>
  <c r="AF266" i="7" s="1"/>
  <c r="AG267" i="7"/>
  <c r="AP267" i="7" s="1"/>
  <c r="AF235" i="7"/>
  <c r="AF234" i="7" s="1"/>
  <c r="AF233" i="7" s="1"/>
  <c r="AF226" i="7" s="1"/>
  <c r="AG234" i="7"/>
  <c r="AP234" i="7" s="1"/>
  <c r="AQ267" i="7"/>
  <c r="W25" i="6"/>
  <c r="L11" i="6"/>
  <c r="J11" i="6" s="1"/>
  <c r="AA20" i="11"/>
  <c r="AA18" i="11" s="1"/>
  <c r="AC20" i="11"/>
  <c r="AC18" i="11" s="1"/>
  <c r="AK383" i="3"/>
  <c r="AD168" i="3"/>
  <c r="AD167" i="3" s="1"/>
  <c r="AD158" i="3" s="1"/>
  <c r="O20" i="11"/>
  <c r="O18" i="11" s="1"/>
  <c r="T194" i="11"/>
  <c r="AJ201" i="11"/>
  <c r="AM519" i="8"/>
  <c r="AO519" i="8"/>
  <c r="AN519" i="8"/>
  <c r="AJ236" i="3"/>
  <c r="P20" i="3"/>
  <c r="P18" i="3" s="1"/>
  <c r="AN414" i="8"/>
  <c r="AM414" i="8"/>
  <c r="AJ378" i="5"/>
  <c r="N316" i="5"/>
  <c r="N16" i="5" s="1"/>
  <c r="AJ333" i="9"/>
  <c r="N316" i="9"/>
  <c r="AJ316" i="9" s="1"/>
  <c r="W11" i="6"/>
  <c r="X267" i="7"/>
  <c r="X266" i="7" s="1"/>
  <c r="X265" i="7" s="1"/>
  <c r="X198" i="7"/>
  <c r="X197" i="7" s="1"/>
  <c r="X188" i="7" s="1"/>
  <c r="Y266" i="7"/>
  <c r="BD266" i="7" s="1"/>
  <c r="AQ358" i="7"/>
  <c r="BD251" i="7"/>
  <c r="BD358" i="7"/>
  <c r="BD359" i="7"/>
  <c r="AQ359" i="7"/>
  <c r="AZ336" i="7"/>
  <c r="R321" i="7"/>
  <c r="R312" i="7" s="1"/>
  <c r="R32" i="7" s="1"/>
  <c r="R16" i="7" s="1"/>
  <c r="AQ368" i="7"/>
  <c r="BD368" i="7"/>
  <c r="Y367" i="7"/>
  <c r="Y357" i="7" s="1"/>
  <c r="J12" i="14"/>
  <c r="W12" i="14"/>
  <c r="L11" i="14"/>
  <c r="J11" i="14" s="1"/>
  <c r="AQ33" i="7"/>
  <c r="AM335" i="8"/>
  <c r="AN335" i="8"/>
  <c r="AO335" i="8"/>
  <c r="AM561" i="8"/>
  <c r="AN561" i="8"/>
  <c r="AO561" i="8"/>
  <c r="AK306" i="11"/>
  <c r="AM306" i="11"/>
  <c r="J17" i="14"/>
  <c r="J17" i="6"/>
  <c r="AJ126" i="11"/>
  <c r="AF20" i="11"/>
  <c r="AF18" i="11" s="1"/>
  <c r="T194" i="3"/>
  <c r="AJ194" i="3" s="1"/>
  <c r="AJ201" i="3"/>
  <c r="AD20" i="3"/>
  <c r="AD18" i="3" s="1"/>
  <c r="AE20" i="11"/>
  <c r="AE18" i="11" s="1"/>
  <c r="T167" i="11"/>
  <c r="AJ168" i="11"/>
  <c r="AK185" i="11"/>
  <c r="AM185" i="11"/>
  <c r="I413" i="8"/>
  <c r="AM173" i="8"/>
  <c r="AN173" i="8"/>
  <c r="AC173" i="3"/>
  <c r="AC168" i="3" s="1"/>
  <c r="AC167" i="3" s="1"/>
  <c r="AC158" i="3" s="1"/>
  <c r="AC20" i="3" s="1"/>
  <c r="AC18" i="3" s="1"/>
  <c r="AA168" i="3"/>
  <c r="AA167" i="3" s="1"/>
  <c r="AA158" i="3" s="1"/>
  <c r="AA20" i="3" s="1"/>
  <c r="AA18" i="3" s="1"/>
  <c r="AO45" i="8"/>
  <c r="I44" i="8"/>
  <c r="T21" i="3"/>
  <c r="AJ32" i="3"/>
  <c r="T236" i="11"/>
  <c r="AJ237" i="11"/>
  <c r="AS306" i="11"/>
  <c r="AT306" i="11" s="1"/>
  <c r="Q291" i="11"/>
  <c r="Q290" i="11" s="1"/>
  <c r="Q281" i="11" s="1"/>
  <c r="Q20" i="11" s="1"/>
  <c r="Q18" i="11" s="1"/>
  <c r="Y413" i="8"/>
  <c r="N18" i="9"/>
  <c r="AJ19" i="9"/>
  <c r="AT241" i="11"/>
  <c r="AT383" i="11" s="1"/>
  <c r="AP386" i="11" s="1"/>
  <c r="AP387" i="11" s="1"/>
  <c r="AP389" i="11" s="1"/>
  <c r="AP391" i="11" s="1"/>
  <c r="AS383" i="11"/>
  <c r="AD20" i="11"/>
  <c r="AD18" i="11" s="1"/>
  <c r="AN540" i="8"/>
  <c r="AM540" i="8"/>
  <c r="AM548" i="8"/>
  <c r="Y44" i="8"/>
  <c r="AE173" i="3"/>
  <c r="AE168" i="3" s="1"/>
  <c r="AE167" i="3" s="1"/>
  <c r="AE158" i="3" s="1"/>
  <c r="AE20" i="3" s="1"/>
  <c r="AE18" i="3" s="1"/>
  <c r="AF168" i="3"/>
  <c r="AF167" i="3" s="1"/>
  <c r="AF158" i="3" s="1"/>
  <c r="AF20" i="3" s="1"/>
  <c r="AF18" i="3" s="1"/>
  <c r="N20" i="11"/>
  <c r="T281" i="11"/>
  <c r="AJ290" i="11"/>
  <c r="Y198" i="7"/>
  <c r="AQ198" i="7" s="1"/>
  <c r="X234" i="7"/>
  <c r="X233" i="7" s="1"/>
  <c r="X226" i="7" s="1"/>
  <c r="P32" i="7"/>
  <c r="P16" i="7" s="1"/>
  <c r="AQ44" i="7"/>
  <c r="AT235" i="7"/>
  <c r="AR235" i="7"/>
  <c r="AQ337" i="7"/>
  <c r="BD337" i="7"/>
  <c r="AQ155" i="7"/>
  <c r="BD155" i="7"/>
  <c r="AQ251" i="7"/>
  <c r="G19" i="15"/>
  <c r="AQ234" i="7"/>
  <c r="Y233" i="7"/>
  <c r="BD234" i="7"/>
  <c r="X337" i="7"/>
  <c r="X322" i="7" s="1"/>
  <c r="T321" i="7"/>
  <c r="T312" i="7" s="1"/>
  <c r="T32" i="7" s="1"/>
  <c r="T16" i="7" s="1"/>
  <c r="AQ215" i="7"/>
  <c r="BD215" i="7"/>
  <c r="AR200" i="7"/>
  <c r="AT200" i="7"/>
  <c r="I79" i="7"/>
  <c r="BD80" i="7"/>
  <c r="BB215" i="7"/>
  <c r="S198" i="7"/>
  <c r="S197" i="7" s="1"/>
  <c r="S188" i="7" s="1"/>
  <c r="S32" i="7" s="1"/>
  <c r="S16" i="7" s="1"/>
  <c r="X11" i="6" l="1"/>
  <c r="AF95" i="7"/>
  <c r="AF79" i="7" s="1"/>
  <c r="AR206" i="7"/>
  <c r="AR351" i="7"/>
  <c r="AT351" i="7"/>
  <c r="AR203" i="7"/>
  <c r="AT270" i="7"/>
  <c r="AP421" i="7"/>
  <c r="AR421" i="7" s="1"/>
  <c r="AR218" i="7"/>
  <c r="AG79" i="7"/>
  <c r="AP79" i="7" s="1"/>
  <c r="AP95" i="7"/>
  <c r="AG359" i="7"/>
  <c r="AP359" i="7" s="1"/>
  <c r="AP362" i="7"/>
  <c r="AG368" i="7"/>
  <c r="AP368" i="7" s="1"/>
  <c r="AF44" i="7"/>
  <c r="AF33" i="7" s="1"/>
  <c r="AF359" i="7"/>
  <c r="AF358" i="7" s="1"/>
  <c r="AF357" i="7" s="1"/>
  <c r="AG337" i="7"/>
  <c r="AT32" i="7"/>
  <c r="AG154" i="7"/>
  <c r="AP154" i="7" s="1"/>
  <c r="AF265" i="7"/>
  <c r="AG313" i="7"/>
  <c r="AP313" i="7" s="1"/>
  <c r="AR336" i="7"/>
  <c r="AT336" i="7"/>
  <c r="AR165" i="7"/>
  <c r="AT165" i="7"/>
  <c r="AT271" i="7"/>
  <c r="AR271" i="7"/>
  <c r="AT94" i="7"/>
  <c r="AR94" i="7"/>
  <c r="AG233" i="7"/>
  <c r="AP233" i="7" s="1"/>
  <c r="AG266" i="7"/>
  <c r="AP266" i="7" s="1"/>
  <c r="AT43" i="7"/>
  <c r="AR43" i="7"/>
  <c r="AR199" i="7"/>
  <c r="AT199" i="7"/>
  <c r="AG251" i="7"/>
  <c r="AP251" i="7" s="1"/>
  <c r="AG33" i="7"/>
  <c r="J19" i="14"/>
  <c r="J19" i="6"/>
  <c r="AJ194" i="11"/>
  <c r="AQ266" i="7"/>
  <c r="Y265" i="7"/>
  <c r="AG215" i="7"/>
  <c r="BD367" i="7"/>
  <c r="AQ367" i="7"/>
  <c r="G22" i="15"/>
  <c r="AQ357" i="7"/>
  <c r="BD357" i="7"/>
  <c r="BA336" i="7"/>
  <c r="BA437" i="7" s="1"/>
  <c r="AW440" i="7" s="1"/>
  <c r="AZ437" i="7"/>
  <c r="X11" i="14"/>
  <c r="W11" i="14"/>
  <c r="Y197" i="7"/>
  <c r="BD197" i="7" s="1"/>
  <c r="G14" i="15"/>
  <c r="BD198" i="7"/>
  <c r="BD33" i="7"/>
  <c r="J22" i="14"/>
  <c r="J22" i="6"/>
  <c r="AJ281" i="11"/>
  <c r="AM44" i="8"/>
  <c r="G27" i="15"/>
  <c r="AN44" i="8"/>
  <c r="Y16" i="8"/>
  <c r="AJ18" i="9"/>
  <c r="N16" i="9"/>
  <c r="T20" i="3"/>
  <c r="AJ21" i="3"/>
  <c r="AO413" i="8"/>
  <c r="T158" i="11"/>
  <c r="AJ167" i="11"/>
  <c r="AK383" i="11"/>
  <c r="N18" i="11"/>
  <c r="AM413" i="8"/>
  <c r="AN413" i="8"/>
  <c r="G31" i="15"/>
  <c r="J21" i="14"/>
  <c r="J21" i="6"/>
  <c r="AJ236" i="11"/>
  <c r="AO44" i="8"/>
  <c r="I16" i="8"/>
  <c r="AM383" i="11"/>
  <c r="X321" i="7"/>
  <c r="X312" i="7" s="1"/>
  <c r="X32" i="7" s="1"/>
  <c r="X16" i="7" s="1"/>
  <c r="AQ154" i="7"/>
  <c r="G16" i="15"/>
  <c r="BD79" i="7"/>
  <c r="I32" i="7"/>
  <c r="BD154" i="7"/>
  <c r="BC215" i="7"/>
  <c r="BC437" i="7" s="1"/>
  <c r="AW439" i="7" s="1"/>
  <c r="BB437" i="7"/>
  <c r="Y321" i="7"/>
  <c r="AQ322" i="7"/>
  <c r="BD322" i="7"/>
  <c r="AQ233" i="7"/>
  <c r="Y226" i="7"/>
  <c r="BD233" i="7"/>
  <c r="AT421" i="7" l="1"/>
  <c r="AG358" i="7"/>
  <c r="AP358" i="7" s="1"/>
  <c r="J16" i="13"/>
  <c r="AB16" i="13" s="1"/>
  <c r="AP215" i="7"/>
  <c r="AR215" i="7" s="1"/>
  <c r="AF337" i="7"/>
  <c r="AF322" i="7" s="1"/>
  <c r="AF321" i="7" s="1"/>
  <c r="AF312" i="7" s="1"/>
  <c r="AP337" i="7"/>
  <c r="AG367" i="7"/>
  <c r="AP367" i="7" s="1"/>
  <c r="AT362" i="7"/>
  <c r="AR362" i="7"/>
  <c r="AG322" i="7"/>
  <c r="AP322" i="7" s="1"/>
  <c r="J17" i="13"/>
  <c r="AR214" i="7"/>
  <c r="AT214" i="7"/>
  <c r="J15" i="13"/>
  <c r="AB15" i="13" s="1"/>
  <c r="J20" i="13"/>
  <c r="AB20" i="13" s="1"/>
  <c r="AG265" i="7"/>
  <c r="AP265" i="7" s="1"/>
  <c r="AG226" i="7"/>
  <c r="AP226" i="7" s="1"/>
  <c r="AT365" i="7"/>
  <c r="AR365" i="7"/>
  <c r="AF215" i="7"/>
  <c r="AF198" i="7" s="1"/>
  <c r="AF197" i="7" s="1"/>
  <c r="AF188" i="7" s="1"/>
  <c r="AG198" i="7"/>
  <c r="AP198" i="7" s="1"/>
  <c r="BD265" i="7"/>
  <c r="G20" i="15"/>
  <c r="AQ265" i="7"/>
  <c r="Y188" i="7"/>
  <c r="AQ197" i="7"/>
  <c r="J18" i="14"/>
  <c r="J18" i="6"/>
  <c r="AJ158" i="11"/>
  <c r="T20" i="11"/>
  <c r="AJ16" i="9"/>
  <c r="AI16" i="9"/>
  <c r="AM16" i="8"/>
  <c r="AN16" i="8"/>
  <c r="T18" i="3"/>
  <c r="AJ18" i="3" s="1"/>
  <c r="AJ20" i="3"/>
  <c r="L28" i="13"/>
  <c r="X28" i="13" s="1"/>
  <c r="J26" i="13"/>
  <c r="G25" i="15"/>
  <c r="AW441" i="7"/>
  <c r="AW443" i="7" s="1"/>
  <c r="AW445" i="7" s="1"/>
  <c r="I16" i="7"/>
  <c r="AQ226" i="7"/>
  <c r="G18" i="15"/>
  <c r="BD226" i="7"/>
  <c r="AQ321" i="7"/>
  <c r="BD321" i="7"/>
  <c r="Y312" i="7"/>
  <c r="AB26" i="13" l="1"/>
  <c r="L17" i="13"/>
  <c r="T17" i="13" s="1"/>
  <c r="AB17" i="13"/>
  <c r="AT215" i="7"/>
  <c r="AG357" i="7"/>
  <c r="AG321" i="7"/>
  <c r="AP321" i="7" s="1"/>
  <c r="AT337" i="7"/>
  <c r="AR337" i="7"/>
  <c r="AF32" i="7"/>
  <c r="AF16" i="7" s="1"/>
  <c r="AG197" i="7"/>
  <c r="AP197" i="7" s="1"/>
  <c r="AR232" i="7"/>
  <c r="AT232" i="7"/>
  <c r="AT353" i="7"/>
  <c r="AR353" i="7"/>
  <c r="AT250" i="7"/>
  <c r="AR250" i="7"/>
  <c r="J19" i="13"/>
  <c r="AB19" i="13" s="1"/>
  <c r="J21" i="13"/>
  <c r="AB21" i="13" s="1"/>
  <c r="AQ188" i="7"/>
  <c r="BD188" i="7"/>
  <c r="G17" i="15"/>
  <c r="Y32" i="7"/>
  <c r="BD32" i="7" s="1"/>
  <c r="T18" i="11"/>
  <c r="AJ18" i="11" s="1"/>
  <c r="AJ20" i="11"/>
  <c r="AQ312" i="7"/>
  <c r="G21" i="15"/>
  <c r="BD312" i="7"/>
  <c r="J23" i="13" l="1"/>
  <c r="AP357" i="7"/>
  <c r="AG312" i="7"/>
  <c r="AP312" i="7" s="1"/>
  <c r="AR320" i="7"/>
  <c r="AT320" i="7"/>
  <c r="AT264" i="7"/>
  <c r="AR264" i="7"/>
  <c r="AG188" i="7"/>
  <c r="AP188" i="7" s="1"/>
  <c r="G13" i="15"/>
  <c r="G11" i="15" s="1"/>
  <c r="G10" i="15" s="1"/>
  <c r="Y16" i="7"/>
  <c r="BD16" i="7" s="1"/>
  <c r="AQ32" i="7"/>
  <c r="L20" i="13"/>
  <c r="T20" i="13" s="1"/>
  <c r="K21" i="13"/>
  <c r="T21" i="13" s="1"/>
  <c r="K19" i="13"/>
  <c r="T19" i="13" s="1"/>
  <c r="K16" i="13"/>
  <c r="T16" i="13" s="1"/>
  <c r="L15" i="13"/>
  <c r="T15" i="13" s="1"/>
  <c r="K23" i="13" l="1"/>
  <c r="T23" i="13" s="1"/>
  <c r="AB23" i="13"/>
  <c r="J22" i="13"/>
  <c r="AB22" i="13" s="1"/>
  <c r="J18" i="13"/>
  <c r="AB18" i="13" s="1"/>
  <c r="AG32" i="7"/>
  <c r="AP32" i="7" s="1"/>
  <c r="AR196" i="7"/>
  <c r="AT196" i="7"/>
  <c r="AR311" i="7"/>
  <c r="AT311" i="7"/>
  <c r="AQ16" i="7"/>
  <c r="AB27" i="13" l="1"/>
  <c r="K22" i="13"/>
  <c r="AR437" i="7"/>
  <c r="L18" i="13"/>
  <c r="AT437" i="7"/>
  <c r="AG16" i="7"/>
  <c r="L14" i="13" l="1"/>
  <c r="T18" i="13"/>
  <c r="K14" i="13"/>
  <c r="T22" i="13"/>
  <c r="AH13" i="7"/>
  <c r="AH438" i="7"/>
  <c r="K12" i="13"/>
  <c r="K26" i="13" s="1"/>
  <c r="J14" i="13"/>
  <c r="X14" i="13"/>
  <c r="L12" i="13"/>
  <c r="L26" i="13" s="1"/>
  <c r="AP16" i="7"/>
  <c r="T14" i="13" l="1"/>
  <c r="U14" i="13" s="1"/>
  <c r="J12" i="13"/>
  <c r="AB14" i="13"/>
  <c r="X12" i="13"/>
  <c r="X26" i="13"/>
  <c r="K31" i="13"/>
  <c r="AB12" i="13" l="1"/>
  <c r="U15" i="13"/>
  <c r="AE11" i="13"/>
  <c r="AE12" i="13" s="1"/>
  <c r="AF12" i="13" s="1"/>
  <c r="J11" i="13"/>
  <c r="AB11" i="13" s="1"/>
  <c r="L31" i="13"/>
  <c r="X31" i="13" s="1"/>
</calcChain>
</file>

<file path=xl/comments1.xml><?xml version="1.0" encoding="utf-8"?>
<comments xmlns="http://schemas.openxmlformats.org/spreadsheetml/2006/main">
  <authors>
    <author>User</author>
  </authors>
  <commentList>
    <comment ref="A10" authorId="0" shape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<sst xmlns="http://schemas.openxmlformats.org/spreadsheetml/2006/main" count="15988" uniqueCount="3485">
  <si>
    <t>Phụ lục I</t>
  </si>
  <si>
    <t>(Kèm theo Tờ trình số            /TTr-SKHĐT ngày       tháng       năm 2018 của Sở Kế hoạch và Đầu tư Tây Ninh)</t>
  </si>
  <si>
    <t>(Biểu kèm theo Tờ trình số           /TTr-UBND ngày       tháng       năm 2018 của  UBND tỉnh Tây Ninh)</t>
  </si>
  <si>
    <t>(Kèm theo Quyết định số            /2018/QĐ-UBND ngày       tháng       năm 2018 của Ủy ban nhân dân tỉnh Tây Ninh)</t>
  </si>
  <si>
    <t>(Kèm theo Nghị quyết số …….../2018/NQ-HĐND ngày ……… tháng …….. năm 2018 của Hội đồng nhân dân tỉnh Tây Ninh)</t>
  </si>
  <si>
    <t>(Kèm theo Tờ trình số           -TTr/BCSĐ ngày       tháng       năm 2018 của Ban cán sự Đảng UBND tỉnh)</t>
  </si>
  <si>
    <t>Đơn vị: Triệu đồng</t>
  </si>
  <si>
    <t>STT</t>
  </si>
  <si>
    <t>Danh mục dự án</t>
  </si>
  <si>
    <t>Địa điểm XD</t>
  </si>
  <si>
    <t>Năng lực thiết kế</t>
  </si>
  <si>
    <t>Thời gian KC-HT</t>
  </si>
  <si>
    <t>Quyết định đầu tư</t>
  </si>
  <si>
    <t>Lũy kế giải ngân từ khởi công đến hết ngày 31/12/2015</t>
  </si>
  <si>
    <t>Kế hoạch trung hạn giai đoạn 2016-2020 của địa phương (theo NQ số 11)</t>
  </si>
  <si>
    <t xml:space="preserve">Kế hoạch năm 2016 </t>
  </si>
  <si>
    <t>Kế hoạch năm 2017</t>
  </si>
  <si>
    <t>Kế hoạch năm 2018</t>
  </si>
  <si>
    <t>Kế hoạch năm 2016-2018</t>
  </si>
  <si>
    <t>Kế hoạch 2019-2020</t>
  </si>
  <si>
    <t>Kế hoạch 2019-2020 đối với các DA KC mới 2019-2020</t>
  </si>
  <si>
    <t>Nhu cầu vốn để hoàn thành các dự án chuyển tiếp sang giai đoạn sau</t>
  </si>
  <si>
    <t>Cột dữ liệu phân biệt tăng/giảm</t>
  </si>
  <si>
    <t>Số DA điều chỉnh</t>
  </si>
  <si>
    <t>Số DA không điều chỉnh</t>
  </si>
  <si>
    <t xml:space="preserve"> DA không thực hiện</t>
  </si>
  <si>
    <t xml:space="preserve"> DA bổ sung mới</t>
  </si>
  <si>
    <t xml:space="preserve"> DA bổ sung vốn</t>
  </si>
  <si>
    <t xml:space="preserve"> DA cắt giảm vốn</t>
  </si>
  <si>
    <t>Số DA</t>
  </si>
  <si>
    <t>KH vốn giảm</t>
  </si>
  <si>
    <t>KH vốn tăng</t>
  </si>
  <si>
    <t>Số quyết định; ngày, tháng, năm ban hành</t>
  </si>
  <si>
    <t xml:space="preserve">TMĐT </t>
  </si>
  <si>
    <t>Tổng số (tất cả các nguồn vốn)</t>
  </si>
  <si>
    <t>Trong đó: NSĐP</t>
  </si>
  <si>
    <t>Tăng (+)</t>
  </si>
  <si>
    <t>Giảm (-)</t>
  </si>
  <si>
    <t>TỔNG SỐ</t>
  </si>
  <si>
    <t>A</t>
  </si>
  <si>
    <t>Chuẩn bị đầu tư</t>
  </si>
  <si>
    <t>B</t>
  </si>
  <si>
    <t>Thực hiện dự án</t>
  </si>
  <si>
    <t>I</t>
  </si>
  <si>
    <t>LĨNH VỰC GIAO THÔNG</t>
  </si>
  <si>
    <t>(1)</t>
  </si>
  <si>
    <t>Dự án chuyển tiếp từ giai đoạn 2011-2015 sang giai đoạn 2016-2020</t>
  </si>
  <si>
    <t>b</t>
  </si>
  <si>
    <t>Dự án chuyển tiếp sang giai đoạn 2016-2020</t>
  </si>
  <si>
    <t>Trong đó:</t>
  </si>
  <si>
    <t>- Dự án dự kiến hoàn thành và bàn giao đưa vào sử dụng trong giai đoạn 2016-2020</t>
  </si>
  <si>
    <t xml:space="preserve">Nâng cấp, mở rộng đường 788 (từ ngã ba Vịnh đến ngã ba Lò Gò) </t>
  </si>
  <si>
    <t>Tân Biên</t>
  </si>
  <si>
    <t>31,36km</t>
  </si>
  <si>
    <t>2014-2017</t>
  </si>
  <si>
    <t xml:space="preserve">2171/QĐ-UBND
30/10/2013 </t>
  </si>
  <si>
    <t>2</t>
  </si>
  <si>
    <t>Đường 794 từ ngã ba Kà Tum đến cầu Sài Gòn (giai đoạn 1)</t>
  </si>
  <si>
    <t>Tân Châu</t>
  </si>
  <si>
    <t>17,283 km BTXM</t>
  </si>
  <si>
    <t>2015-2019</t>
  </si>
  <si>
    <t xml:space="preserve">2466/QĐ-UBND
28/10/2014 </t>
  </si>
  <si>
    <t>Vốn trung ương: 72,7 tỷ đồng, vốn HTCK 2016 40 tỷ</t>
  </si>
  <si>
    <t>Đường và cầu Bến Đình</t>
  </si>
  <si>
    <t>Gò Dầu,
 Bến Cầu</t>
  </si>
  <si>
    <t>8km</t>
  </si>
  <si>
    <t>2013-2017</t>
  </si>
  <si>
    <t>2110/QĐ-UBND
23/10/2013</t>
  </si>
  <si>
    <t>Năm 2016: Vốn HTCK 100 tỷ; vốn TWHT 5 tỷ</t>
  </si>
  <si>
    <t>Đường Nguyễn Trọng Cát, phường Hiệp Ninh, Thị xã Tây Ninh (nay là Thành phố Tây Ninh)</t>
  </si>
  <si>
    <t>TP. Tây Ninh</t>
  </si>
  <si>
    <t>1,292 km BTN</t>
  </si>
  <si>
    <t>2014-2016</t>
  </si>
  <si>
    <t>417/QĐ-SKHĐT
31/10/2012;
365/QĐ-SKHĐT
17/12/2015</t>
  </si>
  <si>
    <t>Dự án Phát triển các đô thị hành lang tiểu vùng sông Mê Kong mở rộng tại Mộc Bài - Tỉnh Tây Ninh</t>
  </si>
  <si>
    <t>Mộc Bài, Bến Cầu</t>
  </si>
  <si>
    <t>13km BTNN, cấp nước 7000m3/ng, XLNT 9000m3/ng, thu hồi, phân loại rác</t>
  </si>
  <si>
    <t>2014-2018</t>
  </si>
  <si>
    <t>140/QĐ-BQLKKT 26/7/2012</t>
  </si>
  <si>
    <t>Có đối ứng từ nguồn HTCK 48,96 tỷ đồng</t>
  </si>
  <si>
    <t>Nâng cấp, mở rộng đường Bình Dương (đường Điện Biên Phủ)</t>
  </si>
  <si>
    <t>4.251m BTN</t>
  </si>
  <si>
    <t>2012-2015 và 2017</t>
  </si>
  <si>
    <t>2201/QĐ-UBND 5/11/2012; 1847/QĐ-UBND 14/8/2017</t>
  </si>
  <si>
    <t>Bổ sung DA</t>
  </si>
  <si>
    <t>(2)</t>
  </si>
  <si>
    <t>Dự án khởi công mới trong giai đoạn 2016-2020</t>
  </si>
  <si>
    <t>a</t>
  </si>
  <si>
    <t>Dự án dự kiến hoàn thành và bàn giao đưa vào sử dụng giai đoạn 2016-2020</t>
  </si>
  <si>
    <t>Đường cửa khẩu biên mậu (Tiểu dự án Đường Kà Tum- Tân Hà)</t>
  </si>
  <si>
    <t>10.645,76m</t>
  </si>
  <si>
    <t>2016-2020</t>
  </si>
  <si>
    <t>2489/QĐ-UBND
30/10/2015</t>
  </si>
  <si>
    <t>Năm 2016: Vốn HTCK 25 tỷ</t>
  </si>
  <si>
    <t>Nâng cấp, mở rộng đường Lý Thường Kiệt (đoạn từ CMT8 đến đường Châu Văn Liêm)</t>
  </si>
  <si>
    <t>Hòa Thành</t>
  </si>
  <si>
    <t>1,101km BTN, bmđ = 14m, bnđ=30m</t>
  </si>
  <si>
    <t>2016-2017</t>
  </si>
  <si>
    <t>Đường ra cửa khẩu biên mậu - Tiểu dự án đường Tà Nông</t>
  </si>
  <si>
    <t>Châu Thành</t>
  </si>
  <si>
    <t>6.506,48m, bmđ=7m, bnđ=9m</t>
  </si>
  <si>
    <t>2017-2020</t>
  </si>
  <si>
    <t>2791/QĐ-UBND
28/10/2016</t>
  </si>
  <si>
    <t>Nâng cấp, cải tạo và ngầm hóa đường 30-4</t>
  </si>
  <si>
    <t>TP. TN</t>
  </si>
  <si>
    <t>5,4km BTN, bmđ=22m, bnđ=38m, ngầm hóa HTKT đô thị bằng hào kỹ thuật</t>
  </si>
  <si>
    <t>2792/QĐ-UBND
28/10/2016</t>
  </si>
  <si>
    <t>Mở rộng đường Nguyễn Văn Linh (đoạn từ giao lộ Nguyễn Huệ đến cầu Năm Trại)</t>
  </si>
  <si>
    <t>7.205m, mặt đường 15m, lề 1m, vỉa hè 14m</t>
  </si>
  <si>
    <t>2017-2018</t>
  </si>
  <si>
    <t>2793/QĐ-UBND
28/10/2016</t>
  </si>
  <si>
    <t>Đường 790 nối dài, đoạn từ Khedol - Suối Đá (ĐT.790B) đến Bờ Hồ - Bàu Vuông - Cống số 3 (ĐT.781B)</t>
  </si>
  <si>
    <t>DMC</t>
  </si>
  <si>
    <t>5.769,97m BTN, bmđ = 7m, bnđ = 9m</t>
  </si>
  <si>
    <t>Đường Trưng Nữ Vương đoạn từ cầu Thái Hòa đến QL22B</t>
  </si>
  <si>
    <t>4,16km BTN, cầu Thái Hòa</t>
  </si>
  <si>
    <t>2018-2020</t>
  </si>
  <si>
    <t>Vốn TWHT 95 tỷ</t>
  </si>
  <si>
    <t>Đường Phước Vinh - Sóc Thiết - Tà Xia</t>
  </si>
  <si>
    <t>Châu Thành, Tân Biên</t>
  </si>
  <si>
    <t>18,647km BTN</t>
  </si>
  <si>
    <t>Vốn TWHT 77 tỷ</t>
  </si>
  <si>
    <t>Đường 781 đoạn từ ngã ba Bờ Hồ đến địa giới tỉnh Bình Dương (giai đoạn 2)</t>
  </si>
  <si>
    <t>14,75km BTN</t>
  </si>
  <si>
    <t>Vốn TWHT 70 tỷ</t>
  </si>
  <si>
    <t>Nâng cấp, mở rộng ĐT 782 - ĐT 784  (từ ngã ba tuyến tránh QL22 đến ngã tư Tân Bình)</t>
  </si>
  <si>
    <t>Trảng Bàng, Gò Dầu, Dương Minh Châu, Tp. Tây Ninh</t>
  </si>
  <si>
    <t>46,289m BTN</t>
  </si>
  <si>
    <t>2557/QĐ-UBND
31/10/2017</t>
  </si>
  <si>
    <t>Tổng KH vốn: 817,5 tỷ đồng với cơ cấu nguồn vốn như sau: đã bố trí 50 tỷ đồng, 536 tỷ từ nguồn dự phòng của KH trung hạn, 90 tỷ từ nguồn giảm KH vốn của 02 dự án (đường Trần Phú: 35 tỷ đồng, đường 781: 55 tỷ đồng), 141,5 tỷ nguồn giảm vốn điều lệ, giảm trích quỹ dự phòng của Công ty TNHH MTV XSKT TN</t>
  </si>
  <si>
    <t>Đường huyện 12, xã Biên Giới, huyện Châu Thành</t>
  </si>
  <si>
    <t>xã Biên Giới, huyện Châu Thành</t>
  </si>
  <si>
    <t>5,7km BTN, bmđ=5,5m; bnđ=7,5m; 01 cầu BTCT l=33,9m</t>
  </si>
  <si>
    <t>470/QĐ-SKHĐT 27/10/2017</t>
  </si>
  <si>
    <t>Bổ sung DA - Bố trí từ nguồn giảm vốn điều lệ, giảm trích quỹ dự phòng của Công ty XSKT</t>
  </si>
  <si>
    <t>Bê tông nhựa đường ngã tư Bến Sắn</t>
  </si>
  <si>
    <t>xã Bàu Đồn, huyện Gò Dầu</t>
  </si>
  <si>
    <t>2,889mBTN, bmđ=6m, bnđ=9m</t>
  </si>
  <si>
    <t>Dự án dự kiến hoàn thành sau năm 2020</t>
  </si>
  <si>
    <t>Đường và cầu Bến Cây Ổi</t>
  </si>
  <si>
    <t>cầu BTCT 240m, đường đầu cầu 1km</t>
  </si>
  <si>
    <t>2018-2021</t>
  </si>
  <si>
    <t>Vốn TWHT 90 tỷ</t>
  </si>
  <si>
    <t>Đường Đất Sét - Bến Củi</t>
  </si>
  <si>
    <t>13,739km BTN, gồm: đoạn 1: 6,725km, bmđ = 15m, bnđ = 16m; đoạn 2: 6,987km, bmđ = 11m, bnđ = 12m</t>
  </si>
  <si>
    <t>Cầu An Hòa</t>
  </si>
  <si>
    <t>Trảng Bàng</t>
  </si>
  <si>
    <t>cầu BTCT DƯL, L=452,33m</t>
  </si>
  <si>
    <t>Đường từ ngã ba ĐT,781 - Bờ hồ Dầu Tiếng đến ĐT.785 ngã tư Tân Hưng</t>
  </si>
  <si>
    <t>Dương Minh Châu, Tân Châu</t>
  </si>
  <si>
    <t>12,6km BTN, bmđ = 7m, bnđ= 9m</t>
  </si>
  <si>
    <t>2019-2022</t>
  </si>
  <si>
    <t>Vốn TWHT 82 tỷ</t>
  </si>
  <si>
    <t>Đường Trần Phú (đoạn từ cửa số 7 nội ô Tòa Thánh đến QL22B)</t>
  </si>
  <si>
    <t>6,9km BTN, bmđ = 14m, bnđ = 40m</t>
  </si>
  <si>
    <t>2020-2023</t>
  </si>
  <si>
    <t>Đường 781 từ thị trấn Châu Thành đến cửa khẩu Phước Tân</t>
  </si>
  <si>
    <t>15,235km BTN, bmđ = 8m, bnđ =9m</t>
  </si>
  <si>
    <t>Đường 794 đoạn từ ngã ba Kà Tum đến cầu Sài Gòn (giai đoạn 2)</t>
  </si>
  <si>
    <t>17km BTXM</t>
  </si>
  <si>
    <t>Đường 787B đoạn từ ngã tư Hai Châu đến giao với đường ĐT.789</t>
  </si>
  <si>
    <t>15km BTN</t>
  </si>
  <si>
    <t>2020-2022</t>
  </si>
  <si>
    <t>Đường Hoàng Lê Kha  (đoạn từ CMT8 đến đường Bời Lời)</t>
  </si>
  <si>
    <t>4,2km BTN, bmđ=15m, bnđ=22m</t>
  </si>
  <si>
    <t>2020-2024</t>
  </si>
  <si>
    <t>Hệ thống thoát nước khu vực TP. Tây Ninh - Hòa Thành</t>
  </si>
  <si>
    <t>TP. Tây Ninh,  Hòa Thành</t>
  </si>
  <si>
    <t>2019-2021</t>
  </si>
  <si>
    <t>Nâng cấp, mở rộng ĐT.793 -ĐT792 (đoạn từ ngã tư Tân Bình đến cửa khẩu Chàng Riệc)</t>
  </si>
  <si>
    <t>TP. Tây Ninh,  Tân Châu, Tân Biên</t>
  </si>
  <si>
    <t>46km BTN, bmđ=7m; bnđ=12m</t>
  </si>
  <si>
    <t>2019-2023</t>
  </si>
  <si>
    <t>II</t>
  </si>
  <si>
    <t>LĨNH VỰC NÔNG NGHIỆP VÀ PTNT</t>
  </si>
  <si>
    <t>Phát triển và bảo vệ rừng bền vững</t>
  </si>
  <si>
    <t>toàn tỉnh</t>
  </si>
  <si>
    <t>Quy hoạch bảo tồn và phát triển rừng đặc dụng tỉnh Tây Ninh đến năm 2020</t>
  </si>
  <si>
    <t>457/QĐ-UBND 26/02/2016</t>
  </si>
  <si>
    <t>Quy hoạch bảo tồn và phát triển rừng tỉnh Tây Ninh đến giai đoạn 2011-2020</t>
  </si>
  <si>
    <t>2011-2020</t>
  </si>
  <si>
    <t>1837/QĐ-UBND 29/9/2012</t>
  </si>
  <si>
    <t>Dự án trồng cây phân tán tỉnh Tây Ninh giai đoạn 2015-2017</t>
  </si>
  <si>
    <t>2015-2017</t>
  </si>
  <si>
    <t>2456/QĐ-UBND 28/10/2014</t>
  </si>
  <si>
    <t>Dự án bảo vệ và phát triển rừng khu rừng phòng hộ Dầu Tiếng</t>
  </si>
  <si>
    <t>3029/QĐ-UBND
14/12/2017 (đc)</t>
  </si>
  <si>
    <t>Dự án bảo vệ và phát triển rừng khu rừng văn hóa - lịch sử Chàng Riệc</t>
  </si>
  <si>
    <t>3030/QĐ-UBND
14/12/2017 (đc)</t>
  </si>
  <si>
    <t>Dự án bảo vệ và phát triển rừng Vườn quốc gia Lò Gò - Xa Mát</t>
  </si>
  <si>
    <t>3031/QĐ-UBND
14/12/2017 (đc)</t>
  </si>
  <si>
    <t>Dự án bảo vệ và phát triển rừng khu rừng văn hóa - lịch sử Núi Bà</t>
  </si>
  <si>
    <t>3032/QĐ-UBND
14/12/2017 (đc)</t>
  </si>
  <si>
    <t>Nâng cấp mở rộng suối Cầu Đúc, huyện Gò Dầu</t>
  </si>
  <si>
    <t>Gò Dầu</t>
  </si>
  <si>
    <t>3,6km</t>
  </si>
  <si>
    <t>477/QĐ-SKHĐT 27/12/2012
169/QĐ-SKHĐT 05/8/2015 (đc)</t>
  </si>
  <si>
    <t>Nâng cấp, sửa chữa HTCN ấp 2, xã Suối Ngô</t>
  </si>
  <si>
    <t>cung cấp nước cho 600 hộ dân</t>
  </si>
  <si>
    <t>2015-2016</t>
  </si>
  <si>
    <t>320/QĐ-SKHĐT
30/10/2015</t>
  </si>
  <si>
    <t>Kênh tiêu vũng Rau Muống</t>
  </si>
  <si>
    <t>DMC, Hòa Thành, TP.TN</t>
  </si>
  <si>
    <t>tiêu cho 536ha</t>
  </si>
  <si>
    <t>Vùng lúa chất lượng cao xã An Thạnh, huyện Bến Cầu</t>
  </si>
  <si>
    <t>Bến Cầu</t>
  </si>
  <si>
    <t>Xd tuyến kênh dài 5.595m</t>
  </si>
  <si>
    <t>286/QĐ-SKHĐT
30/10/2015</t>
  </si>
  <si>
    <t>Nâng cấp mở rộng suối Bà Tươi</t>
  </si>
  <si>
    <t>tiêu cho 1.584ha</t>
  </si>
  <si>
    <t>244/QĐ-SKHĐT
31/10/2014</t>
  </si>
  <si>
    <t>Dừng thực hiện 1 phần do vướng mặt bằng</t>
  </si>
  <si>
    <t>Kéo dài kênh PC4, trạm bơm Phước Chỉ</t>
  </si>
  <si>
    <t xml:space="preserve">Tưới 150 ha đất sản xuất </t>
  </si>
  <si>
    <t>269/QĐ-SKHĐT
30/10/2015</t>
  </si>
  <si>
    <t xml:space="preserve">Trung tâm cứu hộ động vật hoang dã </t>
  </si>
  <si>
    <t>Tân Bình, 
Tân Biên</t>
  </si>
  <si>
    <t>Diện tích: 1317,3m2</t>
  </si>
  <si>
    <t>335/QĐ-SKHĐT
31/12/2014; 214/QĐ-SKHĐT
06/10/2015 (đc)</t>
  </si>
  <si>
    <t>Duy tu sửa chữa các công trình đã xây dựng tại Vườn Quốc gia Lò Gò-Xa Mát</t>
  </si>
  <si>
    <t>Sửa chữa các công trình dân dụng</t>
  </si>
  <si>
    <t>195/QĐ-SKHĐT
10/9/2015</t>
  </si>
  <si>
    <t>Các công trình phục vụ du lịch sinh thái Vườn Quốc gia Lò Gò-Xa Mát</t>
  </si>
  <si>
    <t>Xây mới nhà làm việc, nhà đón tiếp khách, bến thuyền chốt bảo vệ rừng Lò Gò và trạm dừng chân chốt bảo vệ rừng suối Vắt</t>
  </si>
  <si>
    <t>301/QĐ-SKHĐT
30/10/2015</t>
  </si>
  <si>
    <t>Hỗ trợ cho các dự án đầu tư vào nông nghiệp, nông thôn theo Nghị định 210/2013/NĐ-CP</t>
  </si>
  <si>
    <t>Bê tông hóa kênh N26 đoạn từ K7+800 đến K8+200 và khôi phục kênh N26-16, N26-26-3</t>
  </si>
  <si>
    <t>tưới 100ha</t>
  </si>
  <si>
    <t>316/QĐ-SKHĐT
28/10/2016</t>
  </si>
  <si>
    <t>Gia cố kênh N4 đoạn từ K10+700 đến K13+400</t>
  </si>
  <si>
    <t>Dương Minh Châu</t>
  </si>
  <si>
    <t>Đảm bảo kênh vận hành an toàn</t>
  </si>
  <si>
    <t>315/QĐ-SKHĐT
28/10/2016</t>
  </si>
  <si>
    <t>Bê tông hóa các tuyến kênh cấp II của kênh N4 (kênh N4-5; kênh N4-7)</t>
  </si>
  <si>
    <t>Cung cấp tưới nước cho khoảng 167 ha đất sản xuất nông nghiệp</t>
  </si>
  <si>
    <t>317/QĐ-SKHĐT
28/10/2017</t>
  </si>
  <si>
    <t>Đê bao Phước Hội, xã Phước Chỉ</t>
  </si>
  <si>
    <t>cấp nước tưới 210ha, L=7354m</t>
  </si>
  <si>
    <t>309/QĐ-SKHĐT
28/10/2016</t>
  </si>
  <si>
    <t>Đê bao Cẩm Bình, xã Cẩm Giang</t>
  </si>
  <si>
    <t>cấp nước tưới 226ha, L=3700m</t>
  </si>
  <si>
    <t>310/QĐ-SKHĐT
28/10/2016</t>
  </si>
  <si>
    <t>Không thực hiện, chỉ thanh toán CP CBĐT</t>
  </si>
  <si>
    <t>Nạo vét kênh tiêu Cầu Da ra sông Vàm Cỏ (T13 và T13A)</t>
  </si>
  <si>
    <t>Dài 7550m</t>
  </si>
  <si>
    <t>297/QĐ-SKHĐT
26/10/2016</t>
  </si>
  <si>
    <t>Nạo vét kênh tiêu Tà Xia</t>
  </si>
  <si>
    <t>Tiêu 500ha</t>
  </si>
  <si>
    <t>2017-2019</t>
  </si>
  <si>
    <t>296/QĐ-SKHĐT
26/10/2016</t>
  </si>
  <si>
    <t>Xây mới HTCN ấp Tân Lâm, xã Tân Hà</t>
  </si>
  <si>
    <t>287 m3/ngày đêm, 200 hộ</t>
  </si>
  <si>
    <t>2016-2018</t>
  </si>
  <si>
    <t>324/QĐ-SKHĐT
28/10/2016</t>
  </si>
  <si>
    <t>Xây mới HTCN ngã 3 Bổ Túc</t>
  </si>
  <si>
    <t>426 m3/ngày đêm, 550 hộ</t>
  </si>
  <si>
    <t>314/QĐ-SKHĐT
28/10/2016</t>
  </si>
  <si>
    <t>Trạm kiểm soát lửa rừng, Ban quản lý rừng phòng hộ Dầu Tiếng</t>
  </si>
  <si>
    <t>Tân Hòa, Tân Châu</t>
  </si>
  <si>
    <t>cao 31m, 2 trạm ấp Trảng Trai và ấp Con Trăn</t>
  </si>
  <si>
    <t>325/QĐ-SKHĐT
28/10/2016</t>
  </si>
  <si>
    <t>PCCC và rèn luyện sức khỏe (VQG)</t>
  </si>
  <si>
    <t>Xây mới khu liên hiệp thể thao phục vụ khách du lịch và cán bộ Vườn QG kết hợp hồ nước dùng PCCC cho khu lâm viên của Vườn QG</t>
  </si>
  <si>
    <t>264/QĐ-SKHĐT
30/10/2016</t>
  </si>
  <si>
    <t>Trạm kiểm soát lửa, phòng chống cháy rừng tại Khu rừng văn hóa lịch sử Chàng Riệc</t>
  </si>
  <si>
    <t>cao 34m, DTXD 152m2</t>
  </si>
  <si>
    <t>Nạo vét rạch Trà Cú phục vụ tưới vùng mía Thành Long, Tây Ninh</t>
  </si>
  <si>
    <t>Dài 5450m</t>
  </si>
  <si>
    <t>Ngưng thực hiện dự án chuyển sang giai đoạn 2021-2025</t>
  </si>
  <si>
    <t>Kênh tiêu Tân Phú - Tân Hưng</t>
  </si>
  <si>
    <t>Tiêu 1.485ha</t>
  </si>
  <si>
    <t>Nâng cấp, sửa chữa HTCN ấp Long Phi, xã Long Thuận</t>
  </si>
  <si>
    <t>150 m3/ngày đêm, 350 hộ</t>
  </si>
  <si>
    <t>Nâng cấp, sửa chữa HTCN ấp Long Hòa 1, xã Long Chữ</t>
  </si>
  <si>
    <t>300 m3/ngày đêm, 372 hộ</t>
  </si>
  <si>
    <t>Nâng cấp, sửa chữa HTCN ấp 4, xã Suối Dây</t>
  </si>
  <si>
    <t>120 hộ</t>
  </si>
  <si>
    <t>Đê bao chuyển đối cơ cấu cây trồng ấp Phước Đông xã Phước Chỉ</t>
  </si>
  <si>
    <t>cấp nước tưới 120ha, L=3444m</t>
  </si>
  <si>
    <t>Nạo vét kênh tiêu Rỗng Tượng</t>
  </si>
  <si>
    <t>tiêu 200ha</t>
  </si>
  <si>
    <t>Nâng cấp, sửa chữa HTCN ấp Long Châu, xã Long Vĩnh</t>
  </si>
  <si>
    <t>cung cấp nước cho 2500 hộ dân</t>
  </si>
  <si>
    <t>321/QĐ-SKHĐT
30/10/2015</t>
  </si>
  <si>
    <t>Không thực hiện</t>
  </si>
  <si>
    <t>Trạm bơm và kênh tưới xã Suối Đá, xã Phan</t>
  </si>
  <si>
    <t>Suối Đá, Phan, Bàu Năng DMC</t>
  </si>
  <si>
    <t>tưới 800ha</t>
  </si>
  <si>
    <t>Kênh tiêu Tân Hà</t>
  </si>
  <si>
    <t>tiêu 2350ha</t>
  </si>
  <si>
    <t>2019-2020</t>
  </si>
  <si>
    <t>Không thực hiện do suất đầu tư lớn</t>
  </si>
  <si>
    <t>Kênh tiêu Hội Thạnh</t>
  </si>
  <si>
    <t>tiêu 1700ha</t>
  </si>
  <si>
    <t>489/QĐ-SKHĐT
 27/10/2017</t>
  </si>
  <si>
    <t>Kênh tiêu Hội Thành</t>
  </si>
  <si>
    <t>tiêu 1885ha</t>
  </si>
  <si>
    <t>472/QĐ-SKHĐT
 27/10/2017</t>
  </si>
  <si>
    <t>Kênh TT3 xã Thạnh Bình</t>
  </si>
  <si>
    <t>3,3km đường và đặt cống tiêu chống ngập úng 350ha</t>
  </si>
  <si>
    <t>Sở NN&amp;PTNT phối hợp Cty TNHH MTV Khai thác thủy lợi Tây Ninh thực hiện</t>
  </si>
  <si>
    <t>Xây mới HTCN ấp Long Hòa, xã Long Thuận</t>
  </si>
  <si>
    <t>500 hộ</t>
  </si>
  <si>
    <t>Nâng cấp, sửa chữa HTCN xã Phan</t>
  </si>
  <si>
    <t>290m3/ngđ; 500 hộ</t>
  </si>
  <si>
    <t>485/QĐ-SKHĐT 27/10/2017</t>
  </si>
  <si>
    <t>Nâng cấp, sửa chữa HTCN ấp Tân Thạnh, xã Tân Bình</t>
  </si>
  <si>
    <t>150m3/ngđ; 400 hộ</t>
  </si>
  <si>
    <t>Nâng cấp, sửa chữa HTCN ấp Phước Hưng 2, xã Phước Chỉ</t>
  </si>
  <si>
    <t>150m3/ngđ; 220 hộ</t>
  </si>
  <si>
    <t>Nâng cấp, sửa chữa HTCN ấp Thạnh Trung, xã Thạnh Tây</t>
  </si>
  <si>
    <t>1150 hộ</t>
  </si>
  <si>
    <t>Nâng cấp, sửa chữa HTCN ấp Tân Hòa, xã Tân Bình</t>
  </si>
  <si>
    <t>100m3/ngđ; 240 hộ</t>
  </si>
  <si>
    <t>Nâng cấp, sửa chữa HTCN ấp Phước Tân, xã Phước Ninh</t>
  </si>
  <si>
    <t>100m3/ngđ;190 hộ</t>
  </si>
  <si>
    <t>Nâng cấp, sửa chữa HTCN ấp Tân Nam, xã Tân Bình</t>
  </si>
  <si>
    <t>Nâng cấp, sửa chữa HTCN ấp Tầm Phô, xã Tân Đông</t>
  </si>
  <si>
    <t>100m3/ngđ; 130 hộ</t>
  </si>
  <si>
    <t>Nâng cấp, sửa chữa HTCN ấp Gò Nổi, xã Ninh Điền</t>
  </si>
  <si>
    <t>70m3/ngđ; 63 hộ</t>
  </si>
  <si>
    <t>Xây mới HTCN ấp Thuận Hòa, xã Lợi Thuận</t>
  </si>
  <si>
    <t>400 hộ</t>
  </si>
  <si>
    <t>Nâng cấp, sửa chữa HTCN ấp Tân Tiến, xã Tân Lập, Tân Biên</t>
  </si>
  <si>
    <t>650m3/ngđ</t>
  </si>
  <si>
    <t>CTCN ấp Rừng Dầu xã Tiên Thuận (nhà văn hóa), huyện Bến Cầu</t>
  </si>
  <si>
    <t>1.450 m3/ngđ</t>
  </si>
  <si>
    <t>Xây mới CTCN An Thới</t>
  </si>
  <si>
    <t>600 hộ</t>
  </si>
  <si>
    <t>Hạ tầng vùng nông nghiệp công nghệ cao</t>
  </si>
  <si>
    <t>các huyện</t>
  </si>
  <si>
    <t>3.000 ha</t>
  </si>
  <si>
    <t>2018-2022</t>
  </si>
  <si>
    <t>III</t>
  </si>
  <si>
    <t>LĨNH VỰC Y TẾ</t>
  </si>
  <si>
    <t>Nâng cấp mở rộng bệnh viện đa khoa tỉnh</t>
  </si>
  <si>
    <t>tp Tây Ninh</t>
  </si>
  <si>
    <t>500 giường lên 700 giường</t>
  </si>
  <si>
    <t>2013-2016</t>
  </si>
  <si>
    <t>1436/QĐ-UBND
29/7/2013</t>
  </si>
  <si>
    <t xml:space="preserve">Bệnh viện huyện Hòa Thành </t>
  </si>
  <si>
    <t xml:space="preserve">Hòa Thành </t>
  </si>
  <si>
    <t>120 giường</t>
  </si>
  <si>
    <t>2130/QĐ-UBND
25/10/2013</t>
  </si>
  <si>
    <t>Bệnh viện Y học cổ truyền Tây Ninh</t>
  </si>
  <si>
    <t>100 giường</t>
  </si>
  <si>
    <t>2012-2016</t>
  </si>
  <si>
    <t>1944/QĐ-UBND 10/10/2012 (đc)</t>
  </si>
  <si>
    <t>Dự án hợp phần Bệnh viện Đa khoa tỉnh Tây Ninh thuộc Dự án phát triển bệnh viện tỉnh, vùng-giai đoạn II bằng nguồn vốn vay của cơ quan Hợp tác quốc tế Nhật Bản (JICA)</t>
  </si>
  <si>
    <t>Mua sắm trang thiết bị</t>
  </si>
  <si>
    <t>2094/QĐ-UBND
21/10/2013</t>
  </si>
  <si>
    <t>Vốn ODA 130,259 tỷ đồng</t>
  </si>
  <si>
    <t>Bệnh viện huyện Châu Thành</t>
  </si>
  <si>
    <t>80 giường</t>
  </si>
  <si>
    <t>195/QĐ-UBND 25/01/2016</t>
  </si>
  <si>
    <t>Bệnh viện huyện Dương Minh Châu</t>
  </si>
  <si>
    <t>194/QĐ-UBND 25/01/2016</t>
  </si>
  <si>
    <t>Nâng cấp, cải tạo hệ thống xử lý chất thải y tế tại 9 cơ sở y tế tỉnh Tây Ninh</t>
  </si>
  <si>
    <t>Nâng cấp lò đốt rác và hệ thống xử lý nước thải đạt chuẩn</t>
  </si>
  <si>
    <t>1550/QĐ-UBND 08/8/2013</t>
  </si>
  <si>
    <t>Trung tâm y tế huyện Tân Biên</t>
  </si>
  <si>
    <t>Thị trấn Tân Biên</t>
  </si>
  <si>
    <t>5.064,28 m2</t>
  </si>
  <si>
    <t>2488/QĐ-UBND
30/10/2015</t>
  </si>
  <si>
    <t>Sửa chữa Trường Trung cấp y tế Tây Ninh</t>
  </si>
  <si>
    <t>3.633,2 m2</t>
  </si>
  <si>
    <t>306/QĐ-SKHĐT
30/10/2015</t>
  </si>
  <si>
    <t>Nâng cấp Trung tâm y tế huyện Gò Dầu</t>
  </si>
  <si>
    <t>Xây mới khối nhà chính 03 tầng; cải tạo khối kỹ thuật 02 tầng; hệ thống hạ tầng kỹ thuật, trang thiết bị</t>
  </si>
  <si>
    <t>2794/QĐ-UBND
28/10/2016</t>
  </si>
  <si>
    <t>Nâng cấp trụ sở làm việc Trung tâm kiểm nghiệm dược phẩm</t>
  </si>
  <si>
    <t>Xây mới dãy nhà 1 trệt, 1 lấu, DT 472m2; cải tạo dãy nhà cũ, trang thiết bị</t>
  </si>
  <si>
    <t>340/QĐ-UBND
28/10/2016</t>
  </si>
  <si>
    <t>Bệnh viện Phục hồi chức năng</t>
  </si>
  <si>
    <t>2279/QĐ-UBND
29/9/2017</t>
  </si>
  <si>
    <t>Vốn TWHT 50,978 tỷ đồng</t>
  </si>
  <si>
    <t xml:space="preserve">Nâng cấp hệ thống xử lý nước thải các cơ sở y tế </t>
  </si>
  <si>
    <t>Các huyện, thành phố địa bàn tỉnh Tây Ninh</t>
  </si>
  <si>
    <t>Nâng cấp lò đốt rác và hệ thống xử lý nước thải đạt chuẩn (Trừ 9 cơ sở y tế đã được đầu tư năm 2014-2015)</t>
  </si>
  <si>
    <t>492/QĐ-SKHĐT
27/10/2017</t>
  </si>
  <si>
    <t>Xây dựng Trạm y tế xã Bàu Đồn</t>
  </si>
  <si>
    <t>Xây dựng Trạm y tế xã Thạnh Tây</t>
  </si>
  <si>
    <t>Nâng cấp cải tạo Trạm y tế xã Trà Vong</t>
  </si>
  <si>
    <t>Sửa chữa Trạm y tế xã Suối Ngô</t>
  </si>
  <si>
    <t>Triển khai bệnh viện vệ tinh tại Bệnh viện đa khoa Tây Ninh</t>
  </si>
  <si>
    <t>Hệ thống y học từ xa Telemedicine</t>
  </si>
  <si>
    <t>Sử dụng CNTT kết nối, trao đổi thông tin điều trị, chẩn đoán giữa các bệnh viện trong và ngoài tỉnh</t>
  </si>
  <si>
    <t>Nâng cấp, mở rộng Trung tâm y tế dự phòng</t>
  </si>
  <si>
    <t>Đầu tư trang thiết bị cho các cơ sở y tế</t>
  </si>
  <si>
    <t>Xử lý chất rắn y tế theo mô hình cụm tại Bệnh viện Đa khoa tỉnh Tây Ninh sử dụng vốn vay của ngân hàng thế giới</t>
  </si>
  <si>
    <t>2025/QĐ-UBND
30/8/2017</t>
  </si>
  <si>
    <t>Bổ sung DA- vốn ODA 22,65 tỷ đồng</t>
  </si>
  <si>
    <t>Dự án An ninh y tế khu vực tiểu vùng sông Mê Công mở rộng (vay vốn ADB)</t>
  </si>
  <si>
    <t>phòng chống dịch bệnh, nâng cao năng  lực trong giám sát và đáp ứng dịch, bệnh; đầu tư hệ thống năng lực xét nghiệm</t>
  </si>
  <si>
    <t>2017-2021</t>
  </si>
  <si>
    <t>692/QĐ-TTg 27/4/2016</t>
  </si>
  <si>
    <t>Đối ứng DA ODA - dự án do TW quản lý</t>
  </si>
  <si>
    <t>Nâng cấp Bệnh viện Đa khoa tỉnh (giai đoạn 2)</t>
  </si>
  <si>
    <t>Xây mới</t>
  </si>
  <si>
    <t>IV</t>
  </si>
  <si>
    <t>LĨNH VỰC GIÁO DỤC, ĐÀO TẠO VÀ DẠY NGHỀ</t>
  </si>
  <si>
    <t>Trung tâm Giáo dục thường xuyên tỉnh (cơ sở 3)</t>
  </si>
  <si>
    <t>10.704 m2</t>
  </si>
  <si>
    <t>1866/QĐ-UBND
17/9/2013</t>
  </si>
  <si>
    <t>QT</t>
  </si>
  <si>
    <t>Trường THPT Lê Quý Đôn</t>
  </si>
  <si>
    <t>Sửa chữa 24 phòng, xây mới 6 phòng</t>
  </si>
  <si>
    <t>248/QĐ-SKHĐT 02/10/2013</t>
  </si>
  <si>
    <t>Trường THPT Hoàng Văn Thụ</t>
  </si>
  <si>
    <t>Xây mới khối bộ môn, cải tạo khới lớp học B, C, nhà thi đấu</t>
  </si>
  <si>
    <t>1999/QĐ-UBND
08/10/2013</t>
  </si>
  <si>
    <t>Trường THPT Nguyễn Văn Trỗi</t>
  </si>
  <si>
    <t>Cải tạo 16 phòng học, xây mới khối hành chính, trang thiết bị</t>
  </si>
  <si>
    <t>298/QĐ-SKHĐT 30/10/2013</t>
  </si>
  <si>
    <t>5</t>
  </si>
  <si>
    <t>Trường chuyên Hoàng Lê Kha</t>
  </si>
  <si>
    <t>TP.TN</t>
  </si>
  <si>
    <t>Diện tích: 11.208m2 và các công trình phụ trợ khác</t>
  </si>
  <si>
    <t>2490/QĐ-UBND
30/10/2015</t>
  </si>
  <si>
    <t>6</t>
  </si>
  <si>
    <t>Nâng cấp, mở rộng Trường Cao đẳng Sư Phạm Tây Ninh</t>
  </si>
  <si>
    <t>Cải tạo, sửa chữa một số hạng mục công trình trường Cao đẳng Sư phạm</t>
  </si>
  <si>
    <t>308/QĐ-SKHĐT
30/10/2015</t>
  </si>
  <si>
    <t>7</t>
  </si>
  <si>
    <t>Trường THPT Lý Thường Kiệt</t>
  </si>
  <si>
    <t xml:space="preserve">Xây mới: nhà bảo vệ, cổng hàng rào dài 139m; Hạ bình điện hạ thế 200KVA; Đầu tư mua sắm trang thiết bị </t>
  </si>
  <si>
    <t>309/QĐ-SKHĐT
30/10/2015</t>
  </si>
  <si>
    <t>8</t>
  </si>
  <si>
    <t>Trường khuyết tật tỉnh Tây Ninh</t>
  </si>
  <si>
    <t>Xây mới 4 phòng học, khu chức năng và một số hạng mục phụ</t>
  </si>
  <si>
    <t>55/QĐ-SKHĐT 17/02/2016</t>
  </si>
  <si>
    <t>9</t>
  </si>
  <si>
    <t>Trường THCS Phước Thạnh</t>
  </si>
  <si>
    <t>Xây mới phòng học, phòng chức năng và các hạng mục phụ</t>
  </si>
  <si>
    <t xml:space="preserve">2515/QĐ-SKHĐT 30/9/2016 </t>
  </si>
  <si>
    <t>10</t>
  </si>
  <si>
    <t xml:space="preserve"> Trung tâm GDTX Dương Minh Châu</t>
  </si>
  <si>
    <t>TT DMC</t>
  </si>
  <si>
    <t>Diện tích: 3831m2;cổng tường rào: 389,87m; trạm biến thế 25KVA</t>
  </si>
  <si>
    <t>307/QĐ-SKHĐT
30/10/2015</t>
  </si>
  <si>
    <t>11</t>
  </si>
  <si>
    <t xml:space="preserve"> Trung tâm GDTX Tân Biên</t>
  </si>
  <si>
    <t>TT Tân Biên</t>
  </si>
  <si>
    <t>Hạng mục: Cải tạo khối hành chánh - thực hành, nhà xe, cổng, hàng rào, nhà bảo vệ, sân nền, thoát nước, san lấp, hệ thống điện, nước, chống sét, PCCC</t>
  </si>
  <si>
    <t>105/QĐ-SKHĐT 30/3/2016</t>
  </si>
  <si>
    <t>12</t>
  </si>
  <si>
    <t xml:space="preserve"> Trung tâm GDTX Bến Cầu</t>
  </si>
  <si>
    <t>TT Bến Cầu</t>
  </si>
  <si>
    <t>Cổng  hàng rào, nhà bảo vệ, cột cờ, sân nền</t>
  </si>
  <si>
    <t>93/QĐ/SKHĐT 30/3/2015</t>
  </si>
  <si>
    <t>13</t>
  </si>
  <si>
    <t>Sửa chữa cải tạo Hội trường B - Trường Chính trị Tây Ninh</t>
  </si>
  <si>
    <t>Cải tạo Hội trường B</t>
  </si>
  <si>
    <t>328/QĐ-SKHĐT
28/10/2016</t>
  </si>
  <si>
    <t>14</t>
  </si>
  <si>
    <t>Nâng cấp, cải tạo, sửa chữa Trung tâm giáo dục lao động xã hội</t>
  </si>
  <si>
    <t>Cải tạo khối nhà khu A, khu B</t>
  </si>
  <si>
    <t>341/QĐ-SKHĐT
28/10/2016</t>
  </si>
  <si>
    <t>15</t>
  </si>
  <si>
    <t xml:space="preserve"> THPT Dân tộc nội trú TN</t>
  </si>
  <si>
    <t>Ninh Sơn - TP.TN</t>
  </si>
  <si>
    <t>2018-2019</t>
  </si>
  <si>
    <t>501/QĐ-SKHĐT
30/10/2017</t>
  </si>
  <si>
    <t>16</t>
  </si>
  <si>
    <t xml:space="preserve"> Trường THPT Lê Hồng Phong</t>
  </si>
  <si>
    <t>Hòa Thạnh, Châu Thành</t>
  </si>
  <si>
    <t>Hạng mục: Cải tạo phòng học hiện trạng, san lấp mặt bằng, cổng hàng rào, nhà bảo vệ, khối phòng học bộ môn, nhà cầu nối, sân thể thao, bãi tập - đường giao thông nội bộ, cây xanh, thảm cỏ, hệ thống điện toàn khu, hệ thống cấp thoát nước, bể nước ngầm, bổ sung trang thiết bị còn thiếu, trạm hạ thế 3 pha, PCCC</t>
  </si>
  <si>
    <t>493/QĐ-SKHĐT
27/10/2017</t>
  </si>
  <si>
    <t>17</t>
  </si>
  <si>
    <t>Trạm hạ thế điện các trường THPT</t>
  </si>
  <si>
    <t xml:space="preserve">Đầu tư trạm hạ thế các trường đang dùng chung đường dây với bên ngoài thành trạm độc lập, cải tạo </t>
  </si>
  <si>
    <t>504/QĐ-SKHĐT
30/10/2017</t>
  </si>
  <si>
    <t>18</t>
  </si>
  <si>
    <t>Hệ thống PCCC các trường THPT</t>
  </si>
  <si>
    <t>Hệ thống PCCC</t>
  </si>
  <si>
    <t>494/QĐ-SKHĐT
27/10/2017</t>
  </si>
  <si>
    <t>19</t>
  </si>
  <si>
    <t>Truờng THPT Trần Phú</t>
  </si>
  <si>
    <t>Thị trấn Tân Biên, huyện Tân Biên</t>
  </si>
  <si>
    <t>Cải tạo, sửa chữa</t>
  </si>
  <si>
    <t>498/QĐ-SKHĐT
27/10/2017</t>
  </si>
  <si>
    <t>20</t>
  </si>
  <si>
    <t>Cải tạo, sửa chữa Trường Chính trị</t>
  </si>
  <si>
    <t>507/QĐ-SKHĐT
27/10/2017</t>
  </si>
  <si>
    <t>21</t>
  </si>
  <si>
    <t>Cải tạo trường Trung cấp nghề Khu vực Nam Tây Ninh</t>
  </si>
  <si>
    <t>Kiên cố hóa trường lớp học mầm non, tiểu học cho vùng đồng bào dân tộc, vùng sâu, vùng xa giai đoạn 2017-2020</t>
  </si>
  <si>
    <t>Các huyện biên giới: Châu Thành, Bến Cầu, Trảng Bàng, Tân Biên, Tân Châu</t>
  </si>
  <si>
    <t>95 phòng</t>
  </si>
  <si>
    <t>Bổ sung DA (Đối ứng vốn TPCP - từ mục HTMT huyện chuyển sang tỉnh quản lý)</t>
  </si>
  <si>
    <t>23</t>
  </si>
  <si>
    <t>Trường THPT Quang Trung</t>
  </si>
  <si>
    <t>24</t>
  </si>
  <si>
    <t>Truờng THPT Tây Ninh</t>
  </si>
  <si>
    <t>Phuờng 3, TP. Tây Ninh</t>
  </si>
  <si>
    <t>25</t>
  </si>
  <si>
    <t>Trường THPT Trần Đại Nghĩa</t>
  </si>
  <si>
    <t>26</t>
  </si>
  <si>
    <t>27</t>
  </si>
  <si>
    <t>Trường THPT Dương Minh Châu</t>
  </si>
  <si>
    <t>V</t>
  </si>
  <si>
    <t>LĨNH VỰC KHOA HỌC VÀ CÔNG NGHỆ</t>
  </si>
  <si>
    <t>Nâng cao năng lực cho Trung tâm Kỹ thuật tiêu chuẩn đo lường chất lượng tỉnh Tây Ninh giai đoạn 2014-2015</t>
  </si>
  <si>
    <t>2422/QĐ-UBND
23/10/2014</t>
  </si>
  <si>
    <t>Đầu tư trang trại thực nghiệm ứng dụng công nghệ sinh học cho Trung tâm Ứng dụng Tiến bộ Khoa học và Công nghệ Tây Ninh.</t>
  </si>
  <si>
    <t>413/QĐ-SKHĐT 26/10/2012</t>
  </si>
  <si>
    <t>Nâng cấp mở rộng hạ tầng Trung tâm tích hợp dữ liệu của tỉnh đảm bảo yêu cầu xây dựng chính quyền điện tử tỉnh Tây Ninh đến năm 2020 (giai đoạn 1)</t>
  </si>
  <si>
    <t>Trung tâm tích hợp dữ
 liệu tỉnh Tây Ninh</t>
  </si>
  <si>
    <t>Nâng cấp, mở rộng hạ tầng cho Trung tâm tích hợp dữ liệu và thuê vị trí đặt trung tâm dữ liệu của tỉnh</t>
  </si>
  <si>
    <t>2478/QĐ-UBND
29/10 /2015</t>
  </si>
  <si>
    <t>Đẩy mạnh và nâng cao hiệu quả hoạt động thông tin truyền thông và thông tin đối ngoại tại khu vực biên giới tỉnh Tây Ninh đến năm 2020</t>
  </si>
  <si>
    <t>Bến Cầu, 
Tân Biên, Tân Châu, Châu Thành, tỉnh Tây Ninh</t>
  </si>
  <si>
    <t>Hệ thống loa truyền thanh không dây; Pa nô tuyên truyền 02 mặt; Xây dựng và lắp đặt hệ thống màn hình LED</t>
  </si>
  <si>
    <t>260/QĐ-SKHĐT
29/10/2015</t>
  </si>
  <si>
    <t>Xây dựng hệ thống một cửa điện tử và dịch vụ công mức độ 3 cho toàn tỉnh và triển khai cho các sở, ban, ngành (giai đoạn 2: 10 sở, 49 xã)</t>
  </si>
  <si>
    <t>TT tích hợp dữ liệu tỉnh; 10 sở, 49 xã</t>
  </si>
  <si>
    <t>Đầu tư trang thiết bị cho 10 sở; 49 xã</t>
  </si>
  <si>
    <t>2479/QĐ-UBND
29/10/2015</t>
  </si>
  <si>
    <t>Nâng cấp Báo Tây Ninh điện tử</t>
  </si>
  <si>
    <t>Tp Tây Ninh</t>
  </si>
  <si>
    <t>Nâng cấp toàn diện Báo Tây Ninh điện tử</t>
  </si>
  <si>
    <t>297/QĐ-SKHĐT
30/10/2015</t>
  </si>
  <si>
    <t>Ứng dụng công nghệ thông tin trong hoạt động HĐND tỉnh</t>
  </si>
  <si>
    <t xml:space="preserve">Đầu tư trang thiết bị công nghệ thông tin trong hoạt động HĐND tỉnh   </t>
  </si>
  <si>
    <t>310/QĐ-SKHĐT
30/10/2015</t>
  </si>
  <si>
    <t>Đầu tư trang thiết bị, kiểm định máy móc, thiết bị có yêu cầu nghiêm ngặt về an toàn lao động cho Trung tâm Thông tin, ứng dụng tiến bộ khoa học và công nghệ Tây Ninh</t>
  </si>
  <si>
    <t>Thành phố Tây Ninh</t>
  </si>
  <si>
    <t>đầu tư thiết bị kiểm định lĩnh vực an toàn lao động</t>
  </si>
  <si>
    <t>287/QĐ-SKHĐT
17/10/2016</t>
  </si>
  <si>
    <t>Xây dựng hệ thống 1 cửa hiện đại và Dịch vụ công trực tuyến mức độ 3 cho các đơn vị cấp huyện theo mô hình tập trung</t>
  </si>
  <si>
    <t>Trung tâm THDL tỉnh 9 đơn vị cấp huyện và 95 đơn vị cấp xã</t>
  </si>
  <si>
    <t>Tích hợp dữ liệu vào cổng thông tin 1 cửa của tỉnh, tích hợp với các phàn mềm nghiệp vụ tại các UBND huyện</t>
  </si>
  <si>
    <t>332/QĐ-SKHĐT
28/10/2016</t>
  </si>
  <si>
    <t xml:space="preserve">      </t>
  </si>
  <si>
    <t>Dự án " Xây dựng hệ thống phần mềm văn phòng điện tử cho toàn tỉnh theo mô hình đám mây"</t>
  </si>
  <si>
    <t>23 đơn vị cấp tỉnh, 9 huyện, 34 xã</t>
  </si>
  <si>
    <t>Xây dựng hệ thống văn phòng điện tử theo mô hình đám mây với bản quyền phần mềm cho các cơ quan nhà nước từ cấp tỉnh đến cấp xã trên địa bàn tỉnh; đào tạo chuyển giao công nghệ, chuyển dữ liệu sang hệ thống mới</t>
  </si>
  <si>
    <t>333/QĐ-SKHĐT
28/10/2016</t>
  </si>
  <si>
    <t>Xây dựng hạ tầng mạng diện rộng của tỉnh (từ tỉnh xuống xã) đảm bảo an toàn thông tin phục vụ CCHC, đẩy mạnh ứng dụng CNTT trong các cơ quan nhà nước tỉnh Tây Ninh đến năm 2020</t>
  </si>
  <si>
    <t>đầu tư thiết bị phần cứng mạng, thiết bị bảo mật, máy tính để xây dựng hạ tầng mạng diện rộng bảo đảm về an toàn thông tin</t>
  </si>
  <si>
    <t>Ứng dụng công nghệ thông tin trong công tác quản lý ngành y tế Tây Ninh (giai đoạn 2)</t>
  </si>
  <si>
    <t>các huyện, TP</t>
  </si>
  <si>
    <t>Đầu tư mạng máy tính (phần cứng) kết nối các cơ sở y tế từ tỉnh đến xã</t>
  </si>
  <si>
    <t>Xây dựng Trung tâm sinh học nông nghiệp công nghệ cao</t>
  </si>
  <si>
    <t>Nâng cấp, mở rộng đầu tư trại thực nghiệm ứng dụng công nghệ sinh học cho Trung tâm Thông tin, ứng dụng tiến bộ KHCN tỉnh Tây Ninh</t>
  </si>
  <si>
    <t>Xây dựng một số hạng mục chính (giai đoạn 2019-2020) để đánh giá lại hiệu quả đâu tư của dự án</t>
  </si>
  <si>
    <t>Hệ thống thông tin địa lý (GIS) phục vụ quản lý hạ tầng Bưu chính Viễn thông và internet tỉnh TN</t>
  </si>
  <si>
    <t>Thiết lập, quản lý, cập nhật CSDL, phục vụ công tác QLNN về lĩnh vực thông tin và truyền thông; hỗ trợ quản lý, theo dõi hạ tầng viễn thông trên bản đồ GIS</t>
  </si>
  <si>
    <t>Đánh giá an toàn thông tin cho hạ tầng và hệ thống thông tin tỉnh Tây Ninh triển khai giai đoạn 2015-2020</t>
  </si>
  <si>
    <t>Tái đánh giá toàn diện an toàn an ninh hệ thống cổng thông tin điện tử tỉnh, hệ thống họp không giấy ,… đã triển khai tới năm 2019</t>
  </si>
  <si>
    <t>Nâng cấp, mở rộng hạ tầng Trung tâm tích hợp dữ liệu của tỉnh đảm bảo yêu cầu xây dựng chính quyền điện tử tỉnh Tây Ninh đến năm 2020</t>
  </si>
  <si>
    <t>Bổ sung, nâng cấp hệ thống máy chủ, hệ thống lưu trữ và bản quyền phần mềm các thiết bị bảo mật sẽ hết hạn vào năm 2018</t>
  </si>
  <si>
    <t>Chương trình ứng dụng CNTT trong hoạt động của các cơ quan Đảng tỉnh Tây Ninh giai đoạn 2015-2020</t>
  </si>
  <si>
    <t>518/QĐ-SKHĐT
 31/10/2017</t>
  </si>
  <si>
    <t>VI</t>
  </si>
  <si>
    <t>LĨNH VỰC KHU DÂN CƯ, CỤM DÂN CƯ BIÊN GIỚI</t>
  </si>
  <si>
    <t>Ba khu dân cư biên giới Bắc Tây Ninh</t>
  </si>
  <si>
    <t>Tân Châu, Tân Biên</t>
  </si>
  <si>
    <t>2008-2016</t>
  </si>
  <si>
    <t>407/QĐ-UBND 10/3/2009;
1101/QĐ-UBND
13/6/2013 (đc)</t>
  </si>
  <si>
    <t>Hệ thống thủy lợi phục vụ sản xuất nông nghiệp Khu dân cư Chàng Riệc</t>
  </si>
  <si>
    <t>tiêu 710 ha</t>
  </si>
  <si>
    <t>1804/QĐ-UBND 06/7/2016</t>
  </si>
  <si>
    <t>Hệ thống cấp nước sinh hoạt khu dân cư cầu Sài Gòn 2</t>
  </si>
  <si>
    <t>2014 - 2016</t>
  </si>
  <si>
    <t>316/QĐ-SKHĐT
31/10/2013;
198/QĐ-SKHĐT 03/8/2016 (đ/c)</t>
  </si>
  <si>
    <t xml:space="preserve">Bổ sung hệ thống cống dọc và tấm đam mương khu dân cư Chàng Riệc </t>
  </si>
  <si>
    <t>270/QĐ-SKHĐT 30/10/2015</t>
  </si>
  <si>
    <t>Cụm dân cư ấp Phước Mỹ xã Phước Chỉ</t>
  </si>
  <si>
    <t>xã Phước Chỉ</t>
  </si>
  <si>
    <t>Cụm dân cư ấp Long Cường, xã Long Khánh, Bến Cầu</t>
  </si>
  <si>
    <t>xã Long Khánh</t>
  </si>
  <si>
    <t>Dừng thực hiện để đánh giá lại hiệu quả đầu tư sau khi thực hiện thí điểm 1 số KDC khác</t>
  </si>
  <si>
    <t>Cụm dân cư ấp Trà Sim xã Ninh Điền</t>
  </si>
  <si>
    <t>Ninh Điền</t>
  </si>
  <si>
    <t>Cụm dân cư ấp Tân Định xã Biên Giới</t>
  </si>
  <si>
    <t>Biên Giới</t>
  </si>
  <si>
    <t>Cụm dân cư ấp Phước Hòa xã Phước Vinh huyện Châu Thành</t>
  </si>
  <si>
    <t>Phước Vinh</t>
  </si>
  <si>
    <t>Khu dân cư ấp Tân Lâm, xã Tân Hà, huyện Tân Châu</t>
  </si>
  <si>
    <t>xã Tân Hà</t>
  </si>
  <si>
    <t>2162/QĐ-UBND 23/9/2015</t>
  </si>
  <si>
    <t>VII</t>
  </si>
  <si>
    <t>LĨNH VỰC  VĂN HÓA-THỂ THAO-XÃ HỘI</t>
  </si>
  <si>
    <t>Trung tâm đào tạo và huấn luyện thể thao Tây Ninh</t>
  </si>
  <si>
    <t>Cải tạo khối nhà thành khu hành chính, xây mới nhà lớp học, nhà nội trú, nhà ăn, nhà thi đấu, sân thi đấu</t>
  </si>
  <si>
    <t>2524/QĐ-UBND
31/10/2014</t>
  </si>
  <si>
    <t>Bổ sung vốn từ nguồn dự phòng của KH trung hạn</t>
  </si>
  <si>
    <t>Nhà thiếu nhi huyện Tân Biên</t>
  </si>
  <si>
    <t>Xây mới nhà làm việc 1.296m2, phòng chức năng, đường nội bộ, sân bãi, thiết bị làm việc</t>
  </si>
  <si>
    <t>235/QĐ-SKHĐT
21/10/2014</t>
  </si>
  <si>
    <t>Cổng chào tỉnh Tây Ninh</t>
  </si>
  <si>
    <t>An Tịnh, 
Trảng Bàng</t>
  </si>
  <si>
    <t>Xây mới cổng chào cao 16,9m rộng 32m</t>
  </si>
  <si>
    <t>2398/QĐ-UBND 23/10/2015</t>
  </si>
  <si>
    <t>Bồi thường, hỗ trợ và tái định cư công trình Cổng chào tỉnh Tây Ninh</t>
  </si>
  <si>
    <t>DT 4.619m2</t>
  </si>
  <si>
    <t>2428/QĐ-UBND 27/10/2015</t>
  </si>
  <si>
    <t>Dự án phát triển hạ tầng du lịch hỗ trợ cho tăng trưởng toàn diện khu vực tiểu vùng Mê Kông mở rộng - Tiểu dự án: cải thiện vệ sinh môi trường di tích lịch sử, văn hóa Núi Bà Đen</t>
  </si>
  <si>
    <t>tp Tây Ninh 
(Núi Bà Đen)</t>
  </si>
  <si>
    <t>Cải thiện vệ sinh môi trường DTLSVH núi Bà Đen</t>
  </si>
  <si>
    <t>1469/QĐ-BVHTTDL
16/5/2014</t>
  </si>
  <si>
    <t>Mẫu nhà lá Trung quân có thử nghiệm tẩm hóa chất</t>
  </si>
  <si>
    <t>DT 24,94 m2</t>
  </si>
  <si>
    <t>212/QĐ-SKHĐT
10/9/2013</t>
  </si>
  <si>
    <t>Nhà trưng bày vũ khí tự tạo của quân giới Nam bộ tại khu di tích Trung ương cục Miền Nam</t>
  </si>
  <si>
    <t>Nhà trệt cấp 4, DT 100m2</t>
  </si>
  <si>
    <t>311/QĐ-SKHĐT
30/10/2015</t>
  </si>
  <si>
    <t>Di dời tạm Bảo tàng tỉnh Tây Ninh</t>
  </si>
  <si>
    <t>Xây dựng Nhà làm việc, Kho cho Bảo tàng; Cải tạo TT VH tỉnh, Cải tạo TT Thi đấu tỉnh</t>
  </si>
  <si>
    <t>135/QĐ-SKHĐT
18/5/2016</t>
  </si>
  <si>
    <t xml:space="preserve">Sân vận động tỉnh Tây Ninh - Hạng mục: Cải tạo khán đài A, khán đài B, đường chạy </t>
  </si>
  <si>
    <t>Cải tạo mặt tiền, gia cố kết cấu , sơn Khán đài A, khán đài B</t>
  </si>
  <si>
    <t>335/QĐ-SKHĐT
28/10/2016</t>
  </si>
  <si>
    <t>Tháp quan sát - Canh lửa, Pano Khu di tích lịch sử CMMN tại Bời Lời</t>
  </si>
  <si>
    <t>Đôn Thuận, Trảng Bàng</t>
  </si>
  <si>
    <t>329/QĐ-SKHĐT
28/10/2016</t>
  </si>
  <si>
    <t>Dừng thực hiện do đã có nhà đầu tư (thanh toán CBĐT)</t>
  </si>
  <si>
    <t xml:space="preserve">Tái hiện Khu căn cứ Mặt trận dân tộc giải phóng miền Nam </t>
  </si>
  <si>
    <t>Không thực hiện do đã có nhà đầu tư</t>
  </si>
  <si>
    <t>Cải tạo thư viện tỉnh</t>
  </si>
  <si>
    <t>503/QĐ-SKHĐT
30/10/2017</t>
  </si>
  <si>
    <t>Nhà lưu niệm cơ sở tỉnh ủy</t>
  </si>
  <si>
    <t>505/QĐ-SKHĐT
30/10/2017</t>
  </si>
  <si>
    <t>Trung tâm hỗ trợ bảo trợ xã hội tổng hợp</t>
  </si>
  <si>
    <t>512/QĐ-SKHĐT
30/10/2017</t>
  </si>
  <si>
    <t>Xây dựng các hạng mục thuộc Khu du lịch Núi Bà</t>
  </si>
  <si>
    <t>Các công trình phục vụ du lịch sinh thái tại vườn QG Lò Gò-Xa Mát (giai đoạn 2)</t>
  </si>
  <si>
    <t>Xem lại quy mô để điều chỉnh giảm</t>
  </si>
  <si>
    <t>Hạt kiểm lâm Vườn quốc gia</t>
  </si>
  <si>
    <t>486/QĐ-SKHĐT
27/10/2017</t>
  </si>
  <si>
    <t>Trung tu, tôn tạo Đình Trung ấp Cẩm Long, xã Cẩm Giang</t>
  </si>
  <si>
    <t>Cẩm Giang</t>
  </si>
  <si>
    <t>439/QĐ-SKHĐT 03/10/2017</t>
  </si>
  <si>
    <t>DTLS văn hóa Dương Minh Châu (vị trí 1)</t>
  </si>
  <si>
    <t>Địa điểm lưu niệm Vành đai diệt Mỹ - Trảng Lớn</t>
  </si>
  <si>
    <t>Tượng đài chiến thắng Junction City (gđ 2)</t>
  </si>
  <si>
    <t>Nhà bia tưởng niệm liên đội 7 Núi Bà TN</t>
  </si>
  <si>
    <t>Nhà thi đấu thể dục, thể thao Liên đoàn Lao động tỉnh Tây Ninh</t>
  </si>
  <si>
    <t>KCN Phước Đông - Bời Lời</t>
  </si>
  <si>
    <t>Hệ thống điều hòa không khí và chữa cháy tự động - Trung tâm học tập sinh hoạt Thanh thiếu nhi</t>
  </si>
  <si>
    <t>Bổ sung DA (UBND tỉnh cho chủ trương BS tại CV số 1559/UBND-KTN ngày 13/6/2017)</t>
  </si>
  <si>
    <t>Trung tâm truyền hình (phim trường) - phần khối lượng còn lại</t>
  </si>
  <si>
    <t>Nhà hát tỉnh</t>
  </si>
  <si>
    <t>Di tích căn cứ Trảng Bàng vùng Tam giác sắt</t>
  </si>
  <si>
    <t>Bảo tàng tỉnh</t>
  </si>
  <si>
    <t xml:space="preserve">Nâng cấp mở rộng khu di tích Căn cứ Lõm </t>
  </si>
  <si>
    <t>Thị trấn GD</t>
  </si>
  <si>
    <t>Xây dựng khu trung tâm văn hóa huyện Tân Châu</t>
  </si>
  <si>
    <t>Thị trấn TC</t>
  </si>
  <si>
    <t>Trung tâm văn hóa thể thao huyện Tân Biên</t>
  </si>
  <si>
    <t>Thị trấn TB</t>
  </si>
  <si>
    <t>Nhà văn hóa thiếu nhi huyện Châu Thành</t>
  </si>
  <si>
    <t>Trung tâm văn hóa thể thao huyện Dương Minh Châu</t>
  </si>
  <si>
    <t>Nâng cấp SVĐ huyện Bến Cầu</t>
  </si>
  <si>
    <t>Trung tâm văn hóa thể thao huyện Hòa Thành</t>
  </si>
  <si>
    <t>Trung tâm văn hóa thể thao huyện Trảng Bàng</t>
  </si>
  <si>
    <t>Xây dựng SVĐ TP.Tây Ninh</t>
  </si>
  <si>
    <t>VIII</t>
  </si>
  <si>
    <t xml:space="preserve"> AN NINH QUỐC PHÒNG</t>
  </si>
  <si>
    <t>Nhà khách Bộ CHQS tỉnh TN</t>
  </si>
  <si>
    <t>Xây mới nhà khách: 
11 tầng và 1 tầng hầm</t>
  </si>
  <si>
    <t>2155/QĐ-UBND
29/10/2013</t>
  </si>
  <si>
    <t>Sửa chữa kết hợp cải tạo nâng cấp các hạng mục công trình chiến đấu 11 đồn Biên Phòng</t>
  </si>
  <si>
    <t>11 đồn 
biên phòng</t>
  </si>
  <si>
    <t>Sửa chữa kết hợp cải tạo nâng cấp các hạng mục công trình chiến đấu 11 đồn biên phòng</t>
  </si>
  <si>
    <t>188/QĐ-SKHĐT
20/10/2014</t>
  </si>
  <si>
    <t>Trung tâm điều hành chỉ huy khẩn cấp về tình trạng quốc phòng</t>
  </si>
  <si>
    <t>Xây dựng trung tâm điều
 hành: 1 tầng hầm 411m2; 1 tầng trệt 812m2; 1 lầu 789m2; mua sắm trang thiết bị</t>
  </si>
  <si>
    <t>2437/QĐ-UBND
24/10/2014</t>
  </si>
  <si>
    <t xml:space="preserve">Khu vực phòng thủ tỉnh </t>
  </si>
  <si>
    <t>Đại đội thông tin</t>
  </si>
  <si>
    <t xml:space="preserve">tp Tây Ninh 
</t>
  </si>
  <si>
    <t>Xây dựng khối nhà làm
 việc 1 trệt, 1 lầu diện tích 1.462m2, kế cấu BTCT; Nhà xe 100m2</t>
  </si>
  <si>
    <t>273/QĐ-SKHĐT
25/10/2013</t>
  </si>
  <si>
    <t>Kho, trạm xăng dầu cấp II (Đề án xăng dầu kết hợp Quốc phòng -Kinh tế)</t>
  </si>
  <si>
    <t>Xây mới mái che dựng trụ bơm và nhà trưng bày, DT 348m2; của hàng tự chọn 122,4m2; dịch vụ rửa xe; cổng hàng rào; sân đường và bãi đậu xe</t>
  </si>
  <si>
    <t>277/QĐ-SKHĐT
28/10/2015</t>
  </si>
  <si>
    <t xml:space="preserve"> Lắp đặt hệ thống camera công nghệ cao cho hai cửa khẩu Quốc tế Mộc Bài và Xa Mát</t>
  </si>
  <si>
    <t>Bến Cầu, 
Tân Biên</t>
  </si>
  <si>
    <t>Lắp đặt hệ thống camera 
công nghệ cao</t>
  </si>
  <si>
    <t>246/QĐ-SKHĐT
28/10/2015</t>
  </si>
  <si>
    <t>Vốn HTCK 10 tỷ</t>
  </si>
  <si>
    <t>Mua sắm trang thiết bị sinh hoạt làm việc phòng Chính trị</t>
  </si>
  <si>
    <t>Phường 1
-Thành phố TN</t>
  </si>
  <si>
    <t xml:space="preserve">Mua sắm trang thiết bị </t>
  </si>
  <si>
    <t>285/QĐ-SKHĐT
30/10/2015</t>
  </si>
  <si>
    <t>Trụ sở đơn vị công tác thuộc Công an Tây Ninh</t>
  </si>
  <si>
    <t>Xây dựng khối nhà 1
 trệt 3 lầu: 899,2m2; cổng hàng rào cây xanh, trụ cờ</t>
  </si>
  <si>
    <t>313/QĐ-SKHĐT
30/10/2015</t>
  </si>
  <si>
    <t>Bồi thường, hỗ trợ để thực hiện xây dựng dự án mở rộng trụ sở làm việc và xây dựng nhà tạm giữ Công an thị xã Tây Ninh (nay là thành phố Tây Ninh)</t>
  </si>
  <si>
    <t>Bồi thường: 26.244m2</t>
  </si>
  <si>
    <t>824/QĐ-UBND
16/4/2014; 2634/QĐ-UBND
13/11/2014 (đc)</t>
  </si>
  <si>
    <t>Xây dựng kho, trạm xăng dầu, quy mô cấp II</t>
  </si>
  <si>
    <t>307/QĐ-SKHĐT
28/10/2016</t>
  </si>
  <si>
    <t>Trường bắn BCH QS tỉnh giai đoạn 2</t>
  </si>
  <si>
    <t>2334/QĐ-BTL
27/10/2016</t>
  </si>
  <si>
    <t>Doanh trại Sở Chỉ huy Bộ đội biên phòng tỉnh Tây Ninh</t>
  </si>
  <si>
    <t>2016-2019</t>
  </si>
  <si>
    <t>439/QĐ-BQP
28/01/2016</t>
  </si>
  <si>
    <t>Vốn ĐP 30%, Vốn Bộ QP 70%</t>
  </si>
  <si>
    <t>Đồn BP Phước Chỉ (855)</t>
  </si>
  <si>
    <t>Xã Phước Chỉ, Trảng Bàng, Tây Ninh</t>
  </si>
  <si>
    <t>4 khối nhà BTCT 2 tầng, DT sàn 1.744m2; các khối nhà trệt DT sàn 1.071 m2 và các công trình phụ trợ</t>
  </si>
  <si>
    <t>2795/QĐ-UBND
28/10/2016</t>
  </si>
  <si>
    <t>Trụ sở làm việc thủy đội thuộc Phòng CSGT CA tỉnh Tây Ninh</t>
  </si>
  <si>
    <t>NLV 1 trệt, 1 lầu , DT sàn 324 m2</t>
  </si>
  <si>
    <t>311/QĐ-SKHĐT
28/10/2016</t>
  </si>
  <si>
    <t>Bồi thường, hỗ trợ thu hồi đất xây dựng doanh trại và thao trường huấn luyện của Trung đoàn BB174</t>
  </si>
  <si>
    <t>xã Tân Phú, Tân Châu</t>
  </si>
  <si>
    <t>44,9584 ha</t>
  </si>
  <si>
    <t>2293/QĐ-UBND
03/10/2017</t>
  </si>
  <si>
    <t>Bồi thường, hỗ trợ thu hồi đất xây dựng doanh trại Đại đội Công binh</t>
  </si>
  <si>
    <t>xã Thạnh Tân, TP. Tây Ninh</t>
  </si>
  <si>
    <t>3,513 ha</t>
  </si>
  <si>
    <t>2317/QĐ-UBND
05/10/2017</t>
  </si>
  <si>
    <t>Dừng thực hiện theo QĐ số 2369/QĐ-UBND ngày 11/10/2017</t>
  </si>
  <si>
    <t>Sửa chữa nhà ăn Công an tỉnh thành phòng làm việc</t>
  </si>
  <si>
    <t>121/QĐ-SKHĐT
22/5/2017</t>
  </si>
  <si>
    <t>Nhà tập luyện và thi đấu thể thao thuộc Công an tỉnh</t>
  </si>
  <si>
    <t>Mở rộng trụ sở làm việc Công an Thành phố Tây Ninh</t>
  </si>
  <si>
    <t>Cải tạo, sửa chữa khu di tích lịch sử văn hóa căn cứ Bàu Rong - giai đoạn I</t>
  </si>
  <si>
    <t>NS tỉnh 45%,  vốn sản xuất của Công an tỉnh 55%</t>
  </si>
  <si>
    <t>Chỗ neo đậu tàu thuyền, ca nô của Đồn Công an hồ nước Dầu Tiếng</t>
  </si>
  <si>
    <t>Sửa chữa, thay gạch nền, chống thấm, sơn P nhà làm việc BCHQS tỉnh</t>
  </si>
  <si>
    <t>Sửa chữa, thay gạch nền, chống thấm, sơn P, lát gạch sân nền doanh trại Trung đoàn bộ binh 174</t>
  </si>
  <si>
    <t>Xây dựng nhà ở Trung đội vệ binh/Phòng tham mưu</t>
  </si>
  <si>
    <t>Mở rộng trụ sở công an huyện Dương Minh Châu</t>
  </si>
  <si>
    <t>Trung tâm chỉ huy Công an tỉnh Tây Ninh</t>
  </si>
  <si>
    <t>Bổ sung DA - NS tỉnh: đền bù + 30%CPXD; NS Bộ CA:70%CPXD</t>
  </si>
  <si>
    <t>IX</t>
  </si>
  <si>
    <t>TRỤ SỞ LÀM VIỆC CÁC CƠ QUAN, KHÁC</t>
  </si>
  <si>
    <t>Dự án dự kiến hoàn thành và bàn giao đưa vào sử dụng trong giai đoạn 2016-2020</t>
  </si>
  <si>
    <t>Kho lưu trữ chuyên dụng</t>
  </si>
  <si>
    <t>Khối nhà làm việc 2.548m2; kho lưu trữ 3.489m2; cổng, hàng rào mặt chính 27,5m</t>
  </si>
  <si>
    <t>2170/QĐ-UBND
30/10/2013</t>
  </si>
  <si>
    <t>Hội trường Tỉnh ủy TN</t>
  </si>
  <si>
    <t>Hội trường chính 700 chỗ và các công trình phụ trợ</t>
  </si>
  <si>
    <t>2013-2015</t>
  </si>
  <si>
    <t>485/QĐ-UBND
21/3/2013</t>
  </si>
  <si>
    <t>Trụ sở làm việc Ban tuyên giáo Tỉnh ủy</t>
  </si>
  <si>
    <t>Xây mới 1 trệt, 2 lầu, DT 560m2; các công trình phụ</t>
  </si>
  <si>
    <t>243/QĐ-SKHĐT
30/10/2014;
244/SKHĐT
28/10/2015 (đc)</t>
  </si>
  <si>
    <t xml:space="preserve">Xây dựng trụ sở làm việc và kho bãi của Thanh tra giao thông </t>
  </si>
  <si>
    <t>Xây khối nhà làm việc 1 trệt, 1 lầu, DT 198,7m2 và các hạng mục phụ</t>
  </si>
  <si>
    <t>291/QĐ-SKHĐT
31/10/2014</t>
  </si>
  <si>
    <t>Xây mới trụ sở làm việc Đảng ủy khối doanh nghiệp</t>
  </si>
  <si>
    <t>Xây mới  822,12m2</t>
  </si>
  <si>
    <t>314/QĐ-SKHĐT 30/10/2015</t>
  </si>
  <si>
    <t>Xây mới trụ sở làm việc Tòa án nhân dân tỉnh Tây Ninh</t>
  </si>
  <si>
    <t>Xây mới 6.500m2</t>
  </si>
  <si>
    <t>130/QĐ-TANDTC
-KHTC 13/10/2013</t>
  </si>
  <si>
    <t>NS tỉnh hỗ trợ 10 tỷ đồng</t>
  </si>
  <si>
    <t>Trụ sở Viện kiểm sát nhân dân tỉnh Tây Ninh</t>
  </si>
  <si>
    <t>Diện tích 3.263m2; nhà lưu trú công vụ: 500m2 và các hạng mục phụ trợ khác</t>
  </si>
  <si>
    <t>363/QĐ-VKSTC-V11
11/6/2015</t>
  </si>
  <si>
    <t>Nhà làm việc Trung tâm Quản lý ĐTXD Tây Ninh</t>
  </si>
  <si>
    <t>Xây mới: 878,08m2 
và các hạng mục phụ trợ</t>
  </si>
  <si>
    <t>305/QĐ-SKHĐT 30/10/2015</t>
  </si>
  <si>
    <t>Xây dựng trụ sở làm việc Trung tâm khuyến công và tư vấn phát triển công nghiệp Tây Ninh</t>
  </si>
  <si>
    <t>Xây mới 506m2 và các hạng mục phụ trợ</t>
  </si>
  <si>
    <t>303/QĐ-SKHĐT 30/10/2015</t>
  </si>
  <si>
    <t>Chi cục quản lý thị trường (giai đoạn 4)- Hạng mục: Trụ sở làm việc đội quản lý thị trường số 8</t>
  </si>
  <si>
    <t>Xây dựng 1 trệt 1 lầu: 165,3m2 và các hạng mục phụ trợ</t>
  </si>
  <si>
    <t>254/QĐ-SKHĐT
29/10/2015</t>
  </si>
  <si>
    <t>Nguồn vốn đầu tư: Nguồn thu chống buôn lậu, hàng giả, gian lận thương mại, hàng kém chất lượng nộp vào ngân sách và ngân sách tỉnh</t>
  </si>
  <si>
    <t>Chi cục quản lý thị trường (giai đoạn 4)- Hạng mục: Trụ sở làm việc đội quản lý thị trường số 10</t>
  </si>
  <si>
    <t>Xây dựng 1 trệt 1 lầu: 
166,3m2 và các hạng mục phụ trợ</t>
  </si>
  <si>
    <t>255/QĐ-SKHĐT
29/10/2015</t>
  </si>
  <si>
    <t>Các công trình thuộc Sở Tư pháp và Trụ sở Hội luật gia-đoàn luật sư Tây Ninh</t>
  </si>
  <si>
    <t>Nhà làm việc 5 
tầng: 1628,1m2</t>
  </si>
  <si>
    <t>315/QĐ-SKHĐT 30/10/2015</t>
  </si>
  <si>
    <t xml:space="preserve">Xây mới trụ sở làm việc Hội nhà báo </t>
  </si>
  <si>
    <t>Xây 1 trệt 1 lầu: 
133,9m2</t>
  </si>
  <si>
    <t>304/QĐ-SKHĐT 30/10/2015</t>
  </si>
  <si>
    <t xml:space="preserve">Trụ sở Ban tuyên giáo Tỉnh ủy (mới) </t>
  </si>
  <si>
    <t>104/QĐ-SHKĐT
30/3/2016</t>
  </si>
  <si>
    <t>Sửa chữa nhà làm việc văn phòng Sở Nông nghiệp và Phát triển nông thôn Tây Ninh</t>
  </si>
  <si>
    <t>Sửa chữa 
nhà làm việc</t>
  </si>
  <si>
    <t>261/QĐ-SKHĐT
30/10/2015</t>
  </si>
  <si>
    <t>Sửa chữa trụ sở Đài phát thanh truyền hình Tây Ninh</t>
  </si>
  <si>
    <t>Cải tạo, 
các khối nhà cũ và xây mới nhà xe khách 96m2; nhà xe nhân viên: 48m2 và sân vườn, trang thiết bị làm việc</t>
  </si>
  <si>
    <t>316/QĐ-SKHĐT
30/10/2015</t>
  </si>
  <si>
    <t>Cải tạo trụ sở làm việc Ban quản lý Khu kinh tế tỉnh Tây Ninh</t>
  </si>
  <si>
    <t>Cải tạo các khối nhà 
cũ và xây mới hàng rào, mở rộng sân nền</t>
  </si>
  <si>
    <t>252/QĐ-SKHĐT
29/10/2015</t>
  </si>
  <si>
    <t>Sửa chữa Trung tâm bảo trợ Xã hội</t>
  </si>
  <si>
    <t>Cải tạo các khối nhà cũ</t>
  </si>
  <si>
    <t>263/QĐ-SKHĐT
30/10/2015</t>
  </si>
  <si>
    <t>Trung tâm dịch vụ việc làm Tây Ninh</t>
  </si>
  <si>
    <t>317/QĐ-SKHĐT
30/10/2015</t>
  </si>
  <si>
    <t>Sửa chữa Trụ sở làm việc Sở Tài nguyên và Môi trường</t>
  </si>
  <si>
    <t>280/QĐ-SKHĐT
30/10/2015</t>
  </si>
  <si>
    <t>Cải tạo, sửa chữa Tòa soạn Báo Tây Ninh</t>
  </si>
  <si>
    <t>Cải tạo các khối nhà cũ và xây mới nhà giao báo: 41,8m2</t>
  </si>
  <si>
    <t>274/QĐ-SKHĐT
30/10/2015</t>
  </si>
  <si>
    <t>Mở rộng nhà làm việc Sở Tư pháp</t>
  </si>
  <si>
    <t>Xây mới: nhà vệ sinh 29,6m2, nhà bếp 43,2m2; mở rộng nhà xe 80m2</t>
  </si>
  <si>
    <t>295/QĐ-SKHĐT
30/10/2015</t>
  </si>
  <si>
    <t>Xây dựng nhà vệ sinh, nhà bếp, nhà xe cơ quan Hội cựu chiến binh tỉnh</t>
  </si>
  <si>
    <t>253/QĐ-SKHĐT
29/10/2015</t>
  </si>
  <si>
    <t>Cải tạo, sửa chữa trụ sở Sở Kế hoạch và Đầu tư</t>
  </si>
  <si>
    <t xml:space="preserve">Cải tạo các khối nhà cũ,
 xây mới: nhà xe 02 bánh: 129,6m2, phòng lễ tân </t>
  </si>
  <si>
    <t>251/QĐ-SKHĐT
29/10/2015</t>
  </si>
  <si>
    <t>Sửa chữa trụ sở UBND tỉnh</t>
  </si>
  <si>
    <t>318/QĐ-SKHĐT
30/10/2015</t>
  </si>
  <si>
    <t>Sửa chữa trụ làm việc Sở Y tế</t>
  </si>
  <si>
    <t>319/QĐ-SKHĐT
30/10/2015</t>
  </si>
  <si>
    <t>Mở rộng, sửa chữa trụ sở làm việc, xây dựng nhà xe Ban Dân vận Tỉnh ủy Tây Ninh</t>
  </si>
  <si>
    <t>Cải tạo các khối nhà cũ, 
xây mới khối nhà 1 trệt 2 lầu: 159,4m2, nhà xe khách: 103m2</t>
  </si>
  <si>
    <t>296/QĐ-SKHĐT
30/10/2015</t>
  </si>
  <si>
    <t>Trụ sở Viện kiểm sát nhân dân huyện Hòa Thành</t>
  </si>
  <si>
    <t>đối ứng</t>
  </si>
  <si>
    <t>Trụ sở Viện kiểm sát nhân dân huyện Trảng Bàng</t>
  </si>
  <si>
    <t>Sửa chữa nhà công vụ tỉnh và các hạng mục phụ Văn phòng UBND</t>
  </si>
  <si>
    <t>Sửa chữa nhà công vụ tỉnh và các hạng mục phụ VP UBND tỉnh</t>
  </si>
  <si>
    <t>342/QĐ-SKHĐT
28/10/2016</t>
  </si>
  <si>
    <t>Xây dựng trụ sở Văn phòng đăng ký đất đai tỉnh Tây Ninh - chi nhánh Hòa Thành</t>
  </si>
  <si>
    <t>Xây mới trụ sở làm việc (1 trệt + 1 lầu), DTXD 520,8m2</t>
  </si>
  <si>
    <t>336/QĐ-SKHĐT
28/10/2016</t>
  </si>
  <si>
    <t>Cải tạo, sửa chữa trụ sở Sở Lao động thương binh và xã hội</t>
  </si>
  <si>
    <t>sửa chữa, cải tạo các khối nhà làm việc, nhà khách, hàng rào</t>
  </si>
  <si>
    <t>330/QĐ-SKHĐT
28/10/2016</t>
  </si>
  <si>
    <t>Sửa chữa nhà làm việc, hàng rào, kho lưu trữ, nhà xe 4 bánh Liên Minh Hợp tác xã Tây Ninh</t>
  </si>
  <si>
    <t>sửa chữa khối nhà làm việc, hàng rào, kho lưu trữ</t>
  </si>
  <si>
    <t>337/QĐ-SKHĐT
28/10/2016</t>
  </si>
  <si>
    <t>Cải tạo Trụ sở làm việc Trường Đoàn</t>
  </si>
  <si>
    <t>sửa chữa trụ sở, mua sắm TTB</t>
  </si>
  <si>
    <t>338/QĐ-SKHĐT
28/10/2016</t>
  </si>
  <si>
    <t>Xây mới trụ sở làm việc chung trạm thú y, khuyến nông, bảo vệ thực vật huyện Hòa Thành</t>
  </si>
  <si>
    <t>2 tầng, DT sàn 386m2</t>
  </si>
  <si>
    <t>321/QĐ-SKHĐT
28/10/2016</t>
  </si>
  <si>
    <t>Xây mới trụ sở làm việc chung trạm thú y, khuyến nông, bảo vệ thực vật huyện Bến Cầu</t>
  </si>
  <si>
    <t>2 tầng, DT sàn 378,6m2</t>
  </si>
  <si>
    <t>323/QĐ-SKHĐT
28/10/2016</t>
  </si>
  <si>
    <t>Xây mới trụ sở làm việc chung trạm thú y, khuyến nông, huyện Trảng Bàng</t>
  </si>
  <si>
    <t>3 tầng, DT sàn 407,55m2</t>
  </si>
  <si>
    <t>327/QĐ-SKHĐT
28/10/2016</t>
  </si>
  <si>
    <t>Xây mới trụ sở làm việc chung trạm bảo vệ thực vật, trạm khuyến nông, trạm thú y huyện Gò Dầu</t>
  </si>
  <si>
    <t>2 tầng, DT sàn 392m2</t>
  </si>
  <si>
    <t>322/QĐ-SKHĐT
28/10/2016</t>
  </si>
  <si>
    <t>Cải tạo, sửa chữa trụ sở Sở VHTTDL</t>
  </si>
  <si>
    <t>Sửa chữa, cải tạo khối nhà làm việc, xây mới khối nhà 1 cửa 28,8m2, hàng rào, sân nền, nhà kho</t>
  </si>
  <si>
    <t>334/QĐ-SKHĐT
28/10/2016</t>
  </si>
  <si>
    <t>Trụ sở các chi cục-Hội-Ban quản lý các công trình và sàn giao dịch việc làm</t>
  </si>
  <si>
    <t>KP1-phuờng1-TP Tây Ninh, tỉnh Tây Ninh</t>
  </si>
  <si>
    <t>2 khối nhà làm việc, DT sàn khối 1: 168m2, khối 2: 162m2</t>
  </si>
  <si>
    <t>319/QĐ-SKHĐT
28/10/2016</t>
  </si>
  <si>
    <t>Trụ sở làm việc Đội quản lý thị trường số 5</t>
  </si>
  <si>
    <t>Xây mới NLV, nhà xe, sân nền</t>
  </si>
  <si>
    <t>343/QĐ-SKHĐT
28/10/2016</t>
  </si>
  <si>
    <t>Xây dựng mới trụ sở làm việc Văn phòng Đoàn ĐBQH tỉnh Tây Ninh</t>
  </si>
  <si>
    <t>Trong khuôn viên trụ sở UBND tỉnh Tây Ninh</t>
  </si>
  <si>
    <t>1 tầng hầm, 1 tầng trệt, 1 tầng lầu</t>
  </si>
  <si>
    <t>Xây mới trụ sở Thanh tra tỉnh</t>
  </si>
  <si>
    <t>479/QĐ-UBND
27/10/2017</t>
  </si>
  <si>
    <t>Xây mới trụ sở làm việc chung Trạm trồng trọt - bảo vệ thực vật, khuyến nông, chăn nuôi - thú y huyện Dương Minh Châu</t>
  </si>
  <si>
    <t>Xây mới trụ sở làm việc chung Trạm trồng trọt - bảo vệ thực vật, khuyến nông, chăn nuôi - thú y huyện Tân Châu</t>
  </si>
  <si>
    <t>Xây dựng trụ sở Văn phòng đăng ký đất đai tỉnh Tây Ninh - chi nhánh TP Tây Ninh</t>
  </si>
  <si>
    <t>502/QĐ-UBND
30/10/2017</t>
  </si>
  <si>
    <t xml:space="preserve">Trụ sở làm việc Trung tâm dịch vụ đối ngoại và Liên hiệp các tổ chức hữu nghị </t>
  </si>
  <si>
    <t>Nâng cấp cải tạo trụ sở Sở Khoa học và Công nghệ</t>
  </si>
  <si>
    <t>Nâng cấp cải tạo trụ sở Sở Giáo dục và Đào tạo</t>
  </si>
  <si>
    <t>495/QĐ-SKHĐT
27/10/2017</t>
  </si>
  <si>
    <t>Nâng cấp trụ sở làm việc Văn phòng Chi cục bảo vệ thực vật</t>
  </si>
  <si>
    <t>Hàng rào trung tâm khuyến nông</t>
  </si>
  <si>
    <t>Hàng rào xung quanh trụ sở làm việc BQL rừng phòng hộ Dầu Tiếng</t>
  </si>
  <si>
    <t>412/QĐ-SKHĐT
29/10/2012</t>
  </si>
  <si>
    <t>Nhà làm việc trạm bảo vệ thực vật TP.TN</t>
  </si>
  <si>
    <t>Nhà tập thể cho cán bộ, nhân viên BQL rừng phòng hộ Dầu Tiếng</t>
  </si>
  <si>
    <t>Sửa chữa nhà làm việc Chi cục Kiểm lâm</t>
  </si>
  <si>
    <t>Bổ sung mới</t>
  </si>
  <si>
    <t>Hệ thống thu gom và xử lý nước thải thành phố Tây Ninh</t>
  </si>
  <si>
    <t>5.000 m3/ngđ</t>
  </si>
  <si>
    <t>835/QĐ-UBND
12/4/2017</t>
  </si>
  <si>
    <t>DA ODA; phần vốn đối ứng - NS tỉnh 93,69 tỷ đồng: trước mắt bố trí 20 tỷ đồng, phần còn lại sẽ cân đối bố trí từ các nguồn: vốn phát triển quỹ đất, vay vốn SX Tỉnh ủy; quỹ phát triển đầu tư và vốn tăng thu</t>
  </si>
  <si>
    <t>Tăng cường quản lý đất đai và cơ sở dữ liệu quản lý đất đai trên địa bàn tỉnh Tây Ninh (VILG)</t>
  </si>
  <si>
    <t>3159/QĐ-UBND
12/12/2016</t>
  </si>
  <si>
    <t>Bổ sung - DA sử dụng vốn ODA</t>
  </si>
  <si>
    <t>C</t>
  </si>
  <si>
    <t>Dự phòng (còn lại)</t>
  </si>
  <si>
    <t>D</t>
  </si>
  <si>
    <t>Tỉnh quản lý</t>
  </si>
  <si>
    <t>Vốn thừa do cắt giảm + khong thực hiện</t>
  </si>
  <si>
    <t>Vốn bổ sung</t>
  </si>
  <si>
    <t>XSKT</t>
  </si>
  <si>
    <t>Vốn cần bổ sung do bổ sung DA mới và tăng vốn thực hiện</t>
  </si>
  <si>
    <t>DP</t>
  </si>
  <si>
    <t>chênh lệch</t>
  </si>
  <si>
    <t>TONG</t>
  </si>
  <si>
    <t>huyện quản lý</t>
  </si>
  <si>
    <r>
      <t xml:space="preserve">Lũy kế số vốn đã bố trí từ khởi công đến hết năm 2015 </t>
    </r>
    <r>
      <rPr>
        <vertAlign val="superscript"/>
        <sz val="13"/>
        <rFont val="Times New Roman"/>
        <family val="1"/>
      </rPr>
      <t>(*)</t>
    </r>
  </si>
  <si>
    <r>
      <t>Diện tích xây dựng 250,60m</t>
    </r>
    <r>
      <rPr>
        <vertAlign val="superscript"/>
        <sz val="13"/>
        <rFont val="Times New Roman"/>
        <family val="1"/>
      </rPr>
      <t>2</t>
    </r>
    <r>
      <rPr>
        <sz val="13"/>
        <rFont val="Times New Roman"/>
        <family val="1"/>
      </rPr>
      <t>. Nhà ăn, nhà bếp, ký túc xá, phòng chức năng, mở rộng giải tỏa đền bù (7.500m</t>
    </r>
    <r>
      <rPr>
        <vertAlign val="superscript"/>
        <sz val="13"/>
        <rFont val="Times New Roman"/>
        <family val="1"/>
      </rPr>
      <t>2</t>
    </r>
    <r>
      <rPr>
        <sz val="13"/>
        <rFont val="Times New Roman"/>
        <family val="1"/>
      </rPr>
      <t>)</t>
    </r>
  </si>
  <si>
    <r>
      <t>DTXD: 479,22m</t>
    </r>
    <r>
      <rPr>
        <vertAlign val="superscript"/>
        <sz val="12"/>
        <rFont val="Times New Roman"/>
        <family val="1"/>
      </rPr>
      <t>2</t>
    </r>
    <r>
      <rPr>
        <sz val="12"/>
        <rFont val="Times New Roman"/>
        <family val="1"/>
      </rPr>
      <t>;1 trệt, 2 lầu, kết cấu BTCT và các công trình phụ trợ</t>
    </r>
  </si>
  <si>
    <t>Điều chỉnh NSĐP</t>
  </si>
  <si>
    <t>Kế hoạch trung hạn giai đoạn 2016-2020 của địa phương sau ĐC</t>
  </si>
  <si>
    <t>299/QĐ-SKHĐT
30/10/2015; 594/QĐ-SKHĐT 14/12/2017</t>
  </si>
  <si>
    <t>1434/QĐ-UBND 05/6/2018</t>
  </si>
  <si>
    <t>68/NQ-HĐND 11/9/2018</t>
  </si>
  <si>
    <t>293/QĐ-SKHĐT
30/10/2015; 558/QĐ-SKHĐT 22/11/2017</t>
  </si>
  <si>
    <t>488/QĐ-SKHĐT 27/10/2018</t>
  </si>
  <si>
    <t xml:space="preserve">339/QĐ-SKHĐT
28/10/2016; </t>
  </si>
  <si>
    <t>Nâng cấp đường liên xã Phước Trạch - Hiệp Thạnh - Phước Thạnh</t>
  </si>
  <si>
    <t>SỬA ĐỔI, BỔ SUNG DANH MỤC DỰ ÁN DỰ KIẾN BỐ TRÍ  KẾ HOẠCH ĐẦU TƯ CÔNG TRUNG HẠN GIAI ĐOẠN 2016-2020 NGUỒN VỐN TỈNH QUẢN LÝ 
KÈM THEO CÁC NGHỊ QUYẾT SỐ: 11/2017/NQ-HĐND NGÀY 13 THÁNG 7 NĂM 2017 VÀ 06/2018/NQ-HĐND NGÀY 29 THÁNG 3 NĂM 2018 CỦA HỘI ĐỒNG NHÂN DÂN TỈNH TÂY NINH</t>
  </si>
  <si>
    <t>Lý do bổ sung/ cắt giảm vốn</t>
  </si>
  <si>
    <t xml:space="preserve">Bổ sung từ nguồn tăng thu ngân sách tỉnh 2017 là 31,2 tỷ đồng </t>
  </si>
  <si>
    <t>Tăng đền bù (bổ sung từ nguồn tăng thu ngân sách tỉnh 2017 là 18,8 tỷ đồng)</t>
  </si>
  <si>
    <t>Kế hoạch trung hạn giai đoạn 2016-2020 của địa phương (theo NQ số 06)</t>
  </si>
  <si>
    <t>Bổ sung DA (bổ sung từ nguồn dự phòng KH trung hạn là 20 tỷ đồng)</t>
  </si>
  <si>
    <t>(89.313, DPP: 21.922) gđ 1: TMĐT: 59.386, DPP: 15.060</t>
  </si>
  <si>
    <t>Trung tâm giáo dục nghề nghiệp - GDTX huyện Hòa Thành</t>
  </si>
  <si>
    <t>Thay đổi tên DA</t>
  </si>
  <si>
    <t>Điều chỉnh thời gian thực hiện và bổ sung KH vốn</t>
  </si>
  <si>
    <t>Giảm KH vốn do thay đổi quy mô DA</t>
  </si>
  <si>
    <t>Bổ sung vốn để đẩy nhanh tiến độ thực hiện DA</t>
  </si>
  <si>
    <t>Giảm KH vốn cho phù hợp điều kiện thực tế</t>
  </si>
  <si>
    <t>Bổ sung vốn do đã sử dụng hết KHV được giao là 35 tỷ đồng</t>
  </si>
  <si>
    <t>Bổ sung vốn để QT</t>
  </si>
  <si>
    <t>ấp Thạnh Hòa</t>
  </si>
  <si>
    <t>Đường Thạnh Đông 14 ấp Thạnh Hòa</t>
  </si>
  <si>
    <t>xã Tân Hiệp</t>
  </si>
  <si>
    <t>Đường BTXM cặp văn phòng ấp Tân Trường, xã Tân Hiệp (Thi.19)</t>
  </si>
  <si>
    <t>ấp Tân Lợi</t>
  </si>
  <si>
    <t>Nâng cấp đường tổ 12 ấp Tân Lợi</t>
  </si>
  <si>
    <t>Xã Tân Hội</t>
  </si>
  <si>
    <t>Đường số 3-3 (đường trục ấp) xã Tân Hội</t>
  </si>
  <si>
    <t>Điều chỉnh TMĐT</t>
  </si>
  <si>
    <t>5km bê tông nhựa 5cm, trục chính mặt 5m, còn lại 3,5m, lề 1mx2 bên</t>
  </si>
  <si>
    <t>thị trấn TC</t>
  </si>
  <si>
    <t>Đường giao thông nội thị giai đoạn 2</t>
  </si>
  <si>
    <t>5210/QĐ-UBND 28/10/2016</t>
  </si>
  <si>
    <r>
      <t>Xây mới trụ sở làm việc với diện tích 908 m</t>
    </r>
    <r>
      <rPr>
        <vertAlign val="superscript"/>
        <sz val="13"/>
        <color theme="1"/>
        <rFont val="Times New Roman"/>
        <family val="1"/>
      </rPr>
      <t>2</t>
    </r>
    <r>
      <rPr>
        <sz val="13"/>
        <color theme="1"/>
        <rFont val="Times New Roman"/>
        <family val="1"/>
      </rPr>
      <t>, trong đó diện tích làm việc 438,7m</t>
    </r>
    <r>
      <rPr>
        <vertAlign val="superscript"/>
        <sz val="13"/>
        <color theme="1"/>
        <rFont val="Times New Roman"/>
        <family val="1"/>
      </rPr>
      <t>2</t>
    </r>
    <r>
      <rPr>
        <sz val="13"/>
        <color theme="1"/>
        <rFont val="Times New Roman"/>
        <family val="1"/>
      </rPr>
      <t>; xây mới nhà xe nhân viên, xe khách; sân nền, đường nội bộ; bố trí trạm hạ thế 50kVA; mua sắm trang thiết bị làm việc.</t>
    </r>
  </si>
  <si>
    <t>xã Suối Ngô</t>
  </si>
  <si>
    <t>Xây dựng mới trụ sở UBND xã Suối Ngô.</t>
  </si>
  <si>
    <r>
      <t>Xây mới trụ sở làm việc với diện tích 820m</t>
    </r>
    <r>
      <rPr>
        <vertAlign val="superscript"/>
        <sz val="13"/>
        <color theme="1"/>
        <rFont val="Times New Roman"/>
        <family val="1"/>
      </rPr>
      <t>2</t>
    </r>
    <r>
      <rPr>
        <sz val="13"/>
        <color theme="1"/>
        <rFont val="Times New Roman"/>
        <family val="1"/>
      </rPr>
      <t>, trong đó diện tích làm việc 428,4m</t>
    </r>
    <r>
      <rPr>
        <vertAlign val="superscript"/>
        <sz val="13"/>
        <color theme="1"/>
        <rFont val="Times New Roman"/>
        <family val="1"/>
      </rPr>
      <t>2</t>
    </r>
    <r>
      <rPr>
        <sz val="13"/>
        <color theme="1"/>
        <rFont val="Times New Roman"/>
        <family val="1"/>
      </rPr>
      <t>; xây mới nhà xe nhân viên, xe khách; sân nền, đường nọi bộ; bố trí trạm hạ thế 50kVA; mua sắm trang thiết bị làm việc.</t>
    </r>
  </si>
  <si>
    <t>xã Tân Hà</t>
  </si>
  <si>
    <t>Xây dựng mới trụ sở UBND xã Tân Hà.</t>
  </si>
  <si>
    <t>5290a/QĐ-UBND 28/10/2017</t>
  </si>
  <si>
    <t>2017</t>
  </si>
  <si>
    <t>Dặm vá, sửa chữa đường sỏi đỏ với tổng chiều dài tuyến 3.250 mét, mặt đường rộng 5 mét</t>
  </si>
  <si>
    <t>xã Tân Hội</t>
  </si>
  <si>
    <t>Đường 34-34</t>
  </si>
  <si>
    <t>5291a/QĐ-UBND 28/10/2017</t>
  </si>
  <si>
    <t>Sửa chữa, nâng cấp đường sỏi đỏ với tổng chiều dài tuyến 1.250 mét, mặt đường rộng 5 mét</t>
  </si>
  <si>
    <t>xã Tân Phú</t>
  </si>
  <si>
    <t>Sửa chữa nâng cấp đường Th.827 (đường ĐH.03 cũ).</t>
  </si>
  <si>
    <t>5293a/QĐ-UBND 28/10/2017</t>
  </si>
  <si>
    <t>Dặm vá, sửa chữa đường sỏi đỏ với tổng chiều dài tuyến 7.300 mét, mặt đường rộng 5 mét</t>
  </si>
  <si>
    <t>xaã Tân Hòa</t>
  </si>
  <si>
    <t>Đường ĐH.807 (đường thanh niên).</t>
  </si>
  <si>
    <t>5289a/QĐ-UBND 28/10/2017</t>
  </si>
  <si>
    <t xml:space="preserve">Ban gạt, đắp đất nâng cao mặt đường đối với một số tuyến trũng thấp </t>
  </si>
  <si>
    <t>xã Tân Hưng</t>
  </si>
  <si>
    <t>Sửa chữa 09 tuyến đường GTNT xã Tân Hưng (THU.91, THU.92, THU.93, THU.94, THU.95, THU.96, THU.97, THU.98, THU.99).</t>
  </si>
  <si>
    <t>2503/QĐ-UBND 28/10/2015</t>
  </si>
  <si>
    <t>L=7.326mN; bmđ=3,5m, bnđ=6,5m</t>
  </si>
  <si>
    <t>xã Tân Thành</t>
  </si>
  <si>
    <t>Đường N4 -Tân Thành</t>
  </si>
  <si>
    <t>2502/QĐ-UBND 28/10/2015</t>
  </si>
  <si>
    <t>L=6.461mN; bmđ=3,5m, bnđ=6,5m</t>
  </si>
  <si>
    <t>xã Tân Đông</t>
  </si>
  <si>
    <t>Đường Tầm phô- Sân bay (ĐH812)</t>
  </si>
  <si>
    <t>2198/QĐ-UBND 31/10/2014</t>
  </si>
  <si>
    <t>2014-2015</t>
  </si>
  <si>
    <t xml:space="preserve"> xã Tân Hà</t>
  </si>
  <si>
    <t>Khu dân cư số 2 ấp Tân Lâm xã Tân Hà-Đầu tư đường giao thông nông thôn nội bộ cho khu dân cư</t>
  </si>
  <si>
    <t>1285/QĐ-UBND 16/7/2014</t>
  </si>
  <si>
    <t>Nhà bia liệt sĩ xã Tân Đông</t>
  </si>
  <si>
    <t>2180/QĐ-UBND 31/10/2014</t>
  </si>
  <si>
    <t>xã Suối Dây</t>
  </si>
  <si>
    <t>Đường ấp 6 -Suối Dây</t>
  </si>
  <si>
    <t>2226/QĐ-UBND 30/10/2014</t>
  </si>
  <si>
    <t>2.975m2</t>
  </si>
  <si>
    <t>xã Tân Đông</t>
  </si>
  <si>
    <t>Trường MG Tân Đông</t>
  </si>
  <si>
    <t>2182/QĐ-UBND 31/10/2013</t>
  </si>
  <si>
    <t>16 phòng</t>
  </si>
  <si>
    <t>xã Tân Hiệp</t>
  </si>
  <si>
    <t>Trạm Y tế xã Tân Hiệp</t>
  </si>
  <si>
    <t>HUYỆN TÂN CHÂU</t>
  </si>
  <si>
    <t>Bổ sung DA mới</t>
  </si>
  <si>
    <t>Nâng cấp Đường Thạnh Tây - Hòa Hiệp ( K1+300 đến K3+060)</t>
  </si>
  <si>
    <t>Thị trấn</t>
  </si>
  <si>
    <t>Trường mẫu giáo 2-9</t>
  </si>
  <si>
    <t>Đồn Công an thị trấn Tân Biên</t>
  </si>
  <si>
    <t>Tân Phong</t>
  </si>
  <si>
    <t>Trụ sở làm việc công an, xã đội xã Tân Phong</t>
  </si>
  <si>
    <t>Trà Vong</t>
  </si>
  <si>
    <t>Trụ sở làm việc UBND xã Tân Bình</t>
  </si>
  <si>
    <t>Trụ sở làm việc UBND Thị trấn</t>
  </si>
  <si>
    <t>4km láng nhựa</t>
  </si>
  <si>
    <t>Thanh Tây, Hòa Hiệp</t>
  </si>
  <si>
    <t>Đường ngã ba cây sến Thạnh Tây - Hòa Hiệp</t>
  </si>
  <si>
    <t>4,259km láng nhựa, bmđ=3,5m</t>
  </si>
  <si>
    <t>Liên xã</t>
  </si>
  <si>
    <t>Đường Cần Đăng - Trảng Dòng (tuyến tránh cụm 3- dân sinh ra hướng bến 5 Chỉ)</t>
  </si>
  <si>
    <t>3254/QĐ-UBND
27/10/2016</t>
  </si>
  <si>
    <t>4,7km láng nhựa, bmđ=3,5m</t>
  </si>
  <si>
    <t>Đường liên xã Thạnh Tây - Tân Bình</t>
  </si>
  <si>
    <t>3207/QĐ-UBND
21/10/2016</t>
  </si>
  <si>
    <t>5,137kmN, bmđ=3,5m</t>
  </si>
  <si>
    <t>Xã Mỏ Công</t>
  </si>
  <si>
    <t>Đường Thanh An xã Mỏ Công</t>
  </si>
  <si>
    <t>1038/QĐ-UBND
28/10/2015</t>
  </si>
  <si>
    <t>2.700m, mặt đường 6m
 BT nhựa</t>
  </si>
  <si>
    <t>Nâng cấp Đường Thạnh Tây - Hòa Hiệp ( K7+100 - K9+800)</t>
  </si>
  <si>
    <t>1143/QĐ-UBND 
30/10/2014</t>
  </si>
  <si>
    <t>Nâng cấp đường Thạnh Tây - Hòa Hiệp</t>
  </si>
  <si>
    <t>Thanh toán khối lượng đã và đang thực hiện</t>
  </si>
  <si>
    <t>HUYỆN TÂN BIÊN</t>
  </si>
  <si>
    <t xml:space="preserve">Xây dựng các hạng mục Trung tâm văn hóa huyện (nhà thi đấu, nhà hát, hồ bơi, đường nội bộ và đường vào TTVH) </t>
  </si>
  <si>
    <t xml:space="preserve"> Dự án dự kiến hoàn thành sau năm 2020</t>
  </si>
  <si>
    <t>L=5000mN; bmđ=3,5m</t>
  </si>
  <si>
    <t>Nhựa hóa tuyến đường từ ấp Xóm Lò đi Bàu Tràm Nhỏ</t>
  </si>
  <si>
    <t>L=2606mN; bmđ=6m</t>
  </si>
  <si>
    <t>Nhựa hóa tuyến đường từ ấp Bàu Tràm Lớn đi ấp Bàu Tép (HBC14 đến HBC02)</t>
  </si>
  <si>
    <t>Xây dựng khối nhà diện tích 350m2; sân nền, hàng rào</t>
  </si>
  <si>
    <t>Trụ sở làm việc Ban chỉ huy quân sự xã Lợi Thuận</t>
  </si>
  <si>
    <t>Xây dựng 03 phòng học chức năng sinh, hóa, lý. DT sàn 352m2</t>
  </si>
  <si>
    <t>Xây dựng 03 phòng học lầu trường THCS Tiên Thuận</t>
  </si>
  <si>
    <t>L=2306m; bmđ=3,5m, bnđ=5m</t>
  </si>
  <si>
    <t>Láng nhựa tuyến đường 1075-KP4-TTBC (từ nhà ông 6 Cửa đến thi hành án)</t>
  </si>
  <si>
    <t>L=3992m; bmđ=3,5m, bnđ=5m</t>
  </si>
  <si>
    <t>Láng nhựa đường HBC05 (từ ngã ba cao su đến ranh Ninh Điền)</t>
  </si>
  <si>
    <t xml:space="preserve">Xây mới 4 phòng làm việc và phòng chức năng (324m2); hệ thống cấp thoát nước, chống sét,  cấp điện
</t>
  </si>
  <si>
    <t xml:space="preserve">Xây dựng 04 phòng làm việc và chức năng (02 trệt, 02 lầu) Trường THCS xã Long Chữ </t>
  </si>
  <si>
    <t>L=644m; bmđ=3,5m, bnđ=5m</t>
  </si>
  <si>
    <t>Nhựa hóa tuyến đường Long Chữ 10 (từ Văn phòng ấp Long Thạnh đến Bến Cây Trám)</t>
  </si>
  <si>
    <t>L=1101m; bmđ=3,5m, bnđ=5m</t>
  </si>
  <si>
    <t>Nhựa hóa đường An Thạnh 3 (đoạn từ nhà ông Trai đến bến ông Kiểm) xã An Thạnh</t>
  </si>
  <si>
    <t>L=875m; bmđ=3,5m, bnđ=5m</t>
  </si>
  <si>
    <t>Nhựa hóa đường Tiên Thuận 15</t>
  </si>
  <si>
    <t>L=1256m; bmđ=3,5m, bnđ=5m</t>
  </si>
  <si>
    <t>Nâng cấp tuyến đường từ TL786 đi Bàu Tượng ấp Long Giao</t>
  </si>
  <si>
    <t>L=1471m; bmđ=3,5m, bnđ=6,5m</t>
  </si>
  <si>
    <t>Láng nhựa tuyến đường Long Giang 8 (điểm đầu đường LG-LP điểm cuối giáp đường Bàu Nổ-Long Tân)</t>
  </si>
  <si>
    <t>L=1419m; bmđ=3,5m, bnđ=5m</t>
  </si>
  <si>
    <t>Sỏi phún tuyến đường LC07 (đoạn từ Thánh Thất Long Chữ đi Hố Đồn)</t>
  </si>
  <si>
    <t>3162/QĐ-UBND 
26/10/2015</t>
  </si>
  <si>
    <t>2.021m</t>
  </si>
  <si>
    <t xml:space="preserve">Thị trấn Bến Cầu </t>
  </si>
  <si>
    <t>Láng nhựa tuyến đường từ trường TH Thị trấn đến công ty Mai Linh</t>
  </si>
  <si>
    <t>3153/QĐ-UBND 
26/10/2015</t>
  </si>
  <si>
    <t>335,32m2</t>
  </si>
  <si>
    <t>xã Long Chữ</t>
  </si>
  <si>
    <t>Xây dựng 04 phòng làm việc và  chức năng (02 trệt, 02 lầu) Trường THCS xã Long Chữ</t>
  </si>
  <si>
    <t>1927/QĐ-UBND 
23/9/2013</t>
  </si>
  <si>
    <t>893,2m2</t>
  </si>
  <si>
    <t>xã An Thạnh</t>
  </si>
  <si>
    <t>Trụ sở làm việc UBND xã An Thạnh</t>
  </si>
  <si>
    <t>2942/QĐ-UBND 
29/10/2014</t>
  </si>
  <si>
    <r>
      <t xml:space="preserve">Láng nhựa đường vào trường TH Thị trấn Bến Cầu </t>
    </r>
    <r>
      <rPr>
        <i/>
        <sz val="14"/>
        <color indexed="10"/>
        <rFont val="Times New Roman"/>
        <family val="1"/>
      </rPr>
      <t/>
    </r>
  </si>
  <si>
    <t>HUYỆN BẾN CẦU</t>
  </si>
  <si>
    <t>4234/QĐ-UBND 23/10/2017</t>
  </si>
  <si>
    <t>Láng nhựa đường liên xã Phước Thạnh - Hiệp Thạnh</t>
  </si>
  <si>
    <t>6211md</t>
  </si>
  <si>
    <t>Nâng cấp, mở rộng đường Hương Lộ 1 (điểm đầu đường Hùng Vương, điểm cuối đường 782)</t>
  </si>
  <si>
    <t>4613/QĐ-UBND 30/10/2017</t>
  </si>
  <si>
    <t>Hệ thống chiếu sáng đường Lê Hồng Phong</t>
  </si>
  <si>
    <t>4614/QĐ-UBND 30/10/2017</t>
  </si>
  <si>
    <t>Hệ thống chiếu sáng đường đến trung tâm xã Bàu Đồn</t>
  </si>
  <si>
    <t>739/QĐ-UBND 28/10/2016</t>
  </si>
  <si>
    <t>Nâng cấp mở rộng đường Phước Thạnh (điểm đầu cầu Phước Thạnh - điểm cuối ngã ba Phước Thạnh)</t>
  </si>
  <si>
    <t>Vốn hỗ trợ phát triển TP, TX 15 tỷ đồng</t>
  </si>
  <si>
    <t>348/QĐ-SKHĐT 28/10/2016</t>
  </si>
  <si>
    <t>Xây mới các khối nhà và các hạng mục phụ … nâng cấp các tuyến đường xung quanh chợ</t>
  </si>
  <si>
    <t>Thị trấn Gò Dầu</t>
  </si>
  <si>
    <t>Nâng cấp cơ sở hạ tầng chợ Gò Dầu</t>
  </si>
  <si>
    <t>809/QĐ-UBND
30/10/2015</t>
  </si>
  <si>
    <t>L=2.620mN, bmđ=6m</t>
  </si>
  <si>
    <t>Xã Thạnh Đức</t>
  </si>
  <si>
    <t>Láng nhựa đường vào khu di tích lịch sử Năm Trại</t>
  </si>
  <si>
    <t>746/QĐ-UBND
30/10/2015</t>
  </si>
  <si>
    <t>2016</t>
  </si>
  <si>
    <t>L=2.834,9mN, bmđ=3,5m</t>
  </si>
  <si>
    <t>Hiệp Thạnh</t>
  </si>
  <si>
    <t>Láng nhựa đường Cầu Thí-Cây Da</t>
  </si>
  <si>
    <t>813/QĐ-UBND
30/10/2015</t>
  </si>
  <si>
    <t>Xây mới khối nhà làm việc chính (921,9m2); hội trường 150 chỗ; cải tạo nhà làm việc công an xã; các hạng mục phụ</t>
  </si>
  <si>
    <t>xã Thanh Phước</t>
  </si>
  <si>
    <t xml:space="preserve">Trụ sở Đảng ủy, HĐND - UBND xã Thanh Phước </t>
  </si>
  <si>
    <t>290/QĐ-SKHĐT
31/10/2014</t>
  </si>
  <si>
    <t>Xã Bàu Đồn</t>
  </si>
  <si>
    <t>Đường đến trung tâm xã Bàu Đồn</t>
  </si>
  <si>
    <t>283/QĐ-SKHĐT
 28/10/2013</t>
  </si>
  <si>
    <t xml:space="preserve">Trụ sở làm việc Huyện ủy Gò Dầu </t>
  </si>
  <si>
    <t>HUYỆN GÒ DẦU</t>
  </si>
  <si>
    <t>3000m</t>
  </si>
  <si>
    <t>An Tịnh - Lộc Hưng</t>
  </si>
  <si>
    <t xml:space="preserve">Đường Cây Dương </t>
  </si>
  <si>
    <t>1900m</t>
  </si>
  <si>
    <t>Láng nhưa Đường đình Phước Hậu</t>
  </si>
  <si>
    <t>4000m</t>
  </si>
  <si>
    <t>Nâng cấp đường HL2</t>
  </si>
  <si>
    <t>5800m</t>
  </si>
  <si>
    <t>Nâng cấp đường cầu xe (đường CMMN)</t>
  </si>
  <si>
    <t xml:space="preserve">                                                                   </t>
  </si>
  <si>
    <t>5632/QĐ-UBND 31/10/2017</t>
  </si>
  <si>
    <t xml:space="preserve">Lcầu= 33,9 mét; b= 10 mét; tải trọng thiết kế HL93. 
Lđ=197,77m; bnđ=9 m; bmđ=8 m, cấp cao A2. </t>
  </si>
  <si>
    <t>Cầu bắc qua kênh Đông (HL12)</t>
  </si>
  <si>
    <t>5631/QĐ-UBND 31/10/2017</t>
  </si>
  <si>
    <t xml:space="preserve">L=33,9m; b= 10m; tải trọng thiết kế HL93. 
- Phần đường dẫn dài 164,95 mét; nền đường 9 mét; mặt đường 8 mét, cấp cao A2. </t>
  </si>
  <si>
    <t>Cầu bắc qua kênh Đông (đường Lộc Phước - sông Lô)</t>
  </si>
  <si>
    <t>5187/QĐ-UBND
25/10/2017</t>
  </si>
  <si>
    <t xml:space="preserve">L=33,9m; b=10 mét; tải trọng thiết kế HL93. 
</t>
  </si>
  <si>
    <t>Cầu qua Kênh Đông tại km21+ 440</t>
  </si>
  <si>
    <t>108/QĐ-SKHĐT 31/03/2016</t>
  </si>
  <si>
    <t>Xây mới 16 phòng học</t>
  </si>
  <si>
    <t>TT Trảng Bàng</t>
  </si>
  <si>
    <t>Trường mầm non Trảng Bàng</t>
  </si>
  <si>
    <t>4370/QĐ-UBND
30/10/2015</t>
  </si>
  <si>
    <t>3.231 mN, bmđ=3.5m, lề 2x1.5m</t>
  </si>
  <si>
    <t>xã Lộc Hưng - Trung Hưng</t>
  </si>
  <si>
    <t>Nhựa đường Liên xã Lộc Hưng (Cây Dương) - Trung Hưng Củ Chi</t>
  </si>
  <si>
    <t>HUYỆN TRẢNG BÀNG</t>
  </si>
  <si>
    <t>8.000m</t>
  </si>
  <si>
    <t>Đường nối trung tâm hai xã Phước Ninh - Phước Minh (ĐH9)</t>
  </si>
  <si>
    <t>BS DA mới</t>
  </si>
  <si>
    <t>2.672m</t>
  </si>
  <si>
    <t>Đường trục chính xã Truông Mít</t>
  </si>
  <si>
    <t>Kênh tiêu Bàu Cối - Kênh Tây, hạng mục bờ kè thượng và hạ lưu cầu Xa Cách (giai đoạn 2)</t>
  </si>
  <si>
    <t>8.2</t>
  </si>
  <si>
    <t>Kênh tiêu Bàu Cối - Kênh Tây, hạng mục bờ kè thượng và hạ lưu cầu Xa Cách (giai đoạn 1)</t>
  </si>
  <si>
    <t>8.1</t>
  </si>
  <si>
    <t>Kênh tiêu Bàu Cối - Kênh Tây, hạng mục bờ kè thượng và hạ lưu cầu Xa Cách</t>
  </si>
  <si>
    <t>3930/QĐ-UBND
31/10/2016</t>
  </si>
  <si>
    <t>1,8kmN</t>
  </si>
  <si>
    <t>Đường ĐH 13 (đoạn đầu từ đường ĐT 781 - nghĩa trang liên xã Suối Đá, Phan, Thị trấn)</t>
  </si>
  <si>
    <t>2787/QĐ-UBND
28/10/2016</t>
  </si>
  <si>
    <t>Đường nối trung tâm hành chính xã Suối Đá với trung tâm hành chính huyện (ĐH10)</t>
  </si>
  <si>
    <t>2464/QĐ-UBND
19/7/2016</t>
  </si>
  <si>
    <t>Cống qua kênh K1+425 TN1</t>
  </si>
  <si>
    <t>4443/QĐ-UBND 
22/10/2015</t>
  </si>
  <si>
    <t>1.398m</t>
  </si>
  <si>
    <t xml:space="preserve"> Đường Tầm Lanh -Truông Mít</t>
  </si>
  <si>
    <t>4947/QĐ-UBND 
02/10/2014</t>
  </si>
  <si>
    <t>1.586,7m</t>
  </si>
  <si>
    <t>Nhựa hóa tuyến đường vào xóm dân tộc</t>
  </si>
  <si>
    <t>2640/QĐ-SKHĐT 
29/10/2014</t>
  </si>
  <si>
    <t>Đường nối trung tâm 2 xã Cầu Khởi -Lộc Ninh</t>
  </si>
  <si>
    <t>3204/QĐ-UBND 
13/6/2013 (điều chỉnh)</t>
  </si>
  <si>
    <t xml:space="preserve">Xây mới Trụ sở huyện ủy Dương Minh Châu </t>
  </si>
  <si>
    <t>1</t>
  </si>
  <si>
    <t>HUYỆN DƯƠNG MINH CHÂU</t>
  </si>
  <si>
    <t>Chuyển cho Sở GTVT thực hiện từ nguồn vốn tỉnh quản lý</t>
  </si>
  <si>
    <t>Đường huyện 12- xã Biên Giới huyện Châu Thành</t>
  </si>
  <si>
    <t>477/QĐ-UBND 28/10/2016</t>
  </si>
  <si>
    <t>Long Vĩnh</t>
  </si>
  <si>
    <t>Đường huyện 25 (từ ĐT đến khu di tích cơ sở đảng đầu tiên Giồng Nần)</t>
  </si>
  <si>
    <t>386/QĐ-UBND, 30/10/2017</t>
  </si>
  <si>
    <t>1.000 m</t>
  </si>
  <si>
    <t>Đường nội đồng từ nhà ông Nhiều đến nhà bà Vân</t>
  </si>
  <si>
    <t>Bổ sung DA - DNTT Hải Đăng Khoa góp 30% vốn đầu tư (có BB xác nhận với UBND xã)</t>
  </si>
  <si>
    <t>385/QĐ-UBND, 30/10/2017</t>
  </si>
  <si>
    <t>2.500 m</t>
  </si>
  <si>
    <t>Đường số 1 ấp Long Châu - Đường Long Vĩnh 12</t>
  </si>
  <si>
    <t>486/QĐ-UBND, 28/10/2016</t>
  </si>
  <si>
    <t>Hảo Đước</t>
  </si>
  <si>
    <t>Đường tổ 13-14 ấp Bình Lợi xã Hảo Đước</t>
  </si>
  <si>
    <t>63/QĐ-UBND, 24/03/2016</t>
  </si>
  <si>
    <t>3.224m</t>
  </si>
  <si>
    <t>Kênh thoát nước ấp sân lễ Cầu Trường ra kênh tiêu T13C xã Hảo Đước</t>
  </si>
  <si>
    <t>498/QĐ-UBND, 28/10/2016</t>
  </si>
  <si>
    <t>178,1m2</t>
  </si>
  <si>
    <t>Thị trấn</t>
  </si>
  <si>
    <t>Nâng cấp, cải tạo trụ sở chính UBND huyện Châu Thành</t>
  </si>
  <si>
    <t>375QĐ-UBND, 29/09/2017</t>
  </si>
  <si>
    <t>406m2</t>
  </si>
  <si>
    <t>Xây mới nhà khách, nhà ăn, nhà bếp và kho lưu trữ huyện ủy Châu Thành</t>
  </si>
  <si>
    <t>457QĐ-UBND, 24/10/2015</t>
  </si>
  <si>
    <t>Nâng cấp, sửa chữa nhà tưởng niệm căn cứ huyện ủy</t>
  </si>
  <si>
    <t>ĐC TMĐT</t>
  </si>
  <si>
    <t>491/QĐ-UBND 28/10/2016</t>
  </si>
  <si>
    <t>nâng cấp</t>
  </si>
  <si>
    <t>Nâng cấp trụ sở UBND xã Phước Vinh</t>
  </si>
  <si>
    <t>500/QĐ-UBND
26/10/2016; 100/QĐ-UBND 26/4/2017 (đc)</t>
  </si>
  <si>
    <t>3070m</t>
  </si>
  <si>
    <t>Xây dựng Hội trường 250 chỗ Ban Chỉ huy quân sự huyện Châu Thành</t>
  </si>
  <si>
    <t>377/QĐ-UBND 27/9/2013; 548/QĐ-UBND 
30/10/2013 (đc); 292/QĐ-UBND 04/8/2016 (đc); 472/QĐ-UBND 16/11/2017 (đc)</t>
  </si>
  <si>
    <t>Nâng cấp Trụ sở UBND xã Thanh Điền</t>
  </si>
  <si>
    <t>186/QĐ-UBND 14/7/2015;
2051/QĐ-UBND 
27/10/2015 (đc); 553/QĐ-UBND 30/12/2016 (đc)</t>
  </si>
  <si>
    <t xml:space="preserve">Trường Tiểu học Đồng Khởi-Tua Hai </t>
  </si>
  <si>
    <t>337/QĐ-UBND
23/10/2015; 181/QĐ-UBND
11/7/2017 (đc)</t>
  </si>
  <si>
    <t>Đường 781 qua đường Hoàng Lê Kha (liên xã Trí Bình-Thị trấn)</t>
  </si>
  <si>
    <t>338/QĐ-UBND
23/10/2015; 166/QĐ-UBND
27/6/2017 (đc)</t>
  </si>
  <si>
    <t>Đường từ quán Tư Tùng đến bến Bà Tài xã Biên Giới</t>
  </si>
  <si>
    <t>336/QĐ-UBND
23/10/2015; 145/QĐ-UBND
06/6/2017 (đc)</t>
  </si>
  <si>
    <t>Đường huyện 3 (đường liên xã Thị trấn-Thái Bình)</t>
  </si>
  <si>
    <t>316/QĐ-UBND 6/9/2013; 
492/QĐ-UBND
 12/11/2015 (đc); 98/QĐ-UBND 24/4/2017 (đc)</t>
  </si>
  <si>
    <t>4373,2m sỏi đỏ,bmđ=7m</t>
  </si>
  <si>
    <t>Đường huyện 21 -Lộ Nam Dương liên xã Hảo Đước- An Cơ</t>
  </si>
  <si>
    <t>277/QĐ-UBND  30/10/2014; 132/QĐ-UBND 
 18/5/2017 (đc)</t>
  </si>
  <si>
    <t>1,130mN, bmđ=7m</t>
  </si>
  <si>
    <t>Đường đến căn cứ Huyện ủy xã Hảo Đước</t>
  </si>
  <si>
    <t>201/QĐ-UBND  20/10/2014; 372/QĐ-UBND 
 08/09/2016 (đc)</t>
  </si>
  <si>
    <t>Đường huyện 5 (đoạn từ ngã tư Phước Vinh đến bến Cây Ổi)</t>
  </si>
  <si>
    <t>3</t>
  </si>
  <si>
    <t>239/QĐ-SKHĐT 
26/9/2013 (đc); 106/QĐ-SKHĐT
28/04/2017)</t>
  </si>
  <si>
    <t>xã An Cơ, Phước VInh</t>
  </si>
  <si>
    <t>Nâng cấp đường liên xã An Cơ - Phước Vinh</t>
  </si>
  <si>
    <t>HUYỆN CHÂU THÀNH</t>
  </si>
  <si>
    <t>XD phòng học bộ môn, khối HC, các ông trình phụ trợ phục vụ 420hs</t>
  </si>
  <si>
    <t>Hiệp Tân</t>
  </si>
  <si>
    <t>Trường TH Lê Thị Hồng Gấm</t>
  </si>
  <si>
    <t>1288/QĐ-UBND
30/10/2017</t>
  </si>
  <si>
    <t>XD mới 02 kho lưu trữ chính, 01 kho lưu trữ đặc biệt, phòng tiếp nhận và xử lý hồ sơ</t>
  </si>
  <si>
    <t xml:space="preserve">Thị trấn </t>
  </si>
  <si>
    <t>Kho lưu trữ tập trung của UBND huyện Hòa Thành</t>
  </si>
  <si>
    <t>thay tole, la phong, sơn "p" chống thấm</t>
  </si>
  <si>
    <t>Sửa chữa trường THCS Trường Hòa</t>
  </si>
  <si>
    <t>Xây phòng chức năng, thiết bị, láng sân nền, nhà xe, hàng rào</t>
  </si>
  <si>
    <t>Trường TH Trường Hòa A (CQG)</t>
  </si>
  <si>
    <t xml:space="preserve"> ĐC TMĐT</t>
  </si>
  <si>
    <t>1267/QĐ-UBND 27/10/2017</t>
  </si>
  <si>
    <t>3.916,9 mN, rộng 3,5m</t>
  </si>
  <si>
    <t>Trường Đông</t>
  </si>
  <si>
    <t>Đường lộ 20 xã Trường Đông</t>
  </si>
  <si>
    <t>Xây mới trụ sở Đảng ủy, UBND xã diện tích 1192m2, Trụ sở công an 316m2 và các hạng mục phụ trợ</t>
  </si>
  <si>
    <t>Trụ sở Đảng ủy-UBND xã Hiệp Tân</t>
  </si>
  <si>
    <t>Xây mới trụ sở phục vụ cho 20 người</t>
  </si>
  <si>
    <t>Xây mới Phòng Giáo dục và Đào tạo huyện</t>
  </si>
  <si>
    <t xml:space="preserve">Xây dựng khối hành chánh và các công trình phụ trợ </t>
  </si>
  <si>
    <t>Trường mầm non Hiệp Tân</t>
  </si>
  <si>
    <t>Sửa chữa 05 phòng học, Xây mới 10 phòng học, Khối HC</t>
  </si>
  <si>
    <t>Trường Mầm non Rạng Đông</t>
  </si>
  <si>
    <t>Mương xây gạch dài 594m</t>
  </si>
  <si>
    <t>Long Hải</t>
  </si>
  <si>
    <t>Thoát nước chợ Long Hải</t>
  </si>
  <si>
    <t xml:space="preserve">1072/QĐ-UBND
30/3/2016 </t>
  </si>
  <si>
    <t>250 chổ</t>
  </si>
  <si>
    <t xml:space="preserve">Xây mới hội trường khối đoàn thể huyện Hòa Thành </t>
  </si>
  <si>
    <t>1314/QĐ-UBND
30/10/2015 (đ/c)</t>
  </si>
  <si>
    <t>3429mN, bmđ= 3,5m</t>
  </si>
  <si>
    <t>xã Trường Tây</t>
  </si>
  <si>
    <t xml:space="preserve"> Đường Hóc Trâm</t>
  </si>
  <si>
    <t>1313/QĐ-UBND
30/10/2015</t>
  </si>
  <si>
    <t>Mương BTCT. Nhánh chính dài 2440,37m, d800-1000; Nhánh phụ dài 599,57m, d600</t>
  </si>
  <si>
    <t>xã Long Thành Bắc</t>
  </si>
  <si>
    <t>Mương thoát nước xã Long Thành Bắc</t>
  </si>
  <si>
    <t>HUYỆN HÒA THÀNH</t>
  </si>
  <si>
    <t>20p+HC+CN</t>
  </si>
  <si>
    <t>Phường 1</t>
  </si>
  <si>
    <t>Trường mầm non 1/6</t>
  </si>
  <si>
    <t>Trường mẫu giáo Hoàng Yến</t>
  </si>
  <si>
    <t>Trường mầm non Thực Hành</t>
  </si>
  <si>
    <t xml:space="preserve">Xây mới 16 phòng học, khối phòng chức năng và các hạng mục phụ trợ </t>
  </si>
  <si>
    <t>Phường Hiệp Ninh</t>
  </si>
  <si>
    <t>Trường THCS Hiệp Ninh - Phường Hiệp Ninh</t>
  </si>
  <si>
    <t>3710mN; bmđ= 5,5m</t>
  </si>
  <si>
    <t>xã Bình Minh</t>
  </si>
  <si>
    <t>Đường 785 – Giồng Cà, xã Bình Minh (đoạn từ Km2+140 đến K5+850)</t>
  </si>
  <si>
    <t>1.599,63m BTN, rộng 9m; lề đường 2x5m</t>
  </si>
  <si>
    <t>Phường 3</t>
  </si>
  <si>
    <t>Nâng cấp đường số 6 (đường Nguyễn Văn Bạch), khu dân cư số 1, phường 3, thành phố Tây Ninh</t>
  </si>
  <si>
    <t>4</t>
  </si>
  <si>
    <r>
      <t>Xây mới khối phòng chức năng quy mô 1 trệt 02 lầu, diện tích sàn xây dựng 489m</t>
    </r>
    <r>
      <rPr>
        <vertAlign val="superscript"/>
        <sz val="13"/>
        <color theme="1"/>
        <rFont val="Times New Roman"/>
        <family val="1"/>
      </rPr>
      <t>2</t>
    </r>
    <r>
      <rPr>
        <sz val="13"/>
        <color theme="1"/>
        <rFont val="Times New Roman"/>
        <family val="1"/>
      </rPr>
      <t>; xây dựng hệ thống PCCC và mương thoát nước.</t>
    </r>
  </si>
  <si>
    <t>Phường 2</t>
  </si>
  <si>
    <t>Trường TH Lê Văm Tám</t>
  </si>
  <si>
    <t>Xây mới trụ sở làm việc, hệ thống xử lý nước thải, đầu tư mua sắm thiết bị làm việc</t>
  </si>
  <si>
    <t>Phường IV</t>
  </si>
  <si>
    <t>Trạm Y tế phường IV</t>
  </si>
  <si>
    <t>312/QĐ-SKHĐT
31/8/2012</t>
  </si>
  <si>
    <t>Đường 785-Giồng Cà, xã Bình Minh (GĐ 1)</t>
  </si>
  <si>
    <t>THÀNH PHỐ TÂY NINH</t>
  </si>
  <si>
    <t>HỖ TRỢ KHÁC</t>
  </si>
  <si>
    <t>F</t>
  </si>
  <si>
    <t>ĐỀ ÁN HỖ TRỢ PHÁT TRIỂN GIÁO DỤC MẦM NON TẠI VÙNG NÔNG THÔN TRÊN ĐỊA BÀN TỈNH TÂY NINH, GIAI ĐOẠN 2017-2020</t>
  </si>
  <si>
    <t>E</t>
  </si>
  <si>
    <t>Chuyển sang tỉnh quản lý</t>
  </si>
  <si>
    <t>DỐI ỨNG VỐN TPCP</t>
  </si>
  <si>
    <t>Trường THCS Tân Hòa</t>
  </si>
  <si>
    <t>Trường Hòa, Hòa Thành</t>
  </si>
  <si>
    <t>Trường TH Trường Hòa A</t>
  </si>
  <si>
    <t>Phường 3, TP TN</t>
  </si>
  <si>
    <t>Trường TH-THCS Nguyễn Hiền</t>
  </si>
  <si>
    <t>Bàu Năng, DMC</t>
  </si>
  <si>
    <t>Trường Tiểu học Bàu Năng A (điểm Ninh An)</t>
  </si>
  <si>
    <t>454/QĐ-UBND
24/10/2015</t>
  </si>
  <si>
    <t>Thị Trấn, Châu Thành</t>
  </si>
  <si>
    <t>Trường THCS Thị Trấn Châu Thành</t>
  </si>
  <si>
    <t>Thạnh Tây, Tân Biên</t>
  </si>
  <si>
    <t>Trường Tiểu học Thạnh Tây</t>
  </si>
  <si>
    <t>An Thạnh, Bến Cầu</t>
  </si>
  <si>
    <t>Trường THCS An Thạnh</t>
  </si>
  <si>
    <t>Lộc Hưng, Trảng Bàng</t>
  </si>
  <si>
    <t>Trường MG Lộc Hưng</t>
  </si>
  <si>
    <t>953m2</t>
  </si>
  <si>
    <t>Trường Mẫu giáo Phước Thạnh</t>
  </si>
  <si>
    <t>371,52m2</t>
  </si>
  <si>
    <t>Trường Tiểu học Xóm Mới</t>
  </si>
  <si>
    <t>935,1m2</t>
  </si>
  <si>
    <t>Trường  Mẫu giáo Thanh Phước</t>
  </si>
  <si>
    <t>HỖ TRỢ XÂY DỰNG TRƯỜNG CHUẨN QUỐC GIA</t>
  </si>
  <si>
    <t>Hệ thống thoát nước thị trấn Gò Dầu</t>
  </si>
  <si>
    <t>30</t>
  </si>
  <si>
    <t>Trung tâm sinh hoạt thanh thiếu niên thị trấn thị trấn Gò Dầu</t>
  </si>
  <si>
    <t>29</t>
  </si>
  <si>
    <t>Nâng cấp mở rộng đường Trường Chinh</t>
  </si>
  <si>
    <t>28</t>
  </si>
  <si>
    <t>Láng nhưa Đường ô 5 Khu phố Thanh Bình A</t>
  </si>
  <si>
    <t>Nâng cấp mở rộng các tuyến đường nội thị</t>
  </si>
  <si>
    <t>4615/QĐ-UBND 30/10/2017</t>
  </si>
  <si>
    <t>Láng nhựa đường Phạm Hùng</t>
  </si>
  <si>
    <t>4616/QĐ-UBND 30/10/2017</t>
  </si>
  <si>
    <t>BTXM đường nối Lê Hồng Phong qua Trường Chinh</t>
  </si>
  <si>
    <t>3142/QĐ-UBND 26/9/2017</t>
  </si>
  <si>
    <t>Láng nhựa hẻm số 15 - Hùng vương</t>
  </si>
  <si>
    <t>3139/QĐ-UBND 26/9/2017</t>
  </si>
  <si>
    <t>Lát gạch vỉa hè, sửa chữa đường Nguyễn Hữu Thọ</t>
  </si>
  <si>
    <t>22</t>
  </si>
  <si>
    <t>Hệ thống chiếu sáng hẻm số 7 Hùng Vương</t>
  </si>
  <si>
    <t>24 bóng</t>
  </si>
  <si>
    <t>Hệ thống chiếu sáng Trần Quốc Đại, Nguyễn Hữu Thọ, Trần Thị Sanh</t>
  </si>
  <si>
    <t>60 bóng</t>
  </si>
  <si>
    <t>Hệ thống chiếu sáng đường Hùng Vương</t>
  </si>
  <si>
    <t>Chiều dài 300m; rộng 4m; có hệ thống thoát nước dọc tuyến</t>
  </si>
  <si>
    <t>BTXM hêm số 7 QL22B</t>
  </si>
  <si>
    <t>Chiều dài 450m; rộng 3,5m; có hệ thống thoát nước dọc tuyến</t>
  </si>
  <si>
    <t xml:space="preserve">Bê tông xi măng đường Ô 5 Thanh Hà </t>
  </si>
  <si>
    <t>Chiều dài 700m; rộng 40; có hệ thống thoát nước dọc tuyến</t>
  </si>
  <si>
    <t>Bê tông xi măng nhánh rẽ Ô1, Ô 2 Thanh Hà</t>
  </si>
  <si>
    <t>Chiều dài 300m; rộng 4m</t>
  </si>
  <si>
    <t>Láng nhựa đường nối Huỳnh Công Thắng đến trường mẫu giáo thị trấn</t>
  </si>
  <si>
    <t>Chiều dài 204m; rộng 3,5m; có hệ thống thoát nước dọc tuyến</t>
  </si>
  <si>
    <t>BTXM hẻm số 9 QL22A</t>
  </si>
  <si>
    <t>Chiều dài 338m; rộng 3,5m; có hệ thống thoát nước dọc tuyến</t>
  </si>
  <si>
    <t>BTXM hẻm số 7 QL22A</t>
  </si>
  <si>
    <t>Chiều dài 400m; rộng 5m</t>
  </si>
  <si>
    <t>Hệ thống chiếu sáng và láng nhựa đường Nam Kì Khởi Nghĩa (Quốc Linh)</t>
  </si>
  <si>
    <t>Chiều dài 300m; rộng 6m; có hạng mục di dời trụ điện</t>
  </si>
  <si>
    <t>Láng nhựa đường Dương Văn Nốt nối dài tới xã Thanh Phước</t>
  </si>
  <si>
    <t>Diện tích sửa chữa 2.000m2</t>
  </si>
  <si>
    <t>Sửa chữa đường Hùng Vương</t>
  </si>
  <si>
    <t>Dài 1.700m, rộng 1,5x2; Tổng diện tích lát gạch 5.100m2; Bố trí hệ thống chiếu sáng</t>
  </si>
  <si>
    <t>Lát gạch vỉa hè, hệ thống chiếu sáng đường Lê Hồng Phong</t>
  </si>
  <si>
    <t>740/QĐ-UBND 28/10/2016</t>
  </si>
  <si>
    <r>
      <t>- Làm đường BTN dài 1.200 mét; chiều rộng mặt đường 8,0 mét; lề 2x2,0m đắp đất cấp II. Suất đầu tư 1.334.000 đồng/m</t>
    </r>
    <r>
      <rPr>
        <vertAlign val="superscript"/>
        <sz val="13"/>
        <color theme="1"/>
        <rFont val="Times New Roman"/>
        <family val="1"/>
      </rPr>
      <t>2</t>
    </r>
    <r>
      <rPr>
        <sz val="13"/>
        <color theme="1"/>
        <rFont val="Times New Roman"/>
        <family val="1"/>
      </rPr>
      <t>.</t>
    </r>
  </si>
  <si>
    <t>Nâng cấp, mở rộng đường Lê Hồng Phong.</t>
  </si>
  <si>
    <t>741/QĐ-UBND 28/10/2016</t>
  </si>
  <si>
    <r>
      <t>Lát gạch vỉa hè đường Lê Văn Thới; đổ bê tông xi măng vỉa hè đường Hồ Văn Suối. Tổng diện tích lát gạch và đổ bê tông vỉa hè là 1.780m</t>
    </r>
    <r>
      <rPr>
        <vertAlign val="superscript"/>
        <sz val="13"/>
        <color theme="1"/>
        <rFont val="Times New Roman"/>
        <family val="1"/>
      </rPr>
      <t>2</t>
    </r>
    <r>
      <rPr>
        <sz val="13"/>
        <color theme="1"/>
        <rFont val="Times New Roman"/>
        <family val="1"/>
      </rPr>
      <t>.</t>
    </r>
  </si>
  <si>
    <t>Lát gạch và bê tông xi măng vỉa hè đường Lê Văn Thới và đường Hồ Văn Suối.</t>
  </si>
  <si>
    <t>742/QĐ-UBND 28/10/2016</t>
  </si>
  <si>
    <t>Làm đường BTN dài 402 mét; chiều rộng mặt đường 3 mét.</t>
  </si>
  <si>
    <t>Bê tông nhựa đường Huỳnh Thúc Kháng</t>
  </si>
  <si>
    <t>743/QĐ-UBND 28/10/2016</t>
  </si>
  <si>
    <t>Làm đường BTXM dài 664,8 mét; chiều rộng mặt đường trung bình từ 3,5mét đến 5,0 mét. Bố trí mương thoát nước rộng 0,7 mét giữa tim đường.</t>
  </si>
  <si>
    <t>Bê tông xi măng đường hẻm số 8, đường Hùng Vương</t>
  </si>
  <si>
    <t>744/QĐ-UBND 28/10/2016</t>
  </si>
  <si>
    <t xml:space="preserve">Làm đường BTXM dài 449,58 mét; chiều rộng mặt đường 3,5mét. Bố trí mương thoát nước rộng 0,7 mét giữa tim đường. </t>
  </si>
  <si>
    <t>Bê tông xi măng đường hẻm số 7, đường Hùng Vương</t>
  </si>
  <si>
    <t>745/QĐ-UBND 28/10/2016</t>
  </si>
  <si>
    <t>Làm đường BTXM dài 379 mét; chiều rộng mặt đường 4 mét.</t>
  </si>
  <si>
    <t>Bê tông xi măng đường nối từ đường Dương Văn Nốt đến ấp Trâm Vàng 1 xã Thanh Phước</t>
  </si>
  <si>
    <t>Vốn hỗ trợ khác 12,2 tỷ đồng</t>
  </si>
  <si>
    <t>2020-2021</t>
  </si>
  <si>
    <t>Xã Hiệp Tân</t>
  </si>
  <si>
    <t>Đường Nguyễn Bỉnh Khiêm xã Hiệp Tân</t>
  </si>
  <si>
    <t>Xã Long Thành Bắc</t>
  </si>
  <si>
    <t>Đường số 12 đường Sân Cu</t>
  </si>
  <si>
    <t>Thị trấn Hòa Thành</t>
  </si>
  <si>
    <t>Nâng cấp, mở rộng đường Nguyễn Huệ</t>
  </si>
  <si>
    <t>Trường Tây</t>
  </si>
  <si>
    <t>Thoát nước khu vực Trảng Trai, xã Trường Tây, huyện Hòa Thành tỉnh Tây Ninh</t>
  </si>
  <si>
    <t>Xây dựng một số tuyến mương thoát nước khu phố 4 thuộc dự án Hệ thống thoát nước thị trấn Hòa Thành - (Giai đoạn 3)</t>
  </si>
  <si>
    <t>Long Thành Nam</t>
  </si>
  <si>
    <t>Hệ thống thoát nước khu vực Trảng Nhớt</t>
  </si>
  <si>
    <t>Long Thành Trung</t>
  </si>
  <si>
    <t>Nâng cấp mở rộng đường Phạm Hùng (đoạn từ Bệnh viện Hòa Thành đến đường Nguyễn Văn Cừ)</t>
  </si>
  <si>
    <t>Số: 1263/QĐ-UBND ngày 27 tháng 10 năm 2017</t>
  </si>
  <si>
    <t>Long Thành Bắc</t>
  </si>
  <si>
    <t>Đèn chiếu sáng đường Trịnh Phong Đáng</t>
  </si>
  <si>
    <t>Số: 1262/QĐ-UBND ngày 27 tháng 10 năm 2017</t>
  </si>
  <si>
    <t>Trường Hòa</t>
  </si>
  <si>
    <t>Đèn chiếu sáng đường Trường Hòa-Chà Là</t>
  </si>
  <si>
    <t>Số: 1259/QĐ-UBND ngày 27 tháng 10 năm 2017</t>
  </si>
  <si>
    <t>Dài 250m, Bê tông xi măng rộng 4m</t>
  </si>
  <si>
    <t>Hẻm số 42 ấp Hiệp Định, xã Hiệp Tân</t>
  </si>
  <si>
    <t>Số: 1185/QĐ-UBND ngày 25 tháng 10 năm 2017</t>
  </si>
  <si>
    <t>đường Bê tông xi măng dài 101 m: mặt rộng 3,00 m; biển báo.</t>
  </si>
  <si>
    <t>Xã Long Thành Trung</t>
  </si>
  <si>
    <t>Đường dọc 3-Đường 51 Trần Phú</t>
  </si>
  <si>
    <t>Số: 1187/QĐ-UBND ngày 25 tháng 10 năm 2017</t>
  </si>
  <si>
    <t>đường Bê tông xi măng dài 100 m: mặt rộng 3,00 m; biển báo.</t>
  </si>
  <si>
    <t>Đường dọc 1-Đường 51 Trần Phú</t>
  </si>
  <si>
    <t>Số: 1184/QĐ-UBND ngày 25 tháng 10 năm 2017</t>
  </si>
  <si>
    <t>đường Bê tông xi măng dài 206 m: mặt rộng 3,0m; biển báo.</t>
  </si>
  <si>
    <t>Đường 163 Đường Thành Thái</t>
  </si>
  <si>
    <t>Số: 1188/QĐ-UBND ngày 25 tháng 10 năm 2017</t>
  </si>
  <si>
    <t xml:space="preserve">đường Bê tông xi măng dài 206 m: mặt rộng 3,0m; cống thoát nước H30, cọc tiêu và biển báo. </t>
  </si>
  <si>
    <t>Đường 43/16 đường Hai Bà Trưng</t>
  </si>
  <si>
    <t>Số: 1183/QĐ-UBND ngày 25 tháng 10 năm 2017</t>
  </si>
  <si>
    <t>đường Bê tông xi măng dài 189 m: mặt rộng 3,0m; cọc tiêu và biển báo.</t>
  </si>
  <si>
    <t>Đường từ đường số 91 đến ruộng (Đường số 5-nhà nghĩ Thiên Lý)</t>
  </si>
  <si>
    <t>Số: 1182/QĐ-UBND ngày 25 tháng 10 năm 2017</t>
  </si>
  <si>
    <t>đường Bê tông xi măng dài 311 m: mặt rộng 3,00 m; biển báo.</t>
  </si>
  <si>
    <t>Đường 12 Thượng Thâu Thanh</t>
  </si>
  <si>
    <t>Số: 1191/QĐ-UBND ngày 25 tháng 10 năm 2017</t>
  </si>
  <si>
    <t>đường Bê tông xi măng dài 167 m: mặt rộng 3,00 m; biển báo.</t>
  </si>
  <si>
    <t>Đường 14 Thượng Thâu Thanh</t>
  </si>
  <si>
    <t>Số: 1180/QĐ-UBND ngày 25 tháng 10 năm 2017</t>
  </si>
  <si>
    <t>đường Bê tông xi măng dài 528 m: mặt rộng 3,00 m; biển báo.</t>
  </si>
  <si>
    <t>Đường 18 Thượng Thâu Thanh</t>
  </si>
  <si>
    <t>Số: 1189/QĐ-UBND ngày 25 tháng 10 năm 2017</t>
  </si>
  <si>
    <t>Láng nhựa TC 3kg/m2 dài 275 m: mặt rộng 3,5m; lề sỏi đỏ 2x0,75m; cống thoát nước H30; cọc tiêu và biển báo.</t>
  </si>
  <si>
    <t>Đường 43 Đường Hai Bà Trưng</t>
  </si>
  <si>
    <t>Số: 1190/QĐ-UBND ngày 25 tháng 10 năm 2017</t>
  </si>
  <si>
    <t>Láng nhựa TC 3kg/m2 dài 583 m: mặt rộng 3,5m; lề sỏi đỏ 2x0,75m; cống thoát nước H30; cọc tiêu và biển báo.</t>
  </si>
  <si>
    <t>Đường 43A Đường Hai Bà Trưng</t>
  </si>
  <si>
    <t>Số: 1192/QĐ-UBND ngày 25 tháng 10 năm 2017</t>
  </si>
  <si>
    <t>Láng nhựa TC 3kg/m2 dài 300 m: mặt rộng 3,5m; lề sỏi đỏ 2x0,75m; cống thoát nước H30; cọc tiêu và biển báo.</t>
  </si>
  <si>
    <t>Đường số 17-Đường Nguyễn Văn Cừ (đoạn 1)</t>
  </si>
  <si>
    <t>Số: 1181/QĐ-UBND ngày 25 tháng 10 năm 2017</t>
  </si>
  <si>
    <t>Láng nhựa TC 3kg/m2 dài 797 m: mặt rộng 3,5m; lề sỏi đỏ 2x0,75m; cống thoát nước H30; cọc tiêu và biển báo.</t>
  </si>
  <si>
    <t>Đường dọc 4-Đường 51 Trần Phú</t>
  </si>
  <si>
    <t>Số: 1186/QĐ-UBND ngày 25 tháng 10 năm 2017</t>
  </si>
  <si>
    <t>Láng nhựa TC 3kg/m2 dài 700 m: mặt rộng 3,5m; lề sỏi đỏ 2x0,75m; cống thoát nước H30; cọc tiêu và biển báo.</t>
  </si>
  <si>
    <t>Đường dọc 2-Đường 51 Trần Phú</t>
  </si>
  <si>
    <t>Số: 5320/QĐ-UBND ngày 31 tháng 10 năm 2016</t>
  </si>
  <si>
    <t>đường Bê tông xi măng dài 486 m: mặt rộng 4,00 m; cống thoát nước H30; cọc tiêu và biển báo.</t>
  </si>
  <si>
    <t>Đường từ trường Nguyễn Trung Trực đến đường 20 Thượng Thâu Thanh</t>
  </si>
  <si>
    <t>Số: 5332/QĐ-UBND ngày 31 tháng 10 năm 2016</t>
  </si>
  <si>
    <t>đường Bê tông xi măng dài 222 m: mặt rộng 3,00m; cống thoát nước H30; cọc tiêu và biển báo.</t>
  </si>
  <si>
    <t>Đường từ QL22B đến ruộng (gạch Thành Lợi)</t>
  </si>
  <si>
    <t>Số: 5331/QĐ-UBND ngày 31 tháng 10 năm 2016</t>
  </si>
  <si>
    <t>đường Bê tông xi măng dài 131 m: mặt rộng 3,00 m; biển báo.</t>
  </si>
  <si>
    <t>Đường 2 Thượng Thâu Thanh</t>
  </si>
  <si>
    <t>Số: 5329/QĐ-UBND ngày 31 tháng 10 năm 2016</t>
  </si>
  <si>
    <t>đường Bê tông xi măng dài 173 m: mặt rộng 3,00 m; biển báo.</t>
  </si>
  <si>
    <t>Đường 10 Thượng Thâu Thanh</t>
  </si>
  <si>
    <t>Số: 5334/QĐ-UBND ngày 31 tháng 10 năm 2016</t>
  </si>
  <si>
    <t>đường Bê tông xi măng dài 272 m: mặt rộng 3,0m; cống thoát nước H30; cọc tiêu và biển báo.</t>
  </si>
  <si>
    <t>Đường từ QL22B đến đường số 5 Thượng Thâu Thanh (đoạn 2)</t>
  </si>
  <si>
    <t>Số: 5330/QĐ-UBND ngày 31 tháng 10 năm 2016</t>
  </si>
  <si>
    <t xml:space="preserve">đường Bê tông xi măng dài 131 m: mặt rộng 3,00 m; biển báo. </t>
  </si>
  <si>
    <t>Đường 8 Thượng Thâu Thanh</t>
  </si>
  <si>
    <t>Số: 5333/QĐ-UBND ngày 31 tháng 10 năm 2016</t>
  </si>
  <si>
    <t>Láng nhựa TC 3kg/m2 dài 506 m: mặt rộng 3,5m; lề sỏi đỏ 2x0,75m; cống thoát nước H30; cọc tiêu và biển báo.</t>
  </si>
  <si>
    <t>Đường Chùa Thiền Lâm (Gò Kén)</t>
  </si>
  <si>
    <t>Số: 5343/QĐ-UBND ngày 31 tháng 10 năm 2016</t>
  </si>
  <si>
    <t>Láng nhựa TC 3kg/m2 dài 299 m: mặt rộng 3,5m; lề sỏi đỏ 2x0,75m; cống thoát nước H30; cọc tiêu và biển báo.</t>
  </si>
  <si>
    <t>Đường dọc 47A2 Phạm Hùng</t>
  </si>
  <si>
    <t>Số: 5335/QĐ-UBND ngày 31 tháng 10 năm 2016</t>
  </si>
  <si>
    <t>Láng nhựa TC 3kg/m2 dài 864 m: mặt rộng 3,5m; lề sỏi đỏ 2x0,75m; cống thoát nước H30; cọc tiêu và biển báo.</t>
  </si>
  <si>
    <t>Đường từ QL22B đến đường số 75 Trần Phú</t>
  </si>
  <si>
    <t>Số: 5319/QĐ-UBND ngày 31 tháng 10 năm 2016</t>
  </si>
  <si>
    <t>Láng nhựa TC 3kg/m2 dài 904 m: mặt rộng 3,5m; lề sỏi đỏ 2x0,75m; cống thoát nước H30; cọc tiêu và biển báo.</t>
  </si>
  <si>
    <t>Đường dọc 5 -Đường 59 Trần Phú</t>
  </si>
  <si>
    <t>Số: 5318/QĐ-UBND ngày 31 tháng 10 năm 2016</t>
  </si>
  <si>
    <t>Láng nhựa TC 3kg/m2 dài 918 m: mặt rộng 3,5m; lề sỏi đỏ 2x0,75m; cống thoát nước H30; cọc tiêu và biển báo.</t>
  </si>
  <si>
    <t>Đường 53 Trần Phú</t>
  </si>
  <si>
    <t>Số: 5317/QĐ-UBND ngày 31 tháng 10 năm 2016</t>
  </si>
  <si>
    <t>Đường 55 Trần Phú</t>
  </si>
  <si>
    <t>Số: 5316/QĐ-UBND ngày 31 tháng 10 năm 2016</t>
  </si>
  <si>
    <t>Láng nhựa TC 3kg/m2 dài 1.116 m: mặt rộng 3,5m; lề sỏi đỏ 2x0,75m; cống thoát nước H30; cọc tiêu và biển báo.</t>
  </si>
  <si>
    <t>Đường 57 Trần Phú</t>
  </si>
  <si>
    <t>Số: 5315/QĐ-UBND ngày 31 tháng 10 năm 2016</t>
  </si>
  <si>
    <t>Láng nhựa TC 3kg/m2 dài 1.129 m: mặt rộng 3,5m; lề sỏi đỏ 2x0,75m; cống thoát nước H30; cọc tiêu và biển báo.</t>
  </si>
  <si>
    <t>Đường 61 Trần Phú</t>
  </si>
  <si>
    <t>Số: 5314/QĐ-UBND ngày 31 tháng 10 năm 2016</t>
  </si>
  <si>
    <t>Láng nhựa TC 3kg/m2 dài 1.163 m: mặt rộng 3,5m; lề sỏi đỏ 2x0,75m; cống thoát nước H30; cọc tiêu và biển báo.</t>
  </si>
  <si>
    <t>Đường 63 Trần Phú</t>
  </si>
  <si>
    <t>Số: 5313/QĐ-UBND ngày 28 tháng 10 năm 2016</t>
  </si>
  <si>
    <t>Láng nhựa TC 3kg/m2 dài 1.170 m: mặt rộng 3,5m; lề sỏi đỏ 2x0,75m; cống thoát nước H30; cọc tiêu và biển báo.</t>
  </si>
  <si>
    <t>Đường 65 Trần Phú</t>
  </si>
  <si>
    <t>Số: 5312/QĐ-UBND ngày 28 tháng 10 năm 2016</t>
  </si>
  <si>
    <t>Láng nhựa TC 3kg/m2 dài 1.014 m: mặt rộng 3,5m; lề sỏi đỏ 2x0,75m; cống thoát nước H30; cọc tiêu và biển báo.</t>
  </si>
  <si>
    <t>Đường 67 Trần Phú</t>
  </si>
  <si>
    <t>Số: 5310/QĐ-UBND ngày 28 tháng 10 năm 2016</t>
  </si>
  <si>
    <t>Láng nhựa TC 3kg/m2 dài 1.038 m: mặt rộng 3,5m; lề sỏi đỏ 2x0,75m; cống thoát nước H30; cọc tiêu và biển báo.</t>
  </si>
  <si>
    <t>Đường 69 Trần Phú</t>
  </si>
  <si>
    <t>Số: 5311/QĐ-UBND ngày 28 tháng 10 năm 2016</t>
  </si>
  <si>
    <t>Láng nhựa TC 3kg/m2 dài 1.191 m: mặt rộng 3,5m; lề sỏi đỏ 2x0,75m; cống thoát nước H30; cọc tiêu và biển báo.</t>
  </si>
  <si>
    <t>Đường 71 Trần Phú</t>
  </si>
  <si>
    <t>Số: 5309/QĐ-UBND ngày 28 tháng 10 năm 2016</t>
  </si>
  <si>
    <t>Láng nhựa TC 3kg/m2 dài 1.282 m: mặt rộng 3,5m; lề sỏi đỏ 2x0,75m; cống thoát nước H30; cọc tiêu và biển báo.</t>
  </si>
  <si>
    <t>Đường 77 Trần Phú</t>
  </si>
  <si>
    <t>Số: 5308/QĐ-UBND ngày 28 tháng 10 năm 2016</t>
  </si>
  <si>
    <t>Láng nhựa TC 3kg/m2, dài 568 m: mặt rộng 3,5m; lề sỏi đỏ 2x0,75m; biển báo.</t>
  </si>
  <si>
    <t>Đường 79 Trần Phú</t>
  </si>
  <si>
    <t>Số: 1277/QĐ-UBND ngày 27 tháng 10 năm 2016</t>
  </si>
  <si>
    <t>Láng nhựa, hệ thống thoát nước</t>
  </si>
  <si>
    <t>Đường nội bộ hành chánh Bố Mè</t>
  </si>
  <si>
    <t>Số: 1265/QĐ-UBND ngày 27 tháng 10 năm 2017</t>
  </si>
  <si>
    <t>Mương BT B400-B600 Chiều dài: 3.220,00m</t>
  </si>
  <si>
    <t>Xây dựng một số tuyến mương thoát nước khu phố 4 thuộc dự án Hệ thống thoát nước thị trấn Hòa Thành - (Giai đoạn 2)</t>
  </si>
  <si>
    <t>Số: 5307/QĐ-UBND 28/10/2016</t>
  </si>
  <si>
    <t>Dài 1.102,96m, láng nhựa TC 3.0 kg/m2 rộng 3,5m.</t>
  </si>
  <si>
    <t>Đường số 88, 90, 92 đường Trần Phú</t>
  </si>
  <si>
    <t>Số: 5306/QĐ-UBND 28/10/2016</t>
  </si>
  <si>
    <t xml:space="preserve">Dài 996,03m, láng nhựa TC 3.0 kg/m2 rộng 3,5m. </t>
  </si>
  <si>
    <t>Đường số 80, 84, 86 đường Trần Phú</t>
  </si>
  <si>
    <t>Số: 5305/QĐ-UBND 28/10/2016</t>
  </si>
  <si>
    <t xml:space="preserve">Dài 1.488,89m, láng nhựa TC 3.0 kg/m2 rộng 3,5m. </t>
  </si>
  <si>
    <t>Đường số 94, 96, 98 đường Trần Phú</t>
  </si>
  <si>
    <t>Số: 5304/QĐ-UBND 28/10/2016</t>
  </si>
  <si>
    <t>Dài 746,8m, láng nhựa TC 3.0 kg/m2 rộng 3,5m.</t>
  </si>
  <si>
    <t>Đường Phan Văn Đáng nối dài</t>
  </si>
  <si>
    <t>Số: 5303/QĐ-UBND 28/10/2016</t>
  </si>
  <si>
    <t>Dài 793,84m, láng nhựa TC 3.0 kg/m2 rộng 3,5m.</t>
  </si>
  <si>
    <t>Đường số 102 Đường Trần Phú</t>
  </si>
  <si>
    <t>Số: 5302/QĐ-UBND28/10/2016</t>
  </si>
  <si>
    <t xml:space="preserve">Dài 800,45m, láng nhựa TC 3.0 Kg/m2 rộng 3,5m. </t>
  </si>
  <si>
    <t>Đường số 100 Đường Trần Phú</t>
  </si>
  <si>
    <t>5300/QĐ-UBND
2810/2016</t>
  </si>
  <si>
    <t xml:space="preserve">Láng nhựa TC 266kg/m2 dài 315m: mặt rộng 3,5m; lề sỏi đỏ 2x0,75m; cống thoát nước H30; cọc tiêu và biển báo. </t>
  </si>
  <si>
    <t>Đường số 226 Hiệp Trường</t>
  </si>
  <si>
    <t>Số: 5299/QĐ-UBND 28/10/2016</t>
  </si>
  <si>
    <t xml:space="preserve">Láng nhựa TC 4,5kg/m2 dài 435m: mặt rộng 3,5m; lề sỏi đỏ 2x0,75m; cống thoát nước H30; cọc tiêu và biển báo. </t>
  </si>
  <si>
    <t>Đường số 254 Hiệp Trường</t>
  </si>
  <si>
    <t>5298/QĐ-UBND 
28/10/2016</t>
  </si>
  <si>
    <t>Láng nhựa TC 4,5kg/m2 dài 335m: mặt rộng 3,5m; lề sỏi đỏ 2x0,75m; cống thoát nước H30; cọc tiêu và biển báo.</t>
  </si>
  <si>
    <t>Đường số 204 Hiệp Trường</t>
  </si>
  <si>
    <t>5297/QĐ-UBND 28/10/2016</t>
  </si>
  <si>
    <t>Láng nhựa TC 4,5kg/m2 dài 247m: mặt rộng 3,5m; lề sỏi đỏ 2x0,75m; cống thoát nước H30; cọc tiêu và biển báo.</t>
  </si>
  <si>
    <t>Đường số 82 Hiệp Hòa</t>
  </si>
  <si>
    <t>Số: 5296/QĐ-UBND 28/10/2016</t>
  </si>
  <si>
    <t>Láng nhựa TC 3kg/m2 dài 368m: mặt rộng 3,5m; lề sỏi đỏ 2x0,75m; cống thoát nước H30; cọc tiêu và biển báo.</t>
  </si>
  <si>
    <t>Đường số 74 Hiệp Hòa</t>
  </si>
  <si>
    <t>5288/QĐ-UBND 
28/10/2016</t>
  </si>
  <si>
    <t>Láng nhựa TC 3kg/m2 dài 609m: mặt rộng 3,5m; lề sỏi đỏ 2x0,75m; cống thoát nước H30; cọc tiêu và biển báo.</t>
  </si>
  <si>
    <t>Đường số 12 Hiệp Hòa</t>
  </si>
  <si>
    <t>Số: 5295/QĐ-UBND 28/10/2016</t>
  </si>
  <si>
    <t xml:space="preserve">Bê tông xi măng M250 dài 305m: mặt rộng 4m, lề sỏi đỏ 2x0,75m; biển báo. </t>
  </si>
  <si>
    <t>Đường số 2 Hiệp Hòa</t>
  </si>
  <si>
    <t>Số: 5294/QĐ-UBND 28/10/2016</t>
  </si>
  <si>
    <t>Bê tông xi măng M250 dài 560m: mặt rộng 4m, lề sỏi đỏ 2x0,75m; cống thoát nước H30; cọc tiêu và biển báo.</t>
  </si>
  <si>
    <t>Đường số 34 Hiệp Định</t>
  </si>
  <si>
    <t xml:space="preserve"> 5293/QĐ-UBND 
28/10/2016</t>
  </si>
  <si>
    <t>L=256m BTXM M250, b= 3,5m, lề sỏi đỏ 2x0,75m; cống thoát nước H30; cọc tiêu và biển báo</t>
  </si>
  <si>
    <t>Đường số 4 Hiệp Hòa</t>
  </si>
  <si>
    <t>Số: 5292/QĐ-UBND27/10/2016</t>
  </si>
  <si>
    <t>L= 850mN, bmđ=6m; lề sỏi đỏ 2x0,5m; cống thoát nước H30; cọc tiêu và biển báo</t>
  </si>
  <si>
    <t>Đường số 183 Hiệp Trường</t>
  </si>
  <si>
    <t>5291/QĐ-UBND 28/10/2016</t>
  </si>
  <si>
    <t>L= 1792mN, bmđ= 5-6m; lề sỏi đỏ 2x0,5m; cống thoát nước H30; cọc tiêu và biển báo</t>
  </si>
  <si>
    <t>Đường chợ Hiệp Trường</t>
  </si>
  <si>
    <t>Số: 347/QĐ-SKHĐT 28/10/2016</t>
  </si>
  <si>
    <t xml:space="preserve">L= 1.410 mét; </t>
  </si>
  <si>
    <t>Nâng cấp mở rộng đường Châu Văn Liêm (đoạn từ đường Phạm Văn Đồng đến đường Lý Thường Kiệt)</t>
  </si>
  <si>
    <t>Số: 5344/QĐ-UBND 31/10/2016</t>
  </si>
  <si>
    <t>Dài: 264,87 mét; mặt đường bê tông nhựa nóng, rộng 10,5m</t>
  </si>
  <si>
    <t>Nâng cấp mở rộng Đường Thượng Thâu Thanh (đoạn từ đường Phạm Hùng đến đường Tôn Đức Thắng)</t>
  </si>
  <si>
    <t>1066/QĐ-UBND 30/3/2016</t>
  </si>
  <si>
    <t>Dài: 932 mét; mặt đường BTN hạt mịn dày 3cm, rộng 9,0 mét; lát gạch terrazzo 2x0,8 m</t>
  </si>
  <si>
    <t>Thảm bê tông nhựa và lát gạch vỉa hè đường Âu Cơ</t>
  </si>
  <si>
    <t>Tách ra thành các dự án nhỏ</t>
  </si>
  <si>
    <t>Hệ thống thoát nước thị trấn Hòa Thành</t>
  </si>
  <si>
    <t>Không thực hiện (do Sở GTVT đầu tư)</t>
  </si>
  <si>
    <t>Mở rộng đường Nguyễn Văn Linh (đoạn từ ngã tư xã Long Thành Băc đến UBND xã Trường Đông)</t>
  </si>
  <si>
    <t>Cầu Gò Kén</t>
  </si>
  <si>
    <t>Lát gạch vỉa hè 2x8 mét, diện tích 1638,93m2</t>
  </si>
  <si>
    <t>Lát gạch vĩa hè đường tỉnh 797 (đoạn từ Báo Quốc Từ đến của 1 chợ Long Hoa thuộc dự án nâng cấp đường tỉnh 797 đoạn qua chợ Long Hoa-phần khối lượng còn lại)</t>
  </si>
  <si>
    <t>1057/QĐ-UBND 30/3/2016</t>
  </si>
  <si>
    <t>láng nhựa 3 lớp TC 4,5kg/m2</t>
  </si>
  <si>
    <t>Láng nhựa đường số 8 đường Châu Văn Liêm, ấp Hiệp Long, xã Hiệp Tân</t>
  </si>
  <si>
    <t>1062/QĐ-UBND 30/3/2016</t>
  </si>
  <si>
    <t>láng nhựa 2 lớp TC 3kg/m2</t>
  </si>
  <si>
    <t>Đường số 73 (đoạn từ đường Trần Phú đến đường Tôn Đức Thắng)</t>
  </si>
  <si>
    <t>1058/QĐ-UBND 30/3/2016</t>
  </si>
  <si>
    <t>Láng nhựa đường số 6 đường Châu Văn Liêm, ấp Hiệp Long, xã Hiệp Tân</t>
  </si>
  <si>
    <t>1063/QĐ-UBND 30/3/2016</t>
  </si>
  <si>
    <t>Đường số 85 Trần Phú (đường 57, 58 Phạm Hùng)</t>
  </si>
  <si>
    <t>773/QĐ-UBND 16/3/2016</t>
  </si>
  <si>
    <t>Đường dọc 8 ấp Long Thới, xã Long Thành Trung (đoạn từ đường Ranh Thị trấn-Long Thành Trung đến đường số 73 Nguyễn Chí Thanh)</t>
  </si>
  <si>
    <t>1065/QĐ-UBND 30/3/2016</t>
  </si>
  <si>
    <t>láng nhựa 2 lớp TC 4.5kg/m2</t>
  </si>
  <si>
    <t>Đường 87 Trần Phú (đường 60 Phạm Hùng)</t>
  </si>
  <si>
    <t>1064/QĐ-UBND 30/3/2016</t>
  </si>
  <si>
    <t>Đường 83 Trần Phú (đường 55,56 Phạm Hùng)</t>
  </si>
  <si>
    <t>1059/QĐ-UBND 30/3/2016</t>
  </si>
  <si>
    <t>Láng nhựa đường số 4 đường Lạc Long Quân, ấp Hiệp Hòa, xã Hiệp Tân</t>
  </si>
  <si>
    <t>1056/QĐ-UBND 30/3/2016</t>
  </si>
  <si>
    <t>Láng nhựa đường số 10 đường Châu Văn Liêm, ấp Hiệp Long, xã Hiệp Tân</t>
  </si>
  <si>
    <t>1055/QĐ-UBND 30/3/2016</t>
  </si>
  <si>
    <t>Láng nhựa đường số 12 đường Châu Văn Liêm, ấp Hiệp Long, xã Hiệp Tân</t>
  </si>
  <si>
    <t>1054/QĐ-UBND 30/3/2016</t>
  </si>
  <si>
    <t>Láng nhựa đường Phạm Thái Bường, ấp Long Hiệp, xã Hiệp Tân</t>
  </si>
  <si>
    <t>1060/QĐ-UBND 30/3/2016</t>
  </si>
  <si>
    <t>Đường dọc 7 ấp Long Thới, xã Long Thành Trung (đoạn từ đường số 77 đến đường số 59 Nguyễn Chí Thanh)</t>
  </si>
  <si>
    <t>772/QĐ-UBND 16/3/2016</t>
  </si>
  <si>
    <t>lát gạch vỉa hè dài 460,97; lề 2x3cm</t>
  </si>
  <si>
    <t>Lát gạch vĩa hè đường Nguyễn Văn Linh (đoạn từ đường nguyễn Huệ - Nguyễn Chí Thanh đến đường Trần Phú)</t>
  </si>
  <si>
    <t>771/QĐ-UBND 16/3/2016</t>
  </si>
  <si>
    <t>Đường Nguyễn Quốc Gia (đoạn từ đường Nguyễn Chí Thanh đến đường Trần Phú</t>
  </si>
  <si>
    <t>1053/QĐ-UBND 30/3/2016</t>
  </si>
  <si>
    <t>Đường số 12 và số 14 An Dương Vương</t>
  </si>
  <si>
    <t>1052/QĐ-UBND 30/3/2016</t>
  </si>
  <si>
    <t>Đường số 4 An Dương Vương và đường số 11 Sân Cu</t>
  </si>
  <si>
    <t>1051/QĐ-UBND 30/3/2016</t>
  </si>
  <si>
    <t>Đường số 9 và số 12 Nguyễn Văn Linh</t>
  </si>
  <si>
    <t>1306/QĐ-UBND 30/10/2015</t>
  </si>
  <si>
    <t>mương thoát nước D100, dài 395,44m</t>
  </si>
  <si>
    <t>Thoát nước khu vực xung quanh chợ Long Hoa</t>
  </si>
  <si>
    <t>1061/QĐ-UBND 30/3/2016</t>
  </si>
  <si>
    <t>xây mới nhà vệ sinh, cải tạo hệ thống thoát nước</t>
  </si>
  <si>
    <t>Cải tạo công viên Hòa Thành</t>
  </si>
  <si>
    <t>1178/QĐ-UBND
30/10/2015</t>
  </si>
  <si>
    <t>295 m N</t>
  </si>
  <si>
    <t>Đường số 10, đường An Dương Vương</t>
  </si>
  <si>
    <t>1184/QĐ-UBND
30/10/2015</t>
  </si>
  <si>
    <t>Xã Trường Đông</t>
  </si>
  <si>
    <t>Đèn chiếu sáng đường Nguyễn Lương Bằng</t>
  </si>
  <si>
    <t>1186/QĐ-UBND
30/10/2015</t>
  </si>
  <si>
    <t>381 m N</t>
  </si>
  <si>
    <t>Láng nhựa hẻm số 9 đường Lý Thường Kiệt, ấp Hiệp Định, xã Hiệp Tân</t>
  </si>
  <si>
    <t>1192/QĐ-UBND
30/10/2015</t>
  </si>
  <si>
    <t>1044 m N</t>
  </si>
  <si>
    <t>Láng nhựa hẻm số 9 đường Phạm Văn Đồng, ấp Hiệp Long, xã Hiệp Tân</t>
  </si>
  <si>
    <t>1177/QĐ-UBND
30/10/2015</t>
  </si>
  <si>
    <t>758 m N</t>
  </si>
  <si>
    <t>Láng nhựa hẻm số 7, 9, 11  đường Châu Văn Liêm, ấp Hiệp An, xã Hiệp Tân</t>
  </si>
  <si>
    <t>1304/QĐ-UBND
30/10/2015</t>
  </si>
  <si>
    <t>696 m N</t>
  </si>
  <si>
    <t>Đường số 10 đường Sân Cu</t>
  </si>
  <si>
    <t>1240/QĐ-UBND
30/10/2015</t>
  </si>
  <si>
    <t>681 m N</t>
  </si>
  <si>
    <t>Đường số 8 đường Sân Cu</t>
  </si>
  <si>
    <t>1239/QĐ-UBND
30/10/2015</t>
  </si>
  <si>
    <t>984 m N</t>
  </si>
  <si>
    <t>Đường số 7, 13, 15 An Dương Vương</t>
  </si>
  <si>
    <t>1238/QĐ-UBND
30/10/2015</t>
  </si>
  <si>
    <t>771 m N</t>
  </si>
  <si>
    <t>Đường số 16 và 18 An Dương Vương</t>
  </si>
  <si>
    <t>1237/QĐ-UBND
30/10/2015</t>
  </si>
  <si>
    <t>1503 m N</t>
  </si>
  <si>
    <t>Đường số 1, 2, 6 - đường Sân Cu</t>
  </si>
  <si>
    <t>1236/QĐ-UBND
30/10/2015</t>
  </si>
  <si>
    <t>644 m N</t>
  </si>
  <si>
    <t>Đường số 4 Nguyễn Văn Linh</t>
  </si>
  <si>
    <t>1235/QĐ-UBND
30/10/2015</t>
  </si>
  <si>
    <t>1936 m N</t>
  </si>
  <si>
    <t>Đường số 3 Nguyễn Văn Linh</t>
  </si>
  <si>
    <t>1234/QĐ-UBND
30/10/2015</t>
  </si>
  <si>
    <t>907 m N</t>
  </si>
  <si>
    <t>Đường số 23 Nguyễn Văn Linh</t>
  </si>
  <si>
    <t>1232/QĐ-UBND
30/10/2015</t>
  </si>
  <si>
    <t>1402 m N</t>
  </si>
  <si>
    <t>Đường số 16-21-25-27 Nguyễn Văn Linh</t>
  </si>
  <si>
    <t>1181/QĐ-UBND
30/10/2015</t>
  </si>
  <si>
    <t>Lát gạch vỉa hè 2400 m</t>
  </si>
  <si>
    <t>Huyện Hòa Thành</t>
  </si>
  <si>
    <t xml:space="preserve">Lát gạch vỉa hè đường Phạm Văn Đồng (đoạn từ ngã tư Ao Hồ đến công viên Hòa Thành)
</t>
  </si>
  <si>
    <t>QT (1086/QĐ-UBND 05/10/2017)</t>
  </si>
  <si>
    <t>1179/QĐ-UBND
30/10 /2015</t>
  </si>
  <si>
    <t>Lát gạch vỉa hè 972 m</t>
  </si>
  <si>
    <t>Lát gạch vỉa hè đường Lý Thường Kiệt (đoạn từ ngã tư UBND huyện Hòa Thành đến cua Đại trí)</t>
  </si>
  <si>
    <t>1182/QĐ-UBND
30/10/2015</t>
  </si>
  <si>
    <t>1180m N</t>
  </si>
  <si>
    <t>Mở rộng đường Phạm Hùng (từ UBND huyện Hòa Thành đến bệnh viện Hòa Thành)</t>
  </si>
  <si>
    <t xml:space="preserve">Thị trấn Trảng Bàng </t>
  </si>
  <si>
    <t>Hệ thống cống nước thải trên địa bàn thị trấn</t>
  </si>
  <si>
    <t>Xây dựng công trình công cộng trước trường THPT Nguyễn Trãi (GĐ2)</t>
  </si>
  <si>
    <t>6150m2</t>
  </si>
  <si>
    <t>Nhà Văn hóa thiếu nhi huyện</t>
  </si>
  <si>
    <t>Khu trung tâm văn hoá thể dục thể thao huyện</t>
  </si>
  <si>
    <t>Bồi thường diện tích khoảng 3ha</t>
  </si>
  <si>
    <t>Bồi thường, giải tỏa bến xe mới Trảng Bàng</t>
  </si>
  <si>
    <t>9487/QĐ-UBND
31/12/2016</t>
  </si>
  <si>
    <t>Xây dựng công trình công cộng trước trường THPT Nguyễn Trãi</t>
  </si>
  <si>
    <t>5631/QĐ-UBND
31/10/2016</t>
  </si>
  <si>
    <t>Làm đường BTN dài 1.376,89 mét; chiều rộng mặt đường 6 mét; lề 2x3m lát gạch terrazzo</t>
  </si>
  <si>
    <t>Bê tông nhựa đường Nguyễn Trọng Cát</t>
  </si>
  <si>
    <t>5630/QĐ-UBND
31/10/2016</t>
  </si>
  <si>
    <t>Làm đường BTN dài 1044,9 mét; đường cấp IV; chiều rộng mặt đường 6 mét; lề 2x3m láng vữa xi măng;</t>
  </si>
  <si>
    <t>Bê tông nhựa đường 22/12</t>
  </si>
  <si>
    <t>4375/QĐ-UBND
30/10/2015</t>
  </si>
  <si>
    <t>400m</t>
  </si>
  <si>
    <t>Lắp đặt hệ thống đèn chiếu sáng đường liên xã Thị Trấn- Gia Lộc</t>
  </si>
  <si>
    <t>4374/QĐ-UBND
30/10/2015</t>
  </si>
  <si>
    <t>419m</t>
  </si>
  <si>
    <t>Lắp đặt hệ thống đèn chiếu sáng đường Huỳnh Thị Hương</t>
  </si>
  <si>
    <t>4372/QĐ-UBND
30/10/2015</t>
  </si>
  <si>
    <t>1473m</t>
  </si>
  <si>
    <t>Lắp đặt hệ thống đèn chiếu sáng đường Đồng Tiến</t>
  </si>
  <si>
    <t>4419/QĐ-UBND
30/10/2015</t>
  </si>
  <si>
    <t>1874m</t>
  </si>
  <si>
    <t>Lắp đặt hệ thống đèn chiếu sáng đường Bùi Thanh Vân</t>
  </si>
  <si>
    <t>4373/QĐ-UBND
30/10/2015</t>
  </si>
  <si>
    <t>300m</t>
  </si>
  <si>
    <t>Lắp đặt hệ thống đèn chiếu sáng đường Nguyễn Văn Kiên</t>
  </si>
  <si>
    <t>265/QĐ-UBND
05/02/2016</t>
  </si>
  <si>
    <t>292,08m BTN, rộng 6m</t>
  </si>
  <si>
    <t>Nâng cấp đường Trưng Nhị</t>
  </si>
  <si>
    <t>84/QĐ-UBND
27/01/2016</t>
  </si>
  <si>
    <t>2254,25m BTN, rộng 5,5m</t>
  </si>
  <si>
    <t>Đường Gia Huỳnh- Thị Trấn</t>
  </si>
  <si>
    <t>4421/QĐ-UBND
30/10/2015</t>
  </si>
  <si>
    <t>590,12m BTN, rộng 5m</t>
  </si>
  <si>
    <t>Đường cây Xộp- Bùi Thanh Vân (Đường Nguyễn Trọng Cát-Bùi Thanh Vân)</t>
  </si>
  <si>
    <t>4386/QĐ-UBND
30/10/2015</t>
  </si>
  <si>
    <t>1.456,49m  BTN, rộng 5,5m</t>
  </si>
  <si>
    <t>Đường liên xã Thị Trấn- Gia Lộc (cua ngân hàng NN đến ĐT 787)</t>
  </si>
  <si>
    <t>4385/QĐ-UBND
30/10/2015</t>
  </si>
  <si>
    <t>BTN với chiều dài tuyến 490.68m; bề rộng mặt đường 6m</t>
  </si>
  <si>
    <t>Đường nối từ đường Nguyễn Du - đường Nguyễn Trọng Cát (Ngang trường mẫu giáo Bông Hồng</t>
  </si>
  <si>
    <t>4434/QĐ-UBND
30/10/2015</t>
  </si>
  <si>
    <t>Lắp đặt hệ thống đèn chiếu sáng đường 787A nối dài</t>
  </si>
  <si>
    <t>3807/QĐ-UBND
23/10/2014</t>
  </si>
  <si>
    <t>1507,84md</t>
  </si>
  <si>
    <t xml:space="preserve">Đường liên xã Thị Trấn- Gia Lộc </t>
  </si>
  <si>
    <t>3826/QĐ-UBND
24/10/2014</t>
  </si>
  <si>
    <t>1.103,13md</t>
  </si>
  <si>
    <t>Đường sau UBND Thị Trấn</t>
  </si>
  <si>
    <t>3825/QĐ-UBND
24/10/2014</t>
  </si>
  <si>
    <t>320,69md</t>
  </si>
  <si>
    <t>Nâng cấp đường Nguyễn Văn Kiên</t>
  </si>
  <si>
    <t>3813/QĐ-UBND 24/10/2014</t>
  </si>
  <si>
    <t>437,04md</t>
  </si>
  <si>
    <t>Nâng cấp đường Lãnh Binh Tòng</t>
  </si>
  <si>
    <t>Ninh Sơn</t>
  </si>
  <si>
    <t>Hẻm số 11-20 đường số 4 Trần Phú, KP Ninh Trung, phường Ninh Sơn</t>
  </si>
  <si>
    <t>Hẻm số 12 đường số 4 Trần Phú, KP Ninh Trung, phường Ninh Sơn</t>
  </si>
  <si>
    <t>lát gạch</t>
  </si>
  <si>
    <t>Ninh Thạnh</t>
  </si>
  <si>
    <t>Nâng cấp vỉa hè đường CMT8</t>
  </si>
  <si>
    <t>Nhựa</t>
  </si>
  <si>
    <t>Đường số 65 và số 66, đường Điện Biên Phủ</t>
  </si>
  <si>
    <t>Đường số 63 và số 64, đường Điện Biên Phủ</t>
  </si>
  <si>
    <t>Đường số 61 và số 62, đường Điện Biên Phủ</t>
  </si>
  <si>
    <t>0,65kmN</t>
  </si>
  <si>
    <t>Đường số 51 và số 52, đường Điện Biên Phủ</t>
  </si>
  <si>
    <t>Đường số 49 và số 50, đường Điện Biên Phủ</t>
  </si>
  <si>
    <t>0,7kmN</t>
  </si>
  <si>
    <t>Đường số 45 và số 46, đường Điện Biên Phủ</t>
  </si>
  <si>
    <t>0,6kmN</t>
  </si>
  <si>
    <t>Đường số 39 và số 40, đường Điện Biên Phủ</t>
  </si>
  <si>
    <t>Đường vào sân bóng đá phường Ninh Sơn (đường số 17 đường Bời Lời)</t>
  </si>
  <si>
    <t>0,294kmNhựa</t>
  </si>
  <si>
    <t>Đường vào Trung tâm điều dưỡng người có công tỉnh Tây Ninh</t>
  </si>
  <si>
    <t>Không thực hiện do trùng tên</t>
  </si>
  <si>
    <t xml:space="preserve">0,721 km nhựa </t>
  </si>
  <si>
    <t>Hẻm số 35 đường số 35 Điện Biên Phủ</t>
  </si>
  <si>
    <t>Đường số 11 - Huỳnh Văn Thanh, ấp Ninh lộc (đường tổ 9A-1)</t>
  </si>
  <si>
    <t>Sỏi đỏ</t>
  </si>
  <si>
    <t>Đường 6A Bời Lời, khu phố Ninh Phú</t>
  </si>
  <si>
    <t>Đường lộ Cây viết, KP Ninh Trung - Ninh Phú</t>
  </si>
  <si>
    <t>XD mời</t>
  </si>
  <si>
    <t>TPTN</t>
  </si>
  <si>
    <t>Cổng chào thành phố Tây Ninh</t>
  </si>
  <si>
    <t xml:space="preserve">0,652 km nhựa </t>
  </si>
  <si>
    <t>Đường số 18 Bời Lời Ninh Trung</t>
  </si>
  <si>
    <t>NSTP thực hiện</t>
  </si>
  <si>
    <t xml:space="preserve">0,640 km nhựa </t>
  </si>
  <si>
    <t>Đường số 16 Bời Lời Ninh Trung</t>
  </si>
  <si>
    <t>Hẻm 35 khu phố Ninh Hoà</t>
  </si>
  <si>
    <t>Hẻm số 6 đường Bời Lời, Ninh Sơn</t>
  </si>
  <si>
    <t>Lắp đặt HTCS đường số 15 Trần Văn Trà, xã Bình Minh</t>
  </si>
  <si>
    <t>Lắp đặt HTCS đường 793, xã Tân Bình</t>
  </si>
  <si>
    <t>Lắp đặt HTCS đường số 4 Trần Phú, phường Ninh Sơn</t>
  </si>
  <si>
    <t>Lắp đặt HTCS đường số 24 Bời Lời, phường Ninh Sơn</t>
  </si>
  <si>
    <t>Lắp đặt HTCS đường số 12 Bời Lời, phường Ninh Sơn</t>
  </si>
  <si>
    <t>Lắp đặt HTCS đường số 25 Bời Lời, phường Ninh Sơn</t>
  </si>
  <si>
    <t>Lắp đặt HTCS đường số 13 Bời Lời, phường Ninh Sơn</t>
  </si>
  <si>
    <t>Lắp đặt HTCS đường số 9 Bời Lời, phường Ninh Sơn</t>
  </si>
  <si>
    <t>Lắp đặt HTCS đường số 5 Bời Lời, phường Ninh Sơn</t>
  </si>
  <si>
    <t>Lắp đặt HTCS đường số 49 Điện Biên Phủ, phường Ninh Sơn</t>
  </si>
  <si>
    <t>Lắp đặt HTCS đường số 14 Điện Biên Phủ, phường Ninh Thạnh</t>
  </si>
  <si>
    <t>Lắp đặt HTCS đường số 68 Điện Biên Phủ, phường Ninh Sơn</t>
  </si>
  <si>
    <t>Lắp đặt HTCS đường 785-Giồng Cà (giai đoạn 2)</t>
  </si>
  <si>
    <t>Lắp đặt HTCS hẻm 87 CMT8, Phường Hiệp Ninh, Thành phố</t>
  </si>
  <si>
    <t>Lắp đặt HTCS hẻm 83 CMT8, Phường Hiệp Ninh, Thành phố</t>
  </si>
  <si>
    <t>Lắp đặt HTCS hẻm 79 CMT8, Phường Hiệp Ninh, Thành phố</t>
  </si>
  <si>
    <t>Lắp đặt HTCS hẻm 77 CMT8, Phường Hiệp Ninh, Thành phố</t>
  </si>
  <si>
    <t>Lắp đặt HTCS đường 784, Phường Ninh Sơn, Thành phố</t>
  </si>
  <si>
    <t xml:space="preserve">0,543 km nhựa </t>
  </si>
  <si>
    <t>Hẻm 12 khu phố Ninh Phước</t>
  </si>
  <si>
    <t xml:space="preserve">0,748 km nhựa </t>
  </si>
  <si>
    <t>Hẻm 166 khu phố Ninh Nghĩa</t>
  </si>
  <si>
    <t xml:space="preserve">0,5 km nhựa </t>
  </si>
  <si>
    <t>Đường vào Văn phòng khu phố Ninh Nghĩa</t>
  </si>
  <si>
    <t xml:space="preserve">1,600 km nhựa </t>
  </si>
  <si>
    <t>Đường số 59 và số 60, đường Điện Biên Phủ</t>
  </si>
  <si>
    <t>2,91kmN</t>
  </si>
  <si>
    <t>Đường số 20 và đường số 21, đường Điện Biên Phủ</t>
  </si>
  <si>
    <t xml:space="preserve">0,970 km nhựa </t>
  </si>
  <si>
    <t>Đường số 32 đường Bời Lời, phường Ninh Sơn</t>
  </si>
  <si>
    <t xml:space="preserve">1,100 km nhựa </t>
  </si>
  <si>
    <t>Đường số 30 đường Bời Lời, phường Ninh Sơn</t>
  </si>
  <si>
    <t xml:space="preserve">1,000 km nhựa </t>
  </si>
  <si>
    <t>Đường số 28 đường Bời Lời, phường Ninh Sơn</t>
  </si>
  <si>
    <t xml:space="preserve">0,780 km nhựa </t>
  </si>
  <si>
    <t>Đường số 24 đường Bời Lời, phường Ninh Sơn</t>
  </si>
  <si>
    <t>Đường số 22 đường Bời Lời, phường Ninh Sơn</t>
  </si>
  <si>
    <t xml:space="preserve">0,720 km nhựa </t>
  </si>
  <si>
    <t>Đường số 20 đường Bời Lời, phường Ninh Sơn</t>
  </si>
  <si>
    <t xml:space="preserve">1,214km nhựa </t>
  </si>
  <si>
    <t>Đường số 21 đường Bời Lời, phường Ninh Sơn</t>
  </si>
  <si>
    <t xml:space="preserve">2,200 km nhựa </t>
  </si>
  <si>
    <t>Đường số 55 và số 56, đường Điện Biên Phủ</t>
  </si>
  <si>
    <t xml:space="preserve">0,700 km nhựa </t>
  </si>
  <si>
    <t>Đường số 35 và số 36, đường Điện Biên Phủ</t>
  </si>
  <si>
    <t>Đường số 31 và số 32, đường Điện Biên Phủ</t>
  </si>
  <si>
    <t xml:space="preserve">0,600 km nhựa </t>
  </si>
  <si>
    <t>Đường số 12, đường Điện Biên Phủ</t>
  </si>
  <si>
    <t xml:space="preserve">0,500 km nhựa </t>
  </si>
  <si>
    <t xml:space="preserve">Đường số 6, đường Điện Biên Phủ </t>
  </si>
  <si>
    <t>0,621 km nhựa</t>
  </si>
  <si>
    <t>Đường số 19, đường Bời Lời - phường Ninh Sơn, thành phố Tây Ninh</t>
  </si>
  <si>
    <t>L=756,45mN; bmđ=6m; lề đường CPSĐ, b=2x1,5m</t>
  </si>
  <si>
    <t>Đường Thuyền nối dài, khu phố Hiệp Thạnh, phường Hiệp Ninh, thành phố Tây Ninh</t>
  </si>
  <si>
    <t>Lắp đèn cao áp 1.368m</t>
  </si>
  <si>
    <t>Hệ thống chiếu sáng đường Huỳnh Công Thắng, phường 1</t>
  </si>
  <si>
    <t>Lắp đèn cao áp 2.115m</t>
  </si>
  <si>
    <t>Hệ thống chiếu sáng đường 785 - Giồng Cà</t>
  </si>
  <si>
    <t>935/QĐ-UBND 29/10/2014; 1141/QĐ-UBND 21/9/2016 (Đ/c)</t>
  </si>
  <si>
    <t>574 m N</t>
  </si>
  <si>
    <t>Hiệp Ninh</t>
  </si>
  <si>
    <t>Đường số 19, đường Điện Biên Phủ, phường Hiệp Ninh, thành phố Tây Ninh</t>
  </si>
  <si>
    <t>1253/QĐ-UBND 30/10/2015</t>
  </si>
  <si>
    <t>414 BTN</t>
  </si>
  <si>
    <t>Hẻm số 29 đường Lạc Long Quân, khu phố 3, phường IV, thành phố Tây Ninh</t>
  </si>
  <si>
    <t>1273/QĐ-UBND 30/10/2015</t>
  </si>
  <si>
    <t>2009 m; 63 bộ đèn Led</t>
  </si>
  <si>
    <t>Lắp đặt hệ thống chiếu sáng đường số 31, phường Ninh Sơn</t>
  </si>
  <si>
    <t>934/QĐ-UBND 29/10/2014; 1140/QĐ-UBND 21/9/2016 (Đ/c)</t>
  </si>
  <si>
    <t>695 mN</t>
  </si>
  <si>
    <t>Đường số 3 và số 2A, đường Điện Biên Phủ, phường Ninh Thạnh, phường Hiệp Ninh, thành phố Tây Ninh</t>
  </si>
  <si>
    <t>938/QĐ-UBND 29/10/2014; 1143/QĐ-UBND 21/9/2016 (Đ/c)</t>
  </si>
  <si>
    <t>1063 mN</t>
  </si>
  <si>
    <t>Đường số 25, đường Điện Biên Phủ, phường Hiệp Ninh, thành phố Tây Ninh</t>
  </si>
  <si>
    <t>940/QĐ-UBND 29/10/2014; 1144/QĐ-UBND 21/9/2016 (Đ/c)</t>
  </si>
  <si>
    <t>917 m N</t>
  </si>
  <si>
    <t>Đường số 33 và số 34, đường Điện Biên Phủ, phường Ninh Thạnh, phường Hiệp Ninh, thành phố Tây Ninh</t>
  </si>
  <si>
    <t>936/QĐ-UBND 29/10/2014; 1142/QĐ-UBND 21/9/2016 (Đ/c)</t>
  </si>
  <si>
    <t>2255 mN</t>
  </si>
  <si>
    <t>Đường số 18, đường Điện Biên Phủ, phường Ninh Thạnh, phường Hiệp Ninh, thành phố Tây Ninh</t>
  </si>
  <si>
    <t>1264/QĐ-UBND 30/10/2015</t>
  </si>
  <si>
    <t>528 m N</t>
  </si>
  <si>
    <t>Hẻm số 107 đường CMT8, khu phố Ninh Phước, phường Ninh Thạnh, thành phố Tây Ninh</t>
  </si>
  <si>
    <t>939/QĐ-UBND 29/10/2014</t>
  </si>
  <si>
    <t>1568 m N</t>
  </si>
  <si>
    <t>Đường số 28, đường Điện Biên Phủ, phường Ninh Thạnh, thành phố Tây Ninh</t>
  </si>
  <si>
    <t>941/QĐ-UBND 29/10/2014</t>
  </si>
  <si>
    <t>631 m N</t>
  </si>
  <si>
    <t>Đường số 37 và số 38, đường Điện Biên Phủ, phường Ninh Thạnh, thành phố Tây Ninh</t>
  </si>
  <si>
    <t>924/QĐ-UBND 29/10/2014</t>
  </si>
  <si>
    <t>1450 m N</t>
  </si>
  <si>
    <t>Đường số 17 đường Bời Lời, phường Ninh Sơn, thành phố Tây Ninh</t>
  </si>
  <si>
    <t>921/QĐ-UBND 29/10/2014</t>
  </si>
  <si>
    <t>982 m N</t>
  </si>
  <si>
    <t>Đường số 7 đường Bời Lời, phường Ninh Sơn, thành phố Tây Ninh</t>
  </si>
  <si>
    <t>920/QĐ-UBND 29/10/2014</t>
  </si>
  <si>
    <t>1340 m N</t>
  </si>
  <si>
    <t>Đường số 5 đường Bời Lời, phường Ninh Sơn, thành phố Tây Ninh</t>
  </si>
  <si>
    <t>859/QĐ-UBND 24/10/2014</t>
  </si>
  <si>
    <t>464 m N</t>
  </si>
  <si>
    <t>phường 3</t>
  </si>
  <si>
    <t>Đường Phạm Văn Xuyên (nối dài), phường 3, thành phố Tây Ninh</t>
  </si>
  <si>
    <t>951/QĐ-UBND 25/10/2012</t>
  </si>
  <si>
    <t>850 m N</t>
  </si>
  <si>
    <t>Đường Cao Thượng Phẩm, xã Ninh Sơn, thị xã Tây Ninh</t>
  </si>
  <si>
    <t>942/QĐ-UBND 25/10/2012</t>
  </si>
  <si>
    <t>770 m N</t>
  </si>
  <si>
    <t>Hẻm số 71 đường CMT8, phường Hiệp Ninh, thị xã Tây Ninh</t>
  </si>
  <si>
    <t>861/QĐ-UBND 24/10/2014</t>
  </si>
  <si>
    <t>221 m BTN</t>
  </si>
  <si>
    <t>Đường 2AT (trước Trung tâm sinh hoạt thanh thiếu niên), phường 3, thành phố Tây Ninh</t>
  </si>
  <si>
    <t>336/QĐ-UBND 11/6/2014</t>
  </si>
  <si>
    <t>817 m N</t>
  </si>
  <si>
    <t>Phường 3, Hiệp Ninh</t>
  </si>
  <si>
    <t>Đường I (Trường Chinh) nối dài, thị xã Tây Ninh (nay là thành phố Tây Ninh)</t>
  </si>
  <si>
    <t>855/QĐ-UBND 24/10/2014</t>
  </si>
  <si>
    <t>292 m BTN</t>
  </si>
  <si>
    <t>Đường nội bộ cặp Công viên KP1, Phường 3</t>
  </si>
  <si>
    <t>853/QĐ-UBND 24/10/2014</t>
  </si>
  <si>
    <t>Tp TN</t>
  </si>
  <si>
    <t>Số hóa công tác quản lý địa bàn dân cư tại thành phố Tây Ninh</t>
  </si>
  <si>
    <t>PHÁT TRIỂN THÀNH PHỐ, THỊ XÃ</t>
  </si>
  <si>
    <t>XÂY DỰNG NÔNG THÔN MỚI</t>
  </si>
  <si>
    <t>TMĐT /QT</t>
  </si>
  <si>
    <t>Ghi chú</t>
  </si>
  <si>
    <t>Chênh lệch NSĐP</t>
  </si>
  <si>
    <t>Chênh lệch</t>
  </si>
  <si>
    <t>Kế hoạch trung hạn giai đoạn 2016-2020 của địa phương</t>
  </si>
  <si>
    <r>
      <t xml:space="preserve">Lũy kế số vốn đã bố trí từ khởi công đến hết năm 2015 </t>
    </r>
    <r>
      <rPr>
        <vertAlign val="superscript"/>
        <sz val="13"/>
        <color theme="1"/>
        <rFont val="Times New Roman"/>
        <family val="1"/>
      </rPr>
      <t>(*)</t>
    </r>
  </si>
  <si>
    <t>`</t>
  </si>
  <si>
    <t>(Biểu kèm theo Tờ trình số           -TTr/BCSĐ ngày       tháng       năm 2018 của Ban cán sự Đảng UBND tỉnh)</t>
  </si>
  <si>
    <t>(Kèm theo Quyết định số            /2018/QĐ-UBND ngày       tháng       năm 2018 của UBND tỉnh Tây Ninh)</t>
  </si>
  <si>
    <t>(Kèm theo Nghị quyết số  ……….../2018/NQ-HĐND ngày ……  tháng …... năm 2018 của Hội đồng nhân dân tỉnh Tây Ninh)</t>
  </si>
  <si>
    <t>SỬA ĐỔI, BỔ SUNG DANH MỤC DỰ ÁN DỰ KIẾN BỐ TRÍ  KẾ HOẠCH ĐẦU TƯ CÔNG TRUNG HẠN GIAI ĐOẠN 2016-2020 NGUỒN VỐN TỈNH HỖ TRỢ MỤC TIÊU CHO HUYỆN KÈM THEO NGHỊ QUYẾT SỐ 11/2017/NQ-HĐND NGÀY 13 THÁNG 7 NĂM 2017 CỦA HỘI ĐỒNG NHÂN DÂN TỈNH TÂY NINH</t>
  </si>
  <si>
    <t>Phụ lục II</t>
  </si>
  <si>
    <t>Cải tạo, sửa chữa Văn phòng khu phố Nội Ô A</t>
  </si>
  <si>
    <t>Cải tạo, sửa chữa Văn phòng khu phố Thanh Bình C</t>
  </si>
  <si>
    <t>Bê tông xi măng đường Ô 5 Khu phố Thanh Bình A</t>
  </si>
  <si>
    <t>Bê tông xi măng các hẻm số 16, 20, 22 QL22B Khu phố Rạch Sơn</t>
  </si>
  <si>
    <t>BTXM hẻm đường QL22B (điểm đầu Quán cà phê Như Ý, điểm cuối đường Hẻm số 28) và hẻm số 7 đường Lê Hồng Phong</t>
  </si>
  <si>
    <t>Bê tông xi măng hẻm số 28 QL22B Khu phố Rạch Sơn</t>
  </si>
  <si>
    <t>Bê tông xi măng hẻm số 7 QL22A</t>
  </si>
  <si>
    <t>Bê tông xi măng hẻm đường Huỳnh Thúc Kháng, Ô 3 Khu phố Thanh Bình C</t>
  </si>
  <si>
    <t>Bê tông xi măng đường tổ dân cư tự quản số 22, các hẻm đường Trường Chinh, hẻm đường Nam Kỳ Khởi Nghĩa, Khu phố Thanh Bình A</t>
  </si>
  <si>
    <t>Bê tông xi măng đường Dương Văn Nốt (đoạn từ nhà thờ tổ kim hoàn đến cuối tuyến đường Dương Văn Nốt) và hẻm tổ 11  Khu phố Thanh Bình A</t>
  </si>
  <si>
    <t>Bê tông xi măng các đường hẻm tổ 6, tổ 7, tổ 9 Khu phố Thanh Bình A</t>
  </si>
  <si>
    <t>Bê tông xi măng hẻm đường Lê Trọng Tấn, tổ 9 và đoạn cuối đường Huỳnh Công Thắng, Khu phố Thanh Hà</t>
  </si>
  <si>
    <t>Bê tông xi măng Ô 1/195 và hẻm đường Trường Chinh (điểm đầu nhà trọ Cẩm Tú - điểm cuối đường Phạm Hùng), Khu phố Thanh Hà</t>
  </si>
  <si>
    <t>Bê tông xi măng hẻm số 4 đường Lê Hồng Phong; hẻm đường Lê Trọng Tấn; hẻm đường Phạm Hùng; Khu phố Thanh Hà</t>
  </si>
  <si>
    <t>Bê tông xi măng các hẻm thuộc Ô 1 + Ô 2; Khu phố Thanh Hà</t>
  </si>
  <si>
    <t>Bê tông xi măng hẻm nối với hẻm số 10 Ô 1 Khu phố Thanh Bình A (điểm cuối đất cao su của ông Võ Văn Tiến)</t>
  </si>
  <si>
    <t>Mương thoát nước đường Lê Trọng Tấn</t>
  </si>
  <si>
    <t>Mương thoát nước đường Phạm Hùng</t>
  </si>
  <si>
    <t>Bê tông xi măng các hẻm đường Lê Trọng Tấn Ô 2 và hẻm số 15 QL22B, khu phố Rạch Sơn.</t>
  </si>
  <si>
    <t>Bê tông xi măng các hẻm số 14 + 19 +21 QL22B, khu phố Rạch Sơn.</t>
  </si>
  <si>
    <t>Trồng cây xanh trang trí ven đường thị trấn Gò Dầu</t>
  </si>
  <si>
    <t>Cải tạo sân nền huyện Đoàn Gò Dầu</t>
  </si>
  <si>
    <t>31</t>
  </si>
  <si>
    <t>32</t>
  </si>
  <si>
    <t>33</t>
  </si>
  <si>
    <t>34</t>
  </si>
  <si>
    <t>35</t>
  </si>
  <si>
    <t>36</t>
  </si>
  <si>
    <t>37</t>
  </si>
  <si>
    <t>38</t>
  </si>
  <si>
    <t>39</t>
  </si>
  <si>
    <t>40</t>
  </si>
  <si>
    <t>41</t>
  </si>
  <si>
    <t>42</t>
  </si>
  <si>
    <t>43</t>
  </si>
  <si>
    <t>44</t>
  </si>
  <si>
    <t>45</t>
  </si>
  <si>
    <t>46</t>
  </si>
  <si>
    <t>47</t>
  </si>
  <si>
    <t>48</t>
  </si>
  <si>
    <t>49</t>
  </si>
  <si>
    <t>50</t>
  </si>
  <si>
    <t>51</t>
  </si>
  <si>
    <t>52</t>
  </si>
  <si>
    <t>53</t>
  </si>
  <si>
    <t>Bổ sung vốn</t>
  </si>
  <si>
    <t>KẾ HOẠCH VỐN ĐẦU TƯ CÔNG TRUNG HẠN GIAI ĐOẠN 2016-2020 
NGUỒN VỐN NGÂN SÁCH TỈNH</t>
  </si>
  <si>
    <t>(Kèm theo Quyết định số            /2017/QĐ-UBND ngày       tháng       năm 2017 của UBND tỉnh Tây Ninh)</t>
  </si>
  <si>
    <t xml:space="preserve">                  (Kèm theo Tờ trình số            /TTr-UBND ngày       tháng       năm 2018 của UBND tỉnh Tây Ninh)           </t>
  </si>
  <si>
    <t>LĨNH VỰC</t>
  </si>
  <si>
    <t>ĐỊNH MỨC VỐN THEO CV 2972/UBND-KTN NGÀY 09/10/2015</t>
  </si>
  <si>
    <t>KẾ HOẠCH VỐN TRUNG HẠN 2016-2020 ĐIỀU CHỈNH
 (Bao gồm KH đã giao tại QĐ số 28/2017/QĐ-UBND và KH dự kiến vốn bổ sung đợt này)</t>
  </si>
  <si>
    <t>NHU CẦU ĐIỀU CHỈNH CỦA ĐƠN VỊ</t>
  </si>
  <si>
    <t>DỰ KIẾN ĐIỀU CHỈNH</t>
  </si>
  <si>
    <t>KẾ HOẠCH  VỐN TRUNG HẠN 2016-2020</t>
  </si>
  <si>
    <t>CHÊNH LỆCH</t>
  </si>
  <si>
    <t>GHI CHÚ</t>
  </si>
  <si>
    <t>TỔNG KẾ HOẠCH</t>
  </si>
  <si>
    <t>CÁC DỰ ÁN  ĐIỀU CHỈNH ĐỢT NÀY</t>
  </si>
  <si>
    <t>TĂNG</t>
  </si>
  <si>
    <t>GIẢM</t>
  </si>
  <si>
    <t>NSTT</t>
  </si>
  <si>
    <t>NGUỒN GIẢM VỐN ĐIỀU LỆ, GIẢM TRÍCH QUỸ DỰ PHÒNG CỦA CÔNG TY XSKT</t>
  </si>
  <si>
    <t>NGUỒN THU PHÍ SỬ DỤNG CÔNG TRÌNH KẾT CẤU HẠ TẦNG ĐỐI VỚI PHƯƠNG TIỆN RA VÀO CỬA KHẨU</t>
  </si>
  <si>
    <t>TỔNG</t>
  </si>
  <si>
    <t>TỈNH QUẢN LÝ</t>
  </si>
  <si>
    <t>Thực hiện đầu tư</t>
  </si>
  <si>
    <t>Giao thông</t>
  </si>
  <si>
    <t>Y tế</t>
  </si>
  <si>
    <t>Giáo dục, đào tạo và dạy nghề</t>
  </si>
  <si>
    <t>Khoa học và công nghệ</t>
  </si>
  <si>
    <t>Khu dân cư, cụm dân cư biên giới</t>
  </si>
  <si>
    <t>Văn hóa - Thể thao - Xã hội</t>
  </si>
  <si>
    <t>An ninh quốc phòng</t>
  </si>
  <si>
    <t>Trụ sở làm việc các cơ quan, khác</t>
  </si>
  <si>
    <t>Dự phòng</t>
  </si>
  <si>
    <t>HUYỆN QUẢN LÝ</t>
  </si>
  <si>
    <t>Xây dựng nông thôn mới</t>
  </si>
  <si>
    <t>Phát triển thành phố, thị xã</t>
  </si>
  <si>
    <t>Hỗ trợ xây dựng trường chuẩn quốc gia</t>
  </si>
  <si>
    <t>Đề án Hỗ trợ phát triển giáo dục mầm non tại vùng nông thôn trên địa bàn tỉnh Tây Ninh, giai đoạn 2017-2020</t>
  </si>
  <si>
    <t>Hỗ trợ khác</t>
  </si>
  <si>
    <t xml:space="preserve"> VỀ NGUỒN THU PHÍ SỬ DỤNG CÔNG TRÌNH KẾT CẤU HẠ TẦNG ĐỐI VỚI PHƯƠNG TIỆN RA VÀO CỬA KHẨU</t>
  </si>
  <si>
    <t>Phụ lục III</t>
  </si>
  <si>
    <t>Thanh toán KL</t>
  </si>
  <si>
    <t>Huyện quản lý</t>
  </si>
  <si>
    <t>Bổ sung, thay đổi tên DA</t>
  </si>
  <si>
    <t>Bổ sung vốn để đẩy nhanh tiến độ thực hiện (trong đó, nguồn tăng thu ngân sách tỉnh 2017 là 31,2 tỷ đồng)</t>
  </si>
  <si>
    <t xml:space="preserve">Giảm KH vốn để giãn tiến độ sang giai đoạn sau </t>
  </si>
  <si>
    <t>Bổ sung vốn cho phù hợp thực tế</t>
  </si>
  <si>
    <t>Bổ sung vốn để hoàn thành dự án</t>
  </si>
  <si>
    <t>Giảm KH vốn</t>
  </si>
  <si>
    <t>SỬA ĐỔI, BỔ SUNG DANH MỤC DỰ ÁN DỰ KIẾN BỐ TRÍ  KẾ HOẠCH ĐẦU TƯ CÔNG TRUNG HẠN GIAI ĐOẠN 2016-2020 NGUỒN VỐN TỈNH QUẢN LÝ 
KÈM THEO NGHỊ QUYẾT SỐ 11/2017/NQ-HĐND NGÀY 13 THÁNG 7 NĂM 2017 CỦA HỘI ĐỒNG NHÂN DÂN TỈNH TÂY NINH</t>
  </si>
  <si>
    <t>SỬA ĐỔI, BỔ SUNG DANH MỤC DỰ ÁN DỰ KIẾN BỐ TRÍ  KẾ HOẠCH ĐẦU TƯ CÔNG TRUNG HẠN GIAI ĐOẠN 2016-2020 NGUỒN VỐN TỈNH HỖ TRỢ MỤC TIÊU CHO HUYỆN KÈM THEO CÁC NGHỊ QUYẾT SỐ: 11/2017/NQ-HĐND NGÀY 13 THÁNG 7 NĂM 2017 VÀ 06/2018/NQ-HĐND NGÀY 29 THÁNG 3 NĂM 2018 CỦA HỘI ĐỒNG NHÂN DÂN TỈNH TÂY NINH</t>
  </si>
  <si>
    <t>Thời gian thực hiện</t>
  </si>
  <si>
    <t>Chênh lệch vốn HTCK</t>
  </si>
  <si>
    <t>Trong đó vốn HTCK</t>
  </si>
  <si>
    <t>Tăng</t>
  </si>
  <si>
    <t>Giảm</t>
  </si>
  <si>
    <t xml:space="preserve">Đường và cầu Bến Đình </t>
  </si>
  <si>
    <t>Vốn TW 
5 tỷ đồng</t>
  </si>
  <si>
    <t>Đường nội bộ 65 Khu kinh tế cửa khẩu Mộc Bài</t>
  </si>
  <si>
    <t>1,5km</t>
  </si>
  <si>
    <t>110/QD-BQLKKT
24/10/2013</t>
  </si>
  <si>
    <t xml:space="preserve">95.387 (gđ 1: 6.290)
</t>
  </si>
  <si>
    <t>Mở rộng, nâng cấp, cải tạo, sửa chữa Trạm kiểm soát cửa khẩu Mộc Bài</t>
  </si>
  <si>
    <t>Mộc Bài</t>
  </si>
  <si>
    <t>Sửa chữa, mở
 rộng, cải tạo trạm kiểm soát liên hợp</t>
  </si>
  <si>
    <t>89/QĐ-BQLKKT
31/10/2014</t>
  </si>
  <si>
    <t>Có đối ứng từ nguồn NSĐP 46,7 tỷ đồng</t>
  </si>
  <si>
    <t>Hỗ trợ mục tiêu huyện</t>
  </si>
  <si>
    <t>Cầu Long Hưng trên tuyến đường vào cửa khẩu Cây Me, huyện Bến Cầu, tỉnh Tây Ninh</t>
  </si>
  <si>
    <t>cầu BTCT, l=31,24m; b=9m</t>
  </si>
  <si>
    <t xml:space="preserve"> 678/QĐ-SKHĐT 09/04/2011; 273/QĐ-SKHĐT 14/11/2014 (điều chỉnh)</t>
  </si>
  <si>
    <t xml:space="preserve">Đường ra cửa khẩu Chàng Riệc xã Tân Lập </t>
  </si>
  <si>
    <t>1125/QĐ-UBND 30/10/2014</t>
  </si>
  <si>
    <t>lắp đặt hệ thống camera công nghệ cao</t>
  </si>
  <si>
    <t>Vốn NS tỉnh 3,7 tỷ</t>
  </si>
  <si>
    <t>Doanh trại Trạm kiểm soát Biên phòng cửa khẩu quốc tế Xa Mát</t>
  </si>
  <si>
    <t>Nhà điều hành 256,26 m2; nhà ở cán bộ chiến sĩ và kho tang vật: 534,74m2 và các hạng mục phụ trợ khác</t>
  </si>
  <si>
    <t>302/QĐ-SKHĐT
30/10/2015</t>
  </si>
  <si>
    <t>Bổ sung các hạng mục cổng, hàng rào, sân, đường nội bộ, cột cờ đồn công an khu kinh tế cửa khẩu Mộc Bài</t>
  </si>
  <si>
    <t>Xây dựng mới hàng rào, cổng chính, sân bê tông; sân điều lệnh, trụ cờ, san lắp một phần ao</t>
  </si>
  <si>
    <t>312/QĐ-SKHĐT
30/10/2015</t>
  </si>
  <si>
    <t>Đồn Biên phòng Vàm Trảng Trâu (839) và Trạm kiểm soát biên phòng Bến Cầu</t>
  </si>
  <si>
    <t>Biên Giới, Châu Thành</t>
  </si>
  <si>
    <t>03 khối nhà 2 tầng, tổng DT sàn 1.744m2 và các công trình phụ trợ</t>
  </si>
  <si>
    <t>2491/QĐ-UBND
30/10/2015</t>
  </si>
  <si>
    <t>Xây dựng lắp đặt hệ thống biển báo 12 cửa khẩu phụ trên biên giới tỉnh Tây Ninh</t>
  </si>
  <si>
    <t>tại 12 cửa khẩu phụ</t>
  </si>
  <si>
    <t>lắp đặt 26 biển báo</t>
  </si>
  <si>
    <t>294/QĐ-SKHĐT
30/10/2015</t>
  </si>
  <si>
    <t>Sửa chữa Văn phòng đại diện tại Mộc Bài</t>
  </si>
  <si>
    <t>Sơn lại toàn bộ, thay mới gạch ốp, lát nền, sửa chưa và thay thê trang thiết bị</t>
  </si>
  <si>
    <t>300/QĐ-SHKĐT
30/10/2015</t>
  </si>
  <si>
    <t>Xây mới nhà xe, bảng tên, cải tạo nhà bảo vệ tại trạm kiểm soát Xa Mát</t>
  </si>
  <si>
    <t>Xa Mát</t>
  </si>
  <si>
    <t>90/QĐ-BQLKKT
31/10/2014</t>
  </si>
  <si>
    <t>Đường DD23 khu kinh tế cửa khẩu Mộc Bài</t>
  </si>
  <si>
    <t>1,672km BTN</t>
  </si>
  <si>
    <t>2240/QĐ-CT
26/12/2003;
67/QĐ-BQLKKT
18/8/2014</t>
  </si>
  <si>
    <t>Đường Tiên Thuận 9</t>
  </si>
  <si>
    <t>3 kmN</t>
  </si>
  <si>
    <t>1932/QĐ-UBND 24/9/2013</t>
  </si>
  <si>
    <t>Đường chốt biên phòng Long Cường đi cầu Thúc Múc, Long Hưng</t>
  </si>
  <si>
    <t>4,143km N</t>
  </si>
  <si>
    <t>1989/QĐ-UBND 01/10/2013</t>
  </si>
  <si>
    <t xml:space="preserve"> Trạm kiểm soát liên hợp cửa khẩu Chàng Riệc</t>
  </si>
  <si>
    <t>Tân Lập, 
Tân Biên</t>
  </si>
  <si>
    <t>Xây dựng các
 phòng chức năng kiểm soát liên hợp DT 366m2</t>
  </si>
  <si>
    <t>1145/QĐ-UBND 30/10/2014</t>
  </si>
  <si>
    <t xml:space="preserve"> Đường ra cửa khẩu Chàng Riệc (đoạn nối tiếp) xã Tân Lập, huyện Tân Biên</t>
  </si>
  <si>
    <t>1.055,35m</t>
  </si>
  <si>
    <t>1035/QĐ-UBND 29/10/2015</t>
  </si>
  <si>
    <t>Xây dựng bến xe, bãi san hàng cửa khẩu phụ Chàng Riệc-Xã Tân Lập</t>
  </si>
  <si>
    <t>1136/QĐ-UBND 30/10/2013</t>
  </si>
  <si>
    <t>Tỉnh hỗ 70% TMĐT dự án</t>
  </si>
  <si>
    <t>Nâng cấp ngã tư Chàng Riệc huyện Tân Biên</t>
  </si>
  <si>
    <t>493,59m BTN rộng 6m</t>
  </si>
  <si>
    <t>1034/QĐ-UBND 29/10/2015</t>
  </si>
  <si>
    <t>Gia tải cầu Hòa Bình xã Hòa Thạnh</t>
  </si>
  <si>
    <t>cầu BTCT, l=37,5m; b=4,8m</t>
  </si>
  <si>
    <t>275/QĐ-UBND
30/10/2014</t>
  </si>
  <si>
    <t>Gia tải cầu Nàng Dình xã Biên Giới</t>
  </si>
  <si>
    <t>cầu BTCT, l=49,7m; b=5,4m</t>
  </si>
  <si>
    <t>276/QĐ-UBND
30/10/2014</t>
  </si>
  <si>
    <t>Nâng cấp đường huyện 7 (đoạn từ chợ Hòa Bình đến chốt biên phòng Vàm Trảng Trâu)</t>
  </si>
  <si>
    <r>
      <t>l=14,306km BTN; b</t>
    </r>
    <r>
      <rPr>
        <vertAlign val="subscript"/>
        <sz val="13"/>
        <color theme="1"/>
        <rFont val="Times New Roman"/>
        <family val="1"/>
      </rPr>
      <t>mđ</t>
    </r>
    <r>
      <rPr>
        <sz val="13"/>
        <color theme="1"/>
        <rFont val="Times New Roman"/>
        <family val="1"/>
      </rPr>
      <t xml:space="preserve"> = 6m; b</t>
    </r>
    <r>
      <rPr>
        <vertAlign val="subscript"/>
        <sz val="13"/>
        <color theme="1"/>
        <rFont val="Times New Roman"/>
        <family val="1"/>
      </rPr>
      <t>nđ</t>
    </r>
    <r>
      <rPr>
        <sz val="13"/>
        <color theme="1"/>
        <rFont val="Times New Roman"/>
        <family val="1"/>
      </rPr>
      <t xml:space="preserve"> = 8m</t>
    </r>
  </si>
  <si>
    <t>265/QĐ-SKHĐT
30/10/2015</t>
  </si>
  <si>
    <t>Đường dẫn nội đồng số 6 xã Tân Lập</t>
  </si>
  <si>
    <t>1,185kmN, bmđ=3,5m</t>
  </si>
  <si>
    <t>1072/QĐ-UBND
29/10/2015</t>
  </si>
  <si>
    <t>Đường dẫn nội đồng số 6 xã Tân Lập (gđ2)</t>
  </si>
  <si>
    <t>4,121kmN, bmđ=3,5m</t>
  </si>
  <si>
    <t>3215/QĐ-UBND
26/10/2016</t>
  </si>
  <si>
    <t>Đường dẫn trạm 2 Suối Mây ra đường 792 gần Trạm gác biên phòng Xa Mát</t>
  </si>
  <si>
    <t>1,58kmN, bmđ=5m</t>
  </si>
  <si>
    <t>3217/QĐ-UBND
26/10/2016</t>
  </si>
  <si>
    <t>Nạo vét rạch Đìa Xù</t>
  </si>
  <si>
    <t>Đường nông sản xã Tân Lập</t>
  </si>
  <si>
    <t>xã Tân Lập</t>
  </si>
  <si>
    <t>5.962,1m</t>
  </si>
  <si>
    <t>3263/QĐ-UBND 
28/10/2016</t>
  </si>
  <si>
    <t>Sử dụng từ nguồn thu phí sử dụng công trình Kết cấu hạ tầng năm 2016 chuyển sang 2017 là 9,718 tỷ đồng (nguồn dự toán năm 2016) để thực hiện hoàn thành dự án.</t>
  </si>
  <si>
    <t>Đường Thạnh Tây-Hòa Hiệp (Đoạn từ KM4+000 - KM7 +100)</t>
  </si>
  <si>
    <t>xã Thạnh Tây-xã Hòa Hiệp</t>
  </si>
  <si>
    <t>3.100m</t>
  </si>
  <si>
    <t>3222/QĐ-UBND 
27/10/2016</t>
  </si>
  <si>
    <t>Đầu tư các đồn biên phòng theo cam kết với BQP</t>
  </si>
  <si>
    <t>Đồn BP Long Phước (847)</t>
  </si>
  <si>
    <t>Xã Long Phước, Bến Cầu, Tây Ninh</t>
  </si>
  <si>
    <t>Theo thiết kế mẫu đồn biên phòng năm 2014 của Bộ trưởng BQP</t>
  </si>
  <si>
    <t>2124/QĐ-UBND
08/9/2017</t>
  </si>
  <si>
    <t>Dự án dự kiến hoàn thành và bàn giao đưa vào sử dụng sau 2020</t>
  </si>
  <si>
    <t>Đồn BP Suối Lam</t>
  </si>
  <si>
    <t>Xã Suối Ngô,Tân Châu, Tây Ninh</t>
  </si>
  <si>
    <t>Xã Tân Hà, Tân Châu, Tây Ninh</t>
  </si>
  <si>
    <t>Kế hoạch trung hạn điều chỉnh giai đoạn 2016-2020 của địa phương</t>
  </si>
  <si>
    <t>Chênh lệch NSĐP (so với NQ số 06)</t>
  </si>
  <si>
    <t>Điều chỉnh NSĐP
 (so với NQ 06)</t>
  </si>
  <si>
    <t>Trung tâm GDTX Châu Thành và trường THPT Châu Thành</t>
  </si>
  <si>
    <t>Bổ sung DA, điều chỉnh tên DA</t>
  </si>
  <si>
    <t>Xây dựng một số hạng mục chính (giai đoạn 2019-2020) để đánh giá lại hiệu quả đầu tư của dự án</t>
  </si>
  <si>
    <t>NGUỒN TĂNG THU NGÂN SÁCH TỈNH (2017 là 50 tỷ và 2018 là 70 tỷ)</t>
  </si>
  <si>
    <t>TÊN DỰ ÁN</t>
  </si>
  <si>
    <t>Xây dựng nhà nghỉ cán bộ BCHQS tỉnh</t>
  </si>
  <si>
    <t>Xây dựng mới Trụ sở làm việc văn phòng ĐKĐD tỉnh Tây Ninh - Chi nhánh huyện Tân Biên</t>
  </si>
  <si>
    <t>Xây dựng mới Trụ sở làm việc văn phòng ĐKĐD tỉnh Tây Ninh - Chi nhánh huyện Trảng Bàng</t>
  </si>
  <si>
    <t>TMĐT</t>
  </si>
  <si>
    <t>Đường Thạnh Tây - Hòa Hiệp (Km3+060-Km4+000 và từ Km12+624,75-Km14+647)</t>
  </si>
  <si>
    <t>Tuyến đường đã xuống cấp gây khó khăn trong lưu thông, cần thiết phải đầu tư nâng cấp để đảm bảo giao thông và phục vụ ANQP</t>
  </si>
  <si>
    <t xml:space="preserve">Tuyến đường nối liền với trục đường đi Bến Đình, lưu lượng xe tải nặng lớn, hiện đã xuống cấp gây khó khăn trong lưu thông, cần thiết phải đầu tư nâng cấp để đảm bảo giao thông </t>
  </si>
  <si>
    <t>Nhằm đảm bảo nhu cầu nghỉ ngơi của cán bộ thuộc Bộ CHQS tỉnh</t>
  </si>
  <si>
    <t>VP ĐKĐD các huyện sử dụng chung trụ sở làm việc với Phòng TNMT, chưa đảm bảo về diện tích, không đảm bảo nhu cầu hoạt động của đơn vị, cần thiết phải xây dựng mới để đáp ứng yêu cầu nhiệm vụ</t>
  </si>
  <si>
    <t>Lát gạch vỉa hè và trồng cây xanh đường Lê Hồng Phong</t>
  </si>
  <si>
    <t>Bê tông xi măng đường nối Nam Kỳ Khởi Nghĩa và Phạm Hùng; hẻm 13 đường Hùng Vương và hẻm đường Lê Trọng Tấn đến kênh N18-20; Khu phố Thanh Hà</t>
  </si>
  <si>
    <t>Lắp đặt hệ thống camera giám sát công nghệ cao tại các cửa khẩu chính, cửa khẩu phụ trên địa bàn tỉnh Tây Ninh</t>
  </si>
  <si>
    <t>7 cửa khẩu và Phòng chỉ huy trung tâm tại BCH BĐBP tỉnh</t>
  </si>
  <si>
    <t>Phục vụ công tác kiểm tra, giám sát hoạt động xuất nhập cảnh, đảm bảo duy trì ANTT tại khu vực cửa khẩu</t>
  </si>
  <si>
    <t>Đơn vị đề xuất</t>
  </si>
  <si>
    <t>Dự kiến bổ sung KH 2016-2020</t>
  </si>
  <si>
    <t>Cải tạo, nâng cấp nhựa tuyến đường H21 (đường TB2)</t>
  </si>
  <si>
    <t>Láng nhựa đường dân cư Bàu Rã xã Thạnh Bắc (đường TBA1)</t>
  </si>
  <si>
    <t>Nhà làm việc UBND xã Trà Vong</t>
  </si>
  <si>
    <t>Trường THCS Thị trấn, hạng mục: xây mới 08 phòng học</t>
  </si>
  <si>
    <t>UBND huyện Tân Biên tại Tờ trình số 364/TTr-UBND ngày 25/10/2018</t>
  </si>
  <si>
    <t>Nâng cấp đường bao Thị trấn Bến Cầu (đoạn từ gần cầu Đìa Xù đến giáp đường Tiên Thuận 9)</t>
  </si>
  <si>
    <t>Nâng cấp đường bao Thị trấn Bến Cầu - giai đoạn 1 (từ đường 786 đến đường Tiên Thuận 9)</t>
  </si>
  <si>
    <t>Nâng cấp, mở rộng bê tông nhựa tuyến đường ranh Thị trấn Bến Cầu đến đường Xuyên Á (đường Cầu Phao)</t>
  </si>
  <si>
    <t>Nâng cấp sửa chữa tuyến đường Long Khánh - Bàu Nổ</t>
  </si>
  <si>
    <t>UBND huyện Bến Cầu tại Tờ trình số 213/TTr-UBND ngày 08/11/2018</t>
  </si>
  <si>
    <t>Bê tông nhựa đường ấp Trâm Vàng 1 - 4 xã Thanh Phước (đường vào Bệnh viện Xuyên Á)</t>
  </si>
  <si>
    <t>UBND huyện Gò Dầu tại Tờ trình số 213/TTr-UBND ngày 08/11/2018</t>
  </si>
  <si>
    <t>Bệnh viện Xuyên Á đóng góp 55% CPXD</t>
  </si>
  <si>
    <t>Xây dựng doanh trại Đại đội bộ binh 54 / Ban CHQS huyện Trảng Bàng</t>
  </si>
  <si>
    <t>BCHQS tỉnh tại Công văn số 3013/BCH-HC ngày 13/11/2018</t>
  </si>
  <si>
    <t>Sở Tài nguyên &amp; Môi trường tại Công văn số 6226/STNMT-KHTC ngày 06/11/2018</t>
  </si>
  <si>
    <t>BCH BĐBP tỉnh tại Tờ trình số 2180/TTr-BCH ngày 01/11/2018</t>
  </si>
  <si>
    <t>Xây dựng mới Trụ sở làm việc văn phòng ĐKĐD tỉnh Tây Ninh</t>
  </si>
  <si>
    <t>Xây dựng mới Trụ sở làm việc văn phòng ĐKĐD tỉnh Tây Ninh - Chi nhánh huyện Dương Minh Châu</t>
  </si>
  <si>
    <t>Xây dựng mới Trụ sở làm việc văn phòng ĐKĐD tỉnh Tây Ninh - Chi nhánh huyện Gò Dầu</t>
  </si>
  <si>
    <t>Xây dựng mới Trụ sở làm việc văn phòng ĐKĐD tỉnh Tây Ninh - Chi nhánh huyện Châu Thành</t>
  </si>
  <si>
    <t>Xây dựng mới Trụ sở làm việc văn phòng ĐKĐD tỉnh Tây Ninh - Chi nhánh huyện Bến Cầu</t>
  </si>
  <si>
    <t>Nhu cầu bổ sung KH vốn</t>
  </si>
  <si>
    <t>TỔNG HỢP NHU CẦU BỔ SUNG KẾ HOẠCH VỐN 2016-2020 CÁC DỰ ÁN KHỞI CÔNG MỚI CHƯA ĐIỀU CHỈNH ĐỢT NÀY</t>
  </si>
  <si>
    <t>Điều chỉnh TMĐT và thời gian thực hiện DA</t>
  </si>
  <si>
    <t>Đã có nhà đầu tư thực hiện</t>
  </si>
  <si>
    <t>Cụm liên ấp công trình cấp nước xã Ninh Điền (Bến Cừ - Gò Nổi)</t>
  </si>
  <si>
    <t>276/QĐ-SKHĐT 30/10/2018</t>
  </si>
  <si>
    <t>Điều chỉnh TMĐT, thời gian thực hiện DA</t>
  </si>
  <si>
    <t>Thay đổi tên DA, bổ sung vốn</t>
  </si>
  <si>
    <t>Không thực hiện do chưa tranh thủ được vốn TW</t>
  </si>
  <si>
    <t>Xây mới Trụ sở làm việc Sở Văn hóa, Thể thao và Du lịch</t>
  </si>
  <si>
    <t>Trụ sở làm việc Trung tâm Văn hóa nghệ thuật tỉnh</t>
  </si>
  <si>
    <t>Sở VH, TT&amp;DL tại Công văn số 1193/SVHTTDL-KHTC ngày 14/11/2018</t>
  </si>
  <si>
    <t>Đối ứng dự án ODA, dừng thực hiện DA do đã có nhà đầu tư</t>
  </si>
  <si>
    <t>Đường số 54 Điện Biên Phủ, Khu phố Ninh Tân, phường Ninh Sơn</t>
  </si>
  <si>
    <t>Không sử dụng vốn ĐP, NS Bộ CA 100%</t>
  </si>
  <si>
    <t>Tân Bình</t>
  </si>
  <si>
    <t>Bình Minh</t>
  </si>
  <si>
    <t>NGUỒN BỔ SUNG CÓ MỤC TIÊU TỪ NGÂN SÁCH TRUNG ƯƠNG NĂM 2017 CHO NGÂN SÁCH ĐỊA PHƯƠNG</t>
  </si>
  <si>
    <t>Nông nghiệp và Phát triển nông thôn</t>
  </si>
  <si>
    <t>Trụ sở cơ quan, khác</t>
  </si>
  <si>
    <t>TRỤ SỞ CƠ QUAN, KHÁC</t>
  </si>
  <si>
    <t>Xây mới mở rộng diện tích kho lưu trữ cho VP ĐKĐĐ tỉnh Tây Ninh- Chi nhánh huyện Gò Dầu</t>
  </si>
  <si>
    <t>Xây mới Trụ sở làm việc VP ĐKĐĐ tỉnh Tây Ninh - Chi nhánh huyện Tân Châu</t>
  </si>
  <si>
    <t>Xây mới Trụ sở làm việc VP ĐKĐĐ tỉnh Tây Ninh - Chi nhánh huyện Trảng Bàng</t>
  </si>
  <si>
    <t>Điều chỉnh NSĐP T5/2019</t>
  </si>
  <si>
    <t>Kế hoạch trung hạn giai đoạn 2016-2020 của địa phương sau ĐC T5/2019</t>
  </si>
  <si>
    <t>Trường mẫu giáo Trường Hòa</t>
  </si>
  <si>
    <t>Bổ sung KH vốn để hoàn thành DA</t>
  </si>
  <si>
    <t>Điều chỉnh T10/2018</t>
  </si>
  <si>
    <t>Sửa chữa</t>
  </si>
  <si>
    <t>Thảm BTN đường Nguyễn Lương Bằng</t>
  </si>
  <si>
    <t>Trụ sở UBND Thị trấn Hòa Thành</t>
  </si>
  <si>
    <t>Chênh lệch NSĐP T10/2018</t>
  </si>
  <si>
    <r>
      <t>Lát gạch vỉa hè đường Lê Văn Thới; đổ bê tông xi măng vỉa hè đường Hồ Văn Suối. Tổng diện tích lát gạch và đổ bê tông vỉa hè là 1.780m</t>
    </r>
    <r>
      <rPr>
        <vertAlign val="superscript"/>
        <sz val="13"/>
        <rFont val="Times New Roman"/>
        <family val="1"/>
      </rPr>
      <t>2</t>
    </r>
    <r>
      <rPr>
        <sz val="13"/>
        <rFont val="Times New Roman"/>
        <family val="1"/>
      </rPr>
      <t>.</t>
    </r>
  </si>
  <si>
    <r>
      <t>- Làm đường BTN dài 1.200 mét; chiều rộng mặt đường 8,0 mét; lề 2x2,0m đắp đất cấp II. Suất đầu tư 1.334.000 đồng/m</t>
    </r>
    <r>
      <rPr>
        <vertAlign val="superscript"/>
        <sz val="13"/>
        <rFont val="Times New Roman"/>
        <family val="1"/>
      </rPr>
      <t>2</t>
    </r>
    <r>
      <rPr>
        <sz val="13"/>
        <rFont val="Times New Roman"/>
        <family val="1"/>
      </rPr>
      <t>.</t>
    </r>
  </si>
  <si>
    <r>
      <t>Xây mới khối phòng chức năng quy mô 1 trệt 02 lầu, diện tích sàn xây dựng 489m</t>
    </r>
    <r>
      <rPr>
        <vertAlign val="superscript"/>
        <sz val="13"/>
        <rFont val="Times New Roman"/>
        <family val="1"/>
      </rPr>
      <t>2</t>
    </r>
    <r>
      <rPr>
        <sz val="13"/>
        <rFont val="Times New Roman"/>
        <family val="1"/>
      </rPr>
      <t>; xây dựng hệ thống PCCC và mương thoát nước.</t>
    </r>
  </si>
  <si>
    <r>
      <t>Xây mới trụ sở làm việc với diện tích 820m</t>
    </r>
    <r>
      <rPr>
        <vertAlign val="superscript"/>
        <sz val="13"/>
        <rFont val="Times New Roman"/>
        <family val="1"/>
      </rPr>
      <t>2</t>
    </r>
    <r>
      <rPr>
        <sz val="13"/>
        <rFont val="Times New Roman"/>
        <family val="1"/>
      </rPr>
      <t>, trong đó diện tích làm việc 428,4m</t>
    </r>
    <r>
      <rPr>
        <vertAlign val="superscript"/>
        <sz val="13"/>
        <rFont val="Times New Roman"/>
        <family val="1"/>
      </rPr>
      <t>2</t>
    </r>
    <r>
      <rPr>
        <sz val="13"/>
        <rFont val="Times New Roman"/>
        <family val="1"/>
      </rPr>
      <t>; xây mới nhà xe nhân viên, xe khách; sân nền, đường nọi bộ; bố trí trạm hạ thế 50kVA; mua sắm trang thiết bị làm việc.</t>
    </r>
  </si>
  <si>
    <r>
      <t>Xây mới trụ sở làm việc với diện tích 908 m</t>
    </r>
    <r>
      <rPr>
        <vertAlign val="superscript"/>
        <sz val="13"/>
        <rFont val="Times New Roman"/>
        <family val="1"/>
      </rPr>
      <t>2</t>
    </r>
    <r>
      <rPr>
        <sz val="13"/>
        <rFont val="Times New Roman"/>
        <family val="1"/>
      </rPr>
      <t>, trong đó diện tích làm việc 438,7m</t>
    </r>
    <r>
      <rPr>
        <vertAlign val="superscript"/>
        <sz val="13"/>
        <rFont val="Times New Roman"/>
        <family val="1"/>
      </rPr>
      <t>2</t>
    </r>
    <r>
      <rPr>
        <sz val="13"/>
        <rFont val="Times New Roman"/>
        <family val="1"/>
      </rPr>
      <t>; xây mới nhà xe nhân viên, xe khách; sân nền, đường nội bộ; bố trí trạm hạ thế 50kVA; mua sắm trang thiết bị làm việc.</t>
    </r>
  </si>
  <si>
    <t>Làm đường và đặt cống tiêu vào kênh TT3, TT3.2</t>
  </si>
  <si>
    <t>Đường Thạnh Tây - Hòa Hiệp (Đoạn từ  K3+060 đến K4+000 và từ Km12+624,75 đến Km 14+647)</t>
  </si>
  <si>
    <t>Xã Hòa Hiệp</t>
  </si>
  <si>
    <t>Đường liên xã Thạnh Tây - Thạnh Bình</t>
  </si>
  <si>
    <t>xã Thạnh Tây</t>
  </si>
  <si>
    <t>2.962,25 m</t>
  </si>
  <si>
    <t>5.705 m</t>
  </si>
  <si>
    <t>xã Thạnh Bắc</t>
  </si>
  <si>
    <t>4.088 m</t>
  </si>
  <si>
    <t>Cải tạo, nâng cấp tuyến đường H21 (TB2) xã Thạnh Bắc</t>
  </si>
  <si>
    <t>Láng nhựa đường dân cư Bàu Rã, xã Thạnh Bắc (đường TBA1)</t>
  </si>
  <si>
    <t>4.089 m</t>
  </si>
  <si>
    <t>Đào hồ, san nền, làm kè bờ thượng lưu suối Cần Đăng</t>
  </si>
  <si>
    <t>Đào hồ, san nền, làm kè bờ hạ lưu suối Cần Đăng</t>
  </si>
  <si>
    <t>xã Trà Vong</t>
  </si>
  <si>
    <t>Xây mới nhà làm việc UBND xã Trà Vong</t>
  </si>
  <si>
    <t>Xây mới 08 phòng học trường THCS Thị trấn</t>
  </si>
  <si>
    <t xml:space="preserve">Xây dựng các hạng mục Trung tâm văn hóa huyện (hồ bơi, sân tennis) </t>
  </si>
  <si>
    <t xml:space="preserve">Xây dựng các hạng mục Trung tâm văn hóa huyện (các hạng mục còn lại theo quy hoạch) </t>
  </si>
  <si>
    <t>Tách thành các dự án thành phần cho phù hợp thực tế</t>
  </si>
  <si>
    <t xml:space="preserve">Xây dựng các hạng mục Trung tâm văn hóa huyện (nhà thi đấu đa năng và trồng cây xanh) </t>
  </si>
  <si>
    <t>Mở rộng nâng cấp tuyến đường H-BC-14 (đoạn từ Trạm y tế xã Tiên Thuận đến chợ Bàu Tràm Lớn)</t>
  </si>
  <si>
    <t>Làm mới mặt đường bờ bắc kênh Đìa Xù (đoạn từ cầu Đìa Xù đến Cầu Trắng ấp Rừng Dầu xã Tiên Thuận)</t>
  </si>
  <si>
    <t>3 km</t>
  </si>
  <si>
    <t>Long Giang</t>
  </si>
  <si>
    <t>Bổ sung KH vốn</t>
  </si>
  <si>
    <t>Bê tông nhựa đường Hương lộ 1</t>
  </si>
  <si>
    <t>Cải tạo vỉa hè QL22B đoạn thị trấn</t>
  </si>
  <si>
    <t>Cải tạo nâng cấp đường Hùng Vương</t>
  </si>
  <si>
    <t>Xã Thanh Phước - Phước Đông</t>
  </si>
  <si>
    <t>1,7 km</t>
  </si>
  <si>
    <t>Làm mới</t>
  </si>
  <si>
    <t>Bê tông nhựa đường Cầu Sao - Xóm Đồng</t>
  </si>
  <si>
    <t>Bổ sung vốn QT</t>
  </si>
  <si>
    <t>Đông Hà</t>
  </si>
  <si>
    <t>Đường Suối Đá - Phan</t>
  </si>
  <si>
    <t>Đường Lộc Tân - Suối Nhánh</t>
  </si>
  <si>
    <t>Bờ bao chống ngập trụ sở xã Bàu Năng</t>
  </si>
  <si>
    <t>375/QĐ-UBND, 29/09/2017</t>
  </si>
  <si>
    <t>Đường trung tâm xã Hảo Đước</t>
  </si>
  <si>
    <t>Đường huyện 26 (điểm đầu đường 786-điểm cuối ruộng ông Huấn)</t>
  </si>
  <si>
    <t>Trường mẫu giáo Thanh Điền B</t>
  </si>
  <si>
    <t>Nâng cấp trụ sở UBND xã An Cơ</t>
  </si>
  <si>
    <t>Thanh Điền</t>
  </si>
  <si>
    <t>An Cơ</t>
  </si>
  <si>
    <t>3,7 km láng nhựa, b=3,5m</t>
  </si>
  <si>
    <t xml:space="preserve"> b=5m; Tuyến chính 3,508km láng nhựa và tuyến nhánh 564m sỏi đỏ</t>
  </si>
  <si>
    <t>Khối 04 phòng học, cổng, hàng rào, nhà thường trực, khối nhà ăn, nhà xe, đài nước, bể PCCC, san lấp MB, trang thiết bị</t>
  </si>
  <si>
    <t>Trường TH Đặng Văn Trước</t>
  </si>
  <si>
    <t>Đường Cây Dương (đoạn từ ngã 3 An Thới đến ngã 3 Bố Heo)</t>
  </si>
  <si>
    <t>Láng nhựa đường Đình Phước Hậu 1</t>
  </si>
  <si>
    <t>Lắp đặt hệ thống điện chiếu sáng đoạn từ Suối Sâu đến nhà thờ Bình Nguyên</t>
  </si>
  <si>
    <t>Gia Bình</t>
  </si>
  <si>
    <t>An Tịnh - Gia Bình</t>
  </si>
  <si>
    <t>2300m</t>
  </si>
  <si>
    <t>Không thực hiện do đã đầu tư bằng nguồn NS huyện</t>
  </si>
  <si>
    <t>Cột DA không thực hiện</t>
  </si>
  <si>
    <t>SỬA ĐỔI, BỔ SUNG DANH MỤC DỰ ÁN DỰ KIẾN BỐ TRÍ  KẾ HOẠCH ĐẦU TƯ CÔNG TRUNG HẠN GIAI ĐOẠN 2016-2020 NGUỒN VỐN TỈNH QUẢN LÝ 
KÈM THEO CÁC NGHỊ QUYẾT SỐ: 11/2017/NQ-HĐND NGÀY 13 THÁNG 7 NĂM 2017 VÀ 17/2018/NQ-HĐND NGÀY 12 THÁNG 12 NĂM 2018 CỦA HỘI ĐỒNG NHÂN DÂN TỈNH TÂY NINH</t>
  </si>
  <si>
    <t>SỬA ĐỔI, BỔ SUNG DANH MỤC DỰ ÁN DỰ KIẾN BỐ TRÍ  KẾ HOẠCH ĐẦU TƯ CÔNG TRUNG HẠN GIAI ĐOẠN 2016-2020 NGUỒN VỐN TỈNH HỖ TRỢ MỤC TIÊU CHO HUYỆN KÈM THEO CÁC NGHỊ QUYẾT SỐ: 11/2017/NQ-HĐND NGÀY 13 THÁNG 7 NĂM 2017 VÀ 17/2018/NQ-HĐND NGÀY 12 THÁNG 12 NĂM 2018 CỦA HỘI ĐỒNG NHÂN DÂN TỈNH TÂY NINH</t>
  </si>
  <si>
    <t>Chương trình phát triển giáo dục trung học giai đoạn 2 (khoản vay chính sách), tiểu dự án Tây Ninh</t>
  </si>
  <si>
    <t>94/QĐ-SKHĐT 29/3/2019</t>
  </si>
  <si>
    <t>Làm đường và cầu suối Núc Trà Hiệp - Tân Định</t>
  </si>
  <si>
    <t>xã Trà Vong, Tân Biên và xã Tân Bình, TP.TN</t>
  </si>
  <si>
    <t>Đường ĐT.790 nối dài, đoạn từ đường Khedol - Suối Đá (ĐT.790B) đến Bờ Hồ - Bàu Vuông - Cống số 3 (ĐT.781B) giai đoạn 2</t>
  </si>
  <si>
    <t>Hệ thống thoát nước cuối hẻm 77 đường CMT8, TPTN</t>
  </si>
  <si>
    <t>Đường Lê Duẩn nối dài</t>
  </si>
  <si>
    <t>Xây dựng mới Cầu Suối Đùn</t>
  </si>
  <si>
    <t>Đường số 11 - Bời Lời, phường Ninh Sơn</t>
  </si>
  <si>
    <t>Hẻm 41, Đường số 57, đường Điện Biên Phủ, KP. Ninh Thọ, Ninh Sơn</t>
  </si>
  <si>
    <t>Đường số 2, Trần phú, Khu phố Ninh Trung</t>
  </si>
  <si>
    <t>Đường số 44A Điện Biên Phủ và đoạn cuối đường số 5 Bời Lời , Khu phố Ninh Tân, phường Ninh Sơn</t>
  </si>
  <si>
    <t>Hẻm số 02 đường Huỳnh Tấn Phát, phường Ninh Sơn</t>
  </si>
  <si>
    <t>Hẻm số 03 đường Huỳnh Văn Thanh, phường Ninh Sơn</t>
  </si>
  <si>
    <t>Hẻm số 33 đường Bời Lời, Phường Ninh Sơn</t>
  </si>
  <si>
    <t>Đường số 65 - 66, Khu phố Ninh Tân, phường Ninh Sơn</t>
  </si>
  <si>
    <t>Hẻm 10 đường Trường Chinh</t>
  </si>
  <si>
    <t>Hẻm 85 nối dài</t>
  </si>
  <si>
    <t>Hẻm 16 đường Huỳnh Tấn Phát</t>
  </si>
  <si>
    <t>Hẻm 20 đường Huỳnh Tấn Phát</t>
  </si>
  <si>
    <t>Hẻm 12 đường Huỳnh Tấn Phát</t>
  </si>
  <si>
    <t>Hẻm ngang số 29-30 đường Trường Chinh</t>
  </si>
  <si>
    <t>Hẻm ngang tổ 20, đường 35-36 Trường Chinh</t>
  </si>
  <si>
    <t>Hẻm ngang tổ 1,2, đường 9-10 Trường Chinh</t>
  </si>
  <si>
    <t>Hẻm ngang tổ 2-7, Đs 5 Bời Lời</t>
  </si>
  <si>
    <t>Hẻm ngang tổ 19-24 Đs 18 Trường Chinh</t>
  </si>
  <si>
    <t>Hẻm Ngang Văn phòng Ninh Lợi, Đs1 17-18 Trường Chinh</t>
  </si>
  <si>
    <t>Hẻm ngang tổ 21-25, Đs 24 Trường Chinh</t>
  </si>
  <si>
    <t>Hẻm ngang tổ 2 Đs 11 Trường Chinh (3 - 4 Trường Chinh)</t>
  </si>
  <si>
    <t>Hẻm ngang tổ 16 Đs 39-40 Trường Chinh</t>
  </si>
  <si>
    <t>Hẻm ngang tổ 18 Đs 37-38 Trường Chinh</t>
  </si>
  <si>
    <t>Đường số 24 đường Điện Biên Phủ</t>
  </si>
  <si>
    <t>Hẻm 7 và nhánh hẻm 13 đường Trưng Nữ Vương, KP5, Phường 1</t>
  </si>
  <si>
    <t>Hẻm 4 Quốc lộ 22B và hẻm nhánh hẻm 01 đường CMT8 thông qua hẻm nhánh hẻm 8 Quốc lộ 22B, KP3, Phường 1</t>
  </si>
  <si>
    <t>Hẻm 4, 8 đường Huỳnh Công Nghệ, KP5, Phường 1</t>
  </si>
  <si>
    <t>Đoạn cuối hẻm 6 Trần Văn Trà và đoạn cuối hẻm số 20 đường Tua Hai, KP2, Phường 1</t>
  </si>
  <si>
    <t>Hẻm 4 đường Nguyễn Chí Thanh, KP6, Phường 3, thành phố Tây Ninh</t>
  </si>
  <si>
    <t>Nhánh 1 hẻm 18 đường Nguyễn Văn Rốp, KP5, Phường IV, thành phố Tây Ninh</t>
  </si>
  <si>
    <t>Cống thoát nước</t>
  </si>
  <si>
    <t xml:space="preserve">18,6m BTCT dự ứng lực </t>
  </si>
  <si>
    <t>613,91m Láng nhựa</t>
  </si>
  <si>
    <t xml:space="preserve">987,65m Láng nhựa </t>
  </si>
  <si>
    <t>1.181,79m Láng nhựa</t>
  </si>
  <si>
    <t xml:space="preserve">286,44m Láng nhựa </t>
  </si>
  <si>
    <t xml:space="preserve">432,89m Láng nhựa </t>
  </si>
  <si>
    <t>1.131,90m Láng nhựa</t>
  </si>
  <si>
    <t xml:space="preserve">436,81m BTXM </t>
  </si>
  <si>
    <t xml:space="preserve">408,88m Láng nhựa </t>
  </si>
  <si>
    <t>658,83m láng nhựa</t>
  </si>
  <si>
    <t>897,64m láng nhựa</t>
  </si>
  <si>
    <t>706,35m láng nhựa</t>
  </si>
  <si>
    <t>411,81m láng nhựa</t>
  </si>
  <si>
    <t>355,24m láng nhựa</t>
  </si>
  <si>
    <t>328,69 láng nhựa</t>
  </si>
  <si>
    <t>327,77m láng nhựa</t>
  </si>
  <si>
    <t>788,73m láng nhựa</t>
  </si>
  <si>
    <t>895,51m láng nhựa</t>
  </si>
  <si>
    <t>403,96m láng nhựa</t>
  </si>
  <si>
    <t>1088,37m láng nhựa</t>
  </si>
  <si>
    <t>893,26m láng nhựa</t>
  </si>
  <si>
    <t>1040,96m láng nhựa</t>
  </si>
  <si>
    <t>332,88m láng nhựa</t>
  </si>
  <si>
    <t>379,05m láng nhựa</t>
  </si>
  <si>
    <t>1542,32 láng nhựa</t>
  </si>
  <si>
    <t>531,08m BTXm</t>
  </si>
  <si>
    <t>527,03m BTXM</t>
  </si>
  <si>
    <t>330,91m BTXM</t>
  </si>
  <si>
    <t>596,11m BTXM</t>
  </si>
  <si>
    <t>537,51m BTXM</t>
  </si>
  <si>
    <t>114,67m BTXM</t>
  </si>
  <si>
    <t>Phường Hiệp Ninh, TPTN</t>
  </si>
  <si>
    <t>Phường Ninh Sơn, TPTN</t>
  </si>
  <si>
    <t>Phường Ninh Thạnh, TPTN</t>
  </si>
  <si>
    <t>Phường 1, TPTN</t>
  </si>
  <si>
    <t>Phường 3, TPTN</t>
  </si>
  <si>
    <t>Phường IV, TPTN</t>
  </si>
  <si>
    <t>Bổ sung DA mới, giai đoạn 2016-2020 đền bù</t>
  </si>
  <si>
    <t>Xây dựng cơ sở hạ tầng khu tái định cư, nhà ở cho hộ nghèo, hộ người có công Thành phố</t>
  </si>
  <si>
    <t>Trường TH Hùng Vương</t>
  </si>
  <si>
    <t>Mở rộng khu vực phòng thủ Thành phố</t>
  </si>
  <si>
    <t xml:space="preserve">Cải tạo, sửa chữa Hội trường UBND phường Ninh Thạnh </t>
  </si>
  <si>
    <t>Xây mới trụ sở BCH Quân sự Phường 1 và sửa chữa Hội trường UBND Phường 1</t>
  </si>
  <si>
    <t>Sửa chữa trụ sở và Xây mới nhà để xe Công an Phường IV</t>
  </si>
  <si>
    <t>Xây mới nhà nghỉ, nhà ăn và nhà để xe BCH Quân sự phường IV</t>
  </si>
  <si>
    <t>Xây mới trụ sở làm việc chung: Trạm trồng trọt bảo vệ thực vật, khuyến nông, chăn nuôi thú y Thành phố</t>
  </si>
  <si>
    <t>Cải tạo, nâng cấp sân nền UBND xã Tân Bình</t>
  </si>
  <si>
    <t>Nâng cấp, sửa chữa chợ Tân Bình, TP.Tây Ninh</t>
  </si>
  <si>
    <t xml:space="preserve">Cải tạo, nâng cấp Đài truyền thanh Thành phố </t>
  </si>
  <si>
    <t>Xây mới + sửa chữa</t>
  </si>
  <si>
    <t>515,48 m2 Xây mới</t>
  </si>
  <si>
    <t>Nâng cấp, cải tạo</t>
  </si>
  <si>
    <t>Cải tạo, nâng cấp</t>
  </si>
  <si>
    <t>xã Bình Minh, TPTN</t>
  </si>
  <si>
    <t>phường Ninh Thạnh, TPTN</t>
  </si>
  <si>
    <t>xã Tân Bình, TPTN</t>
  </si>
  <si>
    <t>Tân Bình, TPTN</t>
  </si>
  <si>
    <t>Phường 2, TPTN</t>
  </si>
  <si>
    <t>277/QĐ-SKHĐT 30/10/2018</t>
  </si>
  <si>
    <t>260/QĐ-SKHĐT 29/10/2018</t>
  </si>
  <si>
    <t>1 trệt, 1 lầu, 373 m2</t>
  </si>
  <si>
    <t>481/QĐ-SKHĐT 27/10/2017</t>
  </si>
  <si>
    <t>261/QĐ-SKHĐT
29/10/2018</t>
  </si>
  <si>
    <t>Đầu tư trang thiết bị cho bệnh viên tỉnh, huyện</t>
  </si>
  <si>
    <t>Kế hoạch trung hạn giai đoạn 2016-2020 của địa phương sau ĐC tại NQ số 17/2018/NQ-HĐND ngày 12/12/2018</t>
  </si>
  <si>
    <t>Thanh toán KLTH</t>
  </si>
  <si>
    <t>Thực hiện theo Quyết định số 1755/QĐ-UBND ngày 12/7/2018 của Chủ tịch UBND tỉnh TN</t>
  </si>
  <si>
    <t>Bổ sung DA mới, vốn NS tỉnh hỗ trợ 50%</t>
  </si>
  <si>
    <t>Đường Nguyễn Trọng Cát nối dài</t>
  </si>
  <si>
    <t>Nâng cấp đường E, KP5, P3, TP.TN</t>
  </si>
  <si>
    <t>Đoạn cuối đường Trường Chinh (cũ), KP hiệp Thạnh, phường Hiệp Ninh</t>
  </si>
  <si>
    <t>Hẻm 15 đường Huỳnh Tấn Phát, KP Hiệp Thạnh, phường Hiệp Ninh</t>
  </si>
  <si>
    <t>Hẻm 03, 04 đường Thuyền, KP. Hiệp Thạnh, phường Hiệp Ninh</t>
  </si>
  <si>
    <t>Đường tổ 7B - 13 Điện Biên Phủ, KP. Ninh Hòa, phường Ninh Thạnh</t>
  </si>
  <si>
    <t>Hẻm19,20 đường Thuyền, KP. Hiệp Bình - Hiệp Thạnh, phường Hiệp Ninh</t>
  </si>
  <si>
    <t>700 m láng nhựa</t>
  </si>
  <si>
    <t>1000 m láng nhựa</t>
  </si>
  <si>
    <t>800 m láng nhựa</t>
  </si>
  <si>
    <t>850 m láng nhựa</t>
  </si>
  <si>
    <t>900 m láng nhựa</t>
  </si>
  <si>
    <t>345 m láng nhựa</t>
  </si>
  <si>
    <t>340 m BTXM</t>
  </si>
  <si>
    <t>Nạo vét rạch Tây Ninh từ cầu Bến dầu đến cầu Quan thành phố Tây Ninh</t>
  </si>
  <si>
    <t>Nhà tang lễ</t>
  </si>
  <si>
    <t>Nạo vét rạch</t>
  </si>
  <si>
    <t>Dãy F trường Trần Hưng Đạo</t>
  </si>
  <si>
    <t>Xây mới 06 phòng</t>
  </si>
  <si>
    <t>Nâng cấp trung tâm y tế huyện Trảng Bàng</t>
  </si>
  <si>
    <t>An Tịnh, Trảng Bàng</t>
  </si>
  <si>
    <t>2535/QĐ-UBND 30/10/2017; 1781/QĐ-UBND 17/7/2018</t>
  </si>
  <si>
    <t>1315,1 m2</t>
  </si>
  <si>
    <t>10 ha</t>
  </si>
  <si>
    <t>Hệ thống cống thoát nước (đoạn từ chợ mới Trảng Bàng đến ngã ba đường tránh xuyên Á)</t>
  </si>
  <si>
    <t>2,5km</t>
  </si>
  <si>
    <t>Chỉnh trang đường Nguyễn Văn Rốp</t>
  </si>
  <si>
    <t>Đường nội bộ khu văn hóa thể thao</t>
  </si>
  <si>
    <t>1 km (cống, lót vỉa hè, trồng cây xanh, đèn)</t>
  </si>
  <si>
    <t>Bổ sung DA mới, vốn NS tỉnh 5 tỷ</t>
  </si>
  <si>
    <t>Sân bóng đá và đường chạy khu văn hóa thể thao</t>
  </si>
  <si>
    <t>Cầu bộ hành tại công viên trước UBND huyện Trảng Bàng</t>
  </si>
  <si>
    <t>Ngầm hóa điện trung thế QL22 (đoạn công viên trước UBND huyện)</t>
  </si>
  <si>
    <t>Hồ điều hòa - công viên trước trường THPT Nguyễn Trãi</t>
  </si>
  <si>
    <t>Trồng cây xanh - lát đá công viên trước trường THPT Nguyễn Trãi</t>
  </si>
  <si>
    <t>Bê tông nhựa đường Huỳnh Thị Hương</t>
  </si>
  <si>
    <t>Cầu Thanh niên</t>
  </si>
  <si>
    <t>Nâng cấp bê tông nhựa đường Bình Nguyên 2 (đoạn từ đường tránh xuyến á đến An Thới)</t>
  </si>
  <si>
    <t>Láng nhựa đường Lộc Hòa - Trảng Cỏ</t>
  </si>
  <si>
    <t>Láng nhựa đường Bàu Chèo</t>
  </si>
  <si>
    <t>Trong đó: NSĐP tỉnh</t>
  </si>
  <si>
    <t>Nâng cấp bê tông nhựa đường Lộc Vĩnh - Lộc Chánh (từ ngã ba Lộc Tân đến ngã ba Cây Dương)</t>
  </si>
  <si>
    <t>Láng nhựa đường cầu mương</t>
  </si>
  <si>
    <t>Nâng cấp bê tông nhựa đường Cầu Chùa - Lộc Vĩnh</t>
  </si>
  <si>
    <t>Lộc Hưng</t>
  </si>
  <si>
    <t>An Hòa</t>
  </si>
  <si>
    <t>1,5 km</t>
  </si>
  <si>
    <t>1,2 km</t>
  </si>
  <si>
    <t>1,8 km</t>
  </si>
  <si>
    <t>Xây mới trụ sở UBND xã Long Giang</t>
  </si>
  <si>
    <t>Trường THCS Tiên Thuận</t>
  </si>
  <si>
    <t>Bổ sung mới, sử dụng vốn thừa của DA Trường THCS An Thạnh</t>
  </si>
  <si>
    <t>Tiên Thuận, Bến Cầu</t>
  </si>
  <si>
    <t>Đường giao thông nội thị giai đoạn 2 (nhánh 30/4)</t>
  </si>
  <si>
    <t>Đường giao thông nội thị giai đoạn 2 (nhánh Nguyễn Văn Trỗi)</t>
  </si>
  <si>
    <t>Nâng cấp đường Đông Thành - suối Dầm - Đông Hà (ĐH.814)</t>
  </si>
  <si>
    <t>7,6 km láng nhựa, bmđ=5,5m, lề 2x1m sỏi đỏ</t>
  </si>
  <si>
    <t>Đường lộ 244</t>
  </si>
  <si>
    <t>13,25 km láng nhựa, bmđ=5,5m, nền 7m</t>
  </si>
  <si>
    <t>Đường lộ Thanh niên</t>
  </si>
  <si>
    <t>Đề án bố trí KDC ấp Tân Lâm, xã Tân Hà</t>
  </si>
  <si>
    <t>Đường nội bộ KDC số 01</t>
  </si>
  <si>
    <t>Đường nội bộ KDC số 03</t>
  </si>
  <si>
    <t>Đường nội bộ khu sản xuất - KDC số 01</t>
  </si>
  <si>
    <t>Đường nội bộ khu sản xuất - KDC số 02</t>
  </si>
  <si>
    <t>Đường nội bộ khu sản xuất - KDC số 03</t>
  </si>
  <si>
    <t>Nhà văn hóa sinh hoạt cộng đồng TDTT ấp Tân Lâm</t>
  </si>
  <si>
    <t>Tân Hà</t>
  </si>
  <si>
    <t>Chuyển từ vốn tỉnh quản lý sang tỉnh HTMT</t>
  </si>
  <si>
    <t>7,758 km láng nhựa, bmđ=5,5m, nền 7m</t>
  </si>
  <si>
    <t xml:space="preserve"> Dự án phát triển hạ tầng phục vụ chuyển đổi cây trồng xã Lộc Ninh, huyện DMC - HM: nạo vét kết hợp làm đường giao thông nội đồng 02 kênh tiêu T12A, T12-17</t>
  </si>
  <si>
    <t xml:space="preserve"> Dự án phát triển hạ tầng phục vụ chuyển đổi cây trồng xã Phước Ninh, xã Phước Minh huyện DMC - HM: nạo vét kết hợp làm đường giao thông nội đồng 03 kênh tiêu T0-2, T0-3, A4</t>
  </si>
  <si>
    <t xml:space="preserve"> Dự án phát triển hạ tầng phục vụ chuyển đổi cây trồng xã Truông Mít, huyện DMC - HM: nạo vét kết hợp làm đường giao thông nội đồng 02 kênh tiêu T12-13, T12-16</t>
  </si>
  <si>
    <t xml:space="preserve"> Dự án phát triển hạ tầng phục vụ chuyển đổi cây trồng xã Tân Phong, xã Mỏ Công, huyện Tân Biên - HM: nạo vét kết hợp làm đường giao thông nội đồng 02 kênh tiêu T1, T3</t>
  </si>
  <si>
    <t>Dự án Phát triển các đô thị dọc hành lang tiểu vùng sông Mekong, hợp phần tỉnh Tây Ninh - phần vốn kết dư, vay vốn ADB</t>
  </si>
  <si>
    <t xml:space="preserve">Nâng cấp, mở rộng đường An Thạnh - Phước Chỉ dài 14,1km; xây dựng Hệ thống thu gom nước thải dài 29km và các trạm bơm chuyển bậc </t>
  </si>
  <si>
    <t>1826/QĐ-TTg 16/11/2017</t>
  </si>
  <si>
    <t>2,812 km BTXM, b=3,5m</t>
  </si>
  <si>
    <t>0,758 km BTXM, b=3,5m</t>
  </si>
  <si>
    <t>3,895 km sỏi đỏ, b=5m</t>
  </si>
  <si>
    <t>4,762 km sỏi đỏ, b=5m</t>
  </si>
  <si>
    <t>5,233 km sỏi đỏ, b=5m</t>
  </si>
  <si>
    <t>San lấp MB + Xây mới</t>
  </si>
  <si>
    <t>10.000 m3/ngđ</t>
  </si>
  <si>
    <t>12.000 m3/ngđ</t>
  </si>
  <si>
    <t>1.100 m3/ngđ</t>
  </si>
  <si>
    <t>Nâng cấp mở rộng đường số 15 Nguyễn Văn Linh</t>
  </si>
  <si>
    <t xml:space="preserve">                    Nguồn SXKT: Nguồn tăng thu ngân sách hàng năm + Nguồn tăng thu XSKT 2018 + Nguồn thoái vốn tại các doanh nghiệp NN</t>
  </si>
  <si>
    <r>
      <t>*</t>
    </r>
    <r>
      <rPr>
        <b/>
        <i/>
        <u/>
        <sz val="14"/>
        <rFont val="Times New Roman"/>
        <family val="1"/>
        <charset val="204"/>
      </rPr>
      <t xml:space="preserve"> Ghi chú:</t>
    </r>
    <r>
      <rPr>
        <sz val="14"/>
        <rFont val="Times New Roman"/>
        <family val="1"/>
      </rPr>
      <t xml:space="preserve"> Nguồn NSTT: Nguồn tăng thu ngân sách hàng năm + Nguồn thu phí hạ tầng cửa khẩu.</t>
    </r>
  </si>
  <si>
    <t>Đã đầu tư bằng NS huyện</t>
  </si>
  <si>
    <t>Láng nhựa đường vào sân bóng đá xã Long Giang huyện Bến Cầu</t>
  </si>
  <si>
    <t>1,3km nhựa</t>
  </si>
  <si>
    <t>Phước Ninh - Phước Minh</t>
  </si>
  <si>
    <t>NGUỒN THOÁI VỐN NN TẠI CÁC DOANH NGHIỆP NĂM 2018</t>
  </si>
  <si>
    <r>
      <rPr>
        <b/>
        <i/>
        <sz val="14"/>
        <rFont val="Times New Roman"/>
        <family val="1"/>
        <charset val="204"/>
      </rPr>
      <t xml:space="preserve">* </t>
    </r>
    <r>
      <rPr>
        <b/>
        <i/>
        <u/>
        <sz val="14"/>
        <rFont val="Times New Roman"/>
        <family val="1"/>
        <charset val="204"/>
      </rPr>
      <t>Ghi chú:</t>
    </r>
    <r>
      <rPr>
        <sz val="14"/>
        <rFont val="Times New Roman"/>
        <family val="1"/>
      </rPr>
      <t xml:space="preserve"> Nguồn NSTT: Nguồn tăng thu ngân sách hàng năm + Nguồn thu phí hạ tầng cửa khẩu + nguồn thu tiền sử dụng đất 2019-2020.
                    Nguồn XSKT: Nguồn tăng thu ngân sách hàng năm + Nguồn tăng thu XSKT 2018 </t>
    </r>
  </si>
  <si>
    <t>(Kèm theo Tờ trình số            /TTr-SKHĐT ngày       tháng       năm 2019 của Sở Kế hoạch và Đầu tư Tây Ninh)</t>
  </si>
  <si>
    <t>(Kèm theo Quyết định số            /2019/QĐ-UBND ngày       tháng       năm 2019 của Ủy ban nhân dân tỉnh Tây Ninh)</t>
  </si>
  <si>
    <t>Hệ thống thoát nước đường Trịnh Phong Đáng</t>
  </si>
  <si>
    <t>Đường ĐH8 (đoạn ĐT 784 - bờ kênh Đông)</t>
  </si>
  <si>
    <t>Láng nhựa đường Lộc Tân - Lộc Châu</t>
  </si>
  <si>
    <t>2281/QĐ-UBND 29/9/2017</t>
  </si>
  <si>
    <t>Đường từ ngã ba ĐT.781 - Bờ hồ Dầu Tiếng đến ĐT.785 ngã tư Tân Hưng</t>
  </si>
  <si>
    <t>2076/QĐ-UBND
05/9/2017</t>
  </si>
  <si>
    <t>2283/QĐ-UBND
29/9/2017</t>
  </si>
  <si>
    <t>2280/QĐ-UBND  29/9/2017</t>
  </si>
  <si>
    <t>1842/QĐ-UBND
24/7/2018</t>
  </si>
  <si>
    <t>212/QĐ-SKHĐT  24/9/2018</t>
  </si>
  <si>
    <t xml:space="preserve">Lập quy hoạch tỉnh </t>
  </si>
  <si>
    <t>Lập quy hoạch ngành</t>
  </si>
  <si>
    <t>Trụ sở Tòa án nhân dân huyện Trảng Bàng</t>
  </si>
  <si>
    <t>Trụ sở Tòa án nhân dân huyện Hòa Thành</t>
  </si>
  <si>
    <t>Trụ sở Tòa án nhân dân huyện Tân Châu</t>
  </si>
  <si>
    <t>734/QĐ-UBND ngày 26/3/2019</t>
  </si>
  <si>
    <t>880/QĐ-UBND ngày 12/4/2019</t>
  </si>
  <si>
    <t>134/QĐ-SKHĐT ngày 31/5/2017</t>
  </si>
  <si>
    <t>94/QĐ-SKHĐT ngày 10/4/2017</t>
  </si>
  <si>
    <t>482/QĐ-SKHĐT ngày 27/10/2017</t>
  </si>
  <si>
    <t>268/QĐ-SKHĐT ngày 30/10/2018</t>
  </si>
  <si>
    <t>294/QĐ-SKHĐT ngày 31/10/2018</t>
  </si>
  <si>
    <t>258/QĐ-SKHĐT 28/10/2018</t>
  </si>
  <si>
    <t>449/QĐ-SKHĐT
11/10/2017</t>
  </si>
  <si>
    <t>468/QĐ-SKHĐT
27/10/2017</t>
  </si>
  <si>
    <t>469/QĐ-SKHĐT
27/10/2017</t>
  </si>
  <si>
    <t>487/QĐ-SKHĐT
27/10/2017</t>
  </si>
  <si>
    <t>2526/QĐ-UBND ngày 27/10/2017</t>
  </si>
  <si>
    <t>480/QĐ-SKHĐT
27/10/2016</t>
  </si>
  <si>
    <t>280/QĐ-SKHĐT
30/10/2018</t>
  </si>
  <si>
    <t>211/QĐ-SKHĐT
24/9/2018</t>
  </si>
  <si>
    <t>1646/QĐ-UBND ngày
19/7/2017</t>
  </si>
  <si>
    <t>225/QĐ-SKHĐT ngày
8/10/2018</t>
  </si>
  <si>
    <t>283/QĐ-SKHĐT ngày
30/10/2018</t>
  </si>
  <si>
    <t>281/QĐ-SKHĐT ngày
30/10/2018</t>
  </si>
  <si>
    <t>282/QĐ-SKHĐT ngày
30/10/2018</t>
  </si>
  <si>
    <t>251/QĐ-SKHĐT ngày
25/10/2018</t>
  </si>
  <si>
    <t>2645/QĐ-UBND ngày 29/10/2018</t>
  </si>
  <si>
    <t>517/QĐ-SKHĐT
31/10/2017</t>
  </si>
  <si>
    <t>230/QĐ-SKHĐT ngày
10/10/2018</t>
  </si>
  <si>
    <t>384/QĐ-SKHĐT ngày
30/10/2018</t>
  </si>
  <si>
    <t>461/QĐ-SKHĐT ngày
23/10/2017</t>
  </si>
  <si>
    <t>459/QĐ-SKHĐT ngày
23/10/2017</t>
  </si>
  <si>
    <t>500/QĐ-SKHĐT ngày 30/10/2017</t>
  </si>
  <si>
    <t>604/QĐ-SKHĐT ngày 26/12/2017</t>
  </si>
  <si>
    <t>297/QĐ-SKHĐT ngày 31/10/2018</t>
  </si>
  <si>
    <t>239/QĐ-SKHĐT ngày 17/10/2018</t>
  </si>
  <si>
    <t>1870/QĐ-UBND ngày 26/7/2018</t>
  </si>
  <si>
    <t>286/QĐ-SKHĐT ngày 30/10/2018</t>
  </si>
  <si>
    <t>272/QĐ-SKHĐT ngày 30/10/2018</t>
  </si>
  <si>
    <t>756/QĐ-UBND ngày 29/3/2019</t>
  </si>
  <si>
    <t>288/QĐ-SKHĐT ngày 30/10/2018</t>
  </si>
  <si>
    <t>200/QĐ-SKHĐT
10/9/2018</t>
  </si>
  <si>
    <t>287/QĐ-SKHĐT
30/10/2018</t>
  </si>
  <si>
    <t>274/QĐ-SKHĐT
30/10/2018</t>
  </si>
  <si>
    <t>243/QĐ-SKHĐT
18/10/2018</t>
  </si>
  <si>
    <t>242/QĐ-SKHĐT
18/10/2018</t>
  </si>
  <si>
    <t>883/QĐ-UBND ngày 16/4/2019</t>
  </si>
  <si>
    <t>884/QĐ-UBND ngày 16/4/2019</t>
  </si>
  <si>
    <t>484/QĐ-SKHĐT 27/10/2017</t>
  </si>
  <si>
    <t>473/QĐ-SKHĐT 27/10/2015</t>
  </si>
  <si>
    <t>179/QĐ-SKHĐT 15/8/2018</t>
  </si>
  <si>
    <t>266/QĐ-SKHĐT 29/10/2018</t>
  </si>
  <si>
    <t>3152/QĐ-UBND 25/12/2018</t>
  </si>
  <si>
    <t>2911/QĐ-BCA 03/5/2019</t>
  </si>
  <si>
    <t>STT (DA ĐC)</t>
  </si>
  <si>
    <t>lát gạch, cải tạo bó vỉa, hệ thống thoát nước</t>
  </si>
  <si>
    <t>Nâng cấp đường bao Thị trấn Bến Cầu (đoạn từ gần cầu Đìa Xù đến giáp đường Tiên Thuận 9) - giai đoạn 1</t>
  </si>
  <si>
    <t>Hệ thống cống thoát nước và nhà máy xử lý nước thải tại huyện Hòa Thành</t>
  </si>
  <si>
    <t>Hệ thống xử lý nước thải tập trung thị trấn Châu Thành</t>
  </si>
  <si>
    <t>Xây dựng tuyến mương, cống chính chống ngập cho phạm vi các điểm ngập 3, 4, 5, 6 và một phần huyện Hòa Thành thuộc lưu vực kênh Ao Hồ</t>
  </si>
  <si>
    <t>Xây dựng các tuyến mương, cống trong điểm ngập số 3 và số 4</t>
  </si>
  <si>
    <t>Chống ngập điểm ngập 140ha tại phường Ninh Thạnh</t>
  </si>
  <si>
    <t>xã Lộc Ninh, huyện Dương Minh Châu</t>
  </si>
  <si>
    <t>xã Phước Ninh, Phước Minh, huyện Dương Minh Châu</t>
  </si>
  <si>
    <t>xã Truông Mít, huyện Dương Minh Châu</t>
  </si>
  <si>
    <t>xã Tân Phong, xã Mỏ Công, huyện Tân Biên</t>
  </si>
  <si>
    <t>TP. Tây Ninh, Hòa Thành</t>
  </si>
  <si>
    <t>- Bổ sung đầu tư XD xã  Tân Hòa</t>
  </si>
  <si>
    <t>- Bổ sung đầu tư XD xã Tân Bình</t>
  </si>
  <si>
    <t>- Bổ sung đầu tư XD xã Tiên Thuận</t>
  </si>
  <si>
    <t>- Bổ sung đầu tư XD xã Thạnh Đức</t>
  </si>
  <si>
    <t>- Bổ sung đầu tư XD xã Hưng Thuận</t>
  </si>
  <si>
    <t>- Bổ sung đầu tư XD xã Phan</t>
  </si>
  <si>
    <t>- Bổ sung đầu tư XD xã Hiệp Tân</t>
  </si>
  <si>
    <t>- Bổ sung đầu tư XD xã Hòa Thạnh</t>
  </si>
  <si>
    <t>66</t>
  </si>
  <si>
    <t>67</t>
  </si>
  <si>
    <t>Tân Hưng, Tân Châu</t>
  </si>
  <si>
    <t>Nạo vét các tuyến kênh và mạng lưới thoát nước hiện có (kênh Ao Hồ, suối Giải Khổ - Rạch Rễ, kênh suối Vườn Điều)</t>
  </si>
  <si>
    <t>- Các xã thuộc 45 xã đầu tư giai đoạn 2016-2020 đã ban hành</t>
  </si>
  <si>
    <t>San nền khu văn hóa thể thao</t>
  </si>
  <si>
    <t>Bêtông nhựa đường sau trung tâm y tế</t>
  </si>
  <si>
    <t xml:space="preserve">Đối ứng vốn TPCP giai đoạn 2017-2020 cho Chương trình Kiên cố hóa trường lớp học </t>
  </si>
  <si>
    <t>KẾ HOẠCH DỰ KIẾN ĐIỀU CHỈNH</t>
  </si>
  <si>
    <t>KẾ HOẠCH THEO NGHỊ QUYẾT SỐ 11/2017/NQ-HĐND NGÀY 13 THÁNG 7 NĂM 2017 (LẦN ĐẦU)</t>
  </si>
  <si>
    <t>KẾ HOẠCH THEO NGHỊ QUYẾT SỐ 06/2018/NQ-HĐND NGÀY 29 THÁNG 3 NĂM 2018 (ĐIỀU CHỈNH)</t>
  </si>
  <si>
    <t>KẾ HOẠCH THEO 17/2018/NQ-HĐND NGÀY 12 THÁNG 12 NĂM 2018  (ĐIỀU CHỈNH)</t>
  </si>
  <si>
    <t>Làm đường BTN dài 1044,9 mét; đường cấp IV; chiều rộng mặt đường 6 mét; lề 2x3m láng vữa XM;</t>
  </si>
  <si>
    <t>Cơ sở cai nghiện ma túy tỉnh Tây Ninh - giai đoạn 2</t>
  </si>
  <si>
    <t>(Kèm theo Nghị quyết số …….../2019/NQ-HĐND ngày ……… tháng …….. năm 2019 của Hội đồng nhân dân tỉnh Tây Ninh)</t>
  </si>
  <si>
    <t>Chống ngập điểm ngập số 2 tại khu dân cư Khu phố 5, P.3</t>
  </si>
  <si>
    <t>Đường Cây Dương (đoạn từ ngã 3 Cây Khế đến ngã 4 An Bình)</t>
  </si>
  <si>
    <t>460/QĐ-SKHĐT ngày
23/10/2017</t>
  </si>
  <si>
    <t>Thay mới đèn led và làm đèn chợ đêm đường Hùng Vương</t>
  </si>
  <si>
    <t>Thay mới đèn led đường từ vòng xoay qua cầu Gò Dầu</t>
  </si>
  <si>
    <t>hệ thống chiếu sáng đường Hùng Vương</t>
  </si>
  <si>
    <t>Thay mới đèn led đường QL22A</t>
  </si>
  <si>
    <t>(Kèm theo Nghị quyết số  ……….../2019/NQ-HĐND ngày ……  tháng …... năm 2019 của Hội đồng nhân dân tỉnh Tây Ninh)</t>
  </si>
  <si>
    <t>(Kèm theo Tờ trình số            /TTr-UBND ngày       tháng       năm 2019 của UBND tỉnh Tây Ninh)</t>
  </si>
  <si>
    <t>(Kèm theo Nghị quyết số …….../2019/NQ-HĐND ngày …….. tháng …….  năm 2019 của Hội đồng nhân dân tỉnh Tây Ninh)</t>
  </si>
  <si>
    <t xml:space="preserve">Nâng cấp nhựa đường HL2 </t>
  </si>
  <si>
    <t xml:space="preserve">Hệ thống thoát nước và vỉa hè đường Nguyễn Văn Linh (giai đoạn 1) </t>
  </si>
  <si>
    <t xml:space="preserve">Điều chỉnh </t>
  </si>
  <si>
    <t>Kế hoạch trung hạn giai đoạn 2016-2020 trước khi điều chỉnh</t>
  </si>
  <si>
    <t>Kế hoạch trung hạn giai đoạn 2016-2020 sau khi điều chỉnh</t>
  </si>
  <si>
    <t xml:space="preserve">SỬA ĐỔI, BỔ SUNG DANH MỤC DỰ ÁN BỐ TRÍ  KẾ HOẠCH ĐẦU TƯ CÔNG TRUNG HẠN GIAI ĐOẠN 2016-2020 NGUỒN VỐN TỈNH QUẢN LÝ </t>
  </si>
  <si>
    <t>SỬA ĐỔI, BỔ SUNG DANH MỤC DỰ ÁN BỐ TRÍ  KẾ HOẠCH ĐẦU TƯ CÔNG TRUNG HẠN GIAI ĐOẠN 2016-2020 NGUỒN VỐN TỈNH HỖ TRỢ MỤC TIÊU CHO HUYỆN, THÀNH PHỐ</t>
  </si>
  <si>
    <t xml:space="preserve">SỬA ĐỔI, BỔ SUNG DANH MỤC DỰ ÁN BỐ TRÍ  KẾ HOẠCH ĐẦU TƯ CÔNG TRUNG HẠN GIAI ĐOẠN 2016-2020 
NGUỒN THU PHÍ SỬ DỤNG CÔNG TRÌNH KẾT CẤU HẠ TẦNG ĐỐI VỚI PHƯƠNG TIỆN RA VÀO CỬA KHẨU  </t>
  </si>
  <si>
    <t>(Kèm theo Tờ trình số           /TTr-UBND ngày       tháng       năm 2019 của  UBND tỉnh Tây Ninh)</t>
  </si>
  <si>
    <t>SO SÁNH TMĐT-KHV</t>
  </si>
  <si>
    <t>Cột SO SÁNH TMĐT-KHV</t>
  </si>
  <si>
    <t>Trùng tu, tôn tạo Đình Trung ấp Cẩm Long, xã Cẩm Giang</t>
  </si>
  <si>
    <t>0,78km BTXM</t>
  </si>
  <si>
    <t>0,96kmN</t>
  </si>
  <si>
    <t>1,15km N</t>
  </si>
  <si>
    <t>0,4km N</t>
  </si>
  <si>
    <t>1771/QĐ-UBND 29/10/2018</t>
  </si>
  <si>
    <t>1772/QĐ-UBND 29/10/2018</t>
  </si>
  <si>
    <t>1778/QĐ-UBND 29/10/2018</t>
  </si>
  <si>
    <t>1775/QĐ-UBND 29/10/2018</t>
  </si>
  <si>
    <t>Dự án dự kiến hoàn thành và bàn giao đưa vào sử dụngsau 2020</t>
  </si>
  <si>
    <t>1382/QĐ-UBND ngày 28/6/2019</t>
  </si>
  <si>
    <t>1384/QĐ-UBND
28/6/2019</t>
  </si>
  <si>
    <t>1401/QĐ-UBND ngày 02/7/2019</t>
  </si>
  <si>
    <t>1402/QĐ-UBND ngày 02/7/2019</t>
  </si>
  <si>
    <t>1405/QĐ-UBND ngày 02/7/2019</t>
  </si>
  <si>
    <t>1406/QĐ-UBND ngày 02/7/2019</t>
  </si>
  <si>
    <t>1407/QĐ-UBND ngày 02/7/2019</t>
  </si>
  <si>
    <t>1408/QĐ-UBND ngày 02/7/2019</t>
  </si>
  <si>
    <t>1409/QĐ-UBND ngày 02/7/2019</t>
  </si>
  <si>
    <t xml:space="preserve"> Dự án phát triển hạ tầng phục vụ chuyển đổi cây trồng xã Bàu Đồn, huyện Gò Dầu - HM: nạo vét kết hợp làm đường giao thông nội đồng 03 kênh tiêu T4B, T4 B0, T4-B3</t>
  </si>
  <si>
    <t>Trung tâm văn hóa thể thao huyện Trảng Bàng (hạng mục: Hàng rào)</t>
  </si>
  <si>
    <t>21/NQ-HĐND ngày 11/7/2019</t>
  </si>
  <si>
    <t>12/NQ-HĐND ngày 11/7/2019</t>
  </si>
  <si>
    <t>22/NQ-HĐND ngày 11/7/2019</t>
  </si>
  <si>
    <t>16/NQ-HĐND ngày 11/7/2019</t>
  </si>
  <si>
    <t>18/NQ-HĐND ngày 11/7/2019</t>
  </si>
  <si>
    <t>2738/QĐ-UBND ngày 12/11/2018; 124/QĐ-SKHĐT ngày 04/6/2019</t>
  </si>
  <si>
    <t>Gia Lộc - Lộc Hưng</t>
  </si>
  <si>
    <t>Gia Lộc</t>
  </si>
  <si>
    <t>13/NQ-HĐND ngày 11/7/2019</t>
  </si>
  <si>
    <t>14/NQ-HĐND 11/7/2019</t>
  </si>
  <si>
    <t>17/NQ-HĐND 11/7/2019</t>
  </si>
  <si>
    <t>1428/QĐ-UBND ngày 03/7/2019</t>
  </si>
  <si>
    <t>Hệ thống thu gom và xử lý nước thải Trảng Bàng công suất 10.000 m3/ngày - giai đoạn 1</t>
  </si>
  <si>
    <t>Đồn BP Tân Hà (821)</t>
  </si>
  <si>
    <t>hệ thống mương, cống thoát nước</t>
  </si>
  <si>
    <t>1385/QĐ-UBND 28/6/2019</t>
  </si>
  <si>
    <t>1429/QĐ-UBND 03/7/2019</t>
  </si>
  <si>
    <t>1430/QĐ-UBND  03/7/2019</t>
  </si>
  <si>
    <t>1427/QĐ-UBND 03/7/2019</t>
  </si>
  <si>
    <t>1432/QĐ-UBND ngày 02/7/2019</t>
  </si>
  <si>
    <t>1388/QĐ-UBND 28/6/2019</t>
  </si>
  <si>
    <t>1387/QĐ-UBND  28/6/2019</t>
  </si>
  <si>
    <t>1368/QĐ-UBND 27/6/2019</t>
  </si>
  <si>
    <t>1383/QĐ-UBND 28/6/2019</t>
  </si>
  <si>
    <t>1389/QĐ-UBND 28/6/2019</t>
  </si>
  <si>
    <t>1404/QĐ-UBND 02/7/2019</t>
  </si>
  <si>
    <t>944mN, vỉa hè 2x1,6m</t>
  </si>
  <si>
    <t>Xã Thanh Phước</t>
  </si>
  <si>
    <t>1373/QĐ-UBND 27/6/2019</t>
  </si>
  <si>
    <t>4,6 kmN</t>
  </si>
  <si>
    <t>SC các khu hiện trạng, xây mới Khoa chạy thận, xét nghiệm…</t>
  </si>
  <si>
    <t>Hệ thống thoát nước dọc, vỉa hè 2x1,2m</t>
  </si>
  <si>
    <t>1372/QĐ-UBND 27/6/2019</t>
  </si>
  <si>
    <t>1386/QĐ-UBND 28/6/2019</t>
  </si>
  <si>
    <t>3100mN</t>
  </si>
  <si>
    <t>1371/QĐ-UBND 27/6/2019</t>
  </si>
  <si>
    <t>2120mN</t>
  </si>
  <si>
    <t>1431/QĐ-UBND 03/7/2019</t>
  </si>
  <si>
    <t>Xây mới 25 phòng học và khối HC</t>
  </si>
  <si>
    <t>1369/QĐ-UBND 27/6/2019</t>
  </si>
  <si>
    <t>1367/QĐ-UBND 27/6/2019</t>
  </si>
  <si>
    <t>3965mN</t>
  </si>
  <si>
    <t>Xây mới nhà đón tiếp, biểu tượng chiến thắng</t>
  </si>
  <si>
    <t>1370/QĐ-UBND  27/6/2019</t>
  </si>
  <si>
    <t>6213mN</t>
  </si>
  <si>
    <t>13.250m</t>
  </si>
  <si>
    <t>mở rộng khu đất, xây mới cổng hàng rào và các hạng mục phụ trợ</t>
  </si>
  <si>
    <t>14km</t>
  </si>
  <si>
    <t>502/QĐ-SKHĐT
30/10/2017</t>
  </si>
  <si>
    <t>Xây dựng trung tâm điều hành: 1 tầng hầm 411m2; 1 tầng trệt 812m2; 1 lầu 789m2; mua sắm trang thiết bị</t>
  </si>
  <si>
    <t>Đầu tư trạm hạ thế các trường đang dùng chung đường dây với bên ngoài thành trạm độc lập</t>
  </si>
  <si>
    <t>(Kèm theo Quyết định số            /2019/QĐ-UBND ngày       tháng       năm 2019 của UBND tỉnh Tây Ninh)</t>
  </si>
  <si>
    <t>KẾ HOẠCH VỐN ĐẦU TƯ CÔNG TRUNG HẠN 05 NĂM 2016-2020 
NGUỒN VỐN NGÂN SÁCH TỈNH</t>
  </si>
  <si>
    <t>KẾ HOẠCH VỐN ĐẦU TƯ CÔNG TRUNG HẠN 5 NĂM 2016-2020 
NGUỒN VỐN NGÂN SÁCH TỈNH</t>
  </si>
  <si>
    <t>Tưới tiêu khu vực phía Tây sông Vàm Cỏ Đông</t>
  </si>
  <si>
    <t>Châu Thành, Bến Cầu, Trảng Bàng, Hòa Thành, Gò Dầu</t>
  </si>
  <si>
    <t>Tưới 17.000 ha</t>
  </si>
  <si>
    <t>Trường THCS Đồng Khởi</t>
  </si>
  <si>
    <t>Đồng Khởi</t>
  </si>
  <si>
    <t>Xây mới phòng, nâng cấp sân trường bê tông</t>
  </si>
  <si>
    <t>Ngân hàng TMCP Ngoại thương VN Chi nhánh TN tài trợ 4 tỷ đồng</t>
  </si>
  <si>
    <t>Hệ thống thu gom và xử lý nước thải thị trấn Châu Thành (giai đoạn 1)</t>
  </si>
  <si>
    <t>Hệ thống thu gom và xử lý nước thải đô thị Hòa Thành Thành (giai đoạn 1)</t>
  </si>
  <si>
    <t>Tiểu dự án bồi thường giải phóng mặt bằng - đường cao tốc Thành phố Hồ Chí Minh - Mộc Bài đoạn qua địa phận tỉnh Tây Ninh</t>
  </si>
  <si>
    <t>Hợp phần dự án "Phát triển chuỗi giá trị rau quả ứng dụng công nghệ thông tin với khí Hậu tại Việt Nam giai đoạn 2021-2025". Trong đó:</t>
  </si>
  <si>
    <t>Trảng Bàng, Gò Dầu, Bến Cầu</t>
  </si>
  <si>
    <t>D.M.Châu</t>
  </si>
  <si>
    <t>Tưới 3.399 ha</t>
  </si>
  <si>
    <t>Tưới 1.270 ha</t>
  </si>
  <si>
    <t>2021-2025</t>
  </si>
  <si>
    <t>2021-2024</t>
  </si>
  <si>
    <t>Giảm 196 tỷ đồng từ 3 nguồn: nguồn NSTT: 52,202 tỷ đồng, nguồn XSKT (bao gồm nguồn tăng thu NS tỉnh 2017, 2018): 59 tỷ đồng; nguồn bổ sung có mục tiêu từ NSTW năm 2017 cho NSĐP: 84,798 tỷ đồng</t>
  </si>
  <si>
    <t>13,535km BTN, bnđ=9m, bmđ=7m</t>
  </si>
  <si>
    <t>2282/QĐ-UBND
29/9/2017</t>
  </si>
  <si>
    <t>Kế hoạch trung hạn giai đoạn 2016-2020 trước khi điều chỉnh (theo NQ số 13/2019/NQ-HĐND ngày 08/12/2019)</t>
  </si>
  <si>
    <t>Xây dựng các công trình phục vụ Lễ công bố Cửa khẩu quốc tế Tân Nam</t>
  </si>
  <si>
    <t>NGUỒN THU HỒI TỪ CÔNG TY TNHH MTV XSKT TÂY NINH (NGUỒN GIẢM VỐN ĐIỀU LỆ, GIẢM TRÍCH QUỸ DỰ PHÒNG)</t>
  </si>
  <si>
    <t>NGUỒN BỘI CHI NSĐP</t>
  </si>
  <si>
    <t>KẾ HOẠCH ĐẦU TƯ CÔNG TRUNG HẠN GIAI ĐOẠN 2016 - 2020 
NGUỒN BỘI CHI NSĐP</t>
  </si>
  <si>
    <t>(Phụ lục kèm theo Công văn số         /SKHĐT-QLVĐTPT ngày    tháng       năm 2020 của Sở Kế hoạch và Đầu tư Tây Ninh)</t>
  </si>
  <si>
    <t>(Phụ lục kèm theo Quyết định số         /2020/QĐ-UBND ngày    tháng     năm 2020 của Ủy ban nhân dân tỉnh Tây Ninh)</t>
  </si>
  <si>
    <t>(Phụ lục kèm theo Công văn số         /UBND-KTTC ngày    tháng       năm 2020 của Ủy ban nhân dân tỉnh Tây Ninh)</t>
  </si>
  <si>
    <t>(Phụ lục kèm theo Báo cáo số          /BC-UBND ngày        tháng        năm 2020 của Ủy ban nhân dân tỉnh Tây Ninh)</t>
  </si>
  <si>
    <t>TT</t>
  </si>
  <si>
    <t>Danh mục công trình, dự án</t>
  </si>
  <si>
    <t>Chủ đầu tư</t>
  </si>
  <si>
    <t>Địa điểm mở tài khoản của dự án</t>
  </si>
  <si>
    <t>Mã số dự án đầu tư</t>
  </si>
  <si>
    <t>Mã ngành kinh tế</t>
  </si>
  <si>
    <t xml:space="preserve">Năng lực thiết kế </t>
  </si>
  <si>
    <t>Nhà tài trợ</t>
  </si>
  <si>
    <t>Ngày ký kết hiệp định</t>
  </si>
  <si>
    <t>QĐ đầu tư ban đầu hoặc QĐ đầu tư điều chỉnh đã được Thủ tướng chính phủ giao KH các năm</t>
  </si>
  <si>
    <t>Lũy kế vốn đã bố trí đến hết kế hoạch năm 2019 - nguồn bội chi NSĐP</t>
  </si>
  <si>
    <t>Kế hoạch đầu tư vốn bội chi NSĐP giai đoạn 2016-2020</t>
  </si>
  <si>
    <t xml:space="preserve">Số quyết định </t>
  </si>
  <si>
    <t xml:space="preserve">Trong đó: </t>
  </si>
  <si>
    <t xml:space="preserve">Vốn đối ứng </t>
  </si>
  <si>
    <t>Vốn nước ngoài</t>
  </si>
  <si>
    <t>Vay lại (bội chi NSĐP)</t>
  </si>
  <si>
    <t>Tổng số</t>
  </si>
  <si>
    <t>NSTW</t>
  </si>
  <si>
    <t>Tính bằng ngoại tệ</t>
  </si>
  <si>
    <t>Quy đổi ra tiền Việt</t>
  </si>
  <si>
    <t>Trong đó: Cấp phát từ NSTW</t>
  </si>
  <si>
    <t xml:space="preserve">TỔNG SỐ </t>
  </si>
  <si>
    <t>Dự án chuyển tiếp</t>
  </si>
  <si>
    <t>Dự án chuyển tiếp hoàn thành năm kế hoạch</t>
  </si>
  <si>
    <t>Dự án nhóm B</t>
  </si>
  <si>
    <t xml:space="preserve"> Dự án Phát triển các đô thị hành lang sông Mekong mở rộng tại Mộc Bài - Tây Ninh</t>
  </si>
  <si>
    <t>Ban QLDA PT đô thị hành lang tiểu vùng sông Mê Kông tỉnh Tây Ninh</t>
  </si>
  <si>
    <t>Khu KTCK Mộc Bài</t>
  </si>
  <si>
    <t>KBNN tỉnh</t>
  </si>
  <si>
    <t>13km đường BTNN; hệ thống cấp nước 7000m3/ngày; hệ thống xử lý nước thải 9000m3/ngày; cơ sở thu hồi, phân loại rác; SC, cải tạo và nâng cấp đường An Thạnh - Phước Chỉ và Hệ thống thu gom nước thải thị trấn Bến Cầu</t>
  </si>
  <si>
    <t>ADB</t>
  </si>
  <si>
    <t>17/01/2013</t>
  </si>
  <si>
    <t xml:space="preserve">140/QĐ-BQLKKT  26/7/2012 </t>
  </si>
  <si>
    <t>40.880.000 USD</t>
  </si>
  <si>
    <t>Chỉ vay lại 30% kinh phí thực hiện 02 tiểu dự án sử dụng vốn kết dư: (1). SC, cải tạo và nâng cấp đường An Thạnh - Phước Chỉ; (2). Hệ thống thu gom nước thải thị trấn Bến Cầu.</t>
  </si>
  <si>
    <t>Dự án chuyển tiếp hoàn thành sau năm kế hoạch</t>
  </si>
  <si>
    <t>Tăng cường quản lý đất đai và cơ sở dữ liệu đất đai trên địa bàn tỉnh Tây Ninh</t>
  </si>
  <si>
    <t>Sở Tài nguyên và Môi trường</t>
  </si>
  <si>
    <t>Tăng cường chất lượng cung cấp dịch vụ đất đai, xây dựng CSHT đất đai và triển khai hệ thống thông tin đất đai đa mục tiêu</t>
  </si>
  <si>
    <t>WB</t>
  </si>
  <si>
    <t>26/12/2016</t>
  </si>
  <si>
    <t>3159/QĐ-UBND
12/4/2017</t>
  </si>
  <si>
    <t>4.593.230
USD</t>
  </si>
  <si>
    <t>Dự án khởi công mới</t>
  </si>
  <si>
    <t>UBND Thành phố TN</t>
  </si>
  <si>
    <t>Thành phố TN</t>
  </si>
  <si>
    <t>Italia</t>
  </si>
  <si>
    <t>26/9/2018</t>
  </si>
  <si>
    <t>835/QĐ-UBND 12/4/2017; 1100/QĐ-UBND 17/5/2018; 413/QĐ-UBND 08/02/2018; 2372/QĐ-UBND 25/9/2018; 2741/QĐ-UBND 12/11/2018</t>
  </si>
  <si>
    <t xml:space="preserve">9.700.000 EURO
</t>
  </si>
  <si>
    <r>
      <t xml:space="preserve">Lũy kế số vốn đã bố trí từ khởi công đến hết năm 2015 </t>
    </r>
    <r>
      <rPr>
        <vertAlign val="superscript"/>
        <sz val="14"/>
        <rFont val="Times New Roman"/>
        <family val="1"/>
      </rPr>
      <t>(*)</t>
    </r>
  </si>
  <si>
    <r>
      <t>Diện tích xây dựng 250,60m</t>
    </r>
    <r>
      <rPr>
        <vertAlign val="superscript"/>
        <sz val="14"/>
        <rFont val="Times New Roman"/>
        <family val="1"/>
      </rPr>
      <t>2</t>
    </r>
    <r>
      <rPr>
        <sz val="14"/>
        <rFont val="Times New Roman"/>
        <family val="1"/>
      </rPr>
      <t>. Nhà ăn, nhà bếp, ký túc xá, phòng chức năng, mở rộng giải tỏa đền bù (7.500m</t>
    </r>
    <r>
      <rPr>
        <vertAlign val="superscript"/>
        <sz val="14"/>
        <rFont val="Times New Roman"/>
        <family val="1"/>
      </rPr>
      <t>2</t>
    </r>
    <r>
      <rPr>
        <sz val="14"/>
        <rFont val="Times New Roman"/>
        <family val="1"/>
      </rPr>
      <t>)</t>
    </r>
  </si>
  <si>
    <r>
      <t>DTXD: 479,22m</t>
    </r>
    <r>
      <rPr>
        <vertAlign val="superscript"/>
        <sz val="14"/>
        <rFont val="Times New Roman"/>
        <family val="1"/>
      </rPr>
      <t>2</t>
    </r>
    <r>
      <rPr>
        <sz val="14"/>
        <rFont val="Times New Roman"/>
        <family val="1"/>
      </rPr>
      <t>;1 trệt, 2 lầu, kết cấu BTCT và các công trình phụ trợ</t>
    </r>
  </si>
  <si>
    <t xml:space="preserve">2527/QĐ-UBND 27/10/2017; 363/QĐ-UBND 27/02/2020 (đc) </t>
  </si>
  <si>
    <t>Bổ sung vốn để đẩy nhanh tiến độ thực hiện DA (nguồn tăng thu NS tỉnh 2019 là 35 tỷ đồng; nguồn cân đối nguồn chi ngân sách cấp tỉnh cuối năm 2019 là 100 tỷ đồng)</t>
  </si>
  <si>
    <t>(Kèm theo Tờ trình số            /TTr-SKHĐT ngày       tháng       năm 2020 của Sở Kế hoạch và Đầu tư Tây Ninh)</t>
  </si>
  <si>
    <t>1431/QĐ-UBND ngày 03/7/2019</t>
  </si>
  <si>
    <t>1962/QĐ-UBND 8/8/2018; 14/NQ-HĐND ngày 11/7/2019</t>
  </si>
  <si>
    <t>1368/QĐ-UBND ngày 27/6/2019</t>
  </si>
  <si>
    <t>1389/QĐ-UBND ngày 28/6/2019</t>
  </si>
  <si>
    <t>1369/QĐ-UBND ngày 27/6/2019</t>
  </si>
  <si>
    <t>1404/QĐ-UBND ngày 02/7/2019</t>
  </si>
  <si>
    <t>1385/QĐ-UBND ngày 28/6/2019</t>
  </si>
  <si>
    <t>1530m</t>
  </si>
  <si>
    <t>9000m</t>
  </si>
  <si>
    <t>6,2 km</t>
  </si>
  <si>
    <t>1430/QĐ-UBND 03/7/2019</t>
  </si>
  <si>
    <t>1387/QĐ-UBND 28/6/2019</t>
  </si>
  <si>
    <t>Kế hoạch trung hạn giai đoạn 2016-2020 sau khi điều chỉnh (theo NQ số 08/2019/NQ-HĐND ngày 11/7/2019)</t>
  </si>
  <si>
    <t>Đồn BP Tân Hà</t>
  </si>
  <si>
    <r>
      <t xml:space="preserve">NGUỒN TĂNG THU NGÂN SÁCH TỈNH NĂM 2019 </t>
    </r>
    <r>
      <rPr>
        <sz val="13"/>
        <rFont val="Times New Roman"/>
        <family val="1"/>
        <charset val="204"/>
      </rPr>
      <t>- XSKT</t>
    </r>
  </si>
  <si>
    <r>
      <t>Bổ sung DA đầu tư công khẩn cấp</t>
    </r>
    <r>
      <rPr>
        <sz val="14"/>
        <rFont val="Times New Roman"/>
        <family val="1"/>
        <charset val="204"/>
      </rPr>
      <t xml:space="preserve"> (nguồn tăng thu NS tỉnh 2019 - XSKT)</t>
    </r>
  </si>
  <si>
    <r>
      <t xml:space="preserve">Bổ sung DA mới, vốn phân bổ từ nguồn cân đối nguồn chi ngân sách cấp tỉnh cuối năm 2019 </t>
    </r>
    <r>
      <rPr>
        <sz val="14"/>
        <rFont val="Times New Roman"/>
        <family val="1"/>
        <charset val="204"/>
      </rPr>
      <t>(nguồn tiết kiệm chi nguồn cân đối NS tỉnh năm 2019 là 42.264.983.200 đồng và nguồn tiết kiệm chi nguồn dự phòng NS tỉnh năm 2019 là 7.735.016.800 đồng)</t>
    </r>
  </si>
  <si>
    <r>
      <t xml:space="preserve">Bổ sung DA mới, vốn phân bổ từ nguồn cân đối nguồn chi ngân sách cấp tỉnh cuối năm 2019 </t>
    </r>
    <r>
      <rPr>
        <sz val="14"/>
        <rFont val="Times New Roman"/>
        <family val="1"/>
        <charset val="204"/>
      </rPr>
      <t>(nguồn tiết kiệm chi nguồn dự phòng NS tỉnh năm 2019)</t>
    </r>
  </si>
  <si>
    <t>Kế hoạch trung hạn giai đoạn 2016-2020 sau khi điều chỉnh (T6-2020)</t>
  </si>
  <si>
    <t>Nhu cầu điều chỉnh
 của đơn vị</t>
  </si>
  <si>
    <t>Bổ sung vốn TTKLHT</t>
  </si>
  <si>
    <t>Dự án trồng mới 5 triệu ha rừng</t>
  </si>
  <si>
    <t>Bổ sung dự án mới</t>
  </si>
  <si>
    <t>2791/QĐ-UBND
28/10/2016;
2765/QĐ-UBND
23/12/2019</t>
  </si>
  <si>
    <t>2793/QĐ-UBND
28/10/2016;
505/QĐ-UBND
16/3/2020</t>
  </si>
  <si>
    <t>4.3km BTN</t>
  </si>
  <si>
    <t>14,551km BTN, bmđ = 9m, bnđ =11m</t>
  </si>
  <si>
    <t>16km BTXM</t>
  </si>
  <si>
    <t>15km</t>
  </si>
  <si>
    <t>Bồi thường: 231,04 ha</t>
  </si>
  <si>
    <t>Phụ lục IV</t>
  </si>
  <si>
    <t xml:space="preserve"> Điều chỉnh
 </t>
  </si>
  <si>
    <t>(Kèm theo Tờ trình số         /TTr-SKHĐT ngày    tháng     năm 2020 của Sở Kế hoạch và Đầu tư Tây Ninh)</t>
  </si>
  <si>
    <r>
      <t>l=14,306km BTN; b</t>
    </r>
    <r>
      <rPr>
        <vertAlign val="subscript"/>
        <sz val="13"/>
        <rFont val="Times New Roman"/>
        <family val="1"/>
      </rPr>
      <t>mđ</t>
    </r>
    <r>
      <rPr>
        <sz val="13"/>
        <rFont val="Times New Roman"/>
        <family val="1"/>
      </rPr>
      <t xml:space="preserve"> = 6m; b</t>
    </r>
    <r>
      <rPr>
        <vertAlign val="subscript"/>
        <sz val="13"/>
        <rFont val="Times New Roman"/>
        <family val="1"/>
      </rPr>
      <t>nđ</t>
    </r>
    <r>
      <rPr>
        <sz val="13"/>
        <rFont val="Times New Roman"/>
        <family val="1"/>
      </rPr>
      <t xml:space="preserve"> = 8m</t>
    </r>
  </si>
  <si>
    <t xml:space="preserve">Tổng vốn </t>
  </si>
  <si>
    <t>(Kèm theo Tờ trình số            /TTr-UBND ngày       tháng       năm 2020 của UBND tỉnh Tây Ninh)</t>
  </si>
  <si>
    <t>TC</t>
  </si>
  <si>
    <t>Bê tông nhựa đường sau trung tâm y tế</t>
  </si>
  <si>
    <t>Kế hoạch trung hạn giai đoạn 2016-2020 trước khi điều chỉnh (theo NQ số 02/2020/NQ-HĐND ngày 29/5/2020)</t>
  </si>
  <si>
    <t>Điều chỉnh</t>
  </si>
  <si>
    <t>Dừng thực hiện</t>
  </si>
  <si>
    <t xml:space="preserve">2466/QĐ-UBND
14/11/2019 </t>
  </si>
  <si>
    <t>2184/QĐ-UBND
08/10/2019</t>
  </si>
  <si>
    <t>Đường ĐT.781 đoạn từ Phước Tân - Châu Thành thuộc dự án đường ra cửa khẩu Biên Mậu</t>
  </si>
  <si>
    <t>2368/QĐ-UBND
31/10/2019</t>
  </si>
  <si>
    <t>Nâng cấp, mở rộng đường ĐT.787B (đoạn từ ngã tư Hai Châu đến giao với đường ĐT.789)</t>
  </si>
  <si>
    <t>2361/QĐ-UBND
31/10/2019</t>
  </si>
  <si>
    <t>Làm đường ra biên giới thuộc xã Ninh Điền, huyện Châu Thành</t>
  </si>
  <si>
    <t>46/NQ-HĐND
06/12/2019</t>
  </si>
  <si>
    <t>Hẻm 19,20 đường Thuyền, KP. Hiệp Bình - Hiệp Thạnh, phường Hiệp Ninh</t>
  </si>
  <si>
    <t>đã bao gồm 40 tỷ nguồn KCHT cửa khẩu</t>
  </si>
  <si>
    <t>Vốn HTCK</t>
  </si>
  <si>
    <t xml:space="preserve">48,960 tỷ nguồn KCHT cửa khẩu </t>
  </si>
  <si>
    <t>Nguồn HTCK</t>
  </si>
  <si>
    <r>
      <t xml:space="preserve">Dự án được bổ sung KHV </t>
    </r>
    <r>
      <rPr>
        <sz val="14"/>
        <rFont val="Times New Roman"/>
        <family val="1"/>
        <charset val="204"/>
      </rPr>
      <t>(nguồn tăng thu NS tỉnh 2019 - XSKT)</t>
    </r>
    <r>
      <rPr>
        <sz val="14"/>
        <rFont val="Times New Roman"/>
        <family val="1"/>
      </rPr>
      <t xml:space="preserve"> để thực hiện  </t>
    </r>
  </si>
  <si>
    <t xml:space="preserve">Đường số 10  Bời Lời </t>
  </si>
  <si>
    <t>2.071m láng nhựa</t>
  </si>
  <si>
    <t>1468/QĐ-UBND
 ngày 31/10/2019</t>
  </si>
  <si>
    <t>NS TP đã phân bổ 2 tỷ năm 2020</t>
  </si>
  <si>
    <t xml:space="preserve">Bổ sung vốn cho các dự án chuyển tiếp từ các năm trước chuyển sang năm 2016 để thanh toán KLHT </t>
  </si>
  <si>
    <t xml:space="preserve">                  (Kèm theo Tờ trình số            /TTr-UBND ngày       tháng       năm 2020 của Ủy ban nhân dân tỉnh Tây Ninh)           </t>
  </si>
  <si>
    <t>(Kèm theo Nghị quyết số          /2020/NQ-HĐND ngày        tháng        năm 2020 của Hội đồng nhân dân tỉnh Tây Ninh)</t>
  </si>
  <si>
    <t>(Kèm theo Tờ trình số         /TTr-UBND ngày    tháng     năm 2020 của Ủy ban nhân dân tỉnh Tây Ninh)</t>
  </si>
  <si>
    <t xml:space="preserve"> (Kèm theo Tờ trình số            /TTr-SKHĐT ngày          tháng           năm 2020 của Sở Kế hoạch và Đầu tư Tây Ninh)</t>
  </si>
  <si>
    <t>(Kèm theo Tờ trình số            /TTr-SKHĐT ngày          tháng           năm 2020 của Sở Kế hoạch và Đầu tư Tây Ninh)</t>
  </si>
  <si>
    <t xml:space="preserve">      (Kèm theo Tờ trình số            /TTr-SKHĐT ngày          tháng           năm 2020 của Sở Kế hoạch và Đầu tư Tây Ninh)</t>
  </si>
  <si>
    <t>Nguồn HTCK:15 tỷ đồng</t>
  </si>
  <si>
    <t>TTKL</t>
  </si>
  <si>
    <t>Bờ kè chống sạt lở suối Cần Đăng chảy qua trung tâm thị trấn Tân Biên, huyện Tân Biên</t>
  </si>
  <si>
    <t>2021-2023</t>
  </si>
  <si>
    <t>1429/QĐ-UBND 03/7/2019;
1430/QĐ-UBND 03/7/2019</t>
  </si>
  <si>
    <t>Bao gồm vốn dự phòng NSTW năm 2019: 30 tỷ đồng</t>
  </si>
  <si>
    <t>Đã gộp vào dự án Bờ kè chống sạt lở suối Cần Đăng chảy qua trung tâm thị trấn Tân Biên, huyện Tân Biên</t>
  </si>
  <si>
    <t>1.1</t>
  </si>
  <si>
    <t>1.1.1</t>
  </si>
  <si>
    <t>1.1.1.1</t>
  </si>
  <si>
    <t>1.1.1.2</t>
  </si>
  <si>
    <t>1.1.1.3</t>
  </si>
  <si>
    <t>1.1.1.4</t>
  </si>
  <si>
    <t>1.1.1.5</t>
  </si>
  <si>
    <t>1.1.1.6</t>
  </si>
  <si>
    <t>1.2</t>
  </si>
  <si>
    <t>1.2.1</t>
  </si>
  <si>
    <t>1.2.1.1</t>
  </si>
  <si>
    <t>1.2.1.2</t>
  </si>
  <si>
    <t>1.2.1.3</t>
  </si>
  <si>
    <t>1.2.1.4</t>
  </si>
  <si>
    <t>1.2.1.5</t>
  </si>
  <si>
    <t>1.2.1.6</t>
  </si>
  <si>
    <t>1.2.1.7</t>
  </si>
  <si>
    <t>1.2.1.8</t>
  </si>
  <si>
    <t>1.2.1.9</t>
  </si>
  <si>
    <t>1.2.1.10</t>
  </si>
  <si>
    <t>1.2.1.11</t>
  </si>
  <si>
    <t>1.2.1.12</t>
  </si>
  <si>
    <t>1.2.1.13</t>
  </si>
  <si>
    <t>1.2.1.14</t>
  </si>
  <si>
    <t>1.2.1.15</t>
  </si>
  <si>
    <t>1.2.1.16</t>
  </si>
  <si>
    <t>1.2.2</t>
  </si>
  <si>
    <t>1.2.2.1</t>
  </si>
  <si>
    <t>1.2.2.2</t>
  </si>
  <si>
    <t>1.2.2.3</t>
  </si>
  <si>
    <t>1.2.2.4</t>
  </si>
  <si>
    <t>1.2.2.5</t>
  </si>
  <si>
    <t>1.2.2.6</t>
  </si>
  <si>
    <t>1.2.2.7</t>
  </si>
  <si>
    <t>1.2.2.8</t>
  </si>
  <si>
    <t>1.2.2.9</t>
  </si>
  <si>
    <t>1.2.2.10</t>
  </si>
  <si>
    <t>1.2.2.11</t>
  </si>
  <si>
    <t>1.2.2.12</t>
  </si>
  <si>
    <t>1.2.2.13</t>
  </si>
  <si>
    <t>1.2.2.14</t>
  </si>
  <si>
    <t>1.2.2.15</t>
  </si>
  <si>
    <t>1.2.2.16</t>
  </si>
  <si>
    <t>1.2.2.17</t>
  </si>
  <si>
    <t>2.1</t>
  </si>
  <si>
    <t>2.1.1</t>
  </si>
  <si>
    <t>2.1.1.1</t>
  </si>
  <si>
    <t>2.1.1.2</t>
  </si>
  <si>
    <t>2.1.1.3</t>
  </si>
  <si>
    <t>2.2</t>
  </si>
  <si>
    <t>2.2.1</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</si>
  <si>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</si>
  <si>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</si>
  <si>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</si>
  <si>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</si>
  <si>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</si>
  <si>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</si>
  <si>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</si>
  <si>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</si>
  <si>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</si>
  <si>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</si>
  <si>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</si>
  <si>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</si>
  <si>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</si>
  <si>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</si>
  <si>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</si>
  <si>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</si>
  <si>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</si>
  <si>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</si>
  <si>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</si>
  <si>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</si>
  <si>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</si>
  <si>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</si>
  <si>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</si>
  <si>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</si>
  <si>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</si>
  <si>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</si>
  <si>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</si>
  <si>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</si>
  <si>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</si>
  <si>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</si>
  <si>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</si>
  <si>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</si>
  <si>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</si>
  <si>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</si>
  <si>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</si>
  <si>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</si>
  <si>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</si>
  <si>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</si>
  <si>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</si>
  <si>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</si>
  <si>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</si>
  <si>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</si>
  <si>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</si>
  <si>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</si>
  <si>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</si>
  <si>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</si>
  <si>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</si>
  <si>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</si>
  <si>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</si>
  <si>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</si>
  <si>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</si>
  <si>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</si>
  <si>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2.2.2</t>
  </si>
  <si>
    <t>2.2.2.2</t>
  </si>
  <si>
    <t>2.2.2.3</t>
  </si>
  <si>
    <t>2.2.2.4</t>
  </si>
  <si>
    <t>2.2.2.5</t>
  </si>
  <si>
    <t>3.1</t>
  </si>
  <si>
    <t>3.1.1</t>
  </si>
  <si>
    <t>3.1.1.1</t>
  </si>
  <si>
    <t>3.1.1.2</t>
  </si>
  <si>
    <t>3.1.1.3</t>
  </si>
  <si>
    <t>3.1.1.4</t>
  </si>
  <si>
    <t>3.1.1.5</t>
  </si>
  <si>
    <t>3.1.1.6</t>
  </si>
  <si>
    <t>3.1.1.7</t>
  </si>
  <si>
    <t>3.2</t>
  </si>
  <si>
    <t>3.2.1</t>
  </si>
  <si>
    <t>3.2.1.1</t>
  </si>
  <si>
    <t>3.2.1.2</t>
  </si>
  <si>
    <t>3.2.1.3</t>
  </si>
  <si>
    <t>3.2.1.4</t>
  </si>
  <si>
    <t>3.2.1.5</t>
  </si>
  <si>
    <t>3.2.1.6</t>
  </si>
  <si>
    <t>3.2.1.7</t>
  </si>
  <si>
    <t>3.2.1.8</t>
  </si>
  <si>
    <t>3.2.1.9</t>
  </si>
  <si>
    <t>3.2.1.10</t>
  </si>
  <si>
    <t>3.2.1.11</t>
  </si>
  <si>
    <t>3.2.1.12</t>
  </si>
  <si>
    <t>3.2.1.13</t>
  </si>
  <si>
    <t>3.2.1.14</t>
  </si>
  <si>
    <t>3.2.1.15</t>
  </si>
  <si>
    <t>3.2.1.16</t>
  </si>
  <si>
    <t>3.2.2</t>
  </si>
  <si>
    <t>3.2.2.1</t>
  </si>
  <si>
    <t>3.2.2.2</t>
  </si>
  <si>
    <t>3.2.2.3</t>
  </si>
  <si>
    <t>4.1</t>
  </si>
  <si>
    <t>4.1.1</t>
  </si>
  <si>
    <t>4.1.1.1</t>
  </si>
  <si>
    <t>4.1.1.2</t>
  </si>
  <si>
    <t>4.1.1.3</t>
  </si>
  <si>
    <t>4.1.1.4</t>
  </si>
  <si>
    <t>4.2</t>
  </si>
  <si>
    <t>4.2.1</t>
  </si>
  <si>
    <t>4.2.1.1</t>
  </si>
  <si>
    <t>4.2.1.2</t>
  </si>
  <si>
    <t>4.2.1.3</t>
  </si>
  <si>
    <t>4.2.1.4</t>
  </si>
  <si>
    <t>4.2.1.5</t>
  </si>
  <si>
    <t>4.2.1.6</t>
  </si>
  <si>
    <t>4.2.1.7</t>
  </si>
  <si>
    <t>4.2.1.8</t>
  </si>
  <si>
    <t>4.2.1.9</t>
  </si>
  <si>
    <t>4.2.1.10</t>
  </si>
  <si>
    <t>4.2.1.11</t>
  </si>
  <si>
    <t>4.2.1.12</t>
  </si>
  <si>
    <t>4.2.1.13</t>
  </si>
  <si>
    <t>4.2.1.14</t>
  </si>
  <si>
    <t>4.2.1.15</t>
  </si>
  <si>
    <t>4.2.1.16</t>
  </si>
  <si>
    <t>4.2.1.17</t>
  </si>
  <si>
    <t>4.2.1.18</t>
  </si>
  <si>
    <t>4.2.1.19</t>
  </si>
  <si>
    <t>4.2.1.20</t>
  </si>
  <si>
    <t>4.2.2</t>
  </si>
  <si>
    <t>4.2.2.1</t>
  </si>
  <si>
    <t>4.2.2.2</t>
  </si>
  <si>
    <t>4.2.2.3</t>
  </si>
  <si>
    <t>4.2.2.4</t>
  </si>
  <si>
    <t>4.2.2.5</t>
  </si>
  <si>
    <t>4.2.2.6</t>
  </si>
  <si>
    <t>5.1</t>
  </si>
  <si>
    <t>5.1.1</t>
  </si>
  <si>
    <t>5.1.1.1</t>
  </si>
  <si>
    <t>5.1.1.2</t>
  </si>
  <si>
    <t>5.2</t>
  </si>
  <si>
    <t>5.2.1</t>
  </si>
  <si>
    <t>5.2.1.1</t>
  </si>
  <si>
    <t>5.2.1.2</t>
  </si>
  <si>
    <t>5.2.1.3</t>
  </si>
  <si>
    <t>5.2.1.4</t>
  </si>
  <si>
    <t>5.2.1.5</t>
  </si>
  <si>
    <t>5.2.1.6</t>
  </si>
  <si>
    <t>5.2.1.7</t>
  </si>
  <si>
    <t>5.2.1.8</t>
  </si>
  <si>
    <t>5.2.1.9</t>
  </si>
  <si>
    <t>5.2.1.10</t>
  </si>
  <si>
    <t>5.2.1.11</t>
  </si>
  <si>
    <t>5.2.1.12</t>
  </si>
  <si>
    <t>5.2.1.13</t>
  </si>
  <si>
    <t>5.2.1.14</t>
  </si>
  <si>
    <t>5.2.1.15</t>
  </si>
  <si>
    <t>5.2.1.16</t>
  </si>
  <si>
    <t>6.1</t>
  </si>
  <si>
    <t>6.1.1</t>
  </si>
  <si>
    <t>6.1.1.1</t>
  </si>
  <si>
    <t>6.2</t>
  </si>
  <si>
    <t>6.2.1</t>
  </si>
  <si>
    <t>6.2.1.1</t>
  </si>
  <si>
    <t>6.2.1.2</t>
  </si>
  <si>
    <t>6.2.1.3</t>
  </si>
  <si>
    <t>6.2.1.4</t>
  </si>
  <si>
    <t>6.2.1.5</t>
  </si>
  <si>
    <t>6.2.1.6</t>
  </si>
  <si>
    <t>7.1</t>
  </si>
  <si>
    <t>7.1.1</t>
  </si>
  <si>
    <t>7.1.1.1</t>
  </si>
  <si>
    <t>7.1.1.2</t>
  </si>
  <si>
    <t>7.2</t>
  </si>
  <si>
    <t>7.2.1</t>
  </si>
  <si>
    <t>7.2.1.1</t>
  </si>
  <si>
    <t>7.2.1.2</t>
  </si>
  <si>
    <t>7.2.1.3</t>
  </si>
  <si>
    <t>7.2.1.4</t>
  </si>
  <si>
    <t>7.2.1.5</t>
  </si>
  <si>
    <t>7.2.1.6</t>
  </si>
  <si>
    <t>7.2.1.7</t>
  </si>
  <si>
    <t>7.2.1.8</t>
  </si>
  <si>
    <t>7.2.1.9</t>
  </si>
  <si>
    <t>7.2.1.10</t>
  </si>
  <si>
    <t>7.2.1.11</t>
  </si>
  <si>
    <t>7.2.1.12</t>
  </si>
  <si>
    <t>7.2.1.13</t>
  </si>
  <si>
    <t>7.2.1.14</t>
  </si>
  <si>
    <t>7.2.1.15</t>
  </si>
  <si>
    <t>7.2.1.16</t>
  </si>
  <si>
    <t>7.2.1.17</t>
  </si>
  <si>
    <t>7.2.1.18</t>
  </si>
  <si>
    <t>7.2.1.19</t>
  </si>
  <si>
    <t>7.2.1.20</t>
  </si>
  <si>
    <t>7.2.1.21</t>
  </si>
  <si>
    <t>7.2.1.22</t>
  </si>
  <si>
    <t>7.2.1.23</t>
  </si>
  <si>
    <t>7.2.1.24</t>
  </si>
  <si>
    <t>7.2.1.25</t>
  </si>
  <si>
    <t>7.2.2</t>
  </si>
  <si>
    <t>7.2.2.1</t>
  </si>
  <si>
    <t>7.2.2.2</t>
  </si>
  <si>
    <t>7.2.2.3</t>
  </si>
  <si>
    <t>7.2.2.4</t>
  </si>
  <si>
    <t>7.2.2.5</t>
  </si>
  <si>
    <t>7.2.2.6</t>
  </si>
  <si>
    <t>7.2.2.7</t>
  </si>
  <si>
    <t>7.2.2.8</t>
  </si>
  <si>
    <t>7.2.2.9</t>
  </si>
  <si>
    <t>7.2.2.10</t>
  </si>
  <si>
    <t>7.2.2.11</t>
  </si>
  <si>
    <t>7.2.2.12</t>
  </si>
  <si>
    <t>8.1.1</t>
  </si>
  <si>
    <t>8.1.1.1</t>
  </si>
  <si>
    <t>8.1.1.2</t>
  </si>
  <si>
    <t>8.1.1.3</t>
  </si>
  <si>
    <t>8.1.1.4</t>
  </si>
  <si>
    <t>8.2.1</t>
  </si>
  <si>
    <t>8.2.1.1</t>
  </si>
  <si>
    <t>8.2.1.2</t>
  </si>
  <si>
    <t>8.2.1.3</t>
  </si>
  <si>
    <t>8.2.1.4</t>
  </si>
  <si>
    <t>8.2.1.5</t>
  </si>
  <si>
    <t>8.2.1.6</t>
  </si>
  <si>
    <t>8.2.1.7</t>
  </si>
  <si>
    <t>8.2.1.8</t>
  </si>
  <si>
    <t>8.2.1.9</t>
  </si>
  <si>
    <t>8.2.1.10</t>
  </si>
  <si>
    <t>8.2.1.11</t>
  </si>
  <si>
    <t>8.2.1.12</t>
  </si>
  <si>
    <t>8.2.1.13</t>
  </si>
  <si>
    <t>8.2.1.14</t>
  </si>
  <si>
    <t>8.2.1.15</t>
  </si>
  <si>
    <t>8.2.1.16</t>
  </si>
  <si>
    <t>8.2.1.17</t>
  </si>
  <si>
    <t>8.2.1.18</t>
  </si>
  <si>
    <t>8.2.1.19</t>
  </si>
  <si>
    <t>8.2.1.20</t>
  </si>
  <si>
    <t>8.2.1.21</t>
  </si>
  <si>
    <t>8.2.1.22</t>
  </si>
  <si>
    <t>8.2.1.23</t>
  </si>
  <si>
    <t>8.2.1.24</t>
  </si>
  <si>
    <t>8.2.1.25</t>
  </si>
  <si>
    <t>8.2.1.26</t>
  </si>
  <si>
    <t>8.2.2</t>
  </si>
  <si>
    <t>8.2.2.1</t>
  </si>
  <si>
    <t>8.2.2.2</t>
  </si>
  <si>
    <t>8.2.2.3</t>
  </si>
  <si>
    <t>8.2.2.4</t>
  </si>
  <si>
    <t>8.2.2.5</t>
  </si>
  <si>
    <t>8.2.2.6</t>
  </si>
  <si>
    <t>9.1</t>
  </si>
  <si>
    <t>9.1.1</t>
  </si>
  <si>
    <t>9.1.1.1</t>
  </si>
  <si>
    <t>9.1.1.2</t>
  </si>
  <si>
    <t>9.2</t>
  </si>
  <si>
    <t>9.2.1</t>
  </si>
  <si>
    <t>9.2.1.1</t>
  </si>
  <si>
    <t>9.2.1.2</t>
  </si>
  <si>
    <t>9.2.1.3</t>
  </si>
  <si>
    <t>9.2.1.4</t>
  </si>
  <si>
    <t>9.2.1.5</t>
  </si>
  <si>
    <t>9.2.1.6</t>
  </si>
  <si>
    <t>9.2.1.7</t>
  </si>
  <si>
    <t>9.2.1.8</t>
  </si>
  <si>
    <t>9.2.1.9</t>
  </si>
  <si>
    <t>9.2.1.10</t>
  </si>
  <si>
    <t>9.2.1.11</t>
  </si>
  <si>
    <t>9.2.1.12</t>
  </si>
  <si>
    <t>9.2.1.13</t>
  </si>
  <si>
    <t>9.2.1.14</t>
  </si>
  <si>
    <t>9.2.1.15</t>
  </si>
  <si>
    <t>9.2.1.16</t>
  </si>
  <si>
    <t>9.2.1.17</t>
  </si>
  <si>
    <t>9.2.1.18</t>
  </si>
  <si>
    <t>9.2.1.19</t>
  </si>
  <si>
    <t>9.2.1.20</t>
  </si>
  <si>
    <t>9.2.1.21</t>
  </si>
  <si>
    <t>9.2.1.22</t>
  </si>
  <si>
    <t>9.2.1.23</t>
  </si>
  <si>
    <t>9.2.1.24</t>
  </si>
  <si>
    <t>9.2.1.25</t>
  </si>
  <si>
    <t>9.2.1.26</t>
  </si>
  <si>
    <t>9.2.1.27</t>
  </si>
  <si>
    <t>9.2.1.28</t>
  </si>
  <si>
    <t>9.2.1.29</t>
  </si>
  <si>
    <t>9.2.1.30</t>
  </si>
  <si>
    <t>9.2.1.31</t>
  </si>
  <si>
    <t>9.2.1.32</t>
  </si>
  <si>
    <t>9.2.1.33</t>
  </si>
  <si>
    <t>9.2.1.34</t>
  </si>
  <si>
    <t>9.2.1.35</t>
  </si>
  <si>
    <t>9.2.1.36</t>
  </si>
  <si>
    <t>9.2.1.37</t>
  </si>
  <si>
    <t>9.2.1.38</t>
  </si>
  <si>
    <t>9.2.1.39</t>
  </si>
  <si>
    <t>9.2.1.40</t>
  </si>
  <si>
    <t>9.2.1.41</t>
  </si>
  <si>
    <t>9.2.1.42</t>
  </si>
  <si>
    <t>9.2.1.43</t>
  </si>
  <si>
    <t>9.2.1.44</t>
  </si>
  <si>
    <t>9.2.1.45</t>
  </si>
  <si>
    <t>9.2.1.46</t>
  </si>
  <si>
    <t>9.2.1.47</t>
  </si>
  <si>
    <t>9.2.1.48</t>
  </si>
  <si>
    <t>9.2.1.49</t>
  </si>
  <si>
    <t>9.2.1.50</t>
  </si>
  <si>
    <t>9.2.1.51</t>
  </si>
  <si>
    <t>9.2.1.52</t>
  </si>
  <si>
    <t>9.2.1.53</t>
  </si>
  <si>
    <t>9.2.1.54</t>
  </si>
  <si>
    <t>9.2.1.55</t>
  </si>
  <si>
    <t>9.2.1.56</t>
  </si>
  <si>
    <t>9.2.1.57</t>
  </si>
  <si>
    <t>9.2.1.58</t>
  </si>
  <si>
    <t>9.2.1.59</t>
  </si>
  <si>
    <t>9.2.1.60</t>
  </si>
  <si>
    <t>9.2.1.61</t>
  </si>
  <si>
    <t>9.2.2</t>
  </si>
  <si>
    <t>9.2.2.1</t>
  </si>
  <si>
    <t>9.2.2.2</t>
  </si>
  <si>
    <t>9.2.2.3</t>
  </si>
  <si>
    <t>KẾ HOẠCH ĐẦU TƯ CÔNG TRUNG HẠN GIAI ĐOẠN 2016 - 2020 
NGUỒN BỘI CHI NGÂN SÁCH ĐỊA PHƯƠNG</t>
  </si>
  <si>
    <t>(Phụ lục kèm theo Tờ trình số         /TTr-UBND ngày    tháng     năm 2020 của Ủy ban nhân dân tỉnh Tây Ninh)</t>
  </si>
  <si>
    <t>DỰ ÁN CHUYỂN TIẾP</t>
  </si>
  <si>
    <t>DỰ ÁN KHỞI CÔNG MỚI</t>
  </si>
  <si>
    <t>NSTT (BAO GỒM NGUỒN THU TIỀN SỬ DỤNG ĐẤT VÀ NGUỒN THU PHÍ SỬ DỤNG CÔNG TRÌNH KẾT CẤU HẠ TẦNG ĐỐI VỚI PHƯƠNG TIỆN RA VÀO CỬA KHẨU)</t>
  </si>
  <si>
    <t>XSKT (BAO GỒM NGUỒN TĂNG THU NGÂN SÁCH TỈNH 2017 LÀ 42,194 TỶ ĐỒNG VÀ 2018 LÀ 102,403 TỶ ĐỒNG)</t>
  </si>
  <si>
    <r>
      <t xml:space="preserve">NGUỒN CÂN ĐỐI NGUỒN CHI NGÂN SÁCH CẤP TỈNH CUỐI NĂM 2019 </t>
    </r>
    <r>
      <rPr>
        <sz val="13"/>
        <rFont val="Times New Roman"/>
        <family val="1"/>
        <charset val="204"/>
      </rPr>
      <t>(NGUỒN TIẾT KIỆM CHI NGUỒN CÂN ĐỐI NS TỈNH NĂM 2019 LÀ 142.264.983.200 ĐỒNG VÀ NGUỒN TIẾT KIỆM CHI NGUỒN DỰ PHÒNG NS TỈNH NĂM 2019 LÀ  87.735.016.800 ĐỒNG)</t>
    </r>
  </si>
  <si>
    <t>NGUỒN DỰ PHÒNG NGÂN SÁCH TRUNG ƯƠNG BỔ SUNG CHO NGÂN SÁCH TỈNH NĂM 2018 (150 TỶ ĐỒNG) VÀ NĂM 2019 (30 TỶ ĐỒNG)</t>
  </si>
  <si>
    <t>NGUỒN BỘI CHI NGÂN SÁCH ĐỊA PHƯƠNG</t>
  </si>
  <si>
    <t>8.3</t>
  </si>
  <si>
    <t>8.4</t>
  </si>
  <si>
    <t>8.5</t>
  </si>
  <si>
    <t>Trạm bơm Dầu Tiếng 2</t>
  </si>
  <si>
    <t>Trạm bơm Tân Hưng</t>
  </si>
  <si>
    <t xml:space="preserve"> Trung tâm dịch vụ kỹ thuật thiết bị vật tư nông nghiệp huyện Châu Thành</t>
  </si>
  <si>
    <t xml:space="preserve"> Trung tâm dịch vụ kỹ thuật thiết bị vật tư nông nghiệp huyện Tân Châu</t>
  </si>
  <si>
    <t>Trung tâm thu gom nông sản (rau củ quả, trái cây)</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</si>
  <si>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</si>
  <si>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</si>
  <si>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</si>
  <si>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</si>
  <si>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</si>
  <si>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</si>
  <si>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</si>
  <si>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</si>
  <si>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</si>
  <si>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</si>
  <si>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</si>
  <si>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</si>
  <si>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</si>
  <si>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</si>
  <si>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</si>
  <si>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</si>
  <si>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</si>
  <si>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</si>
  <si>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</si>
  <si>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</si>
  <si>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</si>
  <si>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</si>
  <si>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</si>
  <si>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</si>
  <si>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</si>
  <si>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</si>
  <si>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</si>
  <si>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</si>
  <si>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</si>
  <si>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</si>
  <si>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</si>
  <si>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</si>
  <si>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</si>
  <si>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</si>
  <si>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</si>
  <si>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</si>
  <si>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</si>
  <si>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</si>
  <si>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</si>
  <si>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</si>
  <si>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</si>
  <si>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</si>
  <si>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</si>
  <si>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</si>
  <si>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</si>
  <si>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</si>
  <si>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</si>
  <si>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</si>
  <si>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</si>
  <si>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</si>
  <si>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</si>
  <si>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</si>
  <si>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</si>
  <si>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</si>
  <si>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</si>
  <si>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</si>
  <si>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</si>
  <si>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</si>
  <si>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</si>
  <si>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</si>
  <si>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</si>
  <si>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</si>
  <si>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</si>
  <si>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</si>
  <si>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</si>
  <si>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</si>
  <si>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</si>
  <si>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</si>
  <si>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</si>
  <si>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</si>
  <si>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</si>
  <si>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</si>
  <si>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</si>
  <si>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</si>
  <si>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</si>
  <si>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</si>
  <si>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</si>
  <si>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</si>
  <si>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</si>
  <si>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</si>
  <si>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</si>
  <si>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</si>
  <si>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</si>
  <si>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</si>
  <si>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</si>
  <si>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</si>
  <si>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2.1.1.4</t>
  </si>
  <si>
    <t>2.2.2.1</t>
  </si>
  <si>
    <t>2.2.2.6</t>
  </si>
  <si>
    <t>3.1.1.8</t>
  </si>
  <si>
    <t>3.1.1.9</t>
  </si>
  <si>
    <t>3.1.1.10</t>
  </si>
  <si>
    <t>3.1.1.11</t>
  </si>
  <si>
    <t>3.1.1.12</t>
  </si>
  <si>
    <t>3.1.1.13</t>
  </si>
  <si>
    <t>3.1.1.14</t>
  </si>
  <si>
    <t>3.1.1.15</t>
  </si>
  <si>
    <t>3.1.1.16</t>
  </si>
  <si>
    <t>3.1.1.17</t>
  </si>
  <si>
    <t>3.1.1.18</t>
  </si>
  <si>
    <t>3.1.1.19</t>
  </si>
  <si>
    <t>3.1.1.20</t>
  </si>
  <si>
    <t>3.1.1.21</t>
  </si>
  <si>
    <t>3.1.1.22</t>
  </si>
  <si>
    <t>3.1.1.23</t>
  </si>
  <si>
    <t>3.1.1.24</t>
  </si>
  <si>
    <t>3.1.1.25</t>
  </si>
  <si>
    <t>3.1.1.26</t>
  </si>
  <si>
    <t>3.1.1.27</t>
  </si>
  <si>
    <t>3.1.1.28</t>
  </si>
  <si>
    <t>3.1.1.29</t>
  </si>
  <si>
    <t>3.1.1.30</t>
  </si>
  <si>
    <t>3.1.1.31</t>
  </si>
  <si>
    <t>3.1.1.32</t>
  </si>
  <si>
    <t>3.1.1.33</t>
  </si>
  <si>
    <t>3.1.1.34</t>
  </si>
  <si>
    <t>3.1.1.35</t>
  </si>
  <si>
    <t>3.1.1.36</t>
  </si>
  <si>
    <t>3.1.1.37</t>
  </si>
  <si>
    <t>3.1.1.38</t>
  </si>
  <si>
    <t>3.1.1.39</t>
  </si>
  <si>
    <t>3.1.1.40</t>
  </si>
  <si>
    <t>3.1.1.41</t>
  </si>
  <si>
    <t>3.1.1.42</t>
  </si>
  <si>
    <t>3.1.1.43</t>
  </si>
  <si>
    <t>3.1.1.44</t>
  </si>
  <si>
    <t>3.1.1.45</t>
  </si>
  <si>
    <t>3.1.1.46</t>
  </si>
  <si>
    <t>3.1.1.47</t>
  </si>
  <si>
    <t>3.1.1.48</t>
  </si>
  <si>
    <t>3.1.1.49</t>
  </si>
  <si>
    <t>3.1.1.50</t>
  </si>
  <si>
    <t>3.1.1.51</t>
  </si>
  <si>
    <t>3.1.1.52</t>
  </si>
  <si>
    <t>3.1.1.53</t>
  </si>
  <si>
    <t>3.1.1.54</t>
  </si>
  <si>
    <t>3.1.1.55</t>
  </si>
  <si>
    <t>3.1.1.56</t>
  </si>
  <si>
    <t>3.1.1.57</t>
  </si>
  <si>
    <t>3.1.1.58</t>
  </si>
  <si>
    <t>3.1.1.59</t>
  </si>
  <si>
    <t>3.1.1.60</t>
  </si>
  <si>
    <t>3.1.1.61</t>
  </si>
  <si>
    <t>3.1.1.62</t>
  </si>
  <si>
    <t>3.1.1.63</t>
  </si>
  <si>
    <t>3.1.1.64</t>
  </si>
  <si>
    <t>3.1.1.65</t>
  </si>
  <si>
    <t>3.1.1.66</t>
  </si>
  <si>
    <t>3.1.1.67</t>
  </si>
  <si>
    <t>3.1.1.68</t>
  </si>
  <si>
    <t>3.1.1.69</t>
  </si>
  <si>
    <t>3.1.1.70</t>
  </si>
  <si>
    <t>3.1.1.71</t>
  </si>
  <si>
    <t>3.1.1.72</t>
  </si>
  <si>
    <t>3.1.1.73</t>
  </si>
  <si>
    <t>3.1.1.74</t>
  </si>
  <si>
    <t>3.1.1.75</t>
  </si>
  <si>
    <t>3.1.1.76</t>
  </si>
  <si>
    <t>3.1.1.77</t>
  </si>
  <si>
    <t>3.1.1.78</t>
  </si>
  <si>
    <t>3.1.1.79</t>
  </si>
  <si>
    <t>3.1.1.80</t>
  </si>
  <si>
    <t>3.1.1.81</t>
  </si>
  <si>
    <t>3.1.1.82</t>
  </si>
  <si>
    <t>3.1.1.83</t>
  </si>
  <si>
    <t>3.1.1.84</t>
  </si>
  <si>
    <t>3.1.1.85</t>
  </si>
  <si>
    <t>3.1.1.86</t>
  </si>
  <si>
    <t>3.1.1.87</t>
  </si>
  <si>
    <t>3.1.1.88</t>
  </si>
  <si>
    <t>3.1.1.89</t>
  </si>
  <si>
    <t>3.1.1.90</t>
  </si>
  <si>
    <t>3.1.1.91</t>
  </si>
  <si>
    <t>3.1.1.92</t>
  </si>
  <si>
    <t>3.1.1.93</t>
  </si>
  <si>
    <t>3.1.1.94</t>
  </si>
  <si>
    <t>3.1.1.95</t>
  </si>
  <si>
    <t>3.1.1.96</t>
  </si>
  <si>
    <t>3.1.1.97</t>
  </si>
  <si>
    <t>3.1.1.98</t>
  </si>
  <si>
    <t>3.1.1.99</t>
  </si>
  <si>
    <t>3.1.1.100</t>
  </si>
  <si>
    <t>3.1.1.101</t>
  </si>
  <si>
    <t>3.1.1.102</t>
  </si>
  <si>
    <t>3.1.1.103</t>
  </si>
  <si>
    <t>3.1.1.104</t>
  </si>
  <si>
    <t>3.1.1.105</t>
  </si>
  <si>
    <t>3.1.1.106</t>
  </si>
  <si>
    <t>3.1.2</t>
  </si>
  <si>
    <t>3.1.2.1</t>
  </si>
  <si>
    <t>3.1.2.2</t>
  </si>
  <si>
    <t>3.1.2.3</t>
  </si>
  <si>
    <t>4.1.1.5</t>
  </si>
  <si>
    <t>4.1.1.6</t>
  </si>
  <si>
    <t>4.1.1.7</t>
  </si>
  <si>
    <t>4.1.1.8</t>
  </si>
  <si>
    <t>4.1.1.9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</si>
  <si>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</si>
  <si>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</si>
  <si>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</si>
  <si>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</si>
  <si>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</si>
  <si>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</si>
  <si>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</si>
  <si>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</si>
  <si>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</si>
  <si>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</si>
  <si>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</si>
  <si>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</si>
  <si>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</si>
  <si>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</si>
  <si>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</si>
  <si>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</si>
  <si>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</si>
  <si>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</si>
  <si>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</si>
  <si>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</si>
  <si>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</si>
  <si>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</si>
  <si>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</si>
  <si>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</si>
  <si>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</si>
  <si>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</si>
  <si>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</si>
  <si>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</si>
  <si>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</si>
  <si>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</si>
  <si>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</si>
  <si>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</si>
  <si>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</si>
  <si>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</si>
  <si>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</si>
  <si>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</si>
  <si>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t>4.1.1.46</t>
  </si>
  <si>
    <t>4.1.1.47</t>
  </si>
  <si>
    <t>4.1.1.48</t>
  </si>
  <si>
    <t>4.1.1.49</t>
  </si>
  <si>
    <t>4.1.1.50</t>
  </si>
  <si>
    <t>4.1.1.51</t>
  </si>
  <si>
    <t>4.1.1.52</t>
  </si>
  <si>
    <t>4.1.1.53</t>
  </si>
  <si>
    <t>4.1.1.54</t>
  </si>
  <si>
    <t>4.1.1.55</t>
  </si>
  <si>
    <t>4.1.1.56</t>
  </si>
  <si>
    <t>4.1.1.57</t>
  </si>
  <si>
    <t>4.1.1.58</t>
  </si>
  <si>
    <t>4.1.2</t>
  </si>
  <si>
    <t>4.1.2.1</t>
  </si>
  <si>
    <t>2.1.1.5</t>
  </si>
  <si>
    <t>2.1.1.6</t>
  </si>
  <si>
    <t>2.1.1.7</t>
  </si>
  <si>
    <t>2.1.1.8</t>
  </si>
  <si>
    <t>2.1.1.9</t>
  </si>
  <si>
    <t>2.1.1.10</t>
  </si>
  <si>
    <t>2.1.1.11</t>
  </si>
  <si>
    <t>2.1.1.12</t>
  </si>
  <si>
    <t>2.1.1.13</t>
  </si>
  <si>
    <t>2.1.2</t>
  </si>
  <si>
    <t>2.1.2.1</t>
  </si>
  <si>
    <t>3.2.1.17</t>
  </si>
  <si>
    <t>3.2.1.18</t>
  </si>
  <si>
    <t>3.2.1.19</t>
  </si>
  <si>
    <t>3.2.1.20</t>
  </si>
  <si>
    <t>3.2.1.21</t>
  </si>
  <si>
    <t>3.2.1.22</t>
  </si>
  <si>
    <t>3.2.1.23</t>
  </si>
  <si>
    <t>3.2.1.24</t>
  </si>
  <si>
    <t>4.2.1.6.1</t>
  </si>
  <si>
    <t>4.2.1.6.2</t>
  </si>
  <si>
    <t>5.1.1.3</t>
  </si>
  <si>
    <t>5.1.1.4</t>
  </si>
  <si>
    <t>5.1.1.5</t>
  </si>
  <si>
    <t>5.1.1.6</t>
  </si>
  <si>
    <t>5.1.1.7</t>
  </si>
  <si>
    <t>5.1.1.8</t>
  </si>
  <si>
    <t>5.1.1.9</t>
  </si>
  <si>
    <t>5.1.1.10</t>
  </si>
  <si>
    <t>5.1.1.11</t>
  </si>
  <si>
    <t>5.1.1.12</t>
  </si>
  <si>
    <t>5.1.1.13</t>
  </si>
  <si>
    <t>5.1.1.14</t>
  </si>
  <si>
    <t>5.1.1.15</t>
  </si>
  <si>
    <t>5.1.2</t>
  </si>
  <si>
    <t>5.1.2.1</t>
  </si>
  <si>
    <t>5.1.2.2</t>
  </si>
  <si>
    <t>6.1.1.2</t>
  </si>
  <si>
    <t>6.1.1.3</t>
  </si>
  <si>
    <t>6.2.1.7</t>
  </si>
  <si>
    <t>6.2.1.8</t>
  </si>
  <si>
    <t>6.2.2</t>
  </si>
  <si>
    <t>6.2.2.1</t>
  </si>
  <si>
    <t>6.2.2.2</t>
  </si>
  <si>
    <t>7.1.1.3</t>
  </si>
  <si>
    <t>7.1.1.4</t>
  </si>
  <si>
    <t>7.2.1.26</t>
  </si>
  <si>
    <t>8.2.1.27</t>
  </si>
  <si>
    <t>9.1.1.3</t>
  </si>
  <si>
    <t>9.1.1.4</t>
  </si>
  <si>
    <t>9.1.1.5</t>
  </si>
  <si>
    <t>8.2.2.7</t>
  </si>
  <si>
    <t>2.1.1.1.1</t>
  </si>
  <si>
    <t>4.2.3</t>
  </si>
  <si>
    <t>1683/QĐ-UBND 26/10/2018</t>
  </si>
  <si>
    <t>90/QĐ-SKHĐT ngày 22/4/2020 (đ/c)</t>
  </si>
  <si>
    <t>269/QĐ-SKHĐT
30/10/2019</t>
  </si>
  <si>
    <t>1766/QĐ-UBND ngày 29/10/2018;
1554/QĐ-UBND ngày 05/11/2019 (đ/c)</t>
  </si>
  <si>
    <t>336/QĐ-UBND 11/6/2014;
217/QĐ-UBND
02/3/2017 (đ/c)</t>
  </si>
  <si>
    <t>1768/QĐ-UBND ngày 29/10/2018;
1555/QĐ-UBND ngày 05/04/2019 (đ/c)</t>
  </si>
  <si>
    <t>(Kèm theo Nghị quyết số        /2020/NQ-HĐND ngày 31 tháng 7 năm 2020 của Hội đồng nhân dân tỉnh Tây Ninh)</t>
  </si>
  <si>
    <t>Tổng số    (tất cả các nguồn vốn)</t>
  </si>
  <si>
    <t>Tổng số     (tất cả các nguồn vốn)</t>
  </si>
  <si>
    <t>Xây dựng khối nhà làm việc 1 trệt, 1 lầu diện tích 1.462m2, kế cấu BTCT; Nhà xe 100m2</t>
  </si>
  <si>
    <t>Cải tạo các khối nhà cũ, xây mới khối nhà 1 trệt 2 lầu: 159,4m2, nhà xe khách: 103m2</t>
  </si>
  <si>
    <t xml:space="preserve">Cải tạo các khối nhà cũ, xây mới: nhà xe 02 bánh: 129,6m2, phòng lễ tân </t>
  </si>
  <si>
    <t>Xây mới 4 phòng làm việc và phòng chức năng (324m2); hệ thống cấp thoát nước, chống sét,  cấp điện</t>
  </si>
  <si>
    <t>(Kèm theo Quyết định số            /2020/QĐ-UBND ngày       tháng       năm 2020 của Ủy ban nhân dân tỉnh Tây Ninh)</t>
  </si>
  <si>
    <t xml:space="preserve">Kế hoạch trung hạn giai đoạn 2016-2020 sau khi điều chỉnh </t>
  </si>
  <si>
    <t>Nguồn HTCK 10 tỷ</t>
  </si>
  <si>
    <t xml:space="preserve">Nguồn KCHT cửa khẩu 
</t>
  </si>
  <si>
    <t xml:space="preserve">25 tỷ nguồn KCHT cửa khẩu
</t>
  </si>
  <si>
    <t xml:space="preserve">đã bao gồm 100 tỷ nguồn KCHT cửa khẩu </t>
  </si>
  <si>
    <t>SỬA ĐỔI, BỔ SUNG DANH MỤC DỰ ÁN BỐ TRÍ  KẾ HOẠCH ĐẦU TƯ CÔNG TRUNG HẠN GIAI ĐOẠN 2016-2020 NGUỒN VỐN TỈNH HỖ TRỢ MỤC TIÊU CHO HUYỆN, THỊ XÃ, THÀNH PHỐ</t>
  </si>
  <si>
    <t>1370/QĐ-UBND
27/6/2019</t>
  </si>
  <si>
    <t>WWWWS</t>
  </si>
  <si>
    <t>Kế hoạch trung hạn giai đoạn 2016-2020 trước khi điều chỉnh (theo QĐ số 33/2020/QĐ-UBND ngày 25/8/2020)</t>
  </si>
  <si>
    <t>Dự án chuyển tiếp sang giai đoạn 2021-2025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</si>
</sst>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_);[Red]\(&quot;$&quot;#,##0.00\)"/>
    <numFmt numFmtId="41" formatCode="_(* #,##0_);_(* \(#,##0\);_(* &quot;-&quot;_);_(@_)"/>
    <numFmt numFmtId="43" formatCode="_(* #,##0.00_);_(* \(#,##0.00\);_(* &quot;-&quot;??_);_(@_)"/>
    <numFmt numFmtId="164" formatCode="_-* #,##0\ _€_-;\-* #,##0\ _€_-;_-* &quot;-&quot;\ _€_-;_-@_-"/>
    <numFmt numFmtId="165" formatCode="_(* #,##0_);_(* \(#,##0\);_(* &quot;-&quot;??_);_(@_)"/>
    <numFmt numFmtId="166" formatCode="#,##0_ ;\-#,##0\ "/>
  </numFmts>
  <fonts count="110" x14ac:knownFonts="1">
    <font>
      <sz val="11"/>
      <color theme="1"/>
      <name val="Calibri"/>
      <family val="2"/>
      <scheme val="minor"/>
    </font>
    <font>
      <sz val="11"/>
      <color theme="1"/>
      <name val="Calibri"/>
      <family val="2"/>
      <scheme val="minor"/>
    </font>
    <font>
      <sz val="10"/>
      <name val="Arial"/>
      <family val="2"/>
    </font>
    <font>
      <sz val="12"/>
      <name val="Times New Roman"/>
      <family val="1"/>
    </font>
    <font>
      <sz val="13"/>
      <color rgb="FFFF0000"/>
      <name val="Times New Roman"/>
      <family val="1"/>
    </font>
    <font>
      <sz val="13"/>
      <name val="Times New Roman"/>
      <family val="1"/>
    </font>
    <font>
      <sz val="13"/>
      <color rgb="FFFF0000"/>
      <name val="Times New Roman"/>
      <family val="1"/>
      <charset val="204"/>
    </font>
    <font>
      <sz val="14"/>
      <name val="Times New Roman"/>
      <family val="1"/>
      <charset val="204"/>
    </font>
    <font>
      <sz val="11"/>
      <color indexed="8"/>
      <name val="Calibri"/>
      <family val="2"/>
    </font>
    <font>
      <sz val="12"/>
      <name val="Arial"/>
      <family val="2"/>
    </font>
    <font>
      <sz val="10"/>
      <name val="Arial"/>
      <family val="2"/>
      <charset val="204"/>
    </font>
    <font>
      <sz val="10"/>
      <name val="Times New Roman"/>
      <family val="1"/>
    </font>
    <font>
      <b/>
      <sz val="14"/>
      <name val="Times New Roman"/>
      <family val="1"/>
    </font>
    <font>
      <sz val="11"/>
      <name val="Calibri"/>
      <family val="2"/>
      <scheme val="minor"/>
    </font>
    <font>
      <b/>
      <sz val="16"/>
      <name val="Times New Roman"/>
      <family val="1"/>
    </font>
    <font>
      <sz val="16"/>
      <name val="Times New Roman"/>
      <family val="1"/>
    </font>
    <font>
      <i/>
      <sz val="14"/>
      <name val="Times New Roman"/>
      <family val="1"/>
    </font>
    <font>
      <i/>
      <sz val="13"/>
      <name val="Times New Roman"/>
      <family val="1"/>
    </font>
    <font>
      <sz val="13"/>
      <name val="Times New Roman"/>
      <family val="1"/>
      <charset val="204"/>
    </font>
    <font>
      <vertAlign val="superscript"/>
      <sz val="13"/>
      <name val="Times New Roman"/>
      <family val="1"/>
    </font>
    <font>
      <b/>
      <sz val="13"/>
      <name val="Times New Roman"/>
      <family val="1"/>
    </font>
    <font>
      <b/>
      <i/>
      <sz val="13"/>
      <name val="Times New Roman"/>
      <family val="1"/>
    </font>
    <font>
      <b/>
      <i/>
      <sz val="13"/>
      <name val="Times New Roman"/>
      <family val="1"/>
      <charset val="204"/>
    </font>
    <font>
      <i/>
      <sz val="13"/>
      <name val="Times New Roman"/>
      <family val="1"/>
      <charset val="204"/>
    </font>
    <font>
      <b/>
      <i/>
      <sz val="11"/>
      <name val="Calibri"/>
      <family val="2"/>
      <scheme val="minor"/>
    </font>
    <font>
      <sz val="14"/>
      <name val="Times New Roman"/>
      <family val="1"/>
    </font>
    <font>
      <i/>
      <sz val="12"/>
      <name val="Times New Roman"/>
      <family val="1"/>
    </font>
    <font>
      <vertAlign val="superscript"/>
      <sz val="12"/>
      <name val="Times New Roman"/>
      <family val="1"/>
    </font>
    <font>
      <sz val="11"/>
      <color rgb="FFFF0000"/>
      <name val="Calibri"/>
      <family val="2"/>
      <scheme val="minor"/>
    </font>
    <font>
      <b/>
      <i/>
      <sz val="13"/>
      <color rgb="FFFF0000"/>
      <name val="Times New Roman"/>
      <family val="1"/>
    </font>
    <font>
      <sz val="13"/>
      <color theme="1"/>
      <name val="Times New Roman"/>
      <family val="1"/>
    </font>
    <font>
      <sz val="13"/>
      <color theme="1"/>
      <name val="Times New Roman"/>
      <family val="1"/>
      <charset val="204"/>
    </font>
    <font>
      <vertAlign val="superscript"/>
      <sz val="13"/>
      <color theme="1"/>
      <name val="Times New Roman"/>
      <family val="1"/>
    </font>
    <font>
      <b/>
      <i/>
      <sz val="13"/>
      <color theme="1"/>
      <name val="Times New Roman"/>
      <family val="1"/>
    </font>
    <font>
      <i/>
      <sz val="13"/>
      <color theme="1"/>
      <name val="Times New Roman"/>
      <family val="1"/>
    </font>
    <font>
      <b/>
      <sz val="13"/>
      <color theme="1"/>
      <name val="Times New Roman"/>
      <family val="1"/>
    </font>
    <font>
      <i/>
      <sz val="14"/>
      <color indexed="10"/>
      <name val="Times New Roman"/>
      <family val="1"/>
    </font>
    <font>
      <b/>
      <i/>
      <sz val="13"/>
      <color theme="1"/>
      <name val="Times New Roman"/>
      <family val="1"/>
      <charset val="204"/>
    </font>
    <font>
      <i/>
      <sz val="11"/>
      <color theme="1"/>
      <name val="Calibri"/>
      <family val="2"/>
      <scheme val="minor"/>
    </font>
    <font>
      <i/>
      <sz val="13"/>
      <color theme="1"/>
      <name val="Times New Roman"/>
      <family val="1"/>
      <charset val="204"/>
    </font>
    <font>
      <b/>
      <sz val="13"/>
      <color rgb="FFFF0000"/>
      <name val="Times New Roman"/>
      <family val="1"/>
    </font>
    <font>
      <sz val="10"/>
      <name val="VNI-Times"/>
    </font>
    <font>
      <sz val="14"/>
      <color theme="1"/>
      <name val="Calibri"/>
      <family val="2"/>
      <scheme val="minor"/>
    </font>
    <font>
      <i/>
      <sz val="14"/>
      <color theme="1"/>
      <name val="Times New Roman"/>
      <family val="1"/>
    </font>
    <font>
      <sz val="16"/>
      <color theme="1"/>
      <name val="Calibri"/>
      <family val="2"/>
      <scheme val="minor"/>
    </font>
    <font>
      <b/>
      <sz val="16"/>
      <color theme="1"/>
      <name val="Times New Roman"/>
      <family val="1"/>
    </font>
    <font>
      <b/>
      <sz val="14"/>
      <color theme="1"/>
      <name val="Times New Roman"/>
      <family val="1"/>
    </font>
    <font>
      <b/>
      <i/>
      <sz val="11"/>
      <color theme="1"/>
      <name val="Calibri"/>
      <family val="2"/>
      <scheme val="minor"/>
    </font>
    <font>
      <sz val="14"/>
      <color theme="1"/>
      <name val="Times New Roman"/>
      <family val="1"/>
    </font>
    <font>
      <b/>
      <sz val="14"/>
      <name val="Times New Roman"/>
      <family val="1"/>
      <charset val="204"/>
    </font>
    <font>
      <b/>
      <i/>
      <sz val="14"/>
      <name val="Times New Roman"/>
      <family val="1"/>
    </font>
    <font>
      <vertAlign val="subscript"/>
      <sz val="13"/>
      <color theme="1"/>
      <name val="Times New Roman"/>
      <family val="1"/>
    </font>
    <font>
      <sz val="14"/>
      <color theme="1"/>
      <name val="Times New Roman"/>
      <family val="1"/>
      <charset val="204"/>
    </font>
    <font>
      <b/>
      <sz val="14"/>
      <color theme="1"/>
      <name val="Times New Roman"/>
      <family val="1"/>
      <charset val="204"/>
    </font>
    <font>
      <i/>
      <sz val="14"/>
      <color theme="1"/>
      <name val="Times New Roman"/>
      <family val="1"/>
      <charset val="204"/>
    </font>
    <font>
      <sz val="13"/>
      <color theme="3" tint="0.39997558519241921"/>
      <name val="Times New Roman"/>
      <family val="1"/>
    </font>
    <font>
      <sz val="13"/>
      <color theme="3" tint="0.39997558519241921"/>
      <name val="Times New Roman"/>
      <family val="1"/>
      <charset val="204"/>
    </font>
    <font>
      <sz val="13"/>
      <color rgb="FF0070C0"/>
      <name val="Times New Roman"/>
      <family val="1"/>
    </font>
    <font>
      <sz val="13"/>
      <color rgb="FF0070C0"/>
      <name val="Times New Roman"/>
      <family val="1"/>
      <charset val="204"/>
    </font>
    <font>
      <sz val="16"/>
      <name val="Calibri"/>
      <family val="2"/>
      <scheme val="minor"/>
    </font>
    <font>
      <sz val="14"/>
      <name val="Calibri"/>
      <family val="2"/>
      <scheme val="minor"/>
    </font>
    <font>
      <i/>
      <sz val="11"/>
      <name val="Calibri"/>
      <family val="2"/>
      <scheme val="minor"/>
    </font>
    <font>
      <i/>
      <sz val="13"/>
      <color rgb="FFFF0000"/>
      <name val="Times New Roman"/>
      <family val="1"/>
    </font>
    <font>
      <sz val="14"/>
      <color theme="0" tint="-0.34998626667073579"/>
      <name val="Times New Roman"/>
      <family val="1"/>
      <charset val="204"/>
    </font>
    <font>
      <i/>
      <sz val="14"/>
      <color theme="0" tint="-0.34998626667073579"/>
      <name val="Times New Roman"/>
      <family val="1"/>
      <charset val="204"/>
    </font>
    <font>
      <sz val="14"/>
      <color theme="0" tint="-0.249977111117893"/>
      <name val="Times New Roman"/>
      <family val="1"/>
      <charset val="204"/>
    </font>
    <font>
      <sz val="13"/>
      <color rgb="FFC00000"/>
      <name val="Times New Roman"/>
      <family val="1"/>
    </font>
    <font>
      <sz val="11"/>
      <color rgb="FFC00000"/>
      <name val="Calibri"/>
      <family val="2"/>
      <scheme val="minor"/>
    </font>
    <font>
      <sz val="13"/>
      <color rgb="FFC00000"/>
      <name val="Times New Roman"/>
      <family val="1"/>
      <charset val="204"/>
    </font>
    <font>
      <b/>
      <i/>
      <sz val="13"/>
      <color rgb="FFC00000"/>
      <name val="Times New Roman"/>
      <family val="1"/>
    </font>
    <font>
      <b/>
      <sz val="13"/>
      <color rgb="FFC00000"/>
      <name val="Times New Roman"/>
      <family val="1"/>
    </font>
    <font>
      <b/>
      <sz val="13"/>
      <name val="Times New Roman"/>
      <family val="1"/>
      <charset val="204"/>
    </font>
    <font>
      <b/>
      <sz val="11"/>
      <name val="Calibri"/>
      <family val="2"/>
      <scheme val="minor"/>
    </font>
    <font>
      <b/>
      <i/>
      <sz val="14"/>
      <name val="Times New Roman"/>
      <family val="1"/>
      <charset val="204"/>
    </font>
    <font>
      <b/>
      <i/>
      <u/>
      <sz val="14"/>
      <name val="Times New Roman"/>
      <family val="1"/>
      <charset val="204"/>
    </font>
    <font>
      <i/>
      <sz val="13"/>
      <color rgb="FFFF0000"/>
      <name val="Times New Roman"/>
      <family val="1"/>
      <charset val="204"/>
    </font>
    <font>
      <sz val="14"/>
      <color rgb="FFFF0000"/>
      <name val="Times New Roman"/>
      <family val="1"/>
      <charset val="204"/>
    </font>
    <font>
      <sz val="14"/>
      <color rgb="FFFF0000"/>
      <name val="Times New Roman"/>
      <family val="1"/>
    </font>
    <font>
      <sz val="13"/>
      <name val="Calibri"/>
      <family val="2"/>
      <scheme val="minor"/>
    </font>
    <font>
      <sz val="13"/>
      <color rgb="FFFF0000"/>
      <name val="Calibri"/>
      <family val="2"/>
      <scheme val="minor"/>
    </font>
    <font>
      <i/>
      <sz val="16"/>
      <name val="Times New Roman"/>
      <family val="1"/>
    </font>
    <font>
      <i/>
      <sz val="14"/>
      <name val="Times New Roman"/>
      <family val="1"/>
      <charset val="204"/>
    </font>
    <font>
      <sz val="14"/>
      <name val="Times New Roman"/>
      <family val="1"/>
      <charset val="163"/>
    </font>
    <font>
      <sz val="14"/>
      <color indexed="9"/>
      <name val="Times New Roman"/>
      <family val="1"/>
      <charset val="163"/>
    </font>
    <font>
      <i/>
      <sz val="14"/>
      <name val="Times New Roman"/>
      <family val="1"/>
      <charset val="163"/>
    </font>
    <font>
      <sz val="12"/>
      <name val=".VnTime"/>
      <family val="2"/>
    </font>
    <font>
      <u/>
      <sz val="12"/>
      <color indexed="12"/>
      <name val="Times New Roman"/>
      <family val="1"/>
    </font>
    <font>
      <b/>
      <sz val="14"/>
      <name val="Times New Roman"/>
      <family val="1"/>
      <charset val="163"/>
    </font>
    <font>
      <sz val="14"/>
      <color indexed="8"/>
      <name val="Calibri"/>
      <family val="2"/>
    </font>
    <font>
      <b/>
      <i/>
      <sz val="14"/>
      <name val="Times New Roman"/>
      <family val="1"/>
      <charset val="163"/>
    </font>
    <font>
      <sz val="14"/>
      <color rgb="FFFF0000"/>
      <name val="Times New Roman"/>
      <family val="1"/>
      <charset val="163"/>
    </font>
    <font>
      <vertAlign val="superscript"/>
      <sz val="14"/>
      <name val="Times New Roman"/>
      <family val="1"/>
    </font>
    <font>
      <b/>
      <i/>
      <sz val="14"/>
      <name val="Calibri"/>
      <family val="2"/>
      <scheme val="minor"/>
    </font>
    <font>
      <b/>
      <sz val="14"/>
      <name val="Calibri"/>
      <family val="2"/>
      <scheme val="minor"/>
    </font>
    <font>
      <i/>
      <sz val="20"/>
      <name val="Times New Roman"/>
      <family val="1"/>
    </font>
    <font>
      <b/>
      <sz val="20"/>
      <name val="Times New Roman"/>
      <family val="1"/>
    </font>
    <font>
      <sz val="20"/>
      <name val="Times New Roman"/>
      <family val="1"/>
    </font>
    <font>
      <sz val="20"/>
      <name val="Calibri"/>
      <family val="2"/>
      <scheme val="minor"/>
    </font>
    <font>
      <i/>
      <sz val="16"/>
      <name val="Times New Roman"/>
      <family val="1"/>
      <charset val="163"/>
    </font>
    <font>
      <b/>
      <sz val="16"/>
      <name val="Times New Roman"/>
      <family val="1"/>
      <charset val="204"/>
    </font>
    <font>
      <sz val="16"/>
      <name val="Times New Roman"/>
      <family val="1"/>
      <charset val="204"/>
    </font>
    <font>
      <vertAlign val="subscript"/>
      <sz val="13"/>
      <name val="Times New Roman"/>
      <family val="1"/>
    </font>
    <font>
      <i/>
      <sz val="22"/>
      <name val="Times New Roman"/>
      <family val="1"/>
    </font>
    <font>
      <sz val="9"/>
      <color indexed="81"/>
      <name val="Tahoma"/>
      <family val="2"/>
      <charset val="204"/>
    </font>
    <font>
      <b/>
      <sz val="9"/>
      <color indexed="81"/>
      <name val="Tahoma"/>
      <family val="2"/>
      <charset val="204"/>
    </font>
    <font>
      <b/>
      <sz val="18"/>
      <name val="Times New Roman"/>
      <family val="1"/>
    </font>
    <font>
      <i/>
      <sz val="18"/>
      <name val="Times New Roman"/>
      <family val="1"/>
    </font>
    <font>
      <i/>
      <sz val="18"/>
      <name val="Times New Roman"/>
      <family val="1"/>
      <charset val="163"/>
    </font>
    <font>
      <b/>
      <sz val="14"/>
      <color rgb="FFFF0000"/>
      <name val="Times New Roman"/>
      <family val="1"/>
      <charset val="204"/>
    </font>
    <font>
      <b/>
      <sz val="14"/>
      <color rgb="FFFF0000"/>
      <name val="Times New Roman"/>
      <family val="1"/>
    </font>
  </fonts>
  <fills count="8">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1">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43" fontId="3" fillId="0" borderId="0" applyFont="0" applyFill="0" applyBorder="0" applyAlignment="0" applyProtection="0"/>
    <xf numFmtId="43" fontId="2" fillId="0" borderId="0" applyFont="0" applyFill="0" applyBorder="0" applyAlignment="0" applyProtection="0"/>
    <xf numFmtId="0" fontId="2" fillId="0" borderId="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0" fontId="10" fillId="0" borderId="0"/>
    <xf numFmtId="0" fontId="2" fillId="0" borderId="0"/>
    <xf numFmtId="0" fontId="3" fillId="0" borderId="0"/>
    <xf numFmtId="0" fontId="2" fillId="0" borderId="0"/>
    <xf numFmtId="0" fontId="10" fillId="0" borderId="0"/>
    <xf numFmtId="0" fontId="10" fillId="0" borderId="0"/>
    <xf numFmtId="0" fontId="10" fillId="0" borderId="0"/>
    <xf numFmtId="0" fontId="11" fillId="0" borderId="0"/>
    <xf numFmtId="0" fontId="3" fillId="0" borderId="0"/>
    <xf numFmtId="0" fontId="3" fillId="0" borderId="0"/>
    <xf numFmtId="0" fontId="2" fillId="0" borderId="0"/>
    <xf numFmtId="0" fontId="2" fillId="0" borderId="0"/>
    <xf numFmtId="0" fontId="41" fillId="0" borderId="0"/>
    <xf numFmtId="0" fontId="2" fillId="0" borderId="0" applyFont="0" applyFill="0" applyBorder="0" applyAlignment="0" applyProtection="0"/>
    <xf numFmtId="0" fontId="8" fillId="0" borderId="0"/>
    <xf numFmtId="0" fontId="8" fillId="0" borderId="0" applyFont="0" applyFill="0" applyBorder="0" applyAlignment="0" applyProtection="0"/>
    <xf numFmtId="0" fontId="8" fillId="0" borderId="0"/>
    <xf numFmtId="8" fontId="8"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0" fontId="86" fillId="0" borderId="0" applyNumberFormat="0" applyFill="0" applyBorder="0" applyAlignment="0" applyProtection="0">
      <alignment vertical="top"/>
      <protection locked="0"/>
    </xf>
    <xf numFmtId="0" fontId="2" fillId="0" borderId="0"/>
    <xf numFmtId="0" fontId="8" fillId="0" borderId="0"/>
    <xf numFmtId="0" fontId="2" fillId="0" borderId="0"/>
    <xf numFmtId="9" fontId="2" fillId="0" borderId="0" applyFont="0" applyFill="0" applyBorder="0" applyAlignment="0" applyProtection="0"/>
    <xf numFmtId="43" fontId="8" fillId="0" borderId="0" applyFont="0" applyFill="0" applyBorder="0" applyAlignment="0" applyProtection="0"/>
  </cellStyleXfs>
  <cellXfs count="2098">
    <xf numFmtId="0" fontId="0" fillId="0" borderId="0" xfId="0"/>
    <xf numFmtId="0" fontId="4" fillId="0" borderId="5" xfId="0" applyFont="1" applyFill="1" applyBorder="1" applyAlignment="1">
      <alignment horizontal="center" vertical="center" wrapText="1"/>
    </xf>
    <xf numFmtId="41" fontId="4" fillId="0" borderId="5" xfId="5" applyNumberFormat="1" applyFont="1" applyFill="1" applyBorder="1" applyAlignment="1">
      <alignment vertical="center"/>
    </xf>
    <xf numFmtId="41" fontId="4" fillId="0" borderId="5" xfId="0" applyNumberFormat="1" applyFont="1" applyFill="1" applyBorder="1" applyAlignment="1">
      <alignment vertical="center" wrapText="1"/>
    </xf>
    <xf numFmtId="41" fontId="4" fillId="0" borderId="5" xfId="0" applyNumberFormat="1" applyFont="1" applyFill="1" applyBorder="1" applyAlignment="1">
      <alignment vertical="center"/>
    </xf>
    <xf numFmtId="41" fontId="5" fillId="0" borderId="5" xfId="4" applyNumberFormat="1" applyFont="1" applyFill="1" applyBorder="1" applyAlignment="1">
      <alignment vertical="center"/>
    </xf>
    <xf numFmtId="41" fontId="4" fillId="0" borderId="5" xfId="1" applyNumberFormat="1" applyFont="1" applyFill="1" applyBorder="1" applyAlignment="1">
      <alignment vertical="center" wrapText="1"/>
    </xf>
    <xf numFmtId="41" fontId="4" fillId="0" borderId="5" xfId="6" applyNumberFormat="1" applyFont="1" applyFill="1" applyBorder="1" applyAlignment="1">
      <alignment vertical="center" wrapText="1"/>
    </xf>
    <xf numFmtId="41" fontId="6" fillId="0" borderId="5" xfId="4" applyNumberFormat="1" applyFont="1" applyFill="1" applyBorder="1" applyAlignment="1">
      <alignment vertical="center"/>
    </xf>
    <xf numFmtId="0" fontId="5" fillId="0" borderId="5" xfId="0" applyFont="1" applyFill="1" applyBorder="1" applyAlignment="1">
      <alignment vertical="center" wrapText="1"/>
    </xf>
    <xf numFmtId="0" fontId="7" fillId="0" borderId="0" xfId="0" applyFont="1" applyAlignment="1">
      <alignment horizontal="left" vertical="top"/>
    </xf>
    <xf numFmtId="1" fontId="5" fillId="0" borderId="0" xfId="4" applyNumberFormat="1" applyFont="1" applyFill="1" applyAlignment="1">
      <alignment horizontal="center" vertical="center"/>
    </xf>
    <xf numFmtId="0" fontId="13" fillId="0" borderId="0" xfId="0" applyFont="1" applyAlignment="1">
      <alignment horizontal="center" vertical="center"/>
    </xf>
    <xf numFmtId="0" fontId="13" fillId="0" borderId="0" xfId="0" applyFont="1"/>
    <xf numFmtId="1" fontId="15" fillId="0" borderId="0" xfId="4" applyNumberFormat="1" applyFont="1" applyFill="1" applyAlignment="1">
      <alignment horizontal="center" vertical="center" wrapText="1"/>
    </xf>
    <xf numFmtId="1" fontId="5" fillId="0" borderId="0" xfId="4" applyNumberFormat="1" applyFont="1" applyFill="1" applyAlignment="1">
      <alignment horizontal="center" vertical="center" wrapText="1"/>
    </xf>
    <xf numFmtId="41" fontId="18" fillId="0" borderId="0" xfId="4" applyNumberFormat="1" applyFont="1" applyFill="1" applyAlignment="1">
      <alignment horizontal="center" vertical="center" wrapText="1"/>
    </xf>
    <xf numFmtId="3" fontId="18" fillId="0" borderId="0" xfId="4" applyNumberFormat="1" applyFont="1" applyFill="1" applyAlignment="1">
      <alignment horizontal="center" vertical="center" wrapText="1"/>
    </xf>
    <xf numFmtId="3" fontId="5" fillId="0" borderId="5" xfId="4" quotePrefix="1" applyNumberFormat="1" applyFont="1" applyFill="1" applyBorder="1" applyAlignment="1">
      <alignment horizontal="center" vertical="center" wrapText="1"/>
    </xf>
    <xf numFmtId="3" fontId="5" fillId="0" borderId="0" xfId="4" applyNumberFormat="1" applyFont="1" applyFill="1" applyBorder="1" applyAlignment="1">
      <alignment horizontal="center" vertical="center" wrapText="1"/>
    </xf>
    <xf numFmtId="3" fontId="20" fillId="0" borderId="5" xfId="4" applyNumberFormat="1" applyFont="1" applyFill="1" applyBorder="1" applyAlignment="1">
      <alignment horizontal="center" vertical="center" wrapText="1"/>
    </xf>
    <xf numFmtId="41" fontId="20" fillId="0" borderId="5" xfId="4" quotePrefix="1" applyNumberFormat="1" applyFont="1" applyFill="1" applyBorder="1" applyAlignment="1">
      <alignment vertical="center" wrapText="1"/>
    </xf>
    <xf numFmtId="3" fontId="13" fillId="0" borderId="0" xfId="0" applyNumberFormat="1" applyFont="1" applyAlignment="1">
      <alignment horizontal="center" vertical="center"/>
    </xf>
    <xf numFmtId="1" fontId="20" fillId="0" borderId="5" xfId="4" applyNumberFormat="1" applyFont="1" applyFill="1" applyBorder="1" applyAlignment="1">
      <alignment horizontal="center" vertical="center"/>
    </xf>
    <xf numFmtId="1" fontId="20" fillId="0" borderId="5" xfId="4" applyNumberFormat="1" applyFont="1" applyFill="1" applyBorder="1" applyAlignment="1">
      <alignment horizontal="left" vertical="center" wrapText="1"/>
    </xf>
    <xf numFmtId="1" fontId="5" fillId="0" borderId="5" xfId="4" applyNumberFormat="1" applyFont="1" applyFill="1" applyBorder="1" applyAlignment="1">
      <alignment horizontal="center" vertical="center" wrapText="1"/>
    </xf>
    <xf numFmtId="41" fontId="20" fillId="0" borderId="5" xfId="4" applyNumberFormat="1" applyFont="1" applyFill="1" applyBorder="1" applyAlignment="1">
      <alignment vertical="center"/>
    </xf>
    <xf numFmtId="1" fontId="5" fillId="0" borderId="5" xfId="4" applyNumberFormat="1" applyFont="1" applyFill="1" applyBorder="1" applyAlignment="1">
      <alignment horizontal="right" vertical="center"/>
    </xf>
    <xf numFmtId="1" fontId="20" fillId="2" borderId="5" xfId="4" applyNumberFormat="1" applyFont="1" applyFill="1" applyBorder="1" applyAlignment="1">
      <alignment horizontal="center" vertical="center"/>
    </xf>
    <xf numFmtId="1" fontId="20" fillId="2" borderId="5" xfId="4" applyNumberFormat="1" applyFont="1" applyFill="1" applyBorder="1" applyAlignment="1">
      <alignment horizontal="left" vertical="center" wrapText="1"/>
    </xf>
    <xf numFmtId="1" fontId="5" fillId="2" borderId="5" xfId="4" applyNumberFormat="1" applyFont="1" applyFill="1" applyBorder="1" applyAlignment="1">
      <alignment horizontal="center" vertical="center" wrapText="1"/>
    </xf>
    <xf numFmtId="41" fontId="20" fillId="2" borderId="5" xfId="4" applyNumberFormat="1" applyFont="1" applyFill="1" applyBorder="1" applyAlignment="1">
      <alignment vertical="center"/>
    </xf>
    <xf numFmtId="1" fontId="5" fillId="2" borderId="5" xfId="4" applyNumberFormat="1" applyFont="1" applyFill="1" applyBorder="1" applyAlignment="1">
      <alignment horizontal="right" vertical="center"/>
    </xf>
    <xf numFmtId="0" fontId="13" fillId="2" borderId="0" xfId="0" applyFont="1" applyFill="1" applyAlignment="1">
      <alignment horizontal="center" vertical="center"/>
    </xf>
    <xf numFmtId="0" fontId="13" fillId="2" borderId="0" xfId="0" applyFont="1" applyFill="1"/>
    <xf numFmtId="49" fontId="21" fillId="3" borderId="5" xfId="4" quotePrefix="1" applyNumberFormat="1" applyFont="1" applyFill="1" applyBorder="1" applyAlignment="1">
      <alignment horizontal="center" vertical="center"/>
    </xf>
    <xf numFmtId="1" fontId="21" fillId="3" borderId="5" xfId="4" applyNumberFormat="1" applyFont="1" applyFill="1" applyBorder="1" applyAlignment="1">
      <alignment vertical="center" wrapText="1"/>
    </xf>
    <xf numFmtId="1" fontId="21" fillId="3" borderId="5" xfId="4" applyNumberFormat="1" applyFont="1" applyFill="1" applyBorder="1" applyAlignment="1">
      <alignment horizontal="center" vertical="center" wrapText="1"/>
    </xf>
    <xf numFmtId="41" fontId="21" fillId="3" borderId="5" xfId="4" applyNumberFormat="1" applyFont="1" applyFill="1" applyBorder="1" applyAlignment="1">
      <alignment vertical="center"/>
    </xf>
    <xf numFmtId="41" fontId="18" fillId="3" borderId="5" xfId="4" applyNumberFormat="1" applyFont="1" applyFill="1" applyBorder="1" applyAlignment="1">
      <alignment vertical="center"/>
    </xf>
    <xf numFmtId="1" fontId="21" fillId="3" borderId="5" xfId="4" applyNumberFormat="1" applyFont="1" applyFill="1" applyBorder="1" applyAlignment="1">
      <alignment horizontal="right" vertical="center"/>
    </xf>
    <xf numFmtId="0" fontId="13" fillId="3" borderId="0" xfId="0" applyFont="1" applyFill="1" applyAlignment="1">
      <alignment horizontal="center" vertical="center"/>
    </xf>
    <xf numFmtId="0" fontId="13" fillId="3" borderId="0" xfId="0" applyFont="1" applyFill="1"/>
    <xf numFmtId="49" fontId="21" fillId="4" borderId="5" xfId="4" applyNumberFormat="1" applyFont="1" applyFill="1" applyBorder="1" applyAlignment="1">
      <alignment horizontal="center" vertical="center"/>
    </xf>
    <xf numFmtId="1" fontId="21" fillId="4" borderId="5" xfId="4" applyNumberFormat="1" applyFont="1" applyFill="1" applyBorder="1" applyAlignment="1">
      <alignment vertical="center" wrapText="1"/>
    </xf>
    <xf numFmtId="1" fontId="21" fillId="4" borderId="5" xfId="4" applyNumberFormat="1" applyFont="1" applyFill="1" applyBorder="1" applyAlignment="1">
      <alignment horizontal="center" vertical="center" wrapText="1"/>
    </xf>
    <xf numFmtId="41" fontId="21" fillId="4" borderId="5" xfId="4" applyNumberFormat="1" applyFont="1" applyFill="1" applyBorder="1" applyAlignment="1">
      <alignment vertical="center"/>
    </xf>
    <xf numFmtId="1" fontId="21" fillId="4" borderId="5" xfId="4" applyNumberFormat="1" applyFont="1" applyFill="1" applyBorder="1" applyAlignment="1">
      <alignment horizontal="right" vertical="center"/>
    </xf>
    <xf numFmtId="0" fontId="13" fillId="4" borderId="0" xfId="0" applyFont="1" applyFill="1" applyAlignment="1">
      <alignment horizontal="center" vertical="center"/>
    </xf>
    <xf numFmtId="0" fontId="13" fillId="4" borderId="0" xfId="0" applyFont="1" applyFill="1"/>
    <xf numFmtId="49" fontId="21" fillId="0" borderId="5" xfId="4" applyNumberFormat="1" applyFont="1" applyFill="1" applyBorder="1" applyAlignment="1">
      <alignment horizontal="center" vertical="center"/>
    </xf>
    <xf numFmtId="1" fontId="21" fillId="0" borderId="5" xfId="4" applyNumberFormat="1" applyFont="1" applyFill="1" applyBorder="1" applyAlignment="1">
      <alignment vertical="center" wrapText="1"/>
    </xf>
    <xf numFmtId="1" fontId="17" fillId="0" borderId="5" xfId="4" applyNumberFormat="1" applyFont="1" applyFill="1" applyBorder="1" applyAlignment="1">
      <alignment horizontal="center" vertical="center" wrapText="1"/>
    </xf>
    <xf numFmtId="41" fontId="17" fillId="0" borderId="5" xfId="4" applyNumberFormat="1" applyFont="1" applyFill="1" applyBorder="1" applyAlignment="1">
      <alignment vertical="center"/>
    </xf>
    <xf numFmtId="41" fontId="18" fillId="0" borderId="5" xfId="4" applyNumberFormat="1" applyFont="1" applyFill="1" applyBorder="1" applyAlignment="1">
      <alignment vertical="center"/>
    </xf>
    <xf numFmtId="1" fontId="17" fillId="0" borderId="5" xfId="4" applyNumberFormat="1" applyFont="1" applyFill="1" applyBorder="1" applyAlignment="1">
      <alignment horizontal="right" vertical="center"/>
    </xf>
    <xf numFmtId="1" fontId="21" fillId="0" borderId="5" xfId="4" quotePrefix="1" applyNumberFormat="1" applyFont="1" applyFill="1" applyBorder="1" applyAlignment="1">
      <alignment vertical="center" wrapText="1"/>
    </xf>
    <xf numFmtId="1" fontId="21" fillId="0" borderId="5" xfId="4" applyNumberFormat="1" applyFont="1" applyFill="1" applyBorder="1" applyAlignment="1">
      <alignment horizontal="center" vertical="center" wrapText="1"/>
    </xf>
    <xf numFmtId="41" fontId="21" fillId="0" borderId="5" xfId="4" applyNumberFormat="1" applyFont="1" applyFill="1" applyBorder="1" applyAlignment="1">
      <alignment vertical="center"/>
    </xf>
    <xf numFmtId="1" fontId="21" fillId="0" borderId="5" xfId="4" applyNumberFormat="1" applyFont="1" applyFill="1" applyBorder="1" applyAlignment="1">
      <alignment horizontal="right" vertical="center"/>
    </xf>
    <xf numFmtId="1" fontId="5" fillId="0" borderId="5" xfId="4" quotePrefix="1" applyNumberFormat="1" applyFont="1" applyFill="1" applyBorder="1" applyAlignment="1">
      <alignment horizontal="center" vertical="center"/>
    </xf>
    <xf numFmtId="0" fontId="5" fillId="0" borderId="5" xfId="0" applyFont="1" applyFill="1" applyBorder="1" applyAlignment="1">
      <alignment horizontal="center" vertical="center" wrapText="1"/>
    </xf>
    <xf numFmtId="41" fontId="5" fillId="0" borderId="5" xfId="1" applyNumberFormat="1" applyFont="1" applyFill="1" applyBorder="1" applyAlignment="1">
      <alignment vertical="center" wrapText="1"/>
    </xf>
    <xf numFmtId="41" fontId="5" fillId="0" borderId="5" xfId="0" applyNumberFormat="1" applyFont="1" applyFill="1" applyBorder="1" applyAlignment="1">
      <alignment vertical="center" wrapText="1"/>
    </xf>
    <xf numFmtId="49" fontId="5" fillId="0" borderId="5" xfId="4" applyNumberFormat="1" applyFont="1" applyFill="1" applyBorder="1" applyAlignment="1">
      <alignment horizontal="center" vertical="center"/>
    </xf>
    <xf numFmtId="41" fontId="5" fillId="0" borderId="5" xfId="4" applyNumberFormat="1" applyFont="1" applyFill="1" applyBorder="1" applyAlignment="1">
      <alignment horizontal="center" vertical="center" wrapText="1"/>
    </xf>
    <xf numFmtId="9" fontId="5" fillId="0" borderId="5" xfId="3" applyFont="1" applyFill="1" applyBorder="1" applyAlignment="1">
      <alignment horizontal="center" vertical="center" wrapText="1"/>
    </xf>
    <xf numFmtId="3" fontId="5" fillId="0" borderId="5" xfId="0" applyNumberFormat="1" applyFont="1" applyFill="1" applyBorder="1" applyAlignment="1">
      <alignment horizontal="left" vertical="center" wrapText="1"/>
    </xf>
    <xf numFmtId="41" fontId="5" fillId="0" borderId="5" xfId="0" applyNumberFormat="1" applyFont="1" applyFill="1" applyBorder="1" applyAlignment="1">
      <alignment vertical="center"/>
    </xf>
    <xf numFmtId="1" fontId="5" fillId="0" borderId="5" xfId="4" applyNumberFormat="1" applyFont="1" applyFill="1" applyBorder="1" applyAlignment="1">
      <alignment horizontal="right" vertical="center" wrapText="1"/>
    </xf>
    <xf numFmtId="0" fontId="5" fillId="0" borderId="5" xfId="0" applyFont="1" applyFill="1" applyBorder="1" applyAlignment="1">
      <alignment horizontal="center" vertical="center"/>
    </xf>
    <xf numFmtId="41" fontId="5" fillId="0" borderId="5" xfId="4" applyNumberFormat="1" applyFont="1" applyFill="1" applyBorder="1" applyAlignment="1">
      <alignment vertical="center" wrapText="1"/>
    </xf>
    <xf numFmtId="1" fontId="20" fillId="4" borderId="5" xfId="4" applyNumberFormat="1" applyFont="1" applyFill="1" applyBorder="1" applyAlignment="1">
      <alignment horizontal="center" vertical="center" wrapText="1"/>
    </xf>
    <xf numFmtId="1" fontId="20" fillId="4" borderId="5" xfId="4" applyNumberFormat="1" applyFont="1" applyFill="1" applyBorder="1" applyAlignment="1">
      <alignment horizontal="right" vertical="center"/>
    </xf>
    <xf numFmtId="41" fontId="5" fillId="0" borderId="5" xfId="5" applyNumberFormat="1" applyFont="1" applyFill="1" applyBorder="1" applyAlignment="1">
      <alignment vertical="center"/>
    </xf>
    <xf numFmtId="41" fontId="5" fillId="0" borderId="5" xfId="6" applyNumberFormat="1" applyFont="1" applyFill="1" applyBorder="1" applyAlignment="1">
      <alignment vertical="center"/>
    </xf>
    <xf numFmtId="1" fontId="3" fillId="0" borderId="5" xfId="4" applyNumberFormat="1" applyFont="1" applyFill="1" applyBorder="1" applyAlignment="1">
      <alignment horizontal="center" vertical="center" wrapText="1"/>
    </xf>
    <xf numFmtId="0" fontId="21" fillId="4" borderId="5" xfId="0" applyFont="1" applyFill="1" applyBorder="1" applyAlignment="1">
      <alignment horizontal="center" vertical="center" wrapText="1"/>
    </xf>
    <xf numFmtId="41" fontId="21" fillId="4" borderId="5" xfId="0" applyNumberFormat="1" applyFont="1" applyFill="1" applyBorder="1" applyAlignment="1">
      <alignment vertical="center" wrapText="1"/>
    </xf>
    <xf numFmtId="1" fontId="21" fillId="4" borderId="5" xfId="4" applyNumberFormat="1" applyFont="1" applyFill="1" applyBorder="1" applyAlignment="1">
      <alignment horizontal="right" vertical="center" wrapText="1"/>
    </xf>
    <xf numFmtId="41" fontId="5" fillId="0" borderId="5" xfId="6" applyNumberFormat="1" applyFont="1" applyFill="1" applyBorder="1" applyAlignment="1">
      <alignment vertical="center" wrapText="1"/>
    </xf>
    <xf numFmtId="3" fontId="17" fillId="0" borderId="5" xfId="0" applyNumberFormat="1" applyFont="1" applyFill="1" applyBorder="1" applyAlignment="1">
      <alignment horizontal="left" vertical="center" wrapText="1"/>
    </xf>
    <xf numFmtId="0" fontId="21" fillId="0" borderId="5" xfId="0" applyFont="1" applyFill="1" applyBorder="1" applyAlignment="1">
      <alignment horizontal="center" vertical="center" wrapText="1"/>
    </xf>
    <xf numFmtId="0" fontId="17" fillId="0" borderId="5" xfId="0" applyFont="1" applyFill="1" applyBorder="1" applyAlignment="1">
      <alignment horizontal="center" vertical="center" wrapText="1"/>
    </xf>
    <xf numFmtId="41" fontId="17" fillId="0" borderId="5" xfId="6" applyNumberFormat="1" applyFont="1" applyFill="1" applyBorder="1" applyAlignment="1">
      <alignment vertical="center" wrapText="1"/>
    </xf>
    <xf numFmtId="41" fontId="17" fillId="0" borderId="5" xfId="0" applyNumberFormat="1" applyFont="1" applyFill="1" applyBorder="1" applyAlignment="1">
      <alignment vertical="center"/>
    </xf>
    <xf numFmtId="41" fontId="17" fillId="0" borderId="5" xfId="0" applyNumberFormat="1" applyFont="1" applyFill="1" applyBorder="1" applyAlignment="1">
      <alignment vertical="center" wrapText="1"/>
    </xf>
    <xf numFmtId="41" fontId="23" fillId="0" borderId="5" xfId="0" applyNumberFormat="1" applyFont="1" applyFill="1" applyBorder="1" applyAlignment="1">
      <alignment vertical="center" wrapText="1"/>
    </xf>
    <xf numFmtId="1" fontId="5" fillId="0" borderId="5" xfId="0" applyNumberFormat="1" applyFont="1" applyFill="1" applyBorder="1" applyAlignment="1">
      <alignment horizontal="center" vertical="center" wrapText="1"/>
    </xf>
    <xf numFmtId="0" fontId="13" fillId="0" borderId="0" xfId="0" applyFont="1" applyFill="1"/>
    <xf numFmtId="41" fontId="20" fillId="4" borderId="5" xfId="4" applyNumberFormat="1" applyFont="1" applyFill="1" applyBorder="1" applyAlignment="1">
      <alignment vertical="center"/>
    </xf>
    <xf numFmtId="0" fontId="5" fillId="0" borderId="5" xfId="0" applyFont="1" applyFill="1" applyBorder="1" applyAlignment="1">
      <alignment horizontal="left" vertical="center" wrapText="1"/>
    </xf>
    <xf numFmtId="41" fontId="13" fillId="0" borderId="0" xfId="0" applyNumberFormat="1" applyFont="1" applyAlignment="1">
      <alignment horizontal="center" vertical="center"/>
    </xf>
    <xf numFmtId="1" fontId="21" fillId="4" borderId="5" xfId="4" applyNumberFormat="1" applyFont="1" applyFill="1" applyBorder="1" applyAlignment="1">
      <alignment horizontal="center" vertical="center"/>
    </xf>
    <xf numFmtId="41" fontId="18" fillId="4" borderId="5" xfId="4" applyNumberFormat="1" applyFont="1" applyFill="1" applyBorder="1" applyAlignment="1">
      <alignment vertical="center"/>
    </xf>
    <xf numFmtId="2" fontId="5" fillId="0" borderId="5"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41" fontId="21" fillId="4" borderId="5" xfId="6" applyNumberFormat="1" applyFont="1" applyFill="1" applyBorder="1" applyAlignment="1">
      <alignment vertical="center"/>
    </xf>
    <xf numFmtId="41" fontId="5" fillId="4" borderId="5" xfId="4" applyNumberFormat="1" applyFont="1" applyFill="1" applyBorder="1" applyAlignment="1">
      <alignment vertical="center"/>
    </xf>
    <xf numFmtId="41" fontId="22" fillId="4" borderId="5" xfId="4" applyNumberFormat="1" applyFont="1" applyFill="1" applyBorder="1" applyAlignment="1">
      <alignment vertical="center"/>
    </xf>
    <xf numFmtId="1" fontId="20" fillId="2" borderId="5" xfId="4" applyNumberFormat="1" applyFont="1" applyFill="1" applyBorder="1" applyAlignment="1">
      <alignment horizontal="left" wrapText="1"/>
    </xf>
    <xf numFmtId="41" fontId="20" fillId="3" borderId="5" xfId="4" applyNumberFormat="1" applyFont="1" applyFill="1" applyBorder="1" applyAlignment="1">
      <alignment vertical="center"/>
    </xf>
    <xf numFmtId="0" fontId="24" fillId="3" borderId="0" xfId="0" applyFont="1" applyFill="1"/>
    <xf numFmtId="0" fontId="24" fillId="2" borderId="0" xfId="0" applyFont="1" applyFill="1"/>
    <xf numFmtId="41" fontId="25" fillId="0" borderId="5" xfId="4" applyNumberFormat="1" applyFont="1" applyFill="1" applyBorder="1" applyAlignment="1">
      <alignment vertical="center"/>
    </xf>
    <xf numFmtId="41" fontId="18" fillId="0" borderId="5" xfId="0" applyNumberFormat="1" applyFont="1" applyFill="1" applyBorder="1" applyAlignment="1">
      <alignment vertical="center" wrapText="1"/>
    </xf>
    <xf numFmtId="41" fontId="17" fillId="4" borderId="5" xfId="4" applyNumberFormat="1" applyFont="1" applyFill="1" applyBorder="1" applyAlignment="1">
      <alignment vertical="center"/>
    </xf>
    <xf numFmtId="0" fontId="5" fillId="0" borderId="5" xfId="7" applyFont="1" applyFill="1" applyBorder="1" applyAlignment="1">
      <alignment vertical="center" wrapText="1"/>
    </xf>
    <xf numFmtId="41" fontId="5" fillId="0" borderId="5" xfId="2" applyNumberFormat="1" applyFont="1" applyFill="1" applyBorder="1" applyAlignment="1">
      <alignment vertical="center" wrapText="1"/>
    </xf>
    <xf numFmtId="3" fontId="13" fillId="3" borderId="0" xfId="0" applyNumberFormat="1" applyFont="1" applyFill="1" applyAlignment="1">
      <alignment horizontal="center" vertical="center"/>
    </xf>
    <xf numFmtId="3" fontId="13" fillId="4" borderId="0" xfId="0" applyNumberFormat="1" applyFont="1" applyFill="1" applyAlignment="1">
      <alignment horizontal="center" vertical="center"/>
    </xf>
    <xf numFmtId="41" fontId="21" fillId="0" borderId="5" xfId="0" applyNumberFormat="1" applyFont="1" applyFill="1" applyBorder="1" applyAlignment="1">
      <alignment vertical="center" wrapText="1"/>
    </xf>
    <xf numFmtId="41" fontId="21" fillId="0" borderId="5" xfId="6" applyNumberFormat="1" applyFont="1" applyFill="1" applyBorder="1" applyAlignment="1">
      <alignment vertical="center"/>
    </xf>
    <xf numFmtId="0" fontId="26" fillId="0" borderId="5" xfId="0" applyFont="1" applyFill="1" applyBorder="1" applyAlignment="1">
      <alignment vertical="center" wrapText="1"/>
    </xf>
    <xf numFmtId="0" fontId="26"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41" fontId="26" fillId="0" borderId="5" xfId="0" applyNumberFormat="1" applyFont="1" applyFill="1" applyBorder="1" applyAlignment="1">
      <alignment vertical="center" wrapText="1"/>
    </xf>
    <xf numFmtId="0" fontId="26" fillId="0" borderId="5" xfId="7" applyFont="1" applyFill="1" applyBorder="1" applyAlignment="1">
      <alignment vertical="center" wrapText="1"/>
    </xf>
    <xf numFmtId="3" fontId="5" fillId="0" borderId="5" xfId="0" applyNumberFormat="1" applyFont="1" applyFill="1" applyBorder="1" applyAlignment="1">
      <alignment horizontal="center" vertical="center" wrapText="1"/>
    </xf>
    <xf numFmtId="41" fontId="5" fillId="4" borderId="5" xfId="0" applyNumberFormat="1" applyFont="1" applyFill="1" applyBorder="1" applyAlignment="1">
      <alignment vertical="center" wrapText="1"/>
    </xf>
    <xf numFmtId="41" fontId="13" fillId="4" borderId="0" xfId="0" applyNumberFormat="1" applyFont="1" applyFill="1" applyAlignment="1">
      <alignment horizontal="center" vertical="center"/>
    </xf>
    <xf numFmtId="3" fontId="18" fillId="0" borderId="5" xfId="4" applyNumberFormat="1" applyFont="1" applyFill="1" applyBorder="1" applyAlignment="1">
      <alignment horizontal="center" vertical="center"/>
    </xf>
    <xf numFmtId="41" fontId="3" fillId="0" borderId="5" xfId="0" applyNumberFormat="1" applyFont="1" applyFill="1" applyBorder="1" applyAlignment="1">
      <alignment vertical="center"/>
    </xf>
    <xf numFmtId="1" fontId="5" fillId="0" borderId="5" xfId="0" applyNumberFormat="1" applyFont="1" applyFill="1" applyBorder="1" applyAlignment="1">
      <alignment horizontal="left" vertical="center" wrapText="1"/>
    </xf>
    <xf numFmtId="41" fontId="5" fillId="0" borderId="5" xfId="1" applyNumberFormat="1" applyFont="1" applyFill="1" applyBorder="1" applyAlignment="1">
      <alignment vertical="center"/>
    </xf>
    <xf numFmtId="0" fontId="13" fillId="3" borderId="9" xfId="0" applyFont="1" applyFill="1" applyBorder="1"/>
    <xf numFmtId="3" fontId="5" fillId="0" borderId="5" xfId="0" applyNumberFormat="1" applyFont="1" applyFill="1" applyBorder="1" applyAlignment="1">
      <alignment horizontal="center" vertical="center"/>
    </xf>
    <xf numFmtId="1" fontId="5" fillId="4" borderId="5" xfId="4" applyNumberFormat="1" applyFont="1" applyFill="1" applyBorder="1" applyAlignment="1">
      <alignment horizontal="center" vertical="center"/>
    </xf>
    <xf numFmtId="165" fontId="5" fillId="0" borderId="5" xfId="0" applyNumberFormat="1" applyFont="1" applyFill="1" applyBorder="1" applyAlignment="1">
      <alignment vertical="center" wrapText="1"/>
    </xf>
    <xf numFmtId="165" fontId="5" fillId="0" borderId="5" xfId="0" applyNumberFormat="1" applyFont="1" applyFill="1" applyBorder="1" applyAlignment="1">
      <alignment horizontal="right" vertical="center" wrapText="1"/>
    </xf>
    <xf numFmtId="41" fontId="5" fillId="0" borderId="5" xfId="2" applyNumberFormat="1" applyFont="1" applyFill="1" applyBorder="1" applyAlignment="1">
      <alignment vertical="center"/>
    </xf>
    <xf numFmtId="0" fontId="3" fillId="0" borderId="5" xfId="0" applyFont="1" applyFill="1" applyBorder="1" applyAlignment="1">
      <alignment vertical="center" wrapText="1"/>
    </xf>
    <xf numFmtId="165" fontId="5" fillId="0" borderId="5" xfId="0" applyNumberFormat="1" applyFont="1" applyFill="1" applyBorder="1" applyAlignment="1">
      <alignment horizontal="center" vertical="center"/>
    </xf>
    <xf numFmtId="1" fontId="5" fillId="0" borderId="10" xfId="4" applyNumberFormat="1" applyFont="1" applyFill="1" applyBorder="1" applyAlignment="1">
      <alignment horizontal="center" vertical="center"/>
    </xf>
    <xf numFmtId="1" fontId="5" fillId="0" borderId="10" xfId="4" applyNumberFormat="1" applyFont="1" applyFill="1" applyBorder="1" applyAlignment="1">
      <alignment vertical="center" wrapText="1"/>
    </xf>
    <xf numFmtId="1" fontId="5" fillId="0" borderId="10" xfId="4" applyNumberFormat="1" applyFont="1" applyFill="1" applyBorder="1" applyAlignment="1">
      <alignment horizontal="center" vertical="center" wrapText="1"/>
    </xf>
    <xf numFmtId="1" fontId="5" fillId="0" borderId="10" xfId="4" applyNumberFormat="1" applyFont="1" applyFill="1" applyBorder="1" applyAlignment="1">
      <alignment horizontal="right" vertical="center"/>
    </xf>
    <xf numFmtId="1" fontId="17" fillId="0" borderId="10" xfId="4" applyNumberFormat="1" applyFont="1" applyFill="1" applyBorder="1" applyAlignment="1">
      <alignment horizontal="right" vertical="center"/>
    </xf>
    <xf numFmtId="41" fontId="18" fillId="0" borderId="10" xfId="4" applyNumberFormat="1" applyFont="1" applyFill="1" applyBorder="1" applyAlignment="1">
      <alignment horizontal="right" vertical="center"/>
    </xf>
    <xf numFmtId="3" fontId="5" fillId="0" borderId="10" xfId="4" applyNumberFormat="1" applyFont="1" applyFill="1" applyBorder="1" applyAlignment="1">
      <alignment vertical="center"/>
    </xf>
    <xf numFmtId="1" fontId="5" fillId="0" borderId="10" xfId="4" applyNumberFormat="1" applyFont="1" applyFill="1" applyBorder="1" applyAlignment="1">
      <alignment vertical="center"/>
    </xf>
    <xf numFmtId="3" fontId="13" fillId="0" borderId="0" xfId="0" applyNumberFormat="1" applyFont="1"/>
    <xf numFmtId="3" fontId="7" fillId="3" borderId="0" xfId="0" applyNumberFormat="1" applyFont="1" applyFill="1" applyAlignment="1">
      <alignment horizontal="center" vertical="center"/>
    </xf>
    <xf numFmtId="41" fontId="13" fillId="0" borderId="0" xfId="0" applyNumberFormat="1" applyFont="1"/>
    <xf numFmtId="41" fontId="13" fillId="0" borderId="0" xfId="0" applyNumberFormat="1" applyFont="1" applyFill="1"/>
    <xf numFmtId="3" fontId="7" fillId="0" borderId="0" xfId="0" applyNumberFormat="1" applyFont="1" applyAlignment="1">
      <alignment horizontal="center" vertical="center"/>
    </xf>
    <xf numFmtId="3" fontId="7" fillId="4" borderId="0" xfId="0" applyNumberFormat="1" applyFont="1" applyFill="1" applyAlignment="1">
      <alignment horizontal="center" vertical="center"/>
    </xf>
    <xf numFmtId="0" fontId="7" fillId="0" borderId="0" xfId="0" applyFont="1" applyAlignment="1">
      <alignment horizontal="center"/>
    </xf>
    <xf numFmtId="0" fontId="7" fillId="0" borderId="0" xfId="0" applyFont="1"/>
    <xf numFmtId="41" fontId="6" fillId="0" borderId="5" xfId="0" applyNumberFormat="1" applyFont="1" applyFill="1" applyBorder="1" applyAlignment="1">
      <alignment vertical="center" wrapText="1"/>
    </xf>
    <xf numFmtId="41" fontId="4" fillId="0" borderId="5" xfId="4" applyNumberFormat="1" applyFont="1" applyFill="1" applyBorder="1" applyAlignment="1">
      <alignment vertical="center"/>
    </xf>
    <xf numFmtId="41" fontId="6" fillId="0" borderId="5" xfId="0" applyNumberFormat="1" applyFont="1" applyFill="1" applyBorder="1" applyAlignment="1">
      <alignment vertical="center"/>
    </xf>
    <xf numFmtId="1" fontId="4" fillId="0" borderId="5" xfId="4" quotePrefix="1" applyNumberFormat="1" applyFont="1" applyFill="1" applyBorder="1" applyAlignment="1">
      <alignment horizontal="center" vertical="center"/>
    </xf>
    <xf numFmtId="0" fontId="4" fillId="0" borderId="5" xfId="0" applyFont="1" applyFill="1" applyBorder="1" applyAlignment="1">
      <alignment vertical="center" wrapText="1"/>
    </xf>
    <xf numFmtId="41" fontId="29" fillId="0" borderId="5" xfId="4" applyNumberFormat="1" applyFont="1" applyFill="1" applyBorder="1" applyAlignment="1">
      <alignment vertical="center"/>
    </xf>
    <xf numFmtId="3" fontId="28" fillId="0" borderId="0" xfId="0" applyNumberFormat="1" applyFont="1" applyAlignment="1">
      <alignment horizontal="center" vertical="center"/>
    </xf>
    <xf numFmtId="0" fontId="28" fillId="0" borderId="0" xfId="0" applyFont="1" applyAlignment="1">
      <alignment horizontal="center" vertical="center"/>
    </xf>
    <xf numFmtId="0" fontId="28" fillId="0" borderId="0" xfId="0" applyFont="1"/>
    <xf numFmtId="41" fontId="4" fillId="0" borderId="5" xfId="6" applyNumberFormat="1" applyFont="1" applyFill="1" applyBorder="1" applyAlignment="1">
      <alignment vertical="center"/>
    </xf>
    <xf numFmtId="41" fontId="6" fillId="0" borderId="5" xfId="5" applyNumberFormat="1" applyFont="1" applyFill="1" applyBorder="1" applyAlignment="1">
      <alignment vertical="center"/>
    </xf>
    <xf numFmtId="1" fontId="17" fillId="0" borderId="0" xfId="4" applyNumberFormat="1" applyFont="1" applyFill="1" applyAlignment="1">
      <alignment horizontal="center" vertical="center" wrapText="1"/>
    </xf>
    <xf numFmtId="3" fontId="5" fillId="0" borderId="2" xfId="4" applyNumberFormat="1"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0" fontId="7" fillId="0" borderId="0" xfId="0" applyFont="1" applyAlignment="1">
      <alignment horizontal="center" vertical="center"/>
    </xf>
    <xf numFmtId="1" fontId="5" fillId="0" borderId="7" xfId="4" applyNumberFormat="1" applyFont="1" applyFill="1" applyBorder="1" applyAlignment="1">
      <alignment horizontal="center" vertical="center" wrapText="1"/>
    </xf>
    <xf numFmtId="0" fontId="1" fillId="0" borderId="0" xfId="0" applyFont="1"/>
    <xf numFmtId="3" fontId="1" fillId="0" borderId="0" xfId="0" applyNumberFormat="1" applyFont="1"/>
    <xf numFmtId="0" fontId="1" fillId="0" borderId="0" xfId="0" applyFont="1" applyAlignment="1">
      <alignment horizontal="center" wrapText="1"/>
    </xf>
    <xf numFmtId="1" fontId="30" fillId="0" borderId="10" xfId="4" applyNumberFormat="1" applyFont="1" applyFill="1" applyBorder="1" applyAlignment="1">
      <alignment vertical="center"/>
    </xf>
    <xf numFmtId="41" fontId="30" fillId="0" borderId="10" xfId="4" applyNumberFormat="1" applyFont="1" applyFill="1" applyBorder="1" applyAlignment="1">
      <alignment vertical="center"/>
    </xf>
    <xf numFmtId="3" fontId="30" fillId="0" borderId="10" xfId="4" applyNumberFormat="1" applyFont="1" applyFill="1" applyBorder="1" applyAlignment="1">
      <alignment vertical="center"/>
    </xf>
    <xf numFmtId="1" fontId="30" fillId="0" borderId="10" xfId="4" applyNumberFormat="1" applyFont="1" applyFill="1" applyBorder="1" applyAlignment="1">
      <alignment horizontal="center" vertical="center"/>
    </xf>
    <xf numFmtId="1" fontId="30" fillId="0" borderId="10" xfId="4" applyNumberFormat="1" applyFont="1" applyFill="1" applyBorder="1" applyAlignment="1">
      <alignment horizontal="center" vertical="center" wrapText="1"/>
    </xf>
    <xf numFmtId="3" fontId="30" fillId="0" borderId="0" xfId="4" applyNumberFormat="1" applyFont="1" applyFill="1" applyBorder="1" applyAlignment="1">
      <alignment vertical="center" wrapText="1"/>
    </xf>
    <xf numFmtId="1" fontId="30" fillId="0" borderId="5" xfId="4" applyNumberFormat="1" applyFont="1" applyFill="1" applyBorder="1" applyAlignment="1">
      <alignment vertical="center"/>
    </xf>
    <xf numFmtId="41" fontId="30" fillId="0" borderId="5" xfId="4" applyNumberFormat="1" applyFont="1" applyFill="1" applyBorder="1" applyAlignment="1">
      <alignment vertical="center"/>
    </xf>
    <xf numFmtId="41" fontId="31" fillId="0" borderId="5" xfId="4" applyNumberFormat="1" applyFont="1" applyFill="1" applyBorder="1" applyAlignment="1">
      <alignment vertical="center"/>
    </xf>
    <xf numFmtId="41" fontId="30" fillId="0" borderId="5" xfId="0" applyNumberFormat="1" applyFont="1" applyFill="1" applyBorder="1" applyAlignment="1">
      <alignment horizontal="right" vertical="center" wrapText="1"/>
    </xf>
    <xf numFmtId="3" fontId="30" fillId="0" borderId="5" xfId="0" applyNumberFormat="1" applyFont="1" applyFill="1" applyBorder="1" applyAlignment="1">
      <alignment vertical="center"/>
    </xf>
    <xf numFmtId="41" fontId="30" fillId="0" borderId="5" xfId="0" applyNumberFormat="1" applyFont="1" applyFill="1" applyBorder="1" applyAlignment="1">
      <alignment vertical="center"/>
    </xf>
    <xf numFmtId="3" fontId="30" fillId="0" borderId="5" xfId="0" applyNumberFormat="1" applyFont="1" applyFill="1" applyBorder="1" applyAlignment="1">
      <alignment horizontal="center" vertical="center" wrapText="1"/>
    </xf>
    <xf numFmtId="3" fontId="30" fillId="0" borderId="5" xfId="0" applyNumberFormat="1" applyFont="1" applyFill="1" applyBorder="1" applyAlignment="1">
      <alignment horizontal="center" vertical="center"/>
    </xf>
    <xf numFmtId="3" fontId="30" fillId="0" borderId="5" xfId="23" applyNumberFormat="1" applyFont="1" applyFill="1" applyBorder="1" applyAlignment="1">
      <alignment horizontal="center" vertical="center" wrapText="1"/>
    </xf>
    <xf numFmtId="3" fontId="30" fillId="0" borderId="5" xfId="0" applyNumberFormat="1" applyFont="1" applyFill="1" applyBorder="1" applyAlignment="1">
      <alignment vertical="center" wrapText="1"/>
    </xf>
    <xf numFmtId="1" fontId="30" fillId="0" borderId="5" xfId="4" applyNumberFormat="1" applyFont="1" applyFill="1" applyBorder="1" applyAlignment="1">
      <alignment horizontal="center" vertical="center"/>
    </xf>
    <xf numFmtId="1" fontId="30" fillId="0" borderId="5" xfId="4" applyNumberFormat="1" applyFont="1" applyFill="1" applyBorder="1" applyAlignment="1">
      <alignment horizontal="center" vertical="center" wrapText="1"/>
    </xf>
    <xf numFmtId="3" fontId="30" fillId="0" borderId="5" xfId="4" applyNumberFormat="1" applyFont="1" applyFill="1" applyBorder="1" applyAlignment="1">
      <alignment vertical="center"/>
    </xf>
    <xf numFmtId="3" fontId="30" fillId="0" borderId="5" xfId="0" quotePrefix="1" applyNumberFormat="1" applyFont="1" applyFill="1" applyBorder="1" applyAlignment="1">
      <alignment horizontal="center" vertical="center"/>
    </xf>
    <xf numFmtId="0" fontId="30" fillId="0" borderId="5" xfId="0" applyFont="1" applyFill="1" applyBorder="1" applyAlignment="1">
      <alignment horizontal="center" vertical="center" wrapText="1"/>
    </xf>
    <xf numFmtId="1" fontId="33" fillId="0" borderId="5" xfId="4" applyNumberFormat="1" applyFont="1" applyFill="1" applyBorder="1" applyAlignment="1">
      <alignment horizontal="right" vertical="center"/>
    </xf>
    <xf numFmtId="3" fontId="33" fillId="0" borderId="5" xfId="4" applyNumberFormat="1" applyFont="1" applyFill="1" applyBorder="1" applyAlignment="1">
      <alignment horizontal="right" vertical="center"/>
    </xf>
    <xf numFmtId="41" fontId="33" fillId="0" borderId="5" xfId="4" applyNumberFormat="1" applyFont="1" applyFill="1" applyBorder="1" applyAlignment="1">
      <alignment horizontal="right" vertical="center"/>
    </xf>
    <xf numFmtId="1" fontId="33" fillId="0" borderId="5" xfId="4" applyNumberFormat="1" applyFont="1" applyFill="1" applyBorder="1" applyAlignment="1">
      <alignment horizontal="center" vertical="center" wrapText="1"/>
    </xf>
    <xf numFmtId="1" fontId="33" fillId="0" borderId="5" xfId="4" applyNumberFormat="1" applyFont="1" applyFill="1" applyBorder="1" applyAlignment="1">
      <alignment vertical="center" wrapText="1"/>
    </xf>
    <xf numFmtId="49" fontId="33" fillId="0" borderId="5" xfId="4" applyNumberFormat="1" applyFont="1" applyFill="1" applyBorder="1" applyAlignment="1">
      <alignment horizontal="center" vertical="center"/>
    </xf>
    <xf numFmtId="49" fontId="33" fillId="0" borderId="5" xfId="4" quotePrefix="1" applyNumberFormat="1" applyFont="1" applyFill="1" applyBorder="1" applyAlignment="1">
      <alignment horizontal="center" vertical="center"/>
    </xf>
    <xf numFmtId="41" fontId="30" fillId="0" borderId="5" xfId="6" applyNumberFormat="1" applyFont="1" applyFill="1" applyBorder="1" applyAlignment="1">
      <alignment vertical="center"/>
    </xf>
    <xf numFmtId="0" fontId="30" fillId="0" borderId="5" xfId="0" applyFont="1" applyFill="1" applyBorder="1" applyAlignment="1">
      <alignment horizontal="center" vertical="center"/>
    </xf>
    <xf numFmtId="1" fontId="30" fillId="0" borderId="5" xfId="4" applyNumberFormat="1" applyFont="1" applyFill="1" applyBorder="1" applyAlignment="1">
      <alignment horizontal="right" vertical="center" wrapText="1"/>
    </xf>
    <xf numFmtId="1" fontId="33" fillId="0" borderId="5" xfId="4" quotePrefix="1" applyNumberFormat="1" applyFont="1" applyFill="1" applyBorder="1" applyAlignment="1">
      <alignment vertical="center" wrapText="1"/>
    </xf>
    <xf numFmtId="41" fontId="34" fillId="0" borderId="5" xfId="4" applyNumberFormat="1" applyFont="1" applyFill="1" applyBorder="1" applyAlignment="1">
      <alignment horizontal="right" vertical="center"/>
    </xf>
    <xf numFmtId="3" fontId="34" fillId="0" borderId="5" xfId="4" applyNumberFormat="1" applyFont="1" applyFill="1" applyBorder="1" applyAlignment="1">
      <alignment horizontal="right" vertical="center"/>
    </xf>
    <xf numFmtId="1" fontId="34" fillId="0" borderId="5" xfId="4" applyNumberFormat="1" applyFont="1" applyFill="1" applyBorder="1" applyAlignment="1">
      <alignment horizontal="center" vertical="center" wrapText="1"/>
    </xf>
    <xf numFmtId="0" fontId="1" fillId="2" borderId="0" xfId="0" applyFont="1" applyFill="1"/>
    <xf numFmtId="1" fontId="30" fillId="2" borderId="5" xfId="4" applyNumberFormat="1" applyFont="1" applyFill="1" applyBorder="1" applyAlignment="1">
      <alignment horizontal="right" vertical="center" wrapText="1"/>
    </xf>
    <xf numFmtId="3" fontId="35" fillId="2" borderId="5" xfId="0" applyNumberFormat="1" applyFont="1" applyFill="1" applyBorder="1" applyAlignment="1">
      <alignment vertical="center"/>
    </xf>
    <xf numFmtId="41" fontId="35" fillId="2" borderId="5" xfId="0" applyNumberFormat="1" applyFont="1" applyFill="1" applyBorder="1" applyAlignment="1">
      <alignment vertical="center"/>
    </xf>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3" fontId="35" fillId="2" borderId="5" xfId="0" applyNumberFormat="1" applyFont="1" applyFill="1" applyBorder="1" applyAlignment="1">
      <alignment horizontal="left" vertical="center" wrapText="1"/>
    </xf>
    <xf numFmtId="1" fontId="35" fillId="2" borderId="5" xfId="4" applyNumberFormat="1" applyFont="1" applyFill="1" applyBorder="1" applyAlignment="1">
      <alignment horizontal="center" vertical="center"/>
    </xf>
    <xf numFmtId="0" fontId="30" fillId="0" borderId="5" xfId="0" applyFont="1" applyFill="1" applyBorder="1" applyAlignment="1">
      <alignment vertical="center" wrapText="1"/>
    </xf>
    <xf numFmtId="41" fontId="30" fillId="0" borderId="5" xfId="0" applyNumberFormat="1" applyFont="1" applyFill="1" applyBorder="1" applyAlignment="1">
      <alignment vertical="center" wrapText="1"/>
    </xf>
    <xf numFmtId="41" fontId="30" fillId="0" borderId="5" xfId="2" applyNumberFormat="1" applyFont="1" applyFill="1" applyBorder="1" applyAlignment="1">
      <alignment vertical="center"/>
    </xf>
    <xf numFmtId="41" fontId="33" fillId="0" borderId="5" xfId="0" applyNumberFormat="1" applyFont="1" applyFill="1" applyBorder="1" applyAlignment="1">
      <alignment vertical="center"/>
    </xf>
    <xf numFmtId="41" fontId="34" fillId="0" borderId="5" xfId="0" applyNumberFormat="1" applyFont="1" applyFill="1" applyBorder="1" applyAlignment="1">
      <alignment horizontal="right" vertical="center" wrapText="1"/>
    </xf>
    <xf numFmtId="41" fontId="34" fillId="0" borderId="5" xfId="0" applyNumberFormat="1" applyFont="1" applyFill="1" applyBorder="1" applyAlignment="1">
      <alignment vertical="center" wrapText="1"/>
    </xf>
    <xf numFmtId="41" fontId="30" fillId="0" borderId="5" xfId="4" applyNumberFormat="1" applyFont="1" applyFill="1" applyBorder="1" applyAlignment="1">
      <alignment horizontal="right" vertical="center"/>
    </xf>
    <xf numFmtId="3" fontId="30" fillId="0" borderId="5" xfId="4" applyNumberFormat="1" applyFont="1" applyFill="1" applyBorder="1" applyAlignment="1">
      <alignment horizontal="right" vertical="center"/>
    </xf>
    <xf numFmtId="1" fontId="30" fillId="0" borderId="5" xfId="4" applyNumberFormat="1" applyFont="1" applyFill="1" applyBorder="1" applyAlignment="1">
      <alignment horizontal="right" vertical="center"/>
    </xf>
    <xf numFmtId="3" fontId="30" fillId="0" borderId="5" xfId="0" applyNumberFormat="1" applyFont="1" applyFill="1" applyBorder="1" applyAlignment="1">
      <alignment horizontal="right" vertical="center" wrapText="1"/>
    </xf>
    <xf numFmtId="1" fontId="30" fillId="0" borderId="5" xfId="4" quotePrefix="1" applyNumberFormat="1" applyFont="1" applyFill="1" applyBorder="1" applyAlignment="1">
      <alignment horizontal="center" vertical="center"/>
    </xf>
    <xf numFmtId="3" fontId="30" fillId="0" borderId="5" xfId="0" applyNumberFormat="1" applyFont="1" applyFill="1" applyBorder="1" applyAlignment="1">
      <alignment horizontal="center" wrapText="1"/>
    </xf>
    <xf numFmtId="0" fontId="30" fillId="0" borderId="5" xfId="0" applyFont="1" applyFill="1" applyBorder="1" applyAlignment="1">
      <alignment wrapText="1"/>
    </xf>
    <xf numFmtId="41" fontId="30" fillId="0" borderId="5" xfId="5" applyNumberFormat="1" applyFont="1" applyFill="1" applyBorder="1" applyAlignment="1">
      <alignment horizontal="center" vertical="center"/>
    </xf>
    <xf numFmtId="41" fontId="30" fillId="0" borderId="5" xfId="8" applyNumberFormat="1" applyFont="1" applyFill="1" applyBorder="1" applyAlignment="1">
      <alignment horizontal="right" vertical="center"/>
    </xf>
    <xf numFmtId="1" fontId="30" fillId="0" borderId="5" xfId="24" applyNumberFormat="1" applyFont="1" applyFill="1" applyBorder="1" applyAlignment="1">
      <alignment horizontal="center" vertical="center" wrapText="1"/>
    </xf>
    <xf numFmtId="1" fontId="30" fillId="0" borderId="5" xfId="4" applyNumberFormat="1" applyFont="1" applyFill="1" applyBorder="1" applyAlignment="1">
      <alignment vertical="center" wrapText="1"/>
    </xf>
    <xf numFmtId="165" fontId="33" fillId="0" borderId="5" xfId="0" applyNumberFormat="1" applyFont="1" applyFill="1" applyBorder="1" applyAlignment="1">
      <alignment vertical="center"/>
    </xf>
    <xf numFmtId="41" fontId="30" fillId="0" borderId="5" xfId="1" applyNumberFormat="1" applyFont="1" applyFill="1" applyBorder="1" applyAlignment="1">
      <alignment horizontal="right" vertical="center" wrapText="1"/>
    </xf>
    <xf numFmtId="3" fontId="30" fillId="0" borderId="5" xfId="24" applyNumberFormat="1" applyFont="1" applyFill="1" applyBorder="1" applyAlignment="1">
      <alignment horizontal="center" vertical="center" wrapText="1"/>
    </xf>
    <xf numFmtId="3" fontId="30" fillId="0" borderId="5" xfId="24" applyNumberFormat="1" applyFont="1" applyFill="1" applyBorder="1" applyAlignment="1">
      <alignment vertical="center" wrapText="1"/>
    </xf>
    <xf numFmtId="0" fontId="30" fillId="0" borderId="5" xfId="15" applyFont="1" applyFill="1" applyBorder="1" applyAlignment="1">
      <alignment horizontal="center" vertical="center" wrapText="1"/>
    </xf>
    <xf numFmtId="0" fontId="30" fillId="0" borderId="5" xfId="0" applyFont="1" applyFill="1" applyBorder="1" applyAlignment="1">
      <alignment horizontal="left" vertical="center" wrapText="1"/>
    </xf>
    <xf numFmtId="165" fontId="30" fillId="0" borderId="5" xfId="0" applyNumberFormat="1" applyFont="1" applyFill="1" applyBorder="1" applyAlignment="1">
      <alignment horizontal="center" vertical="center"/>
    </xf>
    <xf numFmtId="0" fontId="30" fillId="2" borderId="5" xfId="0" applyFont="1" applyFill="1" applyBorder="1" applyAlignment="1">
      <alignment horizontal="center" vertical="center" wrapText="1"/>
    </xf>
    <xf numFmtId="41" fontId="30" fillId="0" borderId="5" xfId="23" applyNumberFormat="1" applyFont="1" applyFill="1" applyBorder="1" applyAlignment="1">
      <alignment horizontal="right" vertical="center"/>
    </xf>
    <xf numFmtId="3" fontId="30" fillId="0" borderId="5" xfId="23" applyNumberFormat="1" applyFont="1" applyFill="1" applyBorder="1" applyAlignment="1">
      <alignment horizontal="left" vertical="center" wrapText="1"/>
    </xf>
    <xf numFmtId="3" fontId="30" fillId="0" borderId="5" xfId="23" quotePrefix="1" applyNumberFormat="1" applyFont="1" applyFill="1" applyBorder="1" applyAlignment="1">
      <alignment horizontal="center" vertical="center" wrapText="1"/>
    </xf>
    <xf numFmtId="41" fontId="30" fillId="0" borderId="5" xfId="6" applyNumberFormat="1" applyFont="1" applyFill="1" applyBorder="1" applyAlignment="1">
      <alignment vertical="center" wrapText="1"/>
    </xf>
    <xf numFmtId="41" fontId="30" fillId="2" borderId="5" xfId="0" applyNumberFormat="1" applyFont="1" applyFill="1" applyBorder="1" applyAlignment="1">
      <alignment horizontal="right" vertical="center" wrapText="1"/>
    </xf>
    <xf numFmtId="41" fontId="30" fillId="2" borderId="5" xfId="0" applyNumberFormat="1" applyFont="1" applyFill="1" applyBorder="1" applyAlignment="1">
      <alignment vertical="center" wrapText="1"/>
    </xf>
    <xf numFmtId="1" fontId="4" fillId="0" borderId="5" xfId="4" applyNumberFormat="1" applyFont="1" applyFill="1" applyBorder="1" applyAlignment="1">
      <alignment horizontal="right" vertical="center" wrapText="1"/>
    </xf>
    <xf numFmtId="3" fontId="4" fillId="0" borderId="5" xfId="0" applyNumberFormat="1" applyFont="1" applyFill="1" applyBorder="1" applyAlignment="1">
      <alignment vertical="center"/>
    </xf>
    <xf numFmtId="41" fontId="4" fillId="0" borderId="5" xfId="0" applyNumberFormat="1" applyFont="1" applyFill="1" applyBorder="1" applyAlignment="1">
      <alignment horizontal="right" vertical="center" wrapText="1"/>
    </xf>
    <xf numFmtId="41" fontId="4" fillId="0" borderId="5" xfId="2" applyNumberFormat="1" applyFont="1" applyFill="1" applyBorder="1" applyAlignment="1">
      <alignment horizontal="right" vertical="center"/>
    </xf>
    <xf numFmtId="0" fontId="4" fillId="0" borderId="5" xfId="0" applyFont="1" applyFill="1" applyBorder="1" applyAlignment="1">
      <alignment horizontal="center" vertical="center"/>
    </xf>
    <xf numFmtId="0" fontId="4" fillId="0" borderId="5" xfId="16" applyFont="1" applyFill="1" applyBorder="1" applyAlignment="1">
      <alignment horizontal="left" vertical="center" wrapText="1"/>
    </xf>
    <xf numFmtId="41" fontId="37" fillId="0" borderId="5" xfId="4" applyNumberFormat="1" applyFont="1" applyFill="1" applyBorder="1" applyAlignment="1">
      <alignment horizontal="right" vertical="center"/>
    </xf>
    <xf numFmtId="41" fontId="37" fillId="0" borderId="5" xfId="2" applyNumberFormat="1" applyFont="1" applyFill="1" applyBorder="1" applyAlignment="1">
      <alignment horizontal="right" vertical="center"/>
    </xf>
    <xf numFmtId="41" fontId="30" fillId="0" borderId="5" xfId="2" applyNumberFormat="1" applyFont="1" applyFill="1" applyBorder="1" applyAlignment="1">
      <alignment horizontal="right" vertical="center"/>
    </xf>
    <xf numFmtId="0" fontId="30" fillId="0" borderId="5" xfId="16" applyFont="1" applyFill="1" applyBorder="1" applyAlignment="1">
      <alignment horizontal="left" vertical="center" wrapText="1"/>
    </xf>
    <xf numFmtId="0" fontId="38" fillId="0" borderId="0" xfId="0" applyFont="1"/>
    <xf numFmtId="1" fontId="34" fillId="0" borderId="5" xfId="4" applyNumberFormat="1" applyFont="1" applyFill="1" applyBorder="1" applyAlignment="1">
      <alignment horizontal="right" vertical="center" wrapText="1"/>
    </xf>
    <xf numFmtId="41" fontId="39" fillId="0" borderId="5" xfId="4" applyNumberFormat="1" applyFont="1" applyFill="1" applyBorder="1" applyAlignment="1">
      <alignment vertical="center"/>
    </xf>
    <xf numFmtId="3" fontId="34" fillId="0" borderId="5" xfId="0" applyNumberFormat="1" applyFont="1" applyFill="1" applyBorder="1" applyAlignment="1">
      <alignment vertical="center"/>
    </xf>
    <xf numFmtId="41" fontId="34" fillId="0" borderId="5" xfId="0" applyNumberFormat="1" applyFont="1" applyFill="1" applyBorder="1" applyAlignment="1">
      <alignment vertical="center"/>
    </xf>
    <xf numFmtId="41" fontId="34" fillId="0" borderId="5" xfId="2" applyNumberFormat="1" applyFont="1" applyFill="1" applyBorder="1" applyAlignment="1">
      <alignment horizontal="right" vertical="center"/>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0" fontId="34" fillId="0" borderId="5" xfId="16" applyFont="1" applyFill="1" applyBorder="1" applyAlignment="1">
      <alignment horizontal="left" vertical="center" wrapText="1"/>
    </xf>
    <xf numFmtId="1" fontId="34" fillId="0" borderId="5" xfId="4" applyNumberFormat="1" applyFont="1" applyFill="1" applyBorder="1" applyAlignment="1">
      <alignment horizontal="center" vertical="center"/>
    </xf>
    <xf numFmtId="3" fontId="30" fillId="0" borderId="5" xfId="2" applyNumberFormat="1" applyFont="1" applyFill="1" applyBorder="1" applyAlignment="1">
      <alignment horizontal="right" vertical="center"/>
    </xf>
    <xf numFmtId="3" fontId="30" fillId="0" borderId="5" xfId="0" applyNumberFormat="1" applyFont="1" applyFill="1" applyBorder="1" applyAlignment="1">
      <alignment horizontal="left" vertical="center" wrapText="1"/>
    </xf>
    <xf numFmtId="1" fontId="34" fillId="0" borderId="5" xfId="4" applyNumberFormat="1" applyFont="1" applyFill="1" applyBorder="1" applyAlignment="1">
      <alignment horizontal="right" vertical="center"/>
    </xf>
    <xf numFmtId="41" fontId="35" fillId="0" borderId="5" xfId="4" applyNumberFormat="1" applyFont="1" applyFill="1" applyBorder="1" applyAlignment="1">
      <alignment horizontal="right" vertical="center"/>
    </xf>
    <xf numFmtId="3" fontId="4" fillId="0" borderId="5" xfId="4" applyNumberFormat="1" applyFont="1" applyFill="1" applyBorder="1" applyAlignment="1">
      <alignment horizontal="right" vertical="center"/>
    </xf>
    <xf numFmtId="49" fontId="30" fillId="0" borderId="5" xfId="4" applyNumberFormat="1" applyFont="1" applyFill="1" applyBorder="1" applyAlignment="1">
      <alignment horizontal="center" vertical="center"/>
    </xf>
    <xf numFmtId="1" fontId="30" fillId="2" borderId="8" xfId="4" applyNumberFormat="1" applyFont="1" applyFill="1" applyBorder="1" applyAlignment="1">
      <alignment horizontal="center" vertical="center" wrapText="1"/>
    </xf>
    <xf numFmtId="165" fontId="35" fillId="2" borderId="5" xfId="0" applyNumberFormat="1" applyFont="1" applyFill="1" applyBorder="1" applyAlignment="1">
      <alignment horizontal="right" vertical="center" wrapText="1"/>
    </xf>
    <xf numFmtId="165" fontId="35" fillId="2" borderId="8" xfId="0" applyNumberFormat="1" applyFont="1" applyFill="1" applyBorder="1" applyAlignment="1">
      <alignment horizontal="right" vertical="center" wrapText="1"/>
    </xf>
    <xf numFmtId="41" fontId="35" fillId="2" borderId="5" xfId="0" applyNumberFormat="1" applyFont="1" applyFill="1" applyBorder="1" applyAlignment="1">
      <alignment horizontal="right" vertical="center" wrapText="1"/>
    </xf>
    <xf numFmtId="41" fontId="35" fillId="2" borderId="8" xfId="0" applyNumberFormat="1" applyFont="1" applyFill="1" applyBorder="1" applyAlignment="1">
      <alignment horizontal="right" vertical="center" wrapText="1"/>
    </xf>
    <xf numFmtId="0" fontId="35" fillId="2" borderId="8" xfId="0" applyFont="1" applyFill="1" applyBorder="1" applyAlignment="1">
      <alignment horizontal="center" vertical="center"/>
    </xf>
    <xf numFmtId="0" fontId="35" fillId="2" borderId="8" xfId="0" applyFont="1" applyFill="1" applyBorder="1" applyAlignment="1">
      <alignment horizontal="center" vertical="center" wrapText="1"/>
    </xf>
    <xf numFmtId="3" fontId="35" fillId="2" borderId="8" xfId="0" applyNumberFormat="1" applyFont="1" applyFill="1" applyBorder="1" applyAlignment="1">
      <alignment horizontal="left" vertical="center" wrapText="1"/>
    </xf>
    <xf numFmtId="1" fontId="35" fillId="2" borderId="8" xfId="4" applyNumberFormat="1" applyFont="1" applyFill="1" applyBorder="1" applyAlignment="1">
      <alignment horizontal="center" vertical="center"/>
    </xf>
    <xf numFmtId="41" fontId="30" fillId="0" borderId="6" xfId="0" applyNumberFormat="1" applyFont="1" applyFill="1" applyBorder="1" applyAlignment="1">
      <alignment horizontal="right" vertical="center" wrapText="1"/>
    </xf>
    <xf numFmtId="165" fontId="37" fillId="0" borderId="5" xfId="0" applyNumberFormat="1" applyFont="1" applyFill="1" applyBorder="1" applyAlignment="1">
      <alignment horizontal="right" vertical="center" wrapText="1"/>
    </xf>
    <xf numFmtId="41" fontId="37" fillId="0" borderId="5" xfId="0" applyNumberFormat="1" applyFont="1" applyFill="1" applyBorder="1" applyAlignment="1">
      <alignment vertical="center"/>
    </xf>
    <xf numFmtId="41" fontId="37" fillId="0" borderId="5" xfId="0" applyNumberFormat="1" applyFont="1" applyFill="1" applyBorder="1" applyAlignment="1">
      <alignment horizontal="right" vertical="center" wrapText="1"/>
    </xf>
    <xf numFmtId="41" fontId="5" fillId="0" borderId="6" xfId="0" applyNumberFormat="1" applyFont="1" applyFill="1" applyBorder="1" applyAlignment="1">
      <alignment horizontal="right" vertical="center" wrapText="1"/>
    </xf>
    <xf numFmtId="41" fontId="5" fillId="0" borderId="5" xfId="0" applyNumberFormat="1" applyFont="1" applyFill="1" applyBorder="1" applyAlignment="1">
      <alignment horizontal="right" vertical="center" wrapText="1"/>
    </xf>
    <xf numFmtId="3" fontId="5" fillId="0" borderId="5" xfId="4" applyNumberFormat="1" applyFont="1" applyFill="1" applyBorder="1" applyAlignment="1">
      <alignment horizontal="right" vertical="center"/>
    </xf>
    <xf numFmtId="3" fontId="5" fillId="0" borderId="5" xfId="0" applyNumberFormat="1" applyFont="1" applyFill="1" applyBorder="1" applyAlignment="1">
      <alignment horizontal="right" vertical="center" wrapText="1"/>
    </xf>
    <xf numFmtId="165" fontId="25" fillId="5" borderId="5" xfId="1" applyNumberFormat="1" applyFont="1" applyFill="1" applyBorder="1" applyAlignment="1">
      <alignment horizontal="center" vertical="center" wrapText="1"/>
    </xf>
    <xf numFmtId="3" fontId="25" fillId="0" borderId="5" xfId="0" applyNumberFormat="1" applyFont="1" applyFill="1" applyBorder="1" applyAlignment="1">
      <alignment horizontal="center" vertical="center"/>
    </xf>
    <xf numFmtId="165" fontId="25" fillId="5" borderId="5" xfId="1" applyNumberFormat="1" applyFont="1" applyFill="1" applyBorder="1" applyAlignment="1">
      <alignment vertical="center" wrapText="1"/>
    </xf>
    <xf numFmtId="41" fontId="5" fillId="0" borderId="5" xfId="4" applyNumberFormat="1" applyFont="1" applyFill="1" applyBorder="1" applyAlignment="1">
      <alignment horizontal="right" vertical="center"/>
    </xf>
    <xf numFmtId="3" fontId="3" fillId="0" borderId="5" xfId="0" applyNumberFormat="1" applyFont="1" applyBorder="1" applyAlignment="1">
      <alignment horizontal="center" vertical="center" wrapText="1"/>
    </xf>
    <xf numFmtId="3" fontId="5" fillId="0" borderId="5" xfId="0" applyNumberFormat="1" applyFont="1" applyFill="1" applyBorder="1" applyAlignment="1">
      <alignment vertical="center" wrapText="1"/>
    </xf>
    <xf numFmtId="165" fontId="5" fillId="0" borderId="7" xfId="0" applyNumberFormat="1" applyFont="1" applyFill="1" applyBorder="1" applyAlignment="1">
      <alignment horizontal="right" vertical="center" wrapText="1"/>
    </xf>
    <xf numFmtId="3" fontId="5" fillId="0" borderId="7" xfId="0" applyNumberFormat="1" applyFont="1" applyFill="1" applyBorder="1" applyAlignment="1">
      <alignment horizontal="right" vertical="center" wrapText="1"/>
    </xf>
    <xf numFmtId="41" fontId="5" fillId="0" borderId="7" xfId="0" applyNumberFormat="1" applyFont="1" applyFill="1" applyBorder="1" applyAlignment="1">
      <alignment horizontal="right" vertical="center" wrapText="1"/>
    </xf>
    <xf numFmtId="41" fontId="5" fillId="0" borderId="7" xfId="4" applyNumberFormat="1" applyFont="1" applyFill="1" applyBorder="1" applyAlignment="1">
      <alignment horizontal="right" vertical="center"/>
    </xf>
    <xf numFmtId="0" fontId="5" fillId="0" borderId="7" xfId="0" applyFont="1" applyFill="1" applyBorder="1" applyAlignment="1">
      <alignment horizontal="center" vertical="center" wrapText="1"/>
    </xf>
    <xf numFmtId="3" fontId="5" fillId="0" borderId="7" xfId="0" applyNumberFormat="1" applyFont="1" applyFill="1" applyBorder="1" applyAlignment="1">
      <alignment horizontal="center" vertical="center"/>
    </xf>
    <xf numFmtId="0" fontId="5" fillId="0" borderId="7" xfId="0" applyFont="1" applyFill="1" applyBorder="1" applyAlignment="1">
      <alignment vertical="center" wrapText="1"/>
    </xf>
    <xf numFmtId="1" fontId="5" fillId="0" borderId="7" xfId="4" quotePrefix="1" applyNumberFormat="1" applyFont="1" applyFill="1" applyBorder="1" applyAlignment="1">
      <alignment horizontal="center" vertical="center"/>
    </xf>
    <xf numFmtId="3" fontId="5" fillId="0" borderId="5" xfId="0" applyNumberFormat="1" applyFont="1" applyFill="1" applyBorder="1" applyAlignment="1">
      <alignment vertical="center"/>
    </xf>
    <xf numFmtId="165" fontId="5" fillId="0" borderId="5" xfId="0" applyNumberFormat="1" applyFont="1" applyFill="1" applyBorder="1" applyAlignment="1">
      <alignment vertical="center"/>
    </xf>
    <xf numFmtId="1" fontId="5" fillId="0" borderId="5" xfId="0" applyNumberFormat="1" applyFont="1" applyFill="1" applyBorder="1" applyAlignment="1">
      <alignment horizontal="center" vertical="center"/>
    </xf>
    <xf numFmtId="1" fontId="30" fillId="0" borderId="6" xfId="4" applyNumberFormat="1" applyFont="1" applyFill="1" applyBorder="1" applyAlignment="1">
      <alignment horizontal="right" vertical="center" wrapText="1"/>
    </xf>
    <xf numFmtId="41" fontId="33" fillId="0" borderId="6" xfId="4" applyNumberFormat="1" applyFont="1" applyFill="1" applyBorder="1" applyAlignment="1">
      <alignment horizontal="right" vertical="center"/>
    </xf>
    <xf numFmtId="3" fontId="30" fillId="0" borderId="6" xfId="0" applyNumberFormat="1" applyFont="1" applyFill="1" applyBorder="1" applyAlignment="1">
      <alignment vertical="center"/>
    </xf>
    <xf numFmtId="3" fontId="30" fillId="0" borderId="6" xfId="4" applyNumberFormat="1" applyFont="1" applyFill="1" applyBorder="1" applyAlignment="1">
      <alignment horizontal="right" vertical="center"/>
    </xf>
    <xf numFmtId="41" fontId="30" fillId="0" borderId="6" xfId="0" applyNumberFormat="1" applyFont="1" applyFill="1" applyBorder="1" applyAlignment="1">
      <alignment vertical="center"/>
    </xf>
    <xf numFmtId="0" fontId="30" fillId="0" borderId="6" xfId="0" applyFont="1" applyFill="1" applyBorder="1" applyAlignment="1">
      <alignment horizontal="center" vertical="center"/>
    </xf>
    <xf numFmtId="0" fontId="30" fillId="0" borderId="6" xfId="0" applyFont="1" applyFill="1" applyBorder="1" applyAlignment="1">
      <alignment horizontal="center" vertical="center" wrapText="1"/>
    </xf>
    <xf numFmtId="3" fontId="30" fillId="0" borderId="6" xfId="0" applyNumberFormat="1" applyFont="1" applyFill="1" applyBorder="1" applyAlignment="1">
      <alignment vertical="center" wrapText="1"/>
    </xf>
    <xf numFmtId="49" fontId="30" fillId="0" borderId="6" xfId="4" applyNumberFormat="1" applyFont="1" applyFill="1" applyBorder="1" applyAlignment="1">
      <alignment horizontal="center" vertical="center"/>
    </xf>
    <xf numFmtId="1" fontId="34" fillId="0" borderId="8" xfId="4" applyNumberFormat="1" applyFont="1" applyFill="1" applyBorder="1" applyAlignment="1">
      <alignment horizontal="right" vertical="center"/>
    </xf>
    <xf numFmtId="41" fontId="34" fillId="0" borderId="8" xfId="4" applyNumberFormat="1" applyFont="1" applyFill="1" applyBorder="1" applyAlignment="1">
      <alignment horizontal="right" vertical="center"/>
    </xf>
    <xf numFmtId="3" fontId="34" fillId="0" borderId="8" xfId="4" applyNumberFormat="1" applyFont="1" applyFill="1" applyBorder="1" applyAlignment="1">
      <alignment horizontal="right" vertical="center"/>
    </xf>
    <xf numFmtId="1" fontId="34" fillId="0" borderId="8" xfId="4" applyNumberFormat="1" applyFont="1" applyFill="1" applyBorder="1" applyAlignment="1">
      <alignment horizontal="center" vertical="center" wrapText="1"/>
    </xf>
    <xf numFmtId="1" fontId="33" fillId="0" borderId="8" xfId="4" applyNumberFormat="1" applyFont="1" applyFill="1" applyBorder="1" applyAlignment="1">
      <alignment vertical="center" wrapText="1"/>
    </xf>
    <xf numFmtId="49" fontId="33" fillId="0" borderId="8" xfId="4" applyNumberFormat="1" applyFont="1" applyFill="1" applyBorder="1" applyAlignment="1">
      <alignment horizontal="center" vertical="center"/>
    </xf>
    <xf numFmtId="41" fontId="1" fillId="2" borderId="0" xfId="0" applyNumberFormat="1" applyFont="1" applyFill="1"/>
    <xf numFmtId="1" fontId="35" fillId="2" borderId="5" xfId="4" applyNumberFormat="1" applyFont="1" applyFill="1" applyBorder="1" applyAlignment="1">
      <alignment horizontal="right" vertical="center" wrapText="1"/>
    </xf>
    <xf numFmtId="1" fontId="4" fillId="0" borderId="6" xfId="4" applyNumberFormat="1" applyFont="1" applyFill="1" applyBorder="1" applyAlignment="1">
      <alignment horizontal="right" vertical="center" wrapText="1"/>
    </xf>
    <xf numFmtId="41" fontId="4" fillId="0" borderId="6" xfId="0" applyNumberFormat="1" applyFont="1" applyFill="1" applyBorder="1" applyAlignment="1">
      <alignment horizontal="right" vertical="center" wrapText="1"/>
    </xf>
    <xf numFmtId="3" fontId="6" fillId="0" borderId="6" xfId="0" applyNumberFormat="1" applyFont="1" applyFill="1" applyBorder="1" applyAlignment="1">
      <alignment horizontal="right" vertical="center" wrapText="1"/>
    </xf>
    <xf numFmtId="41" fontId="4" fillId="0" borderId="6" xfId="0" applyNumberFormat="1" applyFont="1" applyFill="1" applyBorder="1" applyAlignment="1">
      <alignment horizontal="right" vertical="center"/>
    </xf>
    <xf numFmtId="41" fontId="4" fillId="0" borderId="6" xfId="4" applyNumberFormat="1" applyFont="1" applyFill="1" applyBorder="1" applyAlignment="1">
      <alignment horizontal="right" vertical="center"/>
    </xf>
    <xf numFmtId="0" fontId="40" fillId="0" borderId="6" xfId="0" applyFont="1" applyFill="1" applyBorder="1" applyAlignment="1">
      <alignment horizontal="center" vertical="center" wrapText="1"/>
    </xf>
    <xf numFmtId="1" fontId="4" fillId="0" borderId="6" xfId="4" applyNumberFormat="1" applyFont="1" applyFill="1" applyBorder="1" applyAlignment="1">
      <alignment horizontal="center" vertical="center" wrapText="1"/>
    </xf>
    <xf numFmtId="3" fontId="4" fillId="0" borderId="6" xfId="23"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6" xfId="0" applyFont="1" applyFill="1" applyBorder="1" applyAlignment="1">
      <alignment vertical="center" wrapText="1"/>
    </xf>
    <xf numFmtId="1" fontId="4" fillId="0" borderId="6" xfId="4" quotePrefix="1" applyNumberFormat="1" applyFont="1" applyFill="1" applyBorder="1" applyAlignment="1">
      <alignment horizontal="center" vertical="center"/>
    </xf>
    <xf numFmtId="3" fontId="6" fillId="0" borderId="5" xfId="0" applyNumberFormat="1" applyFont="1" applyFill="1" applyBorder="1" applyAlignment="1">
      <alignment horizontal="right" vertical="center" wrapText="1"/>
    </xf>
    <xf numFmtId="41" fontId="4" fillId="0" borderId="5" xfId="0" applyNumberFormat="1" applyFont="1" applyFill="1" applyBorder="1" applyAlignment="1">
      <alignment horizontal="right" vertical="center"/>
    </xf>
    <xf numFmtId="41" fontId="4" fillId="0" borderId="5" xfId="4" applyNumberFormat="1" applyFont="1" applyFill="1" applyBorder="1" applyAlignment="1">
      <alignment horizontal="right" vertical="center"/>
    </xf>
    <xf numFmtId="0" fontId="6" fillId="0" borderId="5" xfId="0" applyFont="1" applyFill="1" applyBorder="1" applyAlignment="1">
      <alignment horizontal="center" vertical="center" wrapText="1"/>
    </xf>
    <xf numFmtId="1" fontId="4" fillId="0" borderId="5" xfId="4" applyNumberFormat="1" applyFont="1" applyFill="1" applyBorder="1" applyAlignment="1">
      <alignment horizontal="center" vertical="center" wrapText="1"/>
    </xf>
    <xf numFmtId="3" fontId="4" fillId="0" borderId="5" xfId="23" applyNumberFormat="1" applyFont="1" applyFill="1" applyBorder="1" applyAlignment="1">
      <alignment horizontal="center" vertical="center" wrapText="1"/>
    </xf>
    <xf numFmtId="0" fontId="40"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41" fontId="4" fillId="0" borderId="5" xfId="1" applyNumberFormat="1" applyFont="1" applyFill="1" applyBorder="1" applyAlignment="1">
      <alignment vertical="center"/>
    </xf>
    <xf numFmtId="1" fontId="31" fillId="0" borderId="5" xfId="4" applyNumberFormat="1" applyFont="1" applyFill="1" applyBorder="1" applyAlignment="1">
      <alignment horizontal="right" vertical="center"/>
    </xf>
    <xf numFmtId="3" fontId="31" fillId="0" borderId="5" xfId="0" applyNumberFormat="1" applyFont="1" applyFill="1" applyBorder="1" applyAlignment="1">
      <alignment horizontal="right" vertical="center" wrapText="1"/>
    </xf>
    <xf numFmtId="41" fontId="30" fillId="0" borderId="5" xfId="0" applyNumberFormat="1" applyFont="1" applyFill="1" applyBorder="1" applyAlignment="1">
      <alignment horizontal="right" vertical="center"/>
    </xf>
    <xf numFmtId="0" fontId="31" fillId="0" borderId="5" xfId="0" applyFont="1" applyFill="1" applyBorder="1" applyAlignment="1">
      <alignment horizontal="center" vertical="center" wrapText="1"/>
    </xf>
    <xf numFmtId="41" fontId="30" fillId="0" borderId="5" xfId="23" applyNumberFormat="1" applyFont="1" applyFill="1" applyBorder="1" applyAlignment="1">
      <alignment horizontal="right" vertical="center" wrapText="1"/>
    </xf>
    <xf numFmtId="0" fontId="35" fillId="0" borderId="5" xfId="0" applyFont="1" applyFill="1" applyBorder="1" applyAlignment="1">
      <alignment horizontal="center" vertical="center" wrapText="1"/>
    </xf>
    <xf numFmtId="3" fontId="31" fillId="0" borderId="5" xfId="4" applyNumberFormat="1" applyFont="1" applyFill="1" applyBorder="1" applyAlignment="1">
      <alignment horizontal="right" vertical="center"/>
    </xf>
    <xf numFmtId="1" fontId="29" fillId="0" borderId="5" xfId="4" applyNumberFormat="1" applyFont="1" applyFill="1" applyBorder="1" applyAlignment="1">
      <alignment horizontal="right" vertical="center"/>
    </xf>
    <xf numFmtId="3" fontId="6" fillId="0" borderId="5" xfId="4" applyNumberFormat="1" applyFont="1" applyFill="1" applyBorder="1" applyAlignment="1">
      <alignment horizontal="right" vertical="center"/>
    </xf>
    <xf numFmtId="41" fontId="29" fillId="0" borderId="5" xfId="4" applyNumberFormat="1" applyFont="1" applyFill="1" applyBorder="1" applyAlignment="1">
      <alignment horizontal="right" vertical="center"/>
    </xf>
    <xf numFmtId="41" fontId="4" fillId="0" borderId="5" xfId="23" applyNumberFormat="1" applyFont="1" applyFill="1" applyBorder="1" applyAlignment="1">
      <alignment horizontal="right" vertical="center" wrapText="1"/>
    </xf>
    <xf numFmtId="3" fontId="4" fillId="0" borderId="5" xfId="0" applyNumberFormat="1" applyFont="1" applyFill="1" applyBorder="1" applyAlignment="1">
      <alignment horizontal="center" vertical="center" wrapText="1"/>
    </xf>
    <xf numFmtId="3" fontId="4" fillId="0" borderId="5" xfId="23" applyNumberFormat="1" applyFont="1" applyFill="1" applyBorder="1" applyAlignment="1">
      <alignment horizontal="left" vertical="center" wrapText="1"/>
    </xf>
    <xf numFmtId="1" fontId="4" fillId="0" borderId="5" xfId="4" applyNumberFormat="1" applyFont="1" applyFill="1" applyBorder="1" applyAlignment="1">
      <alignment horizontal="right" vertical="center"/>
    </xf>
    <xf numFmtId="41" fontId="40" fillId="0" borderId="5" xfId="4" applyNumberFormat="1" applyFont="1" applyFill="1" applyBorder="1" applyAlignment="1">
      <alignment horizontal="right" vertical="center"/>
    </xf>
    <xf numFmtId="3" fontId="4" fillId="0" borderId="5" xfId="0" applyNumberFormat="1" applyFont="1" applyFill="1" applyBorder="1" applyAlignment="1">
      <alignment horizontal="right" vertical="center" wrapText="1"/>
    </xf>
    <xf numFmtId="41" fontId="35" fillId="2" borderId="5" xfId="0" applyNumberFormat="1" applyFont="1" applyFill="1" applyBorder="1" applyAlignment="1">
      <alignment horizontal="right" vertical="center"/>
    </xf>
    <xf numFmtId="41" fontId="30" fillId="0" borderId="5" xfId="6" applyNumberFormat="1" applyFont="1" applyFill="1" applyBorder="1" applyAlignment="1">
      <alignment horizontal="right" vertical="center" wrapText="1"/>
    </xf>
    <xf numFmtId="41" fontId="30" fillId="0" borderId="5" xfId="23" applyNumberFormat="1" applyFont="1" applyFill="1" applyBorder="1" applyAlignment="1">
      <alignment vertical="center" wrapText="1"/>
    </xf>
    <xf numFmtId="3" fontId="30" fillId="0" borderId="5" xfId="23" applyNumberFormat="1" applyFont="1" applyFill="1" applyBorder="1" applyAlignment="1">
      <alignment horizontal="justify" vertical="center" wrapText="1"/>
    </xf>
    <xf numFmtId="1" fontId="33" fillId="0" borderId="5" xfId="4" applyNumberFormat="1" applyFont="1" applyFill="1" applyBorder="1" applyAlignment="1">
      <alignment horizontal="right" vertical="center" wrapText="1"/>
    </xf>
    <xf numFmtId="41" fontId="33" fillId="0" borderId="5" xfId="0" applyNumberFormat="1" applyFont="1" applyFill="1" applyBorder="1" applyAlignment="1">
      <alignment horizontal="right" vertical="center" wrapText="1"/>
    </xf>
    <xf numFmtId="0" fontId="35" fillId="2" borderId="5" xfId="0" applyFont="1" applyFill="1" applyBorder="1" applyAlignment="1">
      <alignment horizontal="left" vertical="center" wrapText="1"/>
    </xf>
    <xf numFmtId="0" fontId="1" fillId="6" borderId="0" xfId="0" applyFont="1" applyFill="1"/>
    <xf numFmtId="1" fontId="30" fillId="6" borderId="5" xfId="4" applyNumberFormat="1" applyFont="1" applyFill="1" applyBorder="1" applyAlignment="1">
      <alignment horizontal="right" vertical="center"/>
    </xf>
    <xf numFmtId="3" fontId="35" fillId="6" borderId="5" xfId="4" applyNumberFormat="1" applyFont="1" applyFill="1" applyBorder="1" applyAlignment="1">
      <alignment horizontal="right" vertical="center"/>
    </xf>
    <xf numFmtId="41" fontId="35" fillId="6" borderId="5" xfId="4" applyNumberFormat="1" applyFont="1" applyFill="1" applyBorder="1" applyAlignment="1">
      <alignment horizontal="right" vertical="center"/>
    </xf>
    <xf numFmtId="1" fontId="30" fillId="6" borderId="5" xfId="4" applyNumberFormat="1" applyFont="1" applyFill="1" applyBorder="1" applyAlignment="1">
      <alignment horizontal="center" vertical="center" wrapText="1"/>
    </xf>
    <xf numFmtId="1" fontId="35" fillId="6" borderId="5" xfId="4" applyNumberFormat="1" applyFont="1" applyFill="1" applyBorder="1" applyAlignment="1">
      <alignment horizontal="left" vertical="center" wrapText="1"/>
    </xf>
    <xf numFmtId="1" fontId="35" fillId="6" borderId="5" xfId="4" applyNumberFormat="1" applyFont="1" applyFill="1" applyBorder="1" applyAlignment="1">
      <alignment horizontal="center" vertical="center"/>
    </xf>
    <xf numFmtId="41" fontId="31" fillId="6" borderId="5" xfId="4" applyNumberFormat="1" applyFont="1" applyFill="1" applyBorder="1" applyAlignment="1">
      <alignment vertical="center"/>
    </xf>
    <xf numFmtId="41" fontId="30" fillId="6" borderId="5" xfId="0" applyNumberFormat="1" applyFont="1" applyFill="1" applyBorder="1" applyAlignment="1">
      <alignment horizontal="right" vertical="center" wrapText="1"/>
    </xf>
    <xf numFmtId="41" fontId="35" fillId="6" borderId="5" xfId="0" applyNumberFormat="1" applyFont="1" applyFill="1" applyBorder="1" applyAlignment="1">
      <alignment horizontal="right" vertical="center" wrapText="1"/>
    </xf>
    <xf numFmtId="0" fontId="35" fillId="6" borderId="5" xfId="0" applyNumberFormat="1" applyFont="1" applyFill="1" applyBorder="1" applyAlignment="1">
      <alignment horizontal="center" vertical="center" wrapText="1"/>
    </xf>
    <xf numFmtId="0" fontId="35" fillId="6" borderId="5" xfId="0" applyNumberFormat="1" applyFont="1" applyFill="1" applyBorder="1" applyAlignment="1">
      <alignment horizontal="right" vertical="center" wrapText="1"/>
    </xf>
    <xf numFmtId="41" fontId="30" fillId="0" borderId="5" xfId="6" applyNumberFormat="1" applyFont="1" applyFill="1" applyBorder="1" applyAlignment="1">
      <alignment horizontal="right" vertical="center"/>
    </xf>
    <xf numFmtId="0" fontId="30" fillId="0" borderId="5" xfId="0" applyFont="1" applyFill="1" applyBorder="1" applyAlignment="1">
      <alignment horizontal="left" vertical="center" wrapText="1" indent="1"/>
    </xf>
    <xf numFmtId="3" fontId="35" fillId="6" borderId="5" xfId="0" applyNumberFormat="1" applyFont="1" applyFill="1" applyBorder="1" applyAlignment="1">
      <alignment horizontal="right" vertical="center" wrapText="1"/>
    </xf>
    <xf numFmtId="41" fontId="30" fillId="0" borderId="5" xfId="25" applyNumberFormat="1" applyFont="1" applyFill="1" applyBorder="1" applyAlignment="1">
      <alignment vertical="center" wrapText="1"/>
    </xf>
    <xf numFmtId="3" fontId="30" fillId="0" borderId="5" xfId="25" applyNumberFormat="1" applyFont="1" applyFill="1" applyBorder="1" applyAlignment="1">
      <alignment horizontal="center" vertical="center" wrapText="1"/>
    </xf>
    <xf numFmtId="1" fontId="30" fillId="0" borderId="5" xfId="25" applyNumberFormat="1" applyFont="1" applyFill="1" applyBorder="1" applyAlignment="1">
      <alignment vertical="center" wrapText="1"/>
    </xf>
    <xf numFmtId="3" fontId="30" fillId="0" borderId="5" xfId="24" quotePrefix="1" applyNumberFormat="1" applyFont="1" applyFill="1" applyBorder="1" applyAlignment="1">
      <alignment horizontal="center" vertical="center" wrapText="1"/>
    </xf>
    <xf numFmtId="3" fontId="30" fillId="0" borderId="5" xfId="8" applyNumberFormat="1" applyFont="1" applyFill="1" applyBorder="1" applyAlignment="1">
      <alignment horizontal="center" vertical="center" wrapText="1"/>
    </xf>
    <xf numFmtId="1" fontId="30" fillId="0" borderId="5" xfId="25" applyNumberFormat="1" applyFont="1" applyFill="1" applyBorder="1" applyAlignment="1">
      <alignment horizontal="center" vertical="center" wrapText="1"/>
    </xf>
    <xf numFmtId="3" fontId="31" fillId="0" borderId="5" xfId="0" applyNumberFormat="1" applyFont="1" applyFill="1" applyBorder="1" applyAlignment="1">
      <alignment vertical="center" wrapText="1"/>
    </xf>
    <xf numFmtId="1" fontId="35" fillId="0" borderId="5" xfId="4" applyNumberFormat="1" applyFont="1" applyFill="1" applyBorder="1" applyAlignment="1">
      <alignment horizontal="right" vertical="center"/>
    </xf>
    <xf numFmtId="41" fontId="30" fillId="0" borderId="5" xfId="24" applyNumberFormat="1" applyFont="1" applyFill="1" applyBorder="1" applyAlignment="1">
      <alignment vertical="center" wrapText="1"/>
    </xf>
    <xf numFmtId="0" fontId="30" fillId="0" borderId="5" xfId="15" applyFont="1" applyFill="1" applyBorder="1" applyAlignment="1">
      <alignment vertical="center" wrapText="1"/>
    </xf>
    <xf numFmtId="41" fontId="30" fillId="0" borderId="5" xfId="15" applyNumberFormat="1" applyFont="1" applyFill="1" applyBorder="1" applyAlignment="1">
      <alignment horizontal="right" vertical="center" wrapText="1"/>
    </xf>
    <xf numFmtId="41" fontId="30" fillId="0" borderId="5" xfId="1" applyNumberFormat="1" applyFont="1" applyFill="1" applyBorder="1" applyAlignment="1">
      <alignment vertical="center" wrapText="1"/>
    </xf>
    <xf numFmtId="1" fontId="35" fillId="2" borderId="5" xfId="4" applyNumberFormat="1" applyFont="1" applyFill="1" applyBorder="1" applyAlignment="1">
      <alignment horizontal="right" vertical="center"/>
    </xf>
    <xf numFmtId="3" fontId="35" fillId="2" borderId="5" xfId="6" applyNumberFormat="1" applyFont="1" applyFill="1" applyBorder="1" applyAlignment="1">
      <alignment horizontal="right" vertical="center"/>
    </xf>
    <xf numFmtId="41" fontId="35" fillId="2" borderId="5" xfId="6" applyNumberFormat="1" applyFont="1" applyFill="1" applyBorder="1" applyAlignment="1">
      <alignment horizontal="right" vertical="center"/>
    </xf>
    <xf numFmtId="41" fontId="35" fillId="2" borderId="5" xfId="4" applyNumberFormat="1" applyFont="1" applyFill="1" applyBorder="1" applyAlignment="1">
      <alignment horizontal="right" vertical="center"/>
    </xf>
    <xf numFmtId="1" fontId="35" fillId="2" borderId="5" xfId="24" applyNumberFormat="1" applyFont="1" applyFill="1" applyBorder="1" applyAlignment="1">
      <alignment horizontal="center" vertical="center" wrapText="1"/>
    </xf>
    <xf numFmtId="3" fontId="35" fillId="2" borderId="5" xfId="24" applyNumberFormat="1" applyFont="1" applyFill="1" applyBorder="1" applyAlignment="1">
      <alignment horizontal="center" vertical="center" wrapText="1"/>
    </xf>
    <xf numFmtId="3" fontId="35" fillId="2" borderId="5" xfId="24" applyNumberFormat="1" applyFont="1" applyFill="1" applyBorder="1" applyAlignment="1">
      <alignment vertical="center" wrapText="1"/>
    </xf>
    <xf numFmtId="165" fontId="30" fillId="0" borderId="5" xfId="1" applyNumberFormat="1" applyFont="1" applyFill="1" applyBorder="1" applyAlignment="1">
      <alignment horizontal="right" vertical="center" wrapText="1"/>
    </xf>
    <xf numFmtId="3" fontId="31" fillId="0" borderId="5" xfId="1" applyNumberFormat="1" applyFont="1" applyFill="1" applyBorder="1" applyAlignment="1">
      <alignment horizontal="right" vertical="center"/>
    </xf>
    <xf numFmtId="3" fontId="30" fillId="0" borderId="5" xfId="24" applyNumberFormat="1" applyFont="1" applyFill="1" applyBorder="1" applyAlignment="1">
      <alignment horizontal="center" vertical="top" wrapText="1"/>
    </xf>
    <xf numFmtId="41" fontId="33" fillId="0" borderId="5" xfId="6" applyNumberFormat="1" applyFont="1" applyFill="1" applyBorder="1" applyAlignment="1">
      <alignment vertical="center"/>
    </xf>
    <xf numFmtId="3" fontId="30" fillId="0" borderId="5" xfId="23" applyNumberFormat="1" applyFont="1" applyFill="1" applyBorder="1" applyAlignment="1">
      <alignment horizontal="right" vertical="center" wrapText="1"/>
    </xf>
    <xf numFmtId="41" fontId="30" fillId="0" borderId="5" xfId="10" applyNumberFormat="1" applyFont="1" applyFill="1" applyBorder="1" applyAlignment="1">
      <alignment horizontal="right" vertical="center" wrapText="1"/>
    </xf>
    <xf numFmtId="0" fontId="30" fillId="0" borderId="5" xfId="0" applyFont="1" applyFill="1" applyBorder="1" applyAlignment="1">
      <alignment horizontal="justify" vertical="center" wrapText="1"/>
    </xf>
    <xf numFmtId="3" fontId="31" fillId="0" borderId="5" xfId="6" applyNumberFormat="1" applyFont="1" applyFill="1" applyBorder="1" applyAlignment="1">
      <alignment horizontal="right" vertical="center"/>
    </xf>
    <xf numFmtId="3" fontId="31" fillId="0" borderId="5" xfId="24" applyNumberFormat="1" applyFont="1" applyFill="1" applyBorder="1" applyAlignment="1">
      <alignment vertical="center" wrapText="1"/>
    </xf>
    <xf numFmtId="0" fontId="30" fillId="0" borderId="5" xfId="17" applyFont="1" applyFill="1" applyBorder="1" applyAlignment="1">
      <alignment horizontal="left" vertical="center" wrapText="1"/>
    </xf>
    <xf numFmtId="0" fontId="30" fillId="0" borderId="5" xfId="21" applyFont="1" applyFill="1" applyBorder="1" applyAlignment="1">
      <alignment horizontal="left" vertical="center" wrapText="1"/>
    </xf>
    <xf numFmtId="3" fontId="35" fillId="2" borderId="5" xfId="0" applyNumberFormat="1" applyFont="1" applyFill="1" applyBorder="1" applyAlignment="1">
      <alignment vertical="center" wrapText="1"/>
    </xf>
    <xf numFmtId="41" fontId="35" fillId="2" borderId="5" xfId="0" applyNumberFormat="1" applyFont="1" applyFill="1" applyBorder="1" applyAlignment="1">
      <alignment vertical="center" wrapText="1"/>
    </xf>
    <xf numFmtId="3" fontId="30" fillId="0" borderId="5" xfId="6" applyNumberFormat="1" applyFont="1" applyFill="1" applyBorder="1" applyAlignment="1">
      <alignment horizontal="right" vertical="center"/>
    </xf>
    <xf numFmtId="3" fontId="30" fillId="0" borderId="5" xfId="24" applyNumberFormat="1" applyFont="1" applyFill="1" applyBorder="1" applyAlignment="1">
      <alignment horizontal="center" vertical="center"/>
    </xf>
    <xf numFmtId="0" fontId="30" fillId="0" borderId="5" xfId="0" applyFont="1" applyFill="1" applyBorder="1" applyAlignment="1">
      <alignment horizontal="left" vertical="center"/>
    </xf>
    <xf numFmtId="41" fontId="30" fillId="0" borderId="5" xfId="11" applyNumberFormat="1" applyFont="1" applyFill="1" applyBorder="1" applyAlignment="1">
      <alignment horizontal="right" vertical="center"/>
    </xf>
    <xf numFmtId="1" fontId="30" fillId="0" borderId="5" xfId="24" applyNumberFormat="1" applyFont="1" applyFill="1" applyBorder="1" applyAlignment="1">
      <alignment horizontal="center" vertical="center"/>
    </xf>
    <xf numFmtId="1" fontId="30" fillId="0" borderId="5" xfId="0" applyNumberFormat="1" applyFont="1" applyFill="1" applyBorder="1" applyAlignment="1">
      <alignment horizontal="center" vertical="center" wrapText="1"/>
    </xf>
    <xf numFmtId="41" fontId="30" fillId="0" borderId="5" xfId="24" applyNumberFormat="1" applyFont="1" applyFill="1" applyBorder="1" applyAlignment="1">
      <alignment horizontal="right" vertical="center"/>
    </xf>
    <xf numFmtId="3" fontId="30" fillId="0" borderId="5" xfId="26" applyNumberFormat="1" applyFont="1" applyFill="1" applyBorder="1" applyAlignment="1">
      <alignment horizontal="left" vertical="center" wrapText="1"/>
    </xf>
    <xf numFmtId="1" fontId="30" fillId="0" borderId="5" xfId="0" applyNumberFormat="1" applyFont="1" applyFill="1" applyBorder="1" applyAlignment="1">
      <alignment horizontal="center" vertical="center"/>
    </xf>
    <xf numFmtId="3" fontId="35" fillId="2" borderId="5" xfId="24" applyNumberFormat="1" applyFont="1" applyFill="1" applyBorder="1" applyAlignment="1">
      <alignment vertical="center"/>
    </xf>
    <xf numFmtId="41" fontId="35" fillId="2" borderId="5" xfId="24" applyNumberFormat="1" applyFont="1" applyFill="1" applyBorder="1" applyAlignment="1">
      <alignment vertical="center"/>
    </xf>
    <xf numFmtId="1" fontId="35" fillId="2" borderId="5" xfId="24" applyNumberFormat="1" applyFont="1" applyFill="1" applyBorder="1" applyAlignment="1">
      <alignment horizontal="center" vertical="center"/>
    </xf>
    <xf numFmtId="3" fontId="35" fillId="2" borderId="5" xfId="24" applyNumberFormat="1" applyFont="1" applyFill="1" applyBorder="1" applyAlignment="1">
      <alignment horizontal="center" vertical="center"/>
    </xf>
    <xf numFmtId="41" fontId="4" fillId="0" borderId="5" xfId="1" applyNumberFormat="1" applyFont="1" applyFill="1" applyBorder="1" applyAlignment="1">
      <alignment horizontal="right" vertical="center" wrapText="1"/>
    </xf>
    <xf numFmtId="1" fontId="4" fillId="0" borderId="5" xfId="24" applyNumberFormat="1" applyFont="1" applyFill="1" applyBorder="1" applyAlignment="1">
      <alignment horizontal="center" vertical="center" wrapText="1"/>
    </xf>
    <xf numFmtId="3" fontId="4" fillId="0" borderId="5" xfId="24" applyNumberFormat="1" applyFont="1" applyFill="1" applyBorder="1" applyAlignment="1">
      <alignment horizontal="center" vertical="center" wrapText="1"/>
    </xf>
    <xf numFmtId="1" fontId="31" fillId="0" borderId="5" xfId="4" applyNumberFormat="1" applyFont="1" applyFill="1" applyBorder="1" applyAlignment="1">
      <alignment horizontal="center" vertical="center" wrapText="1"/>
    </xf>
    <xf numFmtId="41" fontId="30" fillId="0" borderId="5" xfId="4" applyNumberFormat="1" applyFont="1" applyFill="1" applyBorder="1" applyAlignment="1">
      <alignment horizontal="right" vertical="center" wrapText="1"/>
    </xf>
    <xf numFmtId="9" fontId="30" fillId="0" borderId="5" xfId="3" applyFont="1" applyFill="1" applyBorder="1" applyAlignment="1">
      <alignment horizontal="center" vertical="center" wrapText="1"/>
    </xf>
    <xf numFmtId="3" fontId="35" fillId="0" borderId="5" xfId="4" applyNumberFormat="1" applyFont="1" applyFill="1" applyBorder="1" applyAlignment="1">
      <alignment horizontal="right" vertical="center"/>
    </xf>
    <xf numFmtId="1" fontId="30" fillId="2" borderId="5" xfId="4" applyNumberFormat="1" applyFont="1" applyFill="1" applyBorder="1" applyAlignment="1">
      <alignment horizontal="right" vertical="center"/>
    </xf>
    <xf numFmtId="3" fontId="35" fillId="2" borderId="5" xfId="4" applyNumberFormat="1" applyFont="1" applyFill="1" applyBorder="1" applyAlignment="1">
      <alignment horizontal="right" vertical="center"/>
    </xf>
    <xf numFmtId="1" fontId="30" fillId="2" borderId="5" xfId="4" applyNumberFormat="1" applyFont="1" applyFill="1" applyBorder="1" applyAlignment="1">
      <alignment horizontal="center" vertical="center" wrapText="1"/>
    </xf>
    <xf numFmtId="1" fontId="35" fillId="2" borderId="5" xfId="4" applyNumberFormat="1" applyFont="1" applyFill="1" applyBorder="1" applyAlignment="1">
      <alignment horizontal="left" vertical="center" wrapText="1"/>
    </xf>
    <xf numFmtId="41" fontId="1" fillId="6" borderId="0" xfId="0" applyNumberFormat="1" applyFont="1" applyFill="1"/>
    <xf numFmtId="41" fontId="1" fillId="0" borderId="0" xfId="0" applyNumberFormat="1" applyFont="1"/>
    <xf numFmtId="3" fontId="30" fillId="0" borderId="5" xfId="4" quotePrefix="1" applyNumberFormat="1" applyFont="1" applyFill="1" applyBorder="1" applyAlignment="1">
      <alignment horizontal="center" vertical="center" wrapText="1"/>
    </xf>
    <xf numFmtId="41" fontId="35" fillId="0" borderId="5" xfId="4" quotePrefix="1" applyNumberFormat="1" applyFont="1" applyFill="1" applyBorder="1" applyAlignment="1">
      <alignment horizontal="right" vertical="center" wrapText="1"/>
    </xf>
    <xf numFmtId="3" fontId="35" fillId="0" borderId="5" xfId="4" quotePrefix="1" applyNumberFormat="1" applyFont="1" applyFill="1" applyBorder="1" applyAlignment="1">
      <alignment horizontal="right" vertical="center" wrapText="1"/>
    </xf>
    <xf numFmtId="3" fontId="35" fillId="0" borderId="5" xfId="4" applyNumberFormat="1" applyFont="1" applyFill="1" applyBorder="1" applyAlignment="1">
      <alignment horizontal="center" vertical="center" wrapText="1"/>
    </xf>
    <xf numFmtId="41" fontId="30" fillId="0" borderId="5" xfId="4" quotePrefix="1" applyNumberFormat="1" applyFont="1" applyFill="1" applyBorder="1" applyAlignment="1">
      <alignment horizontal="center" vertical="center" wrapText="1"/>
    </xf>
    <xf numFmtId="1" fontId="34" fillId="0" borderId="0" xfId="4" applyNumberFormat="1" applyFont="1" applyFill="1" applyAlignment="1">
      <alignment horizontal="center" vertical="center" wrapText="1"/>
    </xf>
    <xf numFmtId="41" fontId="34" fillId="0" borderId="0" xfId="4" applyNumberFormat="1" applyFont="1" applyFill="1" applyAlignment="1">
      <alignment horizontal="center" vertical="center" wrapText="1"/>
    </xf>
    <xf numFmtId="3" fontId="34" fillId="0" borderId="0" xfId="4" applyNumberFormat="1" applyFont="1" applyFill="1" applyAlignment="1">
      <alignment horizontal="center" vertical="center" wrapText="1"/>
    </xf>
    <xf numFmtId="0" fontId="42" fillId="0" borderId="0" xfId="0" applyFont="1"/>
    <xf numFmtId="0" fontId="44" fillId="0" borderId="0" xfId="0" applyFont="1"/>
    <xf numFmtId="41" fontId="31" fillId="0" borderId="8" xfId="4" applyNumberFormat="1" applyFont="1" applyFill="1" applyBorder="1" applyAlignment="1">
      <alignment vertical="center"/>
    </xf>
    <xf numFmtId="41" fontId="31" fillId="0" borderId="6" xfId="4" applyNumberFormat="1" applyFont="1" applyFill="1" applyBorder="1" applyAlignment="1">
      <alignment vertical="center"/>
    </xf>
    <xf numFmtId="0" fontId="33" fillId="0" borderId="5" xfId="0" applyFont="1" applyFill="1" applyBorder="1" applyAlignment="1">
      <alignment horizontal="center" vertical="center" wrapText="1"/>
    </xf>
    <xf numFmtId="3" fontId="33" fillId="0" borderId="5" xfId="23" applyNumberFormat="1" applyFont="1" applyFill="1" applyBorder="1" applyAlignment="1">
      <alignment horizontal="center" vertical="center" wrapText="1"/>
    </xf>
    <xf numFmtId="0" fontId="33" fillId="0" borderId="5" xfId="0" applyFont="1" applyFill="1" applyBorder="1" applyAlignment="1">
      <alignment horizontal="center" vertical="center"/>
    </xf>
    <xf numFmtId="41" fontId="33" fillId="0" borderId="5" xfId="0" applyNumberFormat="1" applyFont="1" applyFill="1" applyBorder="1" applyAlignment="1">
      <alignment vertical="center" wrapText="1"/>
    </xf>
    <xf numFmtId="3" fontId="33" fillId="0" borderId="5" xfId="0" applyNumberFormat="1" applyFont="1" applyFill="1" applyBorder="1" applyAlignment="1">
      <alignment vertical="center"/>
    </xf>
    <xf numFmtId="41" fontId="37" fillId="0" borderId="5" xfId="4" applyNumberFormat="1" applyFont="1" applyFill="1" applyBorder="1" applyAlignment="1">
      <alignment vertical="center"/>
    </xf>
    <xf numFmtId="0" fontId="47" fillId="0" borderId="0" xfId="0" applyFont="1"/>
    <xf numFmtId="164" fontId="30" fillId="0" borderId="5" xfId="0" applyNumberFormat="1" applyFont="1" applyFill="1" applyBorder="1" applyAlignment="1">
      <alignment vertical="center" wrapText="1"/>
    </xf>
    <xf numFmtId="164" fontId="30" fillId="0" borderId="5" xfId="24" applyNumberFormat="1" applyFont="1" applyFill="1" applyBorder="1" applyAlignment="1">
      <alignment vertical="center" wrapText="1"/>
    </xf>
    <xf numFmtId="164" fontId="30" fillId="0" borderId="5" xfId="0" applyNumberFormat="1" applyFont="1" applyFill="1" applyBorder="1" applyAlignment="1">
      <alignment vertical="center"/>
    </xf>
    <xf numFmtId="164" fontId="4" fillId="0" borderId="5" xfId="0" applyNumberFormat="1" applyFont="1" applyFill="1" applyBorder="1" applyAlignment="1">
      <alignment vertical="center"/>
    </xf>
    <xf numFmtId="164" fontId="35" fillId="2" borderId="5" xfId="0" applyNumberFormat="1" applyFont="1" applyFill="1" applyBorder="1" applyAlignment="1">
      <alignment vertical="center" wrapText="1"/>
    </xf>
    <xf numFmtId="164" fontId="31" fillId="0" borderId="5" xfId="0" applyNumberFormat="1" applyFont="1" applyFill="1" applyBorder="1" applyAlignment="1">
      <alignment vertical="center" wrapText="1"/>
    </xf>
    <xf numFmtId="164" fontId="31" fillId="0" borderId="5" xfId="24" applyNumberFormat="1" applyFont="1" applyFill="1" applyBorder="1" applyAlignment="1">
      <alignment vertical="center" wrapText="1"/>
    </xf>
    <xf numFmtId="164" fontId="30" fillId="0" borderId="6" xfId="0" applyNumberFormat="1" applyFont="1" applyFill="1" applyBorder="1" applyAlignment="1">
      <alignment vertical="center"/>
    </xf>
    <xf numFmtId="164" fontId="5" fillId="0" borderId="5" xfId="0" applyNumberFormat="1" applyFont="1" applyFill="1" applyBorder="1" applyAlignment="1">
      <alignment vertical="center"/>
    </xf>
    <xf numFmtId="164" fontId="37" fillId="0" borderId="5" xfId="0" applyNumberFormat="1" applyFont="1" applyFill="1" applyBorder="1" applyAlignment="1">
      <alignment vertical="center"/>
    </xf>
    <xf numFmtId="164" fontId="34" fillId="0" borderId="5" xfId="0" applyNumberFormat="1" applyFont="1" applyFill="1" applyBorder="1" applyAlignment="1">
      <alignment vertical="center"/>
    </xf>
    <xf numFmtId="164" fontId="35" fillId="2" borderId="5" xfId="0" applyNumberFormat="1" applyFont="1" applyFill="1" applyBorder="1" applyAlignment="1">
      <alignment vertical="center"/>
    </xf>
    <xf numFmtId="164" fontId="33" fillId="0" borderId="5" xfId="0" applyNumberFormat="1" applyFont="1" applyFill="1" applyBorder="1" applyAlignment="1">
      <alignment vertical="center"/>
    </xf>
    <xf numFmtId="164" fontId="30" fillId="0" borderId="5" xfId="4" applyNumberFormat="1" applyFont="1" applyFill="1" applyBorder="1" applyAlignment="1">
      <alignment vertical="center"/>
    </xf>
    <xf numFmtId="164" fontId="30" fillId="0" borderId="10" xfId="4" applyNumberFormat="1" applyFont="1" applyFill="1" applyBorder="1" applyAlignment="1">
      <alignment vertical="center"/>
    </xf>
    <xf numFmtId="164" fontId="34" fillId="0" borderId="0" xfId="4" applyNumberFormat="1" applyFont="1" applyFill="1" applyAlignment="1">
      <alignment horizontal="right" vertical="center" wrapText="1"/>
    </xf>
    <xf numFmtId="164" fontId="34" fillId="0" borderId="0" xfId="4" applyNumberFormat="1" applyFont="1" applyFill="1" applyAlignment="1">
      <alignment vertical="center" wrapText="1"/>
    </xf>
    <xf numFmtId="164" fontId="35" fillId="0" borderId="5" xfId="4" quotePrefix="1" applyNumberFormat="1" applyFont="1" applyFill="1" applyBorder="1" applyAlignment="1">
      <alignment vertical="center" wrapText="1"/>
    </xf>
    <xf numFmtId="164" fontId="35" fillId="6" borderId="5" xfId="4" applyNumberFormat="1" applyFont="1" applyFill="1" applyBorder="1" applyAlignment="1">
      <alignment vertical="center"/>
    </xf>
    <xf numFmtId="164" fontId="35" fillId="6" borderId="5" xfId="15" applyNumberFormat="1" applyFont="1" applyFill="1" applyBorder="1" applyAlignment="1">
      <alignment vertical="center"/>
    </xf>
    <xf numFmtId="164" fontId="33" fillId="0" borderId="5" xfId="4" applyNumberFormat="1" applyFont="1" applyFill="1" applyBorder="1" applyAlignment="1">
      <alignment vertical="center"/>
    </xf>
    <xf numFmtId="164" fontId="34" fillId="0" borderId="5" xfId="4" applyNumberFormat="1" applyFont="1" applyFill="1" applyBorder="1" applyAlignment="1">
      <alignment vertical="center"/>
    </xf>
    <xf numFmtId="164" fontId="4" fillId="0" borderId="5" xfId="0" applyNumberFormat="1" applyFont="1" applyFill="1" applyBorder="1" applyAlignment="1">
      <alignment vertical="center" wrapText="1"/>
    </xf>
    <xf numFmtId="164" fontId="30" fillId="0" borderId="5" xfId="6" applyNumberFormat="1" applyFont="1" applyFill="1" applyBorder="1" applyAlignment="1">
      <alignment vertical="center"/>
    </xf>
    <xf numFmtId="164" fontId="31" fillId="0" borderId="5" xfId="4" applyNumberFormat="1" applyFont="1" applyFill="1" applyBorder="1" applyAlignment="1">
      <alignment vertical="center"/>
    </xf>
    <xf numFmtId="164" fontId="31" fillId="0" borderId="5" xfId="6" applyNumberFormat="1" applyFont="1" applyFill="1" applyBorder="1" applyAlignment="1">
      <alignment vertical="center"/>
    </xf>
    <xf numFmtId="164" fontId="31" fillId="0" borderId="5" xfId="1" applyNumberFormat="1" applyFont="1" applyFill="1" applyBorder="1" applyAlignment="1">
      <alignment vertical="center"/>
    </xf>
    <xf numFmtId="164" fontId="35" fillId="6" borderId="5" xfId="0" applyNumberFormat="1" applyFont="1" applyFill="1" applyBorder="1" applyAlignment="1">
      <alignment vertical="center" wrapText="1"/>
    </xf>
    <xf numFmtId="164" fontId="6" fillId="0" borderId="5" xfId="4" applyNumberFormat="1" applyFont="1" applyFill="1" applyBorder="1" applyAlignment="1">
      <alignment vertical="center"/>
    </xf>
    <xf numFmtId="164" fontId="6" fillId="0" borderId="5" xfId="0" applyNumberFormat="1" applyFont="1" applyFill="1" applyBorder="1" applyAlignment="1">
      <alignment vertical="center" wrapText="1"/>
    </xf>
    <xf numFmtId="164" fontId="6" fillId="0" borderId="6" xfId="0" applyNumberFormat="1" applyFont="1" applyFill="1" applyBorder="1" applyAlignment="1">
      <alignment vertical="center" wrapText="1"/>
    </xf>
    <xf numFmtId="164" fontId="34" fillId="0" borderId="8" xfId="4" applyNumberFormat="1" applyFont="1" applyFill="1" applyBorder="1" applyAlignment="1">
      <alignment vertical="center"/>
    </xf>
    <xf numFmtId="164" fontId="30" fillId="0" borderId="6" xfId="4" applyNumberFormat="1" applyFont="1" applyFill="1" applyBorder="1" applyAlignment="1">
      <alignment vertical="center"/>
    </xf>
    <xf numFmtId="164" fontId="5" fillId="0" borderId="5" xfId="4" applyNumberFormat="1" applyFont="1" applyFill="1" applyBorder="1" applyAlignment="1">
      <alignment vertical="center"/>
    </xf>
    <xf numFmtId="164" fontId="5" fillId="0" borderId="5" xfId="0" applyNumberFormat="1" applyFont="1" applyFill="1" applyBorder="1" applyAlignment="1">
      <alignment vertical="center" wrapText="1"/>
    </xf>
    <xf numFmtId="164" fontId="5" fillId="0" borderId="7" xfId="0" applyNumberFormat="1" applyFont="1" applyFill="1" applyBorder="1" applyAlignment="1">
      <alignment vertical="center" wrapText="1"/>
    </xf>
    <xf numFmtId="164" fontId="4" fillId="0" borderId="5" xfId="4" applyNumberFormat="1" applyFont="1" applyFill="1" applyBorder="1" applyAlignment="1">
      <alignment vertical="center"/>
    </xf>
    <xf numFmtId="164" fontId="30" fillId="0" borderId="5" xfId="2" applyNumberFormat="1" applyFont="1" applyFill="1" applyBorder="1" applyAlignment="1">
      <alignment vertical="center"/>
    </xf>
    <xf numFmtId="164" fontId="37" fillId="0" borderId="5" xfId="2" applyNumberFormat="1" applyFont="1" applyFill="1" applyBorder="1" applyAlignment="1">
      <alignment vertical="center"/>
    </xf>
    <xf numFmtId="164" fontId="1" fillId="0" borderId="0" xfId="0" applyNumberFormat="1" applyFont="1" applyAlignment="1">
      <alignment vertical="center"/>
    </xf>
    <xf numFmtId="3" fontId="48" fillId="0" borderId="20" xfId="4" applyNumberFormat="1" applyFont="1" applyFill="1" applyBorder="1" applyAlignment="1">
      <alignment vertical="center" wrapText="1"/>
    </xf>
    <xf numFmtId="0" fontId="48" fillId="0" borderId="20" xfId="0" applyFont="1" applyFill="1" applyBorder="1" applyAlignment="1">
      <alignment vertical="center" wrapText="1"/>
    </xf>
    <xf numFmtId="3" fontId="48" fillId="0" borderId="20" xfId="0" applyNumberFormat="1" applyFont="1" applyBorder="1" applyAlignment="1">
      <alignment vertical="center" wrapText="1"/>
    </xf>
    <xf numFmtId="0" fontId="48" fillId="0" borderId="20" xfId="0" applyNumberFormat="1" applyFont="1" applyBorder="1" applyAlignment="1">
      <alignment vertical="center" wrapText="1"/>
    </xf>
    <xf numFmtId="165" fontId="48" fillId="0" borderId="20" xfId="12" applyNumberFormat="1" applyFont="1" applyFill="1" applyBorder="1" applyAlignment="1">
      <alignment vertical="center"/>
    </xf>
    <xf numFmtId="1" fontId="35" fillId="6" borderId="6" xfId="4" applyNumberFormat="1" applyFont="1" applyFill="1" applyBorder="1" applyAlignment="1">
      <alignment horizontal="center" vertical="center"/>
    </xf>
    <xf numFmtId="1" fontId="35" fillId="6" borderId="6" xfId="4" applyNumberFormat="1" applyFont="1" applyFill="1" applyBorder="1" applyAlignment="1">
      <alignment horizontal="left" vertical="center" wrapText="1"/>
    </xf>
    <xf numFmtId="1" fontId="30" fillId="6" borderId="6" xfId="4" applyNumberFormat="1" applyFont="1" applyFill="1" applyBorder="1" applyAlignment="1">
      <alignment horizontal="center" vertical="center" wrapText="1"/>
    </xf>
    <xf numFmtId="41" fontId="35" fillId="6" borderId="6" xfId="4" applyNumberFormat="1" applyFont="1" applyFill="1" applyBorder="1" applyAlignment="1">
      <alignment horizontal="right" vertical="center"/>
    </xf>
    <xf numFmtId="3" fontId="35" fillId="6" borderId="6" xfId="4" applyNumberFormat="1" applyFont="1" applyFill="1" applyBorder="1" applyAlignment="1">
      <alignment horizontal="right" vertical="center"/>
    </xf>
    <xf numFmtId="164" fontId="35" fillId="6" borderId="6" xfId="4" applyNumberFormat="1" applyFont="1" applyFill="1" applyBorder="1" applyAlignment="1">
      <alignment vertical="center"/>
    </xf>
    <xf numFmtId="1" fontId="30" fillId="6" borderId="6" xfId="4" applyNumberFormat="1" applyFont="1" applyFill="1" applyBorder="1" applyAlignment="1">
      <alignment horizontal="right" vertical="center"/>
    </xf>
    <xf numFmtId="3" fontId="30" fillId="0" borderId="6" xfId="23" applyNumberFormat="1" applyFont="1" applyFill="1" applyBorder="1" applyAlignment="1">
      <alignment horizontal="left" vertical="center" wrapText="1"/>
    </xf>
    <xf numFmtId="3" fontId="30" fillId="0" borderId="6" xfId="24" applyNumberFormat="1" applyFont="1" applyFill="1" applyBorder="1" applyAlignment="1">
      <alignment horizontal="center" vertical="center" wrapText="1"/>
    </xf>
    <xf numFmtId="3" fontId="30" fillId="0" borderId="6" xfId="23" applyNumberFormat="1" applyFont="1" applyFill="1" applyBorder="1" applyAlignment="1">
      <alignment horizontal="center" vertical="center" wrapText="1"/>
    </xf>
    <xf numFmtId="3" fontId="30" fillId="0" borderId="6" xfId="24" applyNumberFormat="1" applyFont="1" applyFill="1" applyBorder="1" applyAlignment="1">
      <alignment vertical="center" wrapText="1"/>
    </xf>
    <xf numFmtId="165" fontId="30" fillId="0" borderId="6" xfId="1" applyNumberFormat="1" applyFont="1" applyFill="1" applyBorder="1" applyAlignment="1">
      <alignment horizontal="right" vertical="center" wrapText="1"/>
    </xf>
    <xf numFmtId="41" fontId="34" fillId="0" borderId="6" xfId="4" applyNumberFormat="1" applyFont="1" applyFill="1" applyBorder="1" applyAlignment="1">
      <alignment horizontal="right" vertical="center"/>
    </xf>
    <xf numFmtId="41" fontId="30" fillId="0" borderId="6" xfId="6" applyNumberFormat="1" applyFont="1" applyFill="1" applyBorder="1" applyAlignment="1">
      <alignment horizontal="right" vertical="center"/>
    </xf>
    <xf numFmtId="41" fontId="30" fillId="0" borderId="6" xfId="24" applyNumberFormat="1" applyFont="1" applyFill="1" applyBorder="1" applyAlignment="1">
      <alignment vertical="center" wrapText="1"/>
    </xf>
    <xf numFmtId="3" fontId="31" fillId="0" borderId="6" xfId="4" applyNumberFormat="1" applyFont="1" applyFill="1" applyBorder="1" applyAlignment="1">
      <alignment horizontal="right" vertical="center"/>
    </xf>
    <xf numFmtId="164" fontId="31" fillId="0" borderId="6" xfId="4" applyNumberFormat="1" applyFont="1" applyFill="1" applyBorder="1" applyAlignment="1">
      <alignment vertical="center"/>
    </xf>
    <xf numFmtId="1" fontId="31" fillId="0" borderId="6" xfId="4" applyNumberFormat="1" applyFont="1" applyFill="1" applyBorder="1" applyAlignment="1">
      <alignment horizontal="right" vertical="center"/>
    </xf>
    <xf numFmtId="1" fontId="30" fillId="0" borderId="6" xfId="24" applyNumberFormat="1" applyFont="1" applyFill="1" applyBorder="1" applyAlignment="1">
      <alignment horizontal="center" vertical="center" wrapText="1"/>
    </xf>
    <xf numFmtId="41" fontId="30" fillId="0" borderId="6" xfId="0" applyNumberFormat="1" applyFont="1" applyFill="1" applyBorder="1" applyAlignment="1">
      <alignment vertical="center" wrapText="1"/>
    </xf>
    <xf numFmtId="41" fontId="30" fillId="0" borderId="6" xfId="1" applyNumberFormat="1" applyFont="1" applyFill="1" applyBorder="1" applyAlignment="1">
      <alignment horizontal="right" vertical="center" wrapText="1"/>
    </xf>
    <xf numFmtId="1" fontId="30" fillId="0" borderId="6" xfId="4" applyNumberFormat="1" applyFont="1" applyFill="1" applyBorder="1" applyAlignment="1">
      <alignment horizontal="center" vertical="center" wrapText="1"/>
    </xf>
    <xf numFmtId="3" fontId="31" fillId="0" borderId="6" xfId="0" applyNumberFormat="1" applyFont="1" applyFill="1" applyBorder="1" applyAlignment="1">
      <alignment horizontal="right" vertical="center" wrapText="1"/>
    </xf>
    <xf numFmtId="0" fontId="35" fillId="6" borderId="6" xfId="0" applyNumberFormat="1" applyFont="1" applyFill="1" applyBorder="1" applyAlignment="1">
      <alignment horizontal="right" vertical="center" wrapText="1"/>
    </xf>
    <xf numFmtId="0" fontId="35" fillId="6" borderId="6" xfId="0" applyNumberFormat="1" applyFont="1" applyFill="1" applyBorder="1" applyAlignment="1">
      <alignment horizontal="center" vertical="center" wrapText="1"/>
    </xf>
    <xf numFmtId="41" fontId="35" fillId="6" borderId="6" xfId="0" applyNumberFormat="1" applyFont="1" applyFill="1" applyBorder="1" applyAlignment="1">
      <alignment horizontal="right" vertical="center" wrapText="1"/>
    </xf>
    <xf numFmtId="41" fontId="31" fillId="6" borderId="6" xfId="4" applyNumberFormat="1" applyFont="1" applyFill="1" applyBorder="1" applyAlignment="1">
      <alignment vertical="center"/>
    </xf>
    <xf numFmtId="1" fontId="30" fillId="0" borderId="6" xfId="4" quotePrefix="1" applyNumberFormat="1" applyFont="1" applyFill="1" applyBorder="1" applyAlignment="1">
      <alignment horizontal="center" vertical="center"/>
    </xf>
    <xf numFmtId="41" fontId="30" fillId="0" borderId="6" xfId="23" applyNumberFormat="1" applyFont="1" applyFill="1" applyBorder="1" applyAlignment="1">
      <alignment horizontal="right" vertical="center"/>
    </xf>
    <xf numFmtId="49" fontId="33" fillId="0" borderId="6" xfId="4" quotePrefix="1" applyNumberFormat="1" applyFont="1" applyFill="1" applyBorder="1" applyAlignment="1">
      <alignment horizontal="center" vertical="center"/>
    </xf>
    <xf numFmtId="1" fontId="33" fillId="0" borderId="6" xfId="4" applyNumberFormat="1" applyFont="1" applyFill="1" applyBorder="1" applyAlignment="1">
      <alignment vertical="center" wrapText="1"/>
    </xf>
    <xf numFmtId="1" fontId="33" fillId="0" borderId="6" xfId="4" applyNumberFormat="1" applyFont="1" applyFill="1" applyBorder="1" applyAlignment="1">
      <alignment horizontal="center" vertical="center" wrapText="1"/>
    </xf>
    <xf numFmtId="164" fontId="33" fillId="0" borderId="6" xfId="4" applyNumberFormat="1" applyFont="1" applyFill="1" applyBorder="1" applyAlignment="1">
      <alignment vertical="center"/>
    </xf>
    <xf numFmtId="3" fontId="33" fillId="0" borderId="6" xfId="4" applyNumberFormat="1" applyFont="1" applyFill="1" applyBorder="1" applyAlignment="1">
      <alignment horizontal="right" vertical="center"/>
    </xf>
    <xf numFmtId="1" fontId="33" fillId="0" borderId="6" xfId="4" applyNumberFormat="1" applyFont="1" applyFill="1" applyBorder="1" applyAlignment="1">
      <alignment horizontal="right" vertical="center"/>
    </xf>
    <xf numFmtId="3" fontId="30" fillId="0" borderId="6" xfId="0" applyNumberFormat="1" applyFont="1" applyFill="1" applyBorder="1" applyAlignment="1">
      <alignment horizontal="right" vertical="center" wrapText="1"/>
    </xf>
    <xf numFmtId="164" fontId="30" fillId="0" borderId="6" xfId="0" applyNumberFormat="1" applyFont="1" applyFill="1" applyBorder="1" applyAlignment="1">
      <alignment vertical="center" wrapText="1"/>
    </xf>
    <xf numFmtId="1" fontId="30" fillId="0" borderId="6" xfId="4" applyNumberFormat="1" applyFont="1" applyFill="1" applyBorder="1" applyAlignment="1">
      <alignment horizontal="center" vertical="center"/>
    </xf>
    <xf numFmtId="3" fontId="30" fillId="0" borderId="6" xfId="0" applyNumberFormat="1" applyFont="1" applyFill="1" applyBorder="1" applyAlignment="1">
      <alignment horizontal="center" vertical="center" wrapText="1"/>
    </xf>
    <xf numFmtId="3" fontId="30" fillId="0" borderId="6" xfId="0" applyNumberFormat="1" applyFont="1" applyFill="1" applyBorder="1" applyAlignment="1">
      <alignment horizontal="center" vertical="center"/>
    </xf>
    <xf numFmtId="41" fontId="30" fillId="0" borderId="6" xfId="4" applyNumberFormat="1" applyFont="1" applyFill="1" applyBorder="1" applyAlignment="1">
      <alignment vertical="center"/>
    </xf>
    <xf numFmtId="1" fontId="30" fillId="0" borderId="6" xfId="4" applyNumberFormat="1" applyFont="1" applyFill="1" applyBorder="1" applyAlignment="1">
      <alignment vertical="center"/>
    </xf>
    <xf numFmtId="1" fontId="35" fillId="6" borderId="7" xfId="4" applyNumberFormat="1" applyFont="1" applyFill="1" applyBorder="1" applyAlignment="1">
      <alignment horizontal="center" vertical="center"/>
    </xf>
    <xf numFmtId="1" fontId="35" fillId="6" borderId="7" xfId="4" applyNumberFormat="1" applyFont="1" applyFill="1" applyBorder="1" applyAlignment="1">
      <alignment horizontal="left" vertical="center" wrapText="1"/>
    </xf>
    <xf numFmtId="1" fontId="30" fillId="6" borderId="7" xfId="4" applyNumberFormat="1" applyFont="1" applyFill="1" applyBorder="1" applyAlignment="1">
      <alignment horizontal="center" vertical="center" wrapText="1"/>
    </xf>
    <xf numFmtId="41" fontId="35" fillId="6" borderId="7" xfId="4" applyNumberFormat="1" applyFont="1" applyFill="1" applyBorder="1" applyAlignment="1">
      <alignment horizontal="right" vertical="center"/>
    </xf>
    <xf numFmtId="3" fontId="35" fillId="6" borderId="7" xfId="4" applyNumberFormat="1" applyFont="1" applyFill="1" applyBorder="1" applyAlignment="1">
      <alignment horizontal="right" vertical="center"/>
    </xf>
    <xf numFmtId="3" fontId="35" fillId="6" borderId="7" xfId="15" applyNumberFormat="1" applyFont="1" applyFill="1" applyBorder="1" applyAlignment="1">
      <alignment horizontal="right" vertical="center"/>
    </xf>
    <xf numFmtId="41" fontId="35" fillId="6" borderId="7" xfId="15" applyNumberFormat="1" applyFont="1" applyFill="1" applyBorder="1" applyAlignment="1">
      <alignment horizontal="right" vertical="center"/>
    </xf>
    <xf numFmtId="164" fontId="35" fillId="6" borderId="7" xfId="4" applyNumberFormat="1" applyFont="1" applyFill="1" applyBorder="1" applyAlignment="1">
      <alignment vertical="center"/>
    </xf>
    <xf numFmtId="164" fontId="35" fillId="6" borderId="7" xfId="15" applyNumberFormat="1" applyFont="1" applyFill="1" applyBorder="1" applyAlignment="1">
      <alignment vertical="center"/>
    </xf>
    <xf numFmtId="1" fontId="30" fillId="6" borderId="7" xfId="4" applyNumberFormat="1" applyFont="1" applyFill="1" applyBorder="1" applyAlignment="1">
      <alignment horizontal="right" vertical="center"/>
    </xf>
    <xf numFmtId="41" fontId="35" fillId="2" borderId="8" xfId="4" applyNumberFormat="1" applyFont="1" applyFill="1" applyBorder="1" applyAlignment="1">
      <alignment horizontal="right" vertical="center"/>
    </xf>
    <xf numFmtId="3" fontId="30" fillId="0" borderId="7" xfId="24" quotePrefix="1" applyNumberFormat="1" applyFont="1" applyFill="1" applyBorder="1" applyAlignment="1">
      <alignment horizontal="center" vertical="center" wrapText="1"/>
    </xf>
    <xf numFmtId="3" fontId="30" fillId="0" borderId="7" xfId="24" applyNumberFormat="1" applyFont="1" applyFill="1" applyBorder="1" applyAlignment="1">
      <alignment vertical="center" wrapText="1"/>
    </xf>
    <xf numFmtId="3" fontId="30" fillId="0" borderId="7" xfId="24" applyNumberFormat="1" applyFont="1" applyFill="1" applyBorder="1" applyAlignment="1">
      <alignment horizontal="center" vertical="center" wrapText="1"/>
    </xf>
    <xf numFmtId="1" fontId="30" fillId="0" borderId="7" xfId="24" applyNumberFormat="1" applyFont="1" applyFill="1" applyBorder="1" applyAlignment="1">
      <alignment horizontal="center" vertical="center" wrapText="1"/>
    </xf>
    <xf numFmtId="41" fontId="30" fillId="0" borderId="7" xfId="0" applyNumberFormat="1" applyFont="1" applyFill="1" applyBorder="1" applyAlignment="1">
      <alignment vertical="center" wrapText="1"/>
    </xf>
    <xf numFmtId="41" fontId="30" fillId="0" borderId="7" xfId="1" applyNumberFormat="1" applyFont="1" applyFill="1" applyBorder="1" applyAlignment="1">
      <alignment horizontal="right" vertical="center" wrapText="1"/>
    </xf>
    <xf numFmtId="41" fontId="33" fillId="0" borderId="7" xfId="4" applyNumberFormat="1" applyFont="1" applyFill="1" applyBorder="1" applyAlignment="1">
      <alignment horizontal="right" vertical="center"/>
    </xf>
    <xf numFmtId="3" fontId="31" fillId="0" borderId="7" xfId="4" applyNumberFormat="1" applyFont="1" applyFill="1" applyBorder="1" applyAlignment="1">
      <alignment horizontal="right" vertical="center"/>
    </xf>
    <xf numFmtId="41" fontId="31" fillId="0" borderId="7" xfId="4" applyNumberFormat="1" applyFont="1" applyFill="1" applyBorder="1" applyAlignment="1">
      <alignment vertical="center"/>
    </xf>
    <xf numFmtId="164" fontId="31" fillId="0" borderId="7" xfId="4" applyNumberFormat="1" applyFont="1" applyFill="1" applyBorder="1" applyAlignment="1">
      <alignment vertical="center"/>
    </xf>
    <xf numFmtId="41" fontId="30" fillId="0" borderId="7" xfId="4" applyNumberFormat="1" applyFont="1" applyFill="1" applyBorder="1" applyAlignment="1">
      <alignment horizontal="right" vertical="center"/>
    </xf>
    <xf numFmtId="1" fontId="30" fillId="0" borderId="7" xfId="4" applyNumberFormat="1" applyFont="1" applyFill="1" applyBorder="1" applyAlignment="1">
      <alignment horizontal="center" vertical="center" wrapText="1"/>
    </xf>
    <xf numFmtId="41" fontId="30" fillId="0" borderId="7" xfId="0" applyNumberFormat="1" applyFont="1" applyFill="1" applyBorder="1" applyAlignment="1">
      <alignment horizontal="right" vertical="center" wrapText="1"/>
    </xf>
    <xf numFmtId="3" fontId="31" fillId="0" borderId="7" xfId="0" applyNumberFormat="1" applyFont="1" applyFill="1" applyBorder="1" applyAlignment="1">
      <alignment horizontal="right" vertical="center" wrapText="1"/>
    </xf>
    <xf numFmtId="3" fontId="31" fillId="0" borderId="7" xfId="0" applyNumberFormat="1" applyFont="1" applyFill="1" applyBorder="1" applyAlignment="1">
      <alignment vertical="center" wrapText="1"/>
    </xf>
    <xf numFmtId="1" fontId="30" fillId="0" borderId="7" xfId="4" applyNumberFormat="1" applyFont="1" applyFill="1" applyBorder="1" applyAlignment="1">
      <alignment horizontal="right" vertical="center" wrapText="1"/>
    </xf>
    <xf numFmtId="3" fontId="30" fillId="0" borderId="8" xfId="24" quotePrefix="1" applyNumberFormat="1" applyFont="1" applyFill="1" applyBorder="1" applyAlignment="1">
      <alignment horizontal="center" vertical="center" wrapText="1"/>
    </xf>
    <xf numFmtId="1" fontId="30" fillId="0" borderId="8" xfId="25" applyNumberFormat="1" applyFont="1" applyFill="1" applyBorder="1" applyAlignment="1">
      <alignment vertical="center" wrapText="1"/>
    </xf>
    <xf numFmtId="3" fontId="30" fillId="0" borderId="8" xfId="24" applyNumberFormat="1" applyFont="1" applyFill="1" applyBorder="1" applyAlignment="1">
      <alignment horizontal="center" vertical="center" wrapText="1"/>
    </xf>
    <xf numFmtId="1" fontId="30" fillId="0" borderId="8" xfId="25" applyNumberFormat="1" applyFont="1" applyFill="1" applyBorder="1" applyAlignment="1">
      <alignment horizontal="center" vertical="center" wrapText="1"/>
    </xf>
    <xf numFmtId="41" fontId="30" fillId="0" borderId="8" xfId="25" applyNumberFormat="1" applyFont="1" applyFill="1" applyBorder="1" applyAlignment="1">
      <alignment vertical="center" wrapText="1"/>
    </xf>
    <xf numFmtId="41" fontId="30" fillId="0" borderId="8" xfId="1" applyNumberFormat="1" applyFont="1" applyFill="1" applyBorder="1" applyAlignment="1">
      <alignment horizontal="right" vertical="center" wrapText="1"/>
    </xf>
    <xf numFmtId="41" fontId="30" fillId="0" borderId="8" xfId="0" applyNumberFormat="1" applyFont="1" applyFill="1" applyBorder="1" applyAlignment="1">
      <alignment horizontal="right" vertical="center" wrapText="1"/>
    </xf>
    <xf numFmtId="41" fontId="30" fillId="0" borderId="8" xfId="6" applyNumberFormat="1" applyFont="1" applyFill="1" applyBorder="1" applyAlignment="1">
      <alignment horizontal="right" vertical="center"/>
    </xf>
    <xf numFmtId="3" fontId="31" fillId="0" borderId="8" xfId="0" applyNumberFormat="1" applyFont="1" applyFill="1" applyBorder="1" applyAlignment="1">
      <alignment horizontal="right" vertical="center" wrapText="1"/>
    </xf>
    <xf numFmtId="3" fontId="31" fillId="0" borderId="8" xfId="0" applyNumberFormat="1" applyFont="1" applyFill="1" applyBorder="1" applyAlignment="1">
      <alignment vertical="center" wrapText="1"/>
    </xf>
    <xf numFmtId="164" fontId="31" fillId="0" borderId="8" xfId="4" applyNumberFormat="1" applyFont="1" applyFill="1" applyBorder="1" applyAlignment="1">
      <alignment vertical="center"/>
    </xf>
    <xf numFmtId="1" fontId="30" fillId="0" borderId="8" xfId="4" applyNumberFormat="1" applyFont="1" applyFill="1" applyBorder="1" applyAlignment="1">
      <alignment horizontal="center" vertical="center" wrapText="1"/>
    </xf>
    <xf numFmtId="1" fontId="30" fillId="0" borderId="8" xfId="4" applyNumberFormat="1" applyFont="1" applyFill="1" applyBorder="1" applyAlignment="1">
      <alignment horizontal="right" vertical="center" wrapText="1"/>
    </xf>
    <xf numFmtId="1" fontId="35" fillId="6" borderId="8" xfId="4" applyNumberFormat="1" applyFont="1" applyFill="1" applyBorder="1" applyAlignment="1">
      <alignment horizontal="center" vertical="center"/>
    </xf>
    <xf numFmtId="1" fontId="35" fillId="6" borderId="8" xfId="4" applyNumberFormat="1" applyFont="1" applyFill="1" applyBorder="1" applyAlignment="1">
      <alignment horizontal="left" vertical="center" wrapText="1"/>
    </xf>
    <xf numFmtId="1" fontId="30" fillId="6" borderId="8" xfId="4" applyNumberFormat="1" applyFont="1" applyFill="1" applyBorder="1" applyAlignment="1">
      <alignment horizontal="center" vertical="center" wrapText="1"/>
    </xf>
    <xf numFmtId="0" fontId="35" fillId="6" borderId="8" xfId="0" applyNumberFormat="1" applyFont="1" applyFill="1" applyBorder="1" applyAlignment="1">
      <alignment horizontal="right" vertical="center" wrapText="1"/>
    </xf>
    <xf numFmtId="0" fontId="35" fillId="6" borderId="8" xfId="0" applyNumberFormat="1" applyFont="1" applyFill="1" applyBorder="1" applyAlignment="1">
      <alignment horizontal="center" vertical="center" wrapText="1"/>
    </xf>
    <xf numFmtId="41" fontId="35" fillId="6" borderId="8" xfId="0" applyNumberFormat="1" applyFont="1" applyFill="1" applyBorder="1" applyAlignment="1">
      <alignment horizontal="right" vertical="center" wrapText="1"/>
    </xf>
    <xf numFmtId="41" fontId="35" fillId="6" borderId="8" xfId="4" applyNumberFormat="1" applyFont="1" applyFill="1" applyBorder="1" applyAlignment="1">
      <alignment horizontal="right" vertical="center"/>
    </xf>
    <xf numFmtId="3" fontId="35" fillId="6" borderId="8" xfId="0" applyNumberFormat="1" applyFont="1" applyFill="1" applyBorder="1" applyAlignment="1">
      <alignment horizontal="right" vertical="center" wrapText="1"/>
    </xf>
    <xf numFmtId="164" fontId="35" fillId="6" borderId="8" xfId="0" applyNumberFormat="1" applyFont="1" applyFill="1" applyBorder="1" applyAlignment="1">
      <alignment vertical="center" wrapText="1"/>
    </xf>
    <xf numFmtId="1" fontId="30" fillId="6" borderId="8" xfId="4" applyNumberFormat="1" applyFont="1" applyFill="1" applyBorder="1" applyAlignment="1">
      <alignment horizontal="right" vertical="center"/>
    </xf>
    <xf numFmtId="1" fontId="35" fillId="2" borderId="8" xfId="4" applyNumberFormat="1" applyFont="1" applyFill="1" applyBorder="1" applyAlignment="1">
      <alignment horizontal="right" vertical="center" wrapText="1"/>
    </xf>
    <xf numFmtId="49" fontId="33" fillId="0" borderId="8" xfId="4" quotePrefix="1" applyNumberFormat="1" applyFont="1" applyFill="1" applyBorder="1" applyAlignment="1">
      <alignment horizontal="center" vertical="center"/>
    </xf>
    <xf numFmtId="1" fontId="33" fillId="0" borderId="8" xfId="4" applyNumberFormat="1" applyFont="1" applyFill="1" applyBorder="1" applyAlignment="1">
      <alignment horizontal="center" vertical="center" wrapText="1"/>
    </xf>
    <xf numFmtId="41" fontId="33" fillId="0" borderId="8" xfId="4" applyNumberFormat="1" applyFont="1" applyFill="1" applyBorder="1" applyAlignment="1">
      <alignment horizontal="right" vertical="center"/>
    </xf>
    <xf numFmtId="164" fontId="33" fillId="0" borderId="8" xfId="4" applyNumberFormat="1" applyFont="1" applyFill="1" applyBorder="1" applyAlignment="1">
      <alignment vertical="center"/>
    </xf>
    <xf numFmtId="3" fontId="33" fillId="0" borderId="8" xfId="4" applyNumberFormat="1" applyFont="1" applyFill="1" applyBorder="1" applyAlignment="1">
      <alignment horizontal="right" vertical="center"/>
    </xf>
    <xf numFmtId="1" fontId="30" fillId="0" borderId="8" xfId="4" quotePrefix="1" applyNumberFormat="1" applyFont="1" applyFill="1" applyBorder="1" applyAlignment="1">
      <alignment horizontal="center" vertical="center"/>
    </xf>
    <xf numFmtId="0" fontId="30" fillId="0" borderId="8" xfId="0" applyFont="1" applyFill="1" applyBorder="1" applyAlignment="1">
      <alignment horizontal="left" vertical="center" wrapText="1"/>
    </xf>
    <xf numFmtId="0" fontId="30" fillId="0" borderId="8" xfId="0" applyFont="1" applyFill="1" applyBorder="1" applyAlignment="1">
      <alignment horizontal="center" vertical="center" wrapText="1"/>
    </xf>
    <xf numFmtId="0" fontId="30" fillId="0" borderId="8" xfId="15" applyFont="1" applyFill="1" applyBorder="1" applyAlignment="1">
      <alignment horizontal="center" vertical="center" wrapText="1"/>
    </xf>
    <xf numFmtId="3" fontId="30" fillId="0" borderId="8" xfId="0" quotePrefix="1" applyNumberFormat="1" applyFont="1" applyFill="1" applyBorder="1" applyAlignment="1">
      <alignment horizontal="center" vertical="center"/>
    </xf>
    <xf numFmtId="3" fontId="30" fillId="0" borderId="8" xfId="0" applyNumberFormat="1" applyFont="1" applyFill="1" applyBorder="1" applyAlignment="1">
      <alignment horizontal="center" vertical="center" wrapText="1"/>
    </xf>
    <xf numFmtId="41" fontId="30" fillId="0" borderId="8" xfId="0" applyNumberFormat="1" applyFont="1" applyFill="1" applyBorder="1" applyAlignment="1">
      <alignment vertical="center"/>
    </xf>
    <xf numFmtId="41" fontId="30" fillId="0" borderId="8" xfId="0" applyNumberFormat="1" applyFont="1" applyFill="1" applyBorder="1" applyAlignment="1">
      <alignment vertical="center" wrapText="1"/>
    </xf>
    <xf numFmtId="3" fontId="30" fillId="0" borderId="8" xfId="0" applyNumberFormat="1" applyFont="1" applyFill="1" applyBorder="1" applyAlignment="1">
      <alignment vertical="center"/>
    </xf>
    <xf numFmtId="3" fontId="30" fillId="0" borderId="8" xfId="0" applyNumberFormat="1" applyFont="1" applyFill="1" applyBorder="1" applyAlignment="1">
      <alignment horizontal="right" vertical="center" wrapText="1"/>
    </xf>
    <xf numFmtId="164" fontId="30" fillId="0" borderId="8" xfId="0" applyNumberFormat="1" applyFont="1" applyFill="1" applyBorder="1" applyAlignment="1">
      <alignment vertical="center"/>
    </xf>
    <xf numFmtId="164" fontId="30" fillId="0" borderId="8" xfId="0" applyNumberFormat="1" applyFont="1" applyFill="1" applyBorder="1" applyAlignment="1">
      <alignment vertical="center" wrapText="1"/>
    </xf>
    <xf numFmtId="1" fontId="30" fillId="0" borderId="7" xfId="4" quotePrefix="1" applyNumberFormat="1" applyFont="1" applyFill="1" applyBorder="1" applyAlignment="1">
      <alignment horizontal="center" vertical="center"/>
    </xf>
    <xf numFmtId="1" fontId="30" fillId="0" borderId="7" xfId="4" applyNumberFormat="1" applyFont="1" applyFill="1" applyBorder="1" applyAlignment="1">
      <alignment vertical="center" wrapText="1"/>
    </xf>
    <xf numFmtId="0" fontId="30" fillId="0" borderId="7" xfId="0" applyFont="1" applyFill="1" applyBorder="1" applyAlignment="1">
      <alignment horizontal="center" vertical="center" wrapText="1"/>
    </xf>
    <xf numFmtId="0" fontId="30" fillId="0" borderId="7" xfId="0" applyFont="1" applyFill="1" applyBorder="1" applyAlignment="1">
      <alignment horizontal="center" vertical="center"/>
    </xf>
    <xf numFmtId="41" fontId="30" fillId="0" borderId="7" xfId="8" applyNumberFormat="1" applyFont="1" applyFill="1" applyBorder="1" applyAlignment="1">
      <alignment horizontal="right" vertical="center"/>
    </xf>
    <xf numFmtId="41" fontId="30" fillId="0" borderId="7" xfId="0" applyNumberFormat="1" applyFont="1" applyFill="1" applyBorder="1" applyAlignment="1">
      <alignment vertical="center"/>
    </xf>
    <xf numFmtId="3" fontId="30" fillId="0" borderId="7" xfId="0" applyNumberFormat="1" applyFont="1" applyFill="1" applyBorder="1" applyAlignment="1">
      <alignment horizontal="right" vertical="center" wrapText="1"/>
    </xf>
    <xf numFmtId="164" fontId="30" fillId="0" borderId="7" xfId="0" applyNumberFormat="1" applyFont="1" applyFill="1" applyBorder="1" applyAlignment="1">
      <alignment vertical="center" wrapText="1"/>
    </xf>
    <xf numFmtId="41" fontId="35" fillId="2" borderId="8" xfId="0" applyNumberFormat="1" applyFont="1" applyFill="1" applyBorder="1" applyAlignment="1">
      <alignment vertical="center"/>
    </xf>
    <xf numFmtId="164" fontId="35" fillId="2" borderId="8" xfId="0" applyNumberFormat="1" applyFont="1" applyFill="1" applyBorder="1" applyAlignment="1">
      <alignment vertical="center"/>
    </xf>
    <xf numFmtId="3" fontId="35" fillId="2" borderId="8" xfId="0" applyNumberFormat="1" applyFont="1" applyFill="1" applyBorder="1" applyAlignment="1">
      <alignment vertical="center"/>
    </xf>
    <xf numFmtId="1" fontId="30" fillId="2" borderId="8" xfId="4" applyNumberFormat="1" applyFont="1" applyFill="1" applyBorder="1" applyAlignment="1">
      <alignment horizontal="right" vertical="center" wrapText="1"/>
    </xf>
    <xf numFmtId="1" fontId="35" fillId="6" borderId="20" xfId="4" applyNumberFormat="1" applyFont="1" applyFill="1" applyBorder="1" applyAlignment="1">
      <alignment horizontal="center" vertical="center"/>
    </xf>
    <xf numFmtId="1" fontId="35" fillId="6" borderId="20" xfId="4" applyNumberFormat="1" applyFont="1" applyFill="1" applyBorder="1" applyAlignment="1">
      <alignment horizontal="left" vertical="center" wrapText="1"/>
    </xf>
    <xf numFmtId="1" fontId="30" fillId="6" borderId="20" xfId="4" applyNumberFormat="1" applyFont="1" applyFill="1" applyBorder="1" applyAlignment="1">
      <alignment horizontal="center" vertical="center" wrapText="1"/>
    </xf>
    <xf numFmtId="41" fontId="35" fillId="6" borderId="20" xfId="4" applyNumberFormat="1" applyFont="1" applyFill="1" applyBorder="1" applyAlignment="1">
      <alignment horizontal="right" vertical="center"/>
    </xf>
    <xf numFmtId="1" fontId="30" fillId="6" borderId="20" xfId="4" applyNumberFormat="1" applyFont="1" applyFill="1" applyBorder="1" applyAlignment="1">
      <alignment horizontal="right" vertical="center"/>
    </xf>
    <xf numFmtId="3" fontId="30" fillId="0" borderId="20" xfId="24" quotePrefix="1" applyNumberFormat="1" applyFont="1" applyFill="1" applyBorder="1" applyAlignment="1">
      <alignment horizontal="center" vertical="center" wrapText="1"/>
    </xf>
    <xf numFmtId="1" fontId="30" fillId="0" borderId="20" xfId="25" applyNumberFormat="1" applyFont="1" applyFill="1" applyBorder="1" applyAlignment="1">
      <alignment vertical="center" wrapText="1"/>
    </xf>
    <xf numFmtId="3" fontId="30" fillId="0" borderId="20" xfId="24" applyNumberFormat="1" applyFont="1" applyFill="1" applyBorder="1" applyAlignment="1">
      <alignment horizontal="center" vertical="center" wrapText="1"/>
    </xf>
    <xf numFmtId="1" fontId="30" fillId="0" borderId="20" xfId="25" applyNumberFormat="1" applyFont="1" applyFill="1" applyBorder="1" applyAlignment="1">
      <alignment horizontal="center" vertical="center" wrapText="1"/>
    </xf>
    <xf numFmtId="41" fontId="30" fillId="0" borderId="20" xfId="25" applyNumberFormat="1" applyFont="1" applyFill="1" applyBorder="1" applyAlignment="1">
      <alignment vertical="center" wrapText="1"/>
    </xf>
    <xf numFmtId="41" fontId="30" fillId="0" borderId="20" xfId="1" applyNumberFormat="1" applyFont="1" applyFill="1" applyBorder="1" applyAlignment="1">
      <alignment horizontal="right" vertical="center" wrapText="1"/>
    </xf>
    <xf numFmtId="41" fontId="30" fillId="0" borderId="20" xfId="0" applyNumberFormat="1" applyFont="1" applyFill="1" applyBorder="1" applyAlignment="1">
      <alignment horizontal="right" vertical="center" wrapText="1"/>
    </xf>
    <xf numFmtId="41" fontId="30" fillId="0" borderId="20" xfId="6" applyNumberFormat="1" applyFont="1" applyFill="1" applyBorder="1" applyAlignment="1">
      <alignment horizontal="right" vertical="center"/>
    </xf>
    <xf numFmtId="3" fontId="31" fillId="0" borderId="20" xfId="0" applyNumberFormat="1" applyFont="1" applyFill="1" applyBorder="1" applyAlignment="1">
      <alignment horizontal="right" vertical="center" wrapText="1"/>
    </xf>
    <xf numFmtId="3" fontId="31" fillId="0" borderId="20" xfId="0" applyNumberFormat="1" applyFont="1" applyFill="1" applyBorder="1" applyAlignment="1">
      <alignment vertical="center" wrapText="1"/>
    </xf>
    <xf numFmtId="41" fontId="31" fillId="0" borderId="20" xfId="4" applyNumberFormat="1" applyFont="1" applyFill="1" applyBorder="1" applyAlignment="1">
      <alignment vertical="center"/>
    </xf>
    <xf numFmtId="1" fontId="30" fillId="0" borderId="20" xfId="4" applyNumberFormat="1" applyFont="1" applyFill="1" applyBorder="1" applyAlignment="1">
      <alignment horizontal="center" vertical="center" wrapText="1"/>
    </xf>
    <xf numFmtId="1" fontId="30" fillId="0" borderId="20" xfId="4" applyNumberFormat="1" applyFont="1" applyFill="1" applyBorder="1" applyAlignment="1">
      <alignment horizontal="right" vertical="center" wrapText="1"/>
    </xf>
    <xf numFmtId="1" fontId="35" fillId="2" borderId="20" xfId="4" applyNumberFormat="1" applyFont="1" applyFill="1" applyBorder="1" applyAlignment="1">
      <alignment horizontal="center" vertical="center"/>
    </xf>
    <xf numFmtId="3" fontId="35" fillId="2" borderId="20" xfId="0" applyNumberFormat="1" applyFont="1" applyFill="1" applyBorder="1" applyAlignment="1">
      <alignment horizontal="left" vertical="center" wrapText="1"/>
    </xf>
    <xf numFmtId="0" fontId="35" fillId="2" borderId="20" xfId="0" applyFont="1" applyFill="1" applyBorder="1" applyAlignment="1">
      <alignment horizontal="center" vertical="center" wrapText="1"/>
    </xf>
    <xf numFmtId="0" fontId="35" fillId="2" borderId="20" xfId="0" applyFont="1" applyFill="1" applyBorder="1" applyAlignment="1">
      <alignment horizontal="center" vertical="center"/>
    </xf>
    <xf numFmtId="41" fontId="35" fillId="2" borderId="20" xfId="0" applyNumberFormat="1" applyFont="1" applyFill="1" applyBorder="1" applyAlignment="1">
      <alignment vertical="center"/>
    </xf>
    <xf numFmtId="0" fontId="30" fillId="2" borderId="20" xfId="0" applyFont="1" applyFill="1" applyBorder="1" applyAlignment="1">
      <alignment horizontal="center" vertical="center" wrapText="1"/>
    </xf>
    <xf numFmtId="49" fontId="33" fillId="0" borderId="20" xfId="4" applyNumberFormat="1" applyFont="1" applyFill="1" applyBorder="1" applyAlignment="1">
      <alignment horizontal="center" vertical="center"/>
    </xf>
    <xf numFmtId="1" fontId="33" fillId="0" borderId="20" xfId="4" applyNumberFormat="1" applyFont="1" applyFill="1" applyBorder="1" applyAlignment="1">
      <alignment vertical="center" wrapText="1"/>
    </xf>
    <xf numFmtId="1" fontId="33" fillId="0" borderId="20" xfId="4" applyNumberFormat="1" applyFont="1" applyFill="1" applyBorder="1" applyAlignment="1">
      <alignment horizontal="center" vertical="center" wrapText="1"/>
    </xf>
    <xf numFmtId="41" fontId="33" fillId="0" borderId="20" xfId="4" applyNumberFormat="1" applyFont="1" applyFill="1" applyBorder="1" applyAlignment="1">
      <alignment horizontal="right" vertical="center"/>
    </xf>
    <xf numFmtId="1" fontId="33" fillId="0" borderId="20" xfId="4" applyNumberFormat="1" applyFont="1" applyFill="1" applyBorder="1" applyAlignment="1">
      <alignment horizontal="right" vertical="center"/>
    </xf>
    <xf numFmtId="1" fontId="30" fillId="0" borderId="20" xfId="4" quotePrefix="1" applyNumberFormat="1" applyFont="1" applyFill="1" applyBorder="1" applyAlignment="1">
      <alignment horizontal="center" vertical="center"/>
    </xf>
    <xf numFmtId="1" fontId="30" fillId="0" borderId="20" xfId="4" applyNumberFormat="1" applyFont="1" applyFill="1" applyBorder="1" applyAlignment="1">
      <alignment vertical="center" wrapText="1"/>
    </xf>
    <xf numFmtId="0" fontId="30" fillId="0" borderId="20" xfId="0" applyFont="1" applyFill="1" applyBorder="1" applyAlignment="1">
      <alignment horizontal="center" vertical="center" wrapText="1"/>
    </xf>
    <xf numFmtId="0" fontId="30" fillId="0" borderId="20" xfId="0" applyFont="1" applyFill="1" applyBorder="1" applyAlignment="1">
      <alignment horizontal="center" vertical="center"/>
    </xf>
    <xf numFmtId="1" fontId="30" fillId="0" borderId="20" xfId="24" applyNumberFormat="1" applyFont="1" applyFill="1" applyBorder="1" applyAlignment="1">
      <alignment horizontal="center" vertical="center" wrapText="1"/>
    </xf>
    <xf numFmtId="41" fontId="30" fillId="0" borderId="20" xfId="8" applyNumberFormat="1" applyFont="1" applyFill="1" applyBorder="1" applyAlignment="1">
      <alignment horizontal="right" vertical="center"/>
    </xf>
    <xf numFmtId="41" fontId="30" fillId="0" borderId="20" xfId="0" applyNumberFormat="1" applyFont="1" applyFill="1" applyBorder="1" applyAlignment="1">
      <alignment vertical="center"/>
    </xf>
    <xf numFmtId="3" fontId="30" fillId="0" borderId="20" xfId="0" applyNumberFormat="1" applyFont="1" applyFill="1" applyBorder="1" applyAlignment="1">
      <alignment horizontal="right" vertical="center" wrapText="1"/>
    </xf>
    <xf numFmtId="1" fontId="30" fillId="0" borderId="20" xfId="4" applyNumberFormat="1" applyFont="1" applyFill="1" applyBorder="1" applyAlignment="1">
      <alignment horizontal="center" vertical="center"/>
    </xf>
    <xf numFmtId="1" fontId="30" fillId="0" borderId="20" xfId="4" applyNumberFormat="1" applyFont="1" applyFill="1" applyBorder="1" applyAlignment="1">
      <alignment vertical="center"/>
    </xf>
    <xf numFmtId="3" fontId="30" fillId="0" borderId="20" xfId="4" applyNumberFormat="1" applyFont="1" applyFill="1" applyBorder="1" applyAlignment="1">
      <alignment vertical="center"/>
    </xf>
    <xf numFmtId="41" fontId="30" fillId="0" borderId="20" xfId="4" applyNumberFormat="1" applyFont="1" applyFill="1" applyBorder="1" applyAlignment="1">
      <alignment vertical="center"/>
    </xf>
    <xf numFmtId="3" fontId="30" fillId="0" borderId="20" xfId="4" quotePrefix="1" applyNumberFormat="1" applyFont="1" applyFill="1" applyBorder="1" applyAlignment="1">
      <alignment horizontal="center" vertical="center" wrapText="1"/>
    </xf>
    <xf numFmtId="3" fontId="35" fillId="0" borderId="20" xfId="4" applyNumberFormat="1" applyFont="1" applyFill="1" applyBorder="1" applyAlignment="1">
      <alignment horizontal="center" vertical="center" wrapText="1"/>
    </xf>
    <xf numFmtId="41" fontId="35" fillId="0" borderId="20" xfId="4" quotePrefix="1" applyNumberFormat="1" applyFont="1" applyFill="1" applyBorder="1" applyAlignment="1">
      <alignment horizontal="right" vertical="center" wrapText="1"/>
    </xf>
    <xf numFmtId="3" fontId="35" fillId="2" borderId="20" xfId="24" applyNumberFormat="1" applyFont="1" applyFill="1" applyBorder="1" applyAlignment="1">
      <alignment vertical="center" wrapText="1"/>
    </xf>
    <xf numFmtId="3" fontId="35" fillId="2" borderId="20" xfId="24" applyNumberFormat="1" applyFont="1" applyFill="1" applyBorder="1" applyAlignment="1">
      <alignment horizontal="center" vertical="center" wrapText="1"/>
    </xf>
    <xf numFmtId="1" fontId="35" fillId="2" borderId="20" xfId="24" applyNumberFormat="1" applyFont="1" applyFill="1" applyBorder="1" applyAlignment="1">
      <alignment horizontal="center" vertical="center" wrapText="1"/>
    </xf>
    <xf numFmtId="41" fontId="35" fillId="2" borderId="20" xfId="6" applyNumberFormat="1" applyFont="1" applyFill="1" applyBorder="1" applyAlignment="1">
      <alignment horizontal="right" vertical="center"/>
    </xf>
    <xf numFmtId="41" fontId="35" fillId="2" borderId="20" xfId="4" applyNumberFormat="1" applyFont="1" applyFill="1" applyBorder="1" applyAlignment="1">
      <alignment horizontal="right" vertical="center"/>
    </xf>
    <xf numFmtId="3" fontId="35" fillId="2" borderId="20" xfId="6" applyNumberFormat="1" applyFont="1" applyFill="1" applyBorder="1" applyAlignment="1">
      <alignment horizontal="right" vertical="center"/>
    </xf>
    <xf numFmtId="49" fontId="33" fillId="0" borderId="20" xfId="4" quotePrefix="1" applyNumberFormat="1" applyFont="1" applyFill="1" applyBorder="1" applyAlignment="1">
      <alignment horizontal="center" vertical="center"/>
    </xf>
    <xf numFmtId="3" fontId="33" fillId="0" borderId="20" xfId="4" applyNumberFormat="1" applyFont="1" applyFill="1" applyBorder="1" applyAlignment="1">
      <alignment horizontal="right" vertical="center"/>
    </xf>
    <xf numFmtId="1" fontId="35" fillId="2" borderId="20" xfId="4" applyNumberFormat="1" applyFont="1" applyFill="1" applyBorder="1" applyAlignment="1">
      <alignment horizontal="right" vertical="center"/>
    </xf>
    <xf numFmtId="0" fontId="30" fillId="0" borderId="20" xfId="15" applyFont="1" applyFill="1" applyBorder="1" applyAlignment="1">
      <alignment vertical="center" wrapText="1"/>
    </xf>
    <xf numFmtId="0" fontId="30" fillId="0" borderId="20" xfId="15" applyFont="1" applyFill="1" applyBorder="1" applyAlignment="1">
      <alignment horizontal="center" vertical="center" wrapText="1"/>
    </xf>
    <xf numFmtId="41" fontId="30" fillId="0" borderId="20" xfId="15" applyNumberFormat="1" applyFont="1" applyFill="1" applyBorder="1" applyAlignment="1">
      <alignment horizontal="right" vertical="center" wrapText="1"/>
    </xf>
    <xf numFmtId="41" fontId="34" fillId="0" borderId="20" xfId="4" applyNumberFormat="1" applyFont="1" applyFill="1" applyBorder="1" applyAlignment="1">
      <alignment horizontal="right" vertical="center"/>
    </xf>
    <xf numFmtId="41" fontId="30" fillId="0" borderId="20" xfId="24" applyNumberFormat="1" applyFont="1" applyFill="1" applyBorder="1" applyAlignment="1">
      <alignment vertical="center" wrapText="1"/>
    </xf>
    <xf numFmtId="3" fontId="31" fillId="0" borderId="20" xfId="4" applyNumberFormat="1" applyFont="1" applyFill="1" applyBorder="1" applyAlignment="1">
      <alignment horizontal="right" vertical="center"/>
    </xf>
    <xf numFmtId="41" fontId="30" fillId="0" borderId="20" xfId="1" applyNumberFormat="1" applyFont="1" applyFill="1" applyBorder="1" applyAlignment="1">
      <alignment vertical="center" wrapText="1"/>
    </xf>
    <xf numFmtId="41" fontId="35" fillId="0" borderId="20" xfId="4" applyNumberFormat="1" applyFont="1" applyFill="1" applyBorder="1" applyAlignment="1">
      <alignment horizontal="right" vertical="center"/>
    </xf>
    <xf numFmtId="41" fontId="30" fillId="0" borderId="20" xfId="4" applyNumberFormat="1" applyFont="1" applyFill="1" applyBorder="1" applyAlignment="1">
      <alignment horizontal="right" vertical="center"/>
    </xf>
    <xf numFmtId="3" fontId="30" fillId="0" borderId="20" xfId="25" applyNumberFormat="1" applyFont="1" applyFill="1" applyBorder="1" applyAlignment="1">
      <alignment horizontal="center" vertical="center" wrapText="1"/>
    </xf>
    <xf numFmtId="3" fontId="30" fillId="0" borderId="20" xfId="23" applyNumberFormat="1" applyFont="1" applyFill="1" applyBorder="1" applyAlignment="1">
      <alignment horizontal="center" vertical="center" wrapText="1"/>
    </xf>
    <xf numFmtId="41" fontId="33" fillId="0" borderId="20" xfId="0" applyNumberFormat="1" applyFont="1" applyFill="1" applyBorder="1" applyAlignment="1">
      <alignment vertical="center"/>
    </xf>
    <xf numFmtId="165" fontId="33" fillId="0" borderId="20" xfId="0" applyNumberFormat="1" applyFont="1" applyFill="1" applyBorder="1" applyAlignment="1">
      <alignment vertical="center"/>
    </xf>
    <xf numFmtId="41" fontId="35" fillId="2" borderId="20" xfId="0" applyNumberFormat="1" applyFont="1" applyFill="1" applyBorder="1" applyAlignment="1">
      <alignment horizontal="right" vertical="center"/>
    </xf>
    <xf numFmtId="164" fontId="30" fillId="0" borderId="20" xfId="0" applyNumberFormat="1" applyFont="1" applyFill="1" applyBorder="1" applyAlignment="1">
      <alignment horizontal="right" vertical="center" wrapText="1"/>
    </xf>
    <xf numFmtId="41" fontId="33" fillId="0" borderId="20" xfId="0" applyNumberFormat="1" applyFont="1" applyFill="1" applyBorder="1" applyAlignment="1">
      <alignment horizontal="right" vertical="center"/>
    </xf>
    <xf numFmtId="164" fontId="30" fillId="0" borderId="20" xfId="4" applyNumberFormat="1" applyFont="1" applyFill="1" applyBorder="1" applyAlignment="1">
      <alignment horizontal="right" vertical="center"/>
    </xf>
    <xf numFmtId="164" fontId="1" fillId="0" borderId="0" xfId="0" applyNumberFormat="1" applyFont="1" applyAlignment="1">
      <alignment horizontal="right" vertical="center"/>
    </xf>
    <xf numFmtId="0" fontId="25" fillId="0" borderId="0" xfId="15" applyFont="1"/>
    <xf numFmtId="0" fontId="16" fillId="0" borderId="0" xfId="15" applyFont="1" applyAlignment="1">
      <alignment horizontal="center"/>
    </xf>
    <xf numFmtId="3" fontId="16" fillId="0" borderId="0" xfId="15" applyNumberFormat="1" applyFont="1" applyAlignment="1">
      <alignment horizontal="center"/>
    </xf>
    <xf numFmtId="3" fontId="25" fillId="0" borderId="0" xfId="15" applyNumberFormat="1" applyFont="1" applyAlignment="1"/>
    <xf numFmtId="0" fontId="16" fillId="0" borderId="0" xfId="15" applyFont="1" applyAlignment="1">
      <alignment horizontal="right"/>
    </xf>
    <xf numFmtId="0" fontId="25" fillId="0" borderId="0" xfId="15" applyFont="1" applyAlignment="1">
      <alignment horizontal="center" vertical="center"/>
    </xf>
    <xf numFmtId="0" fontId="25" fillId="0" borderId="11" xfId="15" applyFont="1" applyBorder="1" applyAlignment="1">
      <alignment horizontal="left" vertical="center" wrapText="1"/>
    </xf>
    <xf numFmtId="0" fontId="25" fillId="0" borderId="8" xfId="15" applyFont="1" applyBorder="1" applyAlignment="1">
      <alignment horizontal="center" vertical="center" wrapText="1"/>
    </xf>
    <xf numFmtId="0" fontId="25" fillId="0" borderId="5" xfId="15" applyFont="1" applyBorder="1" applyAlignment="1">
      <alignment horizontal="center" vertical="center" wrapText="1"/>
    </xf>
    <xf numFmtId="0" fontId="12" fillId="0" borderId="5" xfId="15" applyFont="1" applyBorder="1" applyAlignment="1">
      <alignment horizontal="center" vertical="center"/>
    </xf>
    <xf numFmtId="0" fontId="12" fillId="0" borderId="5" xfId="15" applyFont="1" applyBorder="1" applyAlignment="1">
      <alignment horizontal="left" vertical="center"/>
    </xf>
    <xf numFmtId="3" fontId="12" fillId="0" borderId="5" xfId="15" applyNumberFormat="1" applyFont="1" applyBorder="1" applyAlignment="1">
      <alignment horizontal="right" vertical="center"/>
    </xf>
    <xf numFmtId="41" fontId="12" fillId="0" borderId="5" xfId="15" applyNumberFormat="1" applyFont="1" applyBorder="1" applyAlignment="1">
      <alignment horizontal="right" vertical="center"/>
    </xf>
    <xf numFmtId="0" fontId="12" fillId="0" borderId="0" xfId="15" applyFont="1" applyAlignment="1">
      <alignment horizontal="center" vertical="center"/>
    </xf>
    <xf numFmtId="3" fontId="12" fillId="0" borderId="0" xfId="15" applyNumberFormat="1" applyFont="1" applyAlignment="1">
      <alignment horizontal="center" vertical="center"/>
    </xf>
    <xf numFmtId="41" fontId="12" fillId="0" borderId="0" xfId="15" applyNumberFormat="1" applyFont="1" applyAlignment="1">
      <alignment horizontal="center" vertical="center"/>
    </xf>
    <xf numFmtId="3" fontId="49" fillId="0" borderId="5" xfId="15" applyNumberFormat="1" applyFont="1" applyFill="1" applyBorder="1" applyAlignment="1">
      <alignment horizontal="right" vertical="center"/>
    </xf>
    <xf numFmtId="3" fontId="7" fillId="0" borderId="5" xfId="15" applyNumberFormat="1" applyFont="1" applyBorder="1" applyAlignment="1">
      <alignment horizontal="right" vertical="center"/>
    </xf>
    <xf numFmtId="3" fontId="49" fillId="0" borderId="5" xfId="15" applyNumberFormat="1" applyFont="1" applyBorder="1" applyAlignment="1">
      <alignment horizontal="right" vertical="center"/>
    </xf>
    <xf numFmtId="0" fontId="25" fillId="0" borderId="5" xfId="15" applyFont="1" applyBorder="1" applyAlignment="1">
      <alignment horizontal="center" vertical="center"/>
    </xf>
    <xf numFmtId="0" fontId="25" fillId="0" borderId="5" xfId="15" applyFont="1" applyBorder="1" applyAlignment="1">
      <alignment horizontal="left" vertical="center" wrapText="1"/>
    </xf>
    <xf numFmtId="3" fontId="25" fillId="0" borderId="5" xfId="15" applyNumberFormat="1" applyFont="1" applyBorder="1" applyAlignment="1">
      <alignment horizontal="right" vertical="center"/>
    </xf>
    <xf numFmtId="41" fontId="25" fillId="0" borderId="5" xfId="15" applyNumberFormat="1" applyFont="1" applyBorder="1" applyAlignment="1">
      <alignment horizontal="right" vertical="center"/>
    </xf>
    <xf numFmtId="41" fontId="7" fillId="0" borderId="5" xfId="15" applyNumberFormat="1" applyFont="1" applyBorder="1" applyAlignment="1">
      <alignment horizontal="right" vertical="center"/>
    </xf>
    <xf numFmtId="3" fontId="25" fillId="0" borderId="0" xfId="15" applyNumberFormat="1" applyFont="1" applyAlignment="1">
      <alignment horizontal="center" vertical="center"/>
    </xf>
    <xf numFmtId="41" fontId="25" fillId="0" borderId="0" xfId="15" applyNumberFormat="1" applyFont="1" applyAlignment="1">
      <alignment horizontal="center" vertical="center"/>
    </xf>
    <xf numFmtId="0" fontId="25" fillId="0" borderId="5" xfId="15" applyFont="1" applyFill="1" applyBorder="1" applyAlignment="1">
      <alignment horizontal="center" vertical="center"/>
    </xf>
    <xf numFmtId="0" fontId="25" fillId="0" borderId="5" xfId="15" applyFont="1" applyFill="1" applyBorder="1" applyAlignment="1">
      <alignment horizontal="left" vertical="center" wrapText="1"/>
    </xf>
    <xf numFmtId="3" fontId="25" fillId="0" borderId="5" xfId="15" applyNumberFormat="1" applyFont="1" applyFill="1" applyBorder="1" applyAlignment="1">
      <alignment horizontal="right" vertical="center"/>
    </xf>
    <xf numFmtId="41" fontId="25" fillId="0" borderId="5" xfId="15" applyNumberFormat="1" applyFont="1" applyFill="1" applyBorder="1" applyAlignment="1">
      <alignment horizontal="right" vertical="center"/>
    </xf>
    <xf numFmtId="0" fontId="25" fillId="0" borderId="0" xfId="15" applyFont="1" applyFill="1" applyAlignment="1">
      <alignment horizontal="center" vertical="center"/>
    </xf>
    <xf numFmtId="3" fontId="25" fillId="0" borderId="0" xfId="15" applyNumberFormat="1" applyFont="1" applyFill="1" applyAlignment="1">
      <alignment horizontal="center" vertical="center"/>
    </xf>
    <xf numFmtId="41" fontId="25" fillId="0" borderId="0" xfId="15" applyNumberFormat="1" applyFont="1" applyFill="1" applyAlignment="1">
      <alignment horizontal="center" vertical="center"/>
    </xf>
    <xf numFmtId="3" fontId="7" fillId="0" borderId="5" xfId="15" applyNumberFormat="1" applyFont="1" applyFill="1" applyBorder="1" applyAlignment="1">
      <alignment horizontal="right" vertical="center"/>
    </xf>
    <xf numFmtId="0" fontId="12" fillId="0" borderId="5" xfId="15" applyFont="1" applyBorder="1" applyAlignment="1">
      <alignment horizontal="left" vertical="center" wrapText="1"/>
    </xf>
    <xf numFmtId="3" fontId="12" fillId="0" borderId="5" xfId="15" applyNumberFormat="1" applyFont="1" applyFill="1" applyBorder="1" applyAlignment="1">
      <alignment horizontal="right" vertical="center"/>
    </xf>
    <xf numFmtId="41" fontId="49" fillId="0" borderId="5" xfId="15" applyNumberFormat="1" applyFont="1" applyBorder="1" applyAlignment="1">
      <alignment horizontal="right" vertical="center"/>
    </xf>
    <xf numFmtId="0" fontId="50" fillId="0" borderId="5" xfId="15" applyFont="1" applyBorder="1" applyAlignment="1">
      <alignment horizontal="center" vertical="center"/>
    </xf>
    <xf numFmtId="0" fontId="50" fillId="0" borderId="5" xfId="15" applyFont="1" applyBorder="1" applyAlignment="1">
      <alignment horizontal="left" vertical="center"/>
    </xf>
    <xf numFmtId="3" fontId="50" fillId="0" borderId="5" xfId="15" applyNumberFormat="1" applyFont="1" applyBorder="1" applyAlignment="1">
      <alignment horizontal="right" vertical="center"/>
    </xf>
    <xf numFmtId="41" fontId="50" fillId="0" borderId="5" xfId="15" applyNumberFormat="1" applyFont="1" applyBorder="1" applyAlignment="1">
      <alignment horizontal="right" vertical="center"/>
    </xf>
    <xf numFmtId="0" fontId="50" fillId="0" borderId="0" xfId="15" applyFont="1" applyAlignment="1">
      <alignment horizontal="center" vertical="center"/>
    </xf>
    <xf numFmtId="0" fontId="50" fillId="0" borderId="5" xfId="15" applyFont="1" applyBorder="1"/>
    <xf numFmtId="3" fontId="50" fillId="0" borderId="5" xfId="15" applyNumberFormat="1" applyFont="1" applyBorder="1" applyAlignment="1"/>
    <xf numFmtId="41" fontId="50" fillId="0" borderId="5" xfId="15" applyNumberFormat="1" applyFont="1" applyBorder="1" applyAlignment="1"/>
    <xf numFmtId="0" fontId="50" fillId="0" borderId="0" xfId="15" applyFont="1"/>
    <xf numFmtId="0" fontId="25" fillId="0" borderId="10" xfId="15" applyFont="1" applyBorder="1"/>
    <xf numFmtId="3" fontId="25" fillId="0" borderId="10" xfId="15" applyNumberFormat="1" applyFont="1" applyBorder="1" applyAlignment="1"/>
    <xf numFmtId="1" fontId="5" fillId="0" borderId="7" xfId="4" applyNumberFormat="1" applyFont="1" applyFill="1" applyBorder="1" applyAlignment="1">
      <alignment horizontal="center" vertical="center" wrapText="1"/>
    </xf>
    <xf numFmtId="1" fontId="34" fillId="0" borderId="0" xfId="4" applyNumberFormat="1" applyFont="1" applyFill="1" applyAlignment="1">
      <alignment horizontal="center" vertical="center" wrapText="1"/>
    </xf>
    <xf numFmtId="41" fontId="13" fillId="3" borderId="0" xfId="0" applyNumberFormat="1" applyFont="1" applyFill="1"/>
    <xf numFmtId="41" fontId="24" fillId="3" borderId="0" xfId="0" applyNumberFormat="1" applyFont="1" applyFill="1"/>
    <xf numFmtId="1" fontId="17" fillId="0" borderId="0" xfId="4" applyNumberFormat="1" applyFont="1" applyFill="1" applyAlignment="1">
      <alignment horizontal="center" vertical="center" wrapText="1"/>
    </xf>
    <xf numFmtId="3" fontId="5" fillId="0" borderId="2" xfId="4" applyNumberFormat="1"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0" fontId="7" fillId="0" borderId="0" xfId="0" applyFont="1" applyAlignment="1">
      <alignment horizontal="center" vertical="center"/>
    </xf>
    <xf numFmtId="0" fontId="25" fillId="0" borderId="5" xfId="15" applyFont="1" applyBorder="1" applyAlignment="1">
      <alignment horizontal="center" vertical="center" wrapText="1"/>
    </xf>
    <xf numFmtId="1" fontId="5" fillId="0" borderId="5" xfId="4" applyNumberFormat="1" applyFont="1" applyFill="1" applyBorder="1" applyAlignment="1">
      <alignment horizontal="center" vertical="center"/>
    </xf>
    <xf numFmtId="3" fontId="30" fillId="7" borderId="5" xfId="24" quotePrefix="1" applyNumberFormat="1" applyFont="1" applyFill="1" applyBorder="1" applyAlignment="1">
      <alignment horizontal="center" vertical="center" wrapText="1"/>
    </xf>
    <xf numFmtId="1" fontId="30" fillId="7" borderId="5" xfId="25" applyNumberFormat="1" applyFont="1" applyFill="1" applyBorder="1" applyAlignment="1">
      <alignment vertical="center" wrapText="1"/>
    </xf>
    <xf numFmtId="3" fontId="30" fillId="7" borderId="5" xfId="24" applyNumberFormat="1" applyFont="1" applyFill="1" applyBorder="1" applyAlignment="1">
      <alignment horizontal="center" vertical="center" wrapText="1"/>
    </xf>
    <xf numFmtId="3" fontId="30" fillId="7" borderId="5" xfId="25" applyNumberFormat="1" applyFont="1" applyFill="1" applyBorder="1" applyAlignment="1">
      <alignment horizontal="center" vertical="center" wrapText="1"/>
    </xf>
    <xf numFmtId="41" fontId="30" fillId="7" borderId="5" xfId="25" applyNumberFormat="1" applyFont="1" applyFill="1" applyBorder="1" applyAlignment="1">
      <alignment vertical="center" wrapText="1"/>
    </xf>
    <xf numFmtId="41" fontId="30" fillId="7" borderId="5" xfId="1" applyNumberFormat="1" applyFont="1" applyFill="1" applyBorder="1" applyAlignment="1">
      <alignment horizontal="right" vertical="center" wrapText="1"/>
    </xf>
    <xf numFmtId="41" fontId="30" fillId="7" borderId="5" xfId="0" applyNumberFormat="1" applyFont="1" applyFill="1" applyBorder="1" applyAlignment="1">
      <alignment horizontal="right" vertical="center" wrapText="1"/>
    </xf>
    <xf numFmtId="41" fontId="30" fillId="7" borderId="5" xfId="6" applyNumberFormat="1" applyFont="1" applyFill="1" applyBorder="1" applyAlignment="1">
      <alignment horizontal="right" vertical="center"/>
    </xf>
    <xf numFmtId="3" fontId="31" fillId="7" borderId="5" xfId="0" applyNumberFormat="1" applyFont="1" applyFill="1" applyBorder="1" applyAlignment="1">
      <alignment horizontal="right" vertical="center" wrapText="1"/>
    </xf>
    <xf numFmtId="41" fontId="31" fillId="7" borderId="5" xfId="4" applyNumberFormat="1" applyFont="1" applyFill="1" applyBorder="1" applyAlignment="1">
      <alignment vertical="center"/>
    </xf>
    <xf numFmtId="164" fontId="31" fillId="7" borderId="5" xfId="4" applyNumberFormat="1" applyFont="1" applyFill="1" applyBorder="1" applyAlignment="1">
      <alignment vertical="center"/>
    </xf>
    <xf numFmtId="1" fontId="30" fillId="7" borderId="5" xfId="4" applyNumberFormat="1" applyFont="1" applyFill="1" applyBorder="1" applyAlignment="1">
      <alignment horizontal="center" vertical="center" wrapText="1"/>
    </xf>
    <xf numFmtId="3" fontId="30" fillId="7" borderId="0" xfId="4" applyNumberFormat="1" applyFont="1" applyFill="1" applyBorder="1" applyAlignment="1">
      <alignment vertical="center" wrapText="1"/>
    </xf>
    <xf numFmtId="0" fontId="1" fillId="7" borderId="0" xfId="0" applyFont="1" applyFill="1"/>
    <xf numFmtId="41" fontId="35" fillId="6" borderId="5" xfId="4" applyNumberFormat="1" applyFont="1" applyFill="1" applyBorder="1" applyAlignment="1">
      <alignment vertical="center"/>
    </xf>
    <xf numFmtId="3" fontId="35" fillId="6" borderId="5" xfId="4" applyNumberFormat="1" applyFont="1" applyFill="1" applyBorder="1" applyAlignment="1">
      <alignment vertical="center"/>
    </xf>
    <xf numFmtId="3" fontId="35" fillId="6" borderId="5" xfId="15" applyNumberFormat="1" applyFont="1" applyFill="1" applyBorder="1" applyAlignment="1">
      <alignment vertical="center"/>
    </xf>
    <xf numFmtId="41" fontId="35" fillId="6" borderId="5" xfId="15" applyNumberFormat="1" applyFont="1" applyFill="1" applyBorder="1" applyAlignment="1">
      <alignment vertical="center"/>
    </xf>
    <xf numFmtId="164" fontId="33" fillId="0" borderId="5" xfId="4" applyNumberFormat="1" applyFont="1" applyFill="1" applyBorder="1" applyAlignment="1">
      <alignment horizontal="right" vertical="center"/>
    </xf>
    <xf numFmtId="164" fontId="35" fillId="2" borderId="5" xfId="0" applyNumberFormat="1" applyFont="1" applyFill="1" applyBorder="1" applyAlignment="1">
      <alignment horizontal="right" vertical="center"/>
    </xf>
    <xf numFmtId="3" fontId="30" fillId="0" borderId="0" xfId="4" applyNumberFormat="1" applyFont="1" applyFill="1" applyBorder="1" applyAlignment="1">
      <alignment horizontal="center" vertical="center" wrapText="1"/>
    </xf>
    <xf numFmtId="1" fontId="35" fillId="0" borderId="0" xfId="4" applyNumberFormat="1" applyFont="1" applyFill="1" applyAlignment="1">
      <alignment vertical="center" wrapText="1"/>
    </xf>
    <xf numFmtId="1" fontId="30" fillId="0" borderId="0" xfId="4" applyNumberFormat="1" applyFont="1" applyFill="1" applyAlignment="1">
      <alignment vertical="center" wrapText="1"/>
    </xf>
    <xf numFmtId="1" fontId="34" fillId="0" borderId="0" xfId="4" applyNumberFormat="1" applyFont="1" applyFill="1" applyAlignment="1">
      <alignment vertical="center" wrapText="1"/>
    </xf>
    <xf numFmtId="1" fontId="34" fillId="0" borderId="1" xfId="4" applyNumberFormat="1" applyFont="1" applyFill="1" applyBorder="1" applyAlignment="1">
      <alignment vertical="center" wrapText="1"/>
    </xf>
    <xf numFmtId="1" fontId="34" fillId="0" borderId="0" xfId="4" applyNumberFormat="1" applyFont="1" applyFill="1" applyBorder="1" applyAlignment="1">
      <alignment vertical="center" wrapText="1"/>
    </xf>
    <xf numFmtId="3" fontId="30" fillId="0" borderId="22" xfId="4" quotePrefix="1" applyNumberFormat="1" applyFont="1" applyFill="1" applyBorder="1" applyAlignment="1">
      <alignment horizontal="center" vertical="center" wrapText="1"/>
    </xf>
    <xf numFmtId="3" fontId="35" fillId="0" borderId="5" xfId="4" quotePrefix="1" applyNumberFormat="1" applyFont="1" applyFill="1" applyBorder="1" applyAlignment="1">
      <alignment horizontal="center" vertical="center" wrapText="1"/>
    </xf>
    <xf numFmtId="165" fontId="37" fillId="0" borderId="5" xfId="0" applyNumberFormat="1" applyFont="1" applyFill="1" applyBorder="1" applyAlignment="1">
      <alignment vertical="center" wrapText="1"/>
    </xf>
    <xf numFmtId="165" fontId="30" fillId="0" borderId="5" xfId="0" applyNumberFormat="1" applyFont="1" applyFill="1" applyBorder="1" applyAlignment="1">
      <alignment vertical="center"/>
    </xf>
    <xf numFmtId="3" fontId="35" fillId="0" borderId="0" xfId="4" quotePrefix="1" applyNumberFormat="1" applyFont="1" applyFill="1" applyBorder="1" applyAlignment="1">
      <alignment horizontal="center" vertical="center" wrapText="1"/>
    </xf>
    <xf numFmtId="3" fontId="35" fillId="0" borderId="0" xfId="4" applyNumberFormat="1" applyFont="1" applyFill="1" applyBorder="1" applyAlignment="1">
      <alignment vertical="center" wrapText="1"/>
    </xf>
    <xf numFmtId="1" fontId="33" fillId="0" borderId="0" xfId="4" applyNumberFormat="1" applyFont="1" applyFill="1" applyAlignment="1">
      <alignment vertical="center"/>
    </xf>
    <xf numFmtId="1" fontId="34" fillId="0" borderId="0" xfId="4" applyNumberFormat="1" applyFont="1" applyFill="1" applyAlignment="1">
      <alignment vertical="center"/>
    </xf>
    <xf numFmtId="2" fontId="30" fillId="0" borderId="5" xfId="0" applyNumberFormat="1" applyFont="1" applyFill="1" applyBorder="1" applyAlignment="1">
      <alignment horizontal="center" vertical="center" wrapText="1"/>
    </xf>
    <xf numFmtId="165" fontId="30" fillId="0" borderId="5" xfId="0" applyNumberFormat="1" applyFont="1" applyFill="1" applyBorder="1" applyAlignment="1">
      <alignment vertical="center" wrapText="1"/>
    </xf>
    <xf numFmtId="165" fontId="30" fillId="0" borderId="5" xfId="0" applyNumberFormat="1" applyFont="1" applyFill="1" applyBorder="1" applyAlignment="1">
      <alignment horizontal="right" vertical="center" wrapText="1"/>
    </xf>
    <xf numFmtId="1" fontId="30" fillId="0" borderId="0" xfId="4" applyNumberFormat="1" applyFont="1" applyFill="1" applyAlignment="1">
      <alignment vertical="center"/>
    </xf>
    <xf numFmtId="165" fontId="30" fillId="0" borderId="5" xfId="6" applyNumberFormat="1" applyFont="1" applyFill="1" applyBorder="1" applyAlignment="1">
      <alignment vertical="center" wrapText="1"/>
    </xf>
    <xf numFmtId="165" fontId="30" fillId="0" borderId="5" xfId="6" applyNumberFormat="1" applyFont="1" applyFill="1" applyBorder="1" applyAlignment="1">
      <alignment vertical="center"/>
    </xf>
    <xf numFmtId="3" fontId="30" fillId="0" borderId="5" xfId="0" applyNumberFormat="1" applyFont="1" applyFill="1" applyBorder="1" applyAlignment="1">
      <alignment horizontal="right" vertical="center"/>
    </xf>
    <xf numFmtId="1" fontId="33" fillId="0" borderId="5" xfId="0" applyNumberFormat="1" applyFont="1" applyFill="1" applyBorder="1" applyAlignment="1">
      <alignment vertical="center" wrapText="1"/>
    </xf>
    <xf numFmtId="0" fontId="30" fillId="0" borderId="5" xfId="0" applyFont="1" applyFill="1" applyBorder="1" applyAlignment="1">
      <alignment vertical="center"/>
    </xf>
    <xf numFmtId="1" fontId="30" fillId="0" borderId="5" xfId="0" applyNumberFormat="1" applyFont="1" applyFill="1" applyBorder="1" applyAlignment="1">
      <alignment vertical="center" wrapText="1"/>
    </xf>
    <xf numFmtId="0" fontId="33" fillId="0" borderId="5" xfId="0" applyFont="1" applyFill="1" applyBorder="1" applyAlignment="1">
      <alignment vertical="center" wrapText="1"/>
    </xf>
    <xf numFmtId="165" fontId="35" fillId="0" borderId="5" xfId="0" applyNumberFormat="1" applyFont="1" applyFill="1" applyBorder="1" applyAlignment="1">
      <alignment vertical="center"/>
    </xf>
    <xf numFmtId="0" fontId="30" fillId="0" borderId="0" xfId="0" applyFont="1" applyFill="1" applyAlignment="1">
      <alignment vertical="center"/>
    </xf>
    <xf numFmtId="165" fontId="30" fillId="0" borderId="5" xfId="5" applyNumberFormat="1" applyFont="1" applyFill="1" applyBorder="1" applyAlignment="1">
      <alignment horizontal="center" vertical="center" wrapText="1"/>
    </xf>
    <xf numFmtId="165" fontId="30" fillId="0" borderId="5" xfId="5" applyNumberFormat="1" applyFont="1" applyFill="1" applyBorder="1" applyAlignment="1">
      <alignment horizontal="center" vertical="center"/>
    </xf>
    <xf numFmtId="0" fontId="30" fillId="0" borderId="10" xfId="0" applyFont="1" applyFill="1" applyBorder="1" applyAlignment="1">
      <alignment vertical="center"/>
    </xf>
    <xf numFmtId="3" fontId="30" fillId="0" borderId="0" xfId="0" applyNumberFormat="1" applyFont="1" applyFill="1" applyAlignment="1">
      <alignment vertical="center"/>
    </xf>
    <xf numFmtId="3" fontId="4" fillId="0" borderId="0" xfId="4" applyNumberFormat="1" applyFont="1" applyFill="1" applyBorder="1" applyAlignment="1">
      <alignment horizontal="center" vertical="center" wrapText="1"/>
    </xf>
    <xf numFmtId="0" fontId="25" fillId="0" borderId="5" xfId="15" applyFont="1" applyBorder="1" applyAlignment="1">
      <alignment horizontal="center" vertical="center" wrapText="1"/>
    </xf>
    <xf numFmtId="0" fontId="52" fillId="0" borderId="0" xfId="0" applyFont="1"/>
    <xf numFmtId="3" fontId="52" fillId="0" borderId="0" xfId="0" applyNumberFormat="1" applyFont="1"/>
    <xf numFmtId="0" fontId="52" fillId="0" borderId="0" xfId="0" applyFont="1" applyAlignment="1">
      <alignment horizontal="center" vertical="center" wrapText="1"/>
    </xf>
    <xf numFmtId="3" fontId="52" fillId="0" borderId="20" xfId="0" applyNumberFormat="1" applyFont="1" applyBorder="1" applyAlignment="1">
      <alignment horizontal="center" vertical="center" wrapText="1"/>
    </xf>
    <xf numFmtId="3" fontId="53" fillId="0" borderId="20" xfId="0" applyNumberFormat="1" applyFont="1" applyBorder="1"/>
    <xf numFmtId="3" fontId="52" fillId="0" borderId="16" xfId="0" applyNumberFormat="1" applyFont="1" applyBorder="1" applyAlignment="1">
      <alignment horizontal="center" vertical="center" wrapText="1"/>
    </xf>
    <xf numFmtId="3" fontId="52" fillId="0" borderId="23" xfId="0" applyNumberFormat="1" applyFont="1" applyBorder="1" applyAlignment="1">
      <alignment horizontal="center" vertical="center" wrapText="1"/>
    </xf>
    <xf numFmtId="41" fontId="30" fillId="0" borderId="5" xfId="4" applyNumberFormat="1" applyFont="1" applyFill="1" applyBorder="1" applyAlignment="1">
      <alignment horizontal="center" vertical="center"/>
    </xf>
    <xf numFmtId="0" fontId="1" fillId="0" borderId="0" xfId="0" applyFont="1" applyFill="1"/>
    <xf numFmtId="1" fontId="30" fillId="0" borderId="6" xfId="0" applyNumberFormat="1" applyFont="1" applyFill="1" applyBorder="1" applyAlignment="1">
      <alignment horizontal="center" vertical="center" wrapText="1"/>
    </xf>
    <xf numFmtId="41" fontId="30" fillId="0" borderId="6" xfId="4" applyNumberFormat="1" applyFont="1" applyFill="1" applyBorder="1" applyAlignment="1">
      <alignment horizontal="right" vertical="center"/>
    </xf>
    <xf numFmtId="9" fontId="30" fillId="0" borderId="6" xfId="3" applyFont="1" applyFill="1" applyBorder="1" applyAlignment="1">
      <alignment horizontal="center" vertical="center" wrapText="1"/>
    </xf>
    <xf numFmtId="41" fontId="35" fillId="0" borderId="6" xfId="4" applyNumberFormat="1" applyFont="1" applyFill="1" applyBorder="1" applyAlignment="1">
      <alignment horizontal="right" vertical="center"/>
    </xf>
    <xf numFmtId="1" fontId="30" fillId="0" borderId="6" xfId="4" applyNumberFormat="1" applyFont="1" applyFill="1" applyBorder="1" applyAlignment="1">
      <alignment horizontal="right" vertical="center"/>
    </xf>
    <xf numFmtId="0" fontId="30" fillId="0" borderId="6" xfId="0" applyFont="1" applyFill="1" applyBorder="1" applyAlignment="1">
      <alignment horizontal="left" vertical="center" wrapText="1"/>
    </xf>
    <xf numFmtId="41" fontId="30" fillId="0" borderId="6" xfId="0" applyNumberFormat="1" applyFont="1" applyFill="1" applyBorder="1" applyAlignment="1">
      <alignment horizontal="right" vertical="center"/>
    </xf>
    <xf numFmtId="41" fontId="30" fillId="0" borderId="6" xfId="6" applyNumberFormat="1" applyFont="1" applyFill="1" applyBorder="1" applyAlignment="1">
      <alignment vertical="center" wrapText="1"/>
    </xf>
    <xf numFmtId="0" fontId="30" fillId="0" borderId="6" xfId="0" applyFont="1" applyFill="1" applyBorder="1" applyAlignment="1">
      <alignment vertical="center" wrapText="1"/>
    </xf>
    <xf numFmtId="41" fontId="30" fillId="0" borderId="6" xfId="6" applyNumberFormat="1" applyFont="1" applyFill="1" applyBorder="1" applyAlignment="1">
      <alignment horizontal="right" vertical="center" wrapText="1"/>
    </xf>
    <xf numFmtId="41" fontId="30" fillId="0" borderId="6" xfId="6" applyNumberFormat="1" applyFont="1" applyFill="1" applyBorder="1" applyAlignment="1">
      <alignment vertical="center"/>
    </xf>
    <xf numFmtId="41" fontId="30" fillId="0" borderId="6" xfId="2" applyNumberFormat="1" applyFont="1" applyFill="1" applyBorder="1" applyAlignment="1">
      <alignment vertical="center"/>
    </xf>
    <xf numFmtId="1" fontId="33" fillId="0" borderId="8" xfId="4" applyNumberFormat="1" applyFont="1" applyFill="1" applyBorder="1" applyAlignment="1">
      <alignment horizontal="right" vertical="center"/>
    </xf>
    <xf numFmtId="3" fontId="30" fillId="0" borderId="7" xfId="23" applyNumberFormat="1" applyFont="1" applyFill="1" applyBorder="1" applyAlignment="1">
      <alignment horizontal="justify" vertical="center" wrapText="1"/>
    </xf>
    <xf numFmtId="3" fontId="30" fillId="0" borderId="7" xfId="23" applyNumberFormat="1" applyFont="1" applyFill="1" applyBorder="1" applyAlignment="1">
      <alignment horizontal="center" vertical="center" wrapText="1"/>
    </xf>
    <xf numFmtId="3" fontId="30" fillId="0" borderId="7" xfId="0" applyNumberFormat="1" applyFont="1" applyFill="1" applyBorder="1" applyAlignment="1">
      <alignment vertical="center"/>
    </xf>
    <xf numFmtId="164" fontId="30" fillId="0" borderId="7" xfId="0" applyNumberFormat="1" applyFont="1" applyFill="1" applyBorder="1" applyAlignment="1">
      <alignment vertical="center"/>
    </xf>
    <xf numFmtId="41" fontId="30" fillId="0" borderId="7" xfId="0" applyNumberFormat="1" applyFont="1" applyFill="1" applyBorder="1" applyAlignment="1">
      <alignment horizontal="right" vertical="center"/>
    </xf>
    <xf numFmtId="1" fontId="30" fillId="0" borderId="8" xfId="24" applyNumberFormat="1" applyFont="1" applyFill="1" applyBorder="1" applyAlignment="1">
      <alignment horizontal="center" vertical="center" wrapText="1"/>
    </xf>
    <xf numFmtId="41" fontId="30" fillId="0" borderId="8" xfId="0" applyNumberFormat="1" applyFont="1" applyFill="1" applyBorder="1" applyAlignment="1">
      <alignment horizontal="right" vertical="center"/>
    </xf>
    <xf numFmtId="41" fontId="30" fillId="0" borderId="8" xfId="6" applyNumberFormat="1" applyFont="1" applyFill="1" applyBorder="1" applyAlignment="1">
      <alignment vertical="center" wrapText="1"/>
    </xf>
    <xf numFmtId="0" fontId="30" fillId="0" borderId="8" xfId="0" applyFont="1" applyFill="1" applyBorder="1" applyAlignment="1">
      <alignment vertical="center" wrapText="1"/>
    </xf>
    <xf numFmtId="3" fontId="30" fillId="0" borderId="8" xfId="24" applyNumberFormat="1" applyFont="1" applyFill="1" applyBorder="1" applyAlignment="1">
      <alignment vertical="center" wrapText="1"/>
    </xf>
    <xf numFmtId="164" fontId="31" fillId="0" borderId="7" xfId="0" applyNumberFormat="1" applyFont="1" applyFill="1" applyBorder="1" applyAlignment="1">
      <alignment vertical="center" wrapText="1"/>
    </xf>
    <xf numFmtId="41" fontId="33" fillId="0" borderId="7" xfId="0" applyNumberFormat="1" applyFont="1" applyFill="1" applyBorder="1" applyAlignment="1">
      <alignment horizontal="right" vertical="center" wrapText="1"/>
    </xf>
    <xf numFmtId="1" fontId="33" fillId="0" borderId="7" xfId="4" applyNumberFormat="1" applyFont="1" applyFill="1" applyBorder="1" applyAlignment="1">
      <alignment horizontal="right" vertical="center" wrapText="1"/>
    </xf>
    <xf numFmtId="49" fontId="30" fillId="0" borderId="7" xfId="4" applyNumberFormat="1" applyFont="1" applyFill="1" applyBorder="1" applyAlignment="1">
      <alignment horizontal="center" vertical="center"/>
    </xf>
    <xf numFmtId="3" fontId="30" fillId="0" borderId="7" xfId="0" applyNumberFormat="1" applyFont="1" applyFill="1" applyBorder="1" applyAlignment="1">
      <alignment vertical="center" wrapText="1"/>
    </xf>
    <xf numFmtId="41" fontId="30" fillId="0" borderId="7" xfId="6" applyNumberFormat="1" applyFont="1" applyFill="1" applyBorder="1" applyAlignment="1">
      <alignment horizontal="right" vertical="center" wrapText="1"/>
    </xf>
    <xf numFmtId="3" fontId="30" fillId="0" borderId="7" xfId="0" applyNumberFormat="1" applyFont="1" applyFill="1" applyBorder="1" applyAlignment="1">
      <alignment horizontal="center" vertical="center"/>
    </xf>
    <xf numFmtId="3" fontId="30" fillId="0" borderId="7" xfId="0" applyNumberFormat="1" applyFont="1" applyFill="1" applyBorder="1" applyAlignment="1">
      <alignment horizontal="center" vertical="center" wrapText="1"/>
    </xf>
    <xf numFmtId="0" fontId="30" fillId="0" borderId="7" xfId="0" applyFont="1" applyFill="1" applyBorder="1" applyAlignment="1">
      <alignment vertical="center" wrapText="1"/>
    </xf>
    <xf numFmtId="0" fontId="30" fillId="0" borderId="8" xfId="0" applyFont="1" applyFill="1" applyBorder="1" applyAlignment="1">
      <alignment horizontal="center" vertical="center"/>
    </xf>
    <xf numFmtId="1" fontId="30" fillId="0" borderId="7" xfId="4" applyNumberFormat="1" applyFont="1" applyFill="1" applyBorder="1" applyAlignment="1">
      <alignment horizontal="center" vertical="center"/>
    </xf>
    <xf numFmtId="41" fontId="35" fillId="0" borderId="10" xfId="4" quotePrefix="1" applyNumberFormat="1" applyFont="1" applyFill="1" applyBorder="1" applyAlignment="1">
      <alignment horizontal="right" vertical="center" wrapText="1"/>
    </xf>
    <xf numFmtId="41" fontId="33" fillId="0" borderId="2" xfId="4" applyNumberFormat="1" applyFont="1" applyFill="1" applyBorder="1" applyAlignment="1">
      <alignment horizontal="right" vertical="center"/>
    </xf>
    <xf numFmtId="41" fontId="30" fillId="0" borderId="10" xfId="0" applyNumberFormat="1" applyFont="1" applyFill="1" applyBorder="1" applyAlignment="1">
      <alignment vertical="center"/>
    </xf>
    <xf numFmtId="41" fontId="30" fillId="0" borderId="2" xfId="0" applyNumberFormat="1" applyFont="1" applyFill="1" applyBorder="1" applyAlignment="1">
      <alignment vertical="center"/>
    </xf>
    <xf numFmtId="0" fontId="30" fillId="0" borderId="20" xfId="0" applyFont="1" applyFill="1" applyBorder="1" applyAlignment="1">
      <alignment horizontal="left" vertical="center" wrapText="1"/>
    </xf>
    <xf numFmtId="41" fontId="30" fillId="0" borderId="20" xfId="0" applyNumberFormat="1" applyFont="1" applyFill="1" applyBorder="1" applyAlignment="1">
      <alignment horizontal="right" vertical="center"/>
    </xf>
    <xf numFmtId="3" fontId="30" fillId="0" borderId="20" xfId="0" applyNumberFormat="1" applyFont="1" applyFill="1" applyBorder="1" applyAlignment="1">
      <alignment vertical="center"/>
    </xf>
    <xf numFmtId="164" fontId="30" fillId="0" borderId="20" xfId="0" applyNumberFormat="1" applyFont="1" applyFill="1" applyBorder="1" applyAlignment="1">
      <alignment vertical="center"/>
    </xf>
    <xf numFmtId="164" fontId="30" fillId="0" borderId="20" xfId="0" applyNumberFormat="1" applyFont="1" applyFill="1" applyBorder="1" applyAlignment="1">
      <alignment vertical="center" wrapText="1"/>
    </xf>
    <xf numFmtId="41" fontId="30" fillId="0" borderId="20" xfId="6" applyNumberFormat="1" applyFont="1" applyFill="1" applyBorder="1" applyAlignment="1">
      <alignment vertical="center" wrapText="1"/>
    </xf>
    <xf numFmtId="41" fontId="33" fillId="0" borderId="10" xfId="4" applyNumberFormat="1" applyFont="1" applyFill="1" applyBorder="1" applyAlignment="1">
      <alignment horizontal="right" vertical="center"/>
    </xf>
    <xf numFmtId="41" fontId="30" fillId="0" borderId="2" xfId="6" applyNumberFormat="1" applyFont="1" applyFill="1" applyBorder="1" applyAlignment="1">
      <alignment horizontal="right" vertical="center"/>
    </xf>
    <xf numFmtId="41" fontId="30" fillId="0" borderId="20" xfId="0" applyNumberFormat="1" applyFont="1" applyFill="1" applyBorder="1" applyAlignment="1">
      <alignment vertical="center" wrapText="1"/>
    </xf>
    <xf numFmtId="41" fontId="30" fillId="0" borderId="10" xfId="6" applyNumberFormat="1" applyFont="1" applyFill="1" applyBorder="1" applyAlignment="1">
      <alignment horizontal="right" vertical="center"/>
    </xf>
    <xf numFmtId="0" fontId="30" fillId="0" borderId="20" xfId="16" applyFont="1" applyFill="1" applyBorder="1" applyAlignment="1">
      <alignment horizontal="left" vertical="center" wrapText="1"/>
    </xf>
    <xf numFmtId="41" fontId="30" fillId="0" borderId="2" xfId="24" applyNumberFormat="1" applyFont="1" applyFill="1" applyBorder="1" applyAlignment="1">
      <alignment vertical="center" wrapText="1"/>
    </xf>
    <xf numFmtId="41" fontId="30" fillId="0" borderId="10" xfId="24" applyNumberFormat="1" applyFont="1" applyFill="1" applyBorder="1" applyAlignment="1">
      <alignment vertical="center" wrapText="1"/>
    </xf>
    <xf numFmtId="41" fontId="30" fillId="0" borderId="10" xfId="25" applyNumberFormat="1" applyFont="1" applyFill="1" applyBorder="1" applyAlignment="1">
      <alignment vertical="center" wrapText="1"/>
    </xf>
    <xf numFmtId="41" fontId="30" fillId="0" borderId="2" xfId="25" applyNumberFormat="1" applyFont="1" applyFill="1" applyBorder="1" applyAlignment="1">
      <alignment vertical="center" wrapText="1"/>
    </xf>
    <xf numFmtId="3" fontId="30" fillId="0" borderId="20" xfId="0" applyNumberFormat="1" applyFont="1" applyFill="1" applyBorder="1" applyAlignment="1">
      <alignment vertical="center" wrapText="1"/>
    </xf>
    <xf numFmtId="3" fontId="30" fillId="0" borderId="20" xfId="0" applyNumberFormat="1" applyFont="1" applyFill="1" applyBorder="1" applyAlignment="1">
      <alignment horizontal="center" vertical="center"/>
    </xf>
    <xf numFmtId="3" fontId="30" fillId="0" borderId="20" xfId="0" applyNumberFormat="1" applyFont="1" applyFill="1" applyBorder="1" applyAlignment="1">
      <alignment horizontal="center" vertical="center" wrapText="1"/>
    </xf>
    <xf numFmtId="41" fontId="30" fillId="2" borderId="8" xfId="0" applyNumberFormat="1" applyFont="1" applyFill="1" applyBorder="1" applyAlignment="1">
      <alignment vertical="center" wrapText="1"/>
    </xf>
    <xf numFmtId="41" fontId="30" fillId="2" borderId="8" xfId="0" applyNumberFormat="1" applyFont="1" applyFill="1" applyBorder="1" applyAlignment="1">
      <alignment horizontal="right" vertical="center" wrapText="1"/>
    </xf>
    <xf numFmtId="0" fontId="30" fillId="2" borderId="8" xfId="0" applyFont="1" applyFill="1" applyBorder="1" applyAlignment="1">
      <alignment horizontal="center" vertical="center" wrapText="1"/>
    </xf>
    <xf numFmtId="41" fontId="35" fillId="2" borderId="2" xfId="6" applyNumberFormat="1" applyFont="1" applyFill="1" applyBorder="1" applyAlignment="1">
      <alignment horizontal="right" vertical="center"/>
    </xf>
    <xf numFmtId="164" fontId="31" fillId="0" borderId="20" xfId="4" applyNumberFormat="1" applyFont="1" applyFill="1" applyBorder="1" applyAlignment="1">
      <alignment vertical="center"/>
    </xf>
    <xf numFmtId="41" fontId="30" fillId="7" borderId="2" xfId="25" applyNumberFormat="1" applyFont="1" applyFill="1" applyBorder="1" applyAlignment="1">
      <alignment vertical="center" wrapText="1"/>
    </xf>
    <xf numFmtId="41" fontId="30" fillId="7" borderId="2" xfId="6" applyNumberFormat="1" applyFont="1" applyFill="1" applyBorder="1" applyAlignment="1">
      <alignment horizontal="right" vertical="center"/>
    </xf>
    <xf numFmtId="41" fontId="30" fillId="7" borderId="10" xfId="25" applyNumberFormat="1" applyFont="1" applyFill="1" applyBorder="1" applyAlignment="1">
      <alignment vertical="center" wrapText="1"/>
    </xf>
    <xf numFmtId="41" fontId="30" fillId="7" borderId="10" xfId="6" applyNumberFormat="1" applyFont="1" applyFill="1" applyBorder="1" applyAlignment="1">
      <alignment horizontal="right" vertical="center"/>
    </xf>
    <xf numFmtId="41" fontId="35" fillId="2" borderId="20" xfId="0" applyNumberFormat="1" applyFont="1" applyFill="1" applyBorder="1" applyAlignment="1">
      <alignment horizontal="right" vertical="center" wrapText="1"/>
    </xf>
    <xf numFmtId="165" fontId="35" fillId="2" borderId="20" xfId="0" applyNumberFormat="1" applyFont="1" applyFill="1" applyBorder="1" applyAlignment="1">
      <alignment horizontal="right" vertical="center" wrapText="1"/>
    </xf>
    <xf numFmtId="41" fontId="33" fillId="0" borderId="10" xfId="0" applyNumberFormat="1" applyFont="1" applyFill="1" applyBorder="1" applyAlignment="1">
      <alignment vertical="center"/>
    </xf>
    <xf numFmtId="3" fontId="30" fillId="0" borderId="20" xfId="0" applyNumberFormat="1" applyFont="1" applyFill="1" applyBorder="1" applyAlignment="1">
      <alignment horizontal="left" vertical="center" wrapText="1"/>
    </xf>
    <xf numFmtId="41" fontId="30" fillId="0" borderId="20" xfId="2" applyNumberFormat="1" applyFont="1" applyFill="1" applyBorder="1" applyAlignment="1">
      <alignment vertical="center"/>
    </xf>
    <xf numFmtId="41" fontId="30" fillId="0" borderId="20" xfId="4" applyNumberFormat="1" applyFont="1" applyFill="1" applyBorder="1" applyAlignment="1">
      <alignment horizontal="center" vertical="center"/>
    </xf>
    <xf numFmtId="41" fontId="30" fillId="0" borderId="20" xfId="2" applyNumberFormat="1" applyFont="1" applyFill="1" applyBorder="1" applyAlignment="1">
      <alignment horizontal="right" vertical="center"/>
    </xf>
    <xf numFmtId="1" fontId="34" fillId="0" borderId="20" xfId="4" applyNumberFormat="1" applyFont="1" applyFill="1" applyBorder="1" applyAlignment="1">
      <alignment horizontal="center" vertical="center"/>
    </xf>
    <xf numFmtId="0" fontId="34" fillId="0" borderId="20" xfId="16" applyFont="1" applyFill="1" applyBorder="1" applyAlignment="1">
      <alignment horizontal="left" vertical="center" wrapText="1"/>
    </xf>
    <xf numFmtId="0" fontId="34" fillId="0" borderId="20" xfId="0" applyFont="1" applyFill="1" applyBorder="1" applyAlignment="1">
      <alignment horizontal="center" vertical="center" wrapText="1"/>
    </xf>
    <xf numFmtId="0" fontId="34" fillId="0" borderId="20" xfId="0" applyFont="1" applyFill="1" applyBorder="1" applyAlignment="1">
      <alignment horizontal="center" vertical="center"/>
    </xf>
    <xf numFmtId="41" fontId="34" fillId="0" borderId="20" xfId="2" applyNumberFormat="1" applyFont="1" applyFill="1" applyBorder="1" applyAlignment="1">
      <alignment horizontal="right" vertical="center"/>
    </xf>
    <xf numFmtId="41" fontId="34" fillId="0" borderId="20" xfId="0" applyNumberFormat="1" applyFont="1" applyFill="1" applyBorder="1" applyAlignment="1">
      <alignment vertical="center" wrapText="1"/>
    </xf>
    <xf numFmtId="41" fontId="34" fillId="0" borderId="20" xfId="0" applyNumberFormat="1" applyFont="1" applyFill="1" applyBorder="1" applyAlignment="1">
      <alignment horizontal="right" vertical="center" wrapText="1"/>
    </xf>
    <xf numFmtId="41" fontId="37" fillId="0" borderId="20" xfId="2" applyNumberFormat="1" applyFont="1" applyFill="1" applyBorder="1" applyAlignment="1">
      <alignment horizontal="right" vertical="center"/>
    </xf>
    <xf numFmtId="1" fontId="4" fillId="0" borderId="20" xfId="4" quotePrefix="1" applyNumberFormat="1" applyFont="1" applyFill="1" applyBorder="1" applyAlignment="1">
      <alignment horizontal="center" vertical="center"/>
    </xf>
    <xf numFmtId="0" fontId="4" fillId="0" borderId="20" xfId="16" applyFont="1" applyFill="1" applyBorder="1" applyAlignment="1">
      <alignment horizontal="left" vertical="center" wrapText="1"/>
    </xf>
    <xf numFmtId="0" fontId="4" fillId="0" borderId="20" xfId="0" applyFont="1" applyFill="1" applyBorder="1" applyAlignment="1">
      <alignment horizontal="center" vertical="center" wrapText="1"/>
    </xf>
    <xf numFmtId="0" fontId="4" fillId="0" borderId="20" xfId="0" applyFont="1" applyFill="1" applyBorder="1" applyAlignment="1">
      <alignment horizontal="center" vertical="center"/>
    </xf>
    <xf numFmtId="41" fontId="4" fillId="0" borderId="20" xfId="2" applyNumberFormat="1" applyFont="1" applyFill="1" applyBorder="1" applyAlignment="1">
      <alignment horizontal="right" vertical="center"/>
    </xf>
    <xf numFmtId="41" fontId="4" fillId="0" borderId="20" xfId="0" applyNumberFormat="1" applyFont="1" applyFill="1" applyBorder="1" applyAlignment="1">
      <alignment vertical="center" wrapText="1"/>
    </xf>
    <xf numFmtId="41" fontId="4" fillId="0" borderId="20" xfId="0" applyNumberFormat="1" applyFont="1" applyFill="1" applyBorder="1" applyAlignment="1">
      <alignment horizontal="right" vertical="center" wrapText="1"/>
    </xf>
    <xf numFmtId="3" fontId="30" fillId="0" borderId="20" xfId="2" applyNumberFormat="1" applyFont="1" applyFill="1" applyBorder="1" applyAlignment="1">
      <alignment horizontal="right" vertical="center"/>
    </xf>
    <xf numFmtId="3" fontId="34" fillId="0" borderId="20" xfId="0" applyNumberFormat="1" applyFont="1" applyFill="1" applyBorder="1" applyAlignment="1">
      <alignment vertical="center"/>
    </xf>
    <xf numFmtId="41" fontId="39" fillId="0" borderId="20" xfId="4" applyNumberFormat="1" applyFont="1" applyFill="1" applyBorder="1" applyAlignment="1">
      <alignment vertical="center"/>
    </xf>
    <xf numFmtId="3" fontId="4" fillId="0" borderId="20" xfId="0" applyNumberFormat="1" applyFont="1" applyFill="1" applyBorder="1" applyAlignment="1">
      <alignment vertical="center"/>
    </xf>
    <xf numFmtId="41" fontId="37" fillId="0" borderId="20" xfId="4" applyNumberFormat="1" applyFont="1" applyFill="1" applyBorder="1" applyAlignment="1">
      <alignment horizontal="right" vertical="center"/>
    </xf>
    <xf numFmtId="0" fontId="53" fillId="0" borderId="0" xfId="0" applyFont="1" applyAlignment="1">
      <alignment horizontal="center"/>
    </xf>
    <xf numFmtId="3" fontId="52" fillId="0" borderId="16" xfId="0" applyNumberFormat="1" applyFont="1" applyBorder="1" applyAlignment="1">
      <alignment horizontal="center" vertical="center" wrapText="1"/>
    </xf>
    <xf numFmtId="3" fontId="52" fillId="0" borderId="23" xfId="0" applyNumberFormat="1" applyFont="1" applyBorder="1" applyAlignment="1">
      <alignment horizontal="center" vertical="center" wrapText="1"/>
    </xf>
    <xf numFmtId="3" fontId="54" fillId="0" borderId="0" xfId="0" applyNumberFormat="1" applyFont="1" applyAlignment="1">
      <alignment horizontal="right"/>
    </xf>
    <xf numFmtId="0" fontId="52" fillId="0" borderId="5" xfId="0" applyFont="1" applyBorder="1" applyAlignment="1">
      <alignment horizontal="center" vertical="center" wrapText="1"/>
    </xf>
    <xf numFmtId="0" fontId="52" fillId="0" borderId="5" xfId="0" applyFont="1" applyBorder="1" applyAlignment="1">
      <alignment horizontal="left" vertical="center" wrapText="1"/>
    </xf>
    <xf numFmtId="3" fontId="52" fillId="0" borderId="5" xfId="0" applyNumberFormat="1" applyFont="1" applyBorder="1" applyAlignment="1">
      <alignment horizontal="right" vertical="center" wrapText="1"/>
    </xf>
    <xf numFmtId="3" fontId="52" fillId="0" borderId="5" xfId="0" applyNumberFormat="1" applyFont="1" applyBorder="1" applyAlignment="1">
      <alignment horizontal="center" vertical="center" wrapText="1"/>
    </xf>
    <xf numFmtId="3" fontId="52" fillId="0" borderId="5" xfId="0" applyNumberFormat="1" applyFont="1" applyBorder="1" applyAlignment="1">
      <alignment horizontal="center" vertical="center" wrapText="1"/>
    </xf>
    <xf numFmtId="0" fontId="54" fillId="0" borderId="0" xfId="0" applyFont="1" applyAlignment="1">
      <alignment horizontal="center"/>
    </xf>
    <xf numFmtId="0" fontId="52" fillId="0" borderId="16" xfId="0" applyFont="1" applyBorder="1" applyAlignment="1">
      <alignment horizontal="center" vertical="center" wrapText="1"/>
    </xf>
    <xf numFmtId="0" fontId="53" fillId="0" borderId="20" xfId="0" applyFont="1" applyBorder="1"/>
    <xf numFmtId="0" fontId="53" fillId="0" borderId="20" xfId="0" applyFont="1" applyBorder="1" applyAlignment="1">
      <alignment horizontal="center"/>
    </xf>
    <xf numFmtId="0" fontId="52" fillId="0" borderId="10" xfId="0" applyFont="1" applyBorder="1" applyAlignment="1">
      <alignment horizontal="center" vertical="center" wrapText="1"/>
    </xf>
    <xf numFmtId="0" fontId="52" fillId="0" borderId="10" xfId="0" applyFont="1" applyBorder="1" applyAlignment="1">
      <alignment horizontal="left" vertical="center" wrapText="1"/>
    </xf>
    <xf numFmtId="3" fontId="52" fillId="0" borderId="10" xfId="0" applyNumberFormat="1" applyFont="1" applyBorder="1" applyAlignment="1">
      <alignment horizontal="center" vertical="center" wrapText="1"/>
    </xf>
    <xf numFmtId="3" fontId="52" fillId="0" borderId="10" xfId="0" applyNumberFormat="1" applyFont="1" applyBorder="1" applyAlignment="1">
      <alignment horizontal="right" vertical="center" wrapText="1"/>
    </xf>
    <xf numFmtId="0" fontId="52" fillId="0" borderId="6" xfId="0" applyFont="1" applyBorder="1" applyAlignment="1">
      <alignment horizontal="center" vertical="center" wrapText="1"/>
    </xf>
    <xf numFmtId="3" fontId="52" fillId="0" borderId="6" xfId="0" applyNumberFormat="1" applyFont="1" applyBorder="1" applyAlignment="1">
      <alignment horizontal="right" vertical="center" wrapText="1"/>
    </xf>
    <xf numFmtId="0" fontId="52" fillId="0" borderId="2" xfId="0" applyFont="1" applyBorder="1" applyAlignment="1">
      <alignment horizontal="center" vertical="center" wrapText="1"/>
    </xf>
    <xf numFmtId="0" fontId="52" fillId="0" borderId="2" xfId="0" applyFont="1" applyBorder="1" applyAlignment="1">
      <alignment horizontal="left" vertical="center" wrapText="1"/>
    </xf>
    <xf numFmtId="3" fontId="52" fillId="0" borderId="2" xfId="0" applyNumberFormat="1" applyFont="1" applyBorder="1" applyAlignment="1">
      <alignment horizontal="right" vertical="center" wrapText="1"/>
    </xf>
    <xf numFmtId="3" fontId="52" fillId="0" borderId="2" xfId="0" applyNumberFormat="1" applyFont="1" applyBorder="1" applyAlignment="1">
      <alignment horizontal="center" vertical="center" wrapText="1"/>
    </xf>
    <xf numFmtId="3" fontId="52" fillId="0" borderId="23" xfId="0" applyNumberFormat="1" applyFont="1" applyBorder="1" applyAlignment="1">
      <alignment horizontal="center" vertical="center" wrapText="1"/>
    </xf>
    <xf numFmtId="3" fontId="52" fillId="0" borderId="6" xfId="0" applyNumberFormat="1" applyFont="1" applyBorder="1" applyAlignment="1">
      <alignment horizontal="center" vertical="center" wrapText="1"/>
    </xf>
    <xf numFmtId="0" fontId="53" fillId="0" borderId="0" xfId="0" applyFont="1" applyBorder="1"/>
    <xf numFmtId="3" fontId="53" fillId="0" borderId="0" xfId="0" applyNumberFormat="1" applyFont="1" applyBorder="1"/>
    <xf numFmtId="3" fontId="4" fillId="0" borderId="5" xfId="23" applyNumberFormat="1" applyFont="1" applyFill="1" applyBorder="1" applyAlignment="1">
      <alignment horizontal="justify" vertical="center" wrapText="1"/>
    </xf>
    <xf numFmtId="41" fontId="4" fillId="0" borderId="5" xfId="25" quotePrefix="1" applyNumberFormat="1" applyFont="1" applyFill="1" applyBorder="1" applyAlignment="1">
      <alignment horizontal="right" vertical="center" wrapText="1"/>
    </xf>
    <xf numFmtId="3" fontId="4" fillId="0" borderId="0" xfId="4" applyNumberFormat="1" applyFont="1" applyFill="1" applyBorder="1" applyAlignment="1">
      <alignment vertical="center" wrapText="1"/>
    </xf>
    <xf numFmtId="164" fontId="1" fillId="0" borderId="0" xfId="0" applyNumberFormat="1" applyFont="1"/>
    <xf numFmtId="0" fontId="16" fillId="0" borderId="0" xfId="15" applyFont="1" applyAlignment="1">
      <alignment horizontal="center"/>
    </xf>
    <xf numFmtId="164" fontId="30" fillId="0" borderId="6" xfId="24" applyNumberFormat="1" applyFont="1" applyFill="1" applyBorder="1" applyAlignment="1">
      <alignment vertical="center" wrapText="1"/>
    </xf>
    <xf numFmtId="3" fontId="30" fillId="0" borderId="6" xfId="23" applyNumberFormat="1" applyFont="1" applyFill="1" applyBorder="1" applyAlignment="1">
      <alignment horizontal="justify" vertical="center" wrapText="1"/>
    </xf>
    <xf numFmtId="41" fontId="30" fillId="0" borderId="6" xfId="8" applyNumberFormat="1" applyFont="1" applyFill="1" applyBorder="1" applyAlignment="1">
      <alignment horizontal="right" vertical="center"/>
    </xf>
    <xf numFmtId="1" fontId="30" fillId="0" borderId="7" xfId="25" applyNumberFormat="1" applyFont="1" applyFill="1" applyBorder="1" applyAlignment="1">
      <alignment vertical="center" wrapText="1"/>
    </xf>
    <xf numFmtId="1" fontId="30" fillId="0" borderId="7" xfId="25" applyNumberFormat="1" applyFont="1" applyFill="1" applyBorder="1" applyAlignment="1">
      <alignment horizontal="center" vertical="center" wrapText="1"/>
    </xf>
    <xf numFmtId="41" fontId="30" fillId="0" borderId="7" xfId="25" applyNumberFormat="1" applyFont="1" applyFill="1" applyBorder="1" applyAlignment="1">
      <alignment vertical="center" wrapText="1"/>
    </xf>
    <xf numFmtId="3" fontId="30" fillId="0" borderId="6" xfId="24" quotePrefix="1" applyNumberFormat="1" applyFont="1" applyFill="1" applyBorder="1" applyAlignment="1">
      <alignment horizontal="center" vertical="center" wrapText="1"/>
    </xf>
    <xf numFmtId="1" fontId="30" fillId="0" borderId="6" xfId="25" applyNumberFormat="1" applyFont="1" applyFill="1" applyBorder="1" applyAlignment="1">
      <alignment vertical="center" wrapText="1"/>
    </xf>
    <xf numFmtId="1" fontId="30" fillId="0" borderId="6" xfId="25" applyNumberFormat="1" applyFont="1" applyFill="1" applyBorder="1" applyAlignment="1">
      <alignment horizontal="center" vertical="center" wrapText="1"/>
    </xf>
    <xf numFmtId="41" fontId="30" fillId="0" borderId="6" xfId="25" applyNumberFormat="1" applyFont="1" applyFill="1" applyBorder="1" applyAlignment="1">
      <alignment vertical="center" wrapText="1"/>
    </xf>
    <xf numFmtId="3" fontId="30" fillId="0" borderId="6" xfId="25" applyNumberFormat="1" applyFont="1" applyFill="1" applyBorder="1" applyAlignment="1">
      <alignment horizontal="center" vertical="center" wrapText="1"/>
    </xf>
    <xf numFmtId="3" fontId="30" fillId="0" borderId="7" xfId="25" applyNumberFormat="1" applyFont="1" applyFill="1" applyBorder="1" applyAlignment="1">
      <alignment horizontal="center" vertical="center" wrapText="1"/>
    </xf>
    <xf numFmtId="41" fontId="30" fillId="0" borderId="6" xfId="23" applyNumberFormat="1" applyFont="1" applyFill="1" applyBorder="1" applyAlignment="1">
      <alignment vertical="center" wrapText="1"/>
    </xf>
    <xf numFmtId="3" fontId="30" fillId="0" borderId="6" xfId="0" applyNumberFormat="1" applyFont="1" applyFill="1" applyBorder="1" applyAlignment="1">
      <alignment horizontal="left" vertical="center" wrapText="1"/>
    </xf>
    <xf numFmtId="41" fontId="30" fillId="0" borderId="6" xfId="4" applyNumberFormat="1" applyFont="1" applyFill="1" applyBorder="1" applyAlignment="1">
      <alignment horizontal="center" vertical="center"/>
    </xf>
    <xf numFmtId="3" fontId="30" fillId="0" borderId="7" xfId="0" applyNumberFormat="1" applyFont="1" applyFill="1" applyBorder="1" applyAlignment="1">
      <alignment horizontal="left" vertical="center" wrapText="1"/>
    </xf>
    <xf numFmtId="41" fontId="30" fillId="0" borderId="7" xfId="2" applyNumberFormat="1" applyFont="1" applyFill="1" applyBorder="1" applyAlignment="1">
      <alignment vertical="center"/>
    </xf>
    <xf numFmtId="41" fontId="30" fillId="0" borderId="7" xfId="4" applyNumberFormat="1" applyFont="1" applyFill="1" applyBorder="1" applyAlignment="1">
      <alignment horizontal="center" vertical="center"/>
    </xf>
    <xf numFmtId="9" fontId="30" fillId="0" borderId="8" xfId="3" applyFont="1" applyFill="1" applyBorder="1" applyAlignment="1">
      <alignment horizontal="center" vertical="center" wrapText="1"/>
    </xf>
    <xf numFmtId="1" fontId="31" fillId="0" borderId="7" xfId="4" applyNumberFormat="1" applyFont="1" applyFill="1" applyBorder="1" applyAlignment="1">
      <alignment horizontal="center" vertical="center" wrapText="1"/>
    </xf>
    <xf numFmtId="1" fontId="4" fillId="0" borderId="7" xfId="4" applyNumberFormat="1" applyFont="1" applyFill="1" applyBorder="1" applyAlignment="1">
      <alignment horizontal="right" vertical="center" wrapText="1"/>
    </xf>
    <xf numFmtId="3" fontId="35" fillId="2" borderId="8" xfId="24" applyNumberFormat="1" applyFont="1" applyFill="1" applyBorder="1" applyAlignment="1">
      <alignment horizontal="center" vertical="center"/>
    </xf>
    <xf numFmtId="3" fontId="35" fillId="2" borderId="8" xfId="24" applyNumberFormat="1" applyFont="1" applyFill="1" applyBorder="1" applyAlignment="1">
      <alignment vertical="center"/>
    </xf>
    <xf numFmtId="3" fontId="35" fillId="2" borderId="8" xfId="24" applyNumberFormat="1" applyFont="1" applyFill="1" applyBorder="1" applyAlignment="1">
      <alignment horizontal="center" vertical="center" wrapText="1"/>
    </xf>
    <xf numFmtId="1" fontId="35" fillId="2" borderId="8" xfId="24" applyNumberFormat="1" applyFont="1" applyFill="1" applyBorder="1" applyAlignment="1">
      <alignment horizontal="center" vertical="center"/>
    </xf>
    <xf numFmtId="41" fontId="35" fillId="2" borderId="8" xfId="24" applyNumberFormat="1" applyFont="1" applyFill="1" applyBorder="1" applyAlignment="1">
      <alignment vertical="center"/>
    </xf>
    <xf numFmtId="164" fontId="35" fillId="2" borderId="8" xfId="24" applyNumberFormat="1" applyFont="1" applyFill="1" applyBorder="1" applyAlignment="1">
      <alignment vertical="center"/>
    </xf>
    <xf numFmtId="49" fontId="30" fillId="0" borderId="8" xfId="4" applyNumberFormat="1" applyFont="1" applyFill="1" applyBorder="1" applyAlignment="1">
      <alignment horizontal="center" vertical="center"/>
    </xf>
    <xf numFmtId="3" fontId="30" fillId="0" borderId="8" xfId="23" applyNumberFormat="1" applyFont="1" applyFill="1" applyBorder="1" applyAlignment="1">
      <alignment horizontal="justify" vertical="center" wrapText="1"/>
    </xf>
    <xf numFmtId="3" fontId="30" fillId="0" borderId="8" xfId="23" applyNumberFormat="1" applyFont="1" applyFill="1" applyBorder="1" applyAlignment="1">
      <alignment horizontal="center" vertical="center" wrapText="1"/>
    </xf>
    <xf numFmtId="41" fontId="30" fillId="0" borderId="8" xfId="23" applyNumberFormat="1" applyFont="1" applyFill="1" applyBorder="1" applyAlignment="1">
      <alignment vertical="center" wrapText="1"/>
    </xf>
    <xf numFmtId="41" fontId="35" fillId="2" borderId="8" xfId="0" applyNumberFormat="1" applyFont="1" applyFill="1" applyBorder="1" applyAlignment="1">
      <alignment horizontal="right" vertical="center"/>
    </xf>
    <xf numFmtId="1" fontId="35" fillId="2" borderId="20" xfId="4" applyNumberFormat="1" applyFont="1" applyFill="1" applyBorder="1" applyAlignment="1">
      <alignment horizontal="left" vertical="center" wrapText="1"/>
    </xf>
    <xf numFmtId="1" fontId="30" fillId="2" borderId="20" xfId="4" applyNumberFormat="1" applyFont="1" applyFill="1" applyBorder="1" applyAlignment="1">
      <alignment horizontal="center" vertical="center" wrapText="1"/>
    </xf>
    <xf numFmtId="1" fontId="30" fillId="2" borderId="20" xfId="4" applyNumberFormat="1" applyFont="1" applyFill="1" applyBorder="1" applyAlignment="1">
      <alignment horizontal="right" vertical="center"/>
    </xf>
    <xf numFmtId="164" fontId="33" fillId="0" borderId="20" xfId="4" applyNumberFormat="1" applyFont="1" applyFill="1" applyBorder="1" applyAlignment="1">
      <alignment vertical="center"/>
    </xf>
    <xf numFmtId="3" fontId="30" fillId="0" borderId="20" xfId="23" applyNumberFormat="1" applyFont="1" applyFill="1" applyBorder="1" applyAlignment="1">
      <alignment horizontal="justify" vertical="center" wrapText="1"/>
    </xf>
    <xf numFmtId="41" fontId="30" fillId="0" borderId="20" xfId="25" quotePrefix="1" applyNumberFormat="1" applyFont="1" applyFill="1" applyBorder="1" applyAlignment="1">
      <alignment horizontal="right" vertical="center" wrapText="1"/>
    </xf>
    <xf numFmtId="164" fontId="4" fillId="0" borderId="20" xfId="0" applyNumberFormat="1" applyFont="1" applyFill="1" applyBorder="1" applyAlignment="1">
      <alignment vertical="center"/>
    </xf>
    <xf numFmtId="164" fontId="4" fillId="0" borderId="20" xfId="0" applyNumberFormat="1" applyFont="1" applyFill="1" applyBorder="1" applyAlignment="1">
      <alignment vertical="center" wrapText="1"/>
    </xf>
    <xf numFmtId="41" fontId="4" fillId="0" borderId="20" xfId="0" applyNumberFormat="1" applyFont="1" applyFill="1" applyBorder="1" applyAlignment="1">
      <alignment horizontal="right" vertical="center"/>
    </xf>
    <xf numFmtId="41" fontId="4" fillId="0" borderId="20" xfId="1" applyNumberFormat="1" applyFont="1" applyFill="1" applyBorder="1" applyAlignment="1">
      <alignment horizontal="right" vertical="center" wrapText="1"/>
    </xf>
    <xf numFmtId="1" fontId="34" fillId="0" borderId="20" xfId="4" applyNumberFormat="1" applyFont="1" applyFill="1" applyBorder="1" applyAlignment="1">
      <alignment horizontal="right" vertical="center"/>
    </xf>
    <xf numFmtId="0" fontId="30" fillId="0" borderId="20" xfId="0" applyFont="1" applyFill="1" applyBorder="1" applyAlignment="1">
      <alignment vertical="center" wrapText="1"/>
    </xf>
    <xf numFmtId="0" fontId="4" fillId="0" borderId="20" xfId="0" applyFont="1" applyFill="1" applyBorder="1" applyAlignment="1">
      <alignment horizontal="left" vertical="center" wrapText="1"/>
    </xf>
    <xf numFmtId="3" fontId="4" fillId="0" borderId="20" xfId="24" applyNumberFormat="1" applyFont="1" applyFill="1" applyBorder="1" applyAlignment="1">
      <alignment horizontal="center" vertical="center" wrapText="1"/>
    </xf>
    <xf numFmtId="1" fontId="4" fillId="0" borderId="20" xfId="24" applyNumberFormat="1" applyFont="1" applyFill="1" applyBorder="1" applyAlignment="1">
      <alignment horizontal="center" vertical="center" wrapText="1"/>
    </xf>
    <xf numFmtId="3" fontId="4" fillId="0" borderId="20" xfId="0" applyNumberFormat="1" applyFont="1" applyFill="1" applyBorder="1" applyAlignment="1">
      <alignment horizontal="right" vertical="center" wrapText="1"/>
    </xf>
    <xf numFmtId="1" fontId="4" fillId="0" borderId="20" xfId="4" applyNumberFormat="1" applyFont="1" applyFill="1" applyBorder="1" applyAlignment="1">
      <alignment horizontal="right" vertical="center" wrapText="1"/>
    </xf>
    <xf numFmtId="0" fontId="4" fillId="0" borderId="20" xfId="0" applyFont="1" applyFill="1" applyBorder="1" applyAlignment="1">
      <alignment vertical="center" wrapText="1"/>
    </xf>
    <xf numFmtId="0" fontId="35" fillId="2" borderId="20" xfId="0" applyFont="1" applyFill="1" applyBorder="1" applyAlignment="1">
      <alignment horizontal="left" vertical="center" wrapText="1"/>
    </xf>
    <xf numFmtId="164" fontId="35" fillId="2" borderId="20" xfId="0" applyNumberFormat="1" applyFont="1" applyFill="1" applyBorder="1" applyAlignment="1">
      <alignment vertical="center" wrapText="1"/>
    </xf>
    <xf numFmtId="1" fontId="35" fillId="2" borderId="20" xfId="4" applyNumberFormat="1" applyFont="1" applyFill="1" applyBorder="1" applyAlignment="1">
      <alignment horizontal="right" vertical="center" wrapText="1"/>
    </xf>
    <xf numFmtId="49" fontId="30" fillId="0" borderId="20" xfId="4" applyNumberFormat="1" applyFont="1" applyFill="1" applyBorder="1" applyAlignment="1">
      <alignment horizontal="center" vertical="center"/>
    </xf>
    <xf numFmtId="41" fontId="30" fillId="0" borderId="20" xfId="23" applyNumberFormat="1" applyFont="1" applyFill="1" applyBorder="1" applyAlignment="1">
      <alignment vertical="center" wrapText="1"/>
    </xf>
    <xf numFmtId="41" fontId="30" fillId="0" borderId="20" xfId="6" applyNumberFormat="1" applyFont="1" applyFill="1" applyBorder="1" applyAlignment="1">
      <alignment horizontal="right" vertical="center" wrapText="1"/>
    </xf>
    <xf numFmtId="3" fontId="4" fillId="0" borderId="5" xfId="24" applyNumberFormat="1" applyFont="1" applyFill="1" applyBorder="1" applyAlignment="1">
      <alignment vertical="center" wrapText="1"/>
    </xf>
    <xf numFmtId="1" fontId="4" fillId="0" borderId="5" xfId="4" applyNumberFormat="1" applyFont="1" applyFill="1" applyBorder="1" applyAlignment="1">
      <alignment vertical="center" wrapText="1"/>
    </xf>
    <xf numFmtId="41" fontId="4" fillId="0" borderId="5" xfId="8" applyNumberFormat="1" applyFont="1" applyFill="1" applyBorder="1" applyAlignment="1">
      <alignment horizontal="right" vertical="center"/>
    </xf>
    <xf numFmtId="0" fontId="25" fillId="0" borderId="5" xfId="15" applyFont="1" applyBorder="1" applyAlignment="1">
      <alignment horizontal="center" vertical="center" wrapText="1"/>
    </xf>
    <xf numFmtId="165" fontId="4" fillId="0" borderId="5" xfId="0" applyNumberFormat="1" applyFont="1" applyFill="1" applyBorder="1" applyAlignment="1">
      <alignment vertical="center" wrapText="1"/>
    </xf>
    <xf numFmtId="165" fontId="4" fillId="0" borderId="5" xfId="0" applyNumberFormat="1" applyFont="1" applyFill="1" applyBorder="1" applyAlignment="1">
      <alignment vertical="center"/>
    </xf>
    <xf numFmtId="0" fontId="4" fillId="0" borderId="5" xfId="0" applyFont="1" applyFill="1" applyBorder="1" applyAlignment="1">
      <alignment vertical="center"/>
    </xf>
    <xf numFmtId="165" fontId="4" fillId="0" borderId="5" xfId="5" applyNumberFormat="1" applyFont="1" applyFill="1" applyBorder="1" applyAlignment="1">
      <alignment horizontal="center" vertical="center" wrapText="1"/>
    </xf>
    <xf numFmtId="41" fontId="55" fillId="0" borderId="5" xfId="4" applyNumberFormat="1" applyFont="1" applyFill="1" applyBorder="1" applyAlignment="1">
      <alignment vertical="center"/>
    </xf>
    <xf numFmtId="41" fontId="55" fillId="0" borderId="5" xfId="0" applyNumberFormat="1" applyFont="1" applyFill="1" applyBorder="1" applyAlignment="1">
      <alignment vertical="center" wrapText="1"/>
    </xf>
    <xf numFmtId="41" fontId="55" fillId="0" borderId="5" xfId="0" applyNumberFormat="1" applyFont="1" applyFill="1" applyBorder="1" applyAlignment="1">
      <alignment vertical="center"/>
    </xf>
    <xf numFmtId="41" fontId="56" fillId="0" borderId="5" xfId="4" applyNumberFormat="1" applyFont="1" applyFill="1" applyBorder="1" applyAlignment="1">
      <alignment vertical="center"/>
    </xf>
    <xf numFmtId="0" fontId="59" fillId="0" borderId="0" xfId="0" applyFont="1"/>
    <xf numFmtId="0" fontId="60" fillId="0" borderId="0" xfId="0" applyFont="1"/>
    <xf numFmtId="3" fontId="17" fillId="0" borderId="0" xfId="4" applyNumberFormat="1" applyFont="1" applyFill="1" applyAlignment="1">
      <alignment horizontal="center" vertical="center" wrapText="1"/>
    </xf>
    <xf numFmtId="41" fontId="17" fillId="0" borderId="0" xfId="4" applyNumberFormat="1" applyFont="1" applyFill="1" applyAlignment="1">
      <alignment horizontal="center" vertical="center" wrapText="1"/>
    </xf>
    <xf numFmtId="164" fontId="17" fillId="0" borderId="0" xfId="4" applyNumberFormat="1" applyFont="1" applyFill="1" applyAlignment="1">
      <alignment vertical="center" wrapText="1"/>
    </xf>
    <xf numFmtId="3" fontId="5" fillId="0" borderId="0" xfId="4" applyNumberFormat="1" applyFont="1" applyFill="1" applyBorder="1" applyAlignment="1">
      <alignment vertical="center" wrapText="1"/>
    </xf>
    <xf numFmtId="41" fontId="20" fillId="6" borderId="5" xfId="4" applyNumberFormat="1" applyFont="1" applyFill="1" applyBorder="1" applyAlignment="1">
      <alignment vertical="center"/>
    </xf>
    <xf numFmtId="41" fontId="20" fillId="6" borderId="5" xfId="4" applyNumberFormat="1" applyFont="1" applyFill="1" applyBorder="1" applyAlignment="1">
      <alignment horizontal="right" vertical="center"/>
    </xf>
    <xf numFmtId="0" fontId="13" fillId="6" borderId="0" xfId="0" applyFont="1" applyFill="1"/>
    <xf numFmtId="3" fontId="20" fillId="6" borderId="5" xfId="4" applyNumberFormat="1" applyFont="1" applyFill="1" applyBorder="1" applyAlignment="1">
      <alignment horizontal="right" vertical="center"/>
    </xf>
    <xf numFmtId="41" fontId="20" fillId="2" borderId="5" xfId="4" applyNumberFormat="1" applyFont="1" applyFill="1" applyBorder="1" applyAlignment="1">
      <alignment horizontal="right" vertical="center"/>
    </xf>
    <xf numFmtId="3" fontId="20" fillId="2" borderId="5" xfId="4" applyNumberFormat="1" applyFont="1" applyFill="1" applyBorder="1" applyAlignment="1">
      <alignment horizontal="right" vertical="center"/>
    </xf>
    <xf numFmtId="3" fontId="21" fillId="0" borderId="5" xfId="4" applyNumberFormat="1" applyFont="1" applyFill="1" applyBorder="1" applyAlignment="1">
      <alignment horizontal="right" vertical="center"/>
    </xf>
    <xf numFmtId="41" fontId="21" fillId="0" borderId="5" xfId="4" applyNumberFormat="1" applyFont="1" applyFill="1" applyBorder="1" applyAlignment="1">
      <alignment horizontal="right" vertical="center"/>
    </xf>
    <xf numFmtId="164" fontId="21" fillId="0" borderId="5" xfId="4" applyNumberFormat="1" applyFont="1" applyFill="1" applyBorder="1" applyAlignment="1">
      <alignment vertical="center"/>
    </xf>
    <xf numFmtId="3" fontId="20" fillId="0" borderId="5" xfId="4" applyNumberFormat="1" applyFont="1" applyFill="1" applyBorder="1" applyAlignment="1">
      <alignment horizontal="right" vertical="center"/>
    </xf>
    <xf numFmtId="41" fontId="17" fillId="0" borderId="5" xfId="4" applyNumberFormat="1" applyFont="1" applyFill="1" applyBorder="1" applyAlignment="1">
      <alignment horizontal="right" vertical="center"/>
    </xf>
    <xf numFmtId="3" fontId="17" fillId="0" borderId="5" xfId="4" applyNumberFormat="1" applyFont="1" applyFill="1" applyBorder="1" applyAlignment="1">
      <alignment horizontal="right" vertical="center"/>
    </xf>
    <xf numFmtId="164" fontId="17" fillId="0" borderId="5" xfId="4" applyNumberFormat="1" applyFont="1" applyFill="1" applyBorder="1" applyAlignment="1">
      <alignment vertical="center"/>
    </xf>
    <xf numFmtId="3" fontId="5" fillId="0" borderId="5" xfId="24" applyNumberFormat="1" applyFont="1" applyFill="1" applyBorder="1" applyAlignment="1">
      <alignment vertical="center" wrapText="1"/>
    </xf>
    <xf numFmtId="3" fontId="5" fillId="0" borderId="5" xfId="24" applyNumberFormat="1" applyFont="1" applyFill="1" applyBorder="1" applyAlignment="1">
      <alignment horizontal="center" vertical="center" wrapText="1"/>
    </xf>
    <xf numFmtId="1" fontId="5" fillId="0" borderId="5" xfId="24" applyNumberFormat="1" applyFont="1" applyFill="1" applyBorder="1" applyAlignment="1">
      <alignment horizontal="center" vertical="center" wrapText="1"/>
    </xf>
    <xf numFmtId="41" fontId="5" fillId="0" borderId="5" xfId="1" applyNumberFormat="1" applyFont="1" applyFill="1" applyBorder="1" applyAlignment="1">
      <alignment horizontal="right" vertical="center" wrapText="1"/>
    </xf>
    <xf numFmtId="41" fontId="5" fillId="0" borderId="5" xfId="0" applyNumberFormat="1" applyFont="1" applyFill="1" applyBorder="1" applyAlignment="1">
      <alignment horizontal="right" vertical="center"/>
    </xf>
    <xf numFmtId="41" fontId="20" fillId="0" borderId="5" xfId="4" applyNumberFormat="1" applyFont="1" applyFill="1" applyBorder="1" applyAlignment="1">
      <alignment horizontal="right" vertical="center"/>
    </xf>
    <xf numFmtId="1" fontId="20" fillId="0" borderId="5" xfId="4" applyNumberFormat="1" applyFont="1" applyFill="1" applyBorder="1" applyAlignment="1">
      <alignment horizontal="right" vertical="center"/>
    </xf>
    <xf numFmtId="1" fontId="5" fillId="0" borderId="5" xfId="24" applyNumberFormat="1" applyFont="1" applyFill="1" applyBorder="1" applyAlignment="1">
      <alignment horizontal="center" vertical="center"/>
    </xf>
    <xf numFmtId="41" fontId="5" fillId="0" borderId="5" xfId="6" applyNumberFormat="1" applyFont="1" applyFill="1" applyBorder="1" applyAlignment="1">
      <alignment horizontal="right" vertical="center"/>
    </xf>
    <xf numFmtId="3" fontId="5" fillId="0" borderId="5" xfId="6" applyNumberFormat="1" applyFont="1" applyFill="1" applyBorder="1" applyAlignment="1">
      <alignment horizontal="right" vertical="center"/>
    </xf>
    <xf numFmtId="164" fontId="5" fillId="0" borderId="5" xfId="6" applyNumberFormat="1" applyFont="1" applyFill="1" applyBorder="1" applyAlignment="1">
      <alignment vertical="center"/>
    </xf>
    <xf numFmtId="3" fontId="5" fillId="0" borderId="5" xfId="26" applyNumberFormat="1" applyFont="1" applyFill="1" applyBorder="1" applyAlignment="1">
      <alignment horizontal="left" vertical="center" wrapText="1"/>
    </xf>
    <xf numFmtId="41" fontId="5" fillId="0" borderId="5" xfId="11" applyNumberFormat="1" applyFont="1" applyFill="1" applyBorder="1" applyAlignment="1">
      <alignment horizontal="right" vertical="center"/>
    </xf>
    <xf numFmtId="164" fontId="5" fillId="0" borderId="5" xfId="24" applyNumberFormat="1" applyFont="1" applyFill="1" applyBorder="1" applyAlignment="1">
      <alignment vertical="center" wrapText="1"/>
    </xf>
    <xf numFmtId="3" fontId="5" fillId="0" borderId="5" xfId="24" applyNumberFormat="1" applyFont="1" applyFill="1" applyBorder="1" applyAlignment="1">
      <alignment horizontal="center" vertical="center"/>
    </xf>
    <xf numFmtId="3" fontId="5" fillId="0" borderId="5" xfId="23" applyNumberFormat="1" applyFont="1" applyFill="1" applyBorder="1" applyAlignment="1">
      <alignment horizontal="left" vertical="center" wrapText="1"/>
    </xf>
    <xf numFmtId="3" fontId="5" fillId="0" borderId="5" xfId="23" applyNumberFormat="1" applyFont="1" applyFill="1" applyBorder="1" applyAlignment="1">
      <alignment horizontal="center" vertical="center" wrapText="1"/>
    </xf>
    <xf numFmtId="41" fontId="5" fillId="0" borderId="5" xfId="23" applyNumberFormat="1" applyFont="1" applyFill="1" applyBorder="1" applyAlignment="1">
      <alignment horizontal="right" vertical="center"/>
    </xf>
    <xf numFmtId="3" fontId="18" fillId="0" borderId="5" xfId="4" applyNumberFormat="1" applyFont="1" applyFill="1" applyBorder="1" applyAlignment="1">
      <alignment horizontal="right" vertical="center"/>
    </xf>
    <xf numFmtId="3" fontId="18" fillId="0" borderId="5" xfId="6" applyNumberFormat="1" applyFont="1" applyFill="1" applyBorder="1" applyAlignment="1">
      <alignment horizontal="right" vertical="center"/>
    </xf>
    <xf numFmtId="3" fontId="18" fillId="0" borderId="5" xfId="0" applyNumberFormat="1" applyFont="1" applyFill="1" applyBorder="1" applyAlignment="1">
      <alignment vertical="center" wrapText="1"/>
    </xf>
    <xf numFmtId="3" fontId="18" fillId="0" borderId="5" xfId="24" applyNumberFormat="1" applyFont="1" applyFill="1" applyBorder="1" applyAlignment="1">
      <alignment vertical="center" wrapText="1"/>
    </xf>
    <xf numFmtId="41" fontId="5" fillId="0" borderId="5" xfId="24" applyNumberFormat="1" applyFont="1" applyFill="1" applyBorder="1" applyAlignment="1">
      <alignment vertical="center" wrapText="1"/>
    </xf>
    <xf numFmtId="164" fontId="18" fillId="0" borderId="5" xfId="6" applyNumberFormat="1" applyFont="1" applyFill="1" applyBorder="1" applyAlignment="1">
      <alignment vertical="center"/>
    </xf>
    <xf numFmtId="164" fontId="18" fillId="0" borderId="5" xfId="24" applyNumberFormat="1" applyFont="1" applyFill="1" applyBorder="1" applyAlignment="1">
      <alignment vertical="center" wrapText="1"/>
    </xf>
    <xf numFmtId="3" fontId="18" fillId="0" borderId="5" xfId="0" applyNumberFormat="1" applyFont="1" applyFill="1" applyBorder="1" applyAlignment="1">
      <alignment horizontal="right" vertical="center" wrapText="1"/>
    </xf>
    <xf numFmtId="3" fontId="18" fillId="0" borderId="5" xfId="1" applyNumberFormat="1" applyFont="1" applyFill="1" applyBorder="1" applyAlignment="1">
      <alignment horizontal="right" vertical="center"/>
    </xf>
    <xf numFmtId="41" fontId="13" fillId="2" borderId="0" xfId="0" applyNumberFormat="1" applyFont="1" applyFill="1"/>
    <xf numFmtId="0" fontId="5" fillId="0" borderId="5" xfId="0" applyFont="1" applyFill="1" applyBorder="1" applyAlignment="1">
      <alignment horizontal="left" vertical="center" wrapText="1" indent="1"/>
    </xf>
    <xf numFmtId="1" fontId="5" fillId="0" borderId="5" xfId="4" applyNumberFormat="1" applyFont="1" applyFill="1" applyBorder="1" applyAlignment="1">
      <alignment vertical="center"/>
    </xf>
    <xf numFmtId="164" fontId="20" fillId="6" borderId="5" xfId="4" applyNumberFormat="1" applyFont="1" applyFill="1" applyBorder="1" applyAlignment="1">
      <alignment vertical="center"/>
    </xf>
    <xf numFmtId="41" fontId="20" fillId="2" borderId="5" xfId="0" applyNumberFormat="1" applyFont="1" applyFill="1" applyBorder="1" applyAlignment="1">
      <alignment horizontal="right" vertical="center" wrapText="1"/>
    </xf>
    <xf numFmtId="165" fontId="20" fillId="2" borderId="5" xfId="0" applyNumberFormat="1" applyFont="1" applyFill="1" applyBorder="1" applyAlignment="1">
      <alignment horizontal="right" vertical="center" wrapText="1"/>
    </xf>
    <xf numFmtId="41" fontId="5" fillId="0" borderId="5" xfId="6" applyNumberFormat="1" applyFont="1" applyFill="1" applyBorder="1" applyAlignment="1">
      <alignment horizontal="right" vertical="center" wrapText="1"/>
    </xf>
    <xf numFmtId="41" fontId="5" fillId="0" borderId="5" xfId="0" applyNumberFormat="1" applyFont="1" applyFill="1" applyBorder="1" applyAlignment="1">
      <alignment horizontal="center" vertical="center" wrapText="1"/>
    </xf>
    <xf numFmtId="41" fontId="22" fillId="0" borderId="5" xfId="0" applyNumberFormat="1" applyFont="1" applyFill="1" applyBorder="1" applyAlignment="1">
      <alignment vertical="center"/>
    </xf>
    <xf numFmtId="165" fontId="22" fillId="0" borderId="5" xfId="0" applyNumberFormat="1" applyFont="1" applyFill="1" applyBorder="1" applyAlignment="1">
      <alignment horizontal="right" vertical="center" wrapText="1"/>
    </xf>
    <xf numFmtId="3" fontId="5" fillId="0" borderId="5" xfId="2" applyNumberFormat="1" applyFont="1" applyFill="1" applyBorder="1" applyAlignment="1">
      <alignment horizontal="right" vertical="center"/>
    </xf>
    <xf numFmtId="3" fontId="17" fillId="0" borderId="5" xfId="0" applyNumberFormat="1" applyFont="1" applyFill="1" applyBorder="1" applyAlignment="1">
      <alignment vertical="center"/>
    </xf>
    <xf numFmtId="41" fontId="20" fillId="2" borderId="5" xfId="0" applyNumberFormat="1" applyFont="1" applyFill="1" applyBorder="1" applyAlignment="1">
      <alignment vertical="center"/>
    </xf>
    <xf numFmtId="3" fontId="20" fillId="2" borderId="5" xfId="0" applyNumberFormat="1" applyFont="1" applyFill="1" applyBorder="1" applyAlignment="1">
      <alignment vertical="center"/>
    </xf>
    <xf numFmtId="41" fontId="21" fillId="0" borderId="5" xfId="0" applyNumberFormat="1" applyFont="1" applyFill="1" applyBorder="1" applyAlignment="1">
      <alignment vertical="center"/>
    </xf>
    <xf numFmtId="165" fontId="21" fillId="0" borderId="5" xfId="0" applyNumberFormat="1" applyFont="1" applyFill="1" applyBorder="1" applyAlignment="1">
      <alignment vertical="center"/>
    </xf>
    <xf numFmtId="49" fontId="21" fillId="0" borderId="5" xfId="4" quotePrefix="1" applyNumberFormat="1" applyFont="1" applyFill="1" applyBorder="1" applyAlignment="1">
      <alignment horizontal="center" vertical="center"/>
    </xf>
    <xf numFmtId="41" fontId="5" fillId="0" borderId="5" xfId="5" applyNumberFormat="1" applyFont="1" applyFill="1" applyBorder="1" applyAlignment="1">
      <alignment horizontal="center" vertical="center"/>
    </xf>
    <xf numFmtId="3" fontId="5" fillId="0" borderId="5" xfId="0" applyNumberFormat="1" applyFont="1" applyFill="1" applyBorder="1" applyAlignment="1">
      <alignment horizontal="center" wrapText="1"/>
    </xf>
    <xf numFmtId="3" fontId="5" fillId="0" borderId="5" xfId="4" applyNumberFormat="1" applyFont="1" applyFill="1" applyBorder="1" applyAlignment="1">
      <alignment vertical="center"/>
    </xf>
    <xf numFmtId="164" fontId="13" fillId="2" borderId="0" xfId="0" applyNumberFormat="1" applyFont="1" applyFill="1"/>
    <xf numFmtId="41" fontId="5" fillId="0" borderId="10" xfId="4" applyNumberFormat="1" applyFont="1" applyFill="1" applyBorder="1" applyAlignment="1">
      <alignment vertical="center"/>
    </xf>
    <xf numFmtId="0" fontId="13" fillId="0" borderId="0" xfId="0" applyFont="1" applyAlignment="1">
      <alignment horizontal="center" wrapText="1"/>
    </xf>
    <xf numFmtId="164" fontId="13" fillId="0" borderId="0" xfId="0" applyNumberFormat="1" applyFont="1" applyAlignment="1">
      <alignment vertical="center"/>
    </xf>
    <xf numFmtId="3" fontId="58" fillId="0" borderId="5" xfId="0" applyNumberFormat="1" applyFont="1" applyFill="1" applyBorder="1" applyAlignment="1">
      <alignment horizontal="right" vertical="center" wrapText="1"/>
    </xf>
    <xf numFmtId="41" fontId="57" fillId="0" borderId="5" xfId="0" applyNumberFormat="1" applyFont="1" applyFill="1" applyBorder="1" applyAlignment="1">
      <alignment horizontal="right" vertical="center" wrapText="1"/>
    </xf>
    <xf numFmtId="41" fontId="57" fillId="0" borderId="5" xfId="0" applyNumberFormat="1" applyFont="1" applyFill="1" applyBorder="1" applyAlignment="1">
      <alignment vertical="center" wrapText="1"/>
    </xf>
    <xf numFmtId="41" fontId="57" fillId="0" borderId="5" xfId="0" applyNumberFormat="1" applyFont="1" applyFill="1" applyBorder="1" applyAlignment="1">
      <alignment vertical="center"/>
    </xf>
    <xf numFmtId="41" fontId="57" fillId="0" borderId="5" xfId="4" applyNumberFormat="1" applyFont="1" applyFill="1" applyBorder="1" applyAlignment="1">
      <alignment vertical="center"/>
    </xf>
    <xf numFmtId="3" fontId="57" fillId="0" borderId="5" xfId="0" applyNumberFormat="1" applyFont="1" applyFill="1" applyBorder="1" applyAlignment="1">
      <alignment horizontal="right" vertical="center" wrapText="1"/>
    </xf>
    <xf numFmtId="3" fontId="57" fillId="0" borderId="5" xfId="0" applyNumberFormat="1" applyFont="1" applyFill="1" applyBorder="1" applyAlignment="1">
      <alignment vertical="center"/>
    </xf>
    <xf numFmtId="41" fontId="57" fillId="0" borderId="5" xfId="4" applyNumberFormat="1" applyFont="1" applyFill="1" applyBorder="1" applyAlignment="1">
      <alignment horizontal="right" vertical="center"/>
    </xf>
    <xf numFmtId="41" fontId="62" fillId="0" borderId="5" xfId="4" applyNumberFormat="1" applyFont="1" applyFill="1" applyBorder="1" applyAlignment="1">
      <alignment horizontal="right" vertical="center"/>
    </xf>
    <xf numFmtId="1" fontId="20" fillId="6" borderId="5" xfId="4" applyNumberFormat="1" applyFont="1" applyFill="1" applyBorder="1" applyAlignment="1">
      <alignment horizontal="center" vertical="center"/>
    </xf>
    <xf numFmtId="1" fontId="20" fillId="6" borderId="5" xfId="4" applyNumberFormat="1" applyFont="1" applyFill="1" applyBorder="1" applyAlignment="1">
      <alignment horizontal="left" vertical="center" wrapText="1"/>
    </xf>
    <xf numFmtId="1" fontId="5" fillId="6" borderId="5" xfId="4" applyNumberFormat="1" applyFont="1" applyFill="1" applyBorder="1" applyAlignment="1">
      <alignment horizontal="center" vertical="center" wrapText="1"/>
    </xf>
    <xf numFmtId="1" fontId="5" fillId="6" borderId="5" xfId="4" applyNumberFormat="1" applyFont="1" applyFill="1" applyBorder="1" applyAlignment="1">
      <alignment horizontal="right" vertical="center"/>
    </xf>
    <xf numFmtId="41" fontId="5" fillId="0" borderId="5" xfId="4" applyNumberFormat="1" applyFont="1" applyFill="1" applyBorder="1" applyAlignment="1">
      <alignment horizontal="right" vertical="center" wrapText="1"/>
    </xf>
    <xf numFmtId="41" fontId="21" fillId="0" borderId="5" xfId="0" applyNumberFormat="1" applyFont="1" applyFill="1" applyBorder="1" applyAlignment="1">
      <alignment horizontal="right" vertical="center" wrapText="1"/>
    </xf>
    <xf numFmtId="1" fontId="21" fillId="0" borderId="5" xfId="4" applyNumberFormat="1" applyFont="1" applyFill="1" applyBorder="1" applyAlignment="1">
      <alignment horizontal="right" vertical="center" wrapText="1"/>
    </xf>
    <xf numFmtId="3" fontId="5" fillId="0" borderId="5" xfId="23" applyNumberFormat="1" applyFont="1" applyFill="1" applyBorder="1" applyAlignment="1">
      <alignment horizontal="justify" vertical="center" wrapText="1"/>
    </xf>
    <xf numFmtId="41" fontId="5" fillId="0" borderId="5" xfId="8" applyNumberFormat="1" applyFont="1" applyFill="1" applyBorder="1" applyAlignment="1">
      <alignment horizontal="right" vertical="center"/>
    </xf>
    <xf numFmtId="41" fontId="5" fillId="0" borderId="5" xfId="25" quotePrefix="1" applyNumberFormat="1" applyFont="1" applyFill="1" applyBorder="1" applyAlignment="1">
      <alignment horizontal="right" vertical="center" wrapText="1"/>
    </xf>
    <xf numFmtId="1" fontId="18" fillId="0" borderId="5" xfId="4" applyNumberFormat="1" applyFont="1" applyFill="1" applyBorder="1" applyAlignment="1">
      <alignment horizontal="center" vertical="center" wrapText="1"/>
    </xf>
    <xf numFmtId="1" fontId="5" fillId="2" borderId="5" xfId="4" applyNumberFormat="1" applyFont="1" applyFill="1" applyBorder="1" applyAlignment="1">
      <alignment horizontal="right" vertical="center" wrapText="1"/>
    </xf>
    <xf numFmtId="164" fontId="18" fillId="0" borderId="5" xfId="4" applyNumberFormat="1" applyFont="1" applyFill="1" applyBorder="1" applyAlignment="1">
      <alignment vertical="center"/>
    </xf>
    <xf numFmtId="41" fontId="57" fillId="0" borderId="5" xfId="6" applyNumberFormat="1" applyFont="1" applyFill="1" applyBorder="1" applyAlignment="1">
      <alignment horizontal="right" vertical="center"/>
    </xf>
    <xf numFmtId="41" fontId="58" fillId="0" borderId="5" xfId="4" applyNumberFormat="1" applyFont="1" applyFill="1" applyBorder="1" applyAlignment="1">
      <alignment vertical="center"/>
    </xf>
    <xf numFmtId="164" fontId="18" fillId="0" borderId="5" xfId="0" applyNumberFormat="1" applyFont="1" applyFill="1" applyBorder="1" applyAlignment="1">
      <alignment vertical="center" wrapText="1"/>
    </xf>
    <xf numFmtId="0" fontId="5" fillId="0" borderId="5" xfId="17" applyFont="1" applyFill="1" applyBorder="1" applyAlignment="1">
      <alignment horizontal="left" vertical="center" wrapText="1"/>
    </xf>
    <xf numFmtId="0" fontId="5" fillId="0" borderId="5" xfId="16" applyFont="1" applyFill="1" applyBorder="1" applyAlignment="1">
      <alignment horizontal="left" vertical="center" wrapText="1"/>
    </xf>
    <xf numFmtId="0" fontId="5" fillId="0" borderId="5" xfId="21" applyFont="1" applyFill="1" applyBorder="1" applyAlignment="1">
      <alignment horizontal="left" vertical="center" wrapText="1"/>
    </xf>
    <xf numFmtId="0" fontId="5" fillId="0" borderId="5" xfId="0" applyFont="1" applyFill="1" applyBorder="1" applyAlignment="1">
      <alignment horizontal="justify" vertical="center" wrapText="1"/>
    </xf>
    <xf numFmtId="41" fontId="5" fillId="0" borderId="5" xfId="10" applyNumberFormat="1" applyFont="1" applyFill="1" applyBorder="1" applyAlignment="1">
      <alignment horizontal="right" vertical="center" wrapText="1"/>
    </xf>
    <xf numFmtId="3" fontId="5" fillId="0" borderId="5" xfId="23" applyNumberFormat="1" applyFont="1" applyFill="1" applyBorder="1" applyAlignment="1">
      <alignment horizontal="right" vertical="center" wrapText="1"/>
    </xf>
    <xf numFmtId="165" fontId="5" fillId="0" borderId="5" xfId="1" applyNumberFormat="1" applyFont="1" applyFill="1" applyBorder="1" applyAlignment="1">
      <alignment horizontal="right" vertical="center" wrapText="1"/>
    </xf>
    <xf numFmtId="3" fontId="5" fillId="0" borderId="5" xfId="24" applyNumberFormat="1" applyFont="1" applyFill="1" applyBorder="1" applyAlignment="1">
      <alignment horizontal="center" vertical="top" wrapText="1"/>
    </xf>
    <xf numFmtId="1" fontId="18" fillId="0" borderId="5" xfId="4" applyNumberFormat="1" applyFont="1" applyFill="1" applyBorder="1" applyAlignment="1">
      <alignment horizontal="right" vertical="center"/>
    </xf>
    <xf numFmtId="164" fontId="18" fillId="0" borderId="5" xfId="1" applyNumberFormat="1" applyFont="1" applyFill="1" applyBorder="1" applyAlignment="1">
      <alignment vertical="center"/>
    </xf>
    <xf numFmtId="41" fontId="4" fillId="0" borderId="5" xfId="6" applyNumberFormat="1" applyFont="1" applyFill="1" applyBorder="1" applyAlignment="1">
      <alignment horizontal="right" vertical="center"/>
    </xf>
    <xf numFmtId="0" fontId="20" fillId="2" borderId="5" xfId="0" applyFont="1" applyFill="1" applyBorder="1" applyAlignment="1">
      <alignment horizontal="center" vertical="center" wrapText="1"/>
    </xf>
    <xf numFmtId="3" fontId="5" fillId="0" borderId="5" xfId="24" quotePrefix="1" applyNumberFormat="1" applyFont="1" applyFill="1" applyBorder="1" applyAlignment="1">
      <alignment horizontal="center" vertical="center" wrapText="1"/>
    </xf>
    <xf numFmtId="0" fontId="5" fillId="0" borderId="5" xfId="15" applyFont="1" applyFill="1" applyBorder="1" applyAlignment="1">
      <alignment vertical="center" wrapText="1"/>
    </xf>
    <xf numFmtId="0" fontId="5" fillId="0" borderId="5" xfId="15" applyFont="1" applyFill="1" applyBorder="1" applyAlignment="1">
      <alignment horizontal="center" vertical="center" wrapText="1"/>
    </xf>
    <xf numFmtId="41" fontId="5" fillId="0" borderId="5" xfId="15" applyNumberFormat="1" applyFont="1" applyFill="1" applyBorder="1" applyAlignment="1">
      <alignment horizontal="right" vertical="center" wrapText="1"/>
    </xf>
    <xf numFmtId="1" fontId="5" fillId="0" borderId="5" xfId="25" applyNumberFormat="1" applyFont="1" applyFill="1" applyBorder="1" applyAlignment="1">
      <alignment vertical="center" wrapText="1"/>
    </xf>
    <xf numFmtId="1" fontId="5" fillId="0" borderId="5" xfId="25" applyNumberFormat="1" applyFont="1" applyFill="1" applyBorder="1" applyAlignment="1">
      <alignment horizontal="center" vertical="center" wrapText="1"/>
    </xf>
    <xf numFmtId="41" fontId="5" fillId="0" borderId="5" xfId="25" applyNumberFormat="1" applyFont="1" applyFill="1" applyBorder="1" applyAlignment="1">
      <alignment vertical="center" wrapText="1"/>
    </xf>
    <xf numFmtId="41" fontId="4" fillId="0" borderId="5" xfId="25" applyNumberFormat="1" applyFont="1" applyFill="1" applyBorder="1" applyAlignment="1">
      <alignment vertical="center" wrapText="1"/>
    </xf>
    <xf numFmtId="3" fontId="5" fillId="0" borderId="5" xfId="8" applyNumberFormat="1" applyFont="1" applyFill="1" applyBorder="1" applyAlignment="1">
      <alignment horizontal="center" vertical="center" wrapText="1"/>
    </xf>
    <xf numFmtId="3" fontId="5" fillId="0" borderId="5" xfId="25" applyNumberFormat="1" applyFont="1" applyFill="1" applyBorder="1" applyAlignment="1">
      <alignment horizontal="center" vertical="center" wrapText="1"/>
    </xf>
    <xf numFmtId="41" fontId="57" fillId="0" borderId="5" xfId="25" applyNumberFormat="1" applyFont="1" applyFill="1" applyBorder="1" applyAlignment="1">
      <alignment vertical="center" wrapText="1"/>
    </xf>
    <xf numFmtId="0" fontId="20" fillId="2" borderId="5" xfId="0" applyFont="1" applyFill="1" applyBorder="1" applyAlignment="1">
      <alignment horizontal="center" vertical="center"/>
    </xf>
    <xf numFmtId="41" fontId="5" fillId="0" borderId="5" xfId="23" applyNumberFormat="1" applyFont="1" applyFill="1" applyBorder="1" applyAlignment="1">
      <alignment vertical="center" wrapText="1"/>
    </xf>
    <xf numFmtId="3" fontId="20" fillId="2" borderId="5" xfId="0" applyNumberFormat="1" applyFont="1" applyFill="1" applyBorder="1" applyAlignment="1">
      <alignment horizontal="left" vertical="center" wrapText="1"/>
    </xf>
    <xf numFmtId="3" fontId="5" fillId="0" borderId="5" xfId="0" quotePrefix="1" applyNumberFormat="1" applyFont="1" applyFill="1" applyBorder="1" applyAlignment="1">
      <alignment horizontal="center" vertical="center"/>
    </xf>
    <xf numFmtId="41" fontId="5" fillId="0" borderId="5" xfId="23" applyNumberFormat="1" applyFont="1" applyFill="1" applyBorder="1" applyAlignment="1">
      <alignment horizontal="center" vertical="center" wrapText="1"/>
    </xf>
    <xf numFmtId="41" fontId="5" fillId="0" borderId="5" xfId="0" applyNumberFormat="1" applyFont="1" applyFill="1" applyBorder="1" applyAlignment="1">
      <alignment horizontal="center" vertical="center"/>
    </xf>
    <xf numFmtId="164" fontId="5" fillId="0" borderId="5" xfId="0" applyNumberFormat="1" applyFont="1" applyFill="1" applyBorder="1" applyAlignment="1">
      <alignment horizontal="center" vertical="center" wrapText="1"/>
    </xf>
    <xf numFmtId="41" fontId="5" fillId="0" borderId="5" xfId="23" applyNumberFormat="1" applyFont="1" applyFill="1" applyBorder="1" applyAlignment="1">
      <alignment horizontal="right" vertical="center" wrapText="1"/>
    </xf>
    <xf numFmtId="0" fontId="18" fillId="0" borderId="5" xfId="0" applyFont="1" applyFill="1" applyBorder="1" applyAlignment="1">
      <alignment horizontal="center" vertical="center" wrapText="1"/>
    </xf>
    <xf numFmtId="164" fontId="22" fillId="0" borderId="5" xfId="0" applyNumberFormat="1" applyFont="1" applyFill="1" applyBorder="1" applyAlignment="1">
      <alignment vertical="center"/>
    </xf>
    <xf numFmtId="41" fontId="5" fillId="0" borderId="5" xfId="2" applyNumberFormat="1" applyFont="1" applyFill="1" applyBorder="1" applyAlignment="1">
      <alignment horizontal="right" vertical="center"/>
    </xf>
    <xf numFmtId="164" fontId="5" fillId="0" borderId="5" xfId="2" applyNumberFormat="1" applyFont="1" applyFill="1" applyBorder="1" applyAlignment="1">
      <alignment vertical="center"/>
    </xf>
    <xf numFmtId="1" fontId="17" fillId="0" borderId="5" xfId="4" applyNumberFormat="1" applyFont="1" applyFill="1" applyBorder="1" applyAlignment="1">
      <alignment horizontal="center" vertical="center"/>
    </xf>
    <xf numFmtId="0" fontId="17" fillId="0" borderId="5" xfId="16" applyFont="1" applyFill="1" applyBorder="1" applyAlignment="1">
      <alignment horizontal="left" vertical="center" wrapText="1"/>
    </xf>
    <xf numFmtId="0" fontId="17" fillId="0" borderId="5" xfId="0" applyFont="1" applyFill="1" applyBorder="1" applyAlignment="1">
      <alignment horizontal="center" vertical="center"/>
    </xf>
    <xf numFmtId="41" fontId="17" fillId="0" borderId="5" xfId="2" applyNumberFormat="1" applyFont="1" applyFill="1" applyBorder="1" applyAlignment="1">
      <alignment horizontal="right" vertical="center"/>
    </xf>
    <xf numFmtId="41" fontId="17" fillId="0" borderId="5" xfId="0" applyNumberFormat="1" applyFont="1" applyFill="1" applyBorder="1" applyAlignment="1">
      <alignment horizontal="right" vertical="center" wrapText="1"/>
    </xf>
    <xf numFmtId="41" fontId="23" fillId="0" borderId="5" xfId="4" applyNumberFormat="1" applyFont="1" applyFill="1" applyBorder="1" applyAlignment="1">
      <alignment vertical="center"/>
    </xf>
    <xf numFmtId="164" fontId="17" fillId="0" borderId="5" xfId="0" applyNumberFormat="1" applyFont="1" applyFill="1" applyBorder="1" applyAlignment="1">
      <alignment vertical="center"/>
    </xf>
    <xf numFmtId="1" fontId="17" fillId="0" borderId="5" xfId="4" applyNumberFormat="1" applyFont="1" applyFill="1" applyBorder="1" applyAlignment="1">
      <alignment horizontal="right" vertical="center" wrapText="1"/>
    </xf>
    <xf numFmtId="3" fontId="5" fillId="0" borderId="5" xfId="23" quotePrefix="1" applyNumberFormat="1" applyFont="1" applyFill="1" applyBorder="1" applyAlignment="1">
      <alignment horizontal="center" vertical="center" wrapText="1"/>
    </xf>
    <xf numFmtId="1" fontId="5" fillId="0" borderId="5" xfId="4" applyNumberFormat="1" applyFont="1" applyFill="1" applyBorder="1" applyAlignment="1">
      <alignment vertical="center" wrapText="1"/>
    </xf>
    <xf numFmtId="3" fontId="4" fillId="0" borderId="5" xfId="4" applyNumberFormat="1" applyFont="1" applyFill="1" applyBorder="1" applyAlignment="1">
      <alignment vertical="center"/>
    </xf>
    <xf numFmtId="3" fontId="57" fillId="0" borderId="5" xfId="4" applyNumberFormat="1" applyFont="1" applyFill="1" applyBorder="1" applyAlignment="1">
      <alignment vertical="center"/>
    </xf>
    <xf numFmtId="164" fontId="5" fillId="0" borderId="10" xfId="4" applyNumberFormat="1" applyFont="1" applyFill="1" applyBorder="1" applyAlignment="1">
      <alignment vertical="center"/>
    </xf>
    <xf numFmtId="0" fontId="63" fillId="0" borderId="8" xfId="0" applyFont="1" applyBorder="1" applyAlignment="1">
      <alignment horizontal="center" vertical="center" wrapText="1"/>
    </xf>
    <xf numFmtId="0" fontId="63" fillId="0" borderId="8" xfId="0" applyFont="1" applyBorder="1" applyAlignment="1">
      <alignment horizontal="left" vertical="center" wrapText="1"/>
    </xf>
    <xf numFmtId="3" fontId="63" fillId="0" borderId="8" xfId="0" applyNumberFormat="1" applyFont="1" applyBorder="1" applyAlignment="1">
      <alignment horizontal="right" vertical="center" wrapText="1"/>
    </xf>
    <xf numFmtId="3" fontId="63" fillId="0" borderId="8" xfId="0" applyNumberFormat="1" applyFont="1" applyBorder="1" applyAlignment="1">
      <alignment horizontal="center" vertical="center" wrapText="1"/>
    </xf>
    <xf numFmtId="3" fontId="63" fillId="0" borderId="23" xfId="0" applyNumberFormat="1" applyFont="1" applyBorder="1" applyAlignment="1">
      <alignment horizontal="center" vertical="center" wrapText="1"/>
    </xf>
    <xf numFmtId="0" fontId="63" fillId="0" borderId="0" xfId="0" applyFont="1" applyAlignment="1">
      <alignment horizontal="center" vertical="center" wrapText="1"/>
    </xf>
    <xf numFmtId="0" fontId="63" fillId="0" borderId="5" xfId="0" applyFont="1" applyBorder="1" applyAlignment="1">
      <alignment horizontal="center" vertical="center" wrapText="1"/>
    </xf>
    <xf numFmtId="0" fontId="63" fillId="0" borderId="5" xfId="0" applyFont="1" applyBorder="1" applyAlignment="1">
      <alignment horizontal="left" vertical="center" wrapText="1"/>
    </xf>
    <xf numFmtId="3" fontId="63" fillId="0" borderId="5" xfId="0" applyNumberFormat="1" applyFont="1" applyBorder="1" applyAlignment="1">
      <alignment horizontal="right" vertical="center" wrapText="1"/>
    </xf>
    <xf numFmtId="3" fontId="63" fillId="0" borderId="5" xfId="0" applyNumberFormat="1" applyFont="1" applyBorder="1" applyAlignment="1">
      <alignment horizontal="center" vertical="center" wrapText="1"/>
    </xf>
    <xf numFmtId="3" fontId="63" fillId="0" borderId="20" xfId="0" applyNumberFormat="1" applyFont="1" applyBorder="1" applyAlignment="1">
      <alignment horizontal="center" vertical="center" wrapText="1"/>
    </xf>
    <xf numFmtId="0" fontId="64" fillId="0" borderId="5" xfId="0" applyFont="1" applyBorder="1" applyAlignment="1">
      <alignment horizontal="center" vertical="center" wrapText="1"/>
    </xf>
    <xf numFmtId="0" fontId="64" fillId="0" borderId="5" xfId="0" applyFont="1" applyBorder="1" applyAlignment="1">
      <alignment horizontal="left" vertical="center" wrapText="1"/>
    </xf>
    <xf numFmtId="3" fontId="64" fillId="0" borderId="5" xfId="0" applyNumberFormat="1" applyFont="1" applyBorder="1" applyAlignment="1">
      <alignment horizontal="right" vertical="center" wrapText="1"/>
    </xf>
    <xf numFmtId="3" fontId="64" fillId="0" borderId="20" xfId="0" applyNumberFormat="1" applyFont="1" applyBorder="1" applyAlignment="1">
      <alignment horizontal="center" vertical="center" wrapText="1"/>
    </xf>
    <xf numFmtId="0" fontId="64" fillId="0" borderId="0" xfId="0" applyFont="1" applyAlignment="1">
      <alignment horizontal="center" vertical="center" wrapText="1"/>
    </xf>
    <xf numFmtId="0" fontId="65" fillId="0" borderId="5" xfId="0" applyFont="1" applyBorder="1" applyAlignment="1">
      <alignment horizontal="left" vertical="center" wrapText="1"/>
    </xf>
    <xf numFmtId="0" fontId="63" fillId="0" borderId="6" xfId="0" applyFont="1" applyBorder="1" applyAlignment="1">
      <alignment horizontal="center" vertical="center" wrapText="1"/>
    </xf>
    <xf numFmtId="3" fontId="63" fillId="0" borderId="6" xfId="0" applyNumberFormat="1" applyFont="1" applyBorder="1" applyAlignment="1">
      <alignment horizontal="right" vertical="center" wrapText="1"/>
    </xf>
    <xf numFmtId="3" fontId="63" fillId="0" borderId="6" xfId="0" applyNumberFormat="1" applyFont="1" applyBorder="1" applyAlignment="1">
      <alignment horizontal="center" vertical="center" wrapText="1"/>
    </xf>
    <xf numFmtId="0" fontId="63" fillId="0" borderId="6" xfId="0" applyFont="1" applyBorder="1" applyAlignment="1">
      <alignment horizontal="left" vertical="center" wrapText="1"/>
    </xf>
    <xf numFmtId="41" fontId="12" fillId="3" borderId="5" xfId="15" applyNumberFormat="1" applyFont="1" applyFill="1" applyBorder="1" applyAlignment="1">
      <alignment horizontal="right" vertical="center"/>
    </xf>
    <xf numFmtId="1" fontId="5" fillId="3" borderId="5" xfId="4" applyNumberFormat="1" applyFont="1" applyFill="1" applyBorder="1" applyAlignment="1">
      <alignment horizontal="center" vertical="center" wrapText="1"/>
    </xf>
    <xf numFmtId="3" fontId="25" fillId="0" borderId="5" xfId="4" applyNumberFormat="1" applyFont="1" applyFill="1" applyBorder="1" applyAlignment="1">
      <alignment vertical="center" wrapText="1"/>
    </xf>
    <xf numFmtId="0" fontId="25" fillId="0" borderId="5" xfId="0" applyFont="1" applyFill="1" applyBorder="1" applyAlignment="1">
      <alignment vertical="center" wrapText="1"/>
    </xf>
    <xf numFmtId="3" fontId="25" fillId="0" borderId="5" xfId="0" applyNumberFormat="1" applyFont="1" applyFill="1" applyBorder="1" applyAlignment="1">
      <alignment vertical="center" wrapText="1"/>
    </xf>
    <xf numFmtId="0" fontId="25" fillId="0" borderId="5" xfId="0" applyNumberFormat="1" applyFont="1" applyFill="1" applyBorder="1" applyAlignment="1">
      <alignment vertical="center" wrapText="1"/>
    </xf>
    <xf numFmtId="0" fontId="25" fillId="0" borderId="8" xfId="15" applyFont="1" applyBorder="1" applyAlignment="1">
      <alignment horizontal="center" vertical="center" wrapText="1"/>
    </xf>
    <xf numFmtId="0" fontId="25" fillId="0" borderId="5" xfId="15" applyFont="1" applyBorder="1" applyAlignment="1">
      <alignment horizontal="center" vertical="center" wrapText="1"/>
    </xf>
    <xf numFmtId="0" fontId="16" fillId="0" borderId="0" xfId="15" applyFont="1" applyAlignment="1">
      <alignment horizontal="center"/>
    </xf>
    <xf numFmtId="0" fontId="25" fillId="0" borderId="11" xfId="15" applyFont="1" applyBorder="1" applyAlignment="1">
      <alignment horizontal="left" vertical="center" wrapText="1"/>
    </xf>
    <xf numFmtId="41" fontId="66" fillId="0" borderId="5" xfId="1" applyNumberFormat="1" applyFont="1" applyFill="1" applyBorder="1" applyAlignment="1">
      <alignment horizontal="right" vertical="center" wrapText="1"/>
    </xf>
    <xf numFmtId="41" fontId="66" fillId="0" borderId="5" xfId="0" applyNumberFormat="1" applyFont="1" applyFill="1" applyBorder="1" applyAlignment="1">
      <alignment horizontal="right" vertical="center" wrapText="1"/>
    </xf>
    <xf numFmtId="164" fontId="66" fillId="0" borderId="5" xfId="0" applyNumberFormat="1" applyFont="1" applyFill="1" applyBorder="1" applyAlignment="1">
      <alignment vertical="center"/>
    </xf>
    <xf numFmtId="164" fontId="66" fillId="0" borderId="5" xfId="0" applyNumberFormat="1" applyFont="1" applyFill="1" applyBorder="1" applyAlignment="1">
      <alignment vertical="center" wrapText="1"/>
    </xf>
    <xf numFmtId="3" fontId="66" fillId="0" borderId="0" xfId="4" applyNumberFormat="1" applyFont="1" applyFill="1" applyBorder="1" applyAlignment="1">
      <alignment vertical="center" wrapText="1"/>
    </xf>
    <xf numFmtId="49" fontId="66" fillId="0" borderId="5" xfId="4" applyNumberFormat="1" applyFont="1" applyFill="1" applyBorder="1" applyAlignment="1">
      <alignment horizontal="center" vertical="center"/>
    </xf>
    <xf numFmtId="0" fontId="66" fillId="0" borderId="5" xfId="0" applyFont="1" applyFill="1" applyBorder="1" applyAlignment="1">
      <alignment horizontal="center" vertical="center" wrapText="1"/>
    </xf>
    <xf numFmtId="41" fontId="68" fillId="0" borderId="5" xfId="4" applyNumberFormat="1" applyFont="1" applyFill="1" applyBorder="1" applyAlignment="1">
      <alignment vertical="center"/>
    </xf>
    <xf numFmtId="41" fontId="66" fillId="0" borderId="5" xfId="6" applyNumberFormat="1" applyFont="1" applyFill="1" applyBorder="1" applyAlignment="1">
      <alignment vertical="center" wrapText="1"/>
    </xf>
    <xf numFmtId="41" fontId="66" fillId="0" borderId="5" xfId="0" applyNumberFormat="1" applyFont="1" applyFill="1" applyBorder="1" applyAlignment="1">
      <alignment vertical="center" wrapText="1"/>
    </xf>
    <xf numFmtId="41" fontId="66" fillId="0" borderId="5" xfId="0" applyNumberFormat="1" applyFont="1" applyFill="1" applyBorder="1" applyAlignment="1">
      <alignment vertical="center"/>
    </xf>
    <xf numFmtId="41" fontId="66" fillId="0" borderId="5" xfId="4" applyNumberFormat="1" applyFont="1" applyFill="1" applyBorder="1" applyAlignment="1">
      <alignment vertical="center"/>
    </xf>
    <xf numFmtId="3" fontId="66" fillId="0" borderId="5" xfId="24" applyNumberFormat="1" applyFont="1" applyFill="1" applyBorder="1" applyAlignment="1">
      <alignment horizontal="center" vertical="center"/>
    </xf>
    <xf numFmtId="3" fontId="66" fillId="0" borderId="5" xfId="24" applyNumberFormat="1" applyFont="1" applyFill="1" applyBorder="1" applyAlignment="1">
      <alignment horizontal="center" vertical="center" wrapText="1"/>
    </xf>
    <xf numFmtId="3" fontId="66" fillId="0" borderId="5" xfId="23" applyNumberFormat="1" applyFont="1" applyFill="1" applyBorder="1" applyAlignment="1">
      <alignment horizontal="center" vertical="center" wrapText="1"/>
    </xf>
    <xf numFmtId="41" fontId="66" fillId="0" borderId="5" xfId="23" applyNumberFormat="1" applyFont="1" applyFill="1" applyBorder="1" applyAlignment="1">
      <alignment horizontal="right" vertical="center"/>
    </xf>
    <xf numFmtId="41" fontId="66" fillId="0" borderId="5" xfId="6" applyNumberFormat="1" applyFont="1" applyFill="1" applyBorder="1" applyAlignment="1">
      <alignment horizontal="right" vertical="center"/>
    </xf>
    <xf numFmtId="3" fontId="66" fillId="0" borderId="5" xfId="6" applyNumberFormat="1" applyFont="1" applyFill="1" applyBorder="1" applyAlignment="1">
      <alignment horizontal="right" vertical="center"/>
    </xf>
    <xf numFmtId="164" fontId="66" fillId="0" borderId="5" xfId="6" applyNumberFormat="1" applyFont="1" applyFill="1" applyBorder="1" applyAlignment="1">
      <alignment vertical="center"/>
    </xf>
    <xf numFmtId="41" fontId="66" fillId="0" borderId="5" xfId="4" applyNumberFormat="1" applyFont="1" applyFill="1" applyBorder="1" applyAlignment="1">
      <alignment horizontal="right" vertical="center"/>
    </xf>
    <xf numFmtId="1" fontId="66" fillId="0" borderId="5" xfId="4" applyNumberFormat="1" applyFont="1" applyFill="1" applyBorder="1" applyAlignment="1">
      <alignment horizontal="center" vertical="center" wrapText="1"/>
    </xf>
    <xf numFmtId="3" fontId="66" fillId="0" borderId="5" xfId="23" applyNumberFormat="1" applyFont="1" applyFill="1" applyBorder="1" applyAlignment="1">
      <alignment horizontal="left" vertical="center" wrapText="1"/>
    </xf>
    <xf numFmtId="41" fontId="69" fillId="0" borderId="5" xfId="4" applyNumberFormat="1" applyFont="1" applyFill="1" applyBorder="1" applyAlignment="1">
      <alignment horizontal="right" vertical="center"/>
    </xf>
    <xf numFmtId="3" fontId="66" fillId="0" borderId="5" xfId="0" applyNumberFormat="1" applyFont="1" applyFill="1" applyBorder="1" applyAlignment="1">
      <alignment vertical="center" wrapText="1"/>
    </xf>
    <xf numFmtId="1" fontId="69" fillId="0" borderId="5" xfId="4" applyNumberFormat="1" applyFont="1" applyFill="1" applyBorder="1" applyAlignment="1">
      <alignment horizontal="right" vertical="center"/>
    </xf>
    <xf numFmtId="3" fontId="68" fillId="0" borderId="5" xfId="4" applyNumberFormat="1" applyFont="1" applyFill="1" applyBorder="1" applyAlignment="1">
      <alignment horizontal="right" vertical="center"/>
    </xf>
    <xf numFmtId="164" fontId="68" fillId="0" borderId="5" xfId="4" applyNumberFormat="1" applyFont="1" applyFill="1" applyBorder="1" applyAlignment="1">
      <alignment vertical="center"/>
    </xf>
    <xf numFmtId="0" fontId="66" fillId="0" borderId="5" xfId="0" applyFont="1" applyFill="1" applyBorder="1" applyAlignment="1">
      <alignment horizontal="left" vertical="center" wrapText="1"/>
    </xf>
    <xf numFmtId="3" fontId="66" fillId="0" borderId="5" xfId="0" applyNumberFormat="1" applyFont="1" applyFill="1" applyBorder="1" applyAlignment="1">
      <alignment horizontal="center" vertical="center" wrapText="1"/>
    </xf>
    <xf numFmtId="3" fontId="66" fillId="0" borderId="5" xfId="0" applyNumberFormat="1" applyFont="1" applyFill="1" applyBorder="1" applyAlignment="1">
      <alignment horizontal="right" vertical="center" wrapText="1"/>
    </xf>
    <xf numFmtId="0" fontId="66" fillId="0" borderId="5" xfId="0" applyFont="1" applyFill="1" applyBorder="1" applyAlignment="1">
      <alignment horizontal="center" vertical="center"/>
    </xf>
    <xf numFmtId="41" fontId="66" fillId="0" borderId="5" xfId="6" applyNumberFormat="1" applyFont="1" applyFill="1" applyBorder="1" applyAlignment="1">
      <alignment vertical="center"/>
    </xf>
    <xf numFmtId="3" fontId="20" fillId="0" borderId="5" xfId="24" applyNumberFormat="1" applyFont="1" applyFill="1" applyBorder="1" applyAlignment="1">
      <alignment horizontal="center" vertical="center"/>
    </xf>
    <xf numFmtId="3" fontId="20" fillId="0" borderId="5" xfId="23" applyNumberFormat="1" applyFont="1" applyFill="1" applyBorder="1" applyAlignment="1">
      <alignment horizontal="left" vertical="center" wrapText="1"/>
    </xf>
    <xf numFmtId="3" fontId="20" fillId="0" borderId="5" xfId="24" applyNumberFormat="1" applyFont="1" applyFill="1" applyBorder="1" applyAlignment="1">
      <alignment horizontal="center" vertical="center" wrapText="1"/>
    </xf>
    <xf numFmtId="3" fontId="20" fillId="0" borderId="5" xfId="23" applyNumberFormat="1" applyFont="1" applyFill="1" applyBorder="1" applyAlignment="1">
      <alignment horizontal="center" vertical="center" wrapText="1"/>
    </xf>
    <xf numFmtId="41" fontId="20" fillId="0" borderId="5" xfId="23" applyNumberFormat="1" applyFont="1" applyFill="1" applyBorder="1" applyAlignment="1">
      <alignment horizontal="right" vertical="center"/>
    </xf>
    <xf numFmtId="41" fontId="20" fillId="0" borderId="5" xfId="0" applyNumberFormat="1" applyFont="1" applyFill="1" applyBorder="1" applyAlignment="1">
      <alignment horizontal="right" vertical="center" wrapText="1"/>
    </xf>
    <xf numFmtId="41" fontId="20" fillId="0" borderId="5" xfId="0" applyNumberFormat="1" applyFont="1" applyFill="1" applyBorder="1" applyAlignment="1">
      <alignment vertical="center" wrapText="1"/>
    </xf>
    <xf numFmtId="164" fontId="20" fillId="0" borderId="5" xfId="6" applyNumberFormat="1" applyFont="1" applyFill="1" applyBorder="1" applyAlignment="1">
      <alignment vertical="center"/>
    </xf>
    <xf numFmtId="41" fontId="71" fillId="0" borderId="5" xfId="4" applyNumberFormat="1" applyFont="1" applyFill="1" applyBorder="1" applyAlignment="1">
      <alignment vertical="center"/>
    </xf>
    <xf numFmtId="3" fontId="20" fillId="0" borderId="0" xfId="4" applyNumberFormat="1" applyFont="1" applyFill="1" applyBorder="1" applyAlignment="1">
      <alignment vertical="center" wrapText="1"/>
    </xf>
    <xf numFmtId="3" fontId="70" fillId="0" borderId="0" xfId="4" applyNumberFormat="1" applyFont="1" applyFill="1" applyBorder="1" applyAlignment="1">
      <alignment vertical="center" wrapText="1"/>
    </xf>
    <xf numFmtId="3" fontId="66" fillId="0" borderId="5" xfId="0" applyNumberFormat="1" applyFont="1" applyFill="1" applyBorder="1" applyAlignment="1">
      <alignment vertical="center"/>
    </xf>
    <xf numFmtId="1" fontId="66" fillId="0" borderId="5" xfId="4" applyNumberFormat="1" applyFont="1" applyFill="1" applyBorder="1" applyAlignment="1">
      <alignment horizontal="center" vertical="center"/>
    </xf>
    <xf numFmtId="3" fontId="66" fillId="0" borderId="5" xfId="0" applyNumberFormat="1" applyFont="1" applyFill="1" applyBorder="1" applyAlignment="1">
      <alignment horizontal="center" vertical="center"/>
    </xf>
    <xf numFmtId="49" fontId="69" fillId="0" borderId="5" xfId="4" applyNumberFormat="1" applyFont="1" applyFill="1" applyBorder="1" applyAlignment="1">
      <alignment horizontal="center" vertical="center"/>
    </xf>
    <xf numFmtId="1" fontId="69" fillId="0" borderId="5" xfId="4" applyNumberFormat="1" applyFont="1" applyFill="1" applyBorder="1" applyAlignment="1">
      <alignment vertical="center" wrapText="1"/>
    </xf>
    <xf numFmtId="41" fontId="12" fillId="3" borderId="0" xfId="15" applyNumberFormat="1" applyFont="1" applyFill="1" applyAlignment="1">
      <alignment horizontal="center" vertical="center"/>
    </xf>
    <xf numFmtId="3" fontId="66" fillId="0" borderId="5" xfId="0" applyNumberFormat="1" applyFont="1" applyFill="1" applyBorder="1" applyAlignment="1">
      <alignment horizontal="left" vertical="center" wrapText="1"/>
    </xf>
    <xf numFmtId="3" fontId="25" fillId="0" borderId="0" xfId="15" applyNumberFormat="1" applyFont="1"/>
    <xf numFmtId="41" fontId="20" fillId="0" borderId="5" xfId="4" quotePrefix="1" applyNumberFormat="1" applyFont="1" applyFill="1" applyBorder="1" applyAlignment="1">
      <alignment horizontal="right" vertical="center" wrapText="1"/>
    </xf>
    <xf numFmtId="41" fontId="5" fillId="0" borderId="5" xfId="24" applyNumberFormat="1" applyFont="1" applyFill="1" applyBorder="1" applyAlignment="1">
      <alignment horizontal="right" vertical="center"/>
    </xf>
    <xf numFmtId="0" fontId="5" fillId="0" borderId="5" xfId="0" applyFont="1" applyFill="1" applyBorder="1" applyAlignment="1">
      <alignment horizontal="left" vertical="center"/>
    </xf>
    <xf numFmtId="41" fontId="70" fillId="0" borderId="5" xfId="4" applyNumberFormat="1" applyFont="1" applyFill="1" applyBorder="1" applyAlignment="1">
      <alignment horizontal="right" vertical="center"/>
    </xf>
    <xf numFmtId="1" fontId="66" fillId="0" borderId="5" xfId="4" applyNumberFormat="1" applyFont="1" applyFill="1" applyBorder="1" applyAlignment="1">
      <alignment horizontal="right" vertical="center"/>
    </xf>
    <xf numFmtId="165" fontId="4" fillId="0" borderId="5" xfId="1" applyNumberFormat="1" applyFont="1" applyFill="1" applyBorder="1" applyAlignment="1">
      <alignment horizontal="right" vertical="center" wrapText="1"/>
    </xf>
    <xf numFmtId="41" fontId="4" fillId="0" borderId="5" xfId="24" applyNumberFormat="1" applyFont="1" applyFill="1" applyBorder="1" applyAlignment="1">
      <alignment vertical="center" wrapText="1"/>
    </xf>
    <xf numFmtId="1" fontId="6" fillId="0" borderId="5" xfId="4" applyNumberFormat="1" applyFont="1" applyFill="1" applyBorder="1" applyAlignment="1">
      <alignment horizontal="center" vertical="center" wrapText="1"/>
    </xf>
    <xf numFmtId="41" fontId="22" fillId="0" borderId="5" xfId="25" applyNumberFormat="1" applyFont="1" applyFill="1" applyBorder="1" applyAlignment="1">
      <alignment vertical="center" wrapText="1"/>
    </xf>
    <xf numFmtId="41" fontId="22" fillId="0" borderId="5" xfId="4" applyNumberFormat="1" applyFont="1" applyFill="1" applyBorder="1" applyAlignment="1">
      <alignment vertical="center"/>
    </xf>
    <xf numFmtId="164" fontId="22" fillId="0" borderId="5" xfId="4" applyNumberFormat="1" applyFont="1" applyFill="1" applyBorder="1" applyAlignment="1">
      <alignment vertical="center"/>
    </xf>
    <xf numFmtId="0" fontId="20" fillId="2" borderId="5" xfId="0" applyFont="1" applyFill="1" applyBorder="1" applyAlignment="1">
      <alignment horizontal="left" vertical="center" wrapText="1"/>
    </xf>
    <xf numFmtId="1" fontId="20" fillId="2" borderId="5" xfId="4" applyNumberFormat="1" applyFont="1" applyFill="1" applyBorder="1" applyAlignment="1">
      <alignment horizontal="right" vertical="center" wrapText="1"/>
    </xf>
    <xf numFmtId="41" fontId="66" fillId="0" borderId="5" xfId="6" applyNumberFormat="1" applyFont="1" applyFill="1" applyBorder="1" applyAlignment="1">
      <alignment horizontal="right" vertical="center" wrapText="1"/>
    </xf>
    <xf numFmtId="0" fontId="5" fillId="0" borderId="5" xfId="0" applyFont="1" applyFill="1" applyBorder="1" applyAlignment="1">
      <alignment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center" vertical="center"/>
    </xf>
    <xf numFmtId="41" fontId="4" fillId="0" borderId="5" xfId="2" applyNumberFormat="1" applyFont="1" applyFill="1" applyBorder="1" applyAlignment="1">
      <alignment vertical="center"/>
    </xf>
    <xf numFmtId="0" fontId="49" fillId="0" borderId="5" xfId="15" applyFont="1" applyBorder="1" applyAlignment="1">
      <alignment horizontal="center" vertical="center"/>
    </xf>
    <xf numFmtId="0" fontId="49" fillId="0" borderId="5" xfId="15" applyFont="1" applyBorder="1" applyAlignment="1">
      <alignment horizontal="left" vertical="center" wrapText="1"/>
    </xf>
    <xf numFmtId="0" fontId="49" fillId="0" borderId="0" xfId="15" applyFont="1" applyAlignment="1">
      <alignment horizontal="center" vertical="center"/>
    </xf>
    <xf numFmtId="3" fontId="49" fillId="0" borderId="0" xfId="15" applyNumberFormat="1" applyFont="1" applyAlignment="1">
      <alignment horizontal="center" vertical="center"/>
    </xf>
    <xf numFmtId="3" fontId="17" fillId="0" borderId="5" xfId="0" quotePrefix="1" applyNumberFormat="1" applyFont="1" applyFill="1" applyBorder="1" applyAlignment="1">
      <alignment vertical="center" wrapText="1"/>
    </xf>
    <xf numFmtId="3" fontId="17" fillId="0" borderId="5" xfId="0" applyNumberFormat="1" applyFont="1" applyFill="1" applyBorder="1" applyAlignment="1">
      <alignment horizontal="center" vertical="center" wrapText="1"/>
    </xf>
    <xf numFmtId="3" fontId="17" fillId="0" borderId="5" xfId="0" applyNumberFormat="1" applyFont="1" applyFill="1" applyBorder="1" applyAlignment="1">
      <alignment horizontal="center" vertical="center"/>
    </xf>
    <xf numFmtId="41" fontId="17" fillId="0" borderId="5" xfId="2" applyNumberFormat="1" applyFont="1" applyFill="1" applyBorder="1" applyAlignment="1">
      <alignment vertical="center"/>
    </xf>
    <xf numFmtId="3" fontId="17" fillId="0" borderId="5" xfId="4" applyNumberFormat="1" applyFont="1" applyFill="1" applyBorder="1" applyAlignment="1">
      <alignment vertical="center"/>
    </xf>
    <xf numFmtId="1" fontId="17" fillId="0" borderId="5" xfId="4" applyNumberFormat="1" applyFont="1" applyFill="1" applyBorder="1" applyAlignment="1">
      <alignment vertical="center"/>
    </xf>
    <xf numFmtId="3" fontId="17" fillId="0" borderId="0" xfId="4" applyNumberFormat="1" applyFont="1" applyFill="1" applyBorder="1" applyAlignment="1">
      <alignment vertical="center" wrapText="1"/>
    </xf>
    <xf numFmtId="3" fontId="5" fillId="0" borderId="11" xfId="4" quotePrefix="1" applyNumberFormat="1" applyFont="1" applyFill="1" applyBorder="1" applyAlignment="1">
      <alignment horizontal="center" vertical="center" wrapText="1"/>
    </xf>
    <xf numFmtId="41" fontId="20" fillId="0" borderId="11" xfId="4" quotePrefix="1" applyNumberFormat="1" applyFont="1" applyFill="1" applyBorder="1" applyAlignment="1">
      <alignment vertical="center" wrapText="1"/>
    </xf>
    <xf numFmtId="41" fontId="20" fillId="0" borderId="11" xfId="4" applyNumberFormat="1" applyFont="1" applyFill="1" applyBorder="1" applyAlignment="1">
      <alignment vertical="center"/>
    </xf>
    <xf numFmtId="41" fontId="20" fillId="2" borderId="11" xfId="4" applyNumberFormat="1" applyFont="1" applyFill="1" applyBorder="1" applyAlignment="1">
      <alignment vertical="center"/>
    </xf>
    <xf numFmtId="41" fontId="4" fillId="0" borderId="11" xfId="0" applyNumberFormat="1" applyFont="1" applyFill="1" applyBorder="1" applyAlignment="1">
      <alignment vertical="center"/>
    </xf>
    <xf numFmtId="41" fontId="4" fillId="0" borderId="11" xfId="0" applyNumberFormat="1" applyFont="1" applyFill="1" applyBorder="1" applyAlignment="1">
      <alignment vertical="center" wrapText="1"/>
    </xf>
    <xf numFmtId="41" fontId="5" fillId="0" borderId="11" xfId="0" applyNumberFormat="1" applyFont="1" applyFill="1" applyBorder="1" applyAlignment="1">
      <alignment vertical="center"/>
    </xf>
    <xf numFmtId="41" fontId="55" fillId="0" borderId="11" xfId="0" applyNumberFormat="1" applyFont="1" applyFill="1" applyBorder="1" applyAlignment="1">
      <alignment vertical="center"/>
    </xf>
    <xf numFmtId="1" fontId="5" fillId="3" borderId="11" xfId="4" applyNumberFormat="1" applyFont="1" applyFill="1" applyBorder="1" applyAlignment="1">
      <alignment horizontal="center" vertical="center" wrapText="1"/>
    </xf>
    <xf numFmtId="41" fontId="66" fillId="0" borderId="11" xfId="0" applyNumberFormat="1" applyFont="1" applyFill="1" applyBorder="1" applyAlignment="1">
      <alignment vertical="center"/>
    </xf>
    <xf numFmtId="1" fontId="17" fillId="0" borderId="24" xfId="4" applyNumberFormat="1" applyFont="1" applyFill="1" applyBorder="1" applyAlignment="1">
      <alignment horizontal="right" vertical="center"/>
    </xf>
    <xf numFmtId="41" fontId="55" fillId="0" borderId="11" xfId="4" applyNumberFormat="1" applyFont="1" applyFill="1" applyBorder="1" applyAlignment="1">
      <alignment vertical="center"/>
    </xf>
    <xf numFmtId="3" fontId="5" fillId="0" borderId="24" xfId="4" applyNumberFormat="1" applyFont="1" applyFill="1" applyBorder="1" applyAlignment="1">
      <alignment vertical="center"/>
    </xf>
    <xf numFmtId="1" fontId="20" fillId="2" borderId="10" xfId="4" applyNumberFormat="1" applyFont="1" applyFill="1" applyBorder="1" applyAlignment="1">
      <alignment horizontal="center" vertical="center"/>
    </xf>
    <xf numFmtId="1" fontId="20" fillId="2" borderId="10" xfId="4" applyNumberFormat="1" applyFont="1" applyFill="1" applyBorder="1" applyAlignment="1">
      <alignment horizontal="left" vertical="center" wrapText="1"/>
    </xf>
    <xf numFmtId="1" fontId="5" fillId="2" borderId="10" xfId="4" applyNumberFormat="1" applyFont="1" applyFill="1" applyBorder="1" applyAlignment="1">
      <alignment horizontal="center" vertical="center" wrapText="1"/>
    </xf>
    <xf numFmtId="41" fontId="20" fillId="2" borderId="10" xfId="4" applyNumberFormat="1" applyFont="1" applyFill="1" applyBorder="1" applyAlignment="1">
      <alignment vertical="center"/>
    </xf>
    <xf numFmtId="1" fontId="5" fillId="2" borderId="10" xfId="4" applyNumberFormat="1" applyFont="1" applyFill="1" applyBorder="1" applyAlignment="1">
      <alignment horizontal="right" vertical="center"/>
    </xf>
    <xf numFmtId="41" fontId="66" fillId="0" borderId="0" xfId="4" applyNumberFormat="1" applyFont="1" applyFill="1" applyBorder="1" applyAlignment="1">
      <alignment vertical="center"/>
    </xf>
    <xf numFmtId="41" fontId="66" fillId="0" borderId="0" xfId="0" applyNumberFormat="1" applyFont="1" applyFill="1" applyBorder="1" applyAlignment="1">
      <alignment vertical="center" wrapText="1"/>
    </xf>
    <xf numFmtId="41" fontId="22" fillId="0" borderId="5" xfId="0" applyNumberFormat="1" applyFont="1" applyFill="1" applyBorder="1" applyAlignment="1">
      <alignment vertical="center" wrapText="1"/>
    </xf>
    <xf numFmtId="41" fontId="75" fillId="0" borderId="5" xfId="4" applyNumberFormat="1" applyFont="1" applyFill="1" applyBorder="1" applyAlignment="1">
      <alignment vertical="center"/>
    </xf>
    <xf numFmtId="1" fontId="4" fillId="0" borderId="5" xfId="4" applyNumberFormat="1" applyFont="1" applyFill="1" applyBorder="1" applyAlignment="1">
      <alignment horizontal="center" vertical="center"/>
    </xf>
    <xf numFmtId="3" fontId="62" fillId="0" borderId="5" xfId="0" quotePrefix="1" applyNumberFormat="1" applyFont="1" applyFill="1" applyBorder="1" applyAlignment="1">
      <alignment vertical="center" wrapText="1"/>
    </xf>
    <xf numFmtId="1" fontId="4" fillId="0" borderId="5" xfId="4" applyNumberFormat="1" applyFont="1" applyFill="1" applyBorder="1" applyAlignment="1">
      <alignment vertical="center"/>
    </xf>
    <xf numFmtId="3" fontId="62" fillId="0" borderId="0" xfId="4" applyNumberFormat="1" applyFont="1" applyFill="1" applyBorder="1" applyAlignment="1">
      <alignment vertical="center" wrapText="1"/>
    </xf>
    <xf numFmtId="41" fontId="71" fillId="0" borderId="5" xfId="4" applyNumberFormat="1" applyFont="1" applyFill="1" applyBorder="1" applyAlignment="1">
      <alignment horizontal="right" vertical="center"/>
    </xf>
    <xf numFmtId="41" fontId="71" fillId="0" borderId="5" xfId="0" applyNumberFormat="1" applyFont="1" applyFill="1" applyBorder="1" applyAlignment="1">
      <alignment horizontal="right" vertical="center" wrapText="1"/>
    </xf>
    <xf numFmtId="41" fontId="71" fillId="0" borderId="5" xfId="0" applyNumberFormat="1" applyFont="1" applyFill="1" applyBorder="1" applyAlignment="1">
      <alignment horizontal="right" vertical="center"/>
    </xf>
    <xf numFmtId="41" fontId="71" fillId="0" borderId="5" xfId="0" applyNumberFormat="1" applyFont="1" applyFill="1" applyBorder="1" applyAlignment="1">
      <alignment vertical="center"/>
    </xf>
    <xf numFmtId="41" fontId="71" fillId="0" borderId="5" xfId="0" applyNumberFormat="1" applyFont="1" applyFill="1" applyBorder="1" applyAlignment="1">
      <alignment vertical="center" wrapText="1"/>
    </xf>
    <xf numFmtId="3" fontId="71" fillId="0" borderId="5" xfId="0" applyNumberFormat="1" applyFont="1" applyFill="1" applyBorder="1" applyAlignment="1">
      <alignment horizontal="right" vertical="center" wrapText="1"/>
    </xf>
    <xf numFmtId="164" fontId="71" fillId="0" borderId="5" xfId="0" applyNumberFormat="1" applyFont="1" applyFill="1" applyBorder="1" applyAlignment="1">
      <alignment vertical="center" wrapText="1"/>
    </xf>
    <xf numFmtId="41" fontId="76" fillId="0" borderId="5" xfId="15" applyNumberFormat="1" applyFont="1" applyBorder="1" applyAlignment="1">
      <alignment horizontal="right" vertical="center"/>
    </xf>
    <xf numFmtId="41" fontId="77" fillId="0" borderId="5" xfId="15" applyNumberFormat="1" applyFont="1" applyBorder="1" applyAlignment="1">
      <alignment horizontal="right" vertical="center"/>
    </xf>
    <xf numFmtId="41" fontId="25" fillId="0" borderId="0" xfId="15" applyNumberFormat="1" applyFont="1"/>
    <xf numFmtId="0" fontId="78" fillId="0" borderId="0" xfId="0" applyFont="1" applyAlignment="1">
      <alignment horizontal="center" vertical="center"/>
    </xf>
    <xf numFmtId="0" fontId="18" fillId="0" borderId="5" xfId="0" applyFont="1" applyBorder="1" applyAlignment="1">
      <alignment horizontal="left" vertical="center" wrapText="1"/>
    </xf>
    <xf numFmtId="0" fontId="78" fillId="0" borderId="0" xfId="0" applyFont="1"/>
    <xf numFmtId="49" fontId="18" fillId="0" borderId="5" xfId="4" applyNumberFormat="1" applyFont="1" applyFill="1" applyBorder="1" applyAlignment="1">
      <alignment horizontal="center" vertical="center"/>
    </xf>
    <xf numFmtId="0" fontId="78" fillId="2" borderId="0" xfId="0" applyFont="1" applyFill="1"/>
    <xf numFmtId="41" fontId="78" fillId="0" borderId="0" xfId="0" applyNumberFormat="1" applyFont="1"/>
    <xf numFmtId="0" fontId="78" fillId="0" borderId="0" xfId="0" applyFont="1" applyFill="1"/>
    <xf numFmtId="3" fontId="18" fillId="0" borderId="5" xfId="0" applyNumberFormat="1" applyFont="1" applyBorder="1" applyAlignment="1">
      <alignment horizontal="right" vertical="center" wrapText="1"/>
    </xf>
    <xf numFmtId="41" fontId="78" fillId="0" borderId="0" xfId="0" applyNumberFormat="1" applyFont="1" applyFill="1"/>
    <xf numFmtId="0" fontId="18" fillId="0" borderId="0" xfId="0" applyFont="1" applyAlignment="1">
      <alignment horizontal="left" vertical="top"/>
    </xf>
    <xf numFmtId="0" fontId="18" fillId="0" borderId="0" xfId="0" applyFont="1" applyAlignment="1">
      <alignment horizontal="center"/>
    </xf>
    <xf numFmtId="0" fontId="18" fillId="0" borderId="0" xfId="0" applyFont="1"/>
    <xf numFmtId="0" fontId="25" fillId="0" borderId="6" xfId="15" applyFont="1" applyBorder="1" applyAlignment="1">
      <alignment horizontal="center" vertical="center" wrapText="1"/>
    </xf>
    <xf numFmtId="0" fontId="16" fillId="0" borderId="0" xfId="15" applyFont="1" applyAlignment="1">
      <alignment horizontal="center"/>
    </xf>
    <xf numFmtId="41" fontId="13" fillId="6" borderId="0" xfId="0" applyNumberFormat="1" applyFont="1" applyFill="1"/>
    <xf numFmtId="1" fontId="17" fillId="0" borderId="0" xfId="4" applyNumberFormat="1" applyFont="1" applyFill="1" applyAlignment="1">
      <alignment horizontal="center" vertical="center" wrapText="1"/>
    </xf>
    <xf numFmtId="3" fontId="5" fillId="0" borderId="2" xfId="4" applyNumberFormat="1"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0" fontId="7" fillId="0" borderId="0" xfId="0" applyFont="1" applyAlignment="1">
      <alignment horizontal="center" vertical="center"/>
    </xf>
    <xf numFmtId="0" fontId="18" fillId="0" borderId="0" xfId="0" applyFont="1" applyAlignment="1">
      <alignment horizontal="center" vertical="center"/>
    </xf>
    <xf numFmtId="1" fontId="4" fillId="0" borderId="5" xfId="25" applyNumberFormat="1" applyFont="1" applyFill="1" applyBorder="1" applyAlignment="1">
      <alignment vertical="center" wrapText="1"/>
    </xf>
    <xf numFmtId="0" fontId="77" fillId="0" borderId="5" xfId="0" applyFont="1" applyFill="1" applyBorder="1" applyAlignment="1">
      <alignment vertical="center" wrapText="1"/>
    </xf>
    <xf numFmtId="0" fontId="67" fillId="0" borderId="0" xfId="0" applyFont="1" applyFill="1"/>
    <xf numFmtId="1" fontId="17" fillId="0" borderId="0" xfId="4" applyNumberFormat="1" applyFont="1" applyFill="1" applyAlignment="1">
      <alignment horizontal="center" vertical="center" wrapText="1"/>
    </xf>
    <xf numFmtId="3" fontId="5" fillId="0" borderId="2" xfId="4" applyNumberFormat="1"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1" fontId="34" fillId="0" borderId="0" xfId="4" applyNumberFormat="1" applyFont="1" applyFill="1" applyAlignment="1">
      <alignment horizontal="center" vertical="center" wrapText="1"/>
    </xf>
    <xf numFmtId="3" fontId="28" fillId="0" borderId="0" xfId="0" applyNumberFormat="1" applyFont="1" applyFill="1" applyAlignment="1">
      <alignment horizontal="center" vertical="center"/>
    </xf>
    <xf numFmtId="0" fontId="28" fillId="0" borderId="0" xfId="0" applyFont="1" applyFill="1" applyAlignment="1">
      <alignment horizontal="center" vertical="center"/>
    </xf>
    <xf numFmtId="0" fontId="28" fillId="0" borderId="0" xfId="0" applyFont="1" applyFill="1"/>
    <xf numFmtId="1" fontId="20" fillId="0" borderId="5" xfId="4" applyNumberFormat="1" applyFont="1" applyFill="1" applyBorder="1" applyAlignment="1">
      <alignment horizontal="center" vertical="center" wrapText="1"/>
    </xf>
    <xf numFmtId="3" fontId="13" fillId="0" borderId="0" xfId="0" applyNumberFormat="1" applyFont="1" applyFill="1"/>
    <xf numFmtId="3" fontId="7" fillId="0" borderId="0" xfId="0" applyNumberFormat="1" applyFont="1" applyFill="1" applyAlignment="1">
      <alignment horizontal="center" vertical="center"/>
    </xf>
    <xf numFmtId="0" fontId="7" fillId="0" borderId="0" xfId="0" applyFont="1" applyFill="1" applyAlignment="1">
      <alignment horizontal="left" vertical="top"/>
    </xf>
    <xf numFmtId="0" fontId="4" fillId="0" borderId="0" xfId="0" applyFont="1" applyFill="1" applyAlignment="1">
      <alignment vertical="center"/>
    </xf>
    <xf numFmtId="165" fontId="4" fillId="0" borderId="0" xfId="0" applyNumberFormat="1" applyFont="1" applyFill="1" applyAlignment="1">
      <alignment vertical="center"/>
    </xf>
    <xf numFmtId="0" fontId="59" fillId="0" borderId="0" xfId="0" applyFont="1" applyFill="1"/>
    <xf numFmtId="0" fontId="60" fillId="0" borderId="0" xfId="0" applyFont="1" applyFill="1"/>
    <xf numFmtId="0" fontId="61" fillId="0" borderId="0" xfId="0" applyFont="1" applyFill="1"/>
    <xf numFmtId="41" fontId="28" fillId="0" borderId="0" xfId="0" applyNumberFormat="1" applyFont="1" applyFill="1"/>
    <xf numFmtId="164" fontId="13" fillId="0" borderId="0" xfId="0" applyNumberFormat="1" applyFont="1" applyFill="1"/>
    <xf numFmtId="3" fontId="20" fillId="0" borderId="5" xfId="24" applyNumberFormat="1" applyFont="1" applyFill="1" applyBorder="1" applyAlignment="1">
      <alignment vertical="center"/>
    </xf>
    <xf numFmtId="1" fontId="20" fillId="0" borderId="5" xfId="24" applyNumberFormat="1" applyFont="1" applyFill="1" applyBorder="1" applyAlignment="1">
      <alignment horizontal="center" vertical="center"/>
    </xf>
    <xf numFmtId="41" fontId="20" fillId="0" borderId="5" xfId="24" applyNumberFormat="1" applyFont="1" applyFill="1" applyBorder="1" applyAlignment="1">
      <alignment vertical="center"/>
    </xf>
    <xf numFmtId="0" fontId="72" fillId="0" borderId="0" xfId="0" applyFont="1" applyFill="1"/>
    <xf numFmtId="3" fontId="20" fillId="0" borderId="5" xfId="24" applyNumberFormat="1" applyFont="1" applyFill="1" applyBorder="1" applyAlignment="1">
      <alignment vertical="center" wrapText="1"/>
    </xf>
    <xf numFmtId="1" fontId="20" fillId="0" borderId="5" xfId="24" applyNumberFormat="1" applyFont="1" applyFill="1" applyBorder="1" applyAlignment="1">
      <alignment horizontal="center" vertical="center" wrapText="1"/>
    </xf>
    <xf numFmtId="3" fontId="20" fillId="0" borderId="5" xfId="0" applyNumberFormat="1" applyFont="1" applyFill="1" applyBorder="1" applyAlignment="1">
      <alignment vertical="center" wrapText="1"/>
    </xf>
    <xf numFmtId="41" fontId="20" fillId="0" borderId="5" xfId="6" applyNumberFormat="1" applyFont="1" applyFill="1" applyBorder="1" applyAlignment="1">
      <alignment horizontal="right" vertical="center"/>
    </xf>
    <xf numFmtId="3" fontId="20" fillId="0" borderId="5" xfId="6" applyNumberFormat="1" applyFont="1" applyFill="1" applyBorder="1" applyAlignment="1">
      <alignment horizontal="right" vertical="center"/>
    </xf>
    <xf numFmtId="0" fontId="20" fillId="0" borderId="5" xfId="0" applyNumberFormat="1" applyFont="1" applyFill="1" applyBorder="1" applyAlignment="1">
      <alignment horizontal="right" vertical="center" wrapText="1"/>
    </xf>
    <xf numFmtId="0" fontId="20" fillId="0" borderId="5" xfId="0" applyNumberFormat="1" applyFont="1" applyFill="1" applyBorder="1" applyAlignment="1">
      <alignment horizontal="center" vertical="center" wrapText="1"/>
    </xf>
    <xf numFmtId="3" fontId="20" fillId="0" borderId="5" xfId="0" applyNumberFormat="1" applyFont="1" applyFill="1" applyBorder="1" applyAlignment="1">
      <alignment horizontal="right" vertical="center" wrapText="1"/>
    </xf>
    <xf numFmtId="164" fontId="20" fillId="0" borderId="5" xfId="4" applyNumberFormat="1" applyFont="1" applyFill="1" applyBorder="1" applyAlignment="1">
      <alignment vertical="center"/>
    </xf>
    <xf numFmtId="0" fontId="20" fillId="0" borderId="5" xfId="0" applyFont="1" applyFill="1" applyBorder="1" applyAlignment="1">
      <alignment horizontal="left" vertical="center" wrapText="1"/>
    </xf>
    <xf numFmtId="0" fontId="20" fillId="0" borderId="5" xfId="0" applyFont="1" applyFill="1" applyBorder="1" applyAlignment="1">
      <alignment horizontal="center" vertical="center"/>
    </xf>
    <xf numFmtId="165" fontId="20" fillId="0" borderId="5" xfId="0" applyNumberFormat="1" applyFont="1" applyFill="1" applyBorder="1" applyAlignment="1">
      <alignment horizontal="right" vertical="center" wrapText="1"/>
    </xf>
    <xf numFmtId="1" fontId="20" fillId="0" borderId="5" xfId="4" applyNumberFormat="1" applyFont="1" applyFill="1" applyBorder="1" applyAlignment="1">
      <alignment horizontal="right" vertical="center" wrapText="1"/>
    </xf>
    <xf numFmtId="3" fontId="20" fillId="0" borderId="5" xfId="0" applyNumberFormat="1" applyFont="1" applyFill="1" applyBorder="1" applyAlignment="1">
      <alignment horizontal="left" vertical="center" wrapText="1"/>
    </xf>
    <xf numFmtId="41" fontId="20" fillId="0" borderId="5" xfId="0" applyNumberFormat="1" applyFont="1" applyFill="1" applyBorder="1" applyAlignment="1">
      <alignment horizontal="right" vertical="center"/>
    </xf>
    <xf numFmtId="0" fontId="13" fillId="0" borderId="0" xfId="0" applyFont="1" applyFill="1" applyAlignment="1">
      <alignment horizontal="center"/>
    </xf>
    <xf numFmtId="3" fontId="3" fillId="0" borderId="5" xfId="0" applyNumberFormat="1" applyFont="1" applyFill="1" applyBorder="1" applyAlignment="1">
      <alignment horizontal="center" vertical="center" wrapText="1"/>
    </xf>
    <xf numFmtId="165" fontId="25" fillId="0" borderId="5" xfId="1" applyNumberFormat="1" applyFont="1" applyFill="1" applyBorder="1" applyAlignment="1">
      <alignment horizontal="center" vertical="center" wrapText="1"/>
    </xf>
    <xf numFmtId="165" fontId="25" fillId="0" borderId="5" xfId="1" applyNumberFormat="1" applyFont="1" applyFill="1" applyBorder="1" applyAlignment="1">
      <alignment vertical="center" wrapText="1"/>
    </xf>
    <xf numFmtId="41" fontId="20" fillId="0" borderId="5" xfId="0" applyNumberFormat="1" applyFont="1" applyFill="1" applyBorder="1" applyAlignment="1">
      <alignment vertical="center"/>
    </xf>
    <xf numFmtId="164" fontId="20" fillId="0" borderId="5" xfId="0" applyNumberFormat="1" applyFont="1" applyFill="1" applyBorder="1" applyAlignment="1">
      <alignment vertical="center"/>
    </xf>
    <xf numFmtId="3" fontId="20" fillId="0" borderId="5" xfId="0" applyNumberFormat="1" applyFont="1" applyFill="1" applyBorder="1" applyAlignment="1">
      <alignment vertical="center"/>
    </xf>
    <xf numFmtId="166" fontId="20" fillId="0" borderId="5" xfId="0" applyNumberFormat="1" applyFont="1" applyFill="1" applyBorder="1" applyAlignment="1">
      <alignment horizontal="right" vertical="center"/>
    </xf>
    <xf numFmtId="164" fontId="20" fillId="0" borderId="5" xfId="0" applyNumberFormat="1" applyFont="1" applyFill="1" applyBorder="1" applyAlignment="1">
      <alignment horizontal="right" vertical="center"/>
    </xf>
    <xf numFmtId="0" fontId="13" fillId="0" borderId="0" xfId="0" applyFont="1" applyFill="1" applyAlignment="1">
      <alignment horizontal="center" wrapText="1"/>
    </xf>
    <xf numFmtId="164" fontId="13" fillId="0" borderId="0" xfId="0" applyNumberFormat="1" applyFont="1" applyFill="1" applyAlignment="1">
      <alignment vertical="center"/>
    </xf>
    <xf numFmtId="0" fontId="79" fillId="0" borderId="0" xfId="0" applyFont="1" applyFill="1"/>
    <xf numFmtId="3" fontId="4" fillId="0" borderId="5" xfId="24" applyNumberFormat="1" applyFont="1" applyFill="1" applyBorder="1" applyAlignment="1">
      <alignment horizontal="center" vertical="center"/>
    </xf>
    <xf numFmtId="41" fontId="4" fillId="0" borderId="5" xfId="23" applyNumberFormat="1" applyFont="1" applyFill="1" applyBorder="1" applyAlignment="1">
      <alignment horizontal="right" vertical="center"/>
    </xf>
    <xf numFmtId="3" fontId="4" fillId="0" borderId="5" xfId="6" applyNumberFormat="1" applyFont="1" applyFill="1" applyBorder="1" applyAlignment="1">
      <alignment horizontal="right" vertical="center"/>
    </xf>
    <xf numFmtId="164" fontId="4" fillId="0" borderId="5" xfId="6" applyNumberFormat="1" applyFont="1" applyFill="1" applyBorder="1" applyAlignment="1">
      <alignment vertical="center"/>
    </xf>
    <xf numFmtId="3" fontId="40" fillId="0" borderId="0" xfId="4" applyNumberFormat="1" applyFont="1" applyFill="1" applyBorder="1" applyAlignment="1">
      <alignment vertical="center" wrapText="1"/>
    </xf>
    <xf numFmtId="1" fontId="62" fillId="0" borderId="5" xfId="4" applyNumberFormat="1" applyFont="1" applyFill="1" applyBorder="1" applyAlignment="1">
      <alignment horizontal="right" vertical="center"/>
    </xf>
    <xf numFmtId="3" fontId="40" fillId="0" borderId="5" xfId="4" applyNumberFormat="1" applyFont="1" applyFill="1" applyBorder="1" applyAlignment="1">
      <alignment vertical="center" wrapText="1"/>
    </xf>
    <xf numFmtId="3" fontId="6" fillId="0" borderId="5" xfId="1" applyNumberFormat="1" applyFont="1" applyFill="1" applyBorder="1" applyAlignment="1">
      <alignment horizontal="right" vertical="center"/>
    </xf>
    <xf numFmtId="164" fontId="6" fillId="0" borderId="5" xfId="1" applyNumberFormat="1" applyFont="1" applyFill="1" applyBorder="1" applyAlignment="1">
      <alignment vertical="center"/>
    </xf>
    <xf numFmtId="1" fontId="6" fillId="0" borderId="5" xfId="4" applyNumberFormat="1" applyFont="1" applyFill="1" applyBorder="1" applyAlignment="1">
      <alignment horizontal="right" vertical="center"/>
    </xf>
    <xf numFmtId="1" fontId="6" fillId="0" borderId="5" xfId="4" applyNumberFormat="1" applyFont="1" applyFill="1" applyBorder="1" applyAlignment="1">
      <alignment horizontal="center" vertical="center"/>
    </xf>
    <xf numFmtId="3" fontId="4" fillId="0" borderId="5" xfId="24" quotePrefix="1" applyNumberFormat="1" applyFont="1" applyFill="1" applyBorder="1" applyAlignment="1">
      <alignment horizontal="center" vertical="center" wrapText="1"/>
    </xf>
    <xf numFmtId="3" fontId="4" fillId="0" borderId="5" xfId="25" applyNumberFormat="1" applyFont="1" applyFill="1" applyBorder="1" applyAlignment="1">
      <alignment horizontal="center" vertical="center" wrapText="1"/>
    </xf>
    <xf numFmtId="164" fontId="4" fillId="0" borderId="5" xfId="0" applyNumberFormat="1" applyFont="1" applyFill="1" applyBorder="1" applyAlignment="1">
      <alignment horizontal="right" vertical="center"/>
    </xf>
    <xf numFmtId="3" fontId="22" fillId="0" borderId="5" xfId="0" applyNumberFormat="1" applyFont="1" applyFill="1" applyBorder="1" applyAlignment="1">
      <alignment vertical="center" wrapText="1"/>
    </xf>
    <xf numFmtId="1" fontId="25" fillId="0" borderId="20" xfId="4" applyNumberFormat="1" applyFont="1" applyFill="1" applyBorder="1" applyAlignment="1">
      <alignment horizontal="center" vertical="center" wrapText="1"/>
    </xf>
    <xf numFmtId="3" fontId="25" fillId="0" borderId="20" xfId="4" applyNumberFormat="1" applyFont="1" applyFill="1" applyBorder="1" applyAlignment="1">
      <alignment horizontal="right" vertical="center"/>
    </xf>
    <xf numFmtId="41" fontId="25" fillId="0" borderId="20" xfId="4" applyNumberFormat="1" applyFont="1" applyFill="1" applyBorder="1" applyAlignment="1">
      <alignment vertical="center"/>
    </xf>
    <xf numFmtId="165" fontId="4" fillId="0" borderId="5" xfId="5" applyNumberFormat="1" applyFont="1" applyFill="1" applyBorder="1" applyAlignment="1">
      <alignment horizontal="center" vertical="center"/>
    </xf>
    <xf numFmtId="3" fontId="18" fillId="0" borderId="5" xfId="4" applyNumberFormat="1" applyFont="1" applyFill="1" applyBorder="1" applyAlignment="1">
      <alignment vertical="center"/>
    </xf>
    <xf numFmtId="41" fontId="25" fillId="0" borderId="20" xfId="4" applyNumberFormat="1" applyFont="1" applyFill="1" applyBorder="1" applyAlignment="1">
      <alignment vertical="center" wrapText="1"/>
    </xf>
    <xf numFmtId="41" fontId="25" fillId="0" borderId="20" xfId="4" applyNumberFormat="1" applyFont="1" applyFill="1" applyBorder="1" applyAlignment="1">
      <alignment horizontal="center" vertical="center" wrapText="1"/>
    </xf>
    <xf numFmtId="0" fontId="25" fillId="0" borderId="20" xfId="0" applyFont="1" applyFill="1" applyBorder="1" applyAlignment="1">
      <alignment horizontal="center" vertical="center" wrapText="1"/>
    </xf>
    <xf numFmtId="1" fontId="82" fillId="0" borderId="0" xfId="4" applyNumberFormat="1" applyFont="1" applyFill="1" applyAlignment="1">
      <alignment vertical="center"/>
    </xf>
    <xf numFmtId="1" fontId="83" fillId="0" borderId="0" xfId="4" applyNumberFormat="1" applyFont="1" applyFill="1" applyAlignment="1">
      <alignment vertical="center"/>
    </xf>
    <xf numFmtId="1" fontId="84" fillId="0" borderId="1" xfId="4" applyNumberFormat="1" applyFont="1" applyFill="1" applyBorder="1" applyAlignment="1">
      <alignment vertical="center"/>
    </xf>
    <xf numFmtId="1" fontId="84" fillId="0" borderId="1" xfId="4" applyNumberFormat="1" applyFont="1" applyFill="1" applyBorder="1" applyAlignment="1">
      <alignment horizontal="right" vertical="center"/>
    </xf>
    <xf numFmtId="1" fontId="82" fillId="0" borderId="0" xfId="4" applyNumberFormat="1" applyFont="1" applyFill="1" applyBorder="1" applyAlignment="1">
      <alignment vertical="center"/>
    </xf>
    <xf numFmtId="1" fontId="82" fillId="0" borderId="19" xfId="4" applyNumberFormat="1" applyFont="1" applyFill="1" applyBorder="1" applyAlignment="1">
      <alignment vertical="center"/>
    </xf>
    <xf numFmtId="1" fontId="82" fillId="0" borderId="0" xfId="4" applyNumberFormat="1" applyFont="1" applyFill="1" applyAlignment="1">
      <alignment horizontal="center" vertical="center"/>
    </xf>
    <xf numFmtId="1" fontId="82" fillId="0" borderId="0" xfId="4" applyNumberFormat="1" applyFont="1" applyFill="1" applyAlignment="1">
      <alignment vertical="center" wrapText="1"/>
    </xf>
    <xf numFmtId="1" fontId="82" fillId="0" borderId="0" xfId="4" applyNumberFormat="1" applyFont="1" applyFill="1" applyAlignment="1">
      <alignment horizontal="center" vertical="center" wrapText="1"/>
    </xf>
    <xf numFmtId="1" fontId="82" fillId="0" borderId="0" xfId="4" applyNumberFormat="1" applyFont="1" applyFill="1" applyAlignment="1">
      <alignment horizontal="right" vertical="center"/>
    </xf>
    <xf numFmtId="3" fontId="82" fillId="0" borderId="0" xfId="4" applyNumberFormat="1" applyFont="1" applyFill="1" applyBorder="1" applyAlignment="1">
      <alignment vertical="center" wrapText="1"/>
    </xf>
    <xf numFmtId="3" fontId="82" fillId="0" borderId="20" xfId="4" quotePrefix="1" applyNumberFormat="1" applyFont="1" applyFill="1" applyBorder="1" applyAlignment="1">
      <alignment horizontal="center" vertical="center" wrapText="1"/>
    </xf>
    <xf numFmtId="3" fontId="87" fillId="0" borderId="20" xfId="4" applyNumberFormat="1" applyFont="1" applyFill="1" applyBorder="1" applyAlignment="1">
      <alignment horizontal="center" vertical="center" wrapText="1"/>
    </xf>
    <xf numFmtId="3" fontId="87" fillId="0" borderId="20" xfId="4" applyNumberFormat="1" applyFont="1" applyFill="1" applyBorder="1" applyAlignment="1">
      <alignment horizontal="left" vertical="center" wrapText="1"/>
    </xf>
    <xf numFmtId="165" fontId="87" fillId="0" borderId="20" xfId="29" applyNumberFormat="1" applyFont="1" applyFill="1" applyBorder="1" applyAlignment="1">
      <alignment horizontal="right" vertical="center" wrapText="1"/>
    </xf>
    <xf numFmtId="3" fontId="87" fillId="0" borderId="0" xfId="4" applyNumberFormat="1" applyFont="1" applyFill="1" applyBorder="1" applyAlignment="1">
      <alignment vertical="center" wrapText="1"/>
    </xf>
    <xf numFmtId="3" fontId="89" fillId="0" borderId="20" xfId="4" quotePrefix="1" applyNumberFormat="1" applyFont="1" applyFill="1" applyBorder="1" applyAlignment="1">
      <alignment horizontal="center" vertical="center"/>
    </xf>
    <xf numFmtId="1" fontId="89" fillId="0" borderId="20" xfId="4" applyNumberFormat="1" applyFont="1" applyFill="1" applyBorder="1" applyAlignment="1">
      <alignment vertical="center" wrapText="1"/>
    </xf>
    <xf numFmtId="1" fontId="89" fillId="0" borderId="20" xfId="4" applyNumberFormat="1" applyFont="1" applyFill="1" applyBorder="1" applyAlignment="1">
      <alignment horizontal="center" vertical="center" wrapText="1"/>
    </xf>
    <xf numFmtId="3" fontId="89" fillId="0" borderId="20" xfId="4" applyNumberFormat="1" applyFont="1" applyFill="1" applyBorder="1" applyAlignment="1">
      <alignment horizontal="right" vertical="center"/>
    </xf>
    <xf numFmtId="1" fontId="84" fillId="0" borderId="0" xfId="4" applyNumberFormat="1" applyFont="1" applyFill="1" applyAlignment="1">
      <alignment vertical="center"/>
    </xf>
    <xf numFmtId="3" fontId="89" fillId="0" borderId="20" xfId="4" applyNumberFormat="1" applyFont="1" applyFill="1" applyBorder="1" applyAlignment="1">
      <alignment horizontal="center" vertical="center"/>
    </xf>
    <xf numFmtId="4" fontId="89" fillId="0" borderId="20" xfId="4" applyNumberFormat="1" applyFont="1" applyFill="1" applyBorder="1" applyAlignment="1">
      <alignment horizontal="right" vertical="center"/>
    </xf>
    <xf numFmtId="49" fontId="82" fillId="0" borderId="20" xfId="4" applyNumberFormat="1" applyFont="1" applyFill="1" applyBorder="1" applyAlignment="1">
      <alignment horizontal="center" vertical="center"/>
    </xf>
    <xf numFmtId="3" fontId="82" fillId="0" borderId="20" xfId="28" applyNumberFormat="1" applyFont="1" applyFill="1" applyBorder="1" applyAlignment="1">
      <alignment vertical="center" wrapText="1"/>
    </xf>
    <xf numFmtId="3" fontId="82" fillId="0" borderId="20" xfId="28" applyNumberFormat="1" applyFont="1" applyFill="1" applyBorder="1" applyAlignment="1">
      <alignment horizontal="center" vertical="center" wrapText="1"/>
    </xf>
    <xf numFmtId="1" fontId="82" fillId="0" borderId="20" xfId="28" applyNumberFormat="1" applyFont="1" applyFill="1" applyBorder="1" applyAlignment="1">
      <alignment horizontal="center" vertical="center" wrapText="1"/>
    </xf>
    <xf numFmtId="3" fontId="82" fillId="0" borderId="20" xfId="28" applyNumberFormat="1" applyFont="1" applyFill="1" applyBorder="1" applyAlignment="1">
      <alignment vertical="center"/>
    </xf>
    <xf numFmtId="4" fontId="82" fillId="0" borderId="20" xfId="28" applyNumberFormat="1" applyFont="1" applyFill="1" applyBorder="1" applyAlignment="1">
      <alignment horizontal="center" vertical="center" wrapText="1"/>
    </xf>
    <xf numFmtId="3" fontId="82" fillId="0" borderId="20" xfId="4" applyNumberFormat="1" applyFont="1" applyFill="1" applyBorder="1" applyAlignment="1">
      <alignment vertical="center"/>
    </xf>
    <xf numFmtId="3" fontId="82" fillId="0" borderId="20" xfId="4" applyNumberFormat="1" applyFont="1" applyFill="1" applyBorder="1" applyAlignment="1">
      <alignment horizontal="left" vertical="center" wrapText="1"/>
    </xf>
    <xf numFmtId="1" fontId="82" fillId="0" borderId="20" xfId="4" applyNumberFormat="1" applyFont="1" applyFill="1" applyBorder="1" applyAlignment="1">
      <alignment horizontal="center" vertical="center" wrapText="1"/>
    </xf>
    <xf numFmtId="41" fontId="82" fillId="0" borderId="20" xfId="4" applyNumberFormat="1" applyFont="1" applyFill="1" applyBorder="1" applyAlignment="1">
      <alignment horizontal="center" vertical="center" wrapText="1"/>
    </xf>
    <xf numFmtId="3" fontId="82" fillId="0" borderId="20" xfId="4" applyNumberFormat="1" applyFont="1" applyFill="1" applyBorder="1" applyAlignment="1">
      <alignment vertical="center" wrapText="1"/>
    </xf>
    <xf numFmtId="3" fontId="82" fillId="0" borderId="20" xfId="4" quotePrefix="1" applyNumberFormat="1" applyFont="1" applyFill="1" applyBorder="1" applyAlignment="1">
      <alignment vertical="center" wrapText="1"/>
    </xf>
    <xf numFmtId="41" fontId="82" fillId="0" borderId="20" xfId="28" applyNumberFormat="1" applyFont="1" applyFill="1" applyBorder="1" applyAlignment="1">
      <alignment horizontal="right" vertical="center" wrapText="1"/>
    </xf>
    <xf numFmtId="41" fontId="82" fillId="0" borderId="20" xfId="4" applyNumberFormat="1" applyFont="1" applyFill="1" applyBorder="1" applyAlignment="1">
      <alignment horizontal="right" vertical="center"/>
    </xf>
    <xf numFmtId="1" fontId="82" fillId="0" borderId="20" xfId="4" applyNumberFormat="1" applyFont="1" applyFill="1" applyBorder="1" applyAlignment="1">
      <alignment vertical="center"/>
    </xf>
    <xf numFmtId="0" fontId="60" fillId="0" borderId="0" xfId="0" applyFont="1" applyFill="1" applyAlignment="1">
      <alignment horizontal="center" vertical="center"/>
    </xf>
    <xf numFmtId="1" fontId="25" fillId="0" borderId="0" xfId="4" applyNumberFormat="1" applyFont="1" applyFill="1" applyAlignment="1">
      <alignment horizontal="center" vertical="center" wrapText="1"/>
    </xf>
    <xf numFmtId="41" fontId="7" fillId="0" borderId="0" xfId="4" applyNumberFormat="1" applyFont="1" applyFill="1" applyAlignment="1">
      <alignment horizontal="center" vertical="center" wrapText="1"/>
    </xf>
    <xf numFmtId="3" fontId="25" fillId="0" borderId="20" xfId="4" quotePrefix="1" applyNumberFormat="1" applyFont="1" applyFill="1" applyBorder="1" applyAlignment="1">
      <alignment horizontal="center" vertical="center" wrapText="1"/>
    </xf>
    <xf numFmtId="3" fontId="25" fillId="0" borderId="0" xfId="4" applyNumberFormat="1" applyFont="1" applyFill="1" applyBorder="1" applyAlignment="1">
      <alignment horizontal="center" vertical="center" wrapText="1"/>
    </xf>
    <xf numFmtId="3" fontId="12" fillId="0" borderId="20" xfId="4" applyNumberFormat="1" applyFont="1" applyFill="1" applyBorder="1" applyAlignment="1">
      <alignment horizontal="center" vertical="center" wrapText="1"/>
    </xf>
    <xf numFmtId="41" fontId="12" fillId="0" borderId="20" xfId="4" quotePrefix="1" applyNumberFormat="1" applyFont="1" applyFill="1" applyBorder="1" applyAlignment="1">
      <alignment vertical="center" wrapText="1"/>
    </xf>
    <xf numFmtId="3" fontId="60" fillId="0" borderId="0" xfId="0" applyNumberFormat="1" applyFont="1" applyFill="1" applyAlignment="1">
      <alignment horizontal="center" vertical="center"/>
    </xf>
    <xf numFmtId="41" fontId="60" fillId="0" borderId="0" xfId="0" applyNumberFormat="1" applyFont="1" applyFill="1" applyAlignment="1">
      <alignment horizontal="center" vertical="center"/>
    </xf>
    <xf numFmtId="41" fontId="60" fillId="0" borderId="0" xfId="0" applyNumberFormat="1" applyFont="1" applyFill="1"/>
    <xf numFmtId="1" fontId="12" fillId="0" borderId="20" xfId="4" applyNumberFormat="1" applyFont="1" applyFill="1" applyBorder="1" applyAlignment="1">
      <alignment horizontal="center" vertical="center"/>
    </xf>
    <xf numFmtId="1" fontId="12" fillId="0" borderId="20" xfId="4" applyNumberFormat="1" applyFont="1" applyFill="1" applyBorder="1" applyAlignment="1">
      <alignment horizontal="left" vertical="center" wrapText="1"/>
    </xf>
    <xf numFmtId="41" fontId="12" fillId="0" borderId="20" xfId="4" applyNumberFormat="1" applyFont="1" applyFill="1" applyBorder="1" applyAlignment="1">
      <alignment vertical="center"/>
    </xf>
    <xf numFmtId="1" fontId="25" fillId="0" borderId="20" xfId="4" applyNumberFormat="1" applyFont="1" applyFill="1" applyBorder="1" applyAlignment="1">
      <alignment horizontal="right" vertical="center"/>
    </xf>
    <xf numFmtId="1" fontId="81" fillId="0" borderId="20" xfId="4" applyNumberFormat="1" applyFont="1" applyFill="1" applyBorder="1" applyAlignment="1">
      <alignment horizontal="left" vertical="center" wrapText="1"/>
    </xf>
    <xf numFmtId="0" fontId="25" fillId="0" borderId="20" xfId="0" applyFont="1" applyFill="1" applyBorder="1" applyAlignment="1">
      <alignment horizontal="left" vertical="center" wrapText="1"/>
    </xf>
    <xf numFmtId="41" fontId="25" fillId="0" borderId="20" xfId="6" applyNumberFormat="1" applyFont="1" applyFill="1" applyBorder="1" applyAlignment="1">
      <alignment vertical="center"/>
    </xf>
    <xf numFmtId="41" fontId="25" fillId="0" borderId="20" xfId="5" applyNumberFormat="1" applyFont="1" applyFill="1" applyBorder="1" applyAlignment="1">
      <alignment vertical="center"/>
    </xf>
    <xf numFmtId="49" fontId="50" fillId="0" borderId="20" xfId="4" quotePrefix="1" applyNumberFormat="1" applyFont="1" applyFill="1" applyBorder="1" applyAlignment="1">
      <alignment horizontal="center" vertical="center"/>
    </xf>
    <xf numFmtId="1" fontId="50" fillId="0" borderId="20" xfId="4" applyNumberFormat="1" applyFont="1" applyFill="1" applyBorder="1" applyAlignment="1">
      <alignment vertical="center" wrapText="1"/>
    </xf>
    <xf numFmtId="1" fontId="50" fillId="0" borderId="20" xfId="4" applyNumberFormat="1" applyFont="1" applyFill="1" applyBorder="1" applyAlignment="1">
      <alignment horizontal="center" vertical="center" wrapText="1"/>
    </xf>
    <xf numFmtId="1" fontId="12" fillId="0" borderId="20" xfId="4" applyNumberFormat="1" applyFont="1" applyFill="1" applyBorder="1" applyAlignment="1">
      <alignment horizontal="center" vertical="center" wrapText="1"/>
    </xf>
    <xf numFmtId="41" fontId="50" fillId="0" borderId="20" xfId="4" applyNumberFormat="1" applyFont="1" applyFill="1" applyBorder="1" applyAlignment="1">
      <alignment vertical="center"/>
    </xf>
    <xf numFmtId="1" fontId="50" fillId="0" borderId="20" xfId="4" applyNumberFormat="1" applyFont="1" applyFill="1" applyBorder="1" applyAlignment="1">
      <alignment horizontal="right" vertical="center"/>
    </xf>
    <xf numFmtId="49" fontId="50" fillId="0" borderId="20" xfId="4" applyNumberFormat="1" applyFont="1" applyFill="1" applyBorder="1" applyAlignment="1">
      <alignment horizontal="center" vertical="center"/>
    </xf>
    <xf numFmtId="1" fontId="16" fillId="0" borderId="20" xfId="4" applyNumberFormat="1" applyFont="1" applyFill="1" applyBorder="1" applyAlignment="1">
      <alignment horizontal="center" vertical="center" wrapText="1"/>
    </xf>
    <xf numFmtId="41" fontId="16" fillId="0" borderId="20" xfId="4" applyNumberFormat="1" applyFont="1" applyFill="1" applyBorder="1" applyAlignment="1">
      <alignment vertical="center"/>
    </xf>
    <xf numFmtId="41" fontId="7" fillId="0" borderId="20" xfId="4" applyNumberFormat="1" applyFont="1" applyFill="1" applyBorder="1" applyAlignment="1">
      <alignment vertical="center"/>
    </xf>
    <xf numFmtId="1" fontId="16" fillId="0" borderId="20" xfId="4" applyNumberFormat="1" applyFont="1" applyFill="1" applyBorder="1" applyAlignment="1">
      <alignment horizontal="right" vertical="center"/>
    </xf>
    <xf numFmtId="1" fontId="50" fillId="0" borderId="20" xfId="4" quotePrefix="1" applyNumberFormat="1" applyFont="1" applyFill="1" applyBorder="1" applyAlignment="1">
      <alignment vertical="center" wrapText="1"/>
    </xf>
    <xf numFmtId="1" fontId="25" fillId="0" borderId="20" xfId="4" quotePrefix="1" applyNumberFormat="1" applyFont="1" applyFill="1" applyBorder="1" applyAlignment="1">
      <alignment horizontal="center" vertical="center"/>
    </xf>
    <xf numFmtId="0" fontId="25" fillId="0" borderId="20" xfId="0" applyFont="1" applyFill="1" applyBorder="1" applyAlignment="1">
      <alignment vertical="center" wrapText="1"/>
    </xf>
    <xf numFmtId="41" fontId="25" fillId="0" borderId="20" xfId="1" applyNumberFormat="1" applyFont="1" applyFill="1" applyBorder="1" applyAlignment="1">
      <alignment vertical="center" wrapText="1"/>
    </xf>
    <xf numFmtId="41" fontId="25" fillId="0" borderId="20" xfId="0" applyNumberFormat="1" applyFont="1" applyFill="1" applyBorder="1" applyAlignment="1">
      <alignment vertical="center" wrapText="1"/>
    </xf>
    <xf numFmtId="49" fontId="25" fillId="0" borderId="20" xfId="4" applyNumberFormat="1" applyFont="1" applyFill="1" applyBorder="1" applyAlignment="1">
      <alignment horizontal="center" vertical="center"/>
    </xf>
    <xf numFmtId="3" fontId="25" fillId="0" borderId="20" xfId="0" applyNumberFormat="1" applyFont="1" applyFill="1" applyBorder="1" applyAlignment="1">
      <alignment horizontal="left" vertical="center" wrapText="1"/>
    </xf>
    <xf numFmtId="41" fontId="25" fillId="0" borderId="20" xfId="0" applyNumberFormat="1" applyFont="1" applyFill="1" applyBorder="1" applyAlignment="1">
      <alignment vertical="center"/>
    </xf>
    <xf numFmtId="1" fontId="25" fillId="0" borderId="20" xfId="4" applyNumberFormat="1" applyFont="1" applyFill="1" applyBorder="1" applyAlignment="1">
      <alignment horizontal="right" vertical="center" wrapText="1"/>
    </xf>
    <xf numFmtId="0" fontId="25" fillId="0" borderId="20" xfId="0" applyFont="1" applyFill="1" applyBorder="1" applyAlignment="1">
      <alignment horizontal="center" vertical="center"/>
    </xf>
    <xf numFmtId="1" fontId="12" fillId="0" borderId="20" xfId="4" applyNumberFormat="1" applyFont="1" applyFill="1" applyBorder="1" applyAlignment="1">
      <alignment horizontal="right" vertical="center"/>
    </xf>
    <xf numFmtId="41" fontId="7" fillId="0" borderId="20" xfId="0" applyNumberFormat="1" applyFont="1" applyFill="1" applyBorder="1" applyAlignment="1">
      <alignment vertical="center" wrapText="1"/>
    </xf>
    <xf numFmtId="41" fontId="7" fillId="0" borderId="20" xfId="5" applyNumberFormat="1" applyFont="1" applyFill="1" applyBorder="1" applyAlignment="1">
      <alignment vertical="center"/>
    </xf>
    <xf numFmtId="3" fontId="25" fillId="0" borderId="20" xfId="0" applyNumberFormat="1" applyFont="1" applyFill="1" applyBorder="1" applyAlignment="1">
      <alignment horizontal="right" vertical="center"/>
    </xf>
    <xf numFmtId="0" fontId="50" fillId="0" borderId="20" xfId="0" applyFont="1" applyFill="1" applyBorder="1" applyAlignment="1">
      <alignment horizontal="center" vertical="center" wrapText="1"/>
    </xf>
    <xf numFmtId="0" fontId="12" fillId="0" borderId="20" xfId="0" applyFont="1" applyFill="1" applyBorder="1" applyAlignment="1">
      <alignment horizontal="center" vertical="center" wrapText="1"/>
    </xf>
    <xf numFmtId="41" fontId="50" fillId="0" borderId="20" xfId="0" applyNumberFormat="1" applyFont="1" applyFill="1" applyBorder="1" applyAlignment="1">
      <alignment vertical="center" wrapText="1"/>
    </xf>
    <xf numFmtId="1" fontId="50" fillId="0" borderId="20" xfId="4" applyNumberFormat="1" applyFont="1" applyFill="1" applyBorder="1" applyAlignment="1">
      <alignment horizontal="right" vertical="center" wrapText="1"/>
    </xf>
    <xf numFmtId="41" fontId="7" fillId="0" borderId="20" xfId="0" applyNumberFormat="1" applyFont="1" applyFill="1" applyBorder="1" applyAlignment="1">
      <alignment vertical="center"/>
    </xf>
    <xf numFmtId="1" fontId="7" fillId="0" borderId="20" xfId="4" applyNumberFormat="1" applyFont="1" applyFill="1" applyBorder="1" applyAlignment="1">
      <alignment horizontal="center" vertical="center"/>
    </xf>
    <xf numFmtId="41" fontId="25" fillId="0" borderId="20" xfId="6" applyNumberFormat="1" applyFont="1" applyFill="1" applyBorder="1" applyAlignment="1">
      <alignment vertical="center" wrapText="1"/>
    </xf>
    <xf numFmtId="3" fontId="16" fillId="0" borderId="20" xfId="0" applyNumberFormat="1" applyFont="1" applyFill="1" applyBorder="1" applyAlignment="1">
      <alignment horizontal="left" vertical="center" wrapText="1"/>
    </xf>
    <xf numFmtId="41" fontId="16" fillId="0" borderId="20" xfId="6" applyNumberFormat="1" applyFont="1" applyFill="1" applyBorder="1" applyAlignment="1">
      <alignment vertical="center" wrapText="1"/>
    </xf>
    <xf numFmtId="41" fontId="16" fillId="0" borderId="20" xfId="0" applyNumberFormat="1" applyFont="1" applyFill="1" applyBorder="1" applyAlignment="1">
      <alignment vertical="center"/>
    </xf>
    <xf numFmtId="41" fontId="16" fillId="0" borderId="20" xfId="0" applyNumberFormat="1" applyFont="1" applyFill="1" applyBorder="1" applyAlignment="1">
      <alignment vertical="center" wrapText="1"/>
    </xf>
    <xf numFmtId="41" fontId="81" fillId="0" borderId="20" xfId="0" applyNumberFormat="1" applyFont="1" applyFill="1" applyBorder="1" applyAlignment="1">
      <alignment vertical="center" wrapText="1"/>
    </xf>
    <xf numFmtId="1" fontId="25" fillId="0" borderId="20" xfId="0" applyNumberFormat="1" applyFont="1" applyFill="1" applyBorder="1" applyAlignment="1">
      <alignment horizontal="center" vertical="center" wrapText="1"/>
    </xf>
    <xf numFmtId="0" fontId="60" fillId="0" borderId="20" xfId="0" applyFont="1" applyFill="1" applyBorder="1"/>
    <xf numFmtId="2" fontId="25" fillId="0" borderId="20" xfId="0" applyNumberFormat="1" applyFont="1" applyFill="1" applyBorder="1" applyAlignment="1">
      <alignment horizontal="center" vertical="center" wrapText="1"/>
    </xf>
    <xf numFmtId="41" fontId="50" fillId="0" borderId="20" xfId="6" applyNumberFormat="1" applyFont="1" applyFill="1" applyBorder="1" applyAlignment="1">
      <alignment vertical="center"/>
    </xf>
    <xf numFmtId="41" fontId="73" fillId="0" borderId="20" xfId="4" applyNumberFormat="1" applyFont="1" applyFill="1" applyBorder="1" applyAlignment="1">
      <alignment vertical="center"/>
    </xf>
    <xf numFmtId="0" fontId="92" fillId="0" borderId="0" xfId="0" applyFont="1" applyFill="1"/>
    <xf numFmtId="41" fontId="92" fillId="0" borderId="0" xfId="0" applyNumberFormat="1" applyFont="1" applyFill="1"/>
    <xf numFmtId="1" fontId="25" fillId="0" borderId="20" xfId="4" applyNumberFormat="1" applyFont="1" applyFill="1" applyBorder="1" applyAlignment="1">
      <alignment horizontal="center" vertical="center"/>
    </xf>
    <xf numFmtId="3" fontId="7" fillId="0" borderId="20" xfId="4" applyNumberFormat="1" applyFont="1" applyFill="1" applyBorder="1" applyAlignment="1">
      <alignment vertical="center"/>
    </xf>
    <xf numFmtId="0" fontId="60" fillId="0" borderId="20" xfId="0" applyFont="1" applyFill="1" applyBorder="1" applyAlignment="1">
      <alignment horizontal="center"/>
    </xf>
    <xf numFmtId="0" fontId="25" fillId="0" borderId="20" xfId="7" applyFont="1" applyFill="1" applyBorder="1" applyAlignment="1">
      <alignment vertical="center" wrapText="1"/>
    </xf>
    <xf numFmtId="41" fontId="25" fillId="0" borderId="20" xfId="2" applyNumberFormat="1" applyFont="1" applyFill="1" applyBorder="1" applyAlignment="1">
      <alignment vertical="center" wrapText="1"/>
    </xf>
    <xf numFmtId="3" fontId="25" fillId="0" borderId="20" xfId="0" applyNumberFormat="1" applyFont="1" applyFill="1" applyBorder="1" applyAlignment="1">
      <alignment horizontal="center" vertical="center" wrapText="1"/>
    </xf>
    <xf numFmtId="3" fontId="7" fillId="0" borderId="20" xfId="4" applyNumberFormat="1" applyFont="1" applyFill="1" applyBorder="1" applyAlignment="1">
      <alignment horizontal="center" vertical="center"/>
    </xf>
    <xf numFmtId="1" fontId="25" fillId="0" borderId="20" xfId="0" applyNumberFormat="1" applyFont="1" applyFill="1" applyBorder="1" applyAlignment="1">
      <alignment horizontal="left" vertical="center" wrapText="1"/>
    </xf>
    <xf numFmtId="41" fontId="25" fillId="0" borderId="20" xfId="1" applyNumberFormat="1" applyFont="1" applyFill="1" applyBorder="1" applyAlignment="1">
      <alignment vertical="center"/>
    </xf>
    <xf numFmtId="49" fontId="50" fillId="0" borderId="5" xfId="4" quotePrefix="1" applyNumberFormat="1" applyFont="1" applyFill="1" applyBorder="1" applyAlignment="1">
      <alignment horizontal="center" vertical="center"/>
    </xf>
    <xf numFmtId="1" fontId="50" fillId="0" borderId="5" xfId="4" applyNumberFormat="1" applyFont="1" applyFill="1" applyBorder="1" applyAlignment="1">
      <alignment vertical="center" wrapText="1"/>
    </xf>
    <xf numFmtId="1" fontId="50" fillId="0" borderId="5" xfId="4" applyNumberFormat="1" applyFont="1" applyFill="1" applyBorder="1" applyAlignment="1">
      <alignment horizontal="center" vertical="center" wrapText="1"/>
    </xf>
    <xf numFmtId="41" fontId="50" fillId="0" borderId="5" xfId="4" applyNumberFormat="1" applyFont="1" applyFill="1" applyBorder="1" applyAlignment="1">
      <alignment vertical="center"/>
    </xf>
    <xf numFmtId="165" fontId="25" fillId="0" borderId="20" xfId="0" applyNumberFormat="1" applyFont="1" applyFill="1" applyBorder="1" applyAlignment="1">
      <alignment vertical="center" wrapText="1"/>
    </xf>
    <xf numFmtId="165" fontId="25" fillId="0" borderId="20" xfId="0" applyNumberFormat="1" applyFont="1" applyFill="1" applyBorder="1" applyAlignment="1">
      <alignment horizontal="right" vertical="center" wrapText="1"/>
    </xf>
    <xf numFmtId="165" fontId="25" fillId="0" borderId="20" xfId="0" applyNumberFormat="1" applyFont="1" applyFill="1" applyBorder="1" applyAlignment="1">
      <alignment horizontal="center" vertical="center"/>
    </xf>
    <xf numFmtId="0" fontId="7" fillId="0" borderId="20" xfId="0" applyFont="1" applyFill="1" applyBorder="1" applyAlignment="1">
      <alignment horizontal="left" vertical="center" wrapText="1"/>
    </xf>
    <xf numFmtId="3" fontId="7" fillId="0" borderId="20" xfId="0" applyNumberFormat="1" applyFont="1" applyFill="1" applyBorder="1" applyAlignment="1">
      <alignment horizontal="right" vertical="center" wrapText="1"/>
    </xf>
    <xf numFmtId="3" fontId="82" fillId="0" borderId="20" xfId="0" applyNumberFormat="1" applyFont="1" applyFill="1" applyBorder="1" applyAlignment="1">
      <alignment horizontal="center" vertical="center" wrapText="1"/>
    </xf>
    <xf numFmtId="3" fontId="73" fillId="0" borderId="20" xfId="4" applyNumberFormat="1" applyFont="1" applyFill="1" applyBorder="1" applyAlignment="1">
      <alignment vertical="center" wrapText="1"/>
    </xf>
    <xf numFmtId="41" fontId="73" fillId="0" borderId="20" xfId="0" applyNumberFormat="1" applyFont="1" applyFill="1" applyBorder="1" applyAlignment="1">
      <alignment vertical="center" wrapText="1"/>
    </xf>
    <xf numFmtId="41" fontId="73" fillId="0" borderId="20" xfId="0" applyNumberFormat="1" applyFont="1" applyFill="1" applyBorder="1" applyAlignment="1">
      <alignment vertical="center"/>
    </xf>
    <xf numFmtId="41" fontId="49" fillId="0" borderId="20" xfId="0" applyNumberFormat="1" applyFont="1" applyFill="1" applyBorder="1" applyAlignment="1">
      <alignment vertical="center" wrapText="1"/>
    </xf>
    <xf numFmtId="1" fontId="12" fillId="0" borderId="20" xfId="4" applyNumberFormat="1" applyFont="1" applyFill="1" applyBorder="1" applyAlignment="1">
      <alignment vertical="center" wrapText="1"/>
    </xf>
    <xf numFmtId="41" fontId="49" fillId="0" borderId="20" xfId="4" applyNumberFormat="1" applyFont="1" applyFill="1" applyBorder="1" applyAlignment="1">
      <alignment horizontal="right" vertical="center"/>
    </xf>
    <xf numFmtId="1" fontId="12" fillId="0" borderId="20" xfId="4" applyNumberFormat="1" applyFont="1" applyFill="1" applyBorder="1" applyAlignment="1">
      <alignment vertical="center"/>
    </xf>
    <xf numFmtId="3" fontId="12" fillId="0" borderId="0" xfId="4" applyNumberFormat="1" applyFont="1" applyFill="1" applyBorder="1" applyAlignment="1">
      <alignment horizontal="center" vertical="center" wrapText="1"/>
    </xf>
    <xf numFmtId="0" fontId="93" fillId="0" borderId="0" xfId="0" applyFont="1" applyFill="1" applyAlignment="1">
      <alignment horizontal="center" vertical="center"/>
    </xf>
    <xf numFmtId="0" fontId="93" fillId="0" borderId="0" xfId="0" applyFont="1" applyFill="1"/>
    <xf numFmtId="1" fontId="25" fillId="0" borderId="20" xfId="4" applyNumberFormat="1" applyFont="1" applyFill="1" applyBorder="1" applyAlignment="1">
      <alignment vertical="center" wrapText="1"/>
    </xf>
    <xf numFmtId="41" fontId="7" fillId="0" borderId="20" xfId="4" applyNumberFormat="1" applyFont="1" applyFill="1" applyBorder="1" applyAlignment="1">
      <alignment horizontal="right" vertical="center"/>
    </xf>
    <xf numFmtId="1" fontId="25" fillId="0" borderId="20" xfId="4" applyNumberFormat="1" applyFont="1" applyFill="1" applyBorder="1" applyAlignment="1">
      <alignment vertical="center"/>
    </xf>
    <xf numFmtId="0" fontId="60" fillId="0" borderId="0" xfId="0" applyFont="1" applyFill="1" applyAlignment="1">
      <alignment horizontal="center"/>
    </xf>
    <xf numFmtId="0" fontId="7" fillId="0" borderId="0" xfId="0" applyFont="1" applyFill="1" applyAlignment="1">
      <alignment horizontal="center"/>
    </xf>
    <xf numFmtId="0" fontId="7" fillId="0" borderId="0" xfId="0" applyFont="1" applyFill="1"/>
    <xf numFmtId="49" fontId="7" fillId="0" borderId="20" xfId="4" applyNumberFormat="1" applyFont="1" applyFill="1" applyBorder="1" applyAlignment="1">
      <alignment horizontal="center" vertical="center"/>
    </xf>
    <xf numFmtId="3" fontId="25" fillId="0" borderId="20" xfId="0" applyNumberFormat="1" applyFont="1" applyFill="1" applyBorder="1" applyAlignment="1">
      <alignment vertical="center" wrapText="1"/>
    </xf>
    <xf numFmtId="3" fontId="50" fillId="0" borderId="20" xfId="4" applyNumberFormat="1" applyFont="1" applyFill="1" applyBorder="1" applyAlignment="1">
      <alignment vertical="center"/>
    </xf>
    <xf numFmtId="3" fontId="12" fillId="0" borderId="20" xfId="4" quotePrefix="1" applyNumberFormat="1" applyFont="1" applyFill="1" applyBorder="1" applyAlignment="1">
      <alignment vertical="center" wrapText="1"/>
    </xf>
    <xf numFmtId="3" fontId="50" fillId="0" borderId="20" xfId="6" applyNumberFormat="1" applyFont="1" applyFill="1" applyBorder="1" applyAlignment="1">
      <alignment vertical="center"/>
    </xf>
    <xf numFmtId="3" fontId="20" fillId="0" borderId="5" xfId="4" quotePrefix="1" applyNumberFormat="1" applyFont="1" applyFill="1" applyBorder="1" applyAlignment="1">
      <alignment horizontal="right" vertical="center" wrapText="1"/>
    </xf>
    <xf numFmtId="41" fontId="25" fillId="0" borderId="20" xfId="2" applyNumberFormat="1" applyFont="1" applyFill="1" applyBorder="1" applyAlignment="1">
      <alignment vertical="center"/>
    </xf>
    <xf numFmtId="3" fontId="13" fillId="0" borderId="0" xfId="0" applyNumberFormat="1" applyFont="1" applyFill="1" applyAlignment="1">
      <alignment horizontal="center" vertical="center"/>
    </xf>
    <xf numFmtId="0" fontId="13" fillId="0" borderId="0" xfId="0" applyFont="1" applyFill="1" applyAlignment="1">
      <alignment horizontal="center" vertical="center"/>
    </xf>
    <xf numFmtId="1" fontId="96" fillId="0" borderId="0" xfId="4" applyNumberFormat="1" applyFont="1" applyFill="1" applyAlignment="1">
      <alignment horizontal="center" vertical="center"/>
    </xf>
    <xf numFmtId="0" fontId="97" fillId="0" borderId="0" xfId="0" applyFont="1" applyFill="1" applyAlignment="1">
      <alignment horizontal="center" vertical="center"/>
    </xf>
    <xf numFmtId="0" fontId="97" fillId="0" borderId="0" xfId="0" applyFont="1" applyFill="1"/>
    <xf numFmtId="1" fontId="96" fillId="0" borderId="0" xfId="4" applyNumberFormat="1" applyFont="1" applyFill="1" applyAlignment="1">
      <alignment horizontal="center" vertical="center" wrapText="1"/>
    </xf>
    <xf numFmtId="1" fontId="100" fillId="0" borderId="0" xfId="4" applyNumberFormat="1" applyFont="1" applyFill="1" applyAlignment="1">
      <alignment vertical="center"/>
    </xf>
    <xf numFmtId="0" fontId="96" fillId="0" borderId="0" xfId="0" applyFont="1" applyFill="1" applyAlignment="1">
      <alignment vertical="center"/>
    </xf>
    <xf numFmtId="1" fontId="96" fillId="0" borderId="0" xfId="4" applyNumberFormat="1" applyFont="1" applyFill="1" applyAlignment="1">
      <alignment vertical="center" wrapText="1"/>
    </xf>
    <xf numFmtId="3" fontId="20" fillId="0" borderId="5" xfId="4" quotePrefix="1" applyNumberFormat="1" applyFont="1" applyFill="1" applyBorder="1" applyAlignment="1">
      <alignment horizontal="center" vertical="center" wrapText="1"/>
    </xf>
    <xf numFmtId="1" fontId="5" fillId="0" borderId="0" xfId="4" applyNumberFormat="1" applyFont="1" applyFill="1" applyAlignment="1">
      <alignment vertical="center" wrapText="1"/>
    </xf>
    <xf numFmtId="1" fontId="21" fillId="0" borderId="0" xfId="4" applyNumberFormat="1" applyFont="1" applyFill="1" applyAlignment="1">
      <alignment vertical="center"/>
    </xf>
    <xf numFmtId="165" fontId="5" fillId="0" borderId="5" xfId="5" applyNumberFormat="1" applyFont="1" applyFill="1" applyBorder="1" applyAlignment="1">
      <alignment horizontal="center" vertical="center" wrapText="1"/>
    </xf>
    <xf numFmtId="165" fontId="21" fillId="0" borderId="5" xfId="0" applyNumberFormat="1" applyFont="1" applyFill="1" applyBorder="1" applyAlignment="1">
      <alignment vertical="center" wrapText="1"/>
    </xf>
    <xf numFmtId="0" fontId="5" fillId="0" borderId="5" xfId="0" applyFont="1" applyFill="1" applyBorder="1" applyAlignment="1">
      <alignment vertical="center"/>
    </xf>
    <xf numFmtId="0" fontId="5" fillId="0" borderId="0" xfId="0" applyFont="1" applyFill="1" applyAlignment="1">
      <alignment vertical="center"/>
    </xf>
    <xf numFmtId="3" fontId="5" fillId="0" borderId="0" xfId="0" applyNumberFormat="1" applyFont="1" applyFill="1" applyAlignment="1">
      <alignment vertical="center"/>
    </xf>
    <xf numFmtId="1" fontId="17" fillId="0" borderId="0" xfId="4" applyNumberFormat="1" applyFont="1" applyFill="1" applyAlignment="1">
      <alignment horizontal="center" vertical="center" wrapText="1"/>
    </xf>
    <xf numFmtId="3" fontId="82" fillId="0" borderId="20" xfId="4" applyNumberFormat="1" applyFont="1" applyFill="1" applyBorder="1" applyAlignment="1">
      <alignment horizontal="center" vertical="center" wrapText="1"/>
    </xf>
    <xf numFmtId="3" fontId="84" fillId="0" borderId="20" xfId="4" applyNumberFormat="1" applyFont="1" applyFill="1" applyBorder="1" applyAlignment="1">
      <alignment horizontal="center" vertical="center" wrapText="1"/>
    </xf>
    <xf numFmtId="1" fontId="20" fillId="0" borderId="0" xfId="4" applyNumberFormat="1" applyFont="1" applyFill="1" applyAlignment="1">
      <alignment vertical="center" wrapText="1"/>
    </xf>
    <xf numFmtId="1" fontId="17" fillId="0" borderId="0" xfId="4" applyNumberFormat="1" applyFont="1" applyFill="1" applyAlignment="1">
      <alignment vertical="center" wrapText="1"/>
    </xf>
    <xf numFmtId="1" fontId="17" fillId="0" borderId="1" xfId="4" applyNumberFormat="1" applyFont="1" applyFill="1" applyBorder="1" applyAlignment="1">
      <alignment vertical="center" wrapText="1"/>
    </xf>
    <xf numFmtId="1" fontId="17" fillId="0" borderId="0" xfId="4" applyNumberFormat="1" applyFont="1" applyFill="1" applyBorder="1" applyAlignment="1">
      <alignment vertical="center" wrapText="1"/>
    </xf>
    <xf numFmtId="3" fontId="5" fillId="0" borderId="22" xfId="4" quotePrefix="1" applyNumberFormat="1" applyFont="1" applyFill="1" applyBorder="1" applyAlignment="1">
      <alignment horizontal="center" vertical="center" wrapText="1"/>
    </xf>
    <xf numFmtId="3" fontId="5" fillId="0" borderId="20" xfId="4" quotePrefix="1" applyNumberFormat="1" applyFont="1" applyFill="1" applyBorder="1" applyAlignment="1">
      <alignment horizontal="center" vertical="center" wrapText="1"/>
    </xf>
    <xf numFmtId="3" fontId="20" fillId="0" borderId="0" xfId="4" quotePrefix="1" applyNumberFormat="1" applyFont="1" applyFill="1" applyBorder="1" applyAlignment="1">
      <alignment horizontal="center" vertical="center" wrapText="1"/>
    </xf>
    <xf numFmtId="1" fontId="17" fillId="0" borderId="0" xfId="4" applyNumberFormat="1" applyFont="1" applyFill="1" applyAlignment="1">
      <alignment vertical="center"/>
    </xf>
    <xf numFmtId="1" fontId="5" fillId="0" borderId="0" xfId="4" applyNumberFormat="1" applyFont="1" applyFill="1" applyAlignment="1">
      <alignment vertical="center"/>
    </xf>
    <xf numFmtId="165" fontId="5" fillId="0" borderId="5" xfId="6" applyNumberFormat="1" applyFont="1" applyFill="1" applyBorder="1" applyAlignment="1">
      <alignment vertical="center" wrapText="1"/>
    </xf>
    <xf numFmtId="165" fontId="5" fillId="0" borderId="5" xfId="6" applyNumberFormat="1" applyFont="1" applyFill="1" applyBorder="1" applyAlignment="1">
      <alignment vertical="center"/>
    </xf>
    <xf numFmtId="3" fontId="5" fillId="0" borderId="5" xfId="0" applyNumberFormat="1" applyFont="1" applyFill="1" applyBorder="1" applyAlignment="1">
      <alignment horizontal="right" vertical="center"/>
    </xf>
    <xf numFmtId="1" fontId="21" fillId="0" borderId="5" xfId="0" applyNumberFormat="1" applyFont="1" applyFill="1" applyBorder="1" applyAlignment="1">
      <alignment vertical="center" wrapText="1"/>
    </xf>
    <xf numFmtId="0" fontId="21" fillId="0" borderId="5" xfId="0" applyFont="1" applyFill="1" applyBorder="1" applyAlignment="1">
      <alignment horizontal="center" vertical="center"/>
    </xf>
    <xf numFmtId="1" fontId="5" fillId="0" borderId="5" xfId="0" applyNumberFormat="1" applyFont="1" applyFill="1" applyBorder="1" applyAlignment="1">
      <alignment vertical="center" wrapText="1"/>
    </xf>
    <xf numFmtId="0" fontId="5" fillId="0" borderId="10" xfId="0" applyFont="1" applyFill="1" applyBorder="1" applyAlignment="1">
      <alignment vertical="center"/>
    </xf>
    <xf numFmtId="3" fontId="82" fillId="0" borderId="0" xfId="4" applyNumberFormat="1" applyFont="1" applyFill="1" applyBorder="1" applyAlignment="1">
      <alignment horizontal="center" vertical="center" wrapText="1"/>
    </xf>
    <xf numFmtId="3" fontId="87" fillId="0" borderId="20" xfId="4" quotePrefix="1" applyNumberFormat="1" applyFont="1" applyFill="1" applyBorder="1" applyAlignment="1">
      <alignment horizontal="center" vertical="center" wrapText="1"/>
    </xf>
    <xf numFmtId="1" fontId="87" fillId="0" borderId="20" xfId="4" applyNumberFormat="1" applyFont="1" applyFill="1" applyBorder="1" applyAlignment="1">
      <alignment vertical="center" wrapText="1"/>
    </xf>
    <xf numFmtId="41" fontId="7" fillId="0" borderId="20" xfId="30" applyNumberFormat="1" applyFont="1" applyFill="1" applyBorder="1" applyAlignment="1">
      <alignment horizontal="right" vertical="center"/>
    </xf>
    <xf numFmtId="3" fontId="90" fillId="0" borderId="20" xfId="28" applyNumberFormat="1" applyFont="1" applyFill="1" applyBorder="1" applyAlignment="1">
      <alignment vertical="center"/>
    </xf>
    <xf numFmtId="3" fontId="5" fillId="0" borderId="5" xfId="4" applyNumberFormat="1" applyFont="1" applyFill="1" applyBorder="1" applyAlignment="1">
      <alignment horizontal="center" vertical="center" wrapText="1"/>
    </xf>
    <xf numFmtId="3" fontId="5" fillId="0" borderId="2" xfId="4" applyNumberFormat="1" applyFont="1" applyFill="1" applyBorder="1" applyAlignment="1">
      <alignment horizontal="center" vertical="center" wrapText="1"/>
    </xf>
    <xf numFmtId="1" fontId="17" fillId="0" borderId="0" xfId="4" applyNumberFormat="1" applyFont="1" applyFill="1" applyAlignment="1">
      <alignment horizontal="center" vertical="center" wrapText="1"/>
    </xf>
    <xf numFmtId="1" fontId="5" fillId="0" borderId="2" xfId="4" applyNumberFormat="1" applyFont="1" applyFill="1" applyBorder="1" applyAlignment="1">
      <alignment horizontal="center" vertical="center" wrapText="1"/>
    </xf>
    <xf numFmtId="1" fontId="20" fillId="0" borderId="20" xfId="4" applyNumberFormat="1" applyFont="1" applyFill="1" applyBorder="1" applyAlignment="1">
      <alignment horizontal="center" vertical="center"/>
    </xf>
    <xf numFmtId="3" fontId="20" fillId="0" borderId="20" xfId="4" applyNumberFormat="1" applyFont="1" applyFill="1" applyBorder="1" applyAlignment="1">
      <alignment horizontal="center" vertical="center" wrapText="1"/>
    </xf>
    <xf numFmtId="41" fontId="20" fillId="0" borderId="20" xfId="4" quotePrefix="1" applyNumberFormat="1" applyFont="1" applyFill="1" applyBorder="1" applyAlignment="1">
      <alignment horizontal="right" vertical="center" wrapText="1"/>
    </xf>
    <xf numFmtId="1" fontId="20" fillId="0" borderId="20" xfId="4" applyNumberFormat="1" applyFont="1" applyFill="1" applyBorder="1" applyAlignment="1">
      <alignment horizontal="left" vertical="center" wrapText="1"/>
    </xf>
    <xf numFmtId="1" fontId="5" fillId="0" borderId="20" xfId="4" applyNumberFormat="1" applyFont="1" applyFill="1" applyBorder="1" applyAlignment="1">
      <alignment horizontal="center" vertical="center" wrapText="1"/>
    </xf>
    <xf numFmtId="41" fontId="20" fillId="0" borderId="20" xfId="4" applyNumberFormat="1" applyFont="1" applyFill="1" applyBorder="1" applyAlignment="1">
      <alignment horizontal="right" vertical="center"/>
    </xf>
    <xf numFmtId="3" fontId="20" fillId="0" borderId="20" xfId="4" quotePrefix="1" applyNumberFormat="1" applyFont="1" applyFill="1" applyBorder="1" applyAlignment="1">
      <alignment horizontal="right" vertical="center" wrapText="1"/>
    </xf>
    <xf numFmtId="41" fontId="20" fillId="0" borderId="20" xfId="4" applyNumberFormat="1" applyFont="1" applyFill="1" applyBorder="1" applyAlignment="1">
      <alignment vertical="center"/>
    </xf>
    <xf numFmtId="3" fontId="20" fillId="0" borderId="20" xfId="4" applyNumberFormat="1" applyFont="1" applyFill="1" applyBorder="1" applyAlignment="1">
      <alignment vertical="center"/>
    </xf>
    <xf numFmtId="1" fontId="5" fillId="0" borderId="20" xfId="4" applyNumberFormat="1" applyFont="1" applyFill="1" applyBorder="1" applyAlignment="1">
      <alignment horizontal="right" vertical="center"/>
    </xf>
    <xf numFmtId="1" fontId="5" fillId="0" borderId="20" xfId="4" applyNumberFormat="1" applyFont="1" applyFill="1" applyBorder="1" applyAlignment="1">
      <alignment horizontal="center" vertical="center"/>
    </xf>
    <xf numFmtId="3" fontId="5" fillId="0" borderId="20" xfId="0" applyNumberFormat="1" applyFont="1" applyFill="1" applyBorder="1" applyAlignment="1">
      <alignment vertical="center" wrapText="1"/>
    </xf>
    <xf numFmtId="3" fontId="5" fillId="0" borderId="20" xfId="0" applyNumberFormat="1" applyFont="1" applyFill="1" applyBorder="1" applyAlignment="1">
      <alignment horizontal="center" vertical="center" wrapText="1"/>
    </xf>
    <xf numFmtId="3" fontId="5" fillId="0" borderId="20" xfId="0" applyNumberFormat="1" applyFont="1" applyFill="1" applyBorder="1" applyAlignment="1">
      <alignment horizontal="center" vertical="center"/>
    </xf>
    <xf numFmtId="41" fontId="5" fillId="0" borderId="20" xfId="2" applyNumberFormat="1" applyFont="1" applyFill="1" applyBorder="1" applyAlignment="1">
      <alignment vertical="center"/>
    </xf>
    <xf numFmtId="41" fontId="18" fillId="0" borderId="20" xfId="4" applyNumberFormat="1" applyFont="1" applyFill="1" applyBorder="1" applyAlignment="1">
      <alignment vertical="center"/>
    </xf>
    <xf numFmtId="1" fontId="5" fillId="0" borderId="20" xfId="4" applyNumberFormat="1" applyFont="1" applyFill="1" applyBorder="1" applyAlignment="1">
      <alignment vertical="center"/>
    </xf>
    <xf numFmtId="3" fontId="18" fillId="0" borderId="20" xfId="4" applyNumberFormat="1" applyFont="1" applyFill="1" applyBorder="1" applyAlignment="1">
      <alignment vertical="center"/>
    </xf>
    <xf numFmtId="3" fontId="20" fillId="0" borderId="20" xfId="24" applyNumberFormat="1" applyFont="1" applyFill="1" applyBorder="1" applyAlignment="1">
      <alignment horizontal="center" vertical="center"/>
    </xf>
    <xf numFmtId="3" fontId="20" fillId="0" borderId="20" xfId="24" applyNumberFormat="1" applyFont="1" applyFill="1" applyBorder="1" applyAlignment="1">
      <alignment vertical="center"/>
    </xf>
    <xf numFmtId="3" fontId="20" fillId="0" borderId="20" xfId="24" applyNumberFormat="1" applyFont="1" applyFill="1" applyBorder="1" applyAlignment="1">
      <alignment horizontal="center" vertical="center" wrapText="1"/>
    </xf>
    <xf numFmtId="1" fontId="20" fillId="0" borderId="20" xfId="24" applyNumberFormat="1" applyFont="1" applyFill="1" applyBorder="1" applyAlignment="1">
      <alignment horizontal="center" vertical="center"/>
    </xf>
    <xf numFmtId="41" fontId="20" fillId="0" borderId="20" xfId="24" applyNumberFormat="1" applyFont="1" applyFill="1" applyBorder="1" applyAlignment="1">
      <alignment vertical="center"/>
    </xf>
    <xf numFmtId="1" fontId="5" fillId="0" borderId="20" xfId="4" applyNumberFormat="1" applyFont="1" applyFill="1" applyBorder="1" applyAlignment="1">
      <alignment horizontal="right" vertical="center" wrapText="1"/>
    </xf>
    <xf numFmtId="49" fontId="21" fillId="0" borderId="20" xfId="4" quotePrefix="1" applyNumberFormat="1" applyFont="1" applyFill="1" applyBorder="1" applyAlignment="1">
      <alignment horizontal="center" vertical="center"/>
    </xf>
    <xf numFmtId="49" fontId="21" fillId="0" borderId="20" xfId="4" applyNumberFormat="1" applyFont="1" applyFill="1" applyBorder="1" applyAlignment="1">
      <alignment horizontal="center" vertical="center"/>
    </xf>
    <xf numFmtId="1" fontId="21" fillId="0" borderId="20" xfId="4" applyNumberFormat="1" applyFont="1" applyFill="1" applyBorder="1" applyAlignment="1">
      <alignment vertical="center" wrapText="1"/>
    </xf>
    <xf numFmtId="1" fontId="21" fillId="0" borderId="20" xfId="4" applyNumberFormat="1" applyFont="1" applyFill="1" applyBorder="1" applyAlignment="1">
      <alignment horizontal="center" vertical="center" wrapText="1"/>
    </xf>
    <xf numFmtId="41" fontId="21" fillId="0" borderId="20" xfId="4" applyNumberFormat="1" applyFont="1" applyFill="1" applyBorder="1" applyAlignment="1">
      <alignment horizontal="right" vertical="center"/>
    </xf>
    <xf numFmtId="3" fontId="21" fillId="0" borderId="20" xfId="4" applyNumberFormat="1" applyFont="1" applyFill="1" applyBorder="1" applyAlignment="1">
      <alignment horizontal="right" vertical="center"/>
    </xf>
    <xf numFmtId="1" fontId="21" fillId="0" borderId="20" xfId="4" applyNumberFormat="1" applyFont="1" applyFill="1" applyBorder="1" applyAlignment="1">
      <alignment horizontal="right" vertical="center"/>
    </xf>
    <xf numFmtId="3" fontId="5" fillId="0" borderId="20" xfId="24" applyNumberFormat="1" applyFont="1" applyFill="1" applyBorder="1" applyAlignment="1">
      <alignment horizontal="center" vertical="center"/>
    </xf>
    <xf numFmtId="0" fontId="5" fillId="0" borderId="20" xfId="0" applyFont="1" applyFill="1" applyBorder="1" applyAlignment="1">
      <alignment horizontal="center" vertical="center" wrapText="1"/>
    </xf>
    <xf numFmtId="3" fontId="5" fillId="0" borderId="20" xfId="23" applyNumberFormat="1" applyFont="1" applyFill="1" applyBorder="1" applyAlignment="1">
      <alignment horizontal="left" vertical="center" wrapText="1"/>
    </xf>
    <xf numFmtId="3" fontId="5" fillId="0" borderId="20" xfId="24" applyNumberFormat="1" applyFont="1" applyFill="1" applyBorder="1" applyAlignment="1">
      <alignment horizontal="center" vertical="center" wrapText="1"/>
    </xf>
    <xf numFmtId="3" fontId="5" fillId="0" borderId="20" xfId="23" applyNumberFormat="1" applyFont="1" applyFill="1" applyBorder="1" applyAlignment="1">
      <alignment horizontal="center" vertical="center" wrapText="1"/>
    </xf>
    <xf numFmtId="41" fontId="5" fillId="0" borderId="20" xfId="23" applyNumberFormat="1" applyFont="1" applyFill="1" applyBorder="1" applyAlignment="1">
      <alignment horizontal="right" vertical="center"/>
    </xf>
    <xf numFmtId="41" fontId="5" fillId="0" borderId="20" xfId="1" applyNumberFormat="1" applyFont="1" applyFill="1" applyBorder="1" applyAlignment="1">
      <alignment horizontal="right" vertical="center" wrapText="1"/>
    </xf>
    <xf numFmtId="3" fontId="20" fillId="0" borderId="20" xfId="23" applyNumberFormat="1" applyFont="1" applyFill="1" applyBorder="1" applyAlignment="1">
      <alignment horizontal="left" vertical="center" wrapText="1"/>
    </xf>
    <xf numFmtId="3" fontId="20" fillId="0" borderId="20" xfId="23" applyNumberFormat="1" applyFont="1" applyFill="1" applyBorder="1" applyAlignment="1">
      <alignment horizontal="center" vertical="center" wrapText="1"/>
    </xf>
    <xf numFmtId="0" fontId="20" fillId="0" borderId="20" xfId="0" applyFont="1" applyFill="1" applyBorder="1" applyAlignment="1">
      <alignment horizontal="center" vertical="center" wrapText="1"/>
    </xf>
    <xf numFmtId="41" fontId="20" fillId="0" borderId="20" xfId="23" applyNumberFormat="1" applyFont="1" applyFill="1" applyBorder="1" applyAlignment="1">
      <alignment horizontal="right" vertical="center"/>
    </xf>
    <xf numFmtId="3" fontId="20" fillId="0" borderId="20" xfId="24" applyNumberFormat="1" applyFont="1" applyFill="1" applyBorder="1" applyAlignment="1">
      <alignment vertical="center" wrapText="1"/>
    </xf>
    <xf numFmtId="1" fontId="20" fillId="0" borderId="20" xfId="24" applyNumberFormat="1" applyFont="1" applyFill="1" applyBorder="1" applyAlignment="1">
      <alignment horizontal="center" vertical="center" wrapText="1"/>
    </xf>
    <xf numFmtId="41" fontId="20" fillId="0" borderId="20" xfId="0" applyNumberFormat="1" applyFont="1" applyFill="1" applyBorder="1" applyAlignment="1">
      <alignment vertical="center" wrapText="1"/>
    </xf>
    <xf numFmtId="0" fontId="5" fillId="0" borderId="20" xfId="0" applyFont="1" applyFill="1" applyBorder="1" applyAlignment="1">
      <alignment horizontal="left" vertical="center" wrapText="1"/>
    </xf>
    <xf numFmtId="41" fontId="5" fillId="0" borderId="20" xfId="0" applyNumberFormat="1" applyFont="1" applyFill="1" applyBorder="1" applyAlignment="1">
      <alignment vertical="center" wrapText="1"/>
    </xf>
    <xf numFmtId="164" fontId="5" fillId="0" borderId="20" xfId="0" applyNumberFormat="1" applyFont="1" applyFill="1" applyBorder="1" applyAlignment="1">
      <alignment vertical="center" wrapText="1"/>
    </xf>
    <xf numFmtId="1" fontId="20" fillId="0" borderId="20" xfId="4" applyNumberFormat="1" applyFont="1" applyFill="1" applyBorder="1" applyAlignment="1">
      <alignment horizontal="center" vertical="center" wrapText="1"/>
    </xf>
    <xf numFmtId="164" fontId="5" fillId="0" borderId="20" xfId="6" applyNumberFormat="1" applyFont="1" applyFill="1" applyBorder="1" applyAlignment="1">
      <alignment vertical="center"/>
    </xf>
    <xf numFmtId="3" fontId="20" fillId="0" borderId="20" xfId="0" applyNumberFormat="1" applyFont="1" applyFill="1" applyBorder="1" applyAlignment="1">
      <alignment vertical="center" wrapText="1"/>
    </xf>
    <xf numFmtId="164" fontId="18" fillId="0" borderId="20" xfId="6" applyNumberFormat="1" applyFont="1" applyFill="1" applyBorder="1" applyAlignment="1">
      <alignment vertical="center"/>
    </xf>
    <xf numFmtId="164" fontId="18" fillId="0" borderId="20" xfId="0" applyNumberFormat="1" applyFont="1" applyFill="1" applyBorder="1" applyAlignment="1">
      <alignment vertical="center" wrapText="1"/>
    </xf>
    <xf numFmtId="3" fontId="18" fillId="0" borderId="20" xfId="0" applyNumberFormat="1" applyFont="1" applyFill="1" applyBorder="1" applyAlignment="1">
      <alignment vertical="center" wrapText="1"/>
    </xf>
    <xf numFmtId="0" fontId="5" fillId="0" borderId="20" xfId="17" applyFont="1" applyFill="1" applyBorder="1" applyAlignment="1">
      <alignment horizontal="left" vertical="center" wrapText="1"/>
    </xf>
    <xf numFmtId="0" fontId="5" fillId="0" borderId="20" xfId="16" applyFont="1" applyFill="1" applyBorder="1" applyAlignment="1">
      <alignment horizontal="left" vertical="center" wrapText="1"/>
    </xf>
    <xf numFmtId="1" fontId="20" fillId="0" borderId="20" xfId="4" applyNumberFormat="1" applyFont="1" applyFill="1" applyBorder="1" applyAlignment="1">
      <alignment horizontal="right" vertical="center"/>
    </xf>
    <xf numFmtId="41" fontId="5" fillId="0" borderId="20" xfId="24" applyNumberFormat="1" applyFont="1" applyFill="1" applyBorder="1" applyAlignment="1">
      <alignment vertical="center" wrapText="1"/>
    </xf>
    <xf numFmtId="164" fontId="18" fillId="0" borderId="20" xfId="24" applyNumberFormat="1" applyFont="1" applyFill="1" applyBorder="1" applyAlignment="1">
      <alignment vertical="center" wrapText="1"/>
    </xf>
    <xf numFmtId="3" fontId="5" fillId="0" borderId="20" xfId="24" applyNumberFormat="1" applyFont="1" applyFill="1" applyBorder="1" applyAlignment="1">
      <alignment vertical="center" wrapText="1"/>
    </xf>
    <xf numFmtId="1" fontId="5" fillId="0" borderId="20" xfId="24" applyNumberFormat="1" applyFont="1" applyFill="1" applyBorder="1" applyAlignment="1">
      <alignment horizontal="center" vertical="center" wrapText="1"/>
    </xf>
    <xf numFmtId="1" fontId="21" fillId="0" borderId="20" xfId="4" applyNumberFormat="1" applyFont="1" applyFill="1" applyBorder="1" applyAlignment="1">
      <alignment horizontal="right" vertical="center" wrapText="1"/>
    </xf>
    <xf numFmtId="0" fontId="5" fillId="0" borderId="20" xfId="0" applyFont="1" applyFill="1" applyBorder="1" applyAlignment="1">
      <alignment horizontal="justify" vertical="center" wrapText="1"/>
    </xf>
    <xf numFmtId="41" fontId="5" fillId="0" borderId="20" xfId="10" applyNumberFormat="1" applyFont="1" applyFill="1" applyBorder="1" applyAlignment="1">
      <alignment horizontal="right" vertical="center" wrapText="1"/>
    </xf>
    <xf numFmtId="164" fontId="18" fillId="0" borderId="20" xfId="4" applyNumberFormat="1" applyFont="1" applyFill="1" applyBorder="1" applyAlignment="1">
      <alignment vertical="center"/>
    </xf>
    <xf numFmtId="165" fontId="5" fillId="0" borderId="20" xfId="1" applyNumberFormat="1" applyFont="1" applyFill="1" applyBorder="1" applyAlignment="1">
      <alignment horizontal="right" vertical="center" wrapText="1"/>
    </xf>
    <xf numFmtId="1" fontId="18" fillId="0" borderId="20" xfId="4" applyNumberFormat="1" applyFont="1" applyFill="1" applyBorder="1" applyAlignment="1">
      <alignment horizontal="right" vertical="center"/>
    </xf>
    <xf numFmtId="164" fontId="18" fillId="0" borderId="20" xfId="1" applyNumberFormat="1" applyFont="1" applyFill="1" applyBorder="1" applyAlignment="1">
      <alignment vertical="center"/>
    </xf>
    <xf numFmtId="1" fontId="18" fillId="0" borderId="20" xfId="4" applyNumberFormat="1" applyFont="1" applyFill="1" applyBorder="1" applyAlignment="1">
      <alignment horizontal="center" vertical="center" wrapText="1"/>
    </xf>
    <xf numFmtId="0" fontId="5" fillId="0" borderId="20" xfId="0" applyFont="1" applyFill="1" applyBorder="1" applyAlignment="1">
      <alignment vertical="center" wrapText="1"/>
    </xf>
    <xf numFmtId="0" fontId="5" fillId="0" borderId="20" xfId="0" applyFont="1" applyFill="1" applyBorder="1" applyAlignment="1">
      <alignment horizontal="center" vertical="center"/>
    </xf>
    <xf numFmtId="41" fontId="5" fillId="0" borderId="20" xfId="4" applyNumberFormat="1" applyFont="1" applyFill="1" applyBorder="1" applyAlignment="1">
      <alignment vertical="center"/>
    </xf>
    <xf numFmtId="41" fontId="5" fillId="0" borderId="20" xfId="0" applyNumberFormat="1" applyFont="1" applyFill="1" applyBorder="1" applyAlignment="1">
      <alignment vertical="center"/>
    </xf>
    <xf numFmtId="3" fontId="3" fillId="0" borderId="20" xfId="0" applyNumberFormat="1" applyFont="1" applyFill="1" applyBorder="1" applyAlignment="1">
      <alignment horizontal="center" vertical="center" wrapText="1"/>
    </xf>
    <xf numFmtId="1" fontId="18" fillId="0" borderId="20" xfId="4" applyNumberFormat="1" applyFont="1" applyFill="1" applyBorder="1" applyAlignment="1">
      <alignment horizontal="center" vertical="center"/>
    </xf>
    <xf numFmtId="41" fontId="20" fillId="0" borderId="20" xfId="6" applyNumberFormat="1" applyFont="1" applyFill="1" applyBorder="1" applyAlignment="1">
      <alignment horizontal="right" vertical="center"/>
    </xf>
    <xf numFmtId="3" fontId="20" fillId="0" borderId="20" xfId="6" applyNumberFormat="1" applyFont="1" applyFill="1" applyBorder="1" applyAlignment="1">
      <alignment horizontal="right" vertical="center"/>
    </xf>
    <xf numFmtId="3" fontId="5" fillId="0" borderId="20" xfId="24" quotePrefix="1" applyNumberFormat="1" applyFont="1" applyFill="1" applyBorder="1" applyAlignment="1">
      <alignment horizontal="center" vertical="center" wrapText="1"/>
    </xf>
    <xf numFmtId="1" fontId="5" fillId="0" borderId="20" xfId="25" applyNumberFormat="1" applyFont="1" applyFill="1" applyBorder="1" applyAlignment="1">
      <alignment vertical="center" wrapText="1"/>
    </xf>
    <xf numFmtId="1" fontId="5" fillId="0" borderId="20" xfId="25" applyNumberFormat="1" applyFont="1" applyFill="1" applyBorder="1" applyAlignment="1">
      <alignment horizontal="center" vertical="center" wrapText="1"/>
    </xf>
    <xf numFmtId="41" fontId="5" fillId="0" borderId="20" xfId="25" applyNumberFormat="1" applyFont="1" applyFill="1" applyBorder="1" applyAlignment="1">
      <alignment vertical="center" wrapText="1"/>
    </xf>
    <xf numFmtId="3" fontId="5" fillId="0" borderId="20" xfId="25" applyNumberFormat="1" applyFont="1" applyFill="1" applyBorder="1" applyAlignment="1">
      <alignment horizontal="center" vertical="center" wrapText="1"/>
    </xf>
    <xf numFmtId="3" fontId="25" fillId="0" borderId="20" xfId="4" applyNumberFormat="1" applyFont="1" applyFill="1" applyBorder="1" applyAlignment="1">
      <alignment vertical="center" wrapText="1"/>
    </xf>
    <xf numFmtId="0" fontId="25" fillId="0" borderId="20" xfId="0" applyNumberFormat="1" applyFont="1" applyFill="1" applyBorder="1" applyAlignment="1">
      <alignment vertical="center" wrapText="1"/>
    </xf>
    <xf numFmtId="41" fontId="22" fillId="0" borderId="20" xfId="25" applyNumberFormat="1" applyFont="1" applyFill="1" applyBorder="1" applyAlignment="1">
      <alignment vertical="center" wrapText="1"/>
    </xf>
    <xf numFmtId="0" fontId="20" fillId="0" borderId="20" xfId="0" applyNumberFormat="1" applyFont="1" applyFill="1" applyBorder="1" applyAlignment="1">
      <alignment horizontal="right" vertical="center" wrapText="1"/>
    </xf>
    <xf numFmtId="0" fontId="20" fillId="0" borderId="20" xfId="0" applyNumberFormat="1" applyFont="1" applyFill="1" applyBorder="1" applyAlignment="1">
      <alignment horizontal="center" vertical="center" wrapText="1"/>
    </xf>
    <xf numFmtId="164" fontId="22" fillId="0" borderId="20" xfId="4" applyNumberFormat="1" applyFont="1" applyFill="1" applyBorder="1" applyAlignment="1">
      <alignment vertical="center"/>
    </xf>
    <xf numFmtId="41" fontId="5" fillId="0" borderId="20" xfId="0" applyNumberFormat="1" applyFont="1" applyFill="1" applyBorder="1" applyAlignment="1">
      <alignment horizontal="right" vertical="center"/>
    </xf>
    <xf numFmtId="164" fontId="5" fillId="0" borderId="20" xfId="0" applyNumberFormat="1" applyFont="1" applyFill="1" applyBorder="1" applyAlignment="1">
      <alignment vertical="center"/>
    </xf>
    <xf numFmtId="3" fontId="5" fillId="0" borderId="20" xfId="0" applyNumberFormat="1" applyFont="1" applyFill="1" applyBorder="1" applyAlignment="1">
      <alignment vertical="center"/>
    </xf>
    <xf numFmtId="41" fontId="20" fillId="0" borderId="20" xfId="0" applyNumberFormat="1" applyFont="1" applyFill="1" applyBorder="1" applyAlignment="1">
      <alignment horizontal="right" vertical="center" wrapText="1"/>
    </xf>
    <xf numFmtId="0" fontId="20" fillId="0" borderId="20" xfId="0" applyFont="1" applyFill="1" applyBorder="1" applyAlignment="1">
      <alignment horizontal="left" vertical="center" wrapText="1"/>
    </xf>
    <xf numFmtId="0" fontId="20" fillId="0" borderId="20" xfId="0" applyFont="1" applyFill="1" applyBorder="1" applyAlignment="1">
      <alignment horizontal="center" vertical="center"/>
    </xf>
    <xf numFmtId="3" fontId="20" fillId="0" borderId="20" xfId="0" applyNumberFormat="1" applyFont="1" applyFill="1" applyBorder="1" applyAlignment="1">
      <alignment horizontal="right" vertical="center" wrapText="1"/>
    </xf>
    <xf numFmtId="1" fontId="20" fillId="0" borderId="20" xfId="4" applyNumberFormat="1" applyFont="1" applyFill="1" applyBorder="1" applyAlignment="1">
      <alignment horizontal="right" vertical="center" wrapText="1"/>
    </xf>
    <xf numFmtId="49" fontId="5" fillId="0" borderId="20" xfId="4" applyNumberFormat="1" applyFont="1" applyFill="1" applyBorder="1" applyAlignment="1">
      <alignment horizontal="center" vertical="center"/>
    </xf>
    <xf numFmtId="41" fontId="5" fillId="0" borderId="20" xfId="6" applyNumberFormat="1" applyFont="1" applyFill="1" applyBorder="1" applyAlignment="1">
      <alignment horizontal="right" vertical="center" wrapText="1"/>
    </xf>
    <xf numFmtId="3" fontId="5" fillId="0" borderId="20" xfId="0" applyNumberFormat="1" applyFont="1" applyFill="1" applyBorder="1" applyAlignment="1">
      <alignment horizontal="left" vertical="center" wrapText="1"/>
    </xf>
    <xf numFmtId="3" fontId="20" fillId="0" borderId="20" xfId="0" applyNumberFormat="1" applyFont="1" applyFill="1" applyBorder="1" applyAlignment="1">
      <alignment horizontal="left" vertical="center" wrapText="1"/>
    </xf>
    <xf numFmtId="41" fontId="20" fillId="0" borderId="20" xfId="0" applyNumberFormat="1" applyFont="1" applyFill="1" applyBorder="1" applyAlignment="1">
      <alignment horizontal="right" vertical="center"/>
    </xf>
    <xf numFmtId="1" fontId="5" fillId="0" borderId="20" xfId="4" quotePrefix="1" applyNumberFormat="1" applyFont="1" applyFill="1" applyBorder="1" applyAlignment="1">
      <alignment horizontal="center" vertical="center"/>
    </xf>
    <xf numFmtId="3" fontId="5" fillId="0" borderId="20" xfId="0" quotePrefix="1" applyNumberFormat="1" applyFont="1" applyFill="1" applyBorder="1" applyAlignment="1">
      <alignment horizontal="center" vertical="center"/>
    </xf>
    <xf numFmtId="41" fontId="5" fillId="0" borderId="20" xfId="23" applyNumberFormat="1" applyFont="1" applyFill="1" applyBorder="1" applyAlignment="1">
      <alignment horizontal="right" vertical="center" wrapText="1"/>
    </xf>
    <xf numFmtId="0" fontId="18" fillId="0" borderId="20" xfId="0" applyFont="1" applyFill="1" applyBorder="1" applyAlignment="1">
      <alignment horizontal="center" vertical="center" wrapText="1"/>
    </xf>
    <xf numFmtId="1" fontId="17" fillId="0" borderId="20" xfId="4" applyNumberFormat="1" applyFont="1" applyFill="1" applyBorder="1" applyAlignment="1">
      <alignment horizontal="right" vertical="center"/>
    </xf>
    <xf numFmtId="41" fontId="5" fillId="0" borderId="20" xfId="4" applyNumberFormat="1" applyFont="1" applyFill="1" applyBorder="1" applyAlignment="1">
      <alignment horizontal="right" vertical="center"/>
    </xf>
    <xf numFmtId="41" fontId="20" fillId="0" borderId="20" xfId="0" applyNumberFormat="1" applyFont="1" applyFill="1" applyBorder="1" applyAlignment="1">
      <alignment vertical="center"/>
    </xf>
    <xf numFmtId="3" fontId="20" fillId="0" borderId="20" xfId="0" applyNumberFormat="1" applyFont="1" applyFill="1" applyBorder="1" applyAlignment="1">
      <alignment vertical="center"/>
    </xf>
    <xf numFmtId="166" fontId="20" fillId="0" borderId="20" xfId="0" applyNumberFormat="1" applyFont="1" applyFill="1" applyBorder="1" applyAlignment="1">
      <alignment horizontal="right" vertical="center"/>
    </xf>
    <xf numFmtId="1" fontId="5" fillId="0" borderId="20" xfId="4" applyNumberFormat="1" applyFont="1" applyFill="1" applyBorder="1" applyAlignment="1">
      <alignment vertical="center" wrapText="1"/>
    </xf>
    <xf numFmtId="41" fontId="5" fillId="0" borderId="20" xfId="8" applyNumberFormat="1" applyFont="1" applyFill="1" applyBorder="1" applyAlignment="1">
      <alignment horizontal="right" vertical="center"/>
    </xf>
    <xf numFmtId="41" fontId="21" fillId="0" borderId="20" xfId="0" applyNumberFormat="1" applyFont="1" applyFill="1" applyBorder="1" applyAlignment="1">
      <alignment vertical="center"/>
    </xf>
    <xf numFmtId="3" fontId="21" fillId="0" borderId="20" xfId="0" applyNumberFormat="1" applyFont="1" applyFill="1" applyBorder="1" applyAlignment="1">
      <alignment vertical="center"/>
    </xf>
    <xf numFmtId="41" fontId="5" fillId="0" borderId="20" xfId="6" applyNumberFormat="1" applyFont="1" applyFill="1" applyBorder="1" applyAlignment="1">
      <alignment vertical="center"/>
    </xf>
    <xf numFmtId="3" fontId="73" fillId="0" borderId="20" xfId="4" quotePrefix="1" applyNumberFormat="1" applyFont="1" applyFill="1" applyBorder="1" applyAlignment="1">
      <alignment vertical="center" wrapText="1"/>
    </xf>
    <xf numFmtId="1" fontId="57" fillId="0" borderId="5" xfId="4" quotePrefix="1" applyNumberFormat="1" applyFont="1" applyFill="1" applyBorder="1" applyAlignment="1">
      <alignment horizontal="center" vertical="center"/>
    </xf>
    <xf numFmtId="0" fontId="57" fillId="0" borderId="5" xfId="0" applyFont="1" applyFill="1" applyBorder="1" applyAlignment="1">
      <alignment horizontal="left" vertical="center" wrapText="1"/>
    </xf>
    <xf numFmtId="0" fontId="57" fillId="0" borderId="5" xfId="0" applyFont="1" applyFill="1" applyBorder="1" applyAlignment="1">
      <alignment horizontal="center" vertical="center" wrapText="1"/>
    </xf>
    <xf numFmtId="0" fontId="57" fillId="0" borderId="5" xfId="0" applyFont="1" applyFill="1" applyBorder="1" applyAlignment="1">
      <alignment horizontal="center" vertical="center"/>
    </xf>
    <xf numFmtId="165" fontId="57" fillId="0" borderId="5" xfId="5" applyNumberFormat="1" applyFont="1" applyFill="1" applyBorder="1" applyAlignment="1">
      <alignment horizontal="center" vertical="center" wrapText="1"/>
    </xf>
    <xf numFmtId="165" fontId="57" fillId="0" borderId="5" xfId="5" applyNumberFormat="1" applyFont="1" applyFill="1" applyBorder="1" applyAlignment="1">
      <alignment horizontal="center" vertical="center"/>
    </xf>
    <xf numFmtId="165" fontId="57" fillId="0" borderId="5" xfId="0" applyNumberFormat="1" applyFont="1" applyFill="1" applyBorder="1" applyAlignment="1">
      <alignment vertical="center"/>
    </xf>
    <xf numFmtId="0" fontId="57" fillId="0" borderId="5" xfId="0" applyFont="1" applyFill="1" applyBorder="1" applyAlignment="1">
      <alignment vertical="center"/>
    </xf>
    <xf numFmtId="165" fontId="57" fillId="0" borderId="5" xfId="0" applyNumberFormat="1" applyFont="1" applyFill="1" applyBorder="1" applyAlignment="1">
      <alignment vertical="center" wrapText="1"/>
    </xf>
    <xf numFmtId="3" fontId="57" fillId="0" borderId="0" xfId="4" applyNumberFormat="1" applyFont="1" applyFill="1" applyBorder="1" applyAlignment="1">
      <alignment vertical="center" wrapText="1"/>
    </xf>
    <xf numFmtId="0" fontId="57" fillId="0" borderId="0" xfId="0" applyFont="1" applyFill="1" applyAlignment="1">
      <alignment vertical="center"/>
    </xf>
    <xf numFmtId="165" fontId="57" fillId="0" borderId="0" xfId="0" applyNumberFormat="1" applyFont="1" applyFill="1" applyAlignment="1">
      <alignment vertical="center"/>
    </xf>
    <xf numFmtId="3" fontId="73" fillId="0" borderId="20" xfId="4" applyNumberFormat="1" applyFont="1" applyFill="1" applyBorder="1" applyAlignment="1">
      <alignment vertical="center"/>
    </xf>
    <xf numFmtId="0" fontId="5" fillId="3" borderId="5" xfId="0" applyFont="1" applyFill="1" applyBorder="1" applyAlignment="1">
      <alignment vertical="center"/>
    </xf>
    <xf numFmtId="0" fontId="21" fillId="3" borderId="5" xfId="0" applyFont="1" applyFill="1" applyBorder="1" applyAlignment="1">
      <alignment vertical="center" wrapText="1"/>
    </xf>
    <xf numFmtId="0" fontId="5" fillId="3" borderId="5" xfId="0" applyFont="1" applyFill="1" applyBorder="1" applyAlignment="1">
      <alignment horizontal="center" vertical="center" wrapText="1"/>
    </xf>
    <xf numFmtId="0" fontId="5" fillId="3" borderId="5" xfId="0" applyFont="1" applyFill="1" applyBorder="1" applyAlignment="1">
      <alignment horizontal="center" vertical="center"/>
    </xf>
    <xf numFmtId="3" fontId="5" fillId="3" borderId="5" xfId="0" applyNumberFormat="1" applyFont="1" applyFill="1" applyBorder="1" applyAlignment="1">
      <alignment vertical="center" wrapText="1"/>
    </xf>
    <xf numFmtId="165" fontId="5" fillId="3" borderId="5" xfId="0" applyNumberFormat="1" applyFont="1" applyFill="1" applyBorder="1" applyAlignment="1">
      <alignment vertical="center"/>
    </xf>
    <xf numFmtId="165" fontId="20" fillId="3" borderId="5" xfId="0" applyNumberFormat="1" applyFont="1" applyFill="1" applyBorder="1" applyAlignment="1">
      <alignment vertical="center"/>
    </xf>
    <xf numFmtId="165" fontId="5" fillId="3" borderId="5" xfId="0" applyNumberFormat="1" applyFont="1" applyFill="1" applyBorder="1" applyAlignment="1">
      <alignment vertical="center" wrapText="1"/>
    </xf>
    <xf numFmtId="0" fontId="5" fillId="3" borderId="0" xfId="0" applyFont="1" applyFill="1" applyAlignment="1">
      <alignment vertical="center"/>
    </xf>
    <xf numFmtId="3" fontId="5" fillId="3" borderId="0" xfId="4" applyNumberFormat="1" applyFont="1" applyFill="1" applyBorder="1" applyAlignment="1">
      <alignment vertical="center" wrapText="1"/>
    </xf>
    <xf numFmtId="165" fontId="5" fillId="0" borderId="0" xfId="0" applyNumberFormat="1" applyFont="1" applyFill="1" applyAlignment="1">
      <alignment vertical="center"/>
    </xf>
    <xf numFmtId="3" fontId="60" fillId="0" borderId="0" xfId="0" applyNumberFormat="1" applyFont="1" applyFill="1"/>
    <xf numFmtId="9" fontId="25" fillId="0" borderId="20" xfId="3" applyFont="1" applyFill="1" applyBorder="1" applyAlignment="1">
      <alignment horizontal="center" vertical="center" wrapText="1"/>
    </xf>
    <xf numFmtId="3" fontId="82" fillId="0" borderId="20" xfId="0" applyNumberFormat="1" applyFont="1" applyFill="1" applyBorder="1" applyAlignment="1">
      <alignment vertical="center" wrapText="1"/>
    </xf>
    <xf numFmtId="1" fontId="25" fillId="0" borderId="5" xfId="4" quotePrefix="1" applyNumberFormat="1" applyFont="1" applyFill="1" applyBorder="1" applyAlignment="1">
      <alignment horizontal="center" vertical="center"/>
    </xf>
    <xf numFmtId="0" fontId="7" fillId="0" borderId="5" xfId="0" applyFont="1" applyFill="1" applyBorder="1" applyAlignment="1">
      <alignment horizontal="left" vertical="center" wrapText="1"/>
    </xf>
    <xf numFmtId="0" fontId="25" fillId="0" borderId="5" xfId="0" applyFont="1" applyFill="1" applyBorder="1" applyAlignment="1">
      <alignment horizontal="center" vertical="center" wrapText="1"/>
    </xf>
    <xf numFmtId="41" fontId="25" fillId="0" borderId="5" xfId="5" applyNumberFormat="1" applyFont="1" applyFill="1" applyBorder="1" applyAlignment="1">
      <alignment vertical="center"/>
    </xf>
    <xf numFmtId="41" fontId="25" fillId="0" borderId="5" xfId="6" applyNumberFormat="1" applyFont="1" applyFill="1" applyBorder="1" applyAlignment="1">
      <alignment vertical="center" wrapText="1"/>
    </xf>
    <xf numFmtId="41" fontId="25" fillId="0" borderId="5" xfId="0" applyNumberFormat="1" applyFont="1" applyFill="1" applyBorder="1" applyAlignment="1">
      <alignment vertical="center" wrapText="1"/>
    </xf>
    <xf numFmtId="41" fontId="25" fillId="0" borderId="5" xfId="0" applyNumberFormat="1" applyFont="1" applyFill="1" applyBorder="1" applyAlignment="1">
      <alignment vertical="center"/>
    </xf>
    <xf numFmtId="41" fontId="7" fillId="0" borderId="5" xfId="4" applyNumberFormat="1" applyFont="1" applyFill="1" applyBorder="1" applyAlignment="1">
      <alignment vertical="center"/>
    </xf>
    <xf numFmtId="3" fontId="5" fillId="0" borderId="20" xfId="4" applyNumberFormat="1" applyFont="1" applyFill="1" applyBorder="1" applyAlignment="1">
      <alignment vertical="center"/>
    </xf>
    <xf numFmtId="164" fontId="5" fillId="0" borderId="20" xfId="4" applyNumberFormat="1" applyFont="1" applyFill="1" applyBorder="1" applyAlignment="1">
      <alignment vertical="center"/>
    </xf>
    <xf numFmtId="1" fontId="17" fillId="0" borderId="20" xfId="4" applyNumberFormat="1" applyFont="1" applyFill="1" applyBorder="1" applyAlignment="1">
      <alignment horizontal="center" vertical="center"/>
    </xf>
    <xf numFmtId="3" fontId="17" fillId="0" borderId="20" xfId="0" quotePrefix="1" applyNumberFormat="1" applyFont="1" applyFill="1" applyBorder="1" applyAlignment="1">
      <alignment vertical="center" wrapText="1"/>
    </xf>
    <xf numFmtId="3" fontId="17" fillId="0" borderId="20" xfId="0" applyNumberFormat="1" applyFont="1" applyFill="1" applyBorder="1" applyAlignment="1">
      <alignment horizontal="center" vertical="center" wrapText="1"/>
    </xf>
    <xf numFmtId="3" fontId="17" fillId="0" borderId="20" xfId="0" applyNumberFormat="1" applyFont="1" applyFill="1" applyBorder="1" applyAlignment="1">
      <alignment horizontal="center" vertical="center"/>
    </xf>
    <xf numFmtId="41" fontId="17" fillId="0" borderId="20" xfId="2" applyNumberFormat="1" applyFont="1" applyFill="1" applyBorder="1" applyAlignment="1">
      <alignment vertical="center"/>
    </xf>
    <xf numFmtId="41" fontId="17" fillId="0" borderId="20" xfId="4" applyNumberFormat="1" applyFont="1" applyFill="1" applyBorder="1" applyAlignment="1">
      <alignment vertical="center"/>
    </xf>
    <xf numFmtId="41" fontId="17" fillId="0" borderId="20" xfId="0" applyNumberFormat="1" applyFont="1" applyFill="1" applyBorder="1" applyAlignment="1">
      <alignment vertical="center"/>
    </xf>
    <xf numFmtId="41" fontId="17" fillId="0" borderId="20" xfId="0" applyNumberFormat="1" applyFont="1" applyFill="1" applyBorder="1" applyAlignment="1">
      <alignment vertical="center" wrapText="1"/>
    </xf>
    <xf numFmtId="3" fontId="17" fillId="0" borderId="20" xfId="4" applyNumberFormat="1" applyFont="1" applyFill="1" applyBorder="1" applyAlignment="1">
      <alignment vertical="center"/>
    </xf>
    <xf numFmtId="41" fontId="23" fillId="0" borderId="20" xfId="4" applyNumberFormat="1" applyFont="1" applyFill="1" applyBorder="1" applyAlignment="1">
      <alignment vertical="center"/>
    </xf>
    <xf numFmtId="164" fontId="17" fillId="0" borderId="20" xfId="4" applyNumberFormat="1" applyFont="1" applyFill="1" applyBorder="1" applyAlignment="1">
      <alignment vertical="center"/>
    </xf>
    <xf numFmtId="1" fontId="17" fillId="0" borderId="20" xfId="4" applyNumberFormat="1" applyFont="1" applyFill="1" applyBorder="1" applyAlignment="1">
      <alignment vertical="center"/>
    </xf>
    <xf numFmtId="164" fontId="21" fillId="0" borderId="20" xfId="4" applyNumberFormat="1" applyFont="1" applyFill="1" applyBorder="1" applyAlignment="1">
      <alignment vertical="center"/>
    </xf>
    <xf numFmtId="3" fontId="20" fillId="0" borderId="20" xfId="4" applyNumberFormat="1" applyFont="1" applyFill="1" applyBorder="1" applyAlignment="1">
      <alignment horizontal="right" vertical="center"/>
    </xf>
    <xf numFmtId="1" fontId="17" fillId="0" borderId="20" xfId="4" applyNumberFormat="1" applyFont="1" applyFill="1" applyBorder="1" applyAlignment="1">
      <alignment horizontal="center" vertical="center" wrapText="1"/>
    </xf>
    <xf numFmtId="41" fontId="17" fillId="0" borderId="20" xfId="4" applyNumberFormat="1" applyFont="1" applyFill="1" applyBorder="1" applyAlignment="1">
      <alignment horizontal="right" vertical="center"/>
    </xf>
    <xf numFmtId="3" fontId="17" fillId="0" borderId="20" xfId="4" applyNumberFormat="1" applyFont="1" applyFill="1" applyBorder="1" applyAlignment="1">
      <alignment horizontal="right" vertical="center"/>
    </xf>
    <xf numFmtId="1" fontId="21" fillId="0" borderId="20" xfId="4" quotePrefix="1" applyNumberFormat="1" applyFont="1" applyFill="1" applyBorder="1" applyAlignment="1">
      <alignment vertical="center" wrapText="1"/>
    </xf>
    <xf numFmtId="41" fontId="5" fillId="0" borderId="20" xfId="0" applyNumberFormat="1" applyFont="1" applyFill="1" applyBorder="1" applyAlignment="1">
      <alignment horizontal="right" vertical="center" wrapText="1"/>
    </xf>
    <xf numFmtId="3" fontId="5" fillId="0" borderId="20" xfId="0" applyNumberFormat="1" applyFont="1" applyFill="1" applyBorder="1" applyAlignment="1">
      <alignment horizontal="right" vertical="center" wrapText="1"/>
    </xf>
    <xf numFmtId="1" fontId="5" fillId="0" borderId="20" xfId="0" applyNumberFormat="1" applyFont="1" applyFill="1" applyBorder="1" applyAlignment="1">
      <alignment horizontal="center" vertical="center" wrapText="1"/>
    </xf>
    <xf numFmtId="164" fontId="5" fillId="0" borderId="20" xfId="24" applyNumberFormat="1" applyFont="1" applyFill="1" applyBorder="1" applyAlignment="1">
      <alignment vertical="center" wrapText="1"/>
    </xf>
    <xf numFmtId="9" fontId="5" fillId="0" borderId="20" xfId="3" applyFont="1" applyFill="1" applyBorder="1" applyAlignment="1">
      <alignment horizontal="center" vertical="center" wrapText="1"/>
    </xf>
    <xf numFmtId="41" fontId="5" fillId="0" borderId="20" xfId="4" applyNumberFormat="1" applyFont="1" applyFill="1" applyBorder="1" applyAlignment="1">
      <alignment horizontal="right" vertical="center" wrapText="1"/>
    </xf>
    <xf numFmtId="41" fontId="21" fillId="0" borderId="20" xfId="0" applyNumberFormat="1" applyFont="1" applyFill="1" applyBorder="1" applyAlignment="1">
      <alignment horizontal="right" vertical="center" wrapText="1"/>
    </xf>
    <xf numFmtId="3" fontId="5" fillId="0" borderId="20" xfId="23" applyNumberFormat="1" applyFont="1" applyFill="1" applyBorder="1" applyAlignment="1">
      <alignment horizontal="justify" vertical="center" wrapText="1"/>
    </xf>
    <xf numFmtId="41" fontId="5" fillId="0" borderId="20" xfId="25" quotePrefix="1" applyNumberFormat="1" applyFont="1" applyFill="1" applyBorder="1" applyAlignment="1">
      <alignment horizontal="right" vertical="center" wrapText="1"/>
    </xf>
    <xf numFmtId="41" fontId="5" fillId="0" borderId="20" xfId="6" applyNumberFormat="1" applyFont="1" applyFill="1" applyBorder="1" applyAlignment="1">
      <alignment vertical="center" wrapText="1"/>
    </xf>
    <xf numFmtId="1" fontId="5" fillId="0" borderId="20" xfId="0" applyNumberFormat="1" applyFont="1" applyFill="1" applyBorder="1" applyAlignment="1">
      <alignment horizontal="center" vertical="center"/>
    </xf>
    <xf numFmtId="1" fontId="5" fillId="0" borderId="20" xfId="24" applyNumberFormat="1" applyFont="1" applyFill="1" applyBorder="1" applyAlignment="1">
      <alignment horizontal="center" vertical="center"/>
    </xf>
    <xf numFmtId="41" fontId="5" fillId="0" borderId="20" xfId="6" applyNumberFormat="1" applyFont="1" applyFill="1" applyBorder="1" applyAlignment="1">
      <alignment horizontal="right" vertical="center"/>
    </xf>
    <xf numFmtId="3" fontId="5" fillId="0" borderId="20" xfId="6" applyNumberFormat="1" applyFont="1" applyFill="1" applyBorder="1" applyAlignment="1">
      <alignment horizontal="right" vertical="center"/>
    </xf>
    <xf numFmtId="3" fontId="5" fillId="0" borderId="20" xfId="26" applyNumberFormat="1" applyFont="1" applyFill="1" applyBorder="1" applyAlignment="1">
      <alignment horizontal="left" vertical="center" wrapText="1"/>
    </xf>
    <xf numFmtId="41" fontId="5" fillId="0" borderId="20" xfId="24" applyNumberFormat="1" applyFont="1" applyFill="1" applyBorder="1" applyAlignment="1">
      <alignment horizontal="right" vertical="center"/>
    </xf>
    <xf numFmtId="41" fontId="5" fillId="0" borderId="20" xfId="11" applyNumberFormat="1" applyFont="1" applyFill="1" applyBorder="1" applyAlignment="1">
      <alignment horizontal="right" vertical="center"/>
    </xf>
    <xf numFmtId="0" fontId="5" fillId="0" borderId="20" xfId="0" applyFont="1" applyFill="1" applyBorder="1" applyAlignment="1">
      <alignment horizontal="left" vertical="center"/>
    </xf>
    <xf numFmtId="3" fontId="18" fillId="0" borderId="20" xfId="4" applyNumberFormat="1" applyFont="1" applyFill="1" applyBorder="1" applyAlignment="1">
      <alignment horizontal="right" vertical="center"/>
    </xf>
    <xf numFmtId="3" fontId="5" fillId="0" borderId="20" xfId="4" applyNumberFormat="1" applyFont="1" applyFill="1" applyBorder="1" applyAlignment="1">
      <alignment horizontal="right" vertical="center"/>
    </xf>
    <xf numFmtId="3" fontId="5" fillId="0" borderId="20" xfId="4" applyNumberFormat="1" applyFont="1" applyFill="1" applyBorder="1" applyAlignment="1">
      <alignment vertical="center" wrapText="1"/>
    </xf>
    <xf numFmtId="41" fontId="71" fillId="0" borderId="20" xfId="4" applyNumberFormat="1" applyFont="1" applyFill="1" applyBorder="1" applyAlignment="1">
      <alignment vertical="center"/>
    </xf>
    <xf numFmtId="3" fontId="20" fillId="0" borderId="20" xfId="4" applyNumberFormat="1" applyFont="1" applyFill="1" applyBorder="1" applyAlignment="1">
      <alignment vertical="center" wrapText="1"/>
    </xf>
    <xf numFmtId="3" fontId="18" fillId="0" borderId="20" xfId="6" applyNumberFormat="1" applyFont="1" applyFill="1" applyBorder="1" applyAlignment="1">
      <alignment horizontal="right" vertical="center"/>
    </xf>
    <xf numFmtId="3" fontId="18" fillId="0" borderId="20" xfId="24" applyNumberFormat="1" applyFont="1" applyFill="1" applyBorder="1" applyAlignment="1">
      <alignment vertical="center" wrapText="1"/>
    </xf>
    <xf numFmtId="0" fontId="5" fillId="0" borderId="20" xfId="21" applyFont="1" applyFill="1" applyBorder="1" applyAlignment="1">
      <alignment horizontal="left" vertical="center" wrapText="1"/>
    </xf>
    <xf numFmtId="3" fontId="18" fillId="0" borderId="20" xfId="0" applyNumberFormat="1" applyFont="1" applyFill="1" applyBorder="1" applyAlignment="1">
      <alignment horizontal="right" vertical="center" wrapText="1"/>
    </xf>
    <xf numFmtId="3" fontId="5" fillId="0" borderId="20" xfId="23" applyNumberFormat="1" applyFont="1" applyFill="1" applyBorder="1" applyAlignment="1">
      <alignment horizontal="right" vertical="center" wrapText="1"/>
    </xf>
    <xf numFmtId="3" fontId="18" fillId="0" borderId="20" xfId="1" applyNumberFormat="1" applyFont="1" applyFill="1" applyBorder="1" applyAlignment="1">
      <alignment horizontal="right" vertical="center"/>
    </xf>
    <xf numFmtId="0" fontId="5" fillId="0" borderId="20" xfId="15" applyFont="1" applyFill="1" applyBorder="1" applyAlignment="1">
      <alignment vertical="center" wrapText="1"/>
    </xf>
    <xf numFmtId="0" fontId="5" fillId="0" borderId="20" xfId="15" applyFont="1" applyFill="1" applyBorder="1" applyAlignment="1">
      <alignment horizontal="center" vertical="center" wrapText="1"/>
    </xf>
    <xf numFmtId="41" fontId="5" fillId="0" borderId="20" xfId="15" applyNumberFormat="1" applyFont="1" applyFill="1" applyBorder="1" applyAlignment="1">
      <alignment horizontal="right" vertical="center" wrapText="1"/>
    </xf>
    <xf numFmtId="41" fontId="5" fillId="0" borderId="20" xfId="1" applyNumberFormat="1" applyFont="1" applyFill="1" applyBorder="1" applyAlignment="1">
      <alignment vertical="center" wrapText="1"/>
    </xf>
    <xf numFmtId="3" fontId="5" fillId="0" borderId="20" xfId="8" applyNumberFormat="1" applyFont="1" applyFill="1" applyBorder="1" applyAlignment="1">
      <alignment horizontal="center" vertical="center" wrapText="1"/>
    </xf>
    <xf numFmtId="41" fontId="22" fillId="0" borderId="20" xfId="4" applyNumberFormat="1" applyFont="1" applyFill="1" applyBorder="1" applyAlignment="1">
      <alignment vertical="center"/>
    </xf>
    <xf numFmtId="164" fontId="20" fillId="0" borderId="20" xfId="4" applyNumberFormat="1" applyFont="1" applyFill="1" applyBorder="1" applyAlignment="1">
      <alignment vertical="center"/>
    </xf>
    <xf numFmtId="41" fontId="5" fillId="0" borderId="20" xfId="23" applyNumberFormat="1" applyFont="1" applyFill="1" applyBorder="1" applyAlignment="1">
      <alignment vertical="center" wrapText="1"/>
    </xf>
    <xf numFmtId="41" fontId="5" fillId="0" borderId="20" xfId="23" applyNumberFormat="1" applyFont="1" applyFill="1" applyBorder="1" applyAlignment="1">
      <alignment horizontal="center" vertical="center" wrapText="1"/>
    </xf>
    <xf numFmtId="41" fontId="5" fillId="0" borderId="20" xfId="0" applyNumberFormat="1" applyFont="1" applyFill="1" applyBorder="1" applyAlignment="1">
      <alignment horizontal="center" vertical="center" wrapText="1"/>
    </xf>
    <xf numFmtId="41" fontId="5" fillId="0" borderId="20" xfId="0" applyNumberFormat="1" applyFont="1" applyFill="1" applyBorder="1" applyAlignment="1">
      <alignment horizontal="center" vertical="center"/>
    </xf>
    <xf numFmtId="164" fontId="5" fillId="0" borderId="20" xfId="0" applyNumberFormat="1" applyFont="1" applyFill="1" applyBorder="1" applyAlignment="1">
      <alignment horizontal="center" vertical="center" wrapText="1"/>
    </xf>
    <xf numFmtId="41" fontId="5" fillId="0" borderId="20" xfId="1" applyNumberFormat="1" applyFont="1" applyFill="1" applyBorder="1" applyAlignment="1">
      <alignment vertical="center"/>
    </xf>
    <xf numFmtId="41" fontId="71" fillId="0" borderId="20" xfId="4" applyNumberFormat="1" applyFont="1" applyFill="1" applyBorder="1" applyAlignment="1">
      <alignment horizontal="right" vertical="center"/>
    </xf>
    <xf numFmtId="41" fontId="71" fillId="0" borderId="20" xfId="0" applyNumberFormat="1" applyFont="1" applyFill="1" applyBorder="1" applyAlignment="1">
      <alignment horizontal="right" vertical="center" wrapText="1"/>
    </xf>
    <xf numFmtId="41" fontId="71" fillId="0" borderId="20" xfId="0" applyNumberFormat="1" applyFont="1" applyFill="1" applyBorder="1" applyAlignment="1">
      <alignment horizontal="right" vertical="center"/>
    </xf>
    <xf numFmtId="41" fontId="71" fillId="0" borderId="20" xfId="0" applyNumberFormat="1" applyFont="1" applyFill="1" applyBorder="1" applyAlignment="1">
      <alignment vertical="center"/>
    </xf>
    <xf numFmtId="41" fontId="71" fillId="0" borderId="20" xfId="0" applyNumberFormat="1" applyFont="1" applyFill="1" applyBorder="1" applyAlignment="1">
      <alignment vertical="center" wrapText="1"/>
    </xf>
    <xf numFmtId="3" fontId="71" fillId="0" borderId="20" xfId="0" applyNumberFormat="1" applyFont="1" applyFill="1" applyBorder="1" applyAlignment="1">
      <alignment horizontal="right" vertical="center" wrapText="1"/>
    </xf>
    <xf numFmtId="164" fontId="71" fillId="0" borderId="20" xfId="0" applyNumberFormat="1" applyFont="1" applyFill="1" applyBorder="1" applyAlignment="1">
      <alignment vertical="center" wrapText="1"/>
    </xf>
    <xf numFmtId="165" fontId="5" fillId="0" borderId="20" xfId="0" applyNumberFormat="1" applyFont="1" applyFill="1" applyBorder="1" applyAlignment="1">
      <alignment vertical="center"/>
    </xf>
    <xf numFmtId="3" fontId="25" fillId="0" borderId="20" xfId="0" applyNumberFormat="1" applyFont="1" applyFill="1" applyBorder="1" applyAlignment="1">
      <alignment horizontal="center" vertical="center"/>
    </xf>
    <xf numFmtId="165" fontId="25" fillId="0" borderId="20" xfId="1" applyNumberFormat="1" applyFont="1" applyFill="1" applyBorder="1" applyAlignment="1">
      <alignment horizontal="center" vertical="center" wrapText="1"/>
    </xf>
    <xf numFmtId="165" fontId="25" fillId="0" borderId="20" xfId="1" applyNumberFormat="1" applyFont="1" applyFill="1" applyBorder="1" applyAlignment="1">
      <alignment vertical="center" wrapText="1"/>
    </xf>
    <xf numFmtId="165" fontId="5" fillId="0" borderId="20" xfId="0" applyNumberFormat="1" applyFont="1" applyFill="1" applyBorder="1" applyAlignment="1">
      <alignment horizontal="right" vertical="center" wrapText="1"/>
    </xf>
    <xf numFmtId="41" fontId="5" fillId="0" borderId="20" xfId="4" applyNumberFormat="1" applyFont="1" applyFill="1" applyBorder="1" applyAlignment="1">
      <alignment horizontal="center" vertical="center"/>
    </xf>
    <xf numFmtId="41" fontId="22" fillId="0" borderId="20" xfId="0" applyNumberFormat="1" applyFont="1" applyFill="1" applyBorder="1" applyAlignment="1">
      <alignment vertical="center"/>
    </xf>
    <xf numFmtId="164" fontId="22" fillId="0" borderId="20" xfId="0" applyNumberFormat="1" applyFont="1" applyFill="1" applyBorder="1" applyAlignment="1">
      <alignment vertical="center"/>
    </xf>
    <xf numFmtId="41" fontId="5" fillId="0" borderId="20" xfId="2" applyNumberFormat="1" applyFont="1" applyFill="1" applyBorder="1" applyAlignment="1">
      <alignment horizontal="right" vertical="center"/>
    </xf>
    <xf numFmtId="3" fontId="5" fillId="0" borderId="20" xfId="2" applyNumberFormat="1" applyFont="1" applyFill="1" applyBorder="1" applyAlignment="1">
      <alignment horizontal="right" vertical="center"/>
    </xf>
    <xf numFmtId="164" fontId="5" fillId="0" borderId="20" xfId="2" applyNumberFormat="1" applyFont="1" applyFill="1" applyBorder="1" applyAlignment="1">
      <alignment vertical="center"/>
    </xf>
    <xf numFmtId="0" fontId="17" fillId="0" borderId="20" xfId="16" applyFont="1" applyFill="1" applyBorder="1" applyAlignment="1">
      <alignment horizontal="left" vertical="center" wrapText="1"/>
    </xf>
    <xf numFmtId="0" fontId="17" fillId="0" borderId="20" xfId="0" applyFont="1" applyFill="1" applyBorder="1" applyAlignment="1">
      <alignment horizontal="center" vertical="center" wrapText="1"/>
    </xf>
    <xf numFmtId="0" fontId="17" fillId="0" borderId="20" xfId="0" applyFont="1" applyFill="1" applyBorder="1" applyAlignment="1">
      <alignment horizontal="center" vertical="center"/>
    </xf>
    <xf numFmtId="41" fontId="17" fillId="0" borderId="20" xfId="2" applyNumberFormat="1" applyFont="1" applyFill="1" applyBorder="1" applyAlignment="1">
      <alignment horizontal="right" vertical="center"/>
    </xf>
    <xf numFmtId="41" fontId="17" fillId="0" borderId="20" xfId="0" applyNumberFormat="1" applyFont="1" applyFill="1" applyBorder="1" applyAlignment="1">
      <alignment horizontal="right" vertical="center" wrapText="1"/>
    </xf>
    <xf numFmtId="3" fontId="17" fillId="0" borderId="20" xfId="0" applyNumberFormat="1" applyFont="1" applyFill="1" applyBorder="1" applyAlignment="1">
      <alignment vertical="center"/>
    </xf>
    <xf numFmtId="164" fontId="17" fillId="0" borderId="20" xfId="0" applyNumberFormat="1" applyFont="1" applyFill="1" applyBorder="1" applyAlignment="1">
      <alignment vertical="center"/>
    </xf>
    <xf numFmtId="164" fontId="17" fillId="0" borderId="20" xfId="0" applyNumberFormat="1" applyFont="1" applyFill="1" applyBorder="1" applyAlignment="1">
      <alignment vertical="center" wrapText="1"/>
    </xf>
    <xf numFmtId="1" fontId="17" fillId="0" borderId="20" xfId="4" applyNumberFormat="1" applyFont="1" applyFill="1" applyBorder="1" applyAlignment="1">
      <alignment horizontal="right" vertical="center" wrapText="1"/>
    </xf>
    <xf numFmtId="164" fontId="20" fillId="0" borderId="20" xfId="0" applyNumberFormat="1" applyFont="1" applyFill="1" applyBorder="1" applyAlignment="1">
      <alignment vertical="center"/>
    </xf>
    <xf numFmtId="3" fontId="5" fillId="0" borderId="20" xfId="23" quotePrefix="1" applyNumberFormat="1" applyFont="1" applyFill="1" applyBorder="1" applyAlignment="1">
      <alignment horizontal="center" vertical="center" wrapText="1"/>
    </xf>
    <xf numFmtId="49" fontId="18" fillId="0" borderId="20" xfId="4" applyNumberFormat="1" applyFont="1" applyFill="1" applyBorder="1" applyAlignment="1">
      <alignment horizontal="center" vertical="center"/>
    </xf>
    <xf numFmtId="164" fontId="5" fillId="0" borderId="20" xfId="0" applyNumberFormat="1" applyFont="1" applyFill="1" applyBorder="1" applyAlignment="1">
      <alignment horizontal="right" vertical="center"/>
    </xf>
    <xf numFmtId="165" fontId="5" fillId="0" borderId="20" xfId="0" applyNumberFormat="1" applyFont="1" applyFill="1" applyBorder="1" applyAlignment="1">
      <alignment horizontal="center" vertical="center"/>
    </xf>
    <xf numFmtId="164" fontId="21" fillId="0" borderId="20" xfId="4" applyNumberFormat="1" applyFont="1" applyFill="1" applyBorder="1" applyAlignment="1">
      <alignment horizontal="right" vertical="center"/>
    </xf>
    <xf numFmtId="41" fontId="5" fillId="0" borderId="20" xfId="5" applyNumberFormat="1" applyFont="1" applyFill="1" applyBorder="1" applyAlignment="1">
      <alignment horizontal="center" vertical="center"/>
    </xf>
    <xf numFmtId="3" fontId="22" fillId="0" borderId="20" xfId="0" applyNumberFormat="1" applyFont="1" applyFill="1" applyBorder="1" applyAlignment="1">
      <alignment vertical="center" wrapText="1"/>
    </xf>
    <xf numFmtId="49" fontId="16" fillId="0" borderId="20" xfId="4" quotePrefix="1" applyNumberFormat="1" applyFont="1" applyFill="1" applyBorder="1" applyAlignment="1">
      <alignment horizontal="center" vertical="center"/>
    </xf>
    <xf numFmtId="49" fontId="16" fillId="0" borderId="20" xfId="4" applyNumberFormat="1" applyFont="1" applyFill="1" applyBorder="1" applyAlignment="1">
      <alignment horizontal="center" vertical="center"/>
    </xf>
    <xf numFmtId="49" fontId="73" fillId="0" borderId="20" xfId="4" applyNumberFormat="1" applyFont="1" applyFill="1" applyBorder="1" applyAlignment="1">
      <alignment horizontal="center" vertical="center"/>
    </xf>
    <xf numFmtId="49" fontId="73" fillId="0" borderId="20" xfId="4" quotePrefix="1" applyNumberFormat="1" applyFont="1" applyFill="1" applyBorder="1" applyAlignment="1">
      <alignment horizontal="center" vertical="center"/>
    </xf>
    <xf numFmtId="41" fontId="25" fillId="0" borderId="20" xfId="0" applyNumberFormat="1" applyFont="1" applyFill="1" applyBorder="1" applyAlignment="1">
      <alignment horizontal="center" vertical="center" wrapText="1"/>
    </xf>
    <xf numFmtId="2" fontId="5" fillId="0" borderId="20" xfId="0" applyNumberFormat="1" applyFont="1" applyFill="1" applyBorder="1" applyAlignment="1">
      <alignment horizontal="center" vertical="center" wrapText="1"/>
    </xf>
    <xf numFmtId="0" fontId="5" fillId="0" borderId="20" xfId="0" applyFont="1" applyFill="1" applyBorder="1" applyAlignment="1">
      <alignment vertical="center"/>
    </xf>
    <xf numFmtId="165" fontId="5" fillId="0" borderId="20" xfId="0" applyNumberFormat="1" applyFont="1" applyFill="1" applyBorder="1" applyAlignment="1">
      <alignment vertical="center" wrapText="1"/>
    </xf>
    <xf numFmtId="165" fontId="5" fillId="0" borderId="20" xfId="5" applyNumberFormat="1" applyFont="1" applyFill="1" applyBorder="1" applyAlignment="1">
      <alignment horizontal="center" vertical="center" wrapText="1"/>
    </xf>
    <xf numFmtId="165" fontId="5" fillId="0" borderId="20" xfId="5" applyNumberFormat="1" applyFont="1" applyFill="1" applyBorder="1" applyAlignment="1">
      <alignment horizontal="center" vertical="center"/>
    </xf>
    <xf numFmtId="165" fontId="5" fillId="0" borderId="20" xfId="6" applyNumberFormat="1" applyFont="1" applyFill="1" applyBorder="1" applyAlignment="1">
      <alignment vertical="center"/>
    </xf>
    <xf numFmtId="3" fontId="73" fillId="0" borderId="20" xfId="0" applyNumberFormat="1" applyFont="1" applyFill="1" applyBorder="1" applyAlignment="1">
      <alignment vertical="center" wrapText="1"/>
    </xf>
    <xf numFmtId="3" fontId="5" fillId="0" borderId="20" xfId="0" applyNumberFormat="1" applyFont="1" applyFill="1" applyBorder="1" applyAlignment="1">
      <alignment horizontal="right" vertical="center"/>
    </xf>
    <xf numFmtId="3" fontId="5" fillId="0" borderId="20" xfId="40" applyNumberFormat="1" applyFont="1" applyFill="1" applyBorder="1" applyAlignment="1">
      <alignment horizontal="right" vertical="center"/>
    </xf>
    <xf numFmtId="1" fontId="16" fillId="0" borderId="0" xfId="4" applyNumberFormat="1" applyFont="1" applyFill="1" applyAlignment="1">
      <alignment horizontal="center" vertical="center" wrapText="1"/>
    </xf>
    <xf numFmtId="1" fontId="94" fillId="0" borderId="0" xfId="4" applyNumberFormat="1" applyFont="1" applyFill="1" applyAlignment="1">
      <alignment horizontal="center" vertical="center" wrapText="1"/>
    </xf>
    <xf numFmtId="1" fontId="95" fillId="0" borderId="0" xfId="4" applyNumberFormat="1" applyFont="1" applyFill="1" applyAlignment="1">
      <alignment horizontal="center" vertical="center"/>
    </xf>
    <xf numFmtId="1" fontId="80" fillId="0" borderId="0" xfId="4" applyNumberFormat="1" applyFont="1" applyFill="1" applyBorder="1" applyAlignment="1">
      <alignment horizontal="right" vertical="center"/>
    </xf>
    <xf numFmtId="3" fontId="25" fillId="0" borderId="2" xfId="4" applyNumberFormat="1" applyFont="1" applyFill="1" applyBorder="1" applyAlignment="1">
      <alignment horizontal="center" vertical="center" wrapText="1"/>
    </xf>
    <xf numFmtId="3" fontId="25" fillId="0" borderId="5" xfId="4" applyNumberFormat="1" applyFont="1" applyFill="1" applyBorder="1" applyAlignment="1">
      <alignment horizontal="center" vertical="center" wrapText="1"/>
    </xf>
    <xf numFmtId="0" fontId="7" fillId="0" borderId="0" xfId="0" applyFont="1" applyFill="1" applyAlignment="1">
      <alignment horizontal="center" vertical="center"/>
    </xf>
    <xf numFmtId="1" fontId="95" fillId="0" borderId="0" xfId="4" applyNumberFormat="1" applyFont="1" applyFill="1" applyAlignment="1">
      <alignment horizontal="center" vertical="center" wrapText="1"/>
    </xf>
    <xf numFmtId="1" fontId="49" fillId="0" borderId="20" xfId="4" applyNumberFormat="1" applyFont="1" applyFill="1" applyBorder="1" applyAlignment="1">
      <alignment horizontal="center" vertical="center"/>
    </xf>
    <xf numFmtId="49" fontId="25" fillId="0" borderId="20" xfId="4" quotePrefix="1" applyNumberFormat="1" applyFont="1" applyFill="1" applyBorder="1" applyAlignment="1">
      <alignment horizontal="center" vertical="center"/>
    </xf>
    <xf numFmtId="49" fontId="12" fillId="0" borderId="20" xfId="4" applyNumberFormat="1" applyFont="1" applyFill="1" applyBorder="1" applyAlignment="1">
      <alignment horizontal="center" vertical="center"/>
    </xf>
    <xf numFmtId="3" fontId="25" fillId="0" borderId="0" xfId="4" applyNumberFormat="1" applyFont="1" applyFill="1" applyBorder="1" applyAlignment="1">
      <alignment vertical="center" wrapText="1"/>
    </xf>
    <xf numFmtId="3" fontId="12" fillId="0" borderId="20" xfId="28" applyNumberFormat="1" applyFont="1" applyFill="1" applyBorder="1" applyAlignment="1">
      <alignment vertical="center" wrapText="1"/>
    </xf>
    <xf numFmtId="3" fontId="12" fillId="0" borderId="20" xfId="28" applyNumberFormat="1" applyFont="1" applyFill="1" applyBorder="1" applyAlignment="1">
      <alignment horizontal="center" vertical="center" wrapText="1"/>
    </xf>
    <xf numFmtId="1" fontId="12" fillId="0" borderId="20" xfId="28" applyNumberFormat="1" applyFont="1" applyFill="1" applyBorder="1" applyAlignment="1">
      <alignment horizontal="center" vertical="center" wrapText="1"/>
    </xf>
    <xf numFmtId="3" fontId="12" fillId="0" borderId="20" xfId="28" applyNumberFormat="1" applyFont="1" applyFill="1" applyBorder="1" applyAlignment="1">
      <alignment horizontal="center" vertical="center"/>
    </xf>
    <xf numFmtId="3" fontId="12" fillId="0" borderId="20" xfId="4" applyNumberFormat="1" applyFont="1" applyFill="1" applyBorder="1" applyAlignment="1">
      <alignment horizontal="left" vertical="center" wrapText="1"/>
    </xf>
    <xf numFmtId="1" fontId="50" fillId="0" borderId="0" xfId="4" applyNumberFormat="1" applyFont="1" applyFill="1" applyAlignment="1">
      <alignment vertical="center"/>
    </xf>
    <xf numFmtId="3" fontId="12" fillId="0" borderId="20" xfId="4" applyNumberFormat="1" applyFont="1" applyFill="1" applyBorder="1" applyAlignment="1">
      <alignment vertical="center"/>
    </xf>
    <xf numFmtId="41" fontId="60" fillId="0" borderId="0" xfId="0" applyNumberFormat="1" applyFont="1" applyFill="1" applyAlignment="1">
      <alignment vertical="center"/>
    </xf>
    <xf numFmtId="0" fontId="60" fillId="0" borderId="0" xfId="0" applyFont="1" applyFill="1" applyAlignment="1">
      <alignment vertical="center"/>
    </xf>
    <xf numFmtId="0" fontId="25" fillId="0" borderId="0" xfId="15" applyFont="1" applyFill="1" applyAlignment="1">
      <alignment vertical="center"/>
    </xf>
    <xf numFmtId="0" fontId="16" fillId="0" borderId="0" xfId="15" applyFont="1" applyFill="1" applyAlignment="1">
      <alignment horizontal="center" vertical="center"/>
    </xf>
    <xf numFmtId="3" fontId="25" fillId="0" borderId="0" xfId="15" applyNumberFormat="1" applyFont="1" applyFill="1" applyAlignment="1">
      <alignment vertical="center"/>
    </xf>
    <xf numFmtId="0" fontId="80" fillId="0" borderId="0" xfId="15" applyFont="1" applyFill="1" applyAlignment="1">
      <alignment horizontal="right" vertical="center"/>
    </xf>
    <xf numFmtId="0" fontId="12" fillId="0" borderId="0" xfId="15" applyFont="1" applyFill="1" applyAlignment="1">
      <alignment horizontal="center" vertical="center"/>
    </xf>
    <xf numFmtId="3" fontId="12" fillId="0" borderId="0" xfId="15" applyNumberFormat="1" applyFont="1" applyFill="1" applyAlignment="1">
      <alignment horizontal="center" vertical="center"/>
    </xf>
    <xf numFmtId="41" fontId="12" fillId="0" borderId="0" xfId="15" applyNumberFormat="1" applyFont="1" applyFill="1" applyAlignment="1">
      <alignment horizontal="center" vertical="center"/>
    </xf>
    <xf numFmtId="0" fontId="49" fillId="0" borderId="0" xfId="15" applyFont="1" applyFill="1" applyAlignment="1">
      <alignment horizontal="center" vertical="center"/>
    </xf>
    <xf numFmtId="3" fontId="49" fillId="0" borderId="0" xfId="15" applyNumberFormat="1" applyFont="1" applyFill="1" applyAlignment="1">
      <alignment horizontal="center" vertical="center"/>
    </xf>
    <xf numFmtId="0" fontId="49" fillId="0" borderId="0" xfId="15" applyFont="1" applyFill="1" applyAlignment="1">
      <alignment vertical="center"/>
    </xf>
    <xf numFmtId="41" fontId="25" fillId="0" borderId="0" xfId="15" applyNumberFormat="1" applyFont="1" applyFill="1" applyAlignment="1">
      <alignment vertical="center"/>
    </xf>
    <xf numFmtId="3" fontId="93" fillId="0" borderId="0" xfId="0" applyNumberFormat="1" applyFont="1" applyFill="1" applyAlignment="1">
      <alignment horizontal="center" vertical="center"/>
    </xf>
    <xf numFmtId="41" fontId="93" fillId="0" borderId="0" xfId="0" applyNumberFormat="1" applyFont="1" applyFill="1" applyAlignment="1">
      <alignment horizontal="center" vertical="center"/>
    </xf>
    <xf numFmtId="41" fontId="93" fillId="0" borderId="0" xfId="0" applyNumberFormat="1" applyFont="1" applyFill="1"/>
    <xf numFmtId="3" fontId="25" fillId="0" borderId="23" xfId="4" applyNumberFormat="1" applyFont="1" applyFill="1" applyBorder="1" applyAlignment="1">
      <alignment horizontal="center" vertical="center" wrapText="1"/>
    </xf>
    <xf numFmtId="3" fontId="25" fillId="0" borderId="20" xfId="4" applyNumberFormat="1" applyFont="1" applyFill="1" applyBorder="1" applyAlignment="1">
      <alignment horizontal="center" vertical="center" wrapText="1"/>
    </xf>
    <xf numFmtId="3" fontId="82" fillId="0" borderId="20" xfId="4" applyNumberFormat="1" applyFont="1" applyFill="1" applyBorder="1" applyAlignment="1">
      <alignment horizontal="center" vertical="center" wrapText="1"/>
    </xf>
    <xf numFmtId="3" fontId="84" fillId="0" borderId="20" xfId="4" applyNumberFormat="1" applyFont="1" applyFill="1" applyBorder="1" applyAlignment="1">
      <alignment horizontal="center" vertical="center" wrapText="1"/>
    </xf>
    <xf numFmtId="1" fontId="107" fillId="0" borderId="0" xfId="4" applyNumberFormat="1" applyFont="1" applyFill="1" applyAlignment="1">
      <alignment horizontal="center" vertical="center" wrapText="1"/>
    </xf>
    <xf numFmtId="1" fontId="17" fillId="0" borderId="0" xfId="4" applyNumberFormat="1" applyFont="1" applyFill="1" applyAlignment="1">
      <alignment horizontal="center" vertical="center" wrapText="1"/>
    </xf>
    <xf numFmtId="3" fontId="25" fillId="0" borderId="20" xfId="4"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25" fillId="0" borderId="20" xfId="15" applyFont="1" applyFill="1" applyBorder="1" applyAlignment="1">
      <alignment horizontal="left" vertical="center" wrapText="1"/>
    </xf>
    <xf numFmtId="0" fontId="25" fillId="0" borderId="20" xfId="15" applyFont="1" applyFill="1" applyBorder="1" applyAlignment="1">
      <alignment horizontal="center" vertical="center" wrapText="1"/>
    </xf>
    <xf numFmtId="0" fontId="5" fillId="0" borderId="20" xfId="15" applyFont="1" applyBorder="1" applyAlignment="1">
      <alignment horizontal="center" vertical="center" wrapText="1"/>
    </xf>
    <xf numFmtId="0" fontId="12" fillId="0" borderId="20" xfId="15" applyFont="1" applyFill="1" applyBorder="1" applyAlignment="1">
      <alignment horizontal="center" vertical="center"/>
    </xf>
    <xf numFmtId="0" fontId="12" fillId="0" borderId="20" xfId="15" applyFont="1" applyFill="1" applyBorder="1" applyAlignment="1">
      <alignment horizontal="left" vertical="center"/>
    </xf>
    <xf numFmtId="3" fontId="12" fillId="0" borderId="20" xfId="15" applyNumberFormat="1" applyFont="1" applyFill="1" applyBorder="1" applyAlignment="1">
      <alignment horizontal="right" vertical="center"/>
    </xf>
    <xf numFmtId="41" fontId="12" fillId="0" borderId="20" xfId="15" applyNumberFormat="1" applyFont="1" applyFill="1" applyBorder="1" applyAlignment="1">
      <alignment horizontal="right" vertical="center"/>
    </xf>
    <xf numFmtId="41" fontId="49" fillId="0" borderId="20" xfId="15" applyNumberFormat="1" applyFont="1" applyFill="1" applyBorder="1" applyAlignment="1">
      <alignment horizontal="right" vertical="center"/>
    </xf>
    <xf numFmtId="0" fontId="25" fillId="0" borderId="20" xfId="15" applyFont="1" applyFill="1" applyBorder="1" applyAlignment="1">
      <alignment horizontal="center" vertical="center"/>
    </xf>
    <xf numFmtId="3" fontId="25" fillId="0" borderId="20" xfId="15" applyNumberFormat="1" applyFont="1" applyFill="1" applyBorder="1" applyAlignment="1">
      <alignment horizontal="right" vertical="center"/>
    </xf>
    <xf numFmtId="3" fontId="7" fillId="0" borderId="20" xfId="15" applyNumberFormat="1" applyFont="1" applyFill="1" applyBorder="1" applyAlignment="1">
      <alignment horizontal="right" vertical="center"/>
    </xf>
    <xf numFmtId="41" fontId="25" fillId="0" borderId="20" xfId="15" applyNumberFormat="1" applyFont="1" applyFill="1" applyBorder="1" applyAlignment="1">
      <alignment horizontal="right" vertical="center"/>
    </xf>
    <xf numFmtId="41" fontId="7" fillId="0" borderId="20" xfId="15" applyNumberFormat="1" applyFont="1" applyFill="1" applyBorder="1" applyAlignment="1">
      <alignment horizontal="right" vertical="center"/>
    </xf>
    <xf numFmtId="3" fontId="25" fillId="0" borderId="20" xfId="15" applyNumberFormat="1" applyFont="1" applyFill="1" applyBorder="1" applyAlignment="1">
      <alignment horizontal="center" vertical="center" wrapText="1"/>
    </xf>
    <xf numFmtId="0" fontId="49" fillId="0" borderId="20" xfId="15" applyFont="1" applyFill="1" applyBorder="1" applyAlignment="1">
      <alignment horizontal="center" vertical="center"/>
    </xf>
    <xf numFmtId="0" fontId="49" fillId="0" borderId="20" xfId="15" applyFont="1" applyFill="1" applyBorder="1" applyAlignment="1">
      <alignment horizontal="left" vertical="center" wrapText="1"/>
    </xf>
    <xf numFmtId="3" fontId="49" fillId="0" borderId="20" xfId="15" applyNumberFormat="1" applyFont="1" applyFill="1" applyBorder="1" applyAlignment="1">
      <alignment horizontal="right" vertical="center"/>
    </xf>
    <xf numFmtId="0" fontId="12" fillId="0" borderId="20" xfId="15" applyFont="1" applyFill="1" applyBorder="1" applyAlignment="1">
      <alignment horizontal="left" vertical="center" wrapText="1"/>
    </xf>
    <xf numFmtId="0" fontId="49" fillId="0" borderId="20" xfId="15" applyFont="1" applyFill="1" applyBorder="1" applyAlignment="1">
      <alignment vertical="center"/>
    </xf>
    <xf numFmtId="3" fontId="49" fillId="0" borderId="20" xfId="15" applyNumberFormat="1" applyFont="1" applyFill="1" applyBorder="1" applyAlignment="1">
      <alignment vertical="center"/>
    </xf>
    <xf numFmtId="41" fontId="49" fillId="0" borderId="20" xfId="15" applyNumberFormat="1" applyFont="1" applyFill="1" applyBorder="1" applyAlignment="1">
      <alignment vertical="center"/>
    </xf>
    <xf numFmtId="0" fontId="25" fillId="0" borderId="20" xfId="15" applyFont="1" applyFill="1" applyBorder="1" applyAlignment="1">
      <alignment vertical="center"/>
    </xf>
    <xf numFmtId="3" fontId="25" fillId="0" borderId="20" xfId="15" applyNumberFormat="1" applyFont="1" applyFill="1" applyBorder="1" applyAlignment="1">
      <alignment vertical="center"/>
    </xf>
    <xf numFmtId="0" fontId="13" fillId="0" borderId="0" xfId="0" applyFont="1" applyFill="1" applyAlignment="1">
      <alignment vertical="center"/>
    </xf>
    <xf numFmtId="0" fontId="59" fillId="0" borderId="0" xfId="0" applyFont="1" applyFill="1" applyAlignment="1">
      <alignment vertical="center"/>
    </xf>
    <xf numFmtId="0" fontId="97" fillId="0" borderId="0" xfId="0" applyFont="1" applyFill="1" applyAlignment="1">
      <alignment vertical="center"/>
    </xf>
    <xf numFmtId="3" fontId="13" fillId="0" borderId="0" xfId="0" applyNumberFormat="1" applyFont="1" applyFill="1" applyAlignment="1">
      <alignment vertical="center"/>
    </xf>
    <xf numFmtId="41" fontId="13" fillId="0" borderId="0" xfId="0" applyNumberFormat="1" applyFont="1" applyFill="1" applyAlignment="1">
      <alignment vertical="center"/>
    </xf>
    <xf numFmtId="0" fontId="61" fillId="0" borderId="0" xfId="0" applyFont="1" applyFill="1" applyAlignment="1">
      <alignment vertical="center"/>
    </xf>
    <xf numFmtId="0" fontId="72" fillId="0" borderId="0" xfId="0" applyFont="1" applyFill="1" applyAlignment="1">
      <alignment vertical="center"/>
    </xf>
    <xf numFmtId="0" fontId="78" fillId="0" borderId="0" xfId="0" applyFont="1" applyFill="1" applyAlignment="1">
      <alignment vertical="center"/>
    </xf>
    <xf numFmtId="41" fontId="61" fillId="0" borderId="0" xfId="0" applyNumberFormat="1" applyFont="1" applyFill="1" applyAlignment="1">
      <alignment vertical="center"/>
    </xf>
    <xf numFmtId="0" fontId="13" fillId="0" borderId="0" xfId="0" applyFont="1" applyFill="1" applyAlignment="1">
      <alignment horizontal="center" vertical="center" wrapText="1"/>
    </xf>
    <xf numFmtId="0" fontId="5" fillId="0" borderId="20" xfId="0" applyNumberFormat="1" applyFont="1" applyFill="1" applyBorder="1" applyAlignment="1">
      <alignment horizontal="center" vertical="center" wrapText="1"/>
    </xf>
    <xf numFmtId="166" fontId="25" fillId="0" borderId="20" xfId="0" applyNumberFormat="1" applyFont="1" applyFill="1" applyBorder="1" applyAlignment="1">
      <alignment vertical="center" wrapText="1"/>
    </xf>
    <xf numFmtId="3" fontId="7" fillId="0" borderId="20" xfId="4" quotePrefix="1" applyNumberFormat="1" applyFont="1" applyFill="1" applyBorder="1" applyAlignment="1">
      <alignment vertical="center" wrapText="1"/>
    </xf>
    <xf numFmtId="3" fontId="60" fillId="3" borderId="0" xfId="0" applyNumberFormat="1" applyFont="1" applyFill="1" applyAlignment="1">
      <alignment horizontal="center" vertical="center"/>
    </xf>
    <xf numFmtId="41" fontId="108" fillId="0" borderId="20" xfId="0" applyNumberFormat="1" applyFont="1" applyFill="1" applyBorder="1" applyAlignment="1">
      <alignment vertical="center" wrapText="1"/>
    </xf>
    <xf numFmtId="41" fontId="108" fillId="0" borderId="20" xfId="15" applyNumberFormat="1" applyFont="1" applyFill="1" applyBorder="1" applyAlignment="1">
      <alignment horizontal="right" vertical="center"/>
    </xf>
    <xf numFmtId="3" fontId="108" fillId="0" borderId="20" xfId="15" applyNumberFormat="1" applyFont="1" applyFill="1" applyBorder="1" applyAlignment="1">
      <alignment horizontal="right" vertical="center"/>
    </xf>
    <xf numFmtId="41" fontId="76" fillId="0" borderId="20" xfId="15" applyNumberFormat="1" applyFont="1" applyFill="1" applyBorder="1" applyAlignment="1">
      <alignment horizontal="right" vertical="center"/>
    </xf>
    <xf numFmtId="3" fontId="76" fillId="0" borderId="20" xfId="15" applyNumberFormat="1" applyFont="1" applyFill="1" applyBorder="1" applyAlignment="1">
      <alignment horizontal="right" vertical="center"/>
    </xf>
    <xf numFmtId="41" fontId="109" fillId="0" borderId="0" xfId="15" applyNumberFormat="1" applyFont="1" applyFill="1" applyAlignment="1">
      <alignment horizontal="center" vertical="center"/>
    </xf>
    <xf numFmtId="3" fontId="12" fillId="0" borderId="20" xfId="15" applyNumberFormat="1" applyFont="1" applyFill="1" applyBorder="1" applyAlignment="1">
      <alignment horizontal="center" vertical="center"/>
    </xf>
    <xf numFmtId="3" fontId="71" fillId="0" borderId="20" xfId="4" applyNumberFormat="1" applyFont="1" applyFill="1" applyBorder="1" applyAlignment="1">
      <alignment vertical="center"/>
    </xf>
    <xf numFmtId="3" fontId="22" fillId="0" borderId="20" xfId="4" applyNumberFormat="1" applyFont="1" applyFill="1" applyBorder="1" applyAlignment="1">
      <alignment vertical="center"/>
    </xf>
    <xf numFmtId="1" fontId="17" fillId="0" borderId="0" xfId="4" applyNumberFormat="1" applyFont="1" applyFill="1" applyAlignment="1">
      <alignment horizontal="center" vertical="center" wrapText="1"/>
    </xf>
    <xf numFmtId="1" fontId="12" fillId="0" borderId="0" xfId="4" applyNumberFormat="1" applyFont="1" applyFill="1" applyAlignment="1">
      <alignment horizontal="center" vertical="center"/>
    </xf>
    <xf numFmtId="1" fontId="14" fillId="0" borderId="0" xfId="4" applyNumberFormat="1" applyFont="1" applyFill="1" applyAlignment="1">
      <alignment horizontal="center" vertical="center" wrapText="1"/>
    </xf>
    <xf numFmtId="1" fontId="16" fillId="0" borderId="0" xfId="4" applyNumberFormat="1" applyFont="1" applyFill="1" applyAlignment="1">
      <alignment horizontal="center" vertical="center" wrapText="1"/>
    </xf>
    <xf numFmtId="41" fontId="18" fillId="0" borderId="2" xfId="4" applyNumberFormat="1" applyFont="1" applyFill="1" applyBorder="1" applyAlignment="1">
      <alignment horizontal="center" vertical="center" wrapText="1"/>
    </xf>
    <xf numFmtId="41" fontId="18" fillId="0" borderId="5" xfId="4" applyNumberFormat="1" applyFont="1" applyFill="1" applyBorder="1" applyAlignment="1">
      <alignment horizontal="center" vertical="center" wrapText="1"/>
    </xf>
    <xf numFmtId="1" fontId="17" fillId="0" borderId="1" xfId="4" applyNumberFormat="1" applyFont="1" applyFill="1" applyBorder="1" applyAlignment="1">
      <alignment horizontal="right" vertical="center"/>
    </xf>
    <xf numFmtId="3" fontId="5" fillId="0" borderId="2" xfId="4" applyNumberFormat="1" applyFont="1" applyFill="1" applyBorder="1" applyAlignment="1">
      <alignment horizontal="center" vertical="center" wrapText="1"/>
    </xf>
    <xf numFmtId="3" fontId="5" fillId="0" borderId="5" xfId="4" applyNumberFormat="1" applyFont="1" applyFill="1" applyBorder="1" applyAlignment="1">
      <alignment horizontal="center" vertical="center" wrapText="1"/>
    </xf>
    <xf numFmtId="3" fontId="5" fillId="0" borderId="3" xfId="4" applyNumberFormat="1" applyFont="1" applyFill="1" applyBorder="1" applyAlignment="1">
      <alignment horizontal="center" vertical="center" wrapText="1"/>
    </xf>
    <xf numFmtId="3" fontId="5" fillId="0" borderId="4" xfId="4" applyNumberFormat="1" applyFont="1" applyFill="1" applyBorder="1" applyAlignment="1">
      <alignment horizontal="center" vertical="center" wrapText="1"/>
    </xf>
    <xf numFmtId="3" fontId="5" fillId="0" borderId="6" xfId="4" applyNumberFormat="1" applyFont="1" applyFill="1" applyBorder="1" applyAlignment="1">
      <alignment horizontal="center" vertical="center" wrapText="1"/>
    </xf>
    <xf numFmtId="3" fontId="5" fillId="0" borderId="7" xfId="4" applyNumberFormat="1" applyFont="1" applyFill="1" applyBorder="1" applyAlignment="1">
      <alignment horizontal="center" vertical="center" wrapText="1"/>
    </xf>
    <xf numFmtId="3" fontId="5" fillId="0" borderId="8" xfId="4" applyNumberFormat="1" applyFont="1" applyFill="1" applyBorder="1" applyAlignment="1">
      <alignment horizontal="center" vertical="center" wrapText="1"/>
    </xf>
    <xf numFmtId="3" fontId="18" fillId="0" borderId="5" xfId="4" applyNumberFormat="1" applyFont="1" applyFill="1" applyBorder="1" applyAlignment="1">
      <alignment horizontal="center" vertical="center" wrapText="1"/>
    </xf>
    <xf numFmtId="1" fontId="5" fillId="0" borderId="6" xfId="4" applyNumberFormat="1" applyFont="1" applyFill="1" applyBorder="1" applyAlignment="1">
      <alignment horizontal="center" vertical="center" wrapText="1"/>
    </xf>
    <xf numFmtId="1" fontId="5" fillId="0" borderId="7" xfId="4" applyNumberFormat="1" applyFont="1" applyFill="1" applyBorder="1" applyAlignment="1">
      <alignment horizontal="center" vertical="center" wrapText="1"/>
    </xf>
    <xf numFmtId="1" fontId="5" fillId="0" borderId="8" xfId="4" applyNumberFormat="1" applyFont="1" applyFill="1" applyBorder="1" applyAlignment="1">
      <alignment horizontal="center" vertical="center" wrapText="1"/>
    </xf>
    <xf numFmtId="0" fontId="7" fillId="0" borderId="0" xfId="0" applyFont="1" applyAlignment="1">
      <alignment horizontal="center" vertical="center"/>
    </xf>
    <xf numFmtId="41" fontId="31" fillId="0" borderId="5" xfId="4" applyNumberFormat="1" applyFont="1" applyFill="1" applyBorder="1" applyAlignment="1">
      <alignment horizontal="center" vertical="center" wrapText="1"/>
    </xf>
    <xf numFmtId="41" fontId="30" fillId="0" borderId="6" xfId="4" applyNumberFormat="1" applyFont="1" applyFill="1" applyBorder="1" applyAlignment="1">
      <alignment horizontal="center" vertical="center" wrapText="1"/>
    </xf>
    <xf numFmtId="41" fontId="30" fillId="0" borderId="7" xfId="4" applyNumberFormat="1" applyFont="1" applyFill="1" applyBorder="1" applyAlignment="1">
      <alignment horizontal="center" vertical="center" wrapText="1"/>
    </xf>
    <xf numFmtId="41" fontId="30" fillId="0" borderId="8" xfId="4" applyNumberFormat="1" applyFont="1" applyFill="1" applyBorder="1" applyAlignment="1">
      <alignment horizontal="center" vertical="center" wrapText="1"/>
    </xf>
    <xf numFmtId="164" fontId="30" fillId="0" borderId="6" xfId="4" applyNumberFormat="1" applyFont="1" applyFill="1" applyBorder="1" applyAlignment="1">
      <alignment horizontal="center" vertical="center" wrapText="1"/>
    </xf>
    <xf numFmtId="164" fontId="30" fillId="0" borderId="7" xfId="4" applyNumberFormat="1" applyFont="1" applyFill="1" applyBorder="1" applyAlignment="1">
      <alignment horizontal="center" vertical="center" wrapText="1"/>
    </xf>
    <xf numFmtId="164" fontId="30" fillId="0" borderId="8" xfId="4" applyNumberFormat="1" applyFont="1" applyFill="1" applyBorder="1" applyAlignment="1">
      <alignment horizontal="center" vertical="center" wrapText="1"/>
    </xf>
    <xf numFmtId="3" fontId="31" fillId="0" borderId="5" xfId="4" applyNumberFormat="1" applyFont="1" applyFill="1" applyBorder="1" applyAlignment="1">
      <alignment horizontal="center" vertical="center" wrapText="1"/>
    </xf>
    <xf numFmtId="3" fontId="30" fillId="0" borderId="6" xfId="4" applyNumberFormat="1" applyFont="1" applyFill="1" applyBorder="1" applyAlignment="1">
      <alignment horizontal="center" vertical="center" wrapText="1"/>
    </xf>
    <xf numFmtId="3" fontId="30" fillId="0" borderId="7" xfId="4" applyNumberFormat="1" applyFont="1" applyFill="1" applyBorder="1" applyAlignment="1">
      <alignment horizontal="center" vertical="center" wrapText="1"/>
    </xf>
    <xf numFmtId="3" fontId="30" fillId="0" borderId="8" xfId="4" applyNumberFormat="1" applyFont="1" applyFill="1" applyBorder="1" applyAlignment="1">
      <alignment horizontal="center" vertical="center" wrapText="1"/>
    </xf>
    <xf numFmtId="3" fontId="30" fillId="0" borderId="12" xfId="4" applyNumberFormat="1" applyFont="1" applyFill="1" applyBorder="1" applyAlignment="1">
      <alignment horizontal="center" vertical="center" wrapText="1"/>
    </xf>
    <xf numFmtId="3" fontId="30" fillId="0" borderId="11" xfId="4" applyNumberFormat="1" applyFont="1" applyFill="1" applyBorder="1" applyAlignment="1">
      <alignment horizontal="center" vertical="center" wrapText="1"/>
    </xf>
    <xf numFmtId="3" fontId="30" fillId="0" borderId="16" xfId="4" applyNumberFormat="1" applyFont="1" applyFill="1" applyBorder="1" applyAlignment="1">
      <alignment horizontal="center" vertical="center" wrapText="1"/>
    </xf>
    <xf numFmtId="41" fontId="31" fillId="0" borderId="2" xfId="4" applyNumberFormat="1" applyFont="1" applyFill="1" applyBorder="1" applyAlignment="1">
      <alignment horizontal="center" vertical="center" wrapText="1"/>
    </xf>
    <xf numFmtId="1" fontId="34" fillId="0" borderId="0" xfId="4" applyNumberFormat="1" applyFont="1" applyFill="1" applyAlignment="1">
      <alignment horizontal="center" vertical="center" wrapText="1"/>
    </xf>
    <xf numFmtId="1" fontId="34" fillId="0" borderId="1" xfId="4" applyNumberFormat="1" applyFont="1" applyFill="1" applyBorder="1" applyAlignment="1">
      <alignment horizontal="right" vertical="center"/>
    </xf>
    <xf numFmtId="3" fontId="30" fillId="0" borderId="18" xfId="4" applyNumberFormat="1" applyFont="1" applyFill="1" applyBorder="1" applyAlignment="1">
      <alignment horizontal="center" vertical="center" wrapText="1"/>
    </xf>
    <xf numFmtId="3" fontId="30" fillId="0" borderId="19" xfId="4" applyNumberFormat="1" applyFont="1" applyFill="1" applyBorder="1" applyAlignment="1">
      <alignment horizontal="center" vertical="center" wrapText="1"/>
    </xf>
    <xf numFmtId="3" fontId="30" fillId="0" borderId="17" xfId="4" applyNumberFormat="1" applyFont="1" applyFill="1" applyBorder="1" applyAlignment="1">
      <alignment horizontal="center" vertical="center" wrapText="1"/>
    </xf>
    <xf numFmtId="3" fontId="30" fillId="0" borderId="14" xfId="4" applyNumberFormat="1" applyFont="1" applyFill="1" applyBorder="1" applyAlignment="1">
      <alignment horizontal="center" vertical="center" wrapText="1"/>
    </xf>
    <xf numFmtId="3" fontId="30" fillId="0" borderId="15" xfId="4" applyNumberFormat="1" applyFont="1" applyFill="1" applyBorder="1" applyAlignment="1">
      <alignment horizontal="center" vertical="center" wrapText="1"/>
    </xf>
    <xf numFmtId="3" fontId="30" fillId="0" borderId="13" xfId="4" applyNumberFormat="1" applyFont="1" applyFill="1" applyBorder="1" applyAlignment="1">
      <alignment horizontal="center" vertical="center" wrapText="1"/>
    </xf>
    <xf numFmtId="41" fontId="30" fillId="0" borderId="18" xfId="4" applyNumberFormat="1" applyFont="1" applyFill="1" applyBorder="1" applyAlignment="1">
      <alignment horizontal="center" vertical="center" wrapText="1"/>
    </xf>
    <xf numFmtId="41" fontId="30" fillId="0" borderId="17" xfId="4" applyNumberFormat="1" applyFont="1" applyFill="1" applyBorder="1" applyAlignment="1">
      <alignment horizontal="center" vertical="center" wrapText="1"/>
    </xf>
    <xf numFmtId="41" fontId="30" fillId="0" borderId="14" xfId="4" applyNumberFormat="1" applyFont="1" applyFill="1" applyBorder="1" applyAlignment="1">
      <alignment horizontal="center" vertical="center" wrapText="1"/>
    </xf>
    <xf numFmtId="41" fontId="30" fillId="0" borderId="13" xfId="4" applyNumberFormat="1" applyFont="1" applyFill="1" applyBorder="1" applyAlignment="1">
      <alignment horizontal="center" vertical="center" wrapText="1"/>
    </xf>
    <xf numFmtId="164" fontId="30" fillId="0" borderId="18" xfId="4" applyNumberFormat="1" applyFont="1" applyFill="1" applyBorder="1" applyAlignment="1">
      <alignment horizontal="center" vertical="center" wrapText="1"/>
    </xf>
    <xf numFmtId="164" fontId="30" fillId="0" borderId="17" xfId="4" applyNumberFormat="1" applyFont="1" applyFill="1" applyBorder="1" applyAlignment="1">
      <alignment horizontal="center" vertical="center" wrapText="1"/>
    </xf>
    <xf numFmtId="164" fontId="30" fillId="0" borderId="14" xfId="4" applyNumberFormat="1" applyFont="1" applyFill="1" applyBorder="1" applyAlignment="1">
      <alignment horizontal="center" vertical="center" wrapText="1"/>
    </xf>
    <xf numFmtId="164" fontId="30" fillId="0" borderId="13" xfId="4" applyNumberFormat="1" applyFont="1" applyFill="1" applyBorder="1" applyAlignment="1">
      <alignment horizontal="center" vertical="center" wrapText="1"/>
    </xf>
    <xf numFmtId="1" fontId="46" fillId="0" borderId="0" xfId="4" applyNumberFormat="1" applyFont="1" applyFill="1" applyAlignment="1">
      <alignment horizontal="center" vertical="center"/>
    </xf>
    <xf numFmtId="1" fontId="45" fillId="0" borderId="0" xfId="4" applyNumberFormat="1" applyFont="1" applyFill="1" applyAlignment="1">
      <alignment horizontal="center" vertical="center" wrapText="1"/>
    </xf>
    <xf numFmtId="1" fontId="35" fillId="0" borderId="0" xfId="4" applyNumberFormat="1" applyFont="1" applyFill="1" applyAlignment="1">
      <alignment horizontal="center" vertical="center" wrapText="1"/>
    </xf>
    <xf numFmtId="1" fontId="43" fillId="0" borderId="0" xfId="4" applyNumberFormat="1" applyFont="1" applyFill="1" applyAlignment="1">
      <alignment horizontal="center" vertical="center" wrapText="1"/>
    </xf>
    <xf numFmtId="0" fontId="25" fillId="0" borderId="2" xfId="15" applyFont="1" applyBorder="1" applyAlignment="1">
      <alignment horizontal="center" vertical="center" wrapText="1"/>
    </xf>
    <xf numFmtId="3" fontId="25" fillId="0" borderId="2" xfId="15" applyNumberFormat="1" applyFont="1" applyBorder="1" applyAlignment="1">
      <alignment horizontal="center" vertical="center" wrapText="1"/>
    </xf>
    <xf numFmtId="3" fontId="25" fillId="0" borderId="8" xfId="15" applyNumberFormat="1" applyFont="1" applyBorder="1" applyAlignment="1">
      <alignment horizontal="center" vertical="center" wrapText="1"/>
    </xf>
    <xf numFmtId="3" fontId="25" fillId="0" borderId="5" xfId="15" applyNumberFormat="1" applyFont="1" applyBorder="1" applyAlignment="1">
      <alignment horizontal="center" vertical="center" wrapText="1"/>
    </xf>
    <xf numFmtId="0" fontId="25" fillId="0" borderId="8" xfId="15" applyFont="1" applyBorder="1" applyAlignment="1">
      <alignment horizontal="center" vertical="center" wrapText="1"/>
    </xf>
    <xf numFmtId="0" fontId="25" fillId="0" borderId="5" xfId="15" applyFont="1" applyBorder="1" applyAlignment="1">
      <alignment horizontal="center" vertical="center" wrapText="1"/>
    </xf>
    <xf numFmtId="0" fontId="25" fillId="0" borderId="6" xfId="15" applyFont="1" applyBorder="1" applyAlignment="1">
      <alignment horizontal="center" vertical="center" wrapText="1"/>
    </xf>
    <xf numFmtId="0" fontId="0" fillId="0" borderId="8" xfId="0" applyBorder="1" applyAlignment="1">
      <alignment horizontal="center" vertical="center" wrapText="1"/>
    </xf>
    <xf numFmtId="0" fontId="25" fillId="0" borderId="12" xfId="15" applyFont="1" applyBorder="1" applyAlignment="1">
      <alignment horizontal="left" vertical="center" wrapText="1"/>
    </xf>
    <xf numFmtId="0" fontId="25" fillId="0" borderId="21" xfId="15" applyFont="1" applyBorder="1" applyAlignment="1">
      <alignment horizontal="left" vertical="center" wrapText="1"/>
    </xf>
    <xf numFmtId="0" fontId="25" fillId="0" borderId="11" xfId="15" applyFont="1" applyBorder="1" applyAlignment="1">
      <alignment horizontal="left" vertical="center" wrapText="1"/>
    </xf>
    <xf numFmtId="0" fontId="14" fillId="0" borderId="0" xfId="15" applyFont="1" applyAlignment="1">
      <alignment horizontal="center" wrapText="1"/>
    </xf>
    <xf numFmtId="0" fontId="14" fillId="0" borderId="0" xfId="15" applyFont="1" applyAlignment="1">
      <alignment horizontal="center"/>
    </xf>
    <xf numFmtId="0" fontId="16" fillId="0" borderId="0" xfId="15" applyFont="1" applyAlignment="1">
      <alignment horizontal="center"/>
    </xf>
    <xf numFmtId="0" fontId="25" fillId="0" borderId="16" xfId="15" applyFont="1" applyBorder="1" applyAlignment="1">
      <alignment horizontal="center" vertical="center" wrapText="1"/>
    </xf>
    <xf numFmtId="0" fontId="25" fillId="0" borderId="7" xfId="15" applyFont="1" applyBorder="1" applyAlignment="1">
      <alignment horizontal="center" vertical="center" wrapText="1"/>
    </xf>
    <xf numFmtId="41" fontId="31" fillId="0" borderId="20" xfId="4" applyNumberFormat="1" applyFont="1" applyFill="1" applyBorder="1" applyAlignment="1">
      <alignment horizontal="center" vertical="center" wrapText="1"/>
    </xf>
    <xf numFmtId="41" fontId="30" fillId="0" borderId="20" xfId="4" applyNumberFormat="1" applyFont="1" applyFill="1" applyBorder="1" applyAlignment="1">
      <alignment horizontal="center" vertical="center" wrapText="1"/>
    </xf>
    <xf numFmtId="164" fontId="30" fillId="0" borderId="20" xfId="4" applyNumberFormat="1" applyFont="1" applyFill="1" applyBorder="1" applyAlignment="1">
      <alignment horizontal="center" vertical="center" wrapText="1"/>
    </xf>
    <xf numFmtId="3" fontId="31" fillId="0" borderId="20" xfId="4" applyNumberFormat="1" applyFont="1" applyFill="1" applyBorder="1" applyAlignment="1">
      <alignment horizontal="center" vertical="center" wrapText="1"/>
    </xf>
    <xf numFmtId="3" fontId="30" fillId="0" borderId="5" xfId="4" applyNumberFormat="1" applyFont="1" applyFill="1" applyBorder="1" applyAlignment="1">
      <alignment horizontal="center" vertical="center" wrapText="1"/>
    </xf>
    <xf numFmtId="3" fontId="30" fillId="0" borderId="20" xfId="4" applyNumberFormat="1" applyFont="1" applyFill="1" applyBorder="1" applyAlignment="1">
      <alignment horizontal="center" vertical="center" wrapText="1"/>
    </xf>
    <xf numFmtId="3" fontId="30" fillId="0" borderId="2" xfId="4" applyNumberFormat="1" applyFont="1" applyFill="1" applyBorder="1" applyAlignment="1">
      <alignment horizontal="center" vertical="center" wrapText="1"/>
    </xf>
    <xf numFmtId="1" fontId="46" fillId="0" borderId="0" xfId="4" applyNumberFormat="1" applyFont="1" applyFill="1" applyAlignment="1">
      <alignment horizontal="right" vertical="center"/>
    </xf>
    <xf numFmtId="1" fontId="45" fillId="0" borderId="0" xfId="4" applyNumberFormat="1" applyFont="1" applyFill="1" applyAlignment="1">
      <alignment horizontal="right" vertical="center" wrapText="1"/>
    </xf>
    <xf numFmtId="1" fontId="34" fillId="0" borderId="0" xfId="4" applyNumberFormat="1" applyFont="1" applyFill="1" applyAlignment="1">
      <alignment horizontal="right" vertical="center" wrapText="1"/>
    </xf>
    <xf numFmtId="1" fontId="34" fillId="0" borderId="0" xfId="4" applyNumberFormat="1" applyFont="1" applyFill="1" applyBorder="1" applyAlignment="1">
      <alignment horizontal="right" vertical="center"/>
    </xf>
    <xf numFmtId="0" fontId="7" fillId="0" borderId="0" xfId="15" applyFont="1" applyAlignment="1">
      <alignment horizontal="left" wrapText="1"/>
    </xf>
    <xf numFmtId="0" fontId="25" fillId="0" borderId="0" xfId="15" applyFont="1" applyAlignment="1">
      <alignment horizontal="left"/>
    </xf>
    <xf numFmtId="0" fontId="25" fillId="0" borderId="3" xfId="15" applyFont="1" applyBorder="1" applyAlignment="1">
      <alignment horizontal="center" vertical="center" wrapText="1"/>
    </xf>
    <xf numFmtId="0" fontId="25" fillId="0" borderId="25" xfId="15" applyFont="1" applyBorder="1" applyAlignment="1">
      <alignment horizontal="center" vertical="center" wrapText="1"/>
    </xf>
    <xf numFmtId="0" fontId="25" fillId="0" borderId="4" xfId="15" applyFont="1" applyBorder="1" applyAlignment="1">
      <alignment horizontal="center" vertical="center" wrapText="1"/>
    </xf>
    <xf numFmtId="0" fontId="14" fillId="0" borderId="0" xfId="15" applyFont="1" applyFill="1" applyAlignment="1">
      <alignment horizontal="center" vertical="center" wrapText="1"/>
    </xf>
    <xf numFmtId="0" fontId="14" fillId="0" borderId="0" xfId="15" applyFont="1" applyFill="1" applyAlignment="1">
      <alignment horizontal="center" vertical="center"/>
    </xf>
    <xf numFmtId="0" fontId="106" fillId="0" borderId="0" xfId="15" applyFont="1" applyFill="1" applyAlignment="1">
      <alignment horizontal="center" vertical="center"/>
    </xf>
    <xf numFmtId="0" fontId="80" fillId="0" borderId="0" xfId="15" applyFont="1" applyFill="1" applyAlignment="1">
      <alignment horizontal="center" vertical="center"/>
    </xf>
    <xf numFmtId="0" fontId="7" fillId="0" borderId="0" xfId="15" applyFont="1" applyFill="1" applyAlignment="1">
      <alignment horizontal="left" vertical="center" wrapText="1"/>
    </xf>
    <xf numFmtId="0" fontId="25" fillId="0" borderId="20" xfId="15" applyFont="1" applyFill="1" applyBorder="1" applyAlignment="1">
      <alignment horizontal="center" vertical="center" wrapText="1"/>
    </xf>
    <xf numFmtId="0" fontId="5" fillId="0" borderId="20" xfId="15" applyFont="1" applyFill="1" applyBorder="1" applyAlignment="1">
      <alignment horizontal="center" vertical="center" wrapText="1"/>
    </xf>
    <xf numFmtId="0" fontId="78" fillId="0" borderId="20" xfId="0" applyFont="1" applyFill="1" applyBorder="1" applyAlignment="1">
      <alignment horizontal="center" vertical="center" wrapText="1"/>
    </xf>
    <xf numFmtId="0" fontId="25" fillId="0" borderId="20" xfId="15" applyFont="1" applyFill="1" applyBorder="1" applyAlignment="1">
      <alignment horizontal="left" vertical="center" wrapText="1"/>
    </xf>
    <xf numFmtId="1" fontId="94" fillId="0" borderId="0" xfId="4" applyNumberFormat="1" applyFont="1" applyFill="1" applyAlignment="1">
      <alignment horizontal="center" vertical="center" wrapText="1"/>
    </xf>
    <xf numFmtId="1" fontId="95" fillId="0" borderId="0" xfId="4" applyNumberFormat="1" applyFont="1" applyFill="1" applyAlignment="1">
      <alignment horizontal="center" vertical="center"/>
    </xf>
    <xf numFmtId="1" fontId="95" fillId="0" borderId="0" xfId="4" applyNumberFormat="1" applyFont="1" applyFill="1" applyAlignment="1">
      <alignment horizontal="center" vertical="center" wrapText="1"/>
    </xf>
    <xf numFmtId="1" fontId="80" fillId="0" borderId="0" xfId="4" applyNumberFormat="1" applyFont="1" applyFill="1" applyAlignment="1">
      <alignment horizontal="center" vertical="center" wrapText="1"/>
    </xf>
    <xf numFmtId="1" fontId="80" fillId="0" borderId="0" xfId="4" applyNumberFormat="1" applyFont="1" applyFill="1" applyBorder="1" applyAlignment="1">
      <alignment horizontal="right" vertical="center"/>
    </xf>
    <xf numFmtId="1" fontId="16" fillId="0" borderId="1" xfId="4" applyNumberFormat="1" applyFont="1" applyFill="1" applyBorder="1" applyAlignment="1">
      <alignment horizontal="right" vertical="center"/>
    </xf>
    <xf numFmtId="1" fontId="16" fillId="0" borderId="0" xfId="4" applyNumberFormat="1" applyFont="1" applyFill="1" applyBorder="1" applyAlignment="1">
      <alignment horizontal="right" vertical="center"/>
    </xf>
    <xf numFmtId="1" fontId="80" fillId="0" borderId="1" xfId="4" applyNumberFormat="1" applyFont="1" applyFill="1" applyBorder="1" applyAlignment="1">
      <alignment horizontal="right" vertical="center"/>
    </xf>
    <xf numFmtId="3" fontId="25" fillId="0" borderId="20" xfId="4" applyNumberFormat="1" applyFont="1" applyFill="1" applyBorder="1" applyAlignment="1">
      <alignment horizontal="center" vertical="center" wrapText="1"/>
    </xf>
    <xf numFmtId="41" fontId="7" fillId="0" borderId="20" xfId="4" applyNumberFormat="1" applyFont="1" applyFill="1" applyBorder="1" applyAlignment="1">
      <alignment horizontal="center" vertical="center" wrapText="1"/>
    </xf>
    <xf numFmtId="3" fontId="25" fillId="0" borderId="2" xfId="4" applyNumberFormat="1" applyFont="1" applyFill="1" applyBorder="1" applyAlignment="1">
      <alignment horizontal="center" vertical="center" wrapText="1"/>
    </xf>
    <xf numFmtId="3" fontId="25" fillId="0" borderId="5" xfId="4" applyNumberFormat="1" applyFont="1" applyFill="1" applyBorder="1" applyAlignment="1">
      <alignment horizontal="center" vertical="center" wrapText="1"/>
    </xf>
    <xf numFmtId="3" fontId="25" fillId="0" borderId="4" xfId="4" applyNumberFormat="1" applyFont="1" applyFill="1" applyBorder="1" applyAlignment="1">
      <alignment horizontal="center" vertical="center" wrapText="1"/>
    </xf>
    <xf numFmtId="3" fontId="25" fillId="0" borderId="11" xfId="4" applyNumberFormat="1" applyFont="1" applyFill="1" applyBorder="1" applyAlignment="1">
      <alignment horizontal="center" vertical="center" wrapText="1"/>
    </xf>
    <xf numFmtId="3" fontId="25" fillId="0" borderId="3" xfId="4" applyNumberFormat="1" applyFont="1" applyFill="1" applyBorder="1" applyAlignment="1">
      <alignment horizontal="center" vertical="center" wrapText="1"/>
    </xf>
    <xf numFmtId="3" fontId="25" fillId="0" borderId="6" xfId="4" applyNumberFormat="1" applyFont="1" applyFill="1" applyBorder="1" applyAlignment="1">
      <alignment horizontal="center" vertical="center" wrapText="1"/>
    </xf>
    <xf numFmtId="3" fontId="25" fillId="0" borderId="7" xfId="4" applyNumberFormat="1" applyFont="1" applyFill="1" applyBorder="1" applyAlignment="1">
      <alignment horizontal="center" vertical="center" wrapText="1"/>
    </xf>
    <xf numFmtId="3" fontId="25" fillId="0" borderId="8" xfId="4" applyNumberFormat="1" applyFont="1" applyFill="1" applyBorder="1" applyAlignment="1">
      <alignment horizontal="center" vertical="center" wrapText="1"/>
    </xf>
    <xf numFmtId="0" fontId="7" fillId="0" borderId="0" xfId="0" applyFont="1" applyFill="1" applyAlignment="1">
      <alignment horizontal="center" vertical="center"/>
    </xf>
    <xf numFmtId="1" fontId="5" fillId="0" borderId="20" xfId="4" applyNumberFormat="1" applyFont="1" applyFill="1" applyBorder="1" applyAlignment="1">
      <alignment horizontal="center" vertical="center" wrapText="1"/>
    </xf>
    <xf numFmtId="1" fontId="17" fillId="0" borderId="0" xfId="4" applyNumberFormat="1" applyFont="1" applyFill="1" applyBorder="1" applyAlignment="1">
      <alignment horizontal="right" vertical="center"/>
    </xf>
    <xf numFmtId="3" fontId="5" fillId="0" borderId="20" xfId="4" applyNumberFormat="1" applyFont="1" applyFill="1" applyBorder="1" applyAlignment="1">
      <alignment horizontal="center" vertical="center" wrapText="1"/>
    </xf>
    <xf numFmtId="41" fontId="5" fillId="0" borderId="20" xfId="4" applyNumberFormat="1" applyFont="1" applyFill="1" applyBorder="1" applyAlignment="1">
      <alignment horizontal="center" vertical="center" wrapText="1"/>
    </xf>
    <xf numFmtId="1" fontId="105" fillId="0" borderId="0" xfId="4" applyNumberFormat="1" applyFont="1" applyFill="1" applyAlignment="1">
      <alignment horizontal="center" vertical="center" wrapText="1"/>
    </xf>
    <xf numFmtId="1" fontId="106" fillId="0" borderId="0" xfId="4" applyNumberFormat="1" applyFont="1" applyFill="1" applyAlignment="1">
      <alignment horizontal="center" vertical="center" wrapText="1"/>
    </xf>
    <xf numFmtId="164" fontId="5" fillId="0" borderId="20" xfId="4" applyNumberFormat="1" applyFont="1" applyFill="1" applyBorder="1" applyAlignment="1">
      <alignment horizontal="center" vertical="center" wrapText="1"/>
    </xf>
    <xf numFmtId="41" fontId="18" fillId="0" borderId="20" xfId="4" applyNumberFormat="1" applyFont="1" applyFill="1" applyBorder="1" applyAlignment="1">
      <alignment horizontal="center" vertical="center" wrapText="1"/>
    </xf>
    <xf numFmtId="1" fontId="102" fillId="0" borderId="0" xfId="4" applyNumberFormat="1" applyFont="1" applyFill="1" applyAlignment="1">
      <alignment horizontal="center" vertical="center" wrapText="1"/>
    </xf>
    <xf numFmtId="0" fontId="95" fillId="0" borderId="0" xfId="0" applyFont="1" applyFill="1" applyAlignment="1">
      <alignment horizontal="center" vertical="center"/>
    </xf>
    <xf numFmtId="0" fontId="20" fillId="0" borderId="0" xfId="0" applyFont="1" applyFill="1" applyAlignment="1">
      <alignment horizontal="center" vertical="center"/>
    </xf>
    <xf numFmtId="1" fontId="20" fillId="0" borderId="0" xfId="4" applyNumberFormat="1" applyFont="1" applyFill="1" applyAlignment="1">
      <alignment horizontal="center" vertical="center" wrapText="1"/>
    </xf>
    <xf numFmtId="41" fontId="5" fillId="0" borderId="2" xfId="4" applyNumberFormat="1" applyFont="1" applyFill="1" applyBorder="1" applyAlignment="1">
      <alignment horizontal="center" vertical="center" wrapText="1"/>
    </xf>
    <xf numFmtId="41" fontId="5" fillId="0" borderId="5" xfId="4" applyNumberFormat="1" applyFont="1" applyFill="1" applyBorder="1" applyAlignment="1">
      <alignment horizontal="center" vertical="center" wrapText="1"/>
    </xf>
    <xf numFmtId="41" fontId="5" fillId="0" borderId="18" xfId="4" applyNumberFormat="1" applyFont="1" applyFill="1" applyBorder="1" applyAlignment="1">
      <alignment horizontal="center" vertical="center" wrapText="1"/>
    </xf>
    <xf numFmtId="41" fontId="5" fillId="0" borderId="17" xfId="4" applyNumberFormat="1" applyFont="1" applyFill="1" applyBorder="1" applyAlignment="1">
      <alignment horizontal="center" vertical="center" wrapText="1"/>
    </xf>
    <xf numFmtId="41" fontId="5" fillId="0" borderId="14" xfId="4" applyNumberFormat="1" applyFont="1" applyFill="1" applyBorder="1" applyAlignment="1">
      <alignment horizontal="center" vertical="center" wrapText="1"/>
    </xf>
    <xf numFmtId="41" fontId="5" fillId="0" borderId="13" xfId="4"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41" fontId="5" fillId="0" borderId="6" xfId="4" applyNumberFormat="1" applyFont="1" applyFill="1" applyBorder="1" applyAlignment="1">
      <alignment horizontal="center" vertical="center" wrapText="1"/>
    </xf>
    <xf numFmtId="41" fontId="5" fillId="0" borderId="7" xfId="4" applyNumberFormat="1" applyFont="1" applyFill="1" applyBorder="1" applyAlignment="1">
      <alignment horizontal="center" vertical="center" wrapText="1"/>
    </xf>
    <xf numFmtId="41" fontId="5" fillId="0" borderId="8" xfId="4" applyNumberFormat="1" applyFont="1" applyFill="1" applyBorder="1" applyAlignment="1">
      <alignment horizontal="center" vertical="center" wrapText="1"/>
    </xf>
    <xf numFmtId="1" fontId="99" fillId="0" borderId="0" xfId="4" applyNumberFormat="1" applyFont="1" applyFill="1" applyAlignment="1">
      <alignment horizontal="center" vertical="center"/>
    </xf>
    <xf numFmtId="3" fontId="82" fillId="0" borderId="16" xfId="4" applyNumberFormat="1" applyFont="1" applyFill="1" applyBorder="1" applyAlignment="1">
      <alignment horizontal="center" vertical="center" wrapText="1"/>
    </xf>
    <xf numFmtId="3" fontId="82" fillId="0" borderId="7" xfId="4" applyNumberFormat="1" applyFont="1" applyFill="1" applyBorder="1" applyAlignment="1">
      <alignment horizontal="center" vertical="center" wrapText="1"/>
    </xf>
    <xf numFmtId="3" fontId="82" fillId="0" borderId="23" xfId="4" applyNumberFormat="1" applyFont="1" applyFill="1" applyBorder="1" applyAlignment="1">
      <alignment horizontal="center" vertical="center" wrapText="1"/>
    </xf>
    <xf numFmtId="3" fontId="82" fillId="0" borderId="20" xfId="4" applyNumberFormat="1" applyFont="1" applyFill="1" applyBorder="1" applyAlignment="1">
      <alignment horizontal="center" vertical="center" wrapText="1"/>
    </xf>
    <xf numFmtId="3" fontId="84" fillId="0" borderId="20" xfId="4" applyNumberFormat="1" applyFont="1" applyFill="1" applyBorder="1" applyAlignment="1">
      <alignment horizontal="center" vertical="center" wrapText="1"/>
    </xf>
    <xf numFmtId="3" fontId="82" fillId="0" borderId="26" xfId="4" applyNumberFormat="1" applyFont="1" applyFill="1" applyBorder="1" applyAlignment="1">
      <alignment horizontal="center" vertical="center"/>
    </xf>
    <xf numFmtId="3" fontId="82" fillId="0" borderId="27" xfId="4" applyNumberFormat="1" applyFont="1" applyFill="1" applyBorder="1" applyAlignment="1">
      <alignment horizontal="center" vertical="center"/>
    </xf>
    <xf numFmtId="3" fontId="82" fillId="0" borderId="22" xfId="4" applyNumberFormat="1" applyFont="1" applyFill="1" applyBorder="1" applyAlignment="1">
      <alignment horizontal="center" vertical="center"/>
    </xf>
    <xf numFmtId="0" fontId="88" fillId="0" borderId="7" xfId="28" applyFont="1" applyFill="1" applyBorder="1" applyAlignment="1">
      <alignment horizontal="center" vertical="center" wrapText="1"/>
    </xf>
    <xf numFmtId="0" fontId="88" fillId="0" borderId="23" xfId="28" applyFont="1" applyFill="1" applyBorder="1" applyAlignment="1">
      <alignment horizontal="center" vertical="center" wrapText="1"/>
    </xf>
    <xf numFmtId="1" fontId="84" fillId="0" borderId="0" xfId="4" applyNumberFormat="1" applyFont="1" applyFill="1" applyAlignment="1">
      <alignment horizontal="center" vertical="center" wrapText="1"/>
    </xf>
    <xf numFmtId="1" fontId="107" fillId="0" borderId="0" xfId="4" applyNumberFormat="1" applyFont="1" applyFill="1" applyAlignment="1">
      <alignment horizontal="center" vertical="center" wrapText="1"/>
    </xf>
    <xf numFmtId="1" fontId="99" fillId="0" borderId="0" xfId="4" applyNumberFormat="1" applyFont="1" applyFill="1" applyAlignment="1">
      <alignment horizontal="center" vertical="center" wrapText="1"/>
    </xf>
    <xf numFmtId="1" fontId="98" fillId="0" borderId="0" xfId="4" applyNumberFormat="1" applyFont="1" applyFill="1" applyAlignment="1">
      <alignment horizontal="center" vertical="center" wrapText="1"/>
    </xf>
    <xf numFmtId="164" fontId="5" fillId="0" borderId="5" xfId="4" applyNumberFormat="1" applyFont="1" applyFill="1" applyBorder="1" applyAlignment="1">
      <alignment horizontal="center" vertical="center" wrapText="1"/>
    </xf>
    <xf numFmtId="0" fontId="35" fillId="0" borderId="0" xfId="0" applyFont="1" applyFill="1" applyAlignment="1">
      <alignment horizontal="center" vertical="center"/>
    </xf>
    <xf numFmtId="0" fontId="30" fillId="0" borderId="5" xfId="0" applyFont="1" applyFill="1" applyBorder="1" applyAlignment="1">
      <alignment horizontal="center" vertical="center" wrapText="1"/>
    </xf>
    <xf numFmtId="0" fontId="18" fillId="0" borderId="0" xfId="0" applyFont="1" applyAlignment="1">
      <alignment horizontal="center" vertical="center"/>
    </xf>
    <xf numFmtId="3" fontId="18" fillId="0" borderId="11" xfId="4" applyNumberFormat="1" applyFont="1" applyFill="1" applyBorder="1" applyAlignment="1">
      <alignment horizontal="center" vertical="center" wrapText="1"/>
    </xf>
    <xf numFmtId="3" fontId="5" fillId="0" borderId="11" xfId="4" applyNumberFormat="1" applyFont="1" applyFill="1" applyBorder="1" applyAlignment="1">
      <alignment horizontal="center" vertical="center" wrapText="1"/>
    </xf>
    <xf numFmtId="41" fontId="18" fillId="0" borderId="4" xfId="4" applyNumberFormat="1" applyFont="1" applyFill="1" applyBorder="1" applyAlignment="1">
      <alignment horizontal="center" vertical="center" wrapText="1"/>
    </xf>
    <xf numFmtId="41" fontId="18" fillId="0" borderId="11" xfId="4" applyNumberFormat="1" applyFont="1" applyFill="1" applyBorder="1" applyAlignment="1">
      <alignment horizontal="center" vertical="center" wrapText="1"/>
    </xf>
    <xf numFmtId="1" fontId="20" fillId="0" borderId="0" xfId="4" applyNumberFormat="1" applyFont="1" applyFill="1" applyAlignment="1">
      <alignment horizontal="center" vertical="center"/>
    </xf>
    <xf numFmtId="164" fontId="5" fillId="0" borderId="2" xfId="4" applyNumberFormat="1" applyFont="1" applyFill="1" applyBorder="1" applyAlignment="1">
      <alignment horizontal="center" vertical="center" wrapText="1"/>
    </xf>
    <xf numFmtId="3" fontId="52" fillId="0" borderId="6" xfId="0" applyNumberFormat="1" applyFont="1" applyBorder="1" applyAlignment="1">
      <alignment horizontal="center" vertical="center" wrapText="1"/>
    </xf>
    <xf numFmtId="3" fontId="52" fillId="0" borderId="8" xfId="0" applyNumberFormat="1" applyFont="1" applyBorder="1" applyAlignment="1">
      <alignment horizontal="center" vertical="center" wrapText="1"/>
    </xf>
    <xf numFmtId="3" fontId="52" fillId="0" borderId="16" xfId="0" applyNumberFormat="1" applyFont="1" applyBorder="1" applyAlignment="1">
      <alignment horizontal="center" vertical="center" wrapText="1"/>
    </xf>
    <xf numFmtId="0" fontId="54" fillId="0" borderId="0" xfId="0" applyFont="1" applyAlignment="1">
      <alignment horizontal="center"/>
    </xf>
    <xf numFmtId="0" fontId="53" fillId="0" borderId="0" xfId="0" applyFont="1" applyAlignment="1">
      <alignment horizontal="center"/>
    </xf>
    <xf numFmtId="3" fontId="52" fillId="0" borderId="23" xfId="0" applyNumberFormat="1" applyFont="1" applyBorder="1" applyAlignment="1">
      <alignment horizontal="center" vertical="center" wrapText="1"/>
    </xf>
    <xf numFmtId="3" fontId="63" fillId="0" borderId="8" xfId="0" applyNumberFormat="1" applyFont="1" applyBorder="1" applyAlignment="1">
      <alignment horizontal="center" vertical="center" wrapText="1"/>
    </xf>
    <xf numFmtId="3" fontId="63" fillId="0" borderId="5" xfId="0" applyNumberFormat="1" applyFont="1" applyBorder="1" applyAlignment="1">
      <alignment horizontal="center" vertical="center" wrapText="1"/>
    </xf>
    <xf numFmtId="3" fontId="52" fillId="0" borderId="5" xfId="0" applyNumberFormat="1" applyFont="1" applyBorder="1" applyAlignment="1">
      <alignment horizontal="center" vertical="center" wrapText="1"/>
    </xf>
    <xf numFmtId="3" fontId="52" fillId="0" borderId="7" xfId="0" applyNumberFormat="1" applyFont="1" applyBorder="1" applyAlignment="1">
      <alignment horizontal="center" vertical="center" wrapText="1"/>
    </xf>
  </cellXfs>
  <cellStyles count="41">
    <cellStyle name="Comma" xfId="1" builtinId="3"/>
    <cellStyle name="Comma [0]" xfId="2" builtinId="6"/>
    <cellStyle name="Comma [0] 2 10" xfId="31"/>
    <cellStyle name="Comma 10" xfId="8"/>
    <cellStyle name="Comma 10 10" xfId="9"/>
    <cellStyle name="Comma 10 10 2" xfId="40"/>
    <cellStyle name="Comma 10 2" xfId="6"/>
    <cellStyle name="Comma 10 3" xfId="29"/>
    <cellStyle name="Comma 2" xfId="10"/>
    <cellStyle name="Comma 2 2 2 10" xfId="5"/>
    <cellStyle name="Comma 3" xfId="11"/>
    <cellStyle name="Comma 4" xfId="12"/>
    <cellStyle name="Comma 4 2" xfId="13"/>
    <cellStyle name="Comma 5" xfId="27"/>
    <cellStyle name="Comma 6" xfId="32"/>
    <cellStyle name="Comma 7" xfId="33"/>
    <cellStyle name="Comma 8" xfId="34"/>
    <cellStyle name="Hyperlink_Nhu%20cau%20KH%202010%20%28ODA%29(1) 2" xfId="35"/>
    <cellStyle name="Normal" xfId="0" builtinId="0"/>
    <cellStyle name="Normal 10" xfId="14"/>
    <cellStyle name="Normal 11" xfId="28"/>
    <cellStyle name="Normal 2" xfId="15"/>
    <cellStyle name="Normal 2 2" xfId="36"/>
    <cellStyle name="Normal 2 3" xfId="37"/>
    <cellStyle name="Normal 2_BIEU MAU" xfId="30"/>
    <cellStyle name="Normal 3" xfId="16"/>
    <cellStyle name="Normal 4" xfId="17"/>
    <cellStyle name="Normal 4 2" xfId="38"/>
    <cellStyle name="Normal 5" xfId="18"/>
    <cellStyle name="Normal 6" xfId="19"/>
    <cellStyle name="Normal 7" xfId="20"/>
    <cellStyle name="Normal 8" xfId="21"/>
    <cellStyle name="Normal 9" xfId="22"/>
    <cellStyle name="Normal_1.dự án bức xúcCLY" xfId="7"/>
    <cellStyle name="Normal_Bieu mau (CV )" xfId="4"/>
    <cellStyle name="Normal_Bieu mau (CV ) 2" xfId="25"/>
    <cellStyle name="Normal_PK MN 5 TUỏI" xfId="24"/>
    <cellStyle name="Normal_Sheet1" xfId="26"/>
    <cellStyle name="Normal_ThanhDong 7-2014" xfId="23"/>
    <cellStyle name="Percent" xfId="3" builtinId="5"/>
    <cellStyle name="Percent 2" xfId="3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6</xdr:col>
      <xdr:colOff>784414</xdr:colOff>
      <xdr:row>7</xdr:row>
      <xdr:rowOff>97201</xdr:rowOff>
    </xdr:from>
    <xdr:to>
      <xdr:col>11</xdr:col>
      <xdr:colOff>56029</xdr:colOff>
      <xdr:row>7</xdr:row>
      <xdr:rowOff>97201</xdr:rowOff>
    </xdr:to>
    <xdr:sp macro="" textlink="">
      <xdr:nvSpPr>
        <xdr:cNvPr id="2" name="Line 7"/>
        <xdr:cNvSpPr>
          <a:spLocks noChangeShapeType="1"/>
        </xdr:cNvSpPr>
      </xdr:nvSpPr>
      <xdr:spPr bwMode="auto">
        <a:xfrm flipV="1">
          <a:off x="7785289" y="990600"/>
          <a:ext cx="1215836"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7849</xdr:colOff>
      <xdr:row>7</xdr:row>
      <xdr:rowOff>121024</xdr:rowOff>
    </xdr:from>
    <xdr:to>
      <xdr:col>11</xdr:col>
      <xdr:colOff>7846</xdr:colOff>
      <xdr:row>7</xdr:row>
      <xdr:rowOff>121024</xdr:rowOff>
    </xdr:to>
    <xdr:sp macro="" textlink="">
      <xdr:nvSpPr>
        <xdr:cNvPr id="2" name="Line 7"/>
        <xdr:cNvSpPr>
          <a:spLocks noChangeShapeType="1"/>
        </xdr:cNvSpPr>
      </xdr:nvSpPr>
      <xdr:spPr bwMode="auto">
        <a:xfrm flipH="1" flipV="1">
          <a:off x="8423467" y="1813112"/>
          <a:ext cx="2678203"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609600</xdr:colOff>
      <xdr:row>9</xdr:row>
      <xdr:rowOff>76200</xdr:rowOff>
    </xdr:from>
    <xdr:to>
      <xdr:col>11</xdr:col>
      <xdr:colOff>573178</xdr:colOff>
      <xdr:row>9</xdr:row>
      <xdr:rowOff>76200</xdr:rowOff>
    </xdr:to>
    <xdr:sp macro="" textlink="">
      <xdr:nvSpPr>
        <xdr:cNvPr id="2" name="Line 7"/>
        <xdr:cNvSpPr>
          <a:spLocks noChangeShapeType="1"/>
        </xdr:cNvSpPr>
      </xdr:nvSpPr>
      <xdr:spPr bwMode="auto">
        <a:xfrm flipH="1" flipV="1">
          <a:off x="9782175" y="1504950"/>
          <a:ext cx="2678203" cy="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673557</xdr:colOff>
      <xdr:row>7</xdr:row>
      <xdr:rowOff>83128</xdr:rowOff>
    </xdr:from>
    <xdr:to>
      <xdr:col>11</xdr:col>
      <xdr:colOff>333378</xdr:colOff>
      <xdr:row>7</xdr:row>
      <xdr:rowOff>83128</xdr:rowOff>
    </xdr:to>
    <xdr:sp macro="" textlink="">
      <xdr:nvSpPr>
        <xdr:cNvPr id="2" name="Line 7"/>
        <xdr:cNvSpPr>
          <a:spLocks noChangeShapeType="1"/>
        </xdr:cNvSpPr>
      </xdr:nvSpPr>
      <xdr:spPr bwMode="auto">
        <a:xfrm flipV="1">
          <a:off x="8674557" y="826078"/>
          <a:ext cx="2403021" cy="0"/>
        </a:xfrm>
        <a:prstGeom prst="line">
          <a:avLst/>
        </a:prstGeom>
        <a:noFill/>
        <a:ln w="9525">
          <a:solidFill>
            <a:srgbClr val="000000"/>
          </a:solidFill>
          <a:round/>
          <a:headEnd/>
          <a:tailEnd/>
        </a:ln>
      </xdr:spPr>
    </xdr:sp>
    <xdr:clientData/>
  </xdr:twoCellAnchor>
  <xdr:twoCellAnchor editAs="oneCell">
    <xdr:from>
      <xdr:col>2</xdr:col>
      <xdr:colOff>971550</xdr:colOff>
      <xdr:row>158</xdr:row>
      <xdr:rowOff>0</xdr:rowOff>
    </xdr:from>
    <xdr:to>
      <xdr:col>2</xdr:col>
      <xdr:colOff>1376553</xdr:colOff>
      <xdr:row>412</xdr:row>
      <xdr:rowOff>104309</xdr:rowOff>
    </xdr:to>
    <xdr:sp macro="" textlink="">
      <xdr:nvSpPr>
        <xdr:cNvPr id="3" name="Text Box 125"/>
        <xdr:cNvSpPr txBox="1">
          <a:spLocks noChangeArrowheads="1"/>
        </xdr:cNvSpPr>
      </xdr:nvSpPr>
      <xdr:spPr bwMode="auto">
        <a:xfrm>
          <a:off x="1285875" y="14268450"/>
          <a:ext cx="333375" cy="523875"/>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412</xdr:row>
      <xdr:rowOff>104309</xdr:rowOff>
    </xdr:to>
    <xdr:sp macro="" textlink="">
      <xdr:nvSpPr>
        <xdr:cNvPr id="4" name="Text Box 126"/>
        <xdr:cNvSpPr txBox="1">
          <a:spLocks noChangeArrowheads="1"/>
        </xdr:cNvSpPr>
      </xdr:nvSpPr>
      <xdr:spPr bwMode="auto">
        <a:xfrm>
          <a:off x="1285875" y="14268450"/>
          <a:ext cx="333375" cy="523875"/>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412</xdr:row>
      <xdr:rowOff>104309</xdr:rowOff>
    </xdr:to>
    <xdr:sp macro="" textlink="">
      <xdr:nvSpPr>
        <xdr:cNvPr id="5" name="Text Box 127"/>
        <xdr:cNvSpPr txBox="1">
          <a:spLocks noChangeArrowheads="1"/>
        </xdr:cNvSpPr>
      </xdr:nvSpPr>
      <xdr:spPr bwMode="auto">
        <a:xfrm>
          <a:off x="1285875" y="14268450"/>
          <a:ext cx="333375" cy="523875"/>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412</xdr:row>
      <xdr:rowOff>104309</xdr:rowOff>
    </xdr:to>
    <xdr:sp macro="" textlink="">
      <xdr:nvSpPr>
        <xdr:cNvPr id="6" name="Text Box 128"/>
        <xdr:cNvSpPr txBox="1">
          <a:spLocks noChangeArrowheads="1"/>
        </xdr:cNvSpPr>
      </xdr:nvSpPr>
      <xdr:spPr bwMode="auto">
        <a:xfrm>
          <a:off x="1285875" y="14268450"/>
          <a:ext cx="333375" cy="523875"/>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412</xdr:row>
      <xdr:rowOff>104309</xdr:rowOff>
    </xdr:to>
    <xdr:sp macro="" textlink="">
      <xdr:nvSpPr>
        <xdr:cNvPr id="7" name="Text Box 129"/>
        <xdr:cNvSpPr txBox="1">
          <a:spLocks noChangeArrowheads="1"/>
        </xdr:cNvSpPr>
      </xdr:nvSpPr>
      <xdr:spPr bwMode="auto">
        <a:xfrm>
          <a:off x="1285875" y="14268450"/>
          <a:ext cx="333375" cy="523875"/>
        </a:xfrm>
        <a:prstGeom prst="rect">
          <a:avLst/>
        </a:prstGeom>
        <a:noFill/>
        <a:ln w="9525">
          <a:noFill/>
          <a:miter lim="800000"/>
          <a:headEnd/>
          <a:tailEnd/>
        </a:ln>
      </xdr:spPr>
    </xdr:sp>
    <xdr:clientData/>
  </xdr:twoCellAnchor>
  <xdr:twoCellAnchor editAs="oneCell">
    <xdr:from>
      <xdr:col>2</xdr:col>
      <xdr:colOff>971550</xdr:colOff>
      <xdr:row>429</xdr:row>
      <xdr:rowOff>0</xdr:rowOff>
    </xdr:from>
    <xdr:to>
      <xdr:col>2</xdr:col>
      <xdr:colOff>1376553</xdr:colOff>
      <xdr:row>461</xdr:row>
      <xdr:rowOff>181642</xdr:rowOff>
    </xdr:to>
    <xdr:sp macro="" textlink="">
      <xdr:nvSpPr>
        <xdr:cNvPr id="8" name="Text Box 125"/>
        <xdr:cNvSpPr txBox="1">
          <a:spLocks noChangeArrowheads="1"/>
        </xdr:cNvSpPr>
      </xdr:nvSpPr>
      <xdr:spPr bwMode="auto">
        <a:xfrm>
          <a:off x="1285875" y="17411700"/>
          <a:ext cx="333375" cy="590550"/>
        </a:xfrm>
        <a:prstGeom prst="rect">
          <a:avLst/>
        </a:prstGeom>
        <a:noFill/>
        <a:ln w="9525">
          <a:noFill/>
          <a:miter lim="800000"/>
          <a:headEnd/>
          <a:tailEnd/>
        </a:ln>
      </xdr:spPr>
    </xdr:sp>
    <xdr:clientData/>
  </xdr:twoCellAnchor>
  <xdr:twoCellAnchor editAs="oneCell">
    <xdr:from>
      <xdr:col>2</xdr:col>
      <xdr:colOff>971550</xdr:colOff>
      <xdr:row>429</xdr:row>
      <xdr:rowOff>0</xdr:rowOff>
    </xdr:from>
    <xdr:to>
      <xdr:col>2</xdr:col>
      <xdr:colOff>1376553</xdr:colOff>
      <xdr:row>461</xdr:row>
      <xdr:rowOff>181642</xdr:rowOff>
    </xdr:to>
    <xdr:sp macro="" textlink="">
      <xdr:nvSpPr>
        <xdr:cNvPr id="9" name="Text Box 126"/>
        <xdr:cNvSpPr txBox="1">
          <a:spLocks noChangeArrowheads="1"/>
        </xdr:cNvSpPr>
      </xdr:nvSpPr>
      <xdr:spPr bwMode="auto">
        <a:xfrm>
          <a:off x="1285875" y="17411700"/>
          <a:ext cx="333375" cy="590550"/>
        </a:xfrm>
        <a:prstGeom prst="rect">
          <a:avLst/>
        </a:prstGeom>
        <a:noFill/>
        <a:ln w="9525">
          <a:noFill/>
          <a:miter lim="800000"/>
          <a:headEnd/>
          <a:tailEnd/>
        </a:ln>
      </xdr:spPr>
    </xdr:sp>
    <xdr:clientData/>
  </xdr:twoCellAnchor>
  <xdr:twoCellAnchor editAs="oneCell">
    <xdr:from>
      <xdr:col>2</xdr:col>
      <xdr:colOff>971550</xdr:colOff>
      <xdr:row>429</xdr:row>
      <xdr:rowOff>0</xdr:rowOff>
    </xdr:from>
    <xdr:to>
      <xdr:col>2</xdr:col>
      <xdr:colOff>1376553</xdr:colOff>
      <xdr:row>461</xdr:row>
      <xdr:rowOff>181642</xdr:rowOff>
    </xdr:to>
    <xdr:sp macro="" textlink="">
      <xdr:nvSpPr>
        <xdr:cNvPr id="10" name="Text Box 127"/>
        <xdr:cNvSpPr txBox="1">
          <a:spLocks noChangeArrowheads="1"/>
        </xdr:cNvSpPr>
      </xdr:nvSpPr>
      <xdr:spPr bwMode="auto">
        <a:xfrm>
          <a:off x="1285875" y="17411700"/>
          <a:ext cx="333375" cy="590550"/>
        </a:xfrm>
        <a:prstGeom prst="rect">
          <a:avLst/>
        </a:prstGeom>
        <a:noFill/>
        <a:ln w="9525">
          <a:noFill/>
          <a:miter lim="800000"/>
          <a:headEnd/>
          <a:tailEnd/>
        </a:ln>
      </xdr:spPr>
    </xdr:sp>
    <xdr:clientData/>
  </xdr:twoCellAnchor>
  <xdr:twoCellAnchor editAs="oneCell">
    <xdr:from>
      <xdr:col>2</xdr:col>
      <xdr:colOff>971550</xdr:colOff>
      <xdr:row>429</xdr:row>
      <xdr:rowOff>0</xdr:rowOff>
    </xdr:from>
    <xdr:to>
      <xdr:col>2</xdr:col>
      <xdr:colOff>1376553</xdr:colOff>
      <xdr:row>461</xdr:row>
      <xdr:rowOff>181642</xdr:rowOff>
    </xdr:to>
    <xdr:sp macro="" textlink="">
      <xdr:nvSpPr>
        <xdr:cNvPr id="11" name="Text Box 128"/>
        <xdr:cNvSpPr txBox="1">
          <a:spLocks noChangeArrowheads="1"/>
        </xdr:cNvSpPr>
      </xdr:nvSpPr>
      <xdr:spPr bwMode="auto">
        <a:xfrm>
          <a:off x="1285875" y="17411700"/>
          <a:ext cx="333375" cy="590550"/>
        </a:xfrm>
        <a:prstGeom prst="rect">
          <a:avLst/>
        </a:prstGeom>
        <a:noFill/>
        <a:ln w="9525">
          <a:noFill/>
          <a:miter lim="800000"/>
          <a:headEnd/>
          <a:tailEnd/>
        </a:ln>
      </xdr:spPr>
    </xdr:sp>
    <xdr:clientData/>
  </xdr:twoCellAnchor>
  <xdr:twoCellAnchor editAs="oneCell">
    <xdr:from>
      <xdr:col>2</xdr:col>
      <xdr:colOff>971550</xdr:colOff>
      <xdr:row>429</xdr:row>
      <xdr:rowOff>0</xdr:rowOff>
    </xdr:from>
    <xdr:to>
      <xdr:col>2</xdr:col>
      <xdr:colOff>1376553</xdr:colOff>
      <xdr:row>461</xdr:row>
      <xdr:rowOff>181642</xdr:rowOff>
    </xdr:to>
    <xdr:sp macro="" textlink="">
      <xdr:nvSpPr>
        <xdr:cNvPr id="12" name="Text Box 129"/>
        <xdr:cNvSpPr txBox="1">
          <a:spLocks noChangeArrowheads="1"/>
        </xdr:cNvSpPr>
      </xdr:nvSpPr>
      <xdr:spPr bwMode="auto">
        <a:xfrm>
          <a:off x="1285875" y="17411700"/>
          <a:ext cx="333375" cy="590550"/>
        </a:xfrm>
        <a:prstGeom prst="rect">
          <a:avLst/>
        </a:prstGeom>
        <a:noFill/>
        <a:ln w="9525">
          <a:noFill/>
          <a:miter lim="800000"/>
          <a:headEnd/>
          <a:tailEnd/>
        </a:ln>
      </xdr:spPr>
    </xdr:sp>
    <xdr:clientData/>
  </xdr:twoCellAnchor>
  <xdr:twoCellAnchor editAs="oneCell">
    <xdr:from>
      <xdr:col>2</xdr:col>
      <xdr:colOff>971550</xdr:colOff>
      <xdr:row>440</xdr:row>
      <xdr:rowOff>0</xdr:rowOff>
    </xdr:from>
    <xdr:to>
      <xdr:col>2</xdr:col>
      <xdr:colOff>1376553</xdr:colOff>
      <xdr:row>461</xdr:row>
      <xdr:rowOff>94797</xdr:rowOff>
    </xdr:to>
    <xdr:sp macro="" textlink="">
      <xdr:nvSpPr>
        <xdr:cNvPr id="13" name="Text Box 125"/>
        <xdr:cNvSpPr txBox="1">
          <a:spLocks noChangeArrowheads="1"/>
        </xdr:cNvSpPr>
      </xdr:nvSpPr>
      <xdr:spPr bwMode="auto">
        <a:xfrm>
          <a:off x="1285875" y="22278975"/>
          <a:ext cx="333375" cy="523875"/>
        </a:xfrm>
        <a:prstGeom prst="rect">
          <a:avLst/>
        </a:prstGeom>
        <a:noFill/>
        <a:ln w="9525">
          <a:noFill/>
          <a:miter lim="800000"/>
          <a:headEnd/>
          <a:tailEnd/>
        </a:ln>
      </xdr:spPr>
    </xdr:sp>
    <xdr:clientData/>
  </xdr:twoCellAnchor>
  <xdr:twoCellAnchor editAs="oneCell">
    <xdr:from>
      <xdr:col>2</xdr:col>
      <xdr:colOff>971550</xdr:colOff>
      <xdr:row>440</xdr:row>
      <xdr:rowOff>0</xdr:rowOff>
    </xdr:from>
    <xdr:to>
      <xdr:col>2</xdr:col>
      <xdr:colOff>1376553</xdr:colOff>
      <xdr:row>461</xdr:row>
      <xdr:rowOff>94797</xdr:rowOff>
    </xdr:to>
    <xdr:sp macro="" textlink="">
      <xdr:nvSpPr>
        <xdr:cNvPr id="14" name="Text Box 126"/>
        <xdr:cNvSpPr txBox="1">
          <a:spLocks noChangeArrowheads="1"/>
        </xdr:cNvSpPr>
      </xdr:nvSpPr>
      <xdr:spPr bwMode="auto">
        <a:xfrm>
          <a:off x="1285875" y="22278975"/>
          <a:ext cx="333375" cy="523875"/>
        </a:xfrm>
        <a:prstGeom prst="rect">
          <a:avLst/>
        </a:prstGeom>
        <a:noFill/>
        <a:ln w="9525">
          <a:noFill/>
          <a:miter lim="800000"/>
          <a:headEnd/>
          <a:tailEnd/>
        </a:ln>
      </xdr:spPr>
    </xdr:sp>
    <xdr:clientData/>
  </xdr:twoCellAnchor>
  <xdr:twoCellAnchor editAs="oneCell">
    <xdr:from>
      <xdr:col>2</xdr:col>
      <xdr:colOff>971550</xdr:colOff>
      <xdr:row>440</xdr:row>
      <xdr:rowOff>0</xdr:rowOff>
    </xdr:from>
    <xdr:to>
      <xdr:col>2</xdr:col>
      <xdr:colOff>1376553</xdr:colOff>
      <xdr:row>461</xdr:row>
      <xdr:rowOff>94797</xdr:rowOff>
    </xdr:to>
    <xdr:sp macro="" textlink="">
      <xdr:nvSpPr>
        <xdr:cNvPr id="15" name="Text Box 127"/>
        <xdr:cNvSpPr txBox="1">
          <a:spLocks noChangeArrowheads="1"/>
        </xdr:cNvSpPr>
      </xdr:nvSpPr>
      <xdr:spPr bwMode="auto">
        <a:xfrm>
          <a:off x="1285875" y="22278975"/>
          <a:ext cx="333375" cy="523875"/>
        </a:xfrm>
        <a:prstGeom prst="rect">
          <a:avLst/>
        </a:prstGeom>
        <a:noFill/>
        <a:ln w="9525">
          <a:noFill/>
          <a:miter lim="800000"/>
          <a:headEnd/>
          <a:tailEnd/>
        </a:ln>
      </xdr:spPr>
    </xdr:sp>
    <xdr:clientData/>
  </xdr:twoCellAnchor>
  <xdr:twoCellAnchor editAs="oneCell">
    <xdr:from>
      <xdr:col>2</xdr:col>
      <xdr:colOff>971550</xdr:colOff>
      <xdr:row>440</xdr:row>
      <xdr:rowOff>0</xdr:rowOff>
    </xdr:from>
    <xdr:to>
      <xdr:col>2</xdr:col>
      <xdr:colOff>1376553</xdr:colOff>
      <xdr:row>461</xdr:row>
      <xdr:rowOff>94797</xdr:rowOff>
    </xdr:to>
    <xdr:sp macro="" textlink="">
      <xdr:nvSpPr>
        <xdr:cNvPr id="16" name="Text Box 128"/>
        <xdr:cNvSpPr txBox="1">
          <a:spLocks noChangeArrowheads="1"/>
        </xdr:cNvSpPr>
      </xdr:nvSpPr>
      <xdr:spPr bwMode="auto">
        <a:xfrm>
          <a:off x="1285875" y="22278975"/>
          <a:ext cx="333375" cy="523875"/>
        </a:xfrm>
        <a:prstGeom prst="rect">
          <a:avLst/>
        </a:prstGeom>
        <a:noFill/>
        <a:ln w="9525">
          <a:noFill/>
          <a:miter lim="800000"/>
          <a:headEnd/>
          <a:tailEnd/>
        </a:ln>
      </xdr:spPr>
    </xdr:sp>
    <xdr:clientData/>
  </xdr:twoCellAnchor>
  <xdr:twoCellAnchor editAs="oneCell">
    <xdr:from>
      <xdr:col>2</xdr:col>
      <xdr:colOff>971550</xdr:colOff>
      <xdr:row>440</xdr:row>
      <xdr:rowOff>0</xdr:rowOff>
    </xdr:from>
    <xdr:to>
      <xdr:col>2</xdr:col>
      <xdr:colOff>1376553</xdr:colOff>
      <xdr:row>461</xdr:row>
      <xdr:rowOff>94797</xdr:rowOff>
    </xdr:to>
    <xdr:sp macro="" textlink="">
      <xdr:nvSpPr>
        <xdr:cNvPr id="17" name="Text Box 129"/>
        <xdr:cNvSpPr txBox="1">
          <a:spLocks noChangeArrowheads="1"/>
        </xdr:cNvSpPr>
      </xdr:nvSpPr>
      <xdr:spPr bwMode="auto">
        <a:xfrm>
          <a:off x="1285875" y="22278975"/>
          <a:ext cx="333375" cy="523875"/>
        </a:xfrm>
        <a:prstGeom prst="rect">
          <a:avLst/>
        </a:prstGeom>
        <a:noFill/>
        <a:ln w="9525">
          <a:noFill/>
          <a:miter lim="800000"/>
          <a:headEnd/>
          <a:tailEnd/>
        </a:ln>
      </xdr:spPr>
    </xdr:sp>
    <xdr:clientData/>
  </xdr:twoCellAnchor>
  <xdr:twoCellAnchor editAs="oneCell">
    <xdr:from>
      <xdr:col>2</xdr:col>
      <xdr:colOff>971550</xdr:colOff>
      <xdr:row>395</xdr:row>
      <xdr:rowOff>0</xdr:rowOff>
    </xdr:from>
    <xdr:to>
      <xdr:col>2</xdr:col>
      <xdr:colOff>1376553</xdr:colOff>
      <xdr:row>412</xdr:row>
      <xdr:rowOff>181642</xdr:rowOff>
    </xdr:to>
    <xdr:sp macro="" textlink="">
      <xdr:nvSpPr>
        <xdr:cNvPr id="18" name="Text Box 125"/>
        <xdr:cNvSpPr txBox="1">
          <a:spLocks noChangeArrowheads="1"/>
        </xdr:cNvSpPr>
      </xdr:nvSpPr>
      <xdr:spPr bwMode="auto">
        <a:xfrm>
          <a:off x="1581150" y="87096600"/>
          <a:ext cx="405003" cy="181642"/>
        </a:xfrm>
        <a:prstGeom prst="rect">
          <a:avLst/>
        </a:prstGeom>
        <a:noFill/>
        <a:ln w="9525">
          <a:noFill/>
          <a:miter lim="800000"/>
          <a:headEnd/>
          <a:tailEnd/>
        </a:ln>
      </xdr:spPr>
    </xdr:sp>
    <xdr:clientData/>
  </xdr:twoCellAnchor>
  <xdr:twoCellAnchor editAs="oneCell">
    <xdr:from>
      <xdr:col>2</xdr:col>
      <xdr:colOff>971550</xdr:colOff>
      <xdr:row>395</xdr:row>
      <xdr:rowOff>0</xdr:rowOff>
    </xdr:from>
    <xdr:to>
      <xdr:col>2</xdr:col>
      <xdr:colOff>1376553</xdr:colOff>
      <xdr:row>412</xdr:row>
      <xdr:rowOff>181642</xdr:rowOff>
    </xdr:to>
    <xdr:sp macro="" textlink="">
      <xdr:nvSpPr>
        <xdr:cNvPr id="19" name="Text Box 126"/>
        <xdr:cNvSpPr txBox="1">
          <a:spLocks noChangeArrowheads="1"/>
        </xdr:cNvSpPr>
      </xdr:nvSpPr>
      <xdr:spPr bwMode="auto">
        <a:xfrm>
          <a:off x="1581150" y="87096600"/>
          <a:ext cx="405003" cy="181642"/>
        </a:xfrm>
        <a:prstGeom prst="rect">
          <a:avLst/>
        </a:prstGeom>
        <a:noFill/>
        <a:ln w="9525">
          <a:noFill/>
          <a:miter lim="800000"/>
          <a:headEnd/>
          <a:tailEnd/>
        </a:ln>
      </xdr:spPr>
    </xdr:sp>
    <xdr:clientData/>
  </xdr:twoCellAnchor>
  <xdr:twoCellAnchor editAs="oneCell">
    <xdr:from>
      <xdr:col>2</xdr:col>
      <xdr:colOff>971550</xdr:colOff>
      <xdr:row>395</xdr:row>
      <xdr:rowOff>0</xdr:rowOff>
    </xdr:from>
    <xdr:to>
      <xdr:col>2</xdr:col>
      <xdr:colOff>1376553</xdr:colOff>
      <xdr:row>412</xdr:row>
      <xdr:rowOff>181642</xdr:rowOff>
    </xdr:to>
    <xdr:sp macro="" textlink="">
      <xdr:nvSpPr>
        <xdr:cNvPr id="20" name="Text Box 127"/>
        <xdr:cNvSpPr txBox="1">
          <a:spLocks noChangeArrowheads="1"/>
        </xdr:cNvSpPr>
      </xdr:nvSpPr>
      <xdr:spPr bwMode="auto">
        <a:xfrm>
          <a:off x="1581150" y="87096600"/>
          <a:ext cx="405003" cy="181642"/>
        </a:xfrm>
        <a:prstGeom prst="rect">
          <a:avLst/>
        </a:prstGeom>
        <a:noFill/>
        <a:ln w="9525">
          <a:noFill/>
          <a:miter lim="800000"/>
          <a:headEnd/>
          <a:tailEnd/>
        </a:ln>
      </xdr:spPr>
    </xdr:sp>
    <xdr:clientData/>
  </xdr:twoCellAnchor>
  <xdr:twoCellAnchor editAs="oneCell">
    <xdr:from>
      <xdr:col>2</xdr:col>
      <xdr:colOff>971550</xdr:colOff>
      <xdr:row>395</xdr:row>
      <xdr:rowOff>0</xdr:rowOff>
    </xdr:from>
    <xdr:to>
      <xdr:col>2</xdr:col>
      <xdr:colOff>1376553</xdr:colOff>
      <xdr:row>412</xdr:row>
      <xdr:rowOff>181642</xdr:rowOff>
    </xdr:to>
    <xdr:sp macro="" textlink="">
      <xdr:nvSpPr>
        <xdr:cNvPr id="21" name="Text Box 128"/>
        <xdr:cNvSpPr txBox="1">
          <a:spLocks noChangeArrowheads="1"/>
        </xdr:cNvSpPr>
      </xdr:nvSpPr>
      <xdr:spPr bwMode="auto">
        <a:xfrm>
          <a:off x="1581150" y="87096600"/>
          <a:ext cx="405003" cy="181642"/>
        </a:xfrm>
        <a:prstGeom prst="rect">
          <a:avLst/>
        </a:prstGeom>
        <a:noFill/>
        <a:ln w="9525">
          <a:noFill/>
          <a:miter lim="800000"/>
          <a:headEnd/>
          <a:tailEnd/>
        </a:ln>
      </xdr:spPr>
    </xdr:sp>
    <xdr:clientData/>
  </xdr:twoCellAnchor>
  <xdr:twoCellAnchor editAs="oneCell">
    <xdr:from>
      <xdr:col>2</xdr:col>
      <xdr:colOff>971550</xdr:colOff>
      <xdr:row>395</xdr:row>
      <xdr:rowOff>0</xdr:rowOff>
    </xdr:from>
    <xdr:to>
      <xdr:col>2</xdr:col>
      <xdr:colOff>1376553</xdr:colOff>
      <xdr:row>412</xdr:row>
      <xdr:rowOff>181642</xdr:rowOff>
    </xdr:to>
    <xdr:sp macro="" textlink="">
      <xdr:nvSpPr>
        <xdr:cNvPr id="22" name="Text Box 129"/>
        <xdr:cNvSpPr txBox="1">
          <a:spLocks noChangeArrowheads="1"/>
        </xdr:cNvSpPr>
      </xdr:nvSpPr>
      <xdr:spPr bwMode="auto">
        <a:xfrm>
          <a:off x="1581150" y="87096600"/>
          <a:ext cx="405003" cy="181642"/>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493059</xdr:colOff>
      <xdr:row>7</xdr:row>
      <xdr:rowOff>121024</xdr:rowOff>
    </xdr:from>
    <xdr:to>
      <xdr:col>9</xdr:col>
      <xdr:colOff>351866</xdr:colOff>
      <xdr:row>7</xdr:row>
      <xdr:rowOff>121024</xdr:rowOff>
    </xdr:to>
    <xdr:sp macro="" textlink="">
      <xdr:nvSpPr>
        <xdr:cNvPr id="2" name="Line 7"/>
        <xdr:cNvSpPr>
          <a:spLocks noChangeShapeType="1"/>
        </xdr:cNvSpPr>
      </xdr:nvSpPr>
      <xdr:spPr bwMode="auto">
        <a:xfrm flipH="1" flipV="1">
          <a:off x="8023412" y="849406"/>
          <a:ext cx="1662954" cy="0"/>
        </a:xfrm>
        <a:prstGeom prst="line">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6</xdr:row>
      <xdr:rowOff>0</xdr:rowOff>
    </xdr:from>
    <xdr:to>
      <xdr:col>3</xdr:col>
      <xdr:colOff>285750</xdr:colOff>
      <xdr:row>6</xdr:row>
      <xdr:rowOff>0</xdr:rowOff>
    </xdr:to>
    <xdr:sp macro="" textlink="">
      <xdr:nvSpPr>
        <xdr:cNvPr id="2" name="Line 7"/>
        <xdr:cNvSpPr>
          <a:spLocks noChangeShapeType="1"/>
        </xdr:cNvSpPr>
      </xdr:nvSpPr>
      <xdr:spPr bwMode="auto">
        <a:xfrm flipV="1">
          <a:off x="876300" y="1028700"/>
          <a:ext cx="240030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12</xdr:col>
      <xdr:colOff>656545</xdr:colOff>
      <xdr:row>6</xdr:row>
      <xdr:rowOff>0</xdr:rowOff>
    </xdr:to>
    <xdr:sp macro="" textlink="">
      <xdr:nvSpPr>
        <xdr:cNvPr id="3" name="Line 7"/>
        <xdr:cNvSpPr>
          <a:spLocks noChangeShapeType="1"/>
        </xdr:cNvSpPr>
      </xdr:nvSpPr>
      <xdr:spPr bwMode="auto">
        <a:xfrm flipV="1">
          <a:off x="10191750" y="1028700"/>
          <a:ext cx="2409145" cy="0"/>
        </a:xfrm>
        <a:prstGeom prst="line">
          <a:avLst/>
        </a:prstGeom>
        <a:noFill/>
        <a:ln w="9525">
          <a:solidFill>
            <a:srgbClr val="000000"/>
          </a:solidFill>
          <a:round/>
          <a:headEnd/>
          <a:tailEnd/>
        </a:ln>
      </xdr:spPr>
    </xdr:sp>
    <xdr:clientData/>
  </xdr:twoCellAnchor>
  <xdr:twoCellAnchor>
    <xdr:from>
      <xdr:col>8</xdr:col>
      <xdr:colOff>523875</xdr:colOff>
      <xdr:row>7</xdr:row>
      <xdr:rowOff>119062</xdr:rowOff>
    </xdr:from>
    <xdr:to>
      <xdr:col>11</xdr:col>
      <xdr:colOff>204107</xdr:colOff>
      <xdr:row>7</xdr:row>
      <xdr:rowOff>119062</xdr:rowOff>
    </xdr:to>
    <xdr:sp macro="" textlink="">
      <xdr:nvSpPr>
        <xdr:cNvPr id="4" name="Line 7"/>
        <xdr:cNvSpPr>
          <a:spLocks noChangeShapeType="1"/>
        </xdr:cNvSpPr>
      </xdr:nvSpPr>
      <xdr:spPr bwMode="auto">
        <a:xfrm flipV="1">
          <a:off x="8810625" y="1147762"/>
          <a:ext cx="2404382" cy="0"/>
        </a:xfrm>
        <a:prstGeom prst="line">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673557</xdr:colOff>
      <xdr:row>7</xdr:row>
      <xdr:rowOff>83128</xdr:rowOff>
    </xdr:from>
    <xdr:to>
      <xdr:col>11</xdr:col>
      <xdr:colOff>333378</xdr:colOff>
      <xdr:row>7</xdr:row>
      <xdr:rowOff>83128</xdr:rowOff>
    </xdr:to>
    <xdr:sp macro="" textlink="">
      <xdr:nvSpPr>
        <xdr:cNvPr id="2" name="Line 7"/>
        <xdr:cNvSpPr>
          <a:spLocks noChangeShapeType="1"/>
        </xdr:cNvSpPr>
      </xdr:nvSpPr>
      <xdr:spPr bwMode="auto">
        <a:xfrm flipV="1">
          <a:off x="8674557" y="826078"/>
          <a:ext cx="2403021" cy="0"/>
        </a:xfrm>
        <a:prstGeom prst="line">
          <a:avLst/>
        </a:prstGeom>
        <a:noFill/>
        <a:ln w="9525">
          <a:solidFill>
            <a:srgbClr val="000000"/>
          </a:solidFill>
          <a:round/>
          <a:headEnd/>
          <a:tailEnd/>
        </a:ln>
      </xdr:spPr>
    </xdr:sp>
    <xdr:clientData/>
  </xdr:twoCellAnchor>
  <xdr:twoCellAnchor editAs="oneCell">
    <xdr:from>
      <xdr:col>2</xdr:col>
      <xdr:colOff>971550</xdr:colOff>
      <xdr:row>19</xdr:row>
      <xdr:rowOff>0</xdr:rowOff>
    </xdr:from>
    <xdr:to>
      <xdr:col>2</xdr:col>
      <xdr:colOff>1376553</xdr:colOff>
      <xdr:row>19</xdr:row>
      <xdr:rowOff>104309</xdr:rowOff>
    </xdr:to>
    <xdr:sp macro="" textlink="">
      <xdr:nvSpPr>
        <xdr:cNvPr id="3" name="Text Box 125"/>
        <xdr:cNvSpPr txBox="1">
          <a:spLocks noChangeArrowheads="1"/>
        </xdr:cNvSpPr>
      </xdr:nvSpPr>
      <xdr:spPr bwMode="auto">
        <a:xfrm>
          <a:off x="1581150" y="84124800"/>
          <a:ext cx="405003" cy="104309"/>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104309</xdr:rowOff>
    </xdr:to>
    <xdr:sp macro="" textlink="">
      <xdr:nvSpPr>
        <xdr:cNvPr id="4" name="Text Box 126"/>
        <xdr:cNvSpPr txBox="1">
          <a:spLocks noChangeArrowheads="1"/>
        </xdr:cNvSpPr>
      </xdr:nvSpPr>
      <xdr:spPr bwMode="auto">
        <a:xfrm>
          <a:off x="1581150" y="84124800"/>
          <a:ext cx="405003" cy="104309"/>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104309</xdr:rowOff>
    </xdr:to>
    <xdr:sp macro="" textlink="">
      <xdr:nvSpPr>
        <xdr:cNvPr id="5" name="Text Box 127"/>
        <xdr:cNvSpPr txBox="1">
          <a:spLocks noChangeArrowheads="1"/>
        </xdr:cNvSpPr>
      </xdr:nvSpPr>
      <xdr:spPr bwMode="auto">
        <a:xfrm>
          <a:off x="1581150" y="84124800"/>
          <a:ext cx="405003" cy="104309"/>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104309</xdr:rowOff>
    </xdr:to>
    <xdr:sp macro="" textlink="">
      <xdr:nvSpPr>
        <xdr:cNvPr id="6" name="Text Box 128"/>
        <xdr:cNvSpPr txBox="1">
          <a:spLocks noChangeArrowheads="1"/>
        </xdr:cNvSpPr>
      </xdr:nvSpPr>
      <xdr:spPr bwMode="auto">
        <a:xfrm>
          <a:off x="1581150" y="84124800"/>
          <a:ext cx="405003" cy="104309"/>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104309</xdr:rowOff>
    </xdr:to>
    <xdr:sp macro="" textlink="">
      <xdr:nvSpPr>
        <xdr:cNvPr id="7" name="Text Box 129"/>
        <xdr:cNvSpPr txBox="1">
          <a:spLocks noChangeArrowheads="1"/>
        </xdr:cNvSpPr>
      </xdr:nvSpPr>
      <xdr:spPr bwMode="auto">
        <a:xfrm>
          <a:off x="1581150" y="84124800"/>
          <a:ext cx="405003" cy="104309"/>
        </a:xfrm>
        <a:prstGeom prst="rect">
          <a:avLst/>
        </a:prstGeom>
        <a:noFill/>
        <a:ln w="9525">
          <a:noFill/>
          <a:miter lim="800000"/>
          <a:headEnd/>
          <a:tailEnd/>
        </a:ln>
      </xdr:spPr>
    </xdr:sp>
    <xdr:clientData/>
  </xdr:twoCellAnchor>
  <xdr:twoCellAnchor editAs="oneCell">
    <xdr:from>
      <xdr:col>2</xdr:col>
      <xdr:colOff>971550</xdr:colOff>
      <xdr:row>21</xdr:row>
      <xdr:rowOff>0</xdr:rowOff>
    </xdr:from>
    <xdr:to>
      <xdr:col>2</xdr:col>
      <xdr:colOff>1376553</xdr:colOff>
      <xdr:row>21</xdr:row>
      <xdr:rowOff>181642</xdr:rowOff>
    </xdr:to>
    <xdr:sp macro="" textlink="">
      <xdr:nvSpPr>
        <xdr:cNvPr id="8" name="Text Box 125"/>
        <xdr:cNvSpPr txBox="1">
          <a:spLocks noChangeArrowheads="1"/>
        </xdr:cNvSpPr>
      </xdr:nvSpPr>
      <xdr:spPr bwMode="auto">
        <a:xfrm>
          <a:off x="1581150" y="283835475"/>
          <a:ext cx="405003" cy="181642"/>
        </a:xfrm>
        <a:prstGeom prst="rect">
          <a:avLst/>
        </a:prstGeom>
        <a:noFill/>
        <a:ln w="9525">
          <a:noFill/>
          <a:miter lim="800000"/>
          <a:headEnd/>
          <a:tailEnd/>
        </a:ln>
      </xdr:spPr>
    </xdr:sp>
    <xdr:clientData/>
  </xdr:twoCellAnchor>
  <xdr:twoCellAnchor editAs="oneCell">
    <xdr:from>
      <xdr:col>2</xdr:col>
      <xdr:colOff>971550</xdr:colOff>
      <xdr:row>21</xdr:row>
      <xdr:rowOff>0</xdr:rowOff>
    </xdr:from>
    <xdr:to>
      <xdr:col>2</xdr:col>
      <xdr:colOff>1376553</xdr:colOff>
      <xdr:row>21</xdr:row>
      <xdr:rowOff>181642</xdr:rowOff>
    </xdr:to>
    <xdr:sp macro="" textlink="">
      <xdr:nvSpPr>
        <xdr:cNvPr id="9" name="Text Box 126"/>
        <xdr:cNvSpPr txBox="1">
          <a:spLocks noChangeArrowheads="1"/>
        </xdr:cNvSpPr>
      </xdr:nvSpPr>
      <xdr:spPr bwMode="auto">
        <a:xfrm>
          <a:off x="1581150" y="283835475"/>
          <a:ext cx="405003" cy="181642"/>
        </a:xfrm>
        <a:prstGeom prst="rect">
          <a:avLst/>
        </a:prstGeom>
        <a:noFill/>
        <a:ln w="9525">
          <a:noFill/>
          <a:miter lim="800000"/>
          <a:headEnd/>
          <a:tailEnd/>
        </a:ln>
      </xdr:spPr>
    </xdr:sp>
    <xdr:clientData/>
  </xdr:twoCellAnchor>
  <xdr:twoCellAnchor editAs="oneCell">
    <xdr:from>
      <xdr:col>2</xdr:col>
      <xdr:colOff>971550</xdr:colOff>
      <xdr:row>21</xdr:row>
      <xdr:rowOff>0</xdr:rowOff>
    </xdr:from>
    <xdr:to>
      <xdr:col>2</xdr:col>
      <xdr:colOff>1376553</xdr:colOff>
      <xdr:row>21</xdr:row>
      <xdr:rowOff>181642</xdr:rowOff>
    </xdr:to>
    <xdr:sp macro="" textlink="">
      <xdr:nvSpPr>
        <xdr:cNvPr id="10" name="Text Box 127"/>
        <xdr:cNvSpPr txBox="1">
          <a:spLocks noChangeArrowheads="1"/>
        </xdr:cNvSpPr>
      </xdr:nvSpPr>
      <xdr:spPr bwMode="auto">
        <a:xfrm>
          <a:off x="1581150" y="283835475"/>
          <a:ext cx="405003" cy="181642"/>
        </a:xfrm>
        <a:prstGeom prst="rect">
          <a:avLst/>
        </a:prstGeom>
        <a:noFill/>
        <a:ln w="9525">
          <a:noFill/>
          <a:miter lim="800000"/>
          <a:headEnd/>
          <a:tailEnd/>
        </a:ln>
      </xdr:spPr>
    </xdr:sp>
    <xdr:clientData/>
  </xdr:twoCellAnchor>
  <xdr:twoCellAnchor editAs="oneCell">
    <xdr:from>
      <xdr:col>2</xdr:col>
      <xdr:colOff>971550</xdr:colOff>
      <xdr:row>21</xdr:row>
      <xdr:rowOff>0</xdr:rowOff>
    </xdr:from>
    <xdr:to>
      <xdr:col>2</xdr:col>
      <xdr:colOff>1376553</xdr:colOff>
      <xdr:row>21</xdr:row>
      <xdr:rowOff>181642</xdr:rowOff>
    </xdr:to>
    <xdr:sp macro="" textlink="">
      <xdr:nvSpPr>
        <xdr:cNvPr id="11" name="Text Box 128"/>
        <xdr:cNvSpPr txBox="1">
          <a:spLocks noChangeArrowheads="1"/>
        </xdr:cNvSpPr>
      </xdr:nvSpPr>
      <xdr:spPr bwMode="auto">
        <a:xfrm>
          <a:off x="1581150" y="283835475"/>
          <a:ext cx="405003" cy="181642"/>
        </a:xfrm>
        <a:prstGeom prst="rect">
          <a:avLst/>
        </a:prstGeom>
        <a:noFill/>
        <a:ln w="9525">
          <a:noFill/>
          <a:miter lim="800000"/>
          <a:headEnd/>
          <a:tailEnd/>
        </a:ln>
      </xdr:spPr>
    </xdr:sp>
    <xdr:clientData/>
  </xdr:twoCellAnchor>
  <xdr:twoCellAnchor editAs="oneCell">
    <xdr:from>
      <xdr:col>2</xdr:col>
      <xdr:colOff>971550</xdr:colOff>
      <xdr:row>21</xdr:row>
      <xdr:rowOff>0</xdr:rowOff>
    </xdr:from>
    <xdr:to>
      <xdr:col>2</xdr:col>
      <xdr:colOff>1376553</xdr:colOff>
      <xdr:row>21</xdr:row>
      <xdr:rowOff>181642</xdr:rowOff>
    </xdr:to>
    <xdr:sp macro="" textlink="">
      <xdr:nvSpPr>
        <xdr:cNvPr id="12" name="Text Box 129"/>
        <xdr:cNvSpPr txBox="1">
          <a:spLocks noChangeArrowheads="1"/>
        </xdr:cNvSpPr>
      </xdr:nvSpPr>
      <xdr:spPr bwMode="auto">
        <a:xfrm>
          <a:off x="1581150" y="283835475"/>
          <a:ext cx="405003" cy="181642"/>
        </a:xfrm>
        <a:prstGeom prst="rect">
          <a:avLst/>
        </a:prstGeom>
        <a:noFill/>
        <a:ln w="9525">
          <a:noFill/>
          <a:miter lim="800000"/>
          <a:headEnd/>
          <a:tailEnd/>
        </a:ln>
      </xdr:spPr>
    </xdr:sp>
    <xdr:clientData/>
  </xdr:twoCellAnchor>
  <xdr:twoCellAnchor editAs="oneCell">
    <xdr:from>
      <xdr:col>2</xdr:col>
      <xdr:colOff>971550</xdr:colOff>
      <xdr:row>22</xdr:row>
      <xdr:rowOff>0</xdr:rowOff>
    </xdr:from>
    <xdr:to>
      <xdr:col>2</xdr:col>
      <xdr:colOff>1376553</xdr:colOff>
      <xdr:row>22</xdr:row>
      <xdr:rowOff>94797</xdr:rowOff>
    </xdr:to>
    <xdr:sp macro="" textlink="">
      <xdr:nvSpPr>
        <xdr:cNvPr id="13" name="Text Box 125"/>
        <xdr:cNvSpPr txBox="1">
          <a:spLocks noChangeArrowheads="1"/>
        </xdr:cNvSpPr>
      </xdr:nvSpPr>
      <xdr:spPr bwMode="auto">
        <a:xfrm>
          <a:off x="1581150" y="291064950"/>
          <a:ext cx="405003" cy="94797"/>
        </a:xfrm>
        <a:prstGeom prst="rect">
          <a:avLst/>
        </a:prstGeom>
        <a:noFill/>
        <a:ln w="9525">
          <a:noFill/>
          <a:miter lim="800000"/>
          <a:headEnd/>
          <a:tailEnd/>
        </a:ln>
      </xdr:spPr>
    </xdr:sp>
    <xdr:clientData/>
  </xdr:twoCellAnchor>
  <xdr:twoCellAnchor editAs="oneCell">
    <xdr:from>
      <xdr:col>2</xdr:col>
      <xdr:colOff>971550</xdr:colOff>
      <xdr:row>22</xdr:row>
      <xdr:rowOff>0</xdr:rowOff>
    </xdr:from>
    <xdr:to>
      <xdr:col>2</xdr:col>
      <xdr:colOff>1376553</xdr:colOff>
      <xdr:row>22</xdr:row>
      <xdr:rowOff>94797</xdr:rowOff>
    </xdr:to>
    <xdr:sp macro="" textlink="">
      <xdr:nvSpPr>
        <xdr:cNvPr id="14" name="Text Box 126"/>
        <xdr:cNvSpPr txBox="1">
          <a:spLocks noChangeArrowheads="1"/>
        </xdr:cNvSpPr>
      </xdr:nvSpPr>
      <xdr:spPr bwMode="auto">
        <a:xfrm>
          <a:off x="1581150" y="291064950"/>
          <a:ext cx="405003" cy="94797"/>
        </a:xfrm>
        <a:prstGeom prst="rect">
          <a:avLst/>
        </a:prstGeom>
        <a:noFill/>
        <a:ln w="9525">
          <a:noFill/>
          <a:miter lim="800000"/>
          <a:headEnd/>
          <a:tailEnd/>
        </a:ln>
      </xdr:spPr>
    </xdr:sp>
    <xdr:clientData/>
  </xdr:twoCellAnchor>
  <xdr:twoCellAnchor editAs="oneCell">
    <xdr:from>
      <xdr:col>2</xdr:col>
      <xdr:colOff>971550</xdr:colOff>
      <xdr:row>22</xdr:row>
      <xdr:rowOff>0</xdr:rowOff>
    </xdr:from>
    <xdr:to>
      <xdr:col>2</xdr:col>
      <xdr:colOff>1376553</xdr:colOff>
      <xdr:row>22</xdr:row>
      <xdr:rowOff>94797</xdr:rowOff>
    </xdr:to>
    <xdr:sp macro="" textlink="">
      <xdr:nvSpPr>
        <xdr:cNvPr id="15" name="Text Box 127"/>
        <xdr:cNvSpPr txBox="1">
          <a:spLocks noChangeArrowheads="1"/>
        </xdr:cNvSpPr>
      </xdr:nvSpPr>
      <xdr:spPr bwMode="auto">
        <a:xfrm>
          <a:off x="1581150" y="291064950"/>
          <a:ext cx="405003" cy="94797"/>
        </a:xfrm>
        <a:prstGeom prst="rect">
          <a:avLst/>
        </a:prstGeom>
        <a:noFill/>
        <a:ln w="9525">
          <a:noFill/>
          <a:miter lim="800000"/>
          <a:headEnd/>
          <a:tailEnd/>
        </a:ln>
      </xdr:spPr>
    </xdr:sp>
    <xdr:clientData/>
  </xdr:twoCellAnchor>
  <xdr:twoCellAnchor editAs="oneCell">
    <xdr:from>
      <xdr:col>2</xdr:col>
      <xdr:colOff>971550</xdr:colOff>
      <xdr:row>22</xdr:row>
      <xdr:rowOff>0</xdr:rowOff>
    </xdr:from>
    <xdr:to>
      <xdr:col>2</xdr:col>
      <xdr:colOff>1376553</xdr:colOff>
      <xdr:row>22</xdr:row>
      <xdr:rowOff>94797</xdr:rowOff>
    </xdr:to>
    <xdr:sp macro="" textlink="">
      <xdr:nvSpPr>
        <xdr:cNvPr id="16" name="Text Box 128"/>
        <xdr:cNvSpPr txBox="1">
          <a:spLocks noChangeArrowheads="1"/>
        </xdr:cNvSpPr>
      </xdr:nvSpPr>
      <xdr:spPr bwMode="auto">
        <a:xfrm>
          <a:off x="1581150" y="291064950"/>
          <a:ext cx="405003" cy="94797"/>
        </a:xfrm>
        <a:prstGeom prst="rect">
          <a:avLst/>
        </a:prstGeom>
        <a:noFill/>
        <a:ln w="9525">
          <a:noFill/>
          <a:miter lim="800000"/>
          <a:headEnd/>
          <a:tailEnd/>
        </a:ln>
      </xdr:spPr>
    </xdr:sp>
    <xdr:clientData/>
  </xdr:twoCellAnchor>
  <xdr:twoCellAnchor editAs="oneCell">
    <xdr:from>
      <xdr:col>2</xdr:col>
      <xdr:colOff>971550</xdr:colOff>
      <xdr:row>22</xdr:row>
      <xdr:rowOff>0</xdr:rowOff>
    </xdr:from>
    <xdr:to>
      <xdr:col>2</xdr:col>
      <xdr:colOff>1376553</xdr:colOff>
      <xdr:row>22</xdr:row>
      <xdr:rowOff>94797</xdr:rowOff>
    </xdr:to>
    <xdr:sp macro="" textlink="">
      <xdr:nvSpPr>
        <xdr:cNvPr id="17" name="Text Box 129"/>
        <xdr:cNvSpPr txBox="1">
          <a:spLocks noChangeArrowheads="1"/>
        </xdr:cNvSpPr>
      </xdr:nvSpPr>
      <xdr:spPr bwMode="auto">
        <a:xfrm>
          <a:off x="1581150" y="291064950"/>
          <a:ext cx="405003" cy="94797"/>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181642</xdr:rowOff>
    </xdr:to>
    <xdr:sp macro="" textlink="">
      <xdr:nvSpPr>
        <xdr:cNvPr id="18" name="Text Box 125"/>
        <xdr:cNvSpPr txBox="1">
          <a:spLocks noChangeArrowheads="1"/>
        </xdr:cNvSpPr>
      </xdr:nvSpPr>
      <xdr:spPr bwMode="auto">
        <a:xfrm>
          <a:off x="1581150" y="263099550"/>
          <a:ext cx="405003" cy="181642"/>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181642</xdr:rowOff>
    </xdr:to>
    <xdr:sp macro="" textlink="">
      <xdr:nvSpPr>
        <xdr:cNvPr id="19" name="Text Box 126"/>
        <xdr:cNvSpPr txBox="1">
          <a:spLocks noChangeArrowheads="1"/>
        </xdr:cNvSpPr>
      </xdr:nvSpPr>
      <xdr:spPr bwMode="auto">
        <a:xfrm>
          <a:off x="1581150" y="263099550"/>
          <a:ext cx="405003" cy="181642"/>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181642</xdr:rowOff>
    </xdr:to>
    <xdr:sp macro="" textlink="">
      <xdr:nvSpPr>
        <xdr:cNvPr id="20" name="Text Box 127"/>
        <xdr:cNvSpPr txBox="1">
          <a:spLocks noChangeArrowheads="1"/>
        </xdr:cNvSpPr>
      </xdr:nvSpPr>
      <xdr:spPr bwMode="auto">
        <a:xfrm>
          <a:off x="1581150" y="263099550"/>
          <a:ext cx="405003" cy="181642"/>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181642</xdr:rowOff>
    </xdr:to>
    <xdr:sp macro="" textlink="">
      <xdr:nvSpPr>
        <xdr:cNvPr id="21" name="Text Box 128"/>
        <xdr:cNvSpPr txBox="1">
          <a:spLocks noChangeArrowheads="1"/>
        </xdr:cNvSpPr>
      </xdr:nvSpPr>
      <xdr:spPr bwMode="auto">
        <a:xfrm>
          <a:off x="1581150" y="263099550"/>
          <a:ext cx="405003" cy="181642"/>
        </a:xfrm>
        <a:prstGeom prst="rect">
          <a:avLst/>
        </a:prstGeom>
        <a:noFill/>
        <a:ln w="9525">
          <a:noFill/>
          <a:miter lim="800000"/>
          <a:headEnd/>
          <a:tailEnd/>
        </a:ln>
      </xdr:spPr>
    </xdr:sp>
    <xdr:clientData/>
  </xdr:twoCellAnchor>
  <xdr:twoCellAnchor editAs="oneCell">
    <xdr:from>
      <xdr:col>2</xdr:col>
      <xdr:colOff>971550</xdr:colOff>
      <xdr:row>19</xdr:row>
      <xdr:rowOff>0</xdr:rowOff>
    </xdr:from>
    <xdr:to>
      <xdr:col>2</xdr:col>
      <xdr:colOff>1376553</xdr:colOff>
      <xdr:row>19</xdr:row>
      <xdr:rowOff>181642</xdr:rowOff>
    </xdr:to>
    <xdr:sp macro="" textlink="">
      <xdr:nvSpPr>
        <xdr:cNvPr id="22" name="Text Box 129"/>
        <xdr:cNvSpPr txBox="1">
          <a:spLocks noChangeArrowheads="1"/>
        </xdr:cNvSpPr>
      </xdr:nvSpPr>
      <xdr:spPr bwMode="auto">
        <a:xfrm>
          <a:off x="1581150" y="263099550"/>
          <a:ext cx="405003" cy="181642"/>
        </a:xfrm>
        <a:prstGeom prst="rect">
          <a:avLst/>
        </a:prstGeom>
        <a:no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243567</xdr:colOff>
      <xdr:row>2</xdr:row>
      <xdr:rowOff>74840</xdr:rowOff>
    </xdr:from>
    <xdr:to>
      <xdr:col>3</xdr:col>
      <xdr:colOff>801621</xdr:colOff>
      <xdr:row>2</xdr:row>
      <xdr:rowOff>74840</xdr:rowOff>
    </xdr:to>
    <xdr:sp macro="" textlink="">
      <xdr:nvSpPr>
        <xdr:cNvPr id="2" name="Line 7"/>
        <xdr:cNvSpPr>
          <a:spLocks noChangeShapeType="1"/>
        </xdr:cNvSpPr>
      </xdr:nvSpPr>
      <xdr:spPr bwMode="auto">
        <a:xfrm flipH="1" flipV="1">
          <a:off x="3754210" y="564697"/>
          <a:ext cx="1660232" cy="0"/>
        </a:xfrm>
        <a:prstGeom prst="line">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674176</xdr:colOff>
      <xdr:row>9</xdr:row>
      <xdr:rowOff>173065</xdr:rowOff>
    </xdr:from>
    <xdr:to>
      <xdr:col>11</xdr:col>
      <xdr:colOff>637754</xdr:colOff>
      <xdr:row>9</xdr:row>
      <xdr:rowOff>173065</xdr:rowOff>
    </xdr:to>
    <xdr:sp macro="" textlink="">
      <xdr:nvSpPr>
        <xdr:cNvPr id="2" name="Line 7"/>
        <xdr:cNvSpPr>
          <a:spLocks noChangeShapeType="1"/>
        </xdr:cNvSpPr>
      </xdr:nvSpPr>
      <xdr:spPr bwMode="auto">
        <a:xfrm flipH="1" flipV="1">
          <a:off x="9327396" y="1593743"/>
          <a:ext cx="2659638"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680361</xdr:colOff>
      <xdr:row>7</xdr:row>
      <xdr:rowOff>69521</xdr:rowOff>
    </xdr:from>
    <xdr:to>
      <xdr:col>9</xdr:col>
      <xdr:colOff>340183</xdr:colOff>
      <xdr:row>7</xdr:row>
      <xdr:rowOff>69521</xdr:rowOff>
    </xdr:to>
    <xdr:sp macro="" textlink="">
      <xdr:nvSpPr>
        <xdr:cNvPr id="2" name="Line 7"/>
        <xdr:cNvSpPr>
          <a:spLocks noChangeShapeType="1"/>
        </xdr:cNvSpPr>
      </xdr:nvSpPr>
      <xdr:spPr bwMode="auto">
        <a:xfrm flipV="1">
          <a:off x="8357511" y="1069646"/>
          <a:ext cx="2403022"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836842</xdr:colOff>
      <xdr:row>5</xdr:row>
      <xdr:rowOff>79738</xdr:rowOff>
    </xdr:from>
    <xdr:to>
      <xdr:col>12</xdr:col>
      <xdr:colOff>680356</xdr:colOff>
      <xdr:row>5</xdr:row>
      <xdr:rowOff>79738</xdr:rowOff>
    </xdr:to>
    <xdr:sp macro="" textlink="">
      <xdr:nvSpPr>
        <xdr:cNvPr id="2" name="Line 4"/>
        <xdr:cNvSpPr>
          <a:spLocks noChangeShapeType="1"/>
        </xdr:cNvSpPr>
      </xdr:nvSpPr>
      <xdr:spPr bwMode="auto">
        <a:xfrm flipV="1">
          <a:off x="5354413" y="896167"/>
          <a:ext cx="2428872"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7</xdr:row>
      <xdr:rowOff>85994</xdr:rowOff>
    </xdr:from>
    <xdr:to>
      <xdr:col>14</xdr:col>
      <xdr:colOff>100851</xdr:colOff>
      <xdr:row>7</xdr:row>
      <xdr:rowOff>85994</xdr:rowOff>
    </xdr:to>
    <xdr:sp macro="" textlink="">
      <xdr:nvSpPr>
        <xdr:cNvPr id="2" name="Line 7"/>
        <xdr:cNvSpPr>
          <a:spLocks noChangeShapeType="1"/>
        </xdr:cNvSpPr>
      </xdr:nvSpPr>
      <xdr:spPr bwMode="auto">
        <a:xfrm flipV="1">
          <a:off x="7003677" y="1206582"/>
          <a:ext cx="3955674"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285755</xdr:colOff>
      <xdr:row>7</xdr:row>
      <xdr:rowOff>110342</xdr:rowOff>
    </xdr:from>
    <xdr:to>
      <xdr:col>11</xdr:col>
      <xdr:colOff>489858</xdr:colOff>
      <xdr:row>7</xdr:row>
      <xdr:rowOff>110342</xdr:rowOff>
    </xdr:to>
    <xdr:sp macro="" textlink="">
      <xdr:nvSpPr>
        <xdr:cNvPr id="2" name="Line 7"/>
        <xdr:cNvSpPr>
          <a:spLocks noChangeShapeType="1"/>
        </xdr:cNvSpPr>
      </xdr:nvSpPr>
      <xdr:spPr bwMode="auto">
        <a:xfrm flipV="1">
          <a:off x="7048505" y="1185306"/>
          <a:ext cx="5674174"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836842</xdr:colOff>
      <xdr:row>5</xdr:row>
      <xdr:rowOff>106953</xdr:rowOff>
    </xdr:from>
    <xdr:to>
      <xdr:col>12</xdr:col>
      <xdr:colOff>680356</xdr:colOff>
      <xdr:row>5</xdr:row>
      <xdr:rowOff>106953</xdr:rowOff>
    </xdr:to>
    <xdr:sp macro="" textlink="">
      <xdr:nvSpPr>
        <xdr:cNvPr id="2" name="Line 4"/>
        <xdr:cNvSpPr>
          <a:spLocks noChangeShapeType="1"/>
        </xdr:cNvSpPr>
      </xdr:nvSpPr>
      <xdr:spPr bwMode="auto">
        <a:xfrm flipV="1">
          <a:off x="5580292" y="926103"/>
          <a:ext cx="2434314" cy="0"/>
        </a:xfrm>
        <a:prstGeom prst="line">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627533</xdr:colOff>
      <xdr:row>5</xdr:row>
      <xdr:rowOff>112058</xdr:rowOff>
    </xdr:from>
    <xdr:to>
      <xdr:col>14</xdr:col>
      <xdr:colOff>190502</xdr:colOff>
      <xdr:row>5</xdr:row>
      <xdr:rowOff>112058</xdr:rowOff>
    </xdr:to>
    <xdr:sp macro="" textlink="">
      <xdr:nvSpPr>
        <xdr:cNvPr id="2" name="Line 7"/>
        <xdr:cNvSpPr>
          <a:spLocks noChangeShapeType="1"/>
        </xdr:cNvSpPr>
      </xdr:nvSpPr>
      <xdr:spPr bwMode="auto">
        <a:xfrm flipV="1">
          <a:off x="5939121" y="974911"/>
          <a:ext cx="2274793" cy="0"/>
        </a:xfrm>
        <a:prstGeom prst="line">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311843</xdr:colOff>
      <xdr:row>7</xdr:row>
      <xdr:rowOff>119062</xdr:rowOff>
    </xdr:from>
    <xdr:to>
      <xdr:col>11</xdr:col>
      <xdr:colOff>272146</xdr:colOff>
      <xdr:row>7</xdr:row>
      <xdr:rowOff>119062</xdr:rowOff>
    </xdr:to>
    <xdr:sp macro="" textlink="">
      <xdr:nvSpPr>
        <xdr:cNvPr id="5" name="Line 7"/>
        <xdr:cNvSpPr>
          <a:spLocks noChangeShapeType="1"/>
        </xdr:cNvSpPr>
      </xdr:nvSpPr>
      <xdr:spPr bwMode="auto">
        <a:xfrm flipV="1">
          <a:off x="8993200" y="1643062"/>
          <a:ext cx="2776982"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464659</xdr:colOff>
      <xdr:row>7</xdr:row>
      <xdr:rowOff>83128</xdr:rowOff>
    </xdr:from>
    <xdr:to>
      <xdr:col>20</xdr:col>
      <xdr:colOff>441439</xdr:colOff>
      <xdr:row>7</xdr:row>
      <xdr:rowOff>83128</xdr:rowOff>
    </xdr:to>
    <xdr:sp macro="" textlink="">
      <xdr:nvSpPr>
        <xdr:cNvPr id="2" name="Line 7"/>
        <xdr:cNvSpPr>
          <a:spLocks noChangeShapeType="1"/>
        </xdr:cNvSpPr>
      </xdr:nvSpPr>
      <xdr:spPr bwMode="auto">
        <a:xfrm flipV="1">
          <a:off x="11300747" y="1349393"/>
          <a:ext cx="2923927" cy="0"/>
        </a:xfrm>
        <a:prstGeom prst="line">
          <a:avLst/>
        </a:prstGeom>
        <a:noFill/>
        <a:ln w="9525">
          <a:solidFill>
            <a:srgbClr val="000000"/>
          </a:solidFill>
          <a:round/>
          <a:headEnd/>
          <a:tailEnd/>
        </a:ln>
      </xdr:spPr>
    </xdr:sp>
    <xdr:clientData/>
  </xdr:twoCellAnchor>
  <xdr:twoCellAnchor editAs="oneCell">
    <xdr:from>
      <xdr:col>2</xdr:col>
      <xdr:colOff>971550</xdr:colOff>
      <xdr:row>158</xdr:row>
      <xdr:rowOff>0</xdr:rowOff>
    </xdr:from>
    <xdr:to>
      <xdr:col>2</xdr:col>
      <xdr:colOff>1376553</xdr:colOff>
      <xdr:row>223</xdr:row>
      <xdr:rowOff>104309</xdr:rowOff>
    </xdr:to>
    <xdr:sp macro="" textlink="">
      <xdr:nvSpPr>
        <xdr:cNvPr id="3" name="Text Box 125"/>
        <xdr:cNvSpPr txBox="1">
          <a:spLocks noChangeArrowheads="1"/>
        </xdr:cNvSpPr>
      </xdr:nvSpPr>
      <xdr:spPr bwMode="auto">
        <a:xfrm>
          <a:off x="1581150" y="78162150"/>
          <a:ext cx="405003" cy="104309"/>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223</xdr:row>
      <xdr:rowOff>104309</xdr:rowOff>
    </xdr:to>
    <xdr:sp macro="" textlink="">
      <xdr:nvSpPr>
        <xdr:cNvPr id="4" name="Text Box 126"/>
        <xdr:cNvSpPr txBox="1">
          <a:spLocks noChangeArrowheads="1"/>
        </xdr:cNvSpPr>
      </xdr:nvSpPr>
      <xdr:spPr bwMode="auto">
        <a:xfrm>
          <a:off x="1581150" y="78162150"/>
          <a:ext cx="405003" cy="104309"/>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223</xdr:row>
      <xdr:rowOff>104309</xdr:rowOff>
    </xdr:to>
    <xdr:sp macro="" textlink="">
      <xdr:nvSpPr>
        <xdr:cNvPr id="5" name="Text Box 127"/>
        <xdr:cNvSpPr txBox="1">
          <a:spLocks noChangeArrowheads="1"/>
        </xdr:cNvSpPr>
      </xdr:nvSpPr>
      <xdr:spPr bwMode="auto">
        <a:xfrm>
          <a:off x="1581150" y="78162150"/>
          <a:ext cx="405003" cy="104309"/>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223</xdr:row>
      <xdr:rowOff>104309</xdr:rowOff>
    </xdr:to>
    <xdr:sp macro="" textlink="">
      <xdr:nvSpPr>
        <xdr:cNvPr id="6" name="Text Box 128"/>
        <xdr:cNvSpPr txBox="1">
          <a:spLocks noChangeArrowheads="1"/>
        </xdr:cNvSpPr>
      </xdr:nvSpPr>
      <xdr:spPr bwMode="auto">
        <a:xfrm>
          <a:off x="1581150" y="78162150"/>
          <a:ext cx="405003" cy="104309"/>
        </a:xfrm>
        <a:prstGeom prst="rect">
          <a:avLst/>
        </a:prstGeom>
        <a:noFill/>
        <a:ln w="9525">
          <a:noFill/>
          <a:miter lim="800000"/>
          <a:headEnd/>
          <a:tailEnd/>
        </a:ln>
      </xdr:spPr>
    </xdr:sp>
    <xdr:clientData/>
  </xdr:twoCellAnchor>
  <xdr:twoCellAnchor editAs="oneCell">
    <xdr:from>
      <xdr:col>2</xdr:col>
      <xdr:colOff>971550</xdr:colOff>
      <xdr:row>158</xdr:row>
      <xdr:rowOff>0</xdr:rowOff>
    </xdr:from>
    <xdr:to>
      <xdr:col>2</xdr:col>
      <xdr:colOff>1376553</xdr:colOff>
      <xdr:row>223</xdr:row>
      <xdr:rowOff>104309</xdr:rowOff>
    </xdr:to>
    <xdr:sp macro="" textlink="">
      <xdr:nvSpPr>
        <xdr:cNvPr id="7" name="Text Box 129"/>
        <xdr:cNvSpPr txBox="1">
          <a:spLocks noChangeArrowheads="1"/>
        </xdr:cNvSpPr>
      </xdr:nvSpPr>
      <xdr:spPr bwMode="auto">
        <a:xfrm>
          <a:off x="1581150" y="78162150"/>
          <a:ext cx="405003" cy="104309"/>
        </a:xfrm>
        <a:prstGeom prst="rect">
          <a:avLst/>
        </a:prstGeom>
        <a:noFill/>
        <a:ln w="9525">
          <a:noFill/>
          <a:miter lim="800000"/>
          <a:headEnd/>
          <a:tailEnd/>
        </a:ln>
      </xdr:spPr>
    </xdr:sp>
    <xdr:clientData/>
  </xdr:twoCellAnchor>
  <xdr:twoCellAnchor editAs="oneCell">
    <xdr:from>
      <xdr:col>2</xdr:col>
      <xdr:colOff>971550</xdr:colOff>
      <xdr:row>431</xdr:row>
      <xdr:rowOff>0</xdr:rowOff>
    </xdr:from>
    <xdr:to>
      <xdr:col>2</xdr:col>
      <xdr:colOff>1376553</xdr:colOff>
      <xdr:row>445</xdr:row>
      <xdr:rowOff>181642</xdr:rowOff>
    </xdr:to>
    <xdr:sp macro="" textlink="">
      <xdr:nvSpPr>
        <xdr:cNvPr id="8" name="Text Box 125"/>
        <xdr:cNvSpPr txBox="1">
          <a:spLocks noChangeArrowheads="1"/>
        </xdr:cNvSpPr>
      </xdr:nvSpPr>
      <xdr:spPr bwMode="auto">
        <a:xfrm>
          <a:off x="1581150" y="285245175"/>
          <a:ext cx="405003" cy="181642"/>
        </a:xfrm>
        <a:prstGeom prst="rect">
          <a:avLst/>
        </a:prstGeom>
        <a:noFill/>
        <a:ln w="9525">
          <a:noFill/>
          <a:miter lim="800000"/>
          <a:headEnd/>
          <a:tailEnd/>
        </a:ln>
      </xdr:spPr>
    </xdr:sp>
    <xdr:clientData/>
  </xdr:twoCellAnchor>
  <xdr:twoCellAnchor editAs="oneCell">
    <xdr:from>
      <xdr:col>2</xdr:col>
      <xdr:colOff>971550</xdr:colOff>
      <xdr:row>431</xdr:row>
      <xdr:rowOff>0</xdr:rowOff>
    </xdr:from>
    <xdr:to>
      <xdr:col>2</xdr:col>
      <xdr:colOff>1376553</xdr:colOff>
      <xdr:row>445</xdr:row>
      <xdr:rowOff>181642</xdr:rowOff>
    </xdr:to>
    <xdr:sp macro="" textlink="">
      <xdr:nvSpPr>
        <xdr:cNvPr id="9" name="Text Box 126"/>
        <xdr:cNvSpPr txBox="1">
          <a:spLocks noChangeArrowheads="1"/>
        </xdr:cNvSpPr>
      </xdr:nvSpPr>
      <xdr:spPr bwMode="auto">
        <a:xfrm>
          <a:off x="1581150" y="285245175"/>
          <a:ext cx="405003" cy="181642"/>
        </a:xfrm>
        <a:prstGeom prst="rect">
          <a:avLst/>
        </a:prstGeom>
        <a:noFill/>
        <a:ln w="9525">
          <a:noFill/>
          <a:miter lim="800000"/>
          <a:headEnd/>
          <a:tailEnd/>
        </a:ln>
      </xdr:spPr>
    </xdr:sp>
    <xdr:clientData/>
  </xdr:twoCellAnchor>
  <xdr:twoCellAnchor editAs="oneCell">
    <xdr:from>
      <xdr:col>2</xdr:col>
      <xdr:colOff>971550</xdr:colOff>
      <xdr:row>431</xdr:row>
      <xdr:rowOff>0</xdr:rowOff>
    </xdr:from>
    <xdr:to>
      <xdr:col>2</xdr:col>
      <xdr:colOff>1376553</xdr:colOff>
      <xdr:row>445</xdr:row>
      <xdr:rowOff>181642</xdr:rowOff>
    </xdr:to>
    <xdr:sp macro="" textlink="">
      <xdr:nvSpPr>
        <xdr:cNvPr id="10" name="Text Box 127"/>
        <xdr:cNvSpPr txBox="1">
          <a:spLocks noChangeArrowheads="1"/>
        </xdr:cNvSpPr>
      </xdr:nvSpPr>
      <xdr:spPr bwMode="auto">
        <a:xfrm>
          <a:off x="1581150" y="285245175"/>
          <a:ext cx="405003" cy="181642"/>
        </a:xfrm>
        <a:prstGeom prst="rect">
          <a:avLst/>
        </a:prstGeom>
        <a:noFill/>
        <a:ln w="9525">
          <a:noFill/>
          <a:miter lim="800000"/>
          <a:headEnd/>
          <a:tailEnd/>
        </a:ln>
      </xdr:spPr>
    </xdr:sp>
    <xdr:clientData/>
  </xdr:twoCellAnchor>
  <xdr:twoCellAnchor editAs="oneCell">
    <xdr:from>
      <xdr:col>2</xdr:col>
      <xdr:colOff>971550</xdr:colOff>
      <xdr:row>431</xdr:row>
      <xdr:rowOff>0</xdr:rowOff>
    </xdr:from>
    <xdr:to>
      <xdr:col>2</xdr:col>
      <xdr:colOff>1376553</xdr:colOff>
      <xdr:row>445</xdr:row>
      <xdr:rowOff>181642</xdr:rowOff>
    </xdr:to>
    <xdr:sp macro="" textlink="">
      <xdr:nvSpPr>
        <xdr:cNvPr id="11" name="Text Box 128"/>
        <xdr:cNvSpPr txBox="1">
          <a:spLocks noChangeArrowheads="1"/>
        </xdr:cNvSpPr>
      </xdr:nvSpPr>
      <xdr:spPr bwMode="auto">
        <a:xfrm>
          <a:off x="1581150" y="285245175"/>
          <a:ext cx="405003" cy="181642"/>
        </a:xfrm>
        <a:prstGeom prst="rect">
          <a:avLst/>
        </a:prstGeom>
        <a:noFill/>
        <a:ln w="9525">
          <a:noFill/>
          <a:miter lim="800000"/>
          <a:headEnd/>
          <a:tailEnd/>
        </a:ln>
      </xdr:spPr>
    </xdr:sp>
    <xdr:clientData/>
  </xdr:twoCellAnchor>
  <xdr:twoCellAnchor editAs="oneCell">
    <xdr:from>
      <xdr:col>2</xdr:col>
      <xdr:colOff>971550</xdr:colOff>
      <xdr:row>431</xdr:row>
      <xdr:rowOff>0</xdr:rowOff>
    </xdr:from>
    <xdr:to>
      <xdr:col>2</xdr:col>
      <xdr:colOff>1376553</xdr:colOff>
      <xdr:row>445</xdr:row>
      <xdr:rowOff>181642</xdr:rowOff>
    </xdr:to>
    <xdr:sp macro="" textlink="">
      <xdr:nvSpPr>
        <xdr:cNvPr id="12" name="Text Box 129"/>
        <xdr:cNvSpPr txBox="1">
          <a:spLocks noChangeArrowheads="1"/>
        </xdr:cNvSpPr>
      </xdr:nvSpPr>
      <xdr:spPr bwMode="auto">
        <a:xfrm>
          <a:off x="1581150" y="285245175"/>
          <a:ext cx="405003" cy="181642"/>
        </a:xfrm>
        <a:prstGeom prst="rect">
          <a:avLst/>
        </a:prstGeom>
        <a:noFill/>
        <a:ln w="9525">
          <a:noFill/>
          <a:miter lim="800000"/>
          <a:headEnd/>
          <a:tailEnd/>
        </a:ln>
      </xdr:spPr>
    </xdr:sp>
    <xdr:clientData/>
  </xdr:twoCellAnchor>
  <xdr:twoCellAnchor editAs="oneCell">
    <xdr:from>
      <xdr:col>2</xdr:col>
      <xdr:colOff>971550</xdr:colOff>
      <xdr:row>442</xdr:row>
      <xdr:rowOff>0</xdr:rowOff>
    </xdr:from>
    <xdr:to>
      <xdr:col>2</xdr:col>
      <xdr:colOff>1376553</xdr:colOff>
      <xdr:row>445</xdr:row>
      <xdr:rowOff>94797</xdr:rowOff>
    </xdr:to>
    <xdr:sp macro="" textlink="">
      <xdr:nvSpPr>
        <xdr:cNvPr id="13" name="Text Box 125"/>
        <xdr:cNvSpPr txBox="1">
          <a:spLocks noChangeArrowheads="1"/>
        </xdr:cNvSpPr>
      </xdr:nvSpPr>
      <xdr:spPr bwMode="auto">
        <a:xfrm>
          <a:off x="1581150" y="291884100"/>
          <a:ext cx="405003" cy="94797"/>
        </a:xfrm>
        <a:prstGeom prst="rect">
          <a:avLst/>
        </a:prstGeom>
        <a:noFill/>
        <a:ln w="9525">
          <a:noFill/>
          <a:miter lim="800000"/>
          <a:headEnd/>
          <a:tailEnd/>
        </a:ln>
      </xdr:spPr>
    </xdr:sp>
    <xdr:clientData/>
  </xdr:twoCellAnchor>
  <xdr:twoCellAnchor editAs="oneCell">
    <xdr:from>
      <xdr:col>2</xdr:col>
      <xdr:colOff>971550</xdr:colOff>
      <xdr:row>442</xdr:row>
      <xdr:rowOff>0</xdr:rowOff>
    </xdr:from>
    <xdr:to>
      <xdr:col>2</xdr:col>
      <xdr:colOff>1376553</xdr:colOff>
      <xdr:row>445</xdr:row>
      <xdr:rowOff>94797</xdr:rowOff>
    </xdr:to>
    <xdr:sp macro="" textlink="">
      <xdr:nvSpPr>
        <xdr:cNvPr id="14" name="Text Box 126"/>
        <xdr:cNvSpPr txBox="1">
          <a:spLocks noChangeArrowheads="1"/>
        </xdr:cNvSpPr>
      </xdr:nvSpPr>
      <xdr:spPr bwMode="auto">
        <a:xfrm>
          <a:off x="1581150" y="291884100"/>
          <a:ext cx="405003" cy="94797"/>
        </a:xfrm>
        <a:prstGeom prst="rect">
          <a:avLst/>
        </a:prstGeom>
        <a:noFill/>
        <a:ln w="9525">
          <a:noFill/>
          <a:miter lim="800000"/>
          <a:headEnd/>
          <a:tailEnd/>
        </a:ln>
      </xdr:spPr>
    </xdr:sp>
    <xdr:clientData/>
  </xdr:twoCellAnchor>
  <xdr:twoCellAnchor editAs="oneCell">
    <xdr:from>
      <xdr:col>2</xdr:col>
      <xdr:colOff>971550</xdr:colOff>
      <xdr:row>442</xdr:row>
      <xdr:rowOff>0</xdr:rowOff>
    </xdr:from>
    <xdr:to>
      <xdr:col>2</xdr:col>
      <xdr:colOff>1376553</xdr:colOff>
      <xdr:row>445</xdr:row>
      <xdr:rowOff>94797</xdr:rowOff>
    </xdr:to>
    <xdr:sp macro="" textlink="">
      <xdr:nvSpPr>
        <xdr:cNvPr id="15" name="Text Box 127"/>
        <xdr:cNvSpPr txBox="1">
          <a:spLocks noChangeArrowheads="1"/>
        </xdr:cNvSpPr>
      </xdr:nvSpPr>
      <xdr:spPr bwMode="auto">
        <a:xfrm>
          <a:off x="1581150" y="291884100"/>
          <a:ext cx="405003" cy="94797"/>
        </a:xfrm>
        <a:prstGeom prst="rect">
          <a:avLst/>
        </a:prstGeom>
        <a:noFill/>
        <a:ln w="9525">
          <a:noFill/>
          <a:miter lim="800000"/>
          <a:headEnd/>
          <a:tailEnd/>
        </a:ln>
      </xdr:spPr>
    </xdr:sp>
    <xdr:clientData/>
  </xdr:twoCellAnchor>
  <xdr:twoCellAnchor editAs="oneCell">
    <xdr:from>
      <xdr:col>2</xdr:col>
      <xdr:colOff>971550</xdr:colOff>
      <xdr:row>442</xdr:row>
      <xdr:rowOff>0</xdr:rowOff>
    </xdr:from>
    <xdr:to>
      <xdr:col>2</xdr:col>
      <xdr:colOff>1376553</xdr:colOff>
      <xdr:row>445</xdr:row>
      <xdr:rowOff>94797</xdr:rowOff>
    </xdr:to>
    <xdr:sp macro="" textlink="">
      <xdr:nvSpPr>
        <xdr:cNvPr id="16" name="Text Box 128"/>
        <xdr:cNvSpPr txBox="1">
          <a:spLocks noChangeArrowheads="1"/>
        </xdr:cNvSpPr>
      </xdr:nvSpPr>
      <xdr:spPr bwMode="auto">
        <a:xfrm>
          <a:off x="1581150" y="291884100"/>
          <a:ext cx="405003" cy="94797"/>
        </a:xfrm>
        <a:prstGeom prst="rect">
          <a:avLst/>
        </a:prstGeom>
        <a:noFill/>
        <a:ln w="9525">
          <a:noFill/>
          <a:miter lim="800000"/>
          <a:headEnd/>
          <a:tailEnd/>
        </a:ln>
      </xdr:spPr>
    </xdr:sp>
    <xdr:clientData/>
  </xdr:twoCellAnchor>
  <xdr:twoCellAnchor editAs="oneCell">
    <xdr:from>
      <xdr:col>2</xdr:col>
      <xdr:colOff>971550</xdr:colOff>
      <xdr:row>442</xdr:row>
      <xdr:rowOff>0</xdr:rowOff>
    </xdr:from>
    <xdr:to>
      <xdr:col>2</xdr:col>
      <xdr:colOff>1376553</xdr:colOff>
      <xdr:row>445</xdr:row>
      <xdr:rowOff>94797</xdr:rowOff>
    </xdr:to>
    <xdr:sp macro="" textlink="">
      <xdr:nvSpPr>
        <xdr:cNvPr id="17" name="Text Box 129"/>
        <xdr:cNvSpPr txBox="1">
          <a:spLocks noChangeArrowheads="1"/>
        </xdr:cNvSpPr>
      </xdr:nvSpPr>
      <xdr:spPr bwMode="auto">
        <a:xfrm>
          <a:off x="1581150" y="291884100"/>
          <a:ext cx="405003" cy="94797"/>
        </a:xfrm>
        <a:prstGeom prst="rect">
          <a:avLst/>
        </a:prstGeom>
        <a:noFill/>
        <a:ln w="9525">
          <a:noFill/>
          <a:miter lim="800000"/>
          <a:headEnd/>
          <a:tailEnd/>
        </a:ln>
      </xdr:spPr>
    </xdr:sp>
    <xdr:clientData/>
  </xdr:twoCellAnchor>
  <xdr:twoCellAnchor editAs="oneCell">
    <xdr:from>
      <xdr:col>2</xdr:col>
      <xdr:colOff>971550</xdr:colOff>
      <xdr:row>397</xdr:row>
      <xdr:rowOff>0</xdr:rowOff>
    </xdr:from>
    <xdr:to>
      <xdr:col>2</xdr:col>
      <xdr:colOff>1376553</xdr:colOff>
      <xdr:row>414</xdr:row>
      <xdr:rowOff>181642</xdr:rowOff>
    </xdr:to>
    <xdr:sp macro="" textlink="">
      <xdr:nvSpPr>
        <xdr:cNvPr id="18" name="Text Box 125"/>
        <xdr:cNvSpPr txBox="1">
          <a:spLocks noChangeArrowheads="1"/>
        </xdr:cNvSpPr>
      </xdr:nvSpPr>
      <xdr:spPr bwMode="auto">
        <a:xfrm>
          <a:off x="1581150" y="264537825"/>
          <a:ext cx="405003" cy="181642"/>
        </a:xfrm>
        <a:prstGeom prst="rect">
          <a:avLst/>
        </a:prstGeom>
        <a:noFill/>
        <a:ln w="9525">
          <a:noFill/>
          <a:miter lim="800000"/>
          <a:headEnd/>
          <a:tailEnd/>
        </a:ln>
      </xdr:spPr>
    </xdr:sp>
    <xdr:clientData/>
  </xdr:twoCellAnchor>
  <xdr:twoCellAnchor editAs="oneCell">
    <xdr:from>
      <xdr:col>2</xdr:col>
      <xdr:colOff>971550</xdr:colOff>
      <xdr:row>397</xdr:row>
      <xdr:rowOff>0</xdr:rowOff>
    </xdr:from>
    <xdr:to>
      <xdr:col>2</xdr:col>
      <xdr:colOff>1376553</xdr:colOff>
      <xdr:row>414</xdr:row>
      <xdr:rowOff>181642</xdr:rowOff>
    </xdr:to>
    <xdr:sp macro="" textlink="">
      <xdr:nvSpPr>
        <xdr:cNvPr id="19" name="Text Box 126"/>
        <xdr:cNvSpPr txBox="1">
          <a:spLocks noChangeArrowheads="1"/>
        </xdr:cNvSpPr>
      </xdr:nvSpPr>
      <xdr:spPr bwMode="auto">
        <a:xfrm>
          <a:off x="1581150" y="264537825"/>
          <a:ext cx="405003" cy="181642"/>
        </a:xfrm>
        <a:prstGeom prst="rect">
          <a:avLst/>
        </a:prstGeom>
        <a:noFill/>
        <a:ln w="9525">
          <a:noFill/>
          <a:miter lim="800000"/>
          <a:headEnd/>
          <a:tailEnd/>
        </a:ln>
      </xdr:spPr>
    </xdr:sp>
    <xdr:clientData/>
  </xdr:twoCellAnchor>
  <xdr:twoCellAnchor editAs="oneCell">
    <xdr:from>
      <xdr:col>2</xdr:col>
      <xdr:colOff>971550</xdr:colOff>
      <xdr:row>397</xdr:row>
      <xdr:rowOff>0</xdr:rowOff>
    </xdr:from>
    <xdr:to>
      <xdr:col>2</xdr:col>
      <xdr:colOff>1376553</xdr:colOff>
      <xdr:row>414</xdr:row>
      <xdr:rowOff>181642</xdr:rowOff>
    </xdr:to>
    <xdr:sp macro="" textlink="">
      <xdr:nvSpPr>
        <xdr:cNvPr id="20" name="Text Box 127"/>
        <xdr:cNvSpPr txBox="1">
          <a:spLocks noChangeArrowheads="1"/>
        </xdr:cNvSpPr>
      </xdr:nvSpPr>
      <xdr:spPr bwMode="auto">
        <a:xfrm>
          <a:off x="1581150" y="264537825"/>
          <a:ext cx="405003" cy="181642"/>
        </a:xfrm>
        <a:prstGeom prst="rect">
          <a:avLst/>
        </a:prstGeom>
        <a:noFill/>
        <a:ln w="9525">
          <a:noFill/>
          <a:miter lim="800000"/>
          <a:headEnd/>
          <a:tailEnd/>
        </a:ln>
      </xdr:spPr>
    </xdr:sp>
    <xdr:clientData/>
  </xdr:twoCellAnchor>
  <xdr:twoCellAnchor editAs="oneCell">
    <xdr:from>
      <xdr:col>2</xdr:col>
      <xdr:colOff>971550</xdr:colOff>
      <xdr:row>397</xdr:row>
      <xdr:rowOff>0</xdr:rowOff>
    </xdr:from>
    <xdr:to>
      <xdr:col>2</xdr:col>
      <xdr:colOff>1376553</xdr:colOff>
      <xdr:row>414</xdr:row>
      <xdr:rowOff>181642</xdr:rowOff>
    </xdr:to>
    <xdr:sp macro="" textlink="">
      <xdr:nvSpPr>
        <xdr:cNvPr id="21" name="Text Box 128"/>
        <xdr:cNvSpPr txBox="1">
          <a:spLocks noChangeArrowheads="1"/>
        </xdr:cNvSpPr>
      </xdr:nvSpPr>
      <xdr:spPr bwMode="auto">
        <a:xfrm>
          <a:off x="1581150" y="264537825"/>
          <a:ext cx="405003" cy="181642"/>
        </a:xfrm>
        <a:prstGeom prst="rect">
          <a:avLst/>
        </a:prstGeom>
        <a:noFill/>
        <a:ln w="9525">
          <a:noFill/>
          <a:miter lim="800000"/>
          <a:headEnd/>
          <a:tailEnd/>
        </a:ln>
      </xdr:spPr>
    </xdr:sp>
    <xdr:clientData/>
  </xdr:twoCellAnchor>
  <xdr:twoCellAnchor editAs="oneCell">
    <xdr:from>
      <xdr:col>2</xdr:col>
      <xdr:colOff>971550</xdr:colOff>
      <xdr:row>397</xdr:row>
      <xdr:rowOff>0</xdr:rowOff>
    </xdr:from>
    <xdr:to>
      <xdr:col>2</xdr:col>
      <xdr:colOff>1376553</xdr:colOff>
      <xdr:row>414</xdr:row>
      <xdr:rowOff>181642</xdr:rowOff>
    </xdr:to>
    <xdr:sp macro="" textlink="">
      <xdr:nvSpPr>
        <xdr:cNvPr id="22" name="Text Box 129"/>
        <xdr:cNvSpPr txBox="1">
          <a:spLocks noChangeArrowheads="1"/>
        </xdr:cNvSpPr>
      </xdr:nvSpPr>
      <xdr:spPr bwMode="auto">
        <a:xfrm>
          <a:off x="1581150" y="264537825"/>
          <a:ext cx="405003" cy="181642"/>
        </a:xfrm>
        <a:prstGeom prst="rect">
          <a:avLst/>
        </a:prstGeom>
        <a:noFill/>
        <a:ln w="9525">
          <a:noFill/>
          <a:miter lim="800000"/>
          <a:headEnd/>
          <a:tailEnd/>
        </a:ln>
      </xdr:spPr>
    </xdr:sp>
    <xdr:clientData/>
  </xdr:twoCellAnchor>
  <xdr:twoCellAnchor editAs="oneCell">
    <xdr:from>
      <xdr:col>2</xdr:col>
      <xdr:colOff>971550</xdr:colOff>
      <xdr:row>332</xdr:row>
      <xdr:rowOff>0</xdr:rowOff>
    </xdr:from>
    <xdr:to>
      <xdr:col>2</xdr:col>
      <xdr:colOff>1304925</xdr:colOff>
      <xdr:row>676</xdr:row>
      <xdr:rowOff>224562</xdr:rowOff>
    </xdr:to>
    <xdr:sp macro="" textlink="">
      <xdr:nvSpPr>
        <xdr:cNvPr id="23" name="Text Box 3922"/>
        <xdr:cNvSpPr txBox="1">
          <a:spLocks noChangeArrowheads="1"/>
        </xdr:cNvSpPr>
      </xdr:nvSpPr>
      <xdr:spPr bwMode="auto">
        <a:xfrm>
          <a:off x="1457325" y="18097500"/>
          <a:ext cx="3333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1304925</xdr:colOff>
      <xdr:row>676</xdr:row>
      <xdr:rowOff>224562</xdr:rowOff>
    </xdr:to>
    <xdr:sp macro="" textlink="">
      <xdr:nvSpPr>
        <xdr:cNvPr id="24" name="Text Box 3923"/>
        <xdr:cNvSpPr txBox="1">
          <a:spLocks noChangeArrowheads="1"/>
        </xdr:cNvSpPr>
      </xdr:nvSpPr>
      <xdr:spPr bwMode="auto">
        <a:xfrm>
          <a:off x="1457325" y="18097500"/>
          <a:ext cx="3333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26" name="Text Box 5"/>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27" name="Text Box 6"/>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28" name="Text Box 7"/>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29" name="Text Box 8"/>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30" name="Text Box 9"/>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31" name="Text Box 10"/>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2" name="Text Box 5"/>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3" name="Text Box 6"/>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4" name="Text Box 7"/>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5" name="Text Box 8"/>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6" name="Text Box 9"/>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20784</xdr:rowOff>
    </xdr:to>
    <xdr:sp macro="" textlink="">
      <xdr:nvSpPr>
        <xdr:cNvPr id="37" name="Text Box 10"/>
        <xdr:cNvSpPr txBox="1">
          <a:spLocks noChangeArrowheads="1"/>
        </xdr:cNvSpPr>
      </xdr:nvSpPr>
      <xdr:spPr bwMode="auto">
        <a:xfrm>
          <a:off x="1457325" y="19002375"/>
          <a:ext cx="8572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38"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39"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40"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41"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42"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43"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4" name="Text Box 5"/>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5" name="Text Box 6"/>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6" name="Text Box 7"/>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7" name="Text Box 8"/>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8" name="Text Box 9"/>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49" name="Text Box 10"/>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0" name="Text Box 5"/>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1" name="Text Box 6"/>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2" name="Text Box 7"/>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3" name="Text Box 8"/>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4" name="Text Box 9"/>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566319</xdr:rowOff>
    </xdr:to>
    <xdr:sp macro="" textlink="">
      <xdr:nvSpPr>
        <xdr:cNvPr id="55" name="Text Box 10"/>
        <xdr:cNvSpPr txBox="1">
          <a:spLocks noChangeArrowheads="1"/>
        </xdr:cNvSpPr>
      </xdr:nvSpPr>
      <xdr:spPr bwMode="auto">
        <a:xfrm>
          <a:off x="1457325" y="19002375"/>
          <a:ext cx="857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56"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57"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58"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59"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0"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1"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2"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3"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4"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5"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6"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7"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8"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69"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0"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1"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2"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3"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4"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5"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6"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7"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8"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79"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0"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1"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2"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3"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4"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5"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6"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7"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8"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89"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0"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1"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2"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3"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4"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5"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6"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7"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8"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99"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0"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1"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2"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3"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4"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5"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6"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7"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8"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09"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0"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1"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2"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3"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4"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5"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6"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7"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8"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19"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0"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1"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2"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3"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4"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5"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6"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7"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8"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29"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0"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1"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2"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3"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4"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5"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6"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7"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8"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39"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0"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1"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2"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3"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4"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5"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6"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7"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8"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49"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50"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51"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2" name="Text Box 5"/>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3" name="Text Box 6"/>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4" name="Text Box 7"/>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5" name="Text Box 8"/>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6" name="Text Box 9"/>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7" name="Text Box 10"/>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8" name="Text Box 5"/>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59" name="Text Box 6"/>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60" name="Text Box 7"/>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61" name="Text Box 8"/>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62" name="Text Box 9"/>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652</xdr:row>
      <xdr:rowOff>490119</xdr:rowOff>
    </xdr:to>
    <xdr:sp macro="" textlink="">
      <xdr:nvSpPr>
        <xdr:cNvPr id="163" name="Text Box 10"/>
        <xdr:cNvSpPr txBox="1">
          <a:spLocks noChangeArrowheads="1"/>
        </xdr:cNvSpPr>
      </xdr:nvSpPr>
      <xdr:spPr bwMode="auto">
        <a:xfrm>
          <a:off x="1457325" y="19002375"/>
          <a:ext cx="857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4"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5"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6"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7"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8"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69"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0"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1"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2"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3"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4"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5"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6"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7"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8"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79"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0"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1"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2"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3"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4"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5"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6"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7"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8"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89"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0"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1"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2"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3"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4" name="Text Box 5"/>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5" name="Text Box 6"/>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6" name="Text Box 7"/>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7" name="Text Box 8"/>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8" name="Text Box 9"/>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642</xdr:row>
      <xdr:rowOff>16873</xdr:rowOff>
    </xdr:to>
    <xdr:sp macro="" textlink="">
      <xdr:nvSpPr>
        <xdr:cNvPr id="199" name="Text Box 10"/>
        <xdr:cNvSpPr txBox="1">
          <a:spLocks noChangeArrowheads="1"/>
        </xdr:cNvSpPr>
      </xdr:nvSpPr>
      <xdr:spPr bwMode="auto">
        <a:xfrm>
          <a:off x="1457325" y="19002375"/>
          <a:ext cx="85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0"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1"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2"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3"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4"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5"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6"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7"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8"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09"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0"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1"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2"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3"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4"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5"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6"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7"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8"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19"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0"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1"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2"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3"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4"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5"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6"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7"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8"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29"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0"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1"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2"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3"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4"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5"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6"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7"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8"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39"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0"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1"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2"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3"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4"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5"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6"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7"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8"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49"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0"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1"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2"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3"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4"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5"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6"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7"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8"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59"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0"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1"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2"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3"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4"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5"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6"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7"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8"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69"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0"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1"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2"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3"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4"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5"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6"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7"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8"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79"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0"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1"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2"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3"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4"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5"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6"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7"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8"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89"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0"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1"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2"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3"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4"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5"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6"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7"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8"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299"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0"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1"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2"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3"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4"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5"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6"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7"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8"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09"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0"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1"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2"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3"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4"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5"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6"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7"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8"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19"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0"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1"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2"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3"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4"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5"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6"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7"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8"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29"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0"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1"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2" name="Text Box 5"/>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3" name="Text Box 6"/>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4" name="Text Box 7"/>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5" name="Text Box 8"/>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6" name="Text Box 9"/>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653</xdr:row>
      <xdr:rowOff>91381</xdr:rowOff>
    </xdr:to>
    <xdr:sp macro="" textlink="">
      <xdr:nvSpPr>
        <xdr:cNvPr id="337" name="Text Box 10"/>
        <xdr:cNvSpPr txBox="1">
          <a:spLocks noChangeArrowheads="1"/>
        </xdr:cNvSpPr>
      </xdr:nvSpPr>
      <xdr:spPr bwMode="auto">
        <a:xfrm>
          <a:off x="1457325" y="19002375"/>
          <a:ext cx="85725" cy="197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38" name="Text Box 5"/>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39" name="Text Box 6"/>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40" name="Text Box 7"/>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41" name="Text Box 8"/>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42" name="Text Box 9"/>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43" name="Text Box 10"/>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4" name="Text Box 5"/>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5" name="Text Box 6"/>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6" name="Text Box 7"/>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7" name="Text Box 8"/>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8" name="Text Box 9"/>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436333</xdr:rowOff>
    </xdr:to>
    <xdr:sp macro="" textlink="">
      <xdr:nvSpPr>
        <xdr:cNvPr id="349" name="Text Box 10"/>
        <xdr:cNvSpPr txBox="1">
          <a:spLocks noChangeArrowheads="1"/>
        </xdr:cNvSpPr>
      </xdr:nvSpPr>
      <xdr:spPr bwMode="auto">
        <a:xfrm>
          <a:off x="1457325" y="19907250"/>
          <a:ext cx="857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0" name="Text Box 5"/>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1" name="Text Box 6"/>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2" name="Text Box 7"/>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3" name="Text Box 8"/>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4" name="Text Box 9"/>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5" name="Text Box 10"/>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6" name="Text Box 5"/>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7" name="Text Box 6"/>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8" name="Text Box 7"/>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59" name="Text Box 8"/>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60" name="Text Box 9"/>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398233</xdr:rowOff>
    </xdr:to>
    <xdr:sp macro="" textlink="">
      <xdr:nvSpPr>
        <xdr:cNvPr id="361" name="Text Box 10"/>
        <xdr:cNvSpPr txBox="1">
          <a:spLocks noChangeArrowheads="1"/>
        </xdr:cNvSpPr>
      </xdr:nvSpPr>
      <xdr:spPr bwMode="auto">
        <a:xfrm>
          <a:off x="1457325" y="19907250"/>
          <a:ext cx="857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2" name="Text Box 5"/>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3" name="Text Box 6"/>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4" name="Text Box 7"/>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5" name="Text Box 8"/>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6" name="Text Box 9"/>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7" name="Text Box 10"/>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8" name="Text Box 5"/>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69" name="Text Box 6"/>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70" name="Text Box 7"/>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71" name="Text Box 8"/>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72" name="Text Box 9"/>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332</xdr:row>
      <xdr:rowOff>0</xdr:rowOff>
    </xdr:from>
    <xdr:to>
      <xdr:col>2</xdr:col>
      <xdr:colOff>1057275</xdr:colOff>
      <xdr:row>462</xdr:row>
      <xdr:rowOff>379183</xdr:rowOff>
    </xdr:to>
    <xdr:sp macro="" textlink="">
      <xdr:nvSpPr>
        <xdr:cNvPr id="373" name="Text Box 10"/>
        <xdr:cNvSpPr txBox="1">
          <a:spLocks noChangeArrowheads="1"/>
        </xdr:cNvSpPr>
      </xdr:nvSpPr>
      <xdr:spPr bwMode="auto">
        <a:xfrm>
          <a:off x="1457325" y="19907250"/>
          <a:ext cx="85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4"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5"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6"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7"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8"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79"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0"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1"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2"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3"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4" name="Text Box 10"/>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5"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6"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7"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8"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89"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0" name="Text Box 10"/>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1"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2"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3"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4"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5"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6"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7"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8"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399"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0"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1"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2"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3"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4"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5"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6" name="Text Box 5"/>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7" name="Text Box 6"/>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8" name="Text Box 7"/>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09" name="Text Box 8"/>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10" name="Text Box 9"/>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677</xdr:row>
      <xdr:rowOff>96730</xdr:rowOff>
    </xdr:to>
    <xdr:sp macro="" textlink="">
      <xdr:nvSpPr>
        <xdr:cNvPr id="411" name="Text Box 10"/>
        <xdr:cNvSpPr txBox="1">
          <a:spLocks noChangeArrowheads="1"/>
        </xdr:cNvSpPr>
      </xdr:nvSpPr>
      <xdr:spPr bwMode="auto">
        <a:xfrm>
          <a:off x="1457325" y="17821275"/>
          <a:ext cx="85725"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415112</xdr:rowOff>
    </xdr:to>
    <xdr:sp macro="" textlink="">
      <xdr:nvSpPr>
        <xdr:cNvPr id="412" name="Text Box 5"/>
        <xdr:cNvSpPr txBox="1">
          <a:spLocks noChangeArrowheads="1"/>
        </xdr:cNvSpPr>
      </xdr:nvSpPr>
      <xdr:spPr bwMode="auto">
        <a:xfrm>
          <a:off x="1457325" y="17821275"/>
          <a:ext cx="857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415112</xdr:rowOff>
    </xdr:to>
    <xdr:sp macro="" textlink="">
      <xdr:nvSpPr>
        <xdr:cNvPr id="413" name="Text Box 6"/>
        <xdr:cNvSpPr txBox="1">
          <a:spLocks noChangeArrowheads="1"/>
        </xdr:cNvSpPr>
      </xdr:nvSpPr>
      <xdr:spPr bwMode="auto">
        <a:xfrm>
          <a:off x="1457325" y="17821275"/>
          <a:ext cx="857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415112</xdr:rowOff>
    </xdr:to>
    <xdr:sp macro="" textlink="">
      <xdr:nvSpPr>
        <xdr:cNvPr id="414" name="Text Box 7"/>
        <xdr:cNvSpPr txBox="1">
          <a:spLocks noChangeArrowheads="1"/>
        </xdr:cNvSpPr>
      </xdr:nvSpPr>
      <xdr:spPr bwMode="auto">
        <a:xfrm>
          <a:off x="1457325" y="17821275"/>
          <a:ext cx="857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415112</xdr:rowOff>
    </xdr:to>
    <xdr:sp macro="" textlink="">
      <xdr:nvSpPr>
        <xdr:cNvPr id="415" name="Text Box 8"/>
        <xdr:cNvSpPr txBox="1">
          <a:spLocks noChangeArrowheads="1"/>
        </xdr:cNvSpPr>
      </xdr:nvSpPr>
      <xdr:spPr bwMode="auto">
        <a:xfrm>
          <a:off x="1457325" y="17821275"/>
          <a:ext cx="857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415112</xdr:rowOff>
    </xdr:to>
    <xdr:sp macro="" textlink="">
      <xdr:nvSpPr>
        <xdr:cNvPr id="416" name="Text Box 9"/>
        <xdr:cNvSpPr txBox="1">
          <a:spLocks noChangeArrowheads="1"/>
        </xdr:cNvSpPr>
      </xdr:nvSpPr>
      <xdr:spPr bwMode="auto">
        <a:xfrm>
          <a:off x="1457325" y="17821275"/>
          <a:ext cx="857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17" name="Text Box 5"/>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18" name="Text Box 6"/>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19" name="Text Box 7"/>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20" name="Text Box 8"/>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21" name="Text Box 9"/>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559749</xdr:rowOff>
    </xdr:to>
    <xdr:sp macro="" textlink="">
      <xdr:nvSpPr>
        <xdr:cNvPr id="422" name="Text Box 10"/>
        <xdr:cNvSpPr txBox="1">
          <a:spLocks noChangeArrowheads="1"/>
        </xdr:cNvSpPr>
      </xdr:nvSpPr>
      <xdr:spPr bwMode="auto">
        <a:xfrm>
          <a:off x="1457325" y="17821275"/>
          <a:ext cx="8572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23" name="Text Box 5"/>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24" name="Text Box 6"/>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25" name="Text Box 7"/>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26" name="Text Box 8"/>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27" name="Text Box 9"/>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28" name="Text Box 5"/>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29" name="Text Box 6"/>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30" name="Text Box 7"/>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31" name="Text Box 8"/>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32" name="Text Box 9"/>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33" name="Text Box 10"/>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563058</xdr:rowOff>
    </xdr:to>
    <xdr:sp macro="" textlink="">
      <xdr:nvSpPr>
        <xdr:cNvPr id="434" name="Text Box 5"/>
        <xdr:cNvSpPr txBox="1">
          <a:spLocks noChangeArrowheads="1"/>
        </xdr:cNvSpPr>
      </xdr:nvSpPr>
      <xdr:spPr bwMode="auto">
        <a:xfrm>
          <a:off x="1457325" y="17821275"/>
          <a:ext cx="857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563058</xdr:rowOff>
    </xdr:to>
    <xdr:sp macro="" textlink="">
      <xdr:nvSpPr>
        <xdr:cNvPr id="435" name="Text Box 6"/>
        <xdr:cNvSpPr txBox="1">
          <a:spLocks noChangeArrowheads="1"/>
        </xdr:cNvSpPr>
      </xdr:nvSpPr>
      <xdr:spPr bwMode="auto">
        <a:xfrm>
          <a:off x="1457325" y="17821275"/>
          <a:ext cx="857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563058</xdr:rowOff>
    </xdr:to>
    <xdr:sp macro="" textlink="">
      <xdr:nvSpPr>
        <xdr:cNvPr id="436" name="Text Box 7"/>
        <xdr:cNvSpPr txBox="1">
          <a:spLocks noChangeArrowheads="1"/>
        </xdr:cNvSpPr>
      </xdr:nvSpPr>
      <xdr:spPr bwMode="auto">
        <a:xfrm>
          <a:off x="1457325" y="17821275"/>
          <a:ext cx="857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563058</xdr:rowOff>
    </xdr:to>
    <xdr:sp macro="" textlink="">
      <xdr:nvSpPr>
        <xdr:cNvPr id="437" name="Text Box 8"/>
        <xdr:cNvSpPr txBox="1">
          <a:spLocks noChangeArrowheads="1"/>
        </xdr:cNvSpPr>
      </xdr:nvSpPr>
      <xdr:spPr bwMode="auto">
        <a:xfrm>
          <a:off x="1457325" y="17821275"/>
          <a:ext cx="857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563058</xdr:rowOff>
    </xdr:to>
    <xdr:sp macro="" textlink="">
      <xdr:nvSpPr>
        <xdr:cNvPr id="438" name="Text Box 9"/>
        <xdr:cNvSpPr txBox="1">
          <a:spLocks noChangeArrowheads="1"/>
        </xdr:cNvSpPr>
      </xdr:nvSpPr>
      <xdr:spPr bwMode="auto">
        <a:xfrm>
          <a:off x="1457325" y="17821275"/>
          <a:ext cx="857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39" name="Text Box 5"/>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40" name="Text Box 6"/>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41" name="Text Box 7"/>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42" name="Text Box 8"/>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43" name="Text Box 9"/>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626424</xdr:rowOff>
    </xdr:to>
    <xdr:sp macro="" textlink="">
      <xdr:nvSpPr>
        <xdr:cNvPr id="444" name="Text Box 10"/>
        <xdr:cNvSpPr txBox="1">
          <a:spLocks noChangeArrowheads="1"/>
        </xdr:cNvSpPr>
      </xdr:nvSpPr>
      <xdr:spPr bwMode="auto">
        <a:xfrm>
          <a:off x="1457325" y="17821275"/>
          <a:ext cx="85725"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45" name="Text Box 5"/>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46" name="Text Box 6"/>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47" name="Text Box 7"/>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48" name="Text Box 8"/>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49" name="Text Box 9"/>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0" name="Text Box 5"/>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1" name="Text Box 6"/>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2" name="Text Box 7"/>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3" name="Text Box 8"/>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4" name="Text Box 9"/>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55" name="Text Box 10"/>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56" name="Text Box 5"/>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57" name="Text Box 6"/>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58" name="Text Box 7"/>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59" name="Text Box 8"/>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60" name="Text Box 9"/>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1" name="Text Box 5"/>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2" name="Text Box 6"/>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3" name="Text Box 7"/>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4" name="Text Box 8"/>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5" name="Text Box 9"/>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6" name="Text Box 10"/>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7" name="Text Box 5"/>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8" name="Text Box 6"/>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69" name="Text Box 7"/>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0" name="Text Box 8"/>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1" name="Text Box 9"/>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2" name="Text Box 5"/>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3" name="Text Box 6"/>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4" name="Text Box 7"/>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5" name="Text Box 8"/>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76" name="Text Box 9"/>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77" name="Text Box 5"/>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78" name="Text Box 6"/>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79" name="Text Box 7"/>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80" name="Text Box 8"/>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149722</xdr:rowOff>
    </xdr:to>
    <xdr:sp macro="" textlink="">
      <xdr:nvSpPr>
        <xdr:cNvPr id="481" name="Text Box 9"/>
        <xdr:cNvSpPr txBox="1">
          <a:spLocks noChangeArrowheads="1"/>
        </xdr:cNvSpPr>
      </xdr:nvSpPr>
      <xdr:spPr bwMode="auto">
        <a:xfrm>
          <a:off x="1457325" y="17821275"/>
          <a:ext cx="85725"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82" name="Text Box 5"/>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83" name="Text Box 6"/>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84" name="Text Box 7"/>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85" name="Text Box 8"/>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678</xdr:row>
      <xdr:rowOff>159247</xdr:rowOff>
    </xdr:to>
    <xdr:sp macro="" textlink="">
      <xdr:nvSpPr>
        <xdr:cNvPr id="486" name="Text Box 9"/>
        <xdr:cNvSpPr txBox="1">
          <a:spLocks noChangeArrowheads="1"/>
        </xdr:cNvSpPr>
      </xdr:nvSpPr>
      <xdr:spPr bwMode="auto">
        <a:xfrm>
          <a:off x="1457325" y="17821275"/>
          <a:ext cx="8572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88" name="Text Box 5"/>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89" name="Text Box 6"/>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90" name="Text Box 7"/>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91" name="Text Box 8"/>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92" name="Text Box 9"/>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572583</xdr:rowOff>
    </xdr:to>
    <xdr:sp macro="" textlink="">
      <xdr:nvSpPr>
        <xdr:cNvPr id="493" name="Text Box 5"/>
        <xdr:cNvSpPr txBox="1">
          <a:spLocks noChangeArrowheads="1"/>
        </xdr:cNvSpPr>
      </xdr:nvSpPr>
      <xdr:spPr bwMode="auto">
        <a:xfrm>
          <a:off x="1457325" y="17821275"/>
          <a:ext cx="857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572583</xdr:rowOff>
    </xdr:to>
    <xdr:sp macro="" textlink="">
      <xdr:nvSpPr>
        <xdr:cNvPr id="494" name="Text Box 6"/>
        <xdr:cNvSpPr txBox="1">
          <a:spLocks noChangeArrowheads="1"/>
        </xdr:cNvSpPr>
      </xdr:nvSpPr>
      <xdr:spPr bwMode="auto">
        <a:xfrm>
          <a:off x="1457325" y="17821275"/>
          <a:ext cx="857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572583</xdr:rowOff>
    </xdr:to>
    <xdr:sp macro="" textlink="">
      <xdr:nvSpPr>
        <xdr:cNvPr id="495" name="Text Box 7"/>
        <xdr:cNvSpPr txBox="1">
          <a:spLocks noChangeArrowheads="1"/>
        </xdr:cNvSpPr>
      </xdr:nvSpPr>
      <xdr:spPr bwMode="auto">
        <a:xfrm>
          <a:off x="1457325" y="17821275"/>
          <a:ext cx="857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572583</xdr:rowOff>
    </xdr:to>
    <xdr:sp macro="" textlink="">
      <xdr:nvSpPr>
        <xdr:cNvPr id="496" name="Text Box 8"/>
        <xdr:cNvSpPr txBox="1">
          <a:spLocks noChangeArrowheads="1"/>
        </xdr:cNvSpPr>
      </xdr:nvSpPr>
      <xdr:spPr bwMode="auto">
        <a:xfrm>
          <a:off x="1457325" y="17821275"/>
          <a:ext cx="857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653</xdr:row>
      <xdr:rowOff>572583</xdr:rowOff>
    </xdr:to>
    <xdr:sp macro="" textlink="">
      <xdr:nvSpPr>
        <xdr:cNvPr id="497" name="Text Box 9"/>
        <xdr:cNvSpPr txBox="1">
          <a:spLocks noChangeArrowheads="1"/>
        </xdr:cNvSpPr>
      </xdr:nvSpPr>
      <xdr:spPr bwMode="auto">
        <a:xfrm>
          <a:off x="1457325" y="17821275"/>
          <a:ext cx="85725"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98" name="Text Box 5"/>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499" name="Text Box 6"/>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0" name="Text Box 7"/>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1" name="Text Box 8"/>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2" name="Text Box 9"/>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3" name="Text Box 5"/>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4" name="Text Box 6"/>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5" name="Text Box 7"/>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6" name="Text Box 8"/>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330</xdr:row>
      <xdr:rowOff>0</xdr:rowOff>
    </xdr:from>
    <xdr:to>
      <xdr:col>2</xdr:col>
      <xdr:colOff>1057275</xdr:colOff>
      <xdr:row>676</xdr:row>
      <xdr:rowOff>502599</xdr:rowOff>
    </xdr:to>
    <xdr:sp macro="" textlink="">
      <xdr:nvSpPr>
        <xdr:cNvPr id="507" name="Text Box 9"/>
        <xdr:cNvSpPr txBox="1">
          <a:spLocks noChangeArrowheads="1"/>
        </xdr:cNvSpPr>
      </xdr:nvSpPr>
      <xdr:spPr bwMode="auto">
        <a:xfrm>
          <a:off x="1457325" y="17821275"/>
          <a:ext cx="85725"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332</xdr:row>
      <xdr:rowOff>0</xdr:rowOff>
    </xdr:from>
    <xdr:to>
      <xdr:col>25</xdr:col>
      <xdr:colOff>76200</xdr:colOff>
      <xdr:row>414</xdr:row>
      <xdr:rowOff>295275</xdr:rowOff>
    </xdr:to>
    <xdr:sp macro="" textlink="">
      <xdr:nvSpPr>
        <xdr:cNvPr id="508" name="Text Box 4"/>
        <xdr:cNvSpPr txBox="1">
          <a:spLocks noChangeArrowheads="1"/>
        </xdr:cNvSpPr>
      </xdr:nvSpPr>
      <xdr:spPr bwMode="auto">
        <a:xfrm>
          <a:off x="9163050" y="13811250"/>
          <a:ext cx="76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332</xdr:row>
      <xdr:rowOff>0</xdr:rowOff>
    </xdr:from>
    <xdr:to>
      <xdr:col>25</xdr:col>
      <xdr:colOff>76200</xdr:colOff>
      <xdr:row>414</xdr:row>
      <xdr:rowOff>290793</xdr:rowOff>
    </xdr:to>
    <xdr:sp macro="" textlink="">
      <xdr:nvSpPr>
        <xdr:cNvPr id="509" name="Text Box 4"/>
        <xdr:cNvSpPr txBox="1">
          <a:spLocks noChangeArrowheads="1"/>
        </xdr:cNvSpPr>
      </xdr:nvSpPr>
      <xdr:spPr bwMode="auto">
        <a:xfrm>
          <a:off x="9163050" y="14268450"/>
          <a:ext cx="76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332</xdr:row>
      <xdr:rowOff>0</xdr:rowOff>
    </xdr:from>
    <xdr:to>
      <xdr:col>25</xdr:col>
      <xdr:colOff>76200</xdr:colOff>
      <xdr:row>446</xdr:row>
      <xdr:rowOff>22650</xdr:rowOff>
    </xdr:to>
    <xdr:sp macro="" textlink="">
      <xdr:nvSpPr>
        <xdr:cNvPr id="510" name="Text Box 4"/>
        <xdr:cNvSpPr txBox="1">
          <a:spLocks noChangeArrowheads="1"/>
        </xdr:cNvSpPr>
      </xdr:nvSpPr>
      <xdr:spPr bwMode="auto">
        <a:xfrm>
          <a:off x="9163050" y="13811250"/>
          <a:ext cx="762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332</xdr:row>
      <xdr:rowOff>0</xdr:rowOff>
    </xdr:from>
    <xdr:to>
      <xdr:col>25</xdr:col>
      <xdr:colOff>76200</xdr:colOff>
      <xdr:row>446</xdr:row>
      <xdr:rowOff>3600</xdr:rowOff>
    </xdr:to>
    <xdr:sp macro="" textlink="">
      <xdr:nvSpPr>
        <xdr:cNvPr id="511" name="Text Box 4"/>
        <xdr:cNvSpPr txBox="1">
          <a:spLocks noChangeArrowheads="1"/>
        </xdr:cNvSpPr>
      </xdr:nvSpPr>
      <xdr:spPr bwMode="auto">
        <a:xfrm>
          <a:off x="9163050" y="13811250"/>
          <a:ext cx="76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332</xdr:row>
      <xdr:rowOff>0</xdr:rowOff>
    </xdr:from>
    <xdr:to>
      <xdr:col>25</xdr:col>
      <xdr:colOff>76200</xdr:colOff>
      <xdr:row>414</xdr:row>
      <xdr:rowOff>295275</xdr:rowOff>
    </xdr:to>
    <xdr:sp macro="" textlink="">
      <xdr:nvSpPr>
        <xdr:cNvPr id="512" name="Text Box 4"/>
        <xdr:cNvSpPr txBox="1">
          <a:spLocks noChangeArrowheads="1"/>
        </xdr:cNvSpPr>
      </xdr:nvSpPr>
      <xdr:spPr bwMode="auto">
        <a:xfrm>
          <a:off x="9163050" y="13811250"/>
          <a:ext cx="76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332</xdr:row>
      <xdr:rowOff>0</xdr:rowOff>
    </xdr:from>
    <xdr:to>
      <xdr:col>25</xdr:col>
      <xdr:colOff>76200</xdr:colOff>
      <xdr:row>414</xdr:row>
      <xdr:rowOff>290793</xdr:rowOff>
    </xdr:to>
    <xdr:sp macro="" textlink="">
      <xdr:nvSpPr>
        <xdr:cNvPr id="513" name="Text Box 4"/>
        <xdr:cNvSpPr txBox="1">
          <a:spLocks noChangeArrowheads="1"/>
        </xdr:cNvSpPr>
      </xdr:nvSpPr>
      <xdr:spPr bwMode="auto">
        <a:xfrm>
          <a:off x="9163050" y="14268450"/>
          <a:ext cx="76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332</xdr:row>
      <xdr:rowOff>0</xdr:rowOff>
    </xdr:from>
    <xdr:to>
      <xdr:col>25</xdr:col>
      <xdr:colOff>76200</xdr:colOff>
      <xdr:row>446</xdr:row>
      <xdr:rowOff>22650</xdr:rowOff>
    </xdr:to>
    <xdr:sp macro="" textlink="">
      <xdr:nvSpPr>
        <xdr:cNvPr id="514" name="Text Box 4"/>
        <xdr:cNvSpPr txBox="1">
          <a:spLocks noChangeArrowheads="1"/>
        </xdr:cNvSpPr>
      </xdr:nvSpPr>
      <xdr:spPr bwMode="auto">
        <a:xfrm>
          <a:off x="9163050" y="13811250"/>
          <a:ext cx="762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332</xdr:row>
      <xdr:rowOff>0</xdr:rowOff>
    </xdr:from>
    <xdr:to>
      <xdr:col>25</xdr:col>
      <xdr:colOff>76200</xdr:colOff>
      <xdr:row>446</xdr:row>
      <xdr:rowOff>3600</xdr:rowOff>
    </xdr:to>
    <xdr:sp macro="" textlink="">
      <xdr:nvSpPr>
        <xdr:cNvPr id="515" name="Text Box 4"/>
        <xdr:cNvSpPr txBox="1">
          <a:spLocks noChangeArrowheads="1"/>
        </xdr:cNvSpPr>
      </xdr:nvSpPr>
      <xdr:spPr bwMode="auto">
        <a:xfrm>
          <a:off x="9163050" y="13811250"/>
          <a:ext cx="76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332</xdr:row>
      <xdr:rowOff>0</xdr:rowOff>
    </xdr:from>
    <xdr:to>
      <xdr:col>25</xdr:col>
      <xdr:colOff>76200</xdr:colOff>
      <xdr:row>414</xdr:row>
      <xdr:rowOff>295275</xdr:rowOff>
    </xdr:to>
    <xdr:sp macro="" textlink="">
      <xdr:nvSpPr>
        <xdr:cNvPr id="516" name="Text Box 4"/>
        <xdr:cNvSpPr txBox="1">
          <a:spLocks noChangeArrowheads="1"/>
        </xdr:cNvSpPr>
      </xdr:nvSpPr>
      <xdr:spPr bwMode="auto">
        <a:xfrm>
          <a:off x="9163050" y="13811250"/>
          <a:ext cx="76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332</xdr:row>
      <xdr:rowOff>0</xdr:rowOff>
    </xdr:from>
    <xdr:to>
      <xdr:col>25</xdr:col>
      <xdr:colOff>76200</xdr:colOff>
      <xdr:row>414</xdr:row>
      <xdr:rowOff>290793</xdr:rowOff>
    </xdr:to>
    <xdr:sp macro="" textlink="">
      <xdr:nvSpPr>
        <xdr:cNvPr id="517" name="Text Box 4"/>
        <xdr:cNvSpPr txBox="1">
          <a:spLocks noChangeArrowheads="1"/>
        </xdr:cNvSpPr>
      </xdr:nvSpPr>
      <xdr:spPr bwMode="auto">
        <a:xfrm>
          <a:off x="9163050" y="14268450"/>
          <a:ext cx="762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332</xdr:row>
      <xdr:rowOff>0</xdr:rowOff>
    </xdr:from>
    <xdr:to>
      <xdr:col>25</xdr:col>
      <xdr:colOff>76200</xdr:colOff>
      <xdr:row>446</xdr:row>
      <xdr:rowOff>22650</xdr:rowOff>
    </xdr:to>
    <xdr:sp macro="" textlink="">
      <xdr:nvSpPr>
        <xdr:cNvPr id="518" name="Text Box 4"/>
        <xdr:cNvSpPr txBox="1">
          <a:spLocks noChangeArrowheads="1"/>
        </xdr:cNvSpPr>
      </xdr:nvSpPr>
      <xdr:spPr bwMode="auto">
        <a:xfrm>
          <a:off x="9163050" y="13811250"/>
          <a:ext cx="762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332</xdr:row>
      <xdr:rowOff>0</xdr:rowOff>
    </xdr:from>
    <xdr:to>
      <xdr:col>25</xdr:col>
      <xdr:colOff>76200</xdr:colOff>
      <xdr:row>446</xdr:row>
      <xdr:rowOff>3600</xdr:rowOff>
    </xdr:to>
    <xdr:sp macro="" textlink="">
      <xdr:nvSpPr>
        <xdr:cNvPr id="519" name="Text Box 4"/>
        <xdr:cNvSpPr txBox="1">
          <a:spLocks noChangeArrowheads="1"/>
        </xdr:cNvSpPr>
      </xdr:nvSpPr>
      <xdr:spPr bwMode="auto">
        <a:xfrm>
          <a:off x="9163050" y="13811250"/>
          <a:ext cx="76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1819275</xdr:colOff>
      <xdr:row>173</xdr:row>
      <xdr:rowOff>0</xdr:rowOff>
    </xdr:from>
    <xdr:to>
      <xdr:col>3</xdr:col>
      <xdr:colOff>47625</xdr:colOff>
      <xdr:row>223</xdr:row>
      <xdr:rowOff>104775</xdr:rowOff>
    </xdr:to>
    <xdr:sp macro="" textlink="">
      <xdr:nvSpPr>
        <xdr:cNvPr id="520" name="Text Box 125"/>
        <xdr:cNvSpPr txBox="1">
          <a:spLocks noChangeArrowheads="1"/>
        </xdr:cNvSpPr>
      </xdr:nvSpPr>
      <xdr:spPr bwMode="auto">
        <a:xfrm>
          <a:off x="2257425" y="6934200"/>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1" name="Text Box 126"/>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2" name="Text Box 127"/>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3" name="Text Box 128"/>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4" name="Text Box 129"/>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1819275</xdr:colOff>
      <xdr:row>173</xdr:row>
      <xdr:rowOff>0</xdr:rowOff>
    </xdr:from>
    <xdr:to>
      <xdr:col>3</xdr:col>
      <xdr:colOff>47625</xdr:colOff>
      <xdr:row>223</xdr:row>
      <xdr:rowOff>104775</xdr:rowOff>
    </xdr:to>
    <xdr:sp macro="" textlink="">
      <xdr:nvSpPr>
        <xdr:cNvPr id="525" name="Text Box 125"/>
        <xdr:cNvSpPr txBox="1">
          <a:spLocks noChangeArrowheads="1"/>
        </xdr:cNvSpPr>
      </xdr:nvSpPr>
      <xdr:spPr bwMode="auto">
        <a:xfrm>
          <a:off x="2257425" y="6934200"/>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6" name="Text Box 126"/>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7" name="Text Box 127"/>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8" name="Text Box 128"/>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971550</xdr:colOff>
      <xdr:row>173</xdr:row>
      <xdr:rowOff>0</xdr:rowOff>
    </xdr:from>
    <xdr:to>
      <xdr:col>2</xdr:col>
      <xdr:colOff>1381125</xdr:colOff>
      <xdr:row>223</xdr:row>
      <xdr:rowOff>104775</xdr:rowOff>
    </xdr:to>
    <xdr:sp macro="" textlink="">
      <xdr:nvSpPr>
        <xdr:cNvPr id="529" name="Text Box 129"/>
        <xdr:cNvSpPr txBox="1">
          <a:spLocks noChangeArrowheads="1"/>
        </xdr:cNvSpPr>
      </xdr:nvSpPr>
      <xdr:spPr bwMode="auto">
        <a:xfrm>
          <a:off x="1409700" y="6657975"/>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1819275</xdr:colOff>
      <xdr:row>173</xdr:row>
      <xdr:rowOff>0</xdr:rowOff>
    </xdr:from>
    <xdr:to>
      <xdr:col>3</xdr:col>
      <xdr:colOff>47625</xdr:colOff>
      <xdr:row>223</xdr:row>
      <xdr:rowOff>104775</xdr:rowOff>
    </xdr:to>
    <xdr:sp macro="" textlink="">
      <xdr:nvSpPr>
        <xdr:cNvPr id="530" name="Text Box 125"/>
        <xdr:cNvSpPr txBox="1">
          <a:spLocks noChangeArrowheads="1"/>
        </xdr:cNvSpPr>
      </xdr:nvSpPr>
      <xdr:spPr bwMode="auto">
        <a:xfrm>
          <a:off x="2257425" y="6934200"/>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1819275</xdr:colOff>
      <xdr:row>173</xdr:row>
      <xdr:rowOff>0</xdr:rowOff>
    </xdr:from>
    <xdr:to>
      <xdr:col>3</xdr:col>
      <xdr:colOff>47625</xdr:colOff>
      <xdr:row>223</xdr:row>
      <xdr:rowOff>104775</xdr:rowOff>
    </xdr:to>
    <xdr:sp macro="" textlink="">
      <xdr:nvSpPr>
        <xdr:cNvPr id="531" name="Text Box 125"/>
        <xdr:cNvSpPr txBox="1">
          <a:spLocks noChangeArrowheads="1"/>
        </xdr:cNvSpPr>
      </xdr:nvSpPr>
      <xdr:spPr bwMode="auto">
        <a:xfrm>
          <a:off x="2257425" y="6934200"/>
          <a:ext cx="4095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695841</xdr:colOff>
      <xdr:row>7</xdr:row>
      <xdr:rowOff>115736</xdr:rowOff>
    </xdr:from>
    <xdr:to>
      <xdr:col>8</xdr:col>
      <xdr:colOff>756780</xdr:colOff>
      <xdr:row>7</xdr:row>
      <xdr:rowOff>115736</xdr:rowOff>
    </xdr:to>
    <xdr:sp macro="" textlink="">
      <xdr:nvSpPr>
        <xdr:cNvPr id="533" name="Line 7"/>
        <xdr:cNvSpPr>
          <a:spLocks noChangeShapeType="1"/>
        </xdr:cNvSpPr>
      </xdr:nvSpPr>
      <xdr:spPr bwMode="auto">
        <a:xfrm flipV="1">
          <a:off x="6763136" y="1616250"/>
          <a:ext cx="2801007"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Y\Downloads\KH%20TRUNG%20HAN%202016-2020%20(&#272;C)%2015.3.2018%20-%20N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20XDCB\KH%202016-2020%20(VON%20TINH)\DIEU%20CHINH%20T3-2018\TRINH%20DC%20KH%20TRUNG%20HAN%20-%20STP\KH%20TRUNG%20HAN%202016-2020%20(&#272;C)%2015.3.2018%20-%20N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ON"/>
      <sheetName val="Sheet3"/>
      <sheetName val="Sheet1"/>
      <sheetName val="TH VON (ub)"/>
      <sheetName val="DC TONG THE"/>
      <sheetName val="HTCK-TONG THE"/>
      <sheetName val="da thieu von"/>
      <sheetName val="da loai"/>
      <sheetName val="TH VON -DC"/>
      <sheetName val="TH VON - NQDC"/>
      <sheetName val="DC TINH-IN"/>
      <sheetName val="HTMT-DC TONG THE"/>
      <sheetName val="DC HTMT-IN"/>
      <sheetName val="HTCK-DC"/>
      <sheetName val="DA giam toan bo"/>
      <sheetName val="DA giam 1 phan"/>
      <sheetName val="DA bs 1 phan"/>
      <sheetName val="DA bs moi"/>
      <sheetName val="ĐC-ANQP"/>
      <sheetName val="ĐC-HTMTGD"/>
    </sheetNames>
    <sheetDataSet>
      <sheetData sheetId="0"/>
      <sheetData sheetId="1"/>
      <sheetData sheetId="2"/>
      <sheetData sheetId="3">
        <row r="12">
          <cell r="D12">
            <v>145000</v>
          </cell>
        </row>
        <row r="14">
          <cell r="D14">
            <v>1290000</v>
          </cell>
        </row>
        <row r="15">
          <cell r="D15">
            <v>360000</v>
          </cell>
        </row>
        <row r="16">
          <cell r="D16">
            <v>510000</v>
          </cell>
        </row>
        <row r="17">
          <cell r="D17">
            <v>267500</v>
          </cell>
        </row>
        <row r="18">
          <cell r="D18">
            <v>220000</v>
          </cell>
        </row>
        <row r="19">
          <cell r="D19">
            <v>150000</v>
          </cell>
        </row>
        <row r="20">
          <cell r="D20">
            <v>290000</v>
          </cell>
        </row>
        <row r="21">
          <cell r="D21">
            <v>259000</v>
          </cell>
        </row>
        <row r="22">
          <cell r="D22">
            <v>274000</v>
          </cell>
        </row>
        <row r="23">
          <cell r="D23">
            <v>652000</v>
          </cell>
        </row>
        <row r="26">
          <cell r="D26">
            <v>1230000</v>
          </cell>
        </row>
        <row r="27">
          <cell r="D27">
            <v>640000</v>
          </cell>
        </row>
        <row r="28">
          <cell r="D28">
            <v>124500</v>
          </cell>
        </row>
        <row r="30">
          <cell r="D30">
            <v>98000</v>
          </cell>
        </row>
        <row r="31">
          <cell r="D31">
            <v>730000</v>
          </cell>
        </row>
        <row r="32">
          <cell r="D32">
            <v>530947</v>
          </cell>
          <cell r="I32">
            <v>530947</v>
          </cell>
        </row>
      </sheetData>
      <sheetData sheetId="4">
        <row r="192">
          <cell r="S192">
            <v>0</v>
          </cell>
        </row>
        <row r="217">
          <cell r="S217">
            <v>0</v>
          </cell>
        </row>
      </sheetData>
      <sheetData sheetId="5"/>
      <sheetData sheetId="6">
        <row r="17">
          <cell r="P17">
            <v>561600</v>
          </cell>
        </row>
        <row r="21">
          <cell r="P21">
            <v>400000</v>
          </cell>
        </row>
        <row r="23">
          <cell r="P23">
            <v>17200</v>
          </cell>
        </row>
        <row r="26">
          <cell r="P26">
            <v>187200</v>
          </cell>
        </row>
        <row r="28">
          <cell r="P28">
            <v>857000</v>
          </cell>
        </row>
        <row r="34">
          <cell r="P34">
            <v>54570</v>
          </cell>
        </row>
      </sheetData>
      <sheetData sheetId="7">
        <row r="15">
          <cell r="P15">
            <v>184273</v>
          </cell>
        </row>
        <row r="19">
          <cell r="P19">
            <v>53700</v>
          </cell>
        </row>
        <row r="21">
          <cell r="P21">
            <v>8330</v>
          </cell>
        </row>
        <row r="31">
          <cell r="P31">
            <v>70520.399999999994</v>
          </cell>
        </row>
      </sheetData>
      <sheetData sheetId="8"/>
      <sheetData sheetId="9"/>
      <sheetData sheetId="10">
        <row r="21">
          <cell r="N21">
            <v>453200</v>
          </cell>
          <cell r="P21">
            <v>1245200</v>
          </cell>
          <cell r="S21">
            <v>882000</v>
          </cell>
          <cell r="T21">
            <v>90000</v>
          </cell>
        </row>
        <row r="58">
          <cell r="N58">
            <v>130260</v>
          </cell>
          <cell r="P58">
            <v>130260</v>
          </cell>
          <cell r="S58">
            <v>48656</v>
          </cell>
          <cell r="T58">
            <v>48656</v>
          </cell>
        </row>
        <row r="125">
          <cell r="N125">
            <v>82080</v>
          </cell>
          <cell r="P125">
            <v>180000</v>
          </cell>
          <cell r="S125">
            <v>99370</v>
          </cell>
          <cell r="T125">
            <v>1450</v>
          </cell>
        </row>
        <row r="157">
          <cell r="N157">
            <v>61840.4</v>
          </cell>
          <cell r="P157">
            <v>79380</v>
          </cell>
          <cell r="S157">
            <v>34350</v>
          </cell>
          <cell r="T157">
            <v>16810.400000000001</v>
          </cell>
        </row>
        <row r="193">
          <cell r="N193">
            <v>80900</v>
          </cell>
          <cell r="P193">
            <v>10000</v>
          </cell>
          <cell r="T193">
            <v>70900</v>
          </cell>
        </row>
        <row r="218">
          <cell r="N218">
            <v>125000</v>
          </cell>
          <cell r="P218">
            <v>50000</v>
          </cell>
          <cell r="T218">
            <v>75000</v>
          </cell>
        </row>
        <row r="235">
          <cell r="N235">
            <v>144020</v>
          </cell>
          <cell r="P235">
            <v>136220</v>
          </cell>
          <cell r="S235">
            <v>31300</v>
          </cell>
          <cell r="T235">
            <v>39100</v>
          </cell>
        </row>
        <row r="280">
          <cell r="N280">
            <v>29150</v>
          </cell>
          <cell r="P280">
            <v>28910</v>
          </cell>
          <cell r="S280">
            <v>22060</v>
          </cell>
          <cell r="T280">
            <v>22300</v>
          </cell>
        </row>
        <row r="315">
          <cell r="N315">
            <v>17210</v>
          </cell>
          <cell r="P315">
            <v>24420</v>
          </cell>
          <cell r="S315">
            <v>19430</v>
          </cell>
          <cell r="T315">
            <v>12220</v>
          </cell>
        </row>
      </sheetData>
      <sheetData sheetId="11"/>
      <sheetData sheetId="12"/>
      <sheetData sheetId="13">
        <row r="16">
          <cell r="Y16">
            <v>11420</v>
          </cell>
          <cell r="Z16">
            <v>11420</v>
          </cell>
        </row>
      </sheetData>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ON"/>
      <sheetName val="Sheet3"/>
      <sheetName val="Sheet1"/>
      <sheetName val="TH VON (ub)"/>
      <sheetName val="DC TONG THE"/>
      <sheetName val="HTCK-TONG THE"/>
      <sheetName val="da thieu von"/>
      <sheetName val="da loai"/>
      <sheetName val="TH VON -DC"/>
      <sheetName val="TH VON - NQDC"/>
      <sheetName val="DC TINH-IN"/>
      <sheetName val="HTMT-DC TONG THE"/>
      <sheetName val="DC HTMT-IN"/>
      <sheetName val="HTCK-DC"/>
      <sheetName val="DA giam toan bo"/>
      <sheetName val="DA giam 1 phan"/>
      <sheetName val="DA bs 1 phan"/>
      <sheetName val="DA bs moi"/>
      <sheetName val="ĐC-ANQP"/>
      <sheetName val="ĐC-HTMTGD"/>
    </sheetNames>
    <sheetDataSet>
      <sheetData sheetId="0" refreshError="1"/>
      <sheetData sheetId="1" refreshError="1"/>
      <sheetData sheetId="2" refreshError="1"/>
      <sheetData sheetId="3">
        <row r="30">
          <cell r="I30"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1">
          <cell r="T291">
            <v>0</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B395"/>
  <sheetViews>
    <sheetView topLeftCell="A11" zoomScale="70" zoomScaleNormal="70" workbookViewId="0">
      <pane xSplit="3420" ySplit="2715" topLeftCell="E379" activePane="bottomRight"/>
      <selection activeCell="A11" sqref="A11:XFD11"/>
      <selection pane="topRight" activeCell="O14" sqref="O14:O16"/>
      <selection pane="bottomLeft" activeCell="B315" sqref="B315"/>
      <selection pane="bottomRight" activeCell="T381" sqref="T381"/>
    </sheetView>
  </sheetViews>
  <sheetFormatPr defaultColWidth="9.140625" defaultRowHeight="15" x14ac:dyDescent="0.25"/>
  <cols>
    <col min="1" max="1" width="9.28515625" style="13" bestFit="1" customWidth="1"/>
    <col min="2" max="2" width="31.7109375" style="13" customWidth="1"/>
    <col min="3" max="3" width="13" style="13" customWidth="1"/>
    <col min="4" max="4" width="24.28515625" style="13" customWidth="1"/>
    <col min="5" max="5" width="12.5703125" style="13" customWidth="1"/>
    <col min="6" max="6" width="14.140625" style="13" customWidth="1"/>
    <col min="7" max="7" width="15.42578125" style="13" customWidth="1"/>
    <col min="8" max="8" width="14.5703125" style="13" customWidth="1"/>
    <col min="9" max="9" width="14" style="13" hidden="1" customWidth="1"/>
    <col min="10" max="10" width="12.28515625" style="13" hidden="1" customWidth="1"/>
    <col min="11" max="11" width="14" style="13" hidden="1" customWidth="1"/>
    <col min="12" max="12" width="12.28515625" style="13" hidden="1" customWidth="1"/>
    <col min="13" max="13" width="13.7109375" style="13" customWidth="1"/>
    <col min="14" max="14" width="14" style="13" customWidth="1"/>
    <col min="15" max="16" width="14.140625" style="13" customWidth="1"/>
    <col min="17" max="17" width="14.28515625" style="89" customWidth="1"/>
    <col min="18" max="18" width="12.7109375" style="89" customWidth="1"/>
    <col min="19" max="19" width="14.140625" style="13" customWidth="1"/>
    <col min="20" max="20" width="14.85546875" style="13" customWidth="1"/>
    <col min="21" max="21" width="17.42578125" style="141" hidden="1" customWidth="1"/>
    <col min="22" max="28" width="12.7109375" style="13" hidden="1" customWidth="1"/>
    <col min="29" max="29" width="13.7109375" style="13" hidden="1" customWidth="1"/>
    <col min="30" max="30" width="13.28515625" style="13" hidden="1" customWidth="1"/>
    <col min="31" max="31" width="13.7109375" style="13" hidden="1" customWidth="1"/>
    <col min="32" max="32" width="13.28515625" style="13" hidden="1" customWidth="1"/>
    <col min="33" max="34" width="14.140625" style="13" hidden="1" customWidth="1"/>
    <col min="35" max="35" width="22.7109375" style="13" customWidth="1"/>
    <col min="36" max="36" width="11.140625" style="12" bestFit="1" customWidth="1"/>
    <col min="37" max="37" width="9.28515625" style="12" bestFit="1" customWidth="1"/>
    <col min="38" max="38" width="14.28515625" style="12" bestFit="1" customWidth="1"/>
    <col min="39" max="39" width="13.42578125" style="12" bestFit="1" customWidth="1"/>
    <col min="40" max="40" width="10.5703125" style="12" bestFit="1" customWidth="1"/>
    <col min="41" max="41" width="9.28515625" style="12" bestFit="1" customWidth="1"/>
    <col min="42" max="42" width="11" style="12" customWidth="1"/>
    <col min="43" max="43" width="9.28515625" style="12" bestFit="1" customWidth="1"/>
    <col min="44" max="44" width="9.28515625" style="12" customWidth="1"/>
    <col min="45" max="45" width="9.28515625" style="12" bestFit="1" customWidth="1"/>
    <col min="46" max="46" width="9.7109375" style="12" bestFit="1" customWidth="1"/>
    <col min="47" max="47" width="10.7109375" style="12" bestFit="1" customWidth="1"/>
    <col min="48" max="48" width="9.7109375" style="12" bestFit="1" customWidth="1"/>
    <col min="49" max="16384" width="9.140625" style="13"/>
  </cols>
  <sheetData>
    <row r="1" spans="1:48" ht="21.75" customHeight="1" x14ac:dyDescent="0.25">
      <c r="A1" s="1928" t="s">
        <v>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1"/>
    </row>
    <row r="2" spans="1:48" ht="44.25" customHeight="1" x14ac:dyDescent="0.25">
      <c r="A2" s="1929" t="s">
        <v>1973</v>
      </c>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4"/>
    </row>
    <row r="3" spans="1:48" ht="18.75" hidden="1" x14ac:dyDescent="0.25">
      <c r="A3" s="1930" t="s">
        <v>1</v>
      </c>
      <c r="B3" s="1930"/>
      <c r="C3" s="1930"/>
      <c r="D3" s="1930"/>
      <c r="E3" s="1930"/>
      <c r="F3" s="1930"/>
      <c r="G3" s="1930"/>
      <c r="H3" s="1930"/>
      <c r="I3" s="1927"/>
      <c r="J3" s="1927"/>
      <c r="K3" s="1927"/>
      <c r="L3" s="1927"/>
      <c r="M3" s="1930"/>
      <c r="N3" s="1930"/>
      <c r="O3" s="1930"/>
      <c r="P3" s="1930"/>
      <c r="Q3" s="1930"/>
      <c r="R3" s="1930"/>
      <c r="S3" s="1930"/>
      <c r="T3" s="1930"/>
      <c r="U3" s="1927"/>
      <c r="V3" s="1927"/>
      <c r="W3" s="1927"/>
      <c r="X3" s="1927"/>
      <c r="Y3" s="1927"/>
      <c r="Z3" s="1927"/>
      <c r="AA3" s="1927"/>
      <c r="AB3" s="1927"/>
      <c r="AC3" s="1927"/>
      <c r="AD3" s="1927"/>
      <c r="AE3" s="1927"/>
      <c r="AF3" s="1927"/>
      <c r="AG3" s="1927"/>
      <c r="AH3" s="1927"/>
      <c r="AI3" s="1930"/>
      <c r="AJ3" s="15"/>
    </row>
    <row r="4" spans="1:48" ht="16.5" hidden="1" x14ac:dyDescent="0.25">
      <c r="A4" s="1927" t="s">
        <v>2</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927"/>
      <c r="AI4" s="1927"/>
      <c r="AJ4" s="15"/>
    </row>
    <row r="5" spans="1:48" ht="21" customHeight="1" x14ac:dyDescent="0.25">
      <c r="A5" s="1927" t="s">
        <v>3</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5"/>
    </row>
    <row r="6" spans="1:48" ht="16.5" hidden="1" x14ac:dyDescent="0.25">
      <c r="A6" s="1927" t="s">
        <v>4</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5"/>
    </row>
    <row r="7" spans="1:48" ht="16.5" hidden="1" x14ac:dyDescent="0.25">
      <c r="A7" s="1927" t="s">
        <v>5</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5"/>
    </row>
    <row r="8" spans="1:48" ht="16.5" hidden="1" x14ac:dyDescent="0.25">
      <c r="A8" s="744"/>
      <c r="B8" s="744"/>
      <c r="C8" s="744"/>
      <c r="D8" s="744"/>
      <c r="E8" s="744"/>
      <c r="F8" s="744"/>
      <c r="G8" s="744"/>
      <c r="H8" s="744"/>
      <c r="I8" s="744"/>
      <c r="J8" s="744"/>
      <c r="K8" s="744"/>
      <c r="L8" s="744"/>
      <c r="M8" s="744"/>
      <c r="N8" s="744"/>
      <c r="O8" s="744"/>
      <c r="P8" s="744"/>
      <c r="Q8" s="16"/>
      <c r="R8" s="16"/>
      <c r="S8" s="744"/>
      <c r="T8" s="744"/>
      <c r="U8" s="17"/>
      <c r="V8" s="16"/>
      <c r="W8" s="16"/>
      <c r="X8" s="16"/>
      <c r="Y8" s="16"/>
      <c r="Z8" s="16"/>
      <c r="AA8" s="16"/>
      <c r="AB8" s="16"/>
      <c r="AC8" s="16"/>
      <c r="AD8" s="16"/>
      <c r="AE8" s="16"/>
      <c r="AF8" s="16"/>
      <c r="AG8" s="16"/>
      <c r="AH8" s="16"/>
      <c r="AI8" s="744"/>
      <c r="AJ8" s="15"/>
    </row>
    <row r="9" spans="1:48" ht="16.5" hidden="1" x14ac:dyDescent="0.25">
      <c r="A9" s="744"/>
      <c r="B9" s="744"/>
      <c r="C9" s="744"/>
      <c r="D9" s="744"/>
      <c r="E9" s="744"/>
      <c r="F9" s="744"/>
      <c r="G9" s="744"/>
      <c r="H9" s="744"/>
      <c r="I9" s="744"/>
      <c r="J9" s="744"/>
      <c r="K9" s="744"/>
      <c r="L9" s="744"/>
      <c r="M9" s="744"/>
      <c r="N9" s="744"/>
      <c r="O9" s="744"/>
      <c r="P9" s="744"/>
      <c r="Q9" s="16"/>
      <c r="R9" s="16"/>
      <c r="S9" s="744"/>
      <c r="T9" s="744"/>
      <c r="U9" s="17"/>
      <c r="V9" s="16"/>
      <c r="W9" s="16"/>
      <c r="X9" s="16"/>
      <c r="Y9" s="16"/>
      <c r="Z9" s="16"/>
      <c r="AA9" s="16"/>
      <c r="AB9" s="16"/>
      <c r="AC9" s="16"/>
      <c r="AD9" s="16"/>
      <c r="AE9" s="16"/>
      <c r="AF9" s="16"/>
      <c r="AG9" s="16"/>
      <c r="AH9" s="16"/>
      <c r="AI9" s="744"/>
      <c r="AJ9" s="15"/>
    </row>
    <row r="10" spans="1:48" ht="16.5" hidden="1" x14ac:dyDescent="0.25">
      <c r="A10" s="744"/>
      <c r="B10" s="744"/>
      <c r="C10" s="744"/>
      <c r="D10" s="744"/>
      <c r="E10" s="744"/>
      <c r="F10" s="744"/>
      <c r="G10" s="744"/>
      <c r="H10" s="744"/>
      <c r="I10" s="744"/>
      <c r="J10" s="744"/>
      <c r="K10" s="744"/>
      <c r="L10" s="744"/>
      <c r="M10" s="744"/>
      <c r="N10" s="744"/>
      <c r="O10" s="744"/>
      <c r="P10" s="744"/>
      <c r="Q10" s="16"/>
      <c r="R10" s="16"/>
      <c r="S10" s="744"/>
      <c r="T10" s="744"/>
      <c r="U10" s="17"/>
      <c r="V10" s="16"/>
      <c r="W10" s="16"/>
      <c r="X10" s="16"/>
      <c r="Y10" s="16"/>
      <c r="Z10" s="16"/>
      <c r="AA10" s="16"/>
      <c r="AB10" s="16"/>
      <c r="AC10" s="16"/>
      <c r="AD10" s="16"/>
      <c r="AE10" s="16"/>
      <c r="AF10" s="16"/>
      <c r="AG10" s="16"/>
      <c r="AH10" s="16"/>
      <c r="AI10" s="744"/>
      <c r="AJ10" s="15"/>
    </row>
    <row r="11" spans="1:48" ht="24" customHeight="1" x14ac:dyDescent="0.25">
      <c r="A11" s="1933" t="s">
        <v>6</v>
      </c>
      <c r="B11" s="1933"/>
      <c r="C11" s="1933"/>
      <c r="D11" s="1933"/>
      <c r="E11" s="1933"/>
      <c r="F11" s="1933"/>
      <c r="G11" s="1933"/>
      <c r="H11" s="1933"/>
      <c r="I11" s="1933"/>
      <c r="J11" s="1933"/>
      <c r="K11" s="1933"/>
      <c r="L11" s="1933"/>
      <c r="M11" s="1933"/>
      <c r="N11" s="1933"/>
      <c r="O11" s="1933"/>
      <c r="P11" s="1933"/>
      <c r="Q11" s="1933"/>
      <c r="R11" s="1933"/>
      <c r="S11" s="1933"/>
      <c r="T11" s="1933"/>
      <c r="U11" s="1933"/>
      <c r="V11" s="1933"/>
      <c r="W11" s="1933"/>
      <c r="X11" s="1933"/>
      <c r="Y11" s="1933"/>
      <c r="Z11" s="1933"/>
      <c r="AA11" s="1933"/>
      <c r="AB11" s="1933"/>
      <c r="AC11" s="1933"/>
      <c r="AD11" s="1933"/>
      <c r="AE11" s="1933"/>
      <c r="AF11" s="1933"/>
      <c r="AG11" s="1933"/>
      <c r="AH11" s="1933"/>
      <c r="AI11" s="1933"/>
      <c r="AJ11" s="15"/>
    </row>
    <row r="12" spans="1:48" ht="36" customHeight="1" x14ac:dyDescent="0.25">
      <c r="A12" s="1934" t="s">
        <v>7</v>
      </c>
      <c r="B12" s="1934" t="s">
        <v>8</v>
      </c>
      <c r="C12" s="1934" t="s">
        <v>9</v>
      </c>
      <c r="D12" s="1934" t="s">
        <v>10</v>
      </c>
      <c r="E12" s="1934" t="s">
        <v>11</v>
      </c>
      <c r="F12" s="1934" t="s">
        <v>12</v>
      </c>
      <c r="G12" s="1934"/>
      <c r="H12" s="1934"/>
      <c r="I12" s="1934" t="s">
        <v>891</v>
      </c>
      <c r="J12" s="1934"/>
      <c r="K12" s="1934" t="s">
        <v>13</v>
      </c>
      <c r="L12" s="1934"/>
      <c r="M12" s="1934" t="s">
        <v>14</v>
      </c>
      <c r="N12" s="1934"/>
      <c r="O12" s="1934" t="s">
        <v>907</v>
      </c>
      <c r="P12" s="1934"/>
      <c r="Q12" s="1931" t="s">
        <v>894</v>
      </c>
      <c r="R12" s="1931"/>
      <c r="S12" s="1934" t="s">
        <v>895</v>
      </c>
      <c r="T12" s="1934"/>
      <c r="U12" s="1931" t="s">
        <v>15</v>
      </c>
      <c r="V12" s="1931"/>
      <c r="W12" s="1931" t="s">
        <v>16</v>
      </c>
      <c r="X12" s="1931"/>
      <c r="Y12" s="1931" t="s">
        <v>17</v>
      </c>
      <c r="Z12" s="1931"/>
      <c r="AA12" s="1931" t="s">
        <v>18</v>
      </c>
      <c r="AB12" s="1931"/>
      <c r="AC12" s="1931" t="s">
        <v>19</v>
      </c>
      <c r="AD12" s="1931"/>
      <c r="AE12" s="1931" t="s">
        <v>20</v>
      </c>
      <c r="AF12" s="1931"/>
      <c r="AG12" s="1931" t="s">
        <v>21</v>
      </c>
      <c r="AH12" s="1931"/>
      <c r="AI12" s="1934" t="s">
        <v>904</v>
      </c>
      <c r="AJ12" s="1934" t="s">
        <v>22</v>
      </c>
      <c r="AK12" s="1934" t="s">
        <v>23</v>
      </c>
      <c r="AL12" s="745"/>
      <c r="AM12" s="1934" t="s">
        <v>24</v>
      </c>
      <c r="AN12" s="745"/>
      <c r="AO12" s="1936" t="s">
        <v>25</v>
      </c>
      <c r="AP12" s="1937"/>
      <c r="AQ12" s="1936" t="s">
        <v>26</v>
      </c>
      <c r="AR12" s="1937"/>
      <c r="AS12" s="1936" t="s">
        <v>27</v>
      </c>
      <c r="AT12" s="1937"/>
      <c r="AU12" s="1936" t="s">
        <v>28</v>
      </c>
      <c r="AV12" s="1937"/>
    </row>
    <row r="13" spans="1:48" ht="23.25" customHeight="1" x14ac:dyDescent="0.25">
      <c r="A13" s="1935"/>
      <c r="B13" s="1935"/>
      <c r="C13" s="1935"/>
      <c r="D13" s="1935"/>
      <c r="E13" s="1935"/>
      <c r="F13" s="1935"/>
      <c r="G13" s="1935"/>
      <c r="H13" s="1935"/>
      <c r="I13" s="1935"/>
      <c r="J13" s="1935"/>
      <c r="K13" s="1935"/>
      <c r="L13" s="1935"/>
      <c r="M13" s="1935"/>
      <c r="N13" s="1935"/>
      <c r="O13" s="1935"/>
      <c r="P13" s="1935"/>
      <c r="Q13" s="1932"/>
      <c r="R13" s="1932"/>
      <c r="S13" s="1935"/>
      <c r="T13" s="1935"/>
      <c r="U13" s="1932"/>
      <c r="V13" s="1932"/>
      <c r="W13" s="1932"/>
      <c r="X13" s="1932"/>
      <c r="Y13" s="1932"/>
      <c r="Z13" s="1932"/>
      <c r="AA13" s="1932"/>
      <c r="AB13" s="1932"/>
      <c r="AC13" s="1932"/>
      <c r="AD13" s="1932"/>
      <c r="AE13" s="1932"/>
      <c r="AF13" s="1932"/>
      <c r="AG13" s="1932"/>
      <c r="AH13" s="1932"/>
      <c r="AI13" s="1935"/>
      <c r="AJ13" s="1935"/>
      <c r="AK13" s="1935"/>
      <c r="AL13" s="746"/>
      <c r="AM13" s="1935"/>
      <c r="AN13" s="746"/>
      <c r="AO13" s="1938" t="s">
        <v>29</v>
      </c>
      <c r="AP13" s="1938" t="s">
        <v>30</v>
      </c>
      <c r="AQ13" s="1938" t="s">
        <v>29</v>
      </c>
      <c r="AR13" s="1938" t="s">
        <v>31</v>
      </c>
      <c r="AS13" s="1938" t="s">
        <v>29</v>
      </c>
      <c r="AT13" s="1938" t="s">
        <v>31</v>
      </c>
      <c r="AU13" s="1938" t="s">
        <v>29</v>
      </c>
      <c r="AV13" s="1938" t="s">
        <v>30</v>
      </c>
    </row>
    <row r="14" spans="1:48" ht="21" customHeight="1" x14ac:dyDescent="0.25">
      <c r="A14" s="1935"/>
      <c r="B14" s="1935"/>
      <c r="C14" s="1935"/>
      <c r="D14" s="1935"/>
      <c r="E14" s="1935"/>
      <c r="F14" s="1935" t="s">
        <v>32</v>
      </c>
      <c r="G14" s="1935" t="s">
        <v>33</v>
      </c>
      <c r="H14" s="1935"/>
      <c r="I14" s="1935" t="s">
        <v>34</v>
      </c>
      <c r="J14" s="1935" t="s">
        <v>35</v>
      </c>
      <c r="K14" s="1935" t="s">
        <v>34</v>
      </c>
      <c r="L14" s="1935" t="s">
        <v>35</v>
      </c>
      <c r="M14" s="1935" t="s">
        <v>34</v>
      </c>
      <c r="N14" s="1935" t="s">
        <v>35</v>
      </c>
      <c r="O14" s="1935" t="s">
        <v>34</v>
      </c>
      <c r="P14" s="1935" t="s">
        <v>35</v>
      </c>
      <c r="Q14" s="1932" t="s">
        <v>36</v>
      </c>
      <c r="R14" s="1932" t="s">
        <v>37</v>
      </c>
      <c r="S14" s="1935" t="s">
        <v>34</v>
      </c>
      <c r="T14" s="1935" t="s">
        <v>35</v>
      </c>
      <c r="U14" s="1941" t="s">
        <v>34</v>
      </c>
      <c r="V14" s="1932" t="s">
        <v>35</v>
      </c>
      <c r="W14" s="1932" t="s">
        <v>34</v>
      </c>
      <c r="X14" s="1932" t="s">
        <v>35</v>
      </c>
      <c r="Y14" s="1932" t="s">
        <v>34</v>
      </c>
      <c r="Z14" s="1932" t="s">
        <v>35</v>
      </c>
      <c r="AA14" s="1932" t="s">
        <v>34</v>
      </c>
      <c r="AB14" s="1932" t="s">
        <v>35</v>
      </c>
      <c r="AC14" s="1932" t="s">
        <v>34</v>
      </c>
      <c r="AD14" s="1932" t="s">
        <v>35</v>
      </c>
      <c r="AE14" s="1932" t="s">
        <v>34</v>
      </c>
      <c r="AF14" s="1932" t="s">
        <v>35</v>
      </c>
      <c r="AG14" s="1932" t="s">
        <v>34</v>
      </c>
      <c r="AH14" s="1932" t="s">
        <v>35</v>
      </c>
      <c r="AI14" s="1935"/>
      <c r="AJ14" s="1935"/>
      <c r="AK14" s="1935"/>
      <c r="AL14" s="746"/>
      <c r="AM14" s="1935"/>
      <c r="AN14" s="746"/>
      <c r="AO14" s="1939"/>
      <c r="AP14" s="1939"/>
      <c r="AQ14" s="1939"/>
      <c r="AR14" s="1939"/>
      <c r="AS14" s="1939"/>
      <c r="AT14" s="1939"/>
      <c r="AU14" s="1939"/>
      <c r="AV14" s="1939"/>
    </row>
    <row r="15" spans="1:48" ht="16.5" x14ac:dyDescent="0.25">
      <c r="A15" s="1935"/>
      <c r="B15" s="1935"/>
      <c r="C15" s="1935"/>
      <c r="D15" s="1935"/>
      <c r="E15" s="1935"/>
      <c r="F15" s="1935"/>
      <c r="G15" s="1935" t="s">
        <v>34</v>
      </c>
      <c r="H15" s="1935" t="s">
        <v>35</v>
      </c>
      <c r="I15" s="1935"/>
      <c r="J15" s="1935"/>
      <c r="K15" s="1935"/>
      <c r="L15" s="1935"/>
      <c r="M15" s="1935"/>
      <c r="N15" s="1935"/>
      <c r="O15" s="1935"/>
      <c r="P15" s="1935"/>
      <c r="Q15" s="1932"/>
      <c r="R15" s="1932"/>
      <c r="S15" s="1935"/>
      <c r="T15" s="1935"/>
      <c r="U15" s="1941"/>
      <c r="V15" s="1932"/>
      <c r="W15" s="1932"/>
      <c r="X15" s="1932"/>
      <c r="Y15" s="1932"/>
      <c r="Z15" s="1932"/>
      <c r="AA15" s="1932"/>
      <c r="AB15" s="1932"/>
      <c r="AC15" s="1932"/>
      <c r="AD15" s="1932"/>
      <c r="AE15" s="1932"/>
      <c r="AF15" s="1932"/>
      <c r="AG15" s="1932"/>
      <c r="AH15" s="1932"/>
      <c r="AI15" s="1935"/>
      <c r="AJ15" s="1935"/>
      <c r="AK15" s="1935"/>
      <c r="AL15" s="746"/>
      <c r="AM15" s="1935"/>
      <c r="AN15" s="746"/>
      <c r="AO15" s="1939"/>
      <c r="AP15" s="1939"/>
      <c r="AQ15" s="1939"/>
      <c r="AR15" s="1939"/>
      <c r="AS15" s="1939"/>
      <c r="AT15" s="1939"/>
      <c r="AU15" s="1939"/>
      <c r="AV15" s="1939"/>
    </row>
    <row r="16" spans="1:48" ht="32.25" customHeight="1" x14ac:dyDescent="0.25">
      <c r="A16" s="1935"/>
      <c r="B16" s="1935"/>
      <c r="C16" s="1935"/>
      <c r="D16" s="1935"/>
      <c r="E16" s="1935"/>
      <c r="F16" s="1935"/>
      <c r="G16" s="1935"/>
      <c r="H16" s="1935"/>
      <c r="I16" s="1935"/>
      <c r="J16" s="1935"/>
      <c r="K16" s="1935"/>
      <c r="L16" s="1935"/>
      <c r="M16" s="1935"/>
      <c r="N16" s="1935"/>
      <c r="O16" s="1935"/>
      <c r="P16" s="1935"/>
      <c r="Q16" s="1932"/>
      <c r="R16" s="1932"/>
      <c r="S16" s="1935"/>
      <c r="T16" s="1935"/>
      <c r="U16" s="1941"/>
      <c r="V16" s="1932"/>
      <c r="W16" s="1932"/>
      <c r="X16" s="1932"/>
      <c r="Y16" s="1932"/>
      <c r="Z16" s="1932"/>
      <c r="AA16" s="1932"/>
      <c r="AB16" s="1932"/>
      <c r="AC16" s="1932"/>
      <c r="AD16" s="1932"/>
      <c r="AE16" s="1932"/>
      <c r="AF16" s="1932"/>
      <c r="AG16" s="1932"/>
      <c r="AH16" s="1932"/>
      <c r="AI16" s="1935"/>
      <c r="AJ16" s="1935"/>
      <c r="AK16" s="1935"/>
      <c r="AL16" s="746"/>
      <c r="AM16" s="1935"/>
      <c r="AN16" s="746"/>
      <c r="AO16" s="1940"/>
      <c r="AP16" s="1940"/>
      <c r="AQ16" s="1940"/>
      <c r="AR16" s="1940"/>
      <c r="AS16" s="1940"/>
      <c r="AT16" s="1940"/>
      <c r="AU16" s="1940"/>
      <c r="AV16" s="1940"/>
    </row>
    <row r="17" spans="1:48" ht="15.75" customHeight="1" x14ac:dyDescent="0.25">
      <c r="A17" s="18">
        <v>1</v>
      </c>
      <c r="B17" s="18">
        <v>2</v>
      </c>
      <c r="C17" s="18">
        <v>3</v>
      </c>
      <c r="D17" s="18">
        <v>4</v>
      </c>
      <c r="E17" s="18">
        <v>5</v>
      </c>
      <c r="F17" s="18">
        <v>6</v>
      </c>
      <c r="G17" s="18">
        <v>7</v>
      </c>
      <c r="H17" s="18">
        <v>8</v>
      </c>
      <c r="I17" s="18">
        <v>9</v>
      </c>
      <c r="J17" s="18">
        <v>10</v>
      </c>
      <c r="K17" s="18">
        <v>11</v>
      </c>
      <c r="L17" s="18">
        <v>12</v>
      </c>
      <c r="M17" s="18">
        <v>9</v>
      </c>
      <c r="N17" s="18">
        <v>10</v>
      </c>
      <c r="O17" s="18">
        <v>11</v>
      </c>
      <c r="P17" s="18">
        <v>12</v>
      </c>
      <c r="Q17" s="18">
        <v>13</v>
      </c>
      <c r="R17" s="18">
        <v>14</v>
      </c>
      <c r="S17" s="18">
        <v>15</v>
      </c>
      <c r="T17" s="18">
        <v>16</v>
      </c>
      <c r="U17" s="18">
        <v>15</v>
      </c>
      <c r="V17" s="18">
        <v>16</v>
      </c>
      <c r="W17" s="18">
        <v>17</v>
      </c>
      <c r="X17" s="18">
        <v>18</v>
      </c>
      <c r="Y17" s="18">
        <v>25</v>
      </c>
      <c r="Z17" s="18">
        <v>26</v>
      </c>
      <c r="AA17" s="18">
        <v>25</v>
      </c>
      <c r="AB17" s="18">
        <v>26</v>
      </c>
      <c r="AC17" s="18">
        <v>25</v>
      </c>
      <c r="AD17" s="18">
        <v>26</v>
      </c>
      <c r="AE17" s="18">
        <v>25</v>
      </c>
      <c r="AF17" s="18">
        <v>26</v>
      </c>
      <c r="AG17" s="18">
        <v>25</v>
      </c>
      <c r="AH17" s="18">
        <v>26</v>
      </c>
      <c r="AI17" s="18">
        <v>17</v>
      </c>
      <c r="AJ17" s="19"/>
    </row>
    <row r="18" spans="1:48" ht="22.5" customHeight="1" x14ac:dyDescent="0.25">
      <c r="A18" s="18"/>
      <c r="B18" s="20" t="s">
        <v>38</v>
      </c>
      <c r="C18" s="18"/>
      <c r="D18" s="18"/>
      <c r="E18" s="18"/>
      <c r="F18" s="18"/>
      <c r="G18" s="21">
        <f>G19+G20+G380</f>
        <v>13477417</v>
      </c>
      <c r="H18" s="21">
        <f t="shared" ref="H18:T18" si="0">H19+H20+H380</f>
        <v>10220578</v>
      </c>
      <c r="I18" s="21">
        <f t="shared" si="0"/>
        <v>1244077</v>
      </c>
      <c r="J18" s="21">
        <f t="shared" si="0"/>
        <v>965391</v>
      </c>
      <c r="K18" s="21">
        <f t="shared" si="0"/>
        <v>1166363</v>
      </c>
      <c r="L18" s="21">
        <f t="shared" si="0"/>
        <v>956691</v>
      </c>
      <c r="M18" s="21">
        <f t="shared" si="0"/>
        <v>8157179.4000000004</v>
      </c>
      <c r="N18" s="21">
        <f t="shared" si="0"/>
        <v>4417500.4000000004</v>
      </c>
      <c r="O18" s="21">
        <f t="shared" si="0"/>
        <v>7245628.0999999996</v>
      </c>
      <c r="P18" s="21">
        <f t="shared" si="0"/>
        <v>4567500.0999999996</v>
      </c>
      <c r="Q18" s="21">
        <f t="shared" si="0"/>
        <v>1338328</v>
      </c>
      <c r="R18" s="21">
        <f t="shared" si="0"/>
        <v>917419.4</v>
      </c>
      <c r="S18" s="21">
        <f t="shared" si="0"/>
        <v>7052196.0999999996</v>
      </c>
      <c r="T18" s="21">
        <f t="shared" si="0"/>
        <v>4838409.0999999996</v>
      </c>
      <c r="U18" s="21">
        <f t="shared" ref="U18:AH18" si="1">U20+U19</f>
        <v>684334</v>
      </c>
      <c r="V18" s="21">
        <f t="shared" si="1"/>
        <v>659334</v>
      </c>
      <c r="W18" s="21">
        <f t="shared" si="1"/>
        <v>716853</v>
      </c>
      <c r="X18" s="21">
        <f t="shared" si="1"/>
        <v>716853</v>
      </c>
      <c r="Y18" s="21">
        <f t="shared" si="1"/>
        <v>452739</v>
      </c>
      <c r="Z18" s="21">
        <f t="shared" si="1"/>
        <v>412979</v>
      </c>
      <c r="AA18" s="21">
        <f t="shared" si="1"/>
        <v>2136737</v>
      </c>
      <c r="AB18" s="21">
        <f t="shared" si="1"/>
        <v>1827047</v>
      </c>
      <c r="AC18" s="21">
        <f t="shared" si="1"/>
        <v>4572532</v>
      </c>
      <c r="AD18" s="21">
        <f t="shared" si="1"/>
        <v>2310267</v>
      </c>
      <c r="AE18" s="21">
        <f t="shared" si="1"/>
        <v>1788203</v>
      </c>
      <c r="AF18" s="21">
        <f t="shared" si="1"/>
        <v>1788203</v>
      </c>
      <c r="AG18" s="21">
        <f t="shared" si="1"/>
        <v>2347193.2999999998</v>
      </c>
      <c r="AH18" s="21">
        <f t="shared" si="1"/>
        <v>2251346.6</v>
      </c>
      <c r="AI18" s="18"/>
      <c r="AJ18" s="19">
        <f>IF(N18-T18=0,0,1)</f>
        <v>1</v>
      </c>
      <c r="AK18" s="22"/>
      <c r="AL18" s="22"/>
      <c r="AM18" s="92"/>
      <c r="AN18" s="92"/>
    </row>
    <row r="19" spans="1:48" ht="24" customHeight="1" x14ac:dyDescent="0.25">
      <c r="A19" s="23" t="s">
        <v>39</v>
      </c>
      <c r="B19" s="24" t="s">
        <v>40</v>
      </c>
      <c r="C19" s="25"/>
      <c r="D19" s="25"/>
      <c r="E19" s="25"/>
      <c r="F19" s="25"/>
      <c r="G19" s="26"/>
      <c r="H19" s="26"/>
      <c r="I19" s="26"/>
      <c r="J19" s="26"/>
      <c r="K19" s="26"/>
      <c r="L19" s="26"/>
      <c r="M19" s="26">
        <f>N19</f>
        <v>145000</v>
      </c>
      <c r="N19" s="26">
        <v>145000</v>
      </c>
      <c r="O19" s="26">
        <f>P19</f>
        <v>145000</v>
      </c>
      <c r="P19" s="26">
        <v>145000</v>
      </c>
      <c r="Q19" s="26"/>
      <c r="R19" s="26">
        <v>65000</v>
      </c>
      <c r="S19" s="26">
        <f>T19</f>
        <v>80000</v>
      </c>
      <c r="T19" s="26">
        <f>P19-R19</f>
        <v>80000</v>
      </c>
      <c r="U19" s="26">
        <v>7710</v>
      </c>
      <c r="V19" s="26">
        <v>7710</v>
      </c>
      <c r="W19" s="26">
        <v>50000</v>
      </c>
      <c r="X19" s="26">
        <v>50000</v>
      </c>
      <c r="Y19" s="26">
        <v>50000</v>
      </c>
      <c r="Z19" s="26">
        <v>50000</v>
      </c>
      <c r="AA19" s="26"/>
      <c r="AB19" s="26"/>
      <c r="AC19" s="26"/>
      <c r="AD19" s="26"/>
      <c r="AE19" s="26"/>
      <c r="AF19" s="26"/>
      <c r="AG19" s="26"/>
      <c r="AH19" s="26"/>
      <c r="AI19" s="27"/>
      <c r="AJ19" s="19">
        <f t="shared" ref="AJ19:AJ82" si="2">IF(N19-T19=0,0,1)</f>
        <v>1</v>
      </c>
      <c r="AK19" s="22"/>
      <c r="AL19" s="22"/>
      <c r="AM19" s="92"/>
    </row>
    <row r="20" spans="1:48" ht="24" customHeight="1" x14ac:dyDescent="0.25">
      <c r="A20" s="23" t="s">
        <v>41</v>
      </c>
      <c r="B20" s="24" t="s">
        <v>42</v>
      </c>
      <c r="C20" s="25"/>
      <c r="D20" s="25"/>
      <c r="E20" s="25"/>
      <c r="F20" s="25"/>
      <c r="G20" s="26">
        <f>G21+G59+G126+G158+G194+G219+G236+G281+G316</f>
        <v>13477417</v>
      </c>
      <c r="H20" s="26">
        <f t="shared" ref="H20:T20" si="3">H21+H59+H126+H158+H194+H219+H236+H281+H316</f>
        <v>10220578</v>
      </c>
      <c r="I20" s="26">
        <f t="shared" si="3"/>
        <v>1244077</v>
      </c>
      <c r="J20" s="26">
        <f t="shared" si="3"/>
        <v>965391</v>
      </c>
      <c r="K20" s="26">
        <f t="shared" si="3"/>
        <v>1166363</v>
      </c>
      <c r="L20" s="26">
        <f t="shared" si="3"/>
        <v>956691</v>
      </c>
      <c r="M20" s="26">
        <f t="shared" si="3"/>
        <v>7360179.4000000004</v>
      </c>
      <c r="N20" s="26">
        <f t="shared" si="3"/>
        <v>3620500.4</v>
      </c>
      <c r="O20" s="26">
        <f t="shared" si="3"/>
        <v>7100628.0999999996</v>
      </c>
      <c r="P20" s="26">
        <f t="shared" si="3"/>
        <v>4381230.0999999996</v>
      </c>
      <c r="Q20" s="26">
        <f t="shared" si="3"/>
        <v>1338328</v>
      </c>
      <c r="R20" s="26">
        <f t="shared" si="3"/>
        <v>438530.4</v>
      </c>
      <c r="S20" s="26">
        <f t="shared" si="3"/>
        <v>6972196.0999999996</v>
      </c>
      <c r="T20" s="26">
        <f t="shared" si="3"/>
        <v>4520298.0999999996</v>
      </c>
      <c r="U20" s="26">
        <f t="shared" ref="U20:AH20" si="4">U21+U59+U126+U158+U194+U219+U236+U281+U316</f>
        <v>676624</v>
      </c>
      <c r="V20" s="26">
        <f t="shared" si="4"/>
        <v>651624</v>
      </c>
      <c r="W20" s="26">
        <f t="shared" si="4"/>
        <v>666853</v>
      </c>
      <c r="X20" s="26">
        <f t="shared" si="4"/>
        <v>666853</v>
      </c>
      <c r="Y20" s="26">
        <f t="shared" si="4"/>
        <v>402739</v>
      </c>
      <c r="Z20" s="26">
        <f t="shared" si="4"/>
        <v>362979</v>
      </c>
      <c r="AA20" s="26">
        <f t="shared" si="4"/>
        <v>2136737</v>
      </c>
      <c r="AB20" s="26">
        <f t="shared" si="4"/>
        <v>1827047</v>
      </c>
      <c r="AC20" s="26">
        <f t="shared" si="4"/>
        <v>4572532</v>
      </c>
      <c r="AD20" s="26">
        <f t="shared" si="4"/>
        <v>2310267</v>
      </c>
      <c r="AE20" s="26">
        <f t="shared" si="4"/>
        <v>1788203</v>
      </c>
      <c r="AF20" s="26">
        <f t="shared" si="4"/>
        <v>1788203</v>
      </c>
      <c r="AG20" s="26">
        <f t="shared" si="4"/>
        <v>2347193.2999999998</v>
      </c>
      <c r="AH20" s="26">
        <f t="shared" si="4"/>
        <v>2251346.6</v>
      </c>
      <c r="AI20" s="27"/>
      <c r="AJ20" s="19">
        <f t="shared" si="2"/>
        <v>1</v>
      </c>
      <c r="AK20" s="22"/>
      <c r="AL20" s="22"/>
      <c r="AM20" s="92"/>
    </row>
    <row r="21" spans="1:48" s="34" customFormat="1" ht="24" customHeight="1" x14ac:dyDescent="0.25">
      <c r="A21" s="28" t="s">
        <v>43</v>
      </c>
      <c r="B21" s="29" t="s">
        <v>44</v>
      </c>
      <c r="C21" s="30"/>
      <c r="D21" s="30"/>
      <c r="E21" s="30"/>
      <c r="F21" s="30"/>
      <c r="G21" s="31">
        <f t="shared" ref="G21:T21" si="5">G22+G32</f>
        <v>7647995</v>
      </c>
      <c r="H21" s="31">
        <f t="shared" si="5"/>
        <v>5899113</v>
      </c>
      <c r="I21" s="31">
        <f t="shared" si="5"/>
        <v>531389</v>
      </c>
      <c r="J21" s="31">
        <f t="shared" si="5"/>
        <v>285724</v>
      </c>
      <c r="K21" s="31">
        <f t="shared" si="5"/>
        <v>462375</v>
      </c>
      <c r="L21" s="31">
        <f t="shared" si="5"/>
        <v>285724</v>
      </c>
      <c r="M21" s="31">
        <f t="shared" si="5"/>
        <v>4413630</v>
      </c>
      <c r="N21" s="31">
        <f t="shared" si="5"/>
        <v>1290000</v>
      </c>
      <c r="O21" s="31">
        <f t="shared" si="5"/>
        <v>4004130.1</v>
      </c>
      <c r="P21" s="31">
        <f t="shared" si="5"/>
        <v>2082000.1</v>
      </c>
      <c r="Q21" s="31">
        <f t="shared" si="5"/>
        <v>1037410</v>
      </c>
      <c r="R21" s="31">
        <f t="shared" si="5"/>
        <v>95200</v>
      </c>
      <c r="S21" s="31">
        <f t="shared" si="5"/>
        <v>3918840.1</v>
      </c>
      <c r="T21" s="31">
        <f t="shared" si="5"/>
        <v>2232210.1</v>
      </c>
      <c r="U21" s="31">
        <f t="shared" ref="U21:AH21" si="6">ROUND(U22+U32,0)</f>
        <v>38000</v>
      </c>
      <c r="V21" s="31">
        <f t="shared" si="6"/>
        <v>13000</v>
      </c>
      <c r="W21" s="31">
        <f t="shared" si="6"/>
        <v>318647</v>
      </c>
      <c r="X21" s="31">
        <f t="shared" si="6"/>
        <v>318647</v>
      </c>
      <c r="Y21" s="31">
        <f t="shared" si="6"/>
        <v>35000</v>
      </c>
      <c r="Z21" s="31">
        <f t="shared" si="6"/>
        <v>35000</v>
      </c>
      <c r="AA21" s="31">
        <f t="shared" si="6"/>
        <v>783047</v>
      </c>
      <c r="AB21" s="31">
        <f t="shared" si="6"/>
        <v>513117</v>
      </c>
      <c r="AC21" s="31">
        <f t="shared" si="6"/>
        <v>3220579</v>
      </c>
      <c r="AD21" s="31">
        <f t="shared" si="6"/>
        <v>1568379</v>
      </c>
      <c r="AE21" s="31">
        <f t="shared" si="6"/>
        <v>1237700</v>
      </c>
      <c r="AF21" s="31">
        <f t="shared" si="6"/>
        <v>1237700</v>
      </c>
      <c r="AG21" s="31">
        <f t="shared" si="6"/>
        <v>1993129</v>
      </c>
      <c r="AH21" s="31">
        <f t="shared" si="6"/>
        <v>1993129</v>
      </c>
      <c r="AI21" s="32"/>
      <c r="AJ21" s="19">
        <f t="shared" si="2"/>
        <v>1</v>
      </c>
      <c r="AK21" s="22"/>
      <c r="AL21" s="22"/>
      <c r="AM21" s="92"/>
      <c r="AN21" s="12"/>
      <c r="AO21" s="12"/>
      <c r="AP21" s="12"/>
      <c r="AQ21" s="12"/>
      <c r="AR21" s="12"/>
      <c r="AS21" s="12"/>
      <c r="AT21" s="12"/>
      <c r="AU21" s="12"/>
      <c r="AV21" s="33"/>
    </row>
    <row r="22" spans="1:48" s="42" customFormat="1" ht="51.75" x14ac:dyDescent="0.25">
      <c r="A22" s="35" t="s">
        <v>45</v>
      </c>
      <c r="B22" s="36" t="s">
        <v>46</v>
      </c>
      <c r="C22" s="37"/>
      <c r="D22" s="37"/>
      <c r="E22" s="37"/>
      <c r="F22" s="37"/>
      <c r="G22" s="38">
        <f>G23</f>
        <v>2423367</v>
      </c>
      <c r="H22" s="38">
        <f>H23</f>
        <v>1243327</v>
      </c>
      <c r="I22" s="38">
        <f t="shared" ref="I22:AH22" si="7">I23</f>
        <v>531389</v>
      </c>
      <c r="J22" s="38">
        <f t="shared" si="7"/>
        <v>285724</v>
      </c>
      <c r="K22" s="38">
        <f t="shared" si="7"/>
        <v>462375</v>
      </c>
      <c r="L22" s="38">
        <f t="shared" si="7"/>
        <v>285724</v>
      </c>
      <c r="M22" s="38">
        <f t="shared" si="7"/>
        <v>1583590</v>
      </c>
      <c r="N22" s="38">
        <f t="shared" si="7"/>
        <v>335960</v>
      </c>
      <c r="O22" s="38">
        <f t="shared" si="7"/>
        <v>1606090.1</v>
      </c>
      <c r="P22" s="38">
        <f t="shared" si="7"/>
        <v>358460.1</v>
      </c>
      <c r="Q22" s="38">
        <f t="shared" si="7"/>
        <v>22500</v>
      </c>
      <c r="R22" s="38">
        <f t="shared" si="7"/>
        <v>0</v>
      </c>
      <c r="S22" s="38">
        <f t="shared" si="7"/>
        <v>1606090.1</v>
      </c>
      <c r="T22" s="38">
        <f t="shared" si="7"/>
        <v>358460.1</v>
      </c>
      <c r="U22" s="38">
        <f t="shared" si="7"/>
        <v>0</v>
      </c>
      <c r="V22" s="38">
        <f t="shared" si="7"/>
        <v>0</v>
      </c>
      <c r="W22" s="38">
        <f t="shared" si="7"/>
        <v>22500</v>
      </c>
      <c r="X22" s="38">
        <f t="shared" si="7"/>
        <v>22500</v>
      </c>
      <c r="Y22" s="38">
        <f t="shared" si="7"/>
        <v>35000</v>
      </c>
      <c r="Z22" s="38">
        <f t="shared" si="7"/>
        <v>35000</v>
      </c>
      <c r="AA22" s="38">
        <f t="shared" si="7"/>
        <v>448900</v>
      </c>
      <c r="AB22" s="38">
        <f t="shared" si="7"/>
        <v>203970</v>
      </c>
      <c r="AC22" s="38">
        <f t="shared" si="7"/>
        <v>1146686.1000000001</v>
      </c>
      <c r="AD22" s="38">
        <f t="shared" si="7"/>
        <v>143986.1</v>
      </c>
      <c r="AE22" s="38">
        <f t="shared" si="7"/>
        <v>0</v>
      </c>
      <c r="AF22" s="38">
        <f t="shared" si="7"/>
        <v>0</v>
      </c>
      <c r="AG22" s="38">
        <f t="shared" si="7"/>
        <v>0</v>
      </c>
      <c r="AH22" s="38">
        <f t="shared" si="7"/>
        <v>0</v>
      </c>
      <c r="AI22" s="40"/>
      <c r="AJ22" s="19">
        <f t="shared" si="2"/>
        <v>1</v>
      </c>
      <c r="AK22" s="22"/>
      <c r="AL22" s="22"/>
      <c r="AM22" s="12"/>
      <c r="AN22" s="12"/>
      <c r="AO22" s="12"/>
      <c r="AP22" s="12"/>
      <c r="AQ22" s="12"/>
      <c r="AR22" s="12"/>
      <c r="AS22" s="12"/>
      <c r="AT22" s="12"/>
      <c r="AU22" s="12"/>
      <c r="AV22" s="41"/>
    </row>
    <row r="23" spans="1:48" s="49" customFormat="1" ht="34.5" x14ac:dyDescent="0.25">
      <c r="A23" s="43" t="s">
        <v>47</v>
      </c>
      <c r="B23" s="44" t="s">
        <v>48</v>
      </c>
      <c r="C23" s="45"/>
      <c r="D23" s="45"/>
      <c r="E23" s="45"/>
      <c r="F23" s="45"/>
      <c r="G23" s="46">
        <f>SUM(G26:G31)</f>
        <v>2423367</v>
      </c>
      <c r="H23" s="46">
        <f t="shared" ref="H23:T23" si="8">SUM(H26:H31)</f>
        <v>1243327</v>
      </c>
      <c r="I23" s="46">
        <f t="shared" si="8"/>
        <v>531389</v>
      </c>
      <c r="J23" s="46">
        <f t="shared" si="8"/>
        <v>285724</v>
      </c>
      <c r="K23" s="46">
        <f t="shared" si="8"/>
        <v>462375</v>
      </c>
      <c r="L23" s="46">
        <f t="shared" si="8"/>
        <v>285724</v>
      </c>
      <c r="M23" s="46">
        <f t="shared" si="8"/>
        <v>1583590</v>
      </c>
      <c r="N23" s="46">
        <f t="shared" si="8"/>
        <v>335960</v>
      </c>
      <c r="O23" s="46">
        <f t="shared" si="8"/>
        <v>1606090.1</v>
      </c>
      <c r="P23" s="46">
        <f t="shared" si="8"/>
        <v>358460.1</v>
      </c>
      <c r="Q23" s="46">
        <f t="shared" si="8"/>
        <v>22500</v>
      </c>
      <c r="R23" s="46">
        <f t="shared" si="8"/>
        <v>0</v>
      </c>
      <c r="S23" s="46">
        <f t="shared" si="8"/>
        <v>1606090.1</v>
      </c>
      <c r="T23" s="46">
        <f t="shared" si="8"/>
        <v>358460.1</v>
      </c>
      <c r="U23" s="46">
        <f t="shared" ref="U23:X23" si="9">U31</f>
        <v>0</v>
      </c>
      <c r="V23" s="46">
        <f t="shared" si="9"/>
        <v>0</v>
      </c>
      <c r="W23" s="46">
        <f t="shared" si="9"/>
        <v>22500</v>
      </c>
      <c r="X23" s="46">
        <f t="shared" si="9"/>
        <v>22500</v>
      </c>
      <c r="Y23" s="46">
        <f t="shared" ref="Y23:AH23" si="10">SUM(Y25:Y30)</f>
        <v>35000</v>
      </c>
      <c r="Z23" s="46">
        <f t="shared" si="10"/>
        <v>35000</v>
      </c>
      <c r="AA23" s="46">
        <f t="shared" si="10"/>
        <v>448900</v>
      </c>
      <c r="AB23" s="46">
        <f t="shared" si="10"/>
        <v>203970</v>
      </c>
      <c r="AC23" s="46">
        <f t="shared" si="10"/>
        <v>1146686.1000000001</v>
      </c>
      <c r="AD23" s="46">
        <f t="shared" si="10"/>
        <v>143986.1</v>
      </c>
      <c r="AE23" s="46">
        <f t="shared" si="10"/>
        <v>0</v>
      </c>
      <c r="AF23" s="46">
        <f t="shared" si="10"/>
        <v>0</v>
      </c>
      <c r="AG23" s="46">
        <f t="shared" si="10"/>
        <v>0</v>
      </c>
      <c r="AH23" s="46">
        <f t="shared" si="10"/>
        <v>0</v>
      </c>
      <c r="AI23" s="47"/>
      <c r="AJ23" s="19">
        <f t="shared" si="2"/>
        <v>1</v>
      </c>
      <c r="AK23" s="22"/>
      <c r="AL23" s="22"/>
      <c r="AM23" s="12"/>
      <c r="AN23" s="12"/>
      <c r="AO23" s="12"/>
      <c r="AP23" s="12"/>
      <c r="AQ23" s="12"/>
      <c r="AR23" s="12"/>
      <c r="AS23" s="12"/>
      <c r="AT23" s="12"/>
      <c r="AU23" s="12"/>
      <c r="AV23" s="48"/>
    </row>
    <row r="24" spans="1:48" ht="17.25" x14ac:dyDescent="0.25">
      <c r="A24" s="50"/>
      <c r="B24" s="51" t="s">
        <v>49</v>
      </c>
      <c r="C24" s="52"/>
      <c r="D24" s="52"/>
      <c r="E24" s="52"/>
      <c r="F24" s="52"/>
      <c r="G24" s="53"/>
      <c r="H24" s="53"/>
      <c r="I24" s="53"/>
      <c r="J24" s="53"/>
      <c r="K24" s="53"/>
      <c r="L24" s="53"/>
      <c r="M24" s="53"/>
      <c r="N24" s="53"/>
      <c r="O24" s="53"/>
      <c r="P24" s="53"/>
      <c r="Q24" s="54"/>
      <c r="R24" s="54"/>
      <c r="S24" s="53"/>
      <c r="T24" s="53"/>
      <c r="U24" s="53"/>
      <c r="V24" s="53"/>
      <c r="W24" s="53"/>
      <c r="X24" s="53"/>
      <c r="Y24" s="53"/>
      <c r="Z24" s="53"/>
      <c r="AA24" s="53"/>
      <c r="AB24" s="53"/>
      <c r="AC24" s="53"/>
      <c r="AD24" s="53"/>
      <c r="AE24" s="53"/>
      <c r="AF24" s="53"/>
      <c r="AG24" s="53"/>
      <c r="AH24" s="53"/>
      <c r="AI24" s="55"/>
      <c r="AJ24" s="19">
        <f t="shared" si="2"/>
        <v>0</v>
      </c>
      <c r="AK24" s="22"/>
      <c r="AL24" s="22"/>
    </row>
    <row r="25" spans="1:48" ht="51.75" x14ac:dyDescent="0.25">
      <c r="A25" s="50"/>
      <c r="B25" s="56" t="s">
        <v>50</v>
      </c>
      <c r="C25" s="57"/>
      <c r="D25" s="57"/>
      <c r="E25" s="57"/>
      <c r="F25" s="57"/>
      <c r="G25" s="58"/>
      <c r="H25" s="58"/>
      <c r="I25" s="58"/>
      <c r="J25" s="58"/>
      <c r="K25" s="58"/>
      <c r="L25" s="58"/>
      <c r="M25" s="58"/>
      <c r="N25" s="58"/>
      <c r="O25" s="58"/>
      <c r="P25" s="58"/>
      <c r="Q25" s="54"/>
      <c r="R25" s="54"/>
      <c r="S25" s="58"/>
      <c r="T25" s="58"/>
      <c r="U25" s="58"/>
      <c r="V25" s="58"/>
      <c r="W25" s="58"/>
      <c r="X25" s="58"/>
      <c r="Y25" s="58"/>
      <c r="Z25" s="58"/>
      <c r="AA25" s="58"/>
      <c r="AB25" s="58"/>
      <c r="AC25" s="58"/>
      <c r="AD25" s="58"/>
      <c r="AE25" s="58"/>
      <c r="AF25" s="58"/>
      <c r="AG25" s="58"/>
      <c r="AH25" s="58"/>
      <c r="AI25" s="59"/>
      <c r="AJ25" s="19">
        <f t="shared" si="2"/>
        <v>0</v>
      </c>
      <c r="AK25" s="22"/>
      <c r="AL25" s="22"/>
    </row>
    <row r="26" spans="1:48" ht="49.5" x14ac:dyDescent="0.25">
      <c r="A26" s="60">
        <v>1</v>
      </c>
      <c r="B26" s="9" t="s">
        <v>51</v>
      </c>
      <c r="C26" s="61" t="s">
        <v>52</v>
      </c>
      <c r="D26" s="61" t="s">
        <v>53</v>
      </c>
      <c r="E26" s="61" t="s">
        <v>54</v>
      </c>
      <c r="F26" s="61" t="s">
        <v>55</v>
      </c>
      <c r="G26" s="62">
        <v>372000</v>
      </c>
      <c r="H26" s="62">
        <f>G26</f>
        <v>372000</v>
      </c>
      <c r="I26" s="63">
        <v>127000</v>
      </c>
      <c r="J26" s="63">
        <f>I26</f>
        <v>127000</v>
      </c>
      <c r="K26" s="63">
        <v>127000</v>
      </c>
      <c r="L26" s="63">
        <f>K26</f>
        <v>127000</v>
      </c>
      <c r="M26" s="63">
        <f>N26</f>
        <v>73000</v>
      </c>
      <c r="N26" s="63">
        <v>73000</v>
      </c>
      <c r="O26" s="63">
        <f>P26</f>
        <v>73000</v>
      </c>
      <c r="P26" s="63">
        <v>73000</v>
      </c>
      <c r="Q26" s="54"/>
      <c r="R26" s="54">
        <f>N26-T26</f>
        <v>0</v>
      </c>
      <c r="S26" s="63">
        <f>T26</f>
        <v>73000</v>
      </c>
      <c r="T26" s="63">
        <v>73000</v>
      </c>
      <c r="U26" s="63">
        <v>60000</v>
      </c>
      <c r="V26" s="63">
        <v>60000</v>
      </c>
      <c r="W26" s="63"/>
      <c r="X26" s="63"/>
      <c r="Y26" s="63"/>
      <c r="Z26" s="63"/>
      <c r="AA26" s="63">
        <f>U26+W26+Y26</f>
        <v>60000</v>
      </c>
      <c r="AB26" s="63">
        <f>V26+X26+Z26</f>
        <v>60000</v>
      </c>
      <c r="AC26" s="63">
        <f>O26-AA26</f>
        <v>13000</v>
      </c>
      <c r="AD26" s="63">
        <f>P26-AB26</f>
        <v>13000</v>
      </c>
      <c r="AE26" s="63">
        <f>AF26</f>
        <v>0</v>
      </c>
      <c r="AF26" s="63">
        <f>IF(AB26=0,AD26,0)</f>
        <v>0</v>
      </c>
      <c r="AG26" s="63"/>
      <c r="AH26" s="63"/>
      <c r="AI26" s="27"/>
      <c r="AJ26" s="19">
        <f t="shared" si="2"/>
        <v>0</v>
      </c>
      <c r="AK26" s="22">
        <f t="shared" ref="AK26:AK91" si="11">AJ26</f>
        <v>0</v>
      </c>
      <c r="AL26" s="22"/>
      <c r="AM26" s="12">
        <f>IF(AJ26=0,1,0)</f>
        <v>1</v>
      </c>
      <c r="AO26" s="12">
        <f>IF(P26=0,1,0)</f>
        <v>0</v>
      </c>
      <c r="AP26" s="12">
        <f t="shared" ref="AP26:AP64" si="12">IF(AO26=1,N26,0)</f>
        <v>0</v>
      </c>
      <c r="AQ26" s="12">
        <f>IF(N26=0,1,0)</f>
        <v>0</v>
      </c>
      <c r="AR26" s="12">
        <f t="shared" ref="AR26:AR64" si="13">IF(AQ26=1,P26,0)</f>
        <v>0</v>
      </c>
      <c r="AS26" s="12">
        <f>IF(Q26=0,0,1)</f>
        <v>0</v>
      </c>
      <c r="AT26" s="12">
        <f>IF(AS26=1,Q26,0)</f>
        <v>0</v>
      </c>
      <c r="AU26" s="12">
        <f>IF(R26=0,0,1)</f>
        <v>0</v>
      </c>
      <c r="AV26" s="12">
        <f>IF(AU26=1,R26,0)</f>
        <v>0</v>
      </c>
    </row>
    <row r="27" spans="1:48" ht="49.5" x14ac:dyDescent="0.25">
      <c r="A27" s="64" t="s">
        <v>56</v>
      </c>
      <c r="B27" s="9" t="s">
        <v>57</v>
      </c>
      <c r="C27" s="61" t="s">
        <v>58</v>
      </c>
      <c r="D27" s="65" t="s">
        <v>59</v>
      </c>
      <c r="E27" s="61" t="s">
        <v>60</v>
      </c>
      <c r="F27" s="61" t="s">
        <v>61</v>
      </c>
      <c r="G27" s="62">
        <v>528848</v>
      </c>
      <c r="H27" s="62">
        <f>G27-210000</f>
        <v>318848</v>
      </c>
      <c r="I27" s="63">
        <v>18700</v>
      </c>
      <c r="J27" s="5"/>
      <c r="K27" s="63">
        <v>18700</v>
      </c>
      <c r="L27" s="5"/>
      <c r="M27" s="63">
        <v>450000</v>
      </c>
      <c r="N27" s="63">
        <v>173000</v>
      </c>
      <c r="O27" s="63">
        <v>450000</v>
      </c>
      <c r="P27" s="63">
        <v>173000</v>
      </c>
      <c r="Q27" s="54"/>
      <c r="R27" s="54">
        <f t="shared" ref="R27:R30" si="14">N27-T27</f>
        <v>0</v>
      </c>
      <c r="S27" s="63">
        <v>450000</v>
      </c>
      <c r="T27" s="63">
        <v>173000</v>
      </c>
      <c r="U27" s="63">
        <v>113700</v>
      </c>
      <c r="V27" s="63">
        <v>16000</v>
      </c>
      <c r="W27" s="5">
        <v>92230</v>
      </c>
      <c r="X27" s="5">
        <v>50000</v>
      </c>
      <c r="Y27" s="5"/>
      <c r="Z27" s="5"/>
      <c r="AA27" s="63">
        <f t="shared" ref="AA27:AB30" si="15">U27+W27+Y27</f>
        <v>205930</v>
      </c>
      <c r="AB27" s="63">
        <f t="shared" si="15"/>
        <v>66000</v>
      </c>
      <c r="AC27" s="63">
        <f>O27-AA27</f>
        <v>244070</v>
      </c>
      <c r="AD27" s="63">
        <f>P27-AB27</f>
        <v>107000</v>
      </c>
      <c r="AE27" s="63">
        <f t="shared" ref="AE27:AE30" si="16">AF27</f>
        <v>0</v>
      </c>
      <c r="AF27" s="63">
        <f t="shared" ref="AF27:AF30" si="17">IF(AB27=0,AD27,0)</f>
        <v>0</v>
      </c>
      <c r="AG27" s="5"/>
      <c r="AH27" s="5"/>
      <c r="AI27" s="66" t="s">
        <v>62</v>
      </c>
      <c r="AJ27" s="19">
        <f t="shared" si="2"/>
        <v>0</v>
      </c>
      <c r="AK27" s="22">
        <f t="shared" si="11"/>
        <v>0</v>
      </c>
      <c r="AL27" s="22"/>
      <c r="AM27" s="12">
        <f>IF(AJ27=0,1,0)</f>
        <v>1</v>
      </c>
      <c r="AO27" s="12">
        <f>IF(P27=0,1,0)</f>
        <v>0</v>
      </c>
      <c r="AP27" s="12">
        <f t="shared" si="12"/>
        <v>0</v>
      </c>
      <c r="AQ27" s="12">
        <f>IF(N27=0,1,0)</f>
        <v>0</v>
      </c>
      <c r="AR27" s="12">
        <f t="shared" si="13"/>
        <v>0</v>
      </c>
      <c r="AS27" s="12">
        <f>IF(Q27=0,0,1)</f>
        <v>0</v>
      </c>
      <c r="AT27" s="12">
        <f t="shared" ref="AT27:AT93" si="18">IF(AS27=1,Q27,0)</f>
        <v>0</v>
      </c>
      <c r="AU27" s="12">
        <f>IF(R27=0,0,1)</f>
        <v>0</v>
      </c>
      <c r="AV27" s="12">
        <f t="shared" ref="AV27:AV93" si="19">IF(AU27=1,R27,0)</f>
        <v>0</v>
      </c>
    </row>
    <row r="28" spans="1:48" ht="49.5" x14ac:dyDescent="0.25">
      <c r="A28" s="60">
        <v>3</v>
      </c>
      <c r="B28" s="9" t="s">
        <v>63</v>
      </c>
      <c r="C28" s="61" t="s">
        <v>64</v>
      </c>
      <c r="D28" s="61" t="s">
        <v>65</v>
      </c>
      <c r="E28" s="61" t="s">
        <v>66</v>
      </c>
      <c r="F28" s="61" t="s">
        <v>67</v>
      </c>
      <c r="G28" s="62">
        <v>311027</v>
      </c>
      <c r="H28" s="62">
        <f>G28-108000</f>
        <v>203027</v>
      </c>
      <c r="I28" s="63">
        <v>106965</v>
      </c>
      <c r="J28" s="63">
        <v>3000</v>
      </c>
      <c r="K28" s="63">
        <v>106965</v>
      </c>
      <c r="L28" s="63">
        <v>3000</v>
      </c>
      <c r="M28" s="63">
        <f>N28+105000</f>
        <v>132000</v>
      </c>
      <c r="N28" s="63">
        <v>27000</v>
      </c>
      <c r="O28" s="63">
        <f>P28+105000</f>
        <v>132000</v>
      </c>
      <c r="P28" s="63">
        <v>27000</v>
      </c>
      <c r="Q28" s="54"/>
      <c r="R28" s="54">
        <f t="shared" si="14"/>
        <v>0</v>
      </c>
      <c r="S28" s="63">
        <f>T28+105000</f>
        <v>132000</v>
      </c>
      <c r="T28" s="63">
        <v>27000</v>
      </c>
      <c r="U28" s="63">
        <v>105000</v>
      </c>
      <c r="V28" s="63"/>
      <c r="W28" s="63">
        <f>X28</f>
        <v>38996</v>
      </c>
      <c r="X28" s="63">
        <v>38996</v>
      </c>
      <c r="Y28" s="63"/>
      <c r="Z28" s="63"/>
      <c r="AA28" s="63">
        <f t="shared" si="15"/>
        <v>143996</v>
      </c>
      <c r="AB28" s="63">
        <f t="shared" si="15"/>
        <v>38996</v>
      </c>
      <c r="AC28" s="63"/>
      <c r="AD28" s="63"/>
      <c r="AE28" s="63">
        <f t="shared" si="16"/>
        <v>0</v>
      </c>
      <c r="AF28" s="63">
        <f t="shared" si="17"/>
        <v>0</v>
      </c>
      <c r="AG28" s="63"/>
      <c r="AH28" s="63"/>
      <c r="AI28" s="66" t="s">
        <v>68</v>
      </c>
      <c r="AJ28" s="19">
        <f t="shared" si="2"/>
        <v>0</v>
      </c>
      <c r="AK28" s="22">
        <f t="shared" si="11"/>
        <v>0</v>
      </c>
      <c r="AL28" s="22"/>
      <c r="AM28" s="12">
        <f>IF(AJ28=0,1,0)</f>
        <v>1</v>
      </c>
      <c r="AO28" s="12">
        <f>IF(P28=0,1,0)</f>
        <v>0</v>
      </c>
      <c r="AP28" s="12">
        <f t="shared" si="12"/>
        <v>0</v>
      </c>
      <c r="AQ28" s="12">
        <f>IF(N28=0,1,0)</f>
        <v>0</v>
      </c>
      <c r="AR28" s="12">
        <f t="shared" si="13"/>
        <v>0</v>
      </c>
      <c r="AS28" s="12">
        <f>IF(Q28=0,0,1)</f>
        <v>0</v>
      </c>
      <c r="AT28" s="12">
        <f t="shared" si="18"/>
        <v>0</v>
      </c>
      <c r="AU28" s="12">
        <f>IF(R28=0,0,1)</f>
        <v>0</v>
      </c>
      <c r="AV28" s="12">
        <f t="shared" si="19"/>
        <v>0</v>
      </c>
    </row>
    <row r="29" spans="1:48" ht="99" x14ac:dyDescent="0.25">
      <c r="A29" s="60">
        <v>4</v>
      </c>
      <c r="B29" s="67" t="s">
        <v>69</v>
      </c>
      <c r="C29" s="61" t="s">
        <v>70</v>
      </c>
      <c r="D29" s="61" t="s">
        <v>71</v>
      </c>
      <c r="E29" s="61" t="s">
        <v>72</v>
      </c>
      <c r="F29" s="61" t="s">
        <v>73</v>
      </c>
      <c r="G29" s="68">
        <v>34839</v>
      </c>
      <c r="H29" s="68">
        <f>G29</f>
        <v>34839</v>
      </c>
      <c r="I29" s="63">
        <f>J29</f>
        <v>15095</v>
      </c>
      <c r="J29" s="63">
        <v>15095</v>
      </c>
      <c r="K29" s="63">
        <f>L29</f>
        <v>15095</v>
      </c>
      <c r="L29" s="63">
        <f>J29</f>
        <v>15095</v>
      </c>
      <c r="M29" s="63">
        <f>N29</f>
        <v>16260</v>
      </c>
      <c r="N29" s="63">
        <v>16260</v>
      </c>
      <c r="O29" s="63">
        <f>P29</f>
        <v>16260.100000000002</v>
      </c>
      <c r="P29" s="63">
        <v>16260.100000000002</v>
      </c>
      <c r="Q29" s="54"/>
      <c r="R29" s="54"/>
      <c r="S29" s="63">
        <f>T29</f>
        <v>16260.100000000002</v>
      </c>
      <c r="T29" s="63">
        <v>16260.100000000002</v>
      </c>
      <c r="U29" s="63">
        <v>3000</v>
      </c>
      <c r="V29" s="63">
        <v>3000</v>
      </c>
      <c r="W29" s="63">
        <f>X29</f>
        <v>974</v>
      </c>
      <c r="X29" s="63">
        <v>974</v>
      </c>
      <c r="Y29" s="63"/>
      <c r="Z29" s="63"/>
      <c r="AA29" s="63">
        <f t="shared" si="15"/>
        <v>3974</v>
      </c>
      <c r="AB29" s="63">
        <f t="shared" si="15"/>
        <v>3974</v>
      </c>
      <c r="AC29" s="63">
        <f t="shared" ref="AC29:AD31" si="20">O29-AA29</f>
        <v>12286.100000000002</v>
      </c>
      <c r="AD29" s="63">
        <f t="shared" si="20"/>
        <v>12286.100000000002</v>
      </c>
      <c r="AE29" s="63">
        <f t="shared" si="16"/>
        <v>0</v>
      </c>
      <c r="AF29" s="63">
        <f t="shared" si="17"/>
        <v>0</v>
      </c>
      <c r="AG29" s="63"/>
      <c r="AH29" s="63"/>
      <c r="AI29" s="69"/>
      <c r="AJ29" s="19">
        <f t="shared" si="2"/>
        <v>1</v>
      </c>
      <c r="AK29" s="22">
        <f t="shared" si="11"/>
        <v>1</v>
      </c>
      <c r="AL29" s="22"/>
      <c r="AM29" s="12">
        <f>IF(AJ29=0,1,0)</f>
        <v>0</v>
      </c>
      <c r="AO29" s="12">
        <f>IF(P29=0,1,0)</f>
        <v>0</v>
      </c>
      <c r="AP29" s="12">
        <f t="shared" si="12"/>
        <v>0</v>
      </c>
      <c r="AQ29" s="12">
        <f>IF(N29=0,1,0)</f>
        <v>0</v>
      </c>
      <c r="AR29" s="12">
        <f t="shared" si="13"/>
        <v>0</v>
      </c>
      <c r="AS29" s="12">
        <f>IF(Q29=0,0,1)</f>
        <v>0</v>
      </c>
      <c r="AT29" s="12">
        <f t="shared" si="18"/>
        <v>0</v>
      </c>
      <c r="AU29" s="12">
        <f>IF(R29=0,0,1)</f>
        <v>0</v>
      </c>
      <c r="AV29" s="12">
        <f t="shared" si="19"/>
        <v>0</v>
      </c>
    </row>
    <row r="30" spans="1:48" ht="66" x14ac:dyDescent="0.25">
      <c r="A30" s="60">
        <v>5</v>
      </c>
      <c r="B30" s="67" t="s">
        <v>74</v>
      </c>
      <c r="C30" s="61" t="s">
        <v>75</v>
      </c>
      <c r="D30" s="61" t="s">
        <v>76</v>
      </c>
      <c r="E30" s="70" t="s">
        <v>77</v>
      </c>
      <c r="F30" s="61" t="s">
        <v>78</v>
      </c>
      <c r="G30" s="68">
        <v>945665</v>
      </c>
      <c r="H30" s="68">
        <v>107625</v>
      </c>
      <c r="I30" s="71">
        <v>102348</v>
      </c>
      <c r="J30" s="63">
        <v>3348</v>
      </c>
      <c r="K30" s="63">
        <v>33334</v>
      </c>
      <c r="L30" s="63">
        <v>3348</v>
      </c>
      <c r="M30" s="63">
        <v>912330</v>
      </c>
      <c r="N30" s="63">
        <v>46700</v>
      </c>
      <c r="O30" s="63">
        <v>912330</v>
      </c>
      <c r="P30" s="63">
        <v>46700</v>
      </c>
      <c r="Q30" s="54"/>
      <c r="R30" s="54">
        <f t="shared" si="14"/>
        <v>0</v>
      </c>
      <c r="S30" s="63">
        <v>912330</v>
      </c>
      <c r="T30" s="63">
        <v>46700</v>
      </c>
      <c r="U30" s="63"/>
      <c r="V30" s="63"/>
      <c r="W30" s="63">
        <f>X30</f>
        <v>0</v>
      </c>
      <c r="X30" s="63"/>
      <c r="Y30" s="63">
        <f>Z30</f>
        <v>35000</v>
      </c>
      <c r="Z30" s="63">
        <v>35000</v>
      </c>
      <c r="AA30" s="63">
        <f t="shared" si="15"/>
        <v>35000</v>
      </c>
      <c r="AB30" s="63">
        <f t="shared" si="15"/>
        <v>35000</v>
      </c>
      <c r="AC30" s="63">
        <f t="shared" si="20"/>
        <v>877330</v>
      </c>
      <c r="AD30" s="63">
        <f t="shared" si="20"/>
        <v>11700</v>
      </c>
      <c r="AE30" s="63">
        <f t="shared" si="16"/>
        <v>0</v>
      </c>
      <c r="AF30" s="63">
        <f t="shared" si="17"/>
        <v>0</v>
      </c>
      <c r="AG30" s="63"/>
      <c r="AH30" s="63"/>
      <c r="AI30" s="25" t="s">
        <v>79</v>
      </c>
      <c r="AJ30" s="19">
        <f t="shared" si="2"/>
        <v>0</v>
      </c>
      <c r="AK30" s="22">
        <f t="shared" si="11"/>
        <v>0</v>
      </c>
      <c r="AL30" s="22"/>
      <c r="AM30" s="12">
        <f>IF(AJ30=0,1,0)</f>
        <v>1</v>
      </c>
      <c r="AO30" s="12">
        <f>IF(P30=0,1,0)</f>
        <v>0</v>
      </c>
      <c r="AP30" s="12">
        <f t="shared" si="12"/>
        <v>0</v>
      </c>
      <c r="AQ30" s="12">
        <f>IF(N30=0,1,0)</f>
        <v>0</v>
      </c>
      <c r="AR30" s="12">
        <f t="shared" si="13"/>
        <v>0</v>
      </c>
      <c r="AS30" s="12">
        <f>IF(Q30=0,0,1)</f>
        <v>0</v>
      </c>
      <c r="AT30" s="12">
        <f t="shared" si="18"/>
        <v>0</v>
      </c>
      <c r="AU30" s="12">
        <f>IF(R30=0,0,1)</f>
        <v>0</v>
      </c>
      <c r="AV30" s="12">
        <f t="shared" si="19"/>
        <v>0</v>
      </c>
    </row>
    <row r="31" spans="1:48" ht="99" x14ac:dyDescent="0.25">
      <c r="A31" s="60">
        <v>6</v>
      </c>
      <c r="B31" s="67" t="s">
        <v>80</v>
      </c>
      <c r="C31" s="61" t="s">
        <v>70</v>
      </c>
      <c r="D31" s="61" t="s">
        <v>81</v>
      </c>
      <c r="E31" s="61" t="s">
        <v>82</v>
      </c>
      <c r="F31" s="61" t="s">
        <v>83</v>
      </c>
      <c r="G31" s="68">
        <v>230988</v>
      </c>
      <c r="H31" s="68">
        <f>G31-24000</f>
        <v>206988</v>
      </c>
      <c r="I31" s="63">
        <f>J31+24000</f>
        <v>161281</v>
      </c>
      <c r="J31" s="63">
        <v>137281</v>
      </c>
      <c r="K31" s="63">
        <f>I31</f>
        <v>161281</v>
      </c>
      <c r="L31" s="63">
        <f>J31</f>
        <v>137281</v>
      </c>
      <c r="M31" s="63"/>
      <c r="N31" s="63"/>
      <c r="O31" s="63">
        <f>P31</f>
        <v>22500</v>
      </c>
      <c r="P31" s="63">
        <v>22500</v>
      </c>
      <c r="Q31" s="63">
        <f>T31-N31</f>
        <v>22500</v>
      </c>
      <c r="R31" s="54"/>
      <c r="S31" s="63">
        <f>T31</f>
        <v>22500</v>
      </c>
      <c r="T31" s="63">
        <v>22500</v>
      </c>
      <c r="U31" s="63"/>
      <c r="V31" s="63"/>
      <c r="W31" s="63">
        <f>X31</f>
        <v>22500</v>
      </c>
      <c r="X31" s="63">
        <v>22500</v>
      </c>
      <c r="Y31" s="63"/>
      <c r="Z31" s="63"/>
      <c r="AA31" s="63">
        <f>U31+W31+Y31</f>
        <v>22500</v>
      </c>
      <c r="AB31" s="63">
        <f>V31+X31+Z31</f>
        <v>22500</v>
      </c>
      <c r="AC31" s="63">
        <f t="shared" si="20"/>
        <v>0</v>
      </c>
      <c r="AD31" s="63">
        <f t="shared" si="20"/>
        <v>0</v>
      </c>
      <c r="AE31" s="63">
        <f>AF31</f>
        <v>0</v>
      </c>
      <c r="AF31" s="63">
        <f>IF(AB31=0,AD31,0)</f>
        <v>0</v>
      </c>
      <c r="AG31" s="63"/>
      <c r="AH31" s="63"/>
      <c r="AI31" s="25" t="s">
        <v>84</v>
      </c>
      <c r="AJ31" s="19">
        <f t="shared" si="2"/>
        <v>1</v>
      </c>
      <c r="AK31" s="22">
        <f>AJ31</f>
        <v>1</v>
      </c>
      <c r="AL31" s="22"/>
      <c r="AM31" s="12">
        <f t="shared" ref="AM31" si="21">IF(AJ31=0,1,0)</f>
        <v>0</v>
      </c>
      <c r="AO31" s="12">
        <f t="shared" ref="AO31" si="22">IF(P31=0,1,0)</f>
        <v>0</v>
      </c>
      <c r="AP31" s="12">
        <f t="shared" si="12"/>
        <v>0</v>
      </c>
      <c r="AQ31" s="12">
        <f t="shared" ref="AQ31" si="23">IF(N31=0,1,0)</f>
        <v>1</v>
      </c>
      <c r="AR31" s="12">
        <f t="shared" si="13"/>
        <v>22500</v>
      </c>
      <c r="AS31" s="12">
        <f t="shared" ref="AS31" si="24">IF(Q31=0,0,1)</f>
        <v>1</v>
      </c>
      <c r="AT31" s="12">
        <f>IF(AS31=1,Q31,0)</f>
        <v>22500</v>
      </c>
      <c r="AU31" s="12">
        <f t="shared" ref="AU31" si="25">IF(R31=0,0,1)</f>
        <v>0</v>
      </c>
      <c r="AV31" s="12">
        <f>IF(AU31=1,R31,0)</f>
        <v>0</v>
      </c>
    </row>
    <row r="32" spans="1:48" s="42" customFormat="1" ht="34.5" x14ac:dyDescent="0.25">
      <c r="A32" s="35" t="s">
        <v>85</v>
      </c>
      <c r="B32" s="36" t="s">
        <v>86</v>
      </c>
      <c r="C32" s="37"/>
      <c r="D32" s="37"/>
      <c r="E32" s="37"/>
      <c r="F32" s="37"/>
      <c r="G32" s="38">
        <f>G33+G46</f>
        <v>5224628</v>
      </c>
      <c r="H32" s="38">
        <f>H33+H46</f>
        <v>4655786</v>
      </c>
      <c r="I32" s="38"/>
      <c r="J32" s="38"/>
      <c r="K32" s="38"/>
      <c r="L32" s="38"/>
      <c r="M32" s="38">
        <f t="shared" ref="M32:AH32" si="26">M33+M46</f>
        <v>2830040</v>
      </c>
      <c r="N32" s="38">
        <f t="shared" si="26"/>
        <v>954040</v>
      </c>
      <c r="O32" s="38">
        <f t="shared" si="26"/>
        <v>2398040</v>
      </c>
      <c r="P32" s="38">
        <f t="shared" si="26"/>
        <v>1723540</v>
      </c>
      <c r="Q32" s="38">
        <f t="shared" si="26"/>
        <v>1014910</v>
      </c>
      <c r="R32" s="38">
        <f t="shared" si="26"/>
        <v>95200</v>
      </c>
      <c r="S32" s="38">
        <f t="shared" si="26"/>
        <v>2312750</v>
      </c>
      <c r="T32" s="38">
        <f t="shared" si="26"/>
        <v>1873750</v>
      </c>
      <c r="U32" s="38">
        <f t="shared" si="26"/>
        <v>38000</v>
      </c>
      <c r="V32" s="38">
        <f t="shared" si="26"/>
        <v>13000</v>
      </c>
      <c r="W32" s="38">
        <f t="shared" si="26"/>
        <v>296147</v>
      </c>
      <c r="X32" s="38">
        <f t="shared" si="26"/>
        <v>296147</v>
      </c>
      <c r="Y32" s="38">
        <f t="shared" si="26"/>
        <v>0</v>
      </c>
      <c r="Z32" s="38">
        <f t="shared" si="26"/>
        <v>0</v>
      </c>
      <c r="AA32" s="38">
        <f t="shared" si="26"/>
        <v>334147</v>
      </c>
      <c r="AB32" s="38">
        <f t="shared" si="26"/>
        <v>309147</v>
      </c>
      <c r="AC32" s="38">
        <f t="shared" si="26"/>
        <v>2073893</v>
      </c>
      <c r="AD32" s="38">
        <f t="shared" si="26"/>
        <v>1424393</v>
      </c>
      <c r="AE32" s="38">
        <f t="shared" si="26"/>
        <v>1237700</v>
      </c>
      <c r="AF32" s="38">
        <f t="shared" si="26"/>
        <v>1237700</v>
      </c>
      <c r="AG32" s="38">
        <f t="shared" si="26"/>
        <v>1993129</v>
      </c>
      <c r="AH32" s="38">
        <f t="shared" si="26"/>
        <v>1993129</v>
      </c>
      <c r="AI32" s="40"/>
      <c r="AJ32" s="19">
        <f t="shared" si="2"/>
        <v>1</v>
      </c>
      <c r="AK32" s="22"/>
      <c r="AL32" s="22">
        <f>Q32-R32</f>
        <v>919710</v>
      </c>
      <c r="AM32" s="92">
        <f>T32-N32</f>
        <v>919710</v>
      </c>
      <c r="AN32" s="12"/>
      <c r="AO32" s="12"/>
      <c r="AP32" s="12">
        <f t="shared" si="12"/>
        <v>0</v>
      </c>
      <c r="AQ32" s="12"/>
      <c r="AR32" s="12">
        <f t="shared" si="13"/>
        <v>0</v>
      </c>
      <c r="AS32" s="12"/>
      <c r="AT32" s="12">
        <f t="shared" si="18"/>
        <v>0</v>
      </c>
      <c r="AU32" s="12"/>
      <c r="AV32" s="12">
        <f t="shared" si="19"/>
        <v>0</v>
      </c>
    </row>
    <row r="33" spans="1:48" s="49" customFormat="1" ht="51.75" x14ac:dyDescent="0.25">
      <c r="A33" s="43" t="s">
        <v>87</v>
      </c>
      <c r="B33" s="44" t="s">
        <v>88</v>
      </c>
      <c r="C33" s="72"/>
      <c r="D33" s="72"/>
      <c r="E33" s="72"/>
      <c r="F33" s="72"/>
      <c r="G33" s="46">
        <f>SUM(G34:G45)</f>
        <v>2324818</v>
      </c>
      <c r="H33" s="46">
        <f t="shared" ref="H33:T33" si="27">SUM(H34:H45)</f>
        <v>2025427</v>
      </c>
      <c r="I33" s="46">
        <f t="shared" si="27"/>
        <v>0</v>
      </c>
      <c r="J33" s="46">
        <f t="shared" si="27"/>
        <v>0</v>
      </c>
      <c r="K33" s="46">
        <f t="shared" si="27"/>
        <v>0</v>
      </c>
      <c r="L33" s="46">
        <f t="shared" si="27"/>
        <v>0</v>
      </c>
      <c r="M33" s="46">
        <f t="shared" si="27"/>
        <v>2254840</v>
      </c>
      <c r="N33" s="46">
        <f t="shared" si="27"/>
        <v>550840</v>
      </c>
      <c r="O33" s="46">
        <f t="shared" si="27"/>
        <v>1844340</v>
      </c>
      <c r="P33" s="46">
        <f t="shared" si="27"/>
        <v>1341840</v>
      </c>
      <c r="Q33" s="46">
        <f t="shared" si="27"/>
        <v>894910</v>
      </c>
      <c r="R33" s="46">
        <f t="shared" si="27"/>
        <v>0</v>
      </c>
      <c r="S33" s="46">
        <f t="shared" si="27"/>
        <v>1712750</v>
      </c>
      <c r="T33" s="46">
        <f t="shared" si="27"/>
        <v>1445750</v>
      </c>
      <c r="U33" s="46">
        <f t="shared" ref="U33:AH33" si="28">SUM(U34:U45)</f>
        <v>38000</v>
      </c>
      <c r="V33" s="46">
        <f t="shared" si="28"/>
        <v>13000</v>
      </c>
      <c r="W33" s="46">
        <f t="shared" si="28"/>
        <v>296147</v>
      </c>
      <c r="X33" s="46">
        <f t="shared" si="28"/>
        <v>296147</v>
      </c>
      <c r="Y33" s="46">
        <f t="shared" si="28"/>
        <v>0</v>
      </c>
      <c r="Z33" s="46">
        <f t="shared" si="28"/>
        <v>0</v>
      </c>
      <c r="AA33" s="46">
        <f t="shared" si="28"/>
        <v>334147</v>
      </c>
      <c r="AB33" s="46">
        <f t="shared" si="28"/>
        <v>309147</v>
      </c>
      <c r="AC33" s="46">
        <f t="shared" si="28"/>
        <v>1520193</v>
      </c>
      <c r="AD33" s="46">
        <f t="shared" si="28"/>
        <v>1042693</v>
      </c>
      <c r="AE33" s="46">
        <f t="shared" si="28"/>
        <v>856000</v>
      </c>
      <c r="AF33" s="46">
        <f t="shared" si="28"/>
        <v>856000</v>
      </c>
      <c r="AG33" s="46">
        <f t="shared" si="28"/>
        <v>0</v>
      </c>
      <c r="AH33" s="46">
        <f t="shared" si="28"/>
        <v>0</v>
      </c>
      <c r="AI33" s="73"/>
      <c r="AJ33" s="19">
        <f t="shared" si="2"/>
        <v>1</v>
      </c>
      <c r="AK33" s="22"/>
      <c r="AL33" s="22"/>
      <c r="AM33" s="12"/>
      <c r="AN33" s="12"/>
      <c r="AO33" s="12"/>
      <c r="AP33" s="12">
        <f t="shared" si="12"/>
        <v>0</v>
      </c>
      <c r="AQ33" s="12"/>
      <c r="AR33" s="12">
        <f t="shared" si="13"/>
        <v>0</v>
      </c>
      <c r="AS33" s="12"/>
      <c r="AT33" s="12">
        <f t="shared" si="18"/>
        <v>0</v>
      </c>
      <c r="AU33" s="12"/>
      <c r="AV33" s="12">
        <f t="shared" si="19"/>
        <v>0</v>
      </c>
    </row>
    <row r="34" spans="1:48" ht="49.5" x14ac:dyDescent="0.25">
      <c r="A34" s="60">
        <v>7</v>
      </c>
      <c r="B34" s="9" t="s">
        <v>89</v>
      </c>
      <c r="C34" s="70" t="s">
        <v>58</v>
      </c>
      <c r="D34" s="70" t="s">
        <v>90</v>
      </c>
      <c r="E34" s="70" t="s">
        <v>91</v>
      </c>
      <c r="F34" s="61" t="s">
        <v>92</v>
      </c>
      <c r="G34" s="62">
        <f>H34</f>
        <v>120000</v>
      </c>
      <c r="H34" s="62">
        <v>120000</v>
      </c>
      <c r="I34" s="63"/>
      <c r="J34" s="63"/>
      <c r="K34" s="63"/>
      <c r="L34" s="63"/>
      <c r="M34" s="63">
        <v>115000</v>
      </c>
      <c r="N34" s="63">
        <v>90000</v>
      </c>
      <c r="O34" s="63">
        <v>115000</v>
      </c>
      <c r="P34" s="63">
        <v>90000</v>
      </c>
      <c r="Q34" s="54"/>
      <c r="R34" s="54">
        <f>N34-T34</f>
        <v>0</v>
      </c>
      <c r="S34" s="63">
        <v>115000</v>
      </c>
      <c r="T34" s="63">
        <v>90000</v>
      </c>
      <c r="U34" s="63">
        <v>25000</v>
      </c>
      <c r="V34" s="63"/>
      <c r="W34" s="63">
        <f t="shared" ref="W34:W39" si="29">X34</f>
        <v>100000</v>
      </c>
      <c r="X34" s="63">
        <v>100000</v>
      </c>
      <c r="Y34" s="63"/>
      <c r="Z34" s="63"/>
      <c r="AA34" s="63">
        <f t="shared" ref="AA34:AB45" si="30">U34+W34+Y34</f>
        <v>125000</v>
      </c>
      <c r="AB34" s="63">
        <f t="shared" si="30"/>
        <v>100000</v>
      </c>
      <c r="AC34" s="63"/>
      <c r="AD34" s="63"/>
      <c r="AE34" s="63"/>
      <c r="AF34" s="63"/>
      <c r="AG34" s="63"/>
      <c r="AH34" s="63"/>
      <c r="AI34" s="66" t="s">
        <v>93</v>
      </c>
      <c r="AJ34" s="19">
        <f t="shared" si="2"/>
        <v>0</v>
      </c>
      <c r="AK34" s="22">
        <f t="shared" si="11"/>
        <v>0</v>
      </c>
      <c r="AL34" s="22"/>
      <c r="AM34" s="12">
        <f t="shared" ref="AM34:AM45" si="31">IF(AJ34=0,1,0)</f>
        <v>1</v>
      </c>
      <c r="AO34" s="12">
        <f t="shared" ref="AO34:AO45" si="32">IF(P34=0,1,0)</f>
        <v>0</v>
      </c>
      <c r="AP34" s="12">
        <f t="shared" si="12"/>
        <v>0</v>
      </c>
      <c r="AQ34" s="12">
        <f t="shared" ref="AQ34:AQ45" si="33">IF(N34=0,1,0)</f>
        <v>0</v>
      </c>
      <c r="AR34" s="12">
        <f t="shared" si="13"/>
        <v>0</v>
      </c>
      <c r="AS34" s="12">
        <f t="shared" ref="AS34:AS43" si="34">IF(Q34=0,0,1)</f>
        <v>0</v>
      </c>
      <c r="AT34" s="12">
        <f t="shared" si="18"/>
        <v>0</v>
      </c>
      <c r="AU34" s="12">
        <f t="shared" ref="AU34:AU45" si="35">IF(R34=0,0,1)</f>
        <v>0</v>
      </c>
      <c r="AV34" s="12">
        <f t="shared" si="19"/>
        <v>0</v>
      </c>
    </row>
    <row r="35" spans="1:48" ht="109.5" customHeight="1" x14ac:dyDescent="0.25">
      <c r="A35" s="60">
        <v>8</v>
      </c>
      <c r="B35" s="9" t="s">
        <v>94</v>
      </c>
      <c r="C35" s="61" t="s">
        <v>95</v>
      </c>
      <c r="D35" s="61" t="s">
        <v>96</v>
      </c>
      <c r="E35" s="70" t="s">
        <v>97</v>
      </c>
      <c r="F35" s="1" t="s">
        <v>896</v>
      </c>
      <c r="G35" s="2">
        <f>H35</f>
        <v>43206</v>
      </c>
      <c r="H35" s="6">
        <v>43206</v>
      </c>
      <c r="I35" s="63"/>
      <c r="J35" s="63"/>
      <c r="K35" s="63"/>
      <c r="L35" s="63"/>
      <c r="M35" s="63">
        <f>N35</f>
        <v>31550</v>
      </c>
      <c r="N35" s="63">
        <v>31550</v>
      </c>
      <c r="O35" s="63">
        <f>P35</f>
        <v>31550</v>
      </c>
      <c r="P35" s="63">
        <v>31550</v>
      </c>
      <c r="Q35" s="63">
        <f>T35-N35</f>
        <v>10000</v>
      </c>
      <c r="R35" s="54"/>
      <c r="S35" s="3">
        <f>T35</f>
        <v>41550</v>
      </c>
      <c r="T35" s="3">
        <v>41550</v>
      </c>
      <c r="U35" s="63">
        <v>13000</v>
      </c>
      <c r="V35" s="63">
        <v>13000</v>
      </c>
      <c r="W35" s="63">
        <f t="shared" si="29"/>
        <v>13000</v>
      </c>
      <c r="X35" s="63">
        <v>13000</v>
      </c>
      <c r="Y35" s="63"/>
      <c r="Z35" s="63"/>
      <c r="AA35" s="63">
        <f t="shared" si="30"/>
        <v>26000</v>
      </c>
      <c r="AB35" s="63">
        <f t="shared" si="30"/>
        <v>26000</v>
      </c>
      <c r="AC35" s="63">
        <f t="shared" ref="AC35:AD45" si="36">O35-AA35</f>
        <v>5550</v>
      </c>
      <c r="AD35" s="63">
        <f t="shared" si="36"/>
        <v>5550</v>
      </c>
      <c r="AE35" s="63">
        <f t="shared" ref="AE35:AE45" si="37">AF35</f>
        <v>0</v>
      </c>
      <c r="AF35" s="63">
        <f t="shared" ref="AF35:AF45" si="38">IF(AB35=0,AD35,0)</f>
        <v>0</v>
      </c>
      <c r="AG35" s="63"/>
      <c r="AH35" s="63"/>
      <c r="AI35" s="25" t="s">
        <v>914</v>
      </c>
      <c r="AJ35" s="19">
        <f t="shared" si="2"/>
        <v>1</v>
      </c>
      <c r="AK35" s="22">
        <f t="shared" si="11"/>
        <v>1</v>
      </c>
      <c r="AL35" s="22"/>
      <c r="AM35" s="12">
        <f t="shared" si="31"/>
        <v>0</v>
      </c>
      <c r="AO35" s="12">
        <f t="shared" si="32"/>
        <v>0</v>
      </c>
      <c r="AP35" s="12">
        <f t="shared" si="12"/>
        <v>0</v>
      </c>
      <c r="AQ35" s="12">
        <f t="shared" si="33"/>
        <v>0</v>
      </c>
      <c r="AR35" s="12">
        <f t="shared" si="13"/>
        <v>0</v>
      </c>
      <c r="AS35" s="12">
        <f t="shared" si="34"/>
        <v>1</v>
      </c>
      <c r="AT35" s="12">
        <f t="shared" si="18"/>
        <v>10000</v>
      </c>
      <c r="AU35" s="12">
        <f t="shared" si="35"/>
        <v>0</v>
      </c>
      <c r="AV35" s="12">
        <f t="shared" si="19"/>
        <v>0</v>
      </c>
    </row>
    <row r="36" spans="1:48" ht="49.5" x14ac:dyDescent="0.25">
      <c r="A36" s="60">
        <v>9</v>
      </c>
      <c r="B36" s="9" t="s">
        <v>98</v>
      </c>
      <c r="C36" s="61" t="s">
        <v>99</v>
      </c>
      <c r="D36" s="61" t="s">
        <v>100</v>
      </c>
      <c r="E36" s="70" t="s">
        <v>101</v>
      </c>
      <c r="F36" s="61" t="s">
        <v>102</v>
      </c>
      <c r="G36" s="74">
        <v>37942</v>
      </c>
      <c r="H36" s="62">
        <f>G36</f>
        <v>37942</v>
      </c>
      <c r="I36" s="63"/>
      <c r="J36" s="63"/>
      <c r="K36" s="63"/>
      <c r="L36" s="63"/>
      <c r="M36" s="63">
        <f>N36</f>
        <v>32800</v>
      </c>
      <c r="N36" s="68">
        <v>32800</v>
      </c>
      <c r="O36" s="63">
        <f>P36</f>
        <v>32800</v>
      </c>
      <c r="P36" s="68">
        <v>32800</v>
      </c>
      <c r="Q36" s="63">
        <f t="shared" ref="Q36:Q45" si="39">T36-N36</f>
        <v>0</v>
      </c>
      <c r="R36" s="54"/>
      <c r="S36" s="63">
        <f>T36</f>
        <v>32800</v>
      </c>
      <c r="T36" s="68">
        <v>32800</v>
      </c>
      <c r="U36" s="63"/>
      <c r="V36" s="63"/>
      <c r="W36" s="63">
        <f t="shared" si="29"/>
        <v>20000</v>
      </c>
      <c r="X36" s="63">
        <v>20000</v>
      </c>
      <c r="Y36" s="63"/>
      <c r="Z36" s="63"/>
      <c r="AA36" s="63">
        <f t="shared" si="30"/>
        <v>20000</v>
      </c>
      <c r="AB36" s="63">
        <f t="shared" si="30"/>
        <v>20000</v>
      </c>
      <c r="AC36" s="63">
        <f t="shared" si="36"/>
        <v>12800</v>
      </c>
      <c r="AD36" s="63">
        <f t="shared" si="36"/>
        <v>12800</v>
      </c>
      <c r="AE36" s="63">
        <f t="shared" si="37"/>
        <v>0</v>
      </c>
      <c r="AF36" s="63">
        <f t="shared" si="38"/>
        <v>0</v>
      </c>
      <c r="AG36" s="63"/>
      <c r="AH36" s="63"/>
      <c r="AI36" s="69"/>
      <c r="AJ36" s="19">
        <f t="shared" si="2"/>
        <v>0</v>
      </c>
      <c r="AK36" s="22">
        <f t="shared" si="11"/>
        <v>0</v>
      </c>
      <c r="AL36" s="22"/>
      <c r="AM36" s="12">
        <f t="shared" si="31"/>
        <v>1</v>
      </c>
      <c r="AO36" s="12">
        <f t="shared" si="32"/>
        <v>0</v>
      </c>
      <c r="AP36" s="12">
        <f t="shared" si="12"/>
        <v>0</v>
      </c>
      <c r="AQ36" s="12">
        <f t="shared" si="33"/>
        <v>0</v>
      </c>
      <c r="AR36" s="12">
        <f t="shared" si="13"/>
        <v>0</v>
      </c>
      <c r="AS36" s="12">
        <f t="shared" si="34"/>
        <v>0</v>
      </c>
      <c r="AT36" s="12">
        <f t="shared" si="18"/>
        <v>0</v>
      </c>
      <c r="AU36" s="12">
        <f t="shared" si="35"/>
        <v>0</v>
      </c>
      <c r="AV36" s="12">
        <f t="shared" si="19"/>
        <v>0</v>
      </c>
    </row>
    <row r="37" spans="1:48" ht="95.25" customHeight="1" x14ac:dyDescent="0.25">
      <c r="A37" s="60">
        <v>10</v>
      </c>
      <c r="B37" s="9" t="s">
        <v>103</v>
      </c>
      <c r="C37" s="61" t="s">
        <v>104</v>
      </c>
      <c r="D37" s="61" t="s">
        <v>105</v>
      </c>
      <c r="E37" s="70" t="s">
        <v>101</v>
      </c>
      <c r="F37" s="61" t="s">
        <v>106</v>
      </c>
      <c r="G37" s="158">
        <f>H37</f>
        <v>475250</v>
      </c>
      <c r="H37" s="6">
        <v>475250</v>
      </c>
      <c r="I37" s="63"/>
      <c r="J37" s="63"/>
      <c r="K37" s="63"/>
      <c r="L37" s="63"/>
      <c r="M37" s="63">
        <f>N37</f>
        <v>224890</v>
      </c>
      <c r="N37" s="63">
        <v>224890</v>
      </c>
      <c r="O37" s="63">
        <f>P37</f>
        <v>224890</v>
      </c>
      <c r="P37" s="63">
        <v>224890</v>
      </c>
      <c r="Q37" s="63">
        <f t="shared" si="39"/>
        <v>75110</v>
      </c>
      <c r="R37" s="8"/>
      <c r="S37" s="149">
        <f>T37</f>
        <v>300000</v>
      </c>
      <c r="T37" s="149">
        <v>300000</v>
      </c>
      <c r="U37" s="63"/>
      <c r="V37" s="63"/>
      <c r="W37" s="63">
        <f t="shared" si="29"/>
        <v>123620</v>
      </c>
      <c r="X37" s="63">
        <v>123620</v>
      </c>
      <c r="Y37" s="63"/>
      <c r="Z37" s="63"/>
      <c r="AA37" s="63">
        <f t="shared" si="30"/>
        <v>123620</v>
      </c>
      <c r="AB37" s="63">
        <f t="shared" si="30"/>
        <v>123620</v>
      </c>
      <c r="AC37" s="63">
        <f t="shared" si="36"/>
        <v>101270</v>
      </c>
      <c r="AD37" s="63">
        <f t="shared" si="36"/>
        <v>101270</v>
      </c>
      <c r="AE37" s="63">
        <f t="shared" si="37"/>
        <v>0</v>
      </c>
      <c r="AF37" s="63">
        <f t="shared" si="38"/>
        <v>0</v>
      </c>
      <c r="AG37" s="63"/>
      <c r="AH37" s="63"/>
      <c r="AI37" s="25" t="s">
        <v>1968</v>
      </c>
      <c r="AJ37" s="19">
        <f t="shared" si="2"/>
        <v>1</v>
      </c>
      <c r="AK37" s="22">
        <f t="shared" si="11"/>
        <v>1</v>
      </c>
      <c r="AL37" s="22"/>
      <c r="AM37" s="12">
        <f t="shared" si="31"/>
        <v>0</v>
      </c>
      <c r="AO37" s="12">
        <f t="shared" si="32"/>
        <v>0</v>
      </c>
      <c r="AP37" s="12">
        <f t="shared" si="12"/>
        <v>0</v>
      </c>
      <c r="AQ37" s="12">
        <f t="shared" si="33"/>
        <v>0</v>
      </c>
      <c r="AR37" s="12">
        <f t="shared" si="13"/>
        <v>0</v>
      </c>
      <c r="AS37" s="12">
        <f t="shared" si="34"/>
        <v>1</v>
      </c>
      <c r="AT37" s="12">
        <f t="shared" si="18"/>
        <v>75110</v>
      </c>
      <c r="AU37" s="12">
        <f t="shared" si="35"/>
        <v>0</v>
      </c>
      <c r="AV37" s="12">
        <f t="shared" si="19"/>
        <v>0</v>
      </c>
    </row>
    <row r="38" spans="1:48" ht="49.5" x14ac:dyDescent="0.25">
      <c r="A38" s="60">
        <v>11</v>
      </c>
      <c r="B38" s="9" t="s">
        <v>107</v>
      </c>
      <c r="C38" s="61" t="s">
        <v>95</v>
      </c>
      <c r="D38" s="61" t="s">
        <v>108</v>
      </c>
      <c r="E38" s="70" t="s">
        <v>109</v>
      </c>
      <c r="F38" s="61" t="s">
        <v>110</v>
      </c>
      <c r="G38" s="74">
        <v>89000</v>
      </c>
      <c r="H38" s="62">
        <f>G38</f>
        <v>89000</v>
      </c>
      <c r="I38" s="63"/>
      <c r="J38" s="63"/>
      <c r="K38" s="63"/>
      <c r="L38" s="63"/>
      <c r="M38" s="63">
        <f>N38</f>
        <v>80000</v>
      </c>
      <c r="N38" s="68">
        <v>80000</v>
      </c>
      <c r="O38" s="63">
        <f>P38</f>
        <v>80000</v>
      </c>
      <c r="P38" s="68">
        <v>80000</v>
      </c>
      <c r="Q38" s="63">
        <f t="shared" si="39"/>
        <v>0</v>
      </c>
      <c r="R38" s="54"/>
      <c r="S38" s="63">
        <f>T38</f>
        <v>80000</v>
      </c>
      <c r="T38" s="68">
        <v>80000</v>
      </c>
      <c r="U38" s="63"/>
      <c r="V38" s="63"/>
      <c r="W38" s="63">
        <f t="shared" si="29"/>
        <v>30404</v>
      </c>
      <c r="X38" s="63">
        <v>30404</v>
      </c>
      <c r="Y38" s="63"/>
      <c r="Z38" s="63"/>
      <c r="AA38" s="63">
        <f t="shared" si="30"/>
        <v>30404</v>
      </c>
      <c r="AB38" s="63">
        <f t="shared" si="30"/>
        <v>30404</v>
      </c>
      <c r="AC38" s="63">
        <f t="shared" si="36"/>
        <v>49596</v>
      </c>
      <c r="AD38" s="63">
        <f t="shared" si="36"/>
        <v>49596</v>
      </c>
      <c r="AE38" s="63">
        <f t="shared" si="37"/>
        <v>0</v>
      </c>
      <c r="AF38" s="63">
        <f t="shared" si="38"/>
        <v>0</v>
      </c>
      <c r="AG38" s="63"/>
      <c r="AH38" s="63"/>
      <c r="AI38" s="69"/>
      <c r="AJ38" s="19">
        <f t="shared" si="2"/>
        <v>0</v>
      </c>
      <c r="AK38" s="22">
        <f t="shared" si="11"/>
        <v>0</v>
      </c>
      <c r="AL38" s="22"/>
      <c r="AM38" s="12">
        <f t="shared" si="31"/>
        <v>1</v>
      </c>
      <c r="AO38" s="12">
        <f t="shared" si="32"/>
        <v>0</v>
      </c>
      <c r="AP38" s="12">
        <f t="shared" si="12"/>
        <v>0</v>
      </c>
      <c r="AQ38" s="12">
        <f t="shared" si="33"/>
        <v>0</v>
      </c>
      <c r="AR38" s="12">
        <f t="shared" si="13"/>
        <v>0</v>
      </c>
      <c r="AS38" s="12">
        <f t="shared" si="34"/>
        <v>0</v>
      </c>
      <c r="AT38" s="12">
        <f t="shared" si="18"/>
        <v>0</v>
      </c>
      <c r="AU38" s="12">
        <f t="shared" si="35"/>
        <v>0</v>
      </c>
      <c r="AV38" s="12">
        <f t="shared" si="19"/>
        <v>0</v>
      </c>
    </row>
    <row r="39" spans="1:48" ht="66" x14ac:dyDescent="0.25">
      <c r="A39" s="60">
        <v>12</v>
      </c>
      <c r="B39" s="9" t="s">
        <v>111</v>
      </c>
      <c r="C39" s="61" t="s">
        <v>112</v>
      </c>
      <c r="D39" s="61" t="s">
        <v>113</v>
      </c>
      <c r="E39" s="70" t="s">
        <v>109</v>
      </c>
      <c r="F39" s="61" t="s">
        <v>901</v>
      </c>
      <c r="G39" s="2">
        <f>H39</f>
        <v>45425</v>
      </c>
      <c r="H39" s="6">
        <v>45425</v>
      </c>
      <c r="I39" s="63"/>
      <c r="J39" s="63"/>
      <c r="K39" s="63"/>
      <c r="L39" s="63"/>
      <c r="M39" s="63">
        <f>N39</f>
        <v>26600</v>
      </c>
      <c r="N39" s="74">
        <v>26600</v>
      </c>
      <c r="O39" s="63">
        <f>P39</f>
        <v>26600</v>
      </c>
      <c r="P39" s="74">
        <v>26600</v>
      </c>
      <c r="Q39" s="63">
        <f t="shared" si="39"/>
        <v>18800</v>
      </c>
      <c r="R39" s="8"/>
      <c r="S39" s="149">
        <f>T39</f>
        <v>45400</v>
      </c>
      <c r="T39" s="159">
        <v>45400</v>
      </c>
      <c r="U39" s="63"/>
      <c r="V39" s="63"/>
      <c r="W39" s="63">
        <f t="shared" si="29"/>
        <v>9123</v>
      </c>
      <c r="X39" s="63">
        <v>9123</v>
      </c>
      <c r="Y39" s="63"/>
      <c r="Z39" s="63"/>
      <c r="AA39" s="63">
        <f t="shared" si="30"/>
        <v>9123</v>
      </c>
      <c r="AB39" s="63">
        <f t="shared" si="30"/>
        <v>9123</v>
      </c>
      <c r="AC39" s="63">
        <f t="shared" si="36"/>
        <v>17477</v>
      </c>
      <c r="AD39" s="63">
        <f t="shared" si="36"/>
        <v>17477</v>
      </c>
      <c r="AE39" s="63">
        <f t="shared" si="37"/>
        <v>0</v>
      </c>
      <c r="AF39" s="63">
        <f t="shared" si="38"/>
        <v>0</v>
      </c>
      <c r="AG39" s="63"/>
      <c r="AH39" s="63"/>
      <c r="AI39" s="25" t="s">
        <v>906</v>
      </c>
      <c r="AJ39" s="19">
        <f t="shared" si="2"/>
        <v>1</v>
      </c>
      <c r="AK39" s="22">
        <f t="shared" si="11"/>
        <v>1</v>
      </c>
      <c r="AL39" s="22"/>
      <c r="AM39" s="12">
        <f t="shared" si="31"/>
        <v>0</v>
      </c>
      <c r="AO39" s="12">
        <f t="shared" si="32"/>
        <v>0</v>
      </c>
      <c r="AP39" s="12">
        <f t="shared" si="12"/>
        <v>0</v>
      </c>
      <c r="AQ39" s="12">
        <f t="shared" si="33"/>
        <v>0</v>
      </c>
      <c r="AR39" s="12">
        <f t="shared" si="13"/>
        <v>0</v>
      </c>
      <c r="AS39" s="12">
        <f t="shared" si="34"/>
        <v>1</v>
      </c>
      <c r="AT39" s="12">
        <f t="shared" si="18"/>
        <v>18800</v>
      </c>
      <c r="AU39" s="12">
        <f t="shared" si="35"/>
        <v>0</v>
      </c>
      <c r="AV39" s="12">
        <f t="shared" si="19"/>
        <v>0</v>
      </c>
    </row>
    <row r="40" spans="1:48" ht="49.5" x14ac:dyDescent="0.25">
      <c r="A40" s="60">
        <v>13</v>
      </c>
      <c r="B40" s="9" t="s">
        <v>114</v>
      </c>
      <c r="C40" s="61" t="s">
        <v>104</v>
      </c>
      <c r="D40" s="61" t="s">
        <v>115</v>
      </c>
      <c r="E40" s="70" t="s">
        <v>116</v>
      </c>
      <c r="F40" s="1" t="s">
        <v>897</v>
      </c>
      <c r="G40" s="150">
        <v>119655</v>
      </c>
      <c r="H40" s="68">
        <v>5000</v>
      </c>
      <c r="I40" s="63"/>
      <c r="J40" s="63"/>
      <c r="K40" s="63"/>
      <c r="L40" s="63"/>
      <c r="M40" s="68">
        <f>95000+N40</f>
        <v>100000</v>
      </c>
      <c r="N40" s="68">
        <v>5000</v>
      </c>
      <c r="O40" s="68">
        <f>95000+P40</f>
        <v>100000</v>
      </c>
      <c r="P40" s="68">
        <v>5000</v>
      </c>
      <c r="Q40" s="63">
        <f t="shared" si="39"/>
        <v>0</v>
      </c>
      <c r="R40" s="54"/>
      <c r="S40" s="68">
        <f>95000+T40</f>
        <v>100000</v>
      </c>
      <c r="T40" s="68">
        <v>5000</v>
      </c>
      <c r="U40" s="63"/>
      <c r="V40" s="63"/>
      <c r="W40" s="63"/>
      <c r="X40" s="63"/>
      <c r="Y40" s="63"/>
      <c r="Z40" s="63"/>
      <c r="AA40" s="63">
        <f t="shared" si="30"/>
        <v>0</v>
      </c>
      <c r="AB40" s="63">
        <f t="shared" si="30"/>
        <v>0</v>
      </c>
      <c r="AC40" s="63">
        <f t="shared" si="36"/>
        <v>100000</v>
      </c>
      <c r="AD40" s="63">
        <f t="shared" si="36"/>
        <v>5000</v>
      </c>
      <c r="AE40" s="63">
        <f t="shared" si="37"/>
        <v>5000</v>
      </c>
      <c r="AF40" s="63">
        <f t="shared" si="38"/>
        <v>5000</v>
      </c>
      <c r="AG40" s="63"/>
      <c r="AH40" s="63"/>
      <c r="AI40" s="25" t="s">
        <v>117</v>
      </c>
      <c r="AJ40" s="19">
        <f t="shared" si="2"/>
        <v>0</v>
      </c>
      <c r="AK40" s="22">
        <f t="shared" si="11"/>
        <v>0</v>
      </c>
      <c r="AL40" s="22"/>
      <c r="AM40" s="12">
        <f t="shared" si="31"/>
        <v>1</v>
      </c>
      <c r="AO40" s="12">
        <f t="shared" si="32"/>
        <v>0</v>
      </c>
      <c r="AP40" s="12">
        <f t="shared" si="12"/>
        <v>0</v>
      </c>
      <c r="AQ40" s="12">
        <f t="shared" si="33"/>
        <v>0</v>
      </c>
      <c r="AR40" s="12">
        <f t="shared" si="13"/>
        <v>0</v>
      </c>
      <c r="AS40" s="12">
        <f t="shared" si="34"/>
        <v>0</v>
      </c>
      <c r="AT40" s="12">
        <f t="shared" si="18"/>
        <v>0</v>
      </c>
      <c r="AU40" s="12">
        <f t="shared" si="35"/>
        <v>0</v>
      </c>
      <c r="AV40" s="12">
        <f t="shared" si="19"/>
        <v>0</v>
      </c>
    </row>
    <row r="41" spans="1:48" ht="33" x14ac:dyDescent="0.25">
      <c r="A41" s="60">
        <v>14</v>
      </c>
      <c r="B41" s="9" t="s">
        <v>118</v>
      </c>
      <c r="C41" s="746" t="s">
        <v>119</v>
      </c>
      <c r="D41" s="61" t="s">
        <v>120</v>
      </c>
      <c r="E41" s="70" t="s">
        <v>116</v>
      </c>
      <c r="F41" s="61"/>
      <c r="G41" s="5">
        <v>108625</v>
      </c>
      <c r="H41" s="68">
        <v>5000</v>
      </c>
      <c r="I41" s="63"/>
      <c r="J41" s="63"/>
      <c r="K41" s="63"/>
      <c r="L41" s="63"/>
      <c r="M41" s="68">
        <f>77000+N41</f>
        <v>82000</v>
      </c>
      <c r="N41" s="68">
        <v>5000</v>
      </c>
      <c r="O41" s="68">
        <f>77000+P41</f>
        <v>82000</v>
      </c>
      <c r="P41" s="68">
        <v>5000</v>
      </c>
      <c r="Q41" s="63">
        <f t="shared" si="39"/>
        <v>0</v>
      </c>
      <c r="R41" s="54"/>
      <c r="S41" s="68">
        <f>77000+T41</f>
        <v>82000</v>
      </c>
      <c r="T41" s="68">
        <v>5000</v>
      </c>
      <c r="U41" s="63"/>
      <c r="V41" s="63"/>
      <c r="W41" s="63"/>
      <c r="X41" s="63"/>
      <c r="Y41" s="63"/>
      <c r="Z41" s="63"/>
      <c r="AA41" s="63">
        <f t="shared" si="30"/>
        <v>0</v>
      </c>
      <c r="AB41" s="63">
        <f t="shared" si="30"/>
        <v>0</v>
      </c>
      <c r="AC41" s="63">
        <f t="shared" si="36"/>
        <v>82000</v>
      </c>
      <c r="AD41" s="63">
        <f t="shared" si="36"/>
        <v>5000</v>
      </c>
      <c r="AE41" s="63">
        <f t="shared" si="37"/>
        <v>5000</v>
      </c>
      <c r="AF41" s="63">
        <f t="shared" si="38"/>
        <v>5000</v>
      </c>
      <c r="AG41" s="63"/>
      <c r="AH41" s="63"/>
      <c r="AI41" s="25" t="s">
        <v>121</v>
      </c>
      <c r="AJ41" s="19">
        <f t="shared" si="2"/>
        <v>0</v>
      </c>
      <c r="AK41" s="22">
        <f t="shared" si="11"/>
        <v>0</v>
      </c>
      <c r="AL41" s="22"/>
      <c r="AM41" s="12">
        <f t="shared" si="31"/>
        <v>1</v>
      </c>
      <c r="AO41" s="12">
        <f t="shared" si="32"/>
        <v>0</v>
      </c>
      <c r="AP41" s="12">
        <f t="shared" si="12"/>
        <v>0</v>
      </c>
      <c r="AQ41" s="12">
        <f t="shared" si="33"/>
        <v>0</v>
      </c>
      <c r="AR41" s="12">
        <f t="shared" si="13"/>
        <v>0</v>
      </c>
      <c r="AS41" s="12">
        <f t="shared" si="34"/>
        <v>0</v>
      </c>
      <c r="AT41" s="12">
        <f t="shared" si="18"/>
        <v>0</v>
      </c>
      <c r="AU41" s="12">
        <f t="shared" si="35"/>
        <v>0</v>
      </c>
      <c r="AV41" s="12">
        <f t="shared" si="19"/>
        <v>0</v>
      </c>
    </row>
    <row r="42" spans="1:48" ht="50.25" customHeight="1" x14ac:dyDescent="0.25">
      <c r="A42" s="60">
        <v>15</v>
      </c>
      <c r="B42" s="9" t="s">
        <v>122</v>
      </c>
      <c r="C42" s="61" t="s">
        <v>112</v>
      </c>
      <c r="D42" s="61" t="s">
        <v>123</v>
      </c>
      <c r="E42" s="70" t="s">
        <v>116</v>
      </c>
      <c r="F42" s="61"/>
      <c r="G42" s="5">
        <v>86111</v>
      </c>
      <c r="H42" s="68">
        <v>5000</v>
      </c>
      <c r="I42" s="63"/>
      <c r="J42" s="63"/>
      <c r="K42" s="63"/>
      <c r="L42" s="63"/>
      <c r="M42" s="68">
        <f>70000+N42</f>
        <v>75000</v>
      </c>
      <c r="N42" s="68">
        <v>5000</v>
      </c>
      <c r="O42" s="68">
        <f>70000+P42</f>
        <v>75000</v>
      </c>
      <c r="P42" s="68">
        <v>5000</v>
      </c>
      <c r="Q42" s="63">
        <f t="shared" si="39"/>
        <v>0</v>
      </c>
      <c r="R42" s="54"/>
      <c r="S42" s="68">
        <f>70000+T42</f>
        <v>75000</v>
      </c>
      <c r="T42" s="68">
        <v>5000</v>
      </c>
      <c r="U42" s="63"/>
      <c r="V42" s="63"/>
      <c r="W42" s="63"/>
      <c r="X42" s="63"/>
      <c r="Y42" s="63"/>
      <c r="Z42" s="63"/>
      <c r="AA42" s="63">
        <f t="shared" si="30"/>
        <v>0</v>
      </c>
      <c r="AB42" s="63">
        <f t="shared" si="30"/>
        <v>0</v>
      </c>
      <c r="AC42" s="63">
        <f t="shared" si="36"/>
        <v>75000</v>
      </c>
      <c r="AD42" s="63">
        <f t="shared" si="36"/>
        <v>5000</v>
      </c>
      <c r="AE42" s="63">
        <f t="shared" si="37"/>
        <v>5000</v>
      </c>
      <c r="AF42" s="63">
        <f t="shared" si="38"/>
        <v>5000</v>
      </c>
      <c r="AG42" s="63"/>
      <c r="AH42" s="63"/>
      <c r="AI42" s="25" t="s">
        <v>124</v>
      </c>
      <c r="AJ42" s="19">
        <f t="shared" si="2"/>
        <v>0</v>
      </c>
      <c r="AK42" s="22">
        <f t="shared" si="11"/>
        <v>0</v>
      </c>
      <c r="AL42" s="22"/>
      <c r="AM42" s="12">
        <f t="shared" si="31"/>
        <v>1</v>
      </c>
      <c r="AO42" s="12">
        <f t="shared" si="32"/>
        <v>0</v>
      </c>
      <c r="AP42" s="12">
        <f t="shared" si="12"/>
        <v>0</v>
      </c>
      <c r="AQ42" s="12">
        <f t="shared" si="33"/>
        <v>0</v>
      </c>
      <c r="AR42" s="12">
        <f t="shared" si="13"/>
        <v>0</v>
      </c>
      <c r="AS42" s="12">
        <f t="shared" si="34"/>
        <v>0</v>
      </c>
      <c r="AT42" s="12">
        <f t="shared" si="18"/>
        <v>0</v>
      </c>
      <c r="AU42" s="12">
        <f t="shared" si="35"/>
        <v>0</v>
      </c>
      <c r="AV42" s="12">
        <f t="shared" si="19"/>
        <v>0</v>
      </c>
    </row>
    <row r="43" spans="1:48" ht="294" customHeight="1" x14ac:dyDescent="0.25">
      <c r="A43" s="60">
        <v>16</v>
      </c>
      <c r="B43" s="9" t="s">
        <v>125</v>
      </c>
      <c r="C43" s="61" t="s">
        <v>126</v>
      </c>
      <c r="D43" s="61" t="s">
        <v>127</v>
      </c>
      <c r="E43" s="70" t="s">
        <v>116</v>
      </c>
      <c r="F43" s="61" t="s">
        <v>128</v>
      </c>
      <c r="G43" s="5">
        <v>1170000</v>
      </c>
      <c r="H43" s="74">
        <f>G43</f>
        <v>1170000</v>
      </c>
      <c r="I43" s="63"/>
      <c r="J43" s="63"/>
      <c r="K43" s="63"/>
      <c r="L43" s="63"/>
      <c r="M43" s="68">
        <v>1487000</v>
      </c>
      <c r="N43" s="68">
        <v>50000</v>
      </c>
      <c r="O43" s="68">
        <f>G43*0.9</f>
        <v>1053000</v>
      </c>
      <c r="P43" s="68">
        <v>817500</v>
      </c>
      <c r="Q43" s="63">
        <f t="shared" si="39"/>
        <v>767500</v>
      </c>
      <c r="R43" s="68"/>
      <c r="S43" s="68">
        <f>T43</f>
        <v>817500</v>
      </c>
      <c r="T43" s="68">
        <v>817500</v>
      </c>
      <c r="U43" s="63"/>
      <c r="V43" s="63"/>
      <c r="W43" s="63"/>
      <c r="X43" s="63"/>
      <c r="Y43" s="63"/>
      <c r="Z43" s="63"/>
      <c r="AA43" s="63">
        <f t="shared" si="30"/>
        <v>0</v>
      </c>
      <c r="AB43" s="63">
        <f t="shared" si="30"/>
        <v>0</v>
      </c>
      <c r="AC43" s="63">
        <f t="shared" si="36"/>
        <v>1053000</v>
      </c>
      <c r="AD43" s="63">
        <f t="shared" si="36"/>
        <v>817500</v>
      </c>
      <c r="AE43" s="63">
        <f t="shared" si="37"/>
        <v>817500</v>
      </c>
      <c r="AF43" s="63">
        <f t="shared" si="38"/>
        <v>817500</v>
      </c>
      <c r="AG43" s="63"/>
      <c r="AH43" s="63"/>
      <c r="AI43" s="76" t="s">
        <v>129</v>
      </c>
      <c r="AJ43" s="19">
        <f t="shared" si="2"/>
        <v>1</v>
      </c>
      <c r="AK43" s="22">
        <f t="shared" si="11"/>
        <v>1</v>
      </c>
      <c r="AL43" s="22"/>
      <c r="AM43" s="12">
        <f t="shared" si="31"/>
        <v>0</v>
      </c>
      <c r="AO43" s="12">
        <f t="shared" si="32"/>
        <v>0</v>
      </c>
      <c r="AP43" s="12">
        <f t="shared" si="12"/>
        <v>0</v>
      </c>
      <c r="AQ43" s="12">
        <f t="shared" si="33"/>
        <v>0</v>
      </c>
      <c r="AR43" s="12">
        <f t="shared" si="13"/>
        <v>0</v>
      </c>
      <c r="AS43" s="12">
        <f t="shared" si="34"/>
        <v>1</v>
      </c>
      <c r="AT43" s="12">
        <f t="shared" si="18"/>
        <v>767500</v>
      </c>
      <c r="AU43" s="12">
        <f t="shared" si="35"/>
        <v>0</v>
      </c>
      <c r="AV43" s="12">
        <f t="shared" si="19"/>
        <v>0</v>
      </c>
    </row>
    <row r="44" spans="1:48" ht="63" x14ac:dyDescent="0.25">
      <c r="A44" s="60">
        <v>17</v>
      </c>
      <c r="B44" s="9" t="s">
        <v>130</v>
      </c>
      <c r="C44" s="61" t="s">
        <v>131</v>
      </c>
      <c r="D44" s="61" t="s">
        <v>132</v>
      </c>
      <c r="E44" s="70" t="s">
        <v>116</v>
      </c>
      <c r="F44" s="61" t="s">
        <v>133</v>
      </c>
      <c r="G44" s="5">
        <f>H44</f>
        <v>14904</v>
      </c>
      <c r="H44" s="68">
        <v>14904</v>
      </c>
      <c r="I44" s="63"/>
      <c r="J44" s="63"/>
      <c r="K44" s="63"/>
      <c r="L44" s="63"/>
      <c r="M44" s="68"/>
      <c r="N44" s="68"/>
      <c r="O44" s="68">
        <f>P44</f>
        <v>13500</v>
      </c>
      <c r="P44" s="68">
        <v>13500</v>
      </c>
      <c r="Q44" s="63">
        <f t="shared" si="39"/>
        <v>13500</v>
      </c>
      <c r="R44" s="68"/>
      <c r="S44" s="68">
        <f>T44</f>
        <v>13500</v>
      </c>
      <c r="T44" s="68">
        <v>13500</v>
      </c>
      <c r="U44" s="63"/>
      <c r="V44" s="63"/>
      <c r="W44" s="63"/>
      <c r="X44" s="63"/>
      <c r="Y44" s="63"/>
      <c r="Z44" s="63"/>
      <c r="AA44" s="63">
        <f t="shared" si="30"/>
        <v>0</v>
      </c>
      <c r="AB44" s="63">
        <f t="shared" si="30"/>
        <v>0</v>
      </c>
      <c r="AC44" s="63">
        <f t="shared" si="36"/>
        <v>13500</v>
      </c>
      <c r="AD44" s="63">
        <f t="shared" si="36"/>
        <v>13500</v>
      </c>
      <c r="AE44" s="63">
        <f t="shared" si="37"/>
        <v>13500</v>
      </c>
      <c r="AF44" s="63">
        <f t="shared" si="38"/>
        <v>13500</v>
      </c>
      <c r="AG44" s="63"/>
      <c r="AH44" s="63"/>
      <c r="AI44" s="76" t="s">
        <v>134</v>
      </c>
      <c r="AJ44" s="19">
        <f t="shared" si="2"/>
        <v>1</v>
      </c>
      <c r="AK44" s="22">
        <f t="shared" si="11"/>
        <v>1</v>
      </c>
      <c r="AL44" s="22"/>
      <c r="AM44" s="12">
        <f t="shared" si="31"/>
        <v>0</v>
      </c>
      <c r="AO44" s="12">
        <f t="shared" si="32"/>
        <v>0</v>
      </c>
      <c r="AP44" s="12">
        <f t="shared" si="12"/>
        <v>0</v>
      </c>
      <c r="AQ44" s="12">
        <f t="shared" si="33"/>
        <v>1</v>
      </c>
      <c r="AR44" s="12">
        <f t="shared" si="13"/>
        <v>13500</v>
      </c>
      <c r="AU44" s="12">
        <f t="shared" si="35"/>
        <v>0</v>
      </c>
      <c r="AV44" s="12">
        <f t="shared" si="19"/>
        <v>0</v>
      </c>
    </row>
    <row r="45" spans="1:48" ht="49.5" x14ac:dyDescent="0.25">
      <c r="A45" s="60">
        <v>18</v>
      </c>
      <c r="B45" s="9" t="s">
        <v>135</v>
      </c>
      <c r="C45" s="61" t="s">
        <v>136</v>
      </c>
      <c r="D45" s="61" t="s">
        <v>137</v>
      </c>
      <c r="E45" s="70" t="s">
        <v>116</v>
      </c>
      <c r="F45" s="61"/>
      <c r="G45" s="5">
        <f>H45</f>
        <v>14700</v>
      </c>
      <c r="H45" s="68">
        <v>14700</v>
      </c>
      <c r="I45" s="63"/>
      <c r="J45" s="63"/>
      <c r="K45" s="63"/>
      <c r="L45" s="63"/>
      <c r="M45" s="68"/>
      <c r="N45" s="68"/>
      <c r="O45" s="68">
        <f>P45</f>
        <v>10000</v>
      </c>
      <c r="P45" s="68">
        <v>10000</v>
      </c>
      <c r="Q45" s="63">
        <f t="shared" si="39"/>
        <v>10000</v>
      </c>
      <c r="R45" s="68"/>
      <c r="S45" s="68">
        <f>T45</f>
        <v>10000</v>
      </c>
      <c r="T45" s="68">
        <v>10000</v>
      </c>
      <c r="U45" s="63"/>
      <c r="V45" s="63"/>
      <c r="W45" s="63"/>
      <c r="X45" s="63"/>
      <c r="Y45" s="63"/>
      <c r="Z45" s="63"/>
      <c r="AA45" s="63">
        <f t="shared" si="30"/>
        <v>0</v>
      </c>
      <c r="AB45" s="63">
        <f t="shared" si="30"/>
        <v>0</v>
      </c>
      <c r="AC45" s="63">
        <f t="shared" si="36"/>
        <v>10000</v>
      </c>
      <c r="AD45" s="63">
        <f t="shared" si="36"/>
        <v>10000</v>
      </c>
      <c r="AE45" s="63">
        <f t="shared" si="37"/>
        <v>10000</v>
      </c>
      <c r="AF45" s="63">
        <f t="shared" si="38"/>
        <v>10000</v>
      </c>
      <c r="AG45" s="63"/>
      <c r="AH45" s="63"/>
      <c r="AI45" s="76" t="s">
        <v>84</v>
      </c>
      <c r="AJ45" s="19">
        <f t="shared" si="2"/>
        <v>1</v>
      </c>
      <c r="AK45" s="22">
        <f t="shared" si="11"/>
        <v>1</v>
      </c>
      <c r="AL45" s="22"/>
      <c r="AM45" s="12">
        <f t="shared" si="31"/>
        <v>0</v>
      </c>
      <c r="AO45" s="12">
        <f t="shared" si="32"/>
        <v>0</v>
      </c>
      <c r="AP45" s="12">
        <f t="shared" si="12"/>
        <v>0</v>
      </c>
      <c r="AQ45" s="12">
        <f t="shared" si="33"/>
        <v>1</v>
      </c>
      <c r="AR45" s="12">
        <f t="shared" si="13"/>
        <v>10000</v>
      </c>
      <c r="AU45" s="12">
        <f t="shared" si="35"/>
        <v>0</v>
      </c>
      <c r="AV45" s="12">
        <f t="shared" si="19"/>
        <v>0</v>
      </c>
    </row>
    <row r="46" spans="1:48" s="49" customFormat="1" ht="34.5" x14ac:dyDescent="0.25">
      <c r="A46" s="45" t="s">
        <v>47</v>
      </c>
      <c r="B46" s="44" t="s">
        <v>138</v>
      </c>
      <c r="C46" s="77"/>
      <c r="D46" s="77"/>
      <c r="E46" s="77"/>
      <c r="F46" s="77"/>
      <c r="G46" s="78">
        <f>SUM(G47:G58)</f>
        <v>2899810</v>
      </c>
      <c r="H46" s="78">
        <f t="shared" ref="H46:T46" si="40">SUM(H47:H58)</f>
        <v>2630359</v>
      </c>
      <c r="I46" s="78">
        <f t="shared" si="40"/>
        <v>0</v>
      </c>
      <c r="J46" s="78">
        <f t="shared" si="40"/>
        <v>0</v>
      </c>
      <c r="K46" s="78">
        <f t="shared" si="40"/>
        <v>0</v>
      </c>
      <c r="L46" s="78">
        <f t="shared" si="40"/>
        <v>0</v>
      </c>
      <c r="M46" s="78">
        <f t="shared" si="40"/>
        <v>575200</v>
      </c>
      <c r="N46" s="78">
        <f t="shared" si="40"/>
        <v>403200</v>
      </c>
      <c r="O46" s="78">
        <f t="shared" si="40"/>
        <v>553700</v>
      </c>
      <c r="P46" s="78">
        <f t="shared" si="40"/>
        <v>381700</v>
      </c>
      <c r="Q46" s="78">
        <f t="shared" si="40"/>
        <v>120000</v>
      </c>
      <c r="R46" s="78">
        <f t="shared" si="40"/>
        <v>95200</v>
      </c>
      <c r="S46" s="78">
        <f t="shared" si="40"/>
        <v>600000</v>
      </c>
      <c r="T46" s="78">
        <f t="shared" si="40"/>
        <v>428000</v>
      </c>
      <c r="U46" s="78">
        <f t="shared" ref="U46:AH46" si="41">SUM(U47:U57)</f>
        <v>0</v>
      </c>
      <c r="V46" s="78">
        <f t="shared" si="41"/>
        <v>0</v>
      </c>
      <c r="W46" s="78">
        <f t="shared" si="41"/>
        <v>0</v>
      </c>
      <c r="X46" s="78">
        <f t="shared" si="41"/>
        <v>0</v>
      </c>
      <c r="Y46" s="78">
        <f t="shared" si="41"/>
        <v>0</v>
      </c>
      <c r="Z46" s="78">
        <f t="shared" si="41"/>
        <v>0</v>
      </c>
      <c r="AA46" s="78">
        <f t="shared" si="41"/>
        <v>0</v>
      </c>
      <c r="AB46" s="78">
        <f t="shared" si="41"/>
        <v>0</v>
      </c>
      <c r="AC46" s="78">
        <f t="shared" si="41"/>
        <v>553700</v>
      </c>
      <c r="AD46" s="78">
        <f t="shared" si="41"/>
        <v>381700</v>
      </c>
      <c r="AE46" s="78">
        <f t="shared" si="41"/>
        <v>381700</v>
      </c>
      <c r="AF46" s="78">
        <f t="shared" si="41"/>
        <v>381700</v>
      </c>
      <c r="AG46" s="78">
        <f t="shared" si="41"/>
        <v>1993129</v>
      </c>
      <c r="AH46" s="78">
        <f t="shared" si="41"/>
        <v>1993129</v>
      </c>
      <c r="AI46" s="79"/>
      <c r="AJ46" s="19">
        <f t="shared" si="2"/>
        <v>1</v>
      </c>
      <c r="AK46" s="22"/>
      <c r="AL46" s="22">
        <f>R46-Q46</f>
        <v>-24800</v>
      </c>
      <c r="AM46" s="92">
        <f>T46-N46</f>
        <v>24800</v>
      </c>
      <c r="AN46" s="12"/>
      <c r="AO46" s="12"/>
      <c r="AP46" s="12">
        <f t="shared" si="12"/>
        <v>0</v>
      </c>
      <c r="AQ46" s="12"/>
      <c r="AR46" s="12">
        <f t="shared" si="13"/>
        <v>0</v>
      </c>
      <c r="AS46" s="12"/>
      <c r="AT46" s="12">
        <f t="shared" si="18"/>
        <v>0</v>
      </c>
      <c r="AU46" s="12"/>
      <c r="AV46" s="12">
        <f t="shared" si="19"/>
        <v>0</v>
      </c>
    </row>
    <row r="47" spans="1:48" ht="33" x14ac:dyDescent="0.25">
      <c r="A47" s="60">
        <v>19</v>
      </c>
      <c r="B47" s="9" t="s">
        <v>139</v>
      </c>
      <c r="C47" s="61" t="s">
        <v>99</v>
      </c>
      <c r="D47" s="61" t="s">
        <v>140</v>
      </c>
      <c r="E47" s="70" t="s">
        <v>141</v>
      </c>
      <c r="F47" s="61"/>
      <c r="G47" s="5">
        <v>164774</v>
      </c>
      <c r="H47" s="68">
        <v>10000</v>
      </c>
      <c r="I47" s="63"/>
      <c r="J47" s="63"/>
      <c r="K47" s="63"/>
      <c r="L47" s="63"/>
      <c r="M47" s="68">
        <f>90000+N47</f>
        <v>100000</v>
      </c>
      <c r="N47" s="68">
        <v>10000</v>
      </c>
      <c r="O47" s="68">
        <f>90000+P47</f>
        <v>100000</v>
      </c>
      <c r="P47" s="68">
        <v>10000</v>
      </c>
      <c r="Q47" s="63">
        <f t="shared" ref="Q47:Q58" si="42">T47-N47</f>
        <v>0</v>
      </c>
      <c r="R47" s="54"/>
      <c r="S47" s="68">
        <f>90000+T47</f>
        <v>100000</v>
      </c>
      <c r="T47" s="68">
        <v>10000</v>
      </c>
      <c r="U47" s="63"/>
      <c r="V47" s="63"/>
      <c r="W47" s="63"/>
      <c r="X47" s="63"/>
      <c r="Y47" s="63"/>
      <c r="Z47" s="63"/>
      <c r="AA47" s="63">
        <f t="shared" ref="AA47:AB57" si="43">U47+W47+Y47</f>
        <v>0</v>
      </c>
      <c r="AB47" s="63">
        <f t="shared" si="43"/>
        <v>0</v>
      </c>
      <c r="AC47" s="63">
        <f t="shared" ref="AC47:AD57" si="44">O47-AA47</f>
        <v>100000</v>
      </c>
      <c r="AD47" s="63">
        <f t="shared" si="44"/>
        <v>10000</v>
      </c>
      <c r="AE47" s="63">
        <f t="shared" ref="AE47:AE57" si="45">AF47</f>
        <v>10000</v>
      </c>
      <c r="AF47" s="63">
        <f t="shared" ref="AF47:AF57" si="46">IF(AB47=0,AD47,0)</f>
        <v>10000</v>
      </c>
      <c r="AG47" s="63">
        <f>AH47</f>
        <v>48296.600000000006</v>
      </c>
      <c r="AH47" s="63">
        <f>G47*0.9-O47</f>
        <v>48296.600000000006</v>
      </c>
      <c r="AI47" s="25" t="s">
        <v>142</v>
      </c>
      <c r="AJ47" s="19">
        <f t="shared" si="2"/>
        <v>0</v>
      </c>
      <c r="AK47" s="22">
        <f t="shared" si="11"/>
        <v>0</v>
      </c>
      <c r="AL47" s="22"/>
      <c r="AM47" s="12">
        <f t="shared" ref="AM47:AM57" si="47">IF(AJ47=0,1,0)</f>
        <v>1</v>
      </c>
      <c r="AO47" s="12">
        <f t="shared" ref="AO47:AO57" si="48">IF(P47=0,1,0)</f>
        <v>0</v>
      </c>
      <c r="AP47" s="12">
        <f t="shared" si="12"/>
        <v>0</v>
      </c>
      <c r="AQ47" s="12">
        <f t="shared" ref="AQ47:AQ57" si="49">IF(N47=0,1,0)</f>
        <v>0</v>
      </c>
      <c r="AR47" s="12">
        <f t="shared" si="13"/>
        <v>0</v>
      </c>
      <c r="AS47" s="12">
        <f t="shared" ref="AS47:AS55" si="50">IF(Q47=0,0,1)</f>
        <v>0</v>
      </c>
      <c r="AT47" s="12">
        <f t="shared" si="18"/>
        <v>0</v>
      </c>
      <c r="AU47" s="12">
        <f t="shared" ref="AU47:AU57" si="51">IF(R47=0,0,1)</f>
        <v>0</v>
      </c>
      <c r="AV47" s="12">
        <f t="shared" si="19"/>
        <v>0</v>
      </c>
    </row>
    <row r="48" spans="1:48" ht="82.5" x14ac:dyDescent="0.25">
      <c r="A48" s="60">
        <v>20</v>
      </c>
      <c r="B48" s="9" t="s">
        <v>143</v>
      </c>
      <c r="C48" s="61" t="s">
        <v>112</v>
      </c>
      <c r="D48" s="61" t="s">
        <v>144</v>
      </c>
      <c r="E48" s="70" t="s">
        <v>141</v>
      </c>
      <c r="F48" s="61"/>
      <c r="G48" s="5">
        <f>H48</f>
        <v>320000</v>
      </c>
      <c r="H48" s="74">
        <v>320000</v>
      </c>
      <c r="I48" s="63"/>
      <c r="J48" s="63"/>
      <c r="K48" s="63"/>
      <c r="L48" s="63"/>
      <c r="M48" s="68">
        <f>N48</f>
        <v>130000</v>
      </c>
      <c r="N48" s="68">
        <v>130000</v>
      </c>
      <c r="O48" s="68">
        <f>P48</f>
        <v>130000</v>
      </c>
      <c r="P48" s="68">
        <v>130000</v>
      </c>
      <c r="Q48" s="63">
        <f t="shared" si="42"/>
        <v>70000</v>
      </c>
      <c r="R48" s="8"/>
      <c r="S48" s="151">
        <f>T48</f>
        <v>200000</v>
      </c>
      <c r="T48" s="151">
        <v>200000</v>
      </c>
      <c r="U48" s="63"/>
      <c r="V48" s="63"/>
      <c r="W48" s="63"/>
      <c r="X48" s="63"/>
      <c r="Y48" s="63"/>
      <c r="Z48" s="63"/>
      <c r="AA48" s="63">
        <f t="shared" si="43"/>
        <v>0</v>
      </c>
      <c r="AB48" s="63">
        <f t="shared" si="43"/>
        <v>0</v>
      </c>
      <c r="AC48" s="63">
        <f t="shared" si="44"/>
        <v>130000</v>
      </c>
      <c r="AD48" s="63">
        <f t="shared" si="44"/>
        <v>130000</v>
      </c>
      <c r="AE48" s="63">
        <f t="shared" si="45"/>
        <v>130000</v>
      </c>
      <c r="AF48" s="63">
        <f t="shared" si="46"/>
        <v>130000</v>
      </c>
      <c r="AG48" s="63">
        <f t="shared" ref="AG48:AG57" si="52">AH48</f>
        <v>158000</v>
      </c>
      <c r="AH48" s="63">
        <f>G48*0.9-O48</f>
        <v>158000</v>
      </c>
      <c r="AI48" s="25" t="s">
        <v>914</v>
      </c>
      <c r="AJ48" s="19">
        <f t="shared" si="2"/>
        <v>1</v>
      </c>
      <c r="AK48" s="22">
        <f t="shared" si="11"/>
        <v>1</v>
      </c>
      <c r="AL48" s="22"/>
      <c r="AM48" s="12">
        <f t="shared" si="47"/>
        <v>0</v>
      </c>
      <c r="AO48" s="12">
        <f t="shared" si="48"/>
        <v>0</v>
      </c>
      <c r="AP48" s="12">
        <f t="shared" si="12"/>
        <v>0</v>
      </c>
      <c r="AQ48" s="12">
        <f t="shared" si="49"/>
        <v>0</v>
      </c>
      <c r="AR48" s="12">
        <f t="shared" si="13"/>
        <v>0</v>
      </c>
      <c r="AS48" s="12">
        <f t="shared" si="50"/>
        <v>1</v>
      </c>
      <c r="AT48" s="12">
        <f t="shared" si="18"/>
        <v>70000</v>
      </c>
      <c r="AU48" s="12">
        <f t="shared" si="51"/>
        <v>0</v>
      </c>
      <c r="AV48" s="12">
        <f t="shared" si="19"/>
        <v>0</v>
      </c>
    </row>
    <row r="49" spans="1:48" ht="33" x14ac:dyDescent="0.25">
      <c r="A49" s="60">
        <v>21</v>
      </c>
      <c r="B49" s="9" t="s">
        <v>145</v>
      </c>
      <c r="C49" s="61" t="s">
        <v>146</v>
      </c>
      <c r="D49" s="61" t="s">
        <v>147</v>
      </c>
      <c r="E49" s="70" t="s">
        <v>141</v>
      </c>
      <c r="F49" s="61"/>
      <c r="G49" s="5">
        <f t="shared" ref="G49:G55" si="53">H49</f>
        <v>369000</v>
      </c>
      <c r="H49" s="74">
        <v>369000</v>
      </c>
      <c r="I49" s="63"/>
      <c r="J49" s="63"/>
      <c r="K49" s="63"/>
      <c r="L49" s="63"/>
      <c r="M49" s="68">
        <f t="shared" ref="M49:M55" si="54">N49</f>
        <v>150000</v>
      </c>
      <c r="N49" s="68">
        <v>150000</v>
      </c>
      <c r="O49" s="68">
        <f>P49</f>
        <v>150000</v>
      </c>
      <c r="P49" s="68">
        <v>150000</v>
      </c>
      <c r="Q49" s="63">
        <f t="shared" si="42"/>
        <v>0</v>
      </c>
      <c r="R49" s="54"/>
      <c r="S49" s="68">
        <f>T49</f>
        <v>150000</v>
      </c>
      <c r="T49" s="68">
        <v>150000</v>
      </c>
      <c r="U49" s="63"/>
      <c r="V49" s="63"/>
      <c r="W49" s="63"/>
      <c r="X49" s="63"/>
      <c r="Y49" s="63"/>
      <c r="Z49" s="63"/>
      <c r="AA49" s="63">
        <f t="shared" si="43"/>
        <v>0</v>
      </c>
      <c r="AB49" s="63">
        <f t="shared" si="43"/>
        <v>0</v>
      </c>
      <c r="AC49" s="63">
        <f t="shared" si="44"/>
        <v>150000</v>
      </c>
      <c r="AD49" s="63">
        <f t="shared" si="44"/>
        <v>150000</v>
      </c>
      <c r="AE49" s="63">
        <f t="shared" si="45"/>
        <v>150000</v>
      </c>
      <c r="AF49" s="63">
        <f t="shared" si="46"/>
        <v>150000</v>
      </c>
      <c r="AG49" s="63">
        <f t="shared" si="52"/>
        <v>182100</v>
      </c>
      <c r="AH49" s="63">
        <f t="shared" ref="AH49:AH57" si="55">G49*0.9-O49</f>
        <v>182100</v>
      </c>
      <c r="AI49" s="69"/>
      <c r="AJ49" s="19">
        <f t="shared" si="2"/>
        <v>0</v>
      </c>
      <c r="AK49" s="22">
        <f t="shared" si="11"/>
        <v>0</v>
      </c>
      <c r="AL49" s="22"/>
      <c r="AM49" s="12">
        <f t="shared" si="47"/>
        <v>1</v>
      </c>
      <c r="AO49" s="12">
        <f t="shared" si="48"/>
        <v>0</v>
      </c>
      <c r="AP49" s="12">
        <f t="shared" si="12"/>
        <v>0</v>
      </c>
      <c r="AQ49" s="12">
        <f t="shared" si="49"/>
        <v>0</v>
      </c>
      <c r="AR49" s="12">
        <f t="shared" si="13"/>
        <v>0</v>
      </c>
      <c r="AS49" s="12">
        <f t="shared" si="50"/>
        <v>0</v>
      </c>
      <c r="AT49" s="12">
        <f t="shared" si="18"/>
        <v>0</v>
      </c>
      <c r="AU49" s="12">
        <f t="shared" si="51"/>
        <v>0</v>
      </c>
      <c r="AV49" s="12">
        <f t="shared" si="19"/>
        <v>0</v>
      </c>
    </row>
    <row r="50" spans="1:48" ht="49.5" x14ac:dyDescent="0.25">
      <c r="A50" s="60">
        <v>22</v>
      </c>
      <c r="B50" s="9" t="s">
        <v>148</v>
      </c>
      <c r="C50" s="746" t="s">
        <v>149</v>
      </c>
      <c r="D50" s="61" t="s">
        <v>150</v>
      </c>
      <c r="E50" s="70" t="s">
        <v>151</v>
      </c>
      <c r="F50" s="61"/>
      <c r="G50" s="5">
        <v>119677</v>
      </c>
      <c r="H50" s="68">
        <v>5000</v>
      </c>
      <c r="I50" s="63"/>
      <c r="J50" s="63"/>
      <c r="K50" s="63"/>
      <c r="L50" s="63"/>
      <c r="M50" s="68">
        <f>37000+N50+45000</f>
        <v>87000</v>
      </c>
      <c r="N50" s="68">
        <v>5000</v>
      </c>
      <c r="O50" s="68">
        <f>37000+P50+45000</f>
        <v>87000</v>
      </c>
      <c r="P50" s="68">
        <v>5000</v>
      </c>
      <c r="Q50" s="63">
        <f t="shared" si="42"/>
        <v>0</v>
      </c>
      <c r="R50" s="54"/>
      <c r="S50" s="68">
        <f>37000+T50+45000</f>
        <v>87000</v>
      </c>
      <c r="T50" s="68">
        <v>5000</v>
      </c>
      <c r="U50" s="63"/>
      <c r="V50" s="63"/>
      <c r="W50" s="63"/>
      <c r="X50" s="63"/>
      <c r="Y50" s="63"/>
      <c r="Z50" s="63"/>
      <c r="AA50" s="63">
        <f t="shared" si="43"/>
        <v>0</v>
      </c>
      <c r="AB50" s="63">
        <f t="shared" si="43"/>
        <v>0</v>
      </c>
      <c r="AC50" s="63">
        <f t="shared" si="44"/>
        <v>87000</v>
      </c>
      <c r="AD50" s="63">
        <f t="shared" si="44"/>
        <v>5000</v>
      </c>
      <c r="AE50" s="63">
        <f t="shared" si="45"/>
        <v>5000</v>
      </c>
      <c r="AF50" s="63">
        <f t="shared" si="46"/>
        <v>5000</v>
      </c>
      <c r="AG50" s="63">
        <f t="shared" si="52"/>
        <v>20709.300000000003</v>
      </c>
      <c r="AH50" s="63">
        <f t="shared" si="55"/>
        <v>20709.300000000003</v>
      </c>
      <c r="AI50" s="25" t="s">
        <v>152</v>
      </c>
      <c r="AJ50" s="19">
        <f t="shared" si="2"/>
        <v>0</v>
      </c>
      <c r="AK50" s="22">
        <f t="shared" si="11"/>
        <v>0</v>
      </c>
      <c r="AL50" s="22"/>
      <c r="AM50" s="12">
        <f t="shared" si="47"/>
        <v>1</v>
      </c>
      <c r="AO50" s="12">
        <f t="shared" si="48"/>
        <v>0</v>
      </c>
      <c r="AP50" s="12">
        <f t="shared" si="12"/>
        <v>0</v>
      </c>
      <c r="AQ50" s="12">
        <f t="shared" si="49"/>
        <v>0</v>
      </c>
      <c r="AR50" s="12">
        <f t="shared" si="13"/>
        <v>0</v>
      </c>
      <c r="AS50" s="12">
        <f t="shared" si="50"/>
        <v>0</v>
      </c>
      <c r="AT50" s="12">
        <f t="shared" si="18"/>
        <v>0</v>
      </c>
      <c r="AU50" s="12">
        <f t="shared" si="51"/>
        <v>0</v>
      </c>
      <c r="AV50" s="12">
        <f t="shared" si="19"/>
        <v>0</v>
      </c>
    </row>
    <row r="51" spans="1:48" ht="69" customHeight="1" x14ac:dyDescent="0.25">
      <c r="A51" s="60">
        <v>23</v>
      </c>
      <c r="B51" s="9" t="s">
        <v>153</v>
      </c>
      <c r="C51" s="61" t="s">
        <v>95</v>
      </c>
      <c r="D51" s="61" t="s">
        <v>154</v>
      </c>
      <c r="E51" s="70" t="s">
        <v>155</v>
      </c>
      <c r="F51" s="61"/>
      <c r="G51" s="5">
        <f t="shared" si="53"/>
        <v>199795</v>
      </c>
      <c r="H51" s="74">
        <v>199795</v>
      </c>
      <c r="I51" s="63"/>
      <c r="J51" s="63"/>
      <c r="K51" s="63"/>
      <c r="L51" s="63"/>
      <c r="M51" s="68">
        <f t="shared" si="54"/>
        <v>40000</v>
      </c>
      <c r="N51" s="68">
        <v>40000</v>
      </c>
      <c r="O51" s="68">
        <f>P51</f>
        <v>5000</v>
      </c>
      <c r="P51" s="68">
        <v>5000</v>
      </c>
      <c r="Q51" s="63"/>
      <c r="R51" s="8">
        <f t="shared" ref="R51:R52" si="56">N51-T51</f>
        <v>37600</v>
      </c>
      <c r="S51" s="4">
        <f>T51</f>
        <v>2400</v>
      </c>
      <c r="T51" s="4">
        <v>2400</v>
      </c>
      <c r="U51" s="63"/>
      <c r="V51" s="63"/>
      <c r="W51" s="63"/>
      <c r="X51" s="63"/>
      <c r="Y51" s="63"/>
      <c r="Z51" s="63"/>
      <c r="AA51" s="63">
        <f t="shared" si="43"/>
        <v>0</v>
      </c>
      <c r="AB51" s="63">
        <f t="shared" si="43"/>
        <v>0</v>
      </c>
      <c r="AC51" s="63">
        <f t="shared" si="44"/>
        <v>5000</v>
      </c>
      <c r="AD51" s="63">
        <f t="shared" si="44"/>
        <v>5000</v>
      </c>
      <c r="AE51" s="63">
        <f t="shared" si="45"/>
        <v>5000</v>
      </c>
      <c r="AF51" s="63">
        <f t="shared" si="46"/>
        <v>5000</v>
      </c>
      <c r="AG51" s="63">
        <f t="shared" si="52"/>
        <v>174815.5</v>
      </c>
      <c r="AH51" s="63">
        <f t="shared" si="55"/>
        <v>174815.5</v>
      </c>
      <c r="AI51" s="25" t="s">
        <v>1969</v>
      </c>
      <c r="AJ51" s="19">
        <f t="shared" si="2"/>
        <v>1</v>
      </c>
      <c r="AK51" s="22">
        <f t="shared" si="11"/>
        <v>1</v>
      </c>
      <c r="AL51" s="22"/>
      <c r="AM51" s="12">
        <f t="shared" si="47"/>
        <v>0</v>
      </c>
      <c r="AO51" s="12">
        <f t="shared" si="48"/>
        <v>0</v>
      </c>
      <c r="AP51" s="12">
        <f t="shared" si="12"/>
        <v>0</v>
      </c>
      <c r="AQ51" s="12">
        <f t="shared" si="49"/>
        <v>0</v>
      </c>
      <c r="AR51" s="12">
        <f t="shared" si="13"/>
        <v>0</v>
      </c>
      <c r="AS51" s="12">
        <f t="shared" si="50"/>
        <v>0</v>
      </c>
      <c r="AT51" s="12">
        <f t="shared" si="18"/>
        <v>0</v>
      </c>
      <c r="AU51" s="12">
        <f t="shared" si="51"/>
        <v>1</v>
      </c>
      <c r="AV51" s="12">
        <f t="shared" si="19"/>
        <v>37600</v>
      </c>
    </row>
    <row r="52" spans="1:48" ht="61.5" customHeight="1" x14ac:dyDescent="0.25">
      <c r="A52" s="60">
        <v>24</v>
      </c>
      <c r="B52" s="9" t="s">
        <v>156</v>
      </c>
      <c r="C52" s="61" t="s">
        <v>99</v>
      </c>
      <c r="D52" s="61" t="s">
        <v>157</v>
      </c>
      <c r="E52" s="70" t="s">
        <v>155</v>
      </c>
      <c r="F52" s="61"/>
      <c r="G52" s="5">
        <f t="shared" si="53"/>
        <v>85000</v>
      </c>
      <c r="H52" s="74">
        <v>85000</v>
      </c>
      <c r="I52" s="63"/>
      <c r="J52" s="63"/>
      <c r="K52" s="63"/>
      <c r="L52" s="63"/>
      <c r="M52" s="68">
        <f t="shared" si="54"/>
        <v>56200</v>
      </c>
      <c r="N52" s="68">
        <v>56200</v>
      </c>
      <c r="O52" s="68">
        <f>P52</f>
        <v>1200</v>
      </c>
      <c r="P52" s="68">
        <v>1200</v>
      </c>
      <c r="Q52" s="63"/>
      <c r="R52" s="8">
        <f t="shared" si="56"/>
        <v>55000</v>
      </c>
      <c r="S52" s="68">
        <f>T52</f>
        <v>1200</v>
      </c>
      <c r="T52" s="68">
        <v>1200</v>
      </c>
      <c r="U52" s="63"/>
      <c r="V52" s="63"/>
      <c r="W52" s="63"/>
      <c r="X52" s="63"/>
      <c r="Y52" s="63"/>
      <c r="Z52" s="63"/>
      <c r="AA52" s="63">
        <f t="shared" si="43"/>
        <v>0</v>
      </c>
      <c r="AB52" s="63">
        <f t="shared" si="43"/>
        <v>0</v>
      </c>
      <c r="AC52" s="63">
        <f t="shared" si="44"/>
        <v>1200</v>
      </c>
      <c r="AD52" s="63">
        <f t="shared" si="44"/>
        <v>1200</v>
      </c>
      <c r="AE52" s="63">
        <f t="shared" si="45"/>
        <v>1200</v>
      </c>
      <c r="AF52" s="63">
        <f t="shared" si="46"/>
        <v>1200</v>
      </c>
      <c r="AG52" s="63">
        <f t="shared" si="52"/>
        <v>75300</v>
      </c>
      <c r="AH52" s="63">
        <f t="shared" si="55"/>
        <v>75300</v>
      </c>
      <c r="AI52" s="25" t="s">
        <v>1969</v>
      </c>
      <c r="AJ52" s="19">
        <f t="shared" si="2"/>
        <v>1</v>
      </c>
      <c r="AK52" s="22">
        <f t="shared" si="11"/>
        <v>1</v>
      </c>
      <c r="AL52" s="22"/>
      <c r="AM52" s="12">
        <f t="shared" si="47"/>
        <v>0</v>
      </c>
      <c r="AO52" s="12">
        <f t="shared" si="48"/>
        <v>0</v>
      </c>
      <c r="AP52" s="12">
        <f t="shared" si="12"/>
        <v>0</v>
      </c>
      <c r="AQ52" s="12">
        <f t="shared" si="49"/>
        <v>0</v>
      </c>
      <c r="AR52" s="12">
        <f t="shared" si="13"/>
        <v>0</v>
      </c>
      <c r="AS52" s="12">
        <f t="shared" si="50"/>
        <v>0</v>
      </c>
      <c r="AT52" s="12">
        <f t="shared" si="18"/>
        <v>0</v>
      </c>
      <c r="AU52" s="12">
        <f t="shared" si="51"/>
        <v>1</v>
      </c>
      <c r="AV52" s="12">
        <f t="shared" si="19"/>
        <v>55000</v>
      </c>
    </row>
    <row r="53" spans="1:48" ht="57.75" customHeight="1" x14ac:dyDescent="0.25">
      <c r="A53" s="60">
        <v>25</v>
      </c>
      <c r="B53" s="9" t="s">
        <v>158</v>
      </c>
      <c r="C53" s="61" t="s">
        <v>58</v>
      </c>
      <c r="D53" s="61" t="s">
        <v>159</v>
      </c>
      <c r="E53" s="70" t="s">
        <v>155</v>
      </c>
      <c r="F53" s="61"/>
      <c r="G53" s="5">
        <f t="shared" si="53"/>
        <v>500000</v>
      </c>
      <c r="H53" s="74">
        <v>500000</v>
      </c>
      <c r="I53" s="63"/>
      <c r="J53" s="63"/>
      <c r="K53" s="63"/>
      <c r="L53" s="63"/>
      <c r="M53" s="68">
        <f t="shared" si="54"/>
        <v>5000</v>
      </c>
      <c r="N53" s="68">
        <v>5000</v>
      </c>
      <c r="O53" s="68">
        <f t="shared" ref="O53:O55" si="57">P53</f>
        <v>5000</v>
      </c>
      <c r="P53" s="68">
        <v>5000</v>
      </c>
      <c r="Q53" s="63">
        <f t="shared" si="42"/>
        <v>0</v>
      </c>
      <c r="R53" s="54"/>
      <c r="S53" s="68">
        <f t="shared" ref="S53:S55" si="58">T53</f>
        <v>5000</v>
      </c>
      <c r="T53" s="68">
        <v>5000</v>
      </c>
      <c r="U53" s="63"/>
      <c r="V53" s="63"/>
      <c r="W53" s="63"/>
      <c r="X53" s="63"/>
      <c r="Y53" s="63"/>
      <c r="Z53" s="63"/>
      <c r="AA53" s="63">
        <f t="shared" si="43"/>
        <v>0</v>
      </c>
      <c r="AB53" s="63">
        <f t="shared" si="43"/>
        <v>0</v>
      </c>
      <c r="AC53" s="63">
        <f t="shared" si="44"/>
        <v>5000</v>
      </c>
      <c r="AD53" s="63">
        <f t="shared" si="44"/>
        <v>5000</v>
      </c>
      <c r="AE53" s="63">
        <f t="shared" si="45"/>
        <v>5000</v>
      </c>
      <c r="AF53" s="63">
        <f t="shared" si="46"/>
        <v>5000</v>
      </c>
      <c r="AG53" s="63">
        <f t="shared" si="52"/>
        <v>445000</v>
      </c>
      <c r="AH53" s="63">
        <f t="shared" si="55"/>
        <v>445000</v>
      </c>
      <c r="AI53" s="69"/>
      <c r="AJ53" s="19">
        <f t="shared" si="2"/>
        <v>0</v>
      </c>
      <c r="AK53" s="22">
        <f t="shared" si="11"/>
        <v>0</v>
      </c>
      <c r="AL53" s="22"/>
      <c r="AM53" s="12">
        <f t="shared" si="47"/>
        <v>1</v>
      </c>
      <c r="AO53" s="12">
        <f t="shared" si="48"/>
        <v>0</v>
      </c>
      <c r="AP53" s="12">
        <f t="shared" si="12"/>
        <v>0</v>
      </c>
      <c r="AQ53" s="12">
        <f t="shared" si="49"/>
        <v>0</v>
      </c>
      <c r="AR53" s="12">
        <f t="shared" si="13"/>
        <v>0</v>
      </c>
      <c r="AS53" s="12">
        <f t="shared" si="50"/>
        <v>0</v>
      </c>
      <c r="AT53" s="12">
        <f t="shared" si="18"/>
        <v>0</v>
      </c>
      <c r="AU53" s="12">
        <f t="shared" si="51"/>
        <v>0</v>
      </c>
      <c r="AV53" s="12">
        <f t="shared" si="19"/>
        <v>0</v>
      </c>
    </row>
    <row r="54" spans="1:48" ht="61.5" customHeight="1" x14ac:dyDescent="0.25">
      <c r="A54" s="60">
        <v>26</v>
      </c>
      <c r="B54" s="9" t="s">
        <v>160</v>
      </c>
      <c r="C54" s="61" t="s">
        <v>146</v>
      </c>
      <c r="D54" s="61" t="s">
        <v>161</v>
      </c>
      <c r="E54" s="70" t="s">
        <v>162</v>
      </c>
      <c r="F54" s="61"/>
      <c r="G54" s="5">
        <f t="shared" si="53"/>
        <v>193573</v>
      </c>
      <c r="H54" s="74">
        <v>193573</v>
      </c>
      <c r="I54" s="63"/>
      <c r="J54" s="63"/>
      <c r="K54" s="63"/>
      <c r="L54" s="63"/>
      <c r="M54" s="68">
        <f t="shared" si="54"/>
        <v>5000</v>
      </c>
      <c r="N54" s="68">
        <v>5000</v>
      </c>
      <c r="O54" s="68">
        <f t="shared" si="57"/>
        <v>5000</v>
      </c>
      <c r="P54" s="68">
        <v>5000</v>
      </c>
      <c r="Q54" s="63"/>
      <c r="R54" s="8">
        <f>N54-T54</f>
        <v>2600</v>
      </c>
      <c r="S54" s="4">
        <f>T54</f>
        <v>2400</v>
      </c>
      <c r="T54" s="4">
        <v>2400</v>
      </c>
      <c r="U54" s="63"/>
      <c r="V54" s="63"/>
      <c r="W54" s="63"/>
      <c r="X54" s="63"/>
      <c r="Y54" s="63"/>
      <c r="Z54" s="63"/>
      <c r="AA54" s="63">
        <f t="shared" si="43"/>
        <v>0</v>
      </c>
      <c r="AB54" s="63">
        <f t="shared" si="43"/>
        <v>0</v>
      </c>
      <c r="AC54" s="63">
        <f t="shared" si="44"/>
        <v>5000</v>
      </c>
      <c r="AD54" s="63">
        <f t="shared" si="44"/>
        <v>5000</v>
      </c>
      <c r="AE54" s="63">
        <f t="shared" si="45"/>
        <v>5000</v>
      </c>
      <c r="AF54" s="63">
        <f t="shared" si="46"/>
        <v>5000</v>
      </c>
      <c r="AG54" s="63">
        <f t="shared" si="52"/>
        <v>169215.7</v>
      </c>
      <c r="AH54" s="63">
        <f t="shared" si="55"/>
        <v>169215.7</v>
      </c>
      <c r="AI54" s="25" t="s">
        <v>1969</v>
      </c>
      <c r="AJ54" s="19">
        <f t="shared" si="2"/>
        <v>1</v>
      </c>
      <c r="AK54" s="22">
        <f t="shared" si="11"/>
        <v>1</v>
      </c>
      <c r="AL54" s="22"/>
      <c r="AM54" s="12">
        <f t="shared" si="47"/>
        <v>0</v>
      </c>
      <c r="AO54" s="12">
        <f t="shared" si="48"/>
        <v>0</v>
      </c>
      <c r="AP54" s="12">
        <f t="shared" si="12"/>
        <v>0</v>
      </c>
      <c r="AQ54" s="12">
        <f t="shared" si="49"/>
        <v>0</v>
      </c>
      <c r="AR54" s="12">
        <f t="shared" si="13"/>
        <v>0</v>
      </c>
      <c r="AS54" s="12">
        <f t="shared" si="50"/>
        <v>0</v>
      </c>
      <c r="AT54" s="12">
        <f t="shared" si="18"/>
        <v>0</v>
      </c>
      <c r="AU54" s="12">
        <f t="shared" si="51"/>
        <v>1</v>
      </c>
      <c r="AV54" s="12">
        <f t="shared" si="19"/>
        <v>2600</v>
      </c>
    </row>
    <row r="55" spans="1:48" ht="33" x14ac:dyDescent="0.25">
      <c r="A55" s="60">
        <v>27</v>
      </c>
      <c r="B55" s="9" t="s">
        <v>163</v>
      </c>
      <c r="C55" s="61" t="s">
        <v>104</v>
      </c>
      <c r="D55" s="61" t="s">
        <v>164</v>
      </c>
      <c r="E55" s="70" t="s">
        <v>165</v>
      </c>
      <c r="F55" s="61"/>
      <c r="G55" s="5">
        <f t="shared" si="53"/>
        <v>446200</v>
      </c>
      <c r="H55" s="74">
        <v>446200</v>
      </c>
      <c r="I55" s="63"/>
      <c r="J55" s="63"/>
      <c r="K55" s="63"/>
      <c r="L55" s="63"/>
      <c r="M55" s="68">
        <f t="shared" si="54"/>
        <v>2000</v>
      </c>
      <c r="N55" s="68">
        <v>2000</v>
      </c>
      <c r="O55" s="68">
        <f t="shared" si="57"/>
        <v>2000</v>
      </c>
      <c r="P55" s="68">
        <v>2000</v>
      </c>
      <c r="Q55" s="63">
        <f t="shared" si="42"/>
        <v>0</v>
      </c>
      <c r="R55" s="54"/>
      <c r="S55" s="68">
        <f t="shared" si="58"/>
        <v>2000</v>
      </c>
      <c r="T55" s="68">
        <v>2000</v>
      </c>
      <c r="U55" s="63"/>
      <c r="V55" s="63"/>
      <c r="W55" s="63"/>
      <c r="X55" s="63"/>
      <c r="Y55" s="63"/>
      <c r="Z55" s="63"/>
      <c r="AA55" s="63">
        <f t="shared" si="43"/>
        <v>0</v>
      </c>
      <c r="AB55" s="63">
        <f t="shared" si="43"/>
        <v>0</v>
      </c>
      <c r="AC55" s="63">
        <f t="shared" si="44"/>
        <v>2000</v>
      </c>
      <c r="AD55" s="63">
        <f t="shared" si="44"/>
        <v>2000</v>
      </c>
      <c r="AE55" s="63">
        <f t="shared" si="45"/>
        <v>2000</v>
      </c>
      <c r="AF55" s="63">
        <f t="shared" si="46"/>
        <v>2000</v>
      </c>
      <c r="AG55" s="63">
        <f t="shared" si="52"/>
        <v>399580</v>
      </c>
      <c r="AH55" s="63">
        <f t="shared" si="55"/>
        <v>399580</v>
      </c>
      <c r="AI55" s="69"/>
      <c r="AJ55" s="19">
        <f t="shared" si="2"/>
        <v>0</v>
      </c>
      <c r="AK55" s="22">
        <f t="shared" si="11"/>
        <v>0</v>
      </c>
      <c r="AL55" s="22"/>
      <c r="AM55" s="12">
        <f t="shared" si="47"/>
        <v>1</v>
      </c>
      <c r="AO55" s="12">
        <f t="shared" si="48"/>
        <v>0</v>
      </c>
      <c r="AP55" s="12">
        <f t="shared" si="12"/>
        <v>0</v>
      </c>
      <c r="AQ55" s="12">
        <f t="shared" si="49"/>
        <v>0</v>
      </c>
      <c r="AR55" s="12">
        <f t="shared" si="13"/>
        <v>0</v>
      </c>
      <c r="AS55" s="12">
        <f t="shared" si="50"/>
        <v>0</v>
      </c>
      <c r="AT55" s="12">
        <f t="shared" si="18"/>
        <v>0</v>
      </c>
      <c r="AU55" s="12">
        <f t="shared" si="51"/>
        <v>0</v>
      </c>
      <c r="AV55" s="12">
        <f t="shared" si="19"/>
        <v>0</v>
      </c>
    </row>
    <row r="56" spans="1:48" ht="49.5" x14ac:dyDescent="0.25">
      <c r="A56" s="60">
        <v>28</v>
      </c>
      <c r="B56" s="9" t="s">
        <v>166</v>
      </c>
      <c r="C56" s="61" t="s">
        <v>167</v>
      </c>
      <c r="D56" s="61"/>
      <c r="E56" s="61" t="s">
        <v>172</v>
      </c>
      <c r="F56" s="61"/>
      <c r="G56" s="5">
        <f>H56</f>
        <v>65000</v>
      </c>
      <c r="H56" s="74">
        <v>65000</v>
      </c>
      <c r="I56" s="63"/>
      <c r="J56" s="63"/>
      <c r="K56" s="63"/>
      <c r="L56" s="63"/>
      <c r="M56" s="68"/>
      <c r="N56" s="68"/>
      <c r="O56" s="68">
        <f>P56</f>
        <v>58500</v>
      </c>
      <c r="P56" s="68">
        <f>H56*0.9</f>
        <v>58500</v>
      </c>
      <c r="Q56" s="63">
        <f t="shared" si="42"/>
        <v>20000</v>
      </c>
      <c r="R56" s="8"/>
      <c r="S56" s="151">
        <f>T56</f>
        <v>20000</v>
      </c>
      <c r="T56" s="151">
        <v>20000</v>
      </c>
      <c r="U56" s="58"/>
      <c r="V56" s="58"/>
      <c r="W56" s="58"/>
      <c r="X56" s="58"/>
      <c r="Y56" s="58"/>
      <c r="Z56" s="58"/>
      <c r="AA56" s="63">
        <f t="shared" si="43"/>
        <v>0</v>
      </c>
      <c r="AB56" s="63">
        <f t="shared" si="43"/>
        <v>0</v>
      </c>
      <c r="AC56" s="63">
        <f t="shared" si="44"/>
        <v>58500</v>
      </c>
      <c r="AD56" s="63">
        <f t="shared" si="44"/>
        <v>58500</v>
      </c>
      <c r="AE56" s="63">
        <f t="shared" si="45"/>
        <v>58500</v>
      </c>
      <c r="AF56" s="63">
        <f t="shared" si="46"/>
        <v>58500</v>
      </c>
      <c r="AG56" s="63">
        <f t="shared" si="52"/>
        <v>0</v>
      </c>
      <c r="AH56" s="63">
        <f t="shared" si="55"/>
        <v>0</v>
      </c>
      <c r="AI56" s="25" t="s">
        <v>84</v>
      </c>
      <c r="AJ56" s="19">
        <f t="shared" si="2"/>
        <v>1</v>
      </c>
      <c r="AK56" s="22">
        <f t="shared" si="11"/>
        <v>1</v>
      </c>
      <c r="AL56" s="22"/>
      <c r="AM56" s="12">
        <f t="shared" si="47"/>
        <v>0</v>
      </c>
      <c r="AO56" s="12">
        <f t="shared" si="48"/>
        <v>0</v>
      </c>
      <c r="AP56" s="12">
        <f t="shared" si="12"/>
        <v>0</v>
      </c>
      <c r="AQ56" s="12">
        <f t="shared" si="49"/>
        <v>1</v>
      </c>
      <c r="AR56" s="12">
        <f t="shared" si="13"/>
        <v>58500</v>
      </c>
      <c r="AU56" s="12">
        <f t="shared" si="51"/>
        <v>0</v>
      </c>
      <c r="AV56" s="12">
        <f t="shared" si="19"/>
        <v>0</v>
      </c>
    </row>
    <row r="57" spans="1:48" ht="76.5" customHeight="1" x14ac:dyDescent="0.25">
      <c r="A57" s="60">
        <v>29</v>
      </c>
      <c r="B57" s="9" t="s">
        <v>169</v>
      </c>
      <c r="C57" s="61" t="s">
        <v>170</v>
      </c>
      <c r="D57" s="61" t="s">
        <v>171</v>
      </c>
      <c r="E57" s="61" t="s">
        <v>172</v>
      </c>
      <c r="F57" s="61" t="s">
        <v>898</v>
      </c>
      <c r="G57" s="150">
        <f>H57</f>
        <v>366791</v>
      </c>
      <c r="H57" s="2">
        <v>366791</v>
      </c>
      <c r="I57" s="63"/>
      <c r="J57" s="63"/>
      <c r="K57" s="63"/>
      <c r="L57" s="63"/>
      <c r="M57" s="68"/>
      <c r="N57" s="68"/>
      <c r="O57" s="68">
        <f>P57</f>
        <v>10000</v>
      </c>
      <c r="P57" s="68">
        <v>10000</v>
      </c>
      <c r="Q57" s="63">
        <f t="shared" si="42"/>
        <v>10000</v>
      </c>
      <c r="R57" s="54"/>
      <c r="S57" s="68">
        <f>T57</f>
        <v>10000</v>
      </c>
      <c r="T57" s="68">
        <v>10000</v>
      </c>
      <c r="U57" s="58"/>
      <c r="V57" s="58"/>
      <c r="W57" s="58"/>
      <c r="X57" s="58"/>
      <c r="Y57" s="58"/>
      <c r="Z57" s="58"/>
      <c r="AA57" s="63">
        <f t="shared" si="43"/>
        <v>0</v>
      </c>
      <c r="AB57" s="63">
        <f t="shared" si="43"/>
        <v>0</v>
      </c>
      <c r="AC57" s="63">
        <f t="shared" si="44"/>
        <v>10000</v>
      </c>
      <c r="AD57" s="63">
        <f t="shared" si="44"/>
        <v>10000</v>
      </c>
      <c r="AE57" s="63">
        <f t="shared" si="45"/>
        <v>10000</v>
      </c>
      <c r="AF57" s="63">
        <f t="shared" si="46"/>
        <v>10000</v>
      </c>
      <c r="AG57" s="63">
        <f t="shared" si="52"/>
        <v>320111.90000000002</v>
      </c>
      <c r="AH57" s="63">
        <f t="shared" si="55"/>
        <v>320111.90000000002</v>
      </c>
      <c r="AI57" s="25" t="s">
        <v>84</v>
      </c>
      <c r="AJ57" s="19">
        <f t="shared" si="2"/>
        <v>1</v>
      </c>
      <c r="AK57" s="22">
        <f t="shared" si="11"/>
        <v>1</v>
      </c>
      <c r="AL57" s="22"/>
      <c r="AM57" s="12">
        <f t="shared" si="47"/>
        <v>0</v>
      </c>
      <c r="AO57" s="12">
        <f t="shared" si="48"/>
        <v>0</v>
      </c>
      <c r="AP57" s="12">
        <f t="shared" si="12"/>
        <v>0</v>
      </c>
      <c r="AQ57" s="12">
        <f t="shared" si="49"/>
        <v>1</v>
      </c>
      <c r="AR57" s="12">
        <f t="shared" si="13"/>
        <v>10000</v>
      </c>
      <c r="AU57" s="12">
        <f t="shared" si="51"/>
        <v>0</v>
      </c>
      <c r="AV57" s="12">
        <f t="shared" si="19"/>
        <v>0</v>
      </c>
    </row>
    <row r="58" spans="1:48" s="157" customFormat="1" ht="76.5" customHeight="1" x14ac:dyDescent="0.25">
      <c r="A58" s="152">
        <v>30</v>
      </c>
      <c r="B58" s="153" t="s">
        <v>902</v>
      </c>
      <c r="C58" s="1"/>
      <c r="D58" s="1"/>
      <c r="E58" s="1" t="s">
        <v>168</v>
      </c>
      <c r="F58" s="1"/>
      <c r="G58" s="150">
        <f>H58</f>
        <v>70000</v>
      </c>
      <c r="H58" s="2">
        <v>70000</v>
      </c>
      <c r="I58" s="3"/>
      <c r="J58" s="3"/>
      <c r="K58" s="3"/>
      <c r="L58" s="3"/>
      <c r="M58" s="4"/>
      <c r="N58" s="4"/>
      <c r="O58" s="4"/>
      <c r="P58" s="4"/>
      <c r="Q58" s="63">
        <f t="shared" si="42"/>
        <v>20000</v>
      </c>
      <c r="R58" s="8"/>
      <c r="S58" s="4">
        <f>T58</f>
        <v>20000</v>
      </c>
      <c r="T58" s="4">
        <v>20000</v>
      </c>
      <c r="U58" s="154"/>
      <c r="V58" s="154"/>
      <c r="W58" s="154"/>
      <c r="X58" s="154"/>
      <c r="Y58" s="154"/>
      <c r="Z58" s="154"/>
      <c r="AA58" s="3"/>
      <c r="AB58" s="3"/>
      <c r="AC58" s="3"/>
      <c r="AD58" s="3"/>
      <c r="AE58" s="3"/>
      <c r="AF58" s="3"/>
      <c r="AG58" s="3"/>
      <c r="AH58" s="3"/>
      <c r="AI58" s="25" t="s">
        <v>908</v>
      </c>
      <c r="AJ58" s="19">
        <f t="shared" si="2"/>
        <v>1</v>
      </c>
      <c r="AK58" s="155"/>
      <c r="AL58" s="155"/>
      <c r="AM58" s="156"/>
      <c r="AN58" s="156"/>
      <c r="AO58" s="156"/>
      <c r="AP58" s="156"/>
      <c r="AQ58" s="156"/>
      <c r="AR58" s="156"/>
      <c r="AS58" s="156"/>
      <c r="AT58" s="156"/>
      <c r="AU58" s="156"/>
      <c r="AV58" s="156"/>
    </row>
    <row r="59" spans="1:48" s="34" customFormat="1" ht="41.25" customHeight="1" x14ac:dyDescent="0.25">
      <c r="A59" s="28" t="s">
        <v>173</v>
      </c>
      <c r="B59" s="29" t="s">
        <v>174</v>
      </c>
      <c r="C59" s="30"/>
      <c r="D59" s="30"/>
      <c r="E59" s="30"/>
      <c r="F59" s="30"/>
      <c r="G59" s="31">
        <f t="shared" ref="G59:AH59" si="59">G60+G74</f>
        <v>543680</v>
      </c>
      <c r="H59" s="31">
        <f t="shared" si="59"/>
        <v>522285</v>
      </c>
      <c r="I59" s="31">
        <f t="shared" si="59"/>
        <v>6460</v>
      </c>
      <c r="J59" s="31">
        <f t="shared" si="59"/>
        <v>3460</v>
      </c>
      <c r="K59" s="31">
        <f t="shared" si="59"/>
        <v>6460</v>
      </c>
      <c r="L59" s="31">
        <f t="shared" si="59"/>
        <v>3460</v>
      </c>
      <c r="M59" s="31">
        <f t="shared" si="59"/>
        <v>360000</v>
      </c>
      <c r="N59" s="31">
        <f t="shared" si="59"/>
        <v>360000</v>
      </c>
      <c r="O59" s="31">
        <f t="shared" si="59"/>
        <v>360000</v>
      </c>
      <c r="P59" s="31">
        <f t="shared" si="59"/>
        <v>360000</v>
      </c>
      <c r="Q59" s="31">
        <f t="shared" si="59"/>
        <v>49908</v>
      </c>
      <c r="R59" s="31">
        <f t="shared" si="59"/>
        <v>80680</v>
      </c>
      <c r="S59" s="31">
        <f t="shared" si="59"/>
        <v>329228</v>
      </c>
      <c r="T59" s="31">
        <f t="shared" si="59"/>
        <v>329228</v>
      </c>
      <c r="U59" s="31">
        <f t="shared" si="59"/>
        <v>43680</v>
      </c>
      <c r="V59" s="31">
        <f t="shared" si="59"/>
        <v>43680</v>
      </c>
      <c r="W59" s="31">
        <f t="shared" si="59"/>
        <v>51565</v>
      </c>
      <c r="X59" s="31">
        <f t="shared" si="59"/>
        <v>51565</v>
      </c>
      <c r="Y59" s="31">
        <f t="shared" si="59"/>
        <v>65293</v>
      </c>
      <c r="Z59" s="31">
        <f t="shared" si="59"/>
        <v>65293</v>
      </c>
      <c r="AA59" s="31">
        <f t="shared" si="59"/>
        <v>160538</v>
      </c>
      <c r="AB59" s="31">
        <f t="shared" si="59"/>
        <v>160538</v>
      </c>
      <c r="AC59" s="31">
        <f t="shared" si="59"/>
        <v>178874</v>
      </c>
      <c r="AD59" s="31">
        <f t="shared" si="59"/>
        <v>178874</v>
      </c>
      <c r="AE59" s="31">
        <f t="shared" si="59"/>
        <v>153038</v>
      </c>
      <c r="AF59" s="31">
        <f t="shared" si="59"/>
        <v>153038</v>
      </c>
      <c r="AG59" s="31">
        <f t="shared" si="59"/>
        <v>28244.200000000004</v>
      </c>
      <c r="AH59" s="31">
        <f t="shared" si="59"/>
        <v>28244.200000000004</v>
      </c>
      <c r="AI59" s="32"/>
      <c r="AJ59" s="19">
        <f t="shared" si="2"/>
        <v>1</v>
      </c>
      <c r="AK59" s="22"/>
      <c r="AL59" s="22"/>
      <c r="AM59" s="92"/>
      <c r="AN59" s="12"/>
      <c r="AO59" s="12"/>
      <c r="AP59" s="12">
        <f t="shared" si="12"/>
        <v>0</v>
      </c>
      <c r="AQ59" s="12"/>
      <c r="AR59" s="12">
        <f t="shared" si="13"/>
        <v>0</v>
      </c>
      <c r="AS59" s="12"/>
      <c r="AT59" s="12">
        <f t="shared" si="18"/>
        <v>0</v>
      </c>
      <c r="AU59" s="12"/>
      <c r="AV59" s="12">
        <f t="shared" si="19"/>
        <v>0</v>
      </c>
    </row>
    <row r="60" spans="1:48" s="42" customFormat="1" ht="51.75" x14ac:dyDescent="0.25">
      <c r="A60" s="35" t="s">
        <v>45</v>
      </c>
      <c r="B60" s="36" t="s">
        <v>46</v>
      </c>
      <c r="C60" s="37"/>
      <c r="D60" s="37"/>
      <c r="E60" s="37"/>
      <c r="F60" s="37"/>
      <c r="G60" s="38">
        <f t="shared" ref="G60:AH60" si="60">G61</f>
        <v>55806</v>
      </c>
      <c r="H60" s="38">
        <f t="shared" si="60"/>
        <v>55806</v>
      </c>
      <c r="I60" s="38">
        <f t="shared" si="60"/>
        <v>6460</v>
      </c>
      <c r="J60" s="38">
        <f t="shared" si="60"/>
        <v>3460</v>
      </c>
      <c r="K60" s="38">
        <f t="shared" si="60"/>
        <v>6460</v>
      </c>
      <c r="L60" s="38">
        <f t="shared" si="60"/>
        <v>3460</v>
      </c>
      <c r="M60" s="38">
        <f t="shared" si="60"/>
        <v>37700</v>
      </c>
      <c r="N60" s="38">
        <f t="shared" si="60"/>
        <v>37700</v>
      </c>
      <c r="O60" s="38">
        <f t="shared" si="60"/>
        <v>39450</v>
      </c>
      <c r="P60" s="38">
        <f t="shared" si="60"/>
        <v>39450</v>
      </c>
      <c r="Q60" s="38">
        <f t="shared" si="60"/>
        <v>1750</v>
      </c>
      <c r="R60" s="38">
        <f t="shared" si="60"/>
        <v>0</v>
      </c>
      <c r="S60" s="38">
        <f t="shared" si="60"/>
        <v>39450</v>
      </c>
      <c r="T60" s="38">
        <f t="shared" si="60"/>
        <v>39450</v>
      </c>
      <c r="U60" s="38">
        <f t="shared" si="60"/>
        <v>14340</v>
      </c>
      <c r="V60" s="38">
        <f t="shared" si="60"/>
        <v>14340</v>
      </c>
      <c r="W60" s="38">
        <f t="shared" si="60"/>
        <v>4274</v>
      </c>
      <c r="X60" s="38">
        <f t="shared" si="60"/>
        <v>4274</v>
      </c>
      <c r="Y60" s="38">
        <f t="shared" si="60"/>
        <v>0</v>
      </c>
      <c r="Z60" s="38">
        <f t="shared" si="60"/>
        <v>0</v>
      </c>
      <c r="AA60" s="38">
        <f t="shared" si="60"/>
        <v>18614</v>
      </c>
      <c r="AB60" s="38">
        <f t="shared" si="60"/>
        <v>18614</v>
      </c>
      <c r="AC60" s="38">
        <f t="shared" si="60"/>
        <v>20836</v>
      </c>
      <c r="AD60" s="38">
        <f t="shared" si="60"/>
        <v>20836</v>
      </c>
      <c r="AE60" s="38">
        <f t="shared" si="60"/>
        <v>0</v>
      </c>
      <c r="AF60" s="38">
        <f t="shared" si="60"/>
        <v>0</v>
      </c>
      <c r="AG60" s="38">
        <f t="shared" si="60"/>
        <v>0</v>
      </c>
      <c r="AH60" s="38">
        <f t="shared" si="60"/>
        <v>0</v>
      </c>
      <c r="AI60" s="40"/>
      <c r="AJ60" s="19">
        <f t="shared" si="2"/>
        <v>1</v>
      </c>
      <c r="AK60" s="22"/>
      <c r="AL60" s="22"/>
      <c r="AM60" s="12"/>
      <c r="AN60" s="12"/>
      <c r="AO60" s="12"/>
      <c r="AP60" s="12">
        <f t="shared" si="12"/>
        <v>0</v>
      </c>
      <c r="AQ60" s="12"/>
      <c r="AR60" s="12">
        <f t="shared" si="13"/>
        <v>0</v>
      </c>
      <c r="AS60" s="12"/>
      <c r="AT60" s="12">
        <f t="shared" si="18"/>
        <v>0</v>
      </c>
      <c r="AU60" s="12"/>
      <c r="AV60" s="12">
        <f t="shared" si="19"/>
        <v>0</v>
      </c>
    </row>
    <row r="61" spans="1:48" s="49" customFormat="1" ht="34.5" x14ac:dyDescent="0.25">
      <c r="A61" s="43" t="s">
        <v>47</v>
      </c>
      <c r="B61" s="44" t="s">
        <v>48</v>
      </c>
      <c r="C61" s="45"/>
      <c r="D61" s="45"/>
      <c r="E61" s="45"/>
      <c r="F61" s="45"/>
      <c r="G61" s="46">
        <f>G72+G73+G64</f>
        <v>55806</v>
      </c>
      <c r="H61" s="46">
        <f t="shared" ref="H61:T61" si="61">H72+H73+H64</f>
        <v>55806</v>
      </c>
      <c r="I61" s="46">
        <f t="shared" si="61"/>
        <v>6460</v>
      </c>
      <c r="J61" s="46">
        <f t="shared" si="61"/>
        <v>3460</v>
      </c>
      <c r="K61" s="46">
        <f t="shared" si="61"/>
        <v>6460</v>
      </c>
      <c r="L61" s="46">
        <f t="shared" si="61"/>
        <v>3460</v>
      </c>
      <c r="M61" s="46">
        <f t="shared" si="61"/>
        <v>37700</v>
      </c>
      <c r="N61" s="46">
        <f t="shared" si="61"/>
        <v>37700</v>
      </c>
      <c r="O61" s="46">
        <f t="shared" si="61"/>
        <v>39450</v>
      </c>
      <c r="P61" s="46">
        <f t="shared" si="61"/>
        <v>39450</v>
      </c>
      <c r="Q61" s="46">
        <f t="shared" si="61"/>
        <v>1750</v>
      </c>
      <c r="R61" s="46">
        <f t="shared" si="61"/>
        <v>0</v>
      </c>
      <c r="S61" s="46">
        <f t="shared" si="61"/>
        <v>39450</v>
      </c>
      <c r="T61" s="46">
        <f t="shared" si="61"/>
        <v>39450</v>
      </c>
      <c r="U61" s="46">
        <f t="shared" ref="U61:X61" si="62">U64+SUM(U72:U73)</f>
        <v>14340</v>
      </c>
      <c r="V61" s="46">
        <f t="shared" si="62"/>
        <v>14340</v>
      </c>
      <c r="W61" s="46">
        <f t="shared" si="62"/>
        <v>4274</v>
      </c>
      <c r="X61" s="46">
        <f t="shared" si="62"/>
        <v>4274</v>
      </c>
      <c r="Y61" s="46">
        <f t="shared" ref="Y61:AH61" si="63">Y64+SUM(Y72:Y73)</f>
        <v>0</v>
      </c>
      <c r="Z61" s="46">
        <f t="shared" si="63"/>
        <v>0</v>
      </c>
      <c r="AA61" s="46">
        <f t="shared" si="63"/>
        <v>18614</v>
      </c>
      <c r="AB61" s="46">
        <f t="shared" si="63"/>
        <v>18614</v>
      </c>
      <c r="AC61" s="46">
        <f t="shared" si="63"/>
        <v>20836</v>
      </c>
      <c r="AD61" s="46">
        <f t="shared" si="63"/>
        <v>20836</v>
      </c>
      <c r="AE61" s="46">
        <f t="shared" si="63"/>
        <v>0</v>
      </c>
      <c r="AF61" s="46">
        <f t="shared" si="63"/>
        <v>0</v>
      </c>
      <c r="AG61" s="46">
        <f t="shared" si="63"/>
        <v>0</v>
      </c>
      <c r="AH61" s="46">
        <f t="shared" si="63"/>
        <v>0</v>
      </c>
      <c r="AI61" s="47"/>
      <c r="AJ61" s="19">
        <f t="shared" si="2"/>
        <v>1</v>
      </c>
      <c r="AK61" s="22"/>
      <c r="AL61" s="22"/>
      <c r="AM61" s="12"/>
      <c r="AN61" s="12"/>
      <c r="AO61" s="12"/>
      <c r="AP61" s="12">
        <f t="shared" si="12"/>
        <v>0</v>
      </c>
      <c r="AQ61" s="12"/>
      <c r="AR61" s="12">
        <f t="shared" si="13"/>
        <v>0</v>
      </c>
      <c r="AS61" s="12"/>
      <c r="AT61" s="12">
        <f t="shared" si="18"/>
        <v>0</v>
      </c>
      <c r="AU61" s="12"/>
      <c r="AV61" s="12">
        <f t="shared" si="19"/>
        <v>0</v>
      </c>
    </row>
    <row r="62" spans="1:48" ht="17.25" x14ac:dyDescent="0.25">
      <c r="A62" s="50"/>
      <c r="B62" s="51" t="s">
        <v>49</v>
      </c>
      <c r="C62" s="52"/>
      <c r="D62" s="52"/>
      <c r="E62" s="52"/>
      <c r="F62" s="52"/>
      <c r="G62" s="53"/>
      <c r="H62" s="53"/>
      <c r="I62" s="53"/>
      <c r="J62" s="53"/>
      <c r="K62" s="53"/>
      <c r="L62" s="53"/>
      <c r="M62" s="53"/>
      <c r="N62" s="53"/>
      <c r="O62" s="53"/>
      <c r="P62" s="53"/>
      <c r="Q62" s="54"/>
      <c r="R62" s="54"/>
      <c r="S62" s="53"/>
      <c r="T62" s="53"/>
      <c r="U62" s="63"/>
      <c r="V62" s="63"/>
      <c r="W62" s="63"/>
      <c r="X62" s="63"/>
      <c r="Y62" s="63"/>
      <c r="Z62" s="63"/>
      <c r="AA62" s="63"/>
      <c r="AB62" s="63"/>
      <c r="AC62" s="63"/>
      <c r="AD62" s="63"/>
      <c r="AE62" s="63"/>
      <c r="AF62" s="63"/>
      <c r="AG62" s="63"/>
      <c r="AH62" s="63"/>
      <c r="AI62" s="55"/>
      <c r="AJ62" s="19">
        <f t="shared" si="2"/>
        <v>0</v>
      </c>
      <c r="AK62" s="22"/>
      <c r="AL62" s="22"/>
      <c r="AP62" s="12">
        <f t="shared" si="12"/>
        <v>0</v>
      </c>
      <c r="AR62" s="12">
        <f t="shared" si="13"/>
        <v>0</v>
      </c>
      <c r="AT62" s="12">
        <f t="shared" si="18"/>
        <v>0</v>
      </c>
      <c r="AV62" s="12">
        <f t="shared" si="19"/>
        <v>0</v>
      </c>
    </row>
    <row r="63" spans="1:48" ht="51.75" x14ac:dyDescent="0.25">
      <c r="A63" s="50"/>
      <c r="B63" s="56" t="s">
        <v>50</v>
      </c>
      <c r="C63" s="57"/>
      <c r="D63" s="57"/>
      <c r="E63" s="57"/>
      <c r="F63" s="57"/>
      <c r="G63" s="58"/>
      <c r="H63" s="58"/>
      <c r="I63" s="58"/>
      <c r="J63" s="58"/>
      <c r="K63" s="58"/>
      <c r="L63" s="58"/>
      <c r="M63" s="58"/>
      <c r="N63" s="58"/>
      <c r="O63" s="58"/>
      <c r="P63" s="58"/>
      <c r="Q63" s="54"/>
      <c r="R63" s="54"/>
      <c r="S63" s="58"/>
      <c r="T63" s="58"/>
      <c r="U63" s="58">
        <f t="shared" ref="U63:AH63" si="64">U64+U110</f>
        <v>7140</v>
      </c>
      <c r="V63" s="58">
        <f t="shared" si="64"/>
        <v>7140</v>
      </c>
      <c r="W63" s="58">
        <f t="shared" si="64"/>
        <v>4274</v>
      </c>
      <c r="X63" s="58">
        <f t="shared" si="64"/>
        <v>4274</v>
      </c>
      <c r="Y63" s="58">
        <f t="shared" si="64"/>
        <v>0</v>
      </c>
      <c r="Z63" s="58">
        <f t="shared" si="64"/>
        <v>0</v>
      </c>
      <c r="AA63" s="58">
        <f t="shared" si="64"/>
        <v>11414</v>
      </c>
      <c r="AB63" s="58">
        <f t="shared" si="64"/>
        <v>11414</v>
      </c>
      <c r="AC63" s="58">
        <f t="shared" si="64"/>
        <v>21986</v>
      </c>
      <c r="AD63" s="58">
        <f t="shared" si="64"/>
        <v>21986</v>
      </c>
      <c r="AE63" s="58">
        <f t="shared" si="64"/>
        <v>2900</v>
      </c>
      <c r="AF63" s="58">
        <f t="shared" si="64"/>
        <v>2900</v>
      </c>
      <c r="AG63" s="58">
        <f t="shared" si="64"/>
        <v>0</v>
      </c>
      <c r="AH63" s="58">
        <f t="shared" si="64"/>
        <v>0</v>
      </c>
      <c r="AI63" s="59"/>
      <c r="AJ63" s="19">
        <f t="shared" si="2"/>
        <v>0</v>
      </c>
      <c r="AK63" s="22"/>
      <c r="AL63" s="22"/>
      <c r="AP63" s="12">
        <f t="shared" si="12"/>
        <v>0</v>
      </c>
      <c r="AR63" s="12">
        <f t="shared" si="13"/>
        <v>0</v>
      </c>
      <c r="AT63" s="12">
        <f t="shared" si="18"/>
        <v>0</v>
      </c>
      <c r="AV63" s="12">
        <f t="shared" si="19"/>
        <v>0</v>
      </c>
    </row>
    <row r="64" spans="1:48" ht="33" x14ac:dyDescent="0.25">
      <c r="A64" s="60">
        <v>1</v>
      </c>
      <c r="B64" s="67" t="s">
        <v>175</v>
      </c>
      <c r="C64" s="61" t="s">
        <v>176</v>
      </c>
      <c r="D64" s="61"/>
      <c r="E64" s="61" t="s">
        <v>91</v>
      </c>
      <c r="F64" s="61"/>
      <c r="G64" s="80">
        <v>33500</v>
      </c>
      <c r="H64" s="80">
        <v>33500</v>
      </c>
      <c r="I64" s="63"/>
      <c r="J64" s="63"/>
      <c r="K64" s="63"/>
      <c r="L64" s="63"/>
      <c r="M64" s="68">
        <f t="shared" ref="M64:M73" si="65">N64</f>
        <v>30500</v>
      </c>
      <c r="N64" s="63">
        <v>30500</v>
      </c>
      <c r="O64" s="68">
        <f t="shared" ref="O64:O73" si="66">P64</f>
        <v>30500</v>
      </c>
      <c r="P64" s="63">
        <f>SUM(P65:P71)</f>
        <v>30500</v>
      </c>
      <c r="Q64" s="54"/>
      <c r="R64" s="54">
        <f>N64-T64</f>
        <v>0</v>
      </c>
      <c r="S64" s="68">
        <f t="shared" ref="S64" si="67">T64</f>
        <v>30500</v>
      </c>
      <c r="T64" s="63">
        <f>SUM(T65:T71)</f>
        <v>30500</v>
      </c>
      <c r="U64" s="63">
        <f>V64</f>
        <v>7140</v>
      </c>
      <c r="V64" s="63">
        <v>7140</v>
      </c>
      <c r="W64" s="63">
        <f>X64</f>
        <v>4274</v>
      </c>
      <c r="X64" s="63">
        <v>4274</v>
      </c>
      <c r="Y64" s="63"/>
      <c r="Z64" s="63"/>
      <c r="AA64" s="63">
        <f t="shared" ref="AA64:AB64" si="68">U64+W64+Y64</f>
        <v>11414</v>
      </c>
      <c r="AB64" s="63">
        <f t="shared" si="68"/>
        <v>11414</v>
      </c>
      <c r="AC64" s="63">
        <f>O64-AA64</f>
        <v>19086</v>
      </c>
      <c r="AD64" s="63">
        <f>P64-AB64</f>
        <v>19086</v>
      </c>
      <c r="AE64" s="63">
        <f t="shared" ref="AE64" si="69">AF64</f>
        <v>0</v>
      </c>
      <c r="AF64" s="63">
        <f t="shared" ref="AF64" si="70">IF(AB64=0,AD64,0)</f>
        <v>0</v>
      </c>
      <c r="AG64" s="63"/>
      <c r="AH64" s="63"/>
      <c r="AI64" s="59"/>
      <c r="AJ64" s="19">
        <f t="shared" si="2"/>
        <v>0</v>
      </c>
      <c r="AK64" s="22">
        <f t="shared" si="11"/>
        <v>0</v>
      </c>
      <c r="AL64" s="22"/>
      <c r="AM64" s="12">
        <f>IF(AJ64=0,1,0)</f>
        <v>1</v>
      </c>
      <c r="AO64" s="12">
        <f>IF(P64=0,1,0)</f>
        <v>0</v>
      </c>
      <c r="AP64" s="12">
        <f t="shared" si="12"/>
        <v>0</v>
      </c>
      <c r="AQ64" s="12">
        <f>IF(N64=0,1,0)</f>
        <v>0</v>
      </c>
      <c r="AR64" s="12">
        <f t="shared" si="13"/>
        <v>0</v>
      </c>
      <c r="AS64" s="12">
        <f>IF(Q64=0,0,1)</f>
        <v>0</v>
      </c>
      <c r="AT64" s="12">
        <f t="shared" si="18"/>
        <v>0</v>
      </c>
      <c r="AU64" s="12">
        <f>IF(R64=0,0,1)</f>
        <v>0</v>
      </c>
      <c r="AV64" s="12">
        <f t="shared" si="19"/>
        <v>0</v>
      </c>
    </row>
    <row r="65" spans="1:48" ht="49.5" x14ac:dyDescent="0.25">
      <c r="A65" s="60"/>
      <c r="B65" s="81" t="s">
        <v>177</v>
      </c>
      <c r="C65" s="82"/>
      <c r="D65" s="61"/>
      <c r="E65" s="83" t="s">
        <v>91</v>
      </c>
      <c r="F65" s="83" t="s">
        <v>178</v>
      </c>
      <c r="G65" s="84">
        <v>237682</v>
      </c>
      <c r="H65" s="84">
        <v>237682</v>
      </c>
      <c r="I65" s="63"/>
      <c r="J65" s="63"/>
      <c r="K65" s="63"/>
      <c r="L65" s="63"/>
      <c r="M65" s="85">
        <f t="shared" si="65"/>
        <v>6038</v>
      </c>
      <c r="N65" s="86">
        <v>6038</v>
      </c>
      <c r="O65" s="85"/>
      <c r="P65" s="86"/>
      <c r="Q65" s="54"/>
      <c r="R65" s="54"/>
      <c r="S65" s="85"/>
      <c r="T65" s="86"/>
      <c r="U65" s="63"/>
      <c r="V65" s="63"/>
      <c r="W65" s="63"/>
      <c r="X65" s="63"/>
      <c r="Y65" s="63"/>
      <c r="Z65" s="63"/>
      <c r="AA65" s="63"/>
      <c r="AB65" s="63"/>
      <c r="AC65" s="63"/>
      <c r="AD65" s="63"/>
      <c r="AE65" s="63"/>
      <c r="AF65" s="63"/>
      <c r="AG65" s="63"/>
      <c r="AH65" s="63"/>
      <c r="AI65" s="69"/>
      <c r="AJ65" s="19"/>
      <c r="AK65" s="22"/>
      <c r="AL65" s="22"/>
    </row>
    <row r="66" spans="1:48" ht="49.5" x14ac:dyDescent="0.25">
      <c r="A66" s="60"/>
      <c r="B66" s="81" t="s">
        <v>179</v>
      </c>
      <c r="C66" s="82"/>
      <c r="D66" s="61"/>
      <c r="E66" s="83" t="s">
        <v>180</v>
      </c>
      <c r="F66" s="83" t="s">
        <v>181</v>
      </c>
      <c r="G66" s="84">
        <v>431152</v>
      </c>
      <c r="H66" s="84">
        <v>431152</v>
      </c>
      <c r="I66" s="63"/>
      <c r="J66" s="63"/>
      <c r="K66" s="63"/>
      <c r="L66" s="63"/>
      <c r="M66" s="85">
        <f t="shared" si="65"/>
        <v>23865</v>
      </c>
      <c r="N66" s="86">
        <v>23865</v>
      </c>
      <c r="O66" s="85"/>
      <c r="P66" s="86"/>
      <c r="Q66" s="54"/>
      <c r="R66" s="54"/>
      <c r="S66" s="85"/>
      <c r="T66" s="86"/>
      <c r="U66" s="63"/>
      <c r="V66" s="63"/>
      <c r="W66" s="63"/>
      <c r="X66" s="63"/>
      <c r="Y66" s="63"/>
      <c r="Z66" s="63"/>
      <c r="AA66" s="63"/>
      <c r="AB66" s="63"/>
      <c r="AC66" s="63"/>
      <c r="AD66" s="63"/>
      <c r="AE66" s="63"/>
      <c r="AF66" s="63"/>
      <c r="AG66" s="63"/>
      <c r="AH66" s="63"/>
      <c r="AI66" s="69"/>
      <c r="AJ66" s="19"/>
      <c r="AK66" s="22"/>
      <c r="AL66" s="22"/>
    </row>
    <row r="67" spans="1:48" ht="49.5" x14ac:dyDescent="0.25">
      <c r="A67" s="60"/>
      <c r="B67" s="81" t="s">
        <v>182</v>
      </c>
      <c r="C67" s="82"/>
      <c r="D67" s="61"/>
      <c r="E67" s="83" t="s">
        <v>183</v>
      </c>
      <c r="F67" s="83" t="s">
        <v>184</v>
      </c>
      <c r="G67" s="84">
        <v>1492</v>
      </c>
      <c r="H67" s="84">
        <v>1492</v>
      </c>
      <c r="I67" s="87">
        <v>522</v>
      </c>
      <c r="J67" s="87">
        <v>522</v>
      </c>
      <c r="K67" s="87">
        <v>522</v>
      </c>
      <c r="L67" s="87">
        <v>522</v>
      </c>
      <c r="M67" s="85">
        <f t="shared" si="65"/>
        <v>582</v>
      </c>
      <c r="N67" s="86">
        <v>582</v>
      </c>
      <c r="O67" s="85">
        <f>P67</f>
        <v>800</v>
      </c>
      <c r="P67" s="86">
        <v>800</v>
      </c>
      <c r="Q67" s="54"/>
      <c r="R67" s="54"/>
      <c r="S67" s="85">
        <f>T67</f>
        <v>800</v>
      </c>
      <c r="T67" s="86">
        <v>800</v>
      </c>
      <c r="U67" s="63"/>
      <c r="V67" s="63"/>
      <c r="W67" s="63"/>
      <c r="X67" s="63"/>
      <c r="Y67" s="63"/>
      <c r="Z67" s="63"/>
      <c r="AA67" s="63"/>
      <c r="AB67" s="63"/>
      <c r="AC67" s="63"/>
      <c r="AD67" s="63"/>
      <c r="AE67" s="63"/>
      <c r="AF67" s="63"/>
      <c r="AG67" s="63"/>
      <c r="AH67" s="63"/>
      <c r="AI67" s="69"/>
      <c r="AJ67" s="19"/>
      <c r="AK67" s="22"/>
      <c r="AL67" s="22"/>
    </row>
    <row r="68" spans="1:48" ht="66" x14ac:dyDescent="0.25">
      <c r="A68" s="60"/>
      <c r="B68" s="81" t="s">
        <v>185</v>
      </c>
      <c r="C68" s="82"/>
      <c r="D68" s="61"/>
      <c r="E68" s="83" t="s">
        <v>180</v>
      </c>
      <c r="F68" s="83" t="s">
        <v>186</v>
      </c>
      <c r="G68" s="84">
        <v>64042</v>
      </c>
      <c r="H68" s="84">
        <f>G68</f>
        <v>64042</v>
      </c>
      <c r="I68" s="87">
        <f t="shared" ref="I68:K70" si="71">J68</f>
        <v>34045</v>
      </c>
      <c r="J68" s="87">
        <v>34045</v>
      </c>
      <c r="K68" s="87">
        <f t="shared" si="71"/>
        <v>34045</v>
      </c>
      <c r="L68" s="87">
        <v>34045</v>
      </c>
      <c r="M68" s="85"/>
      <c r="N68" s="86"/>
      <c r="O68" s="85">
        <f>P68</f>
        <v>18000</v>
      </c>
      <c r="P68" s="86">
        <v>18000</v>
      </c>
      <c r="Q68" s="54"/>
      <c r="R68" s="54"/>
      <c r="S68" s="85">
        <f>T68</f>
        <v>18000</v>
      </c>
      <c r="T68" s="86">
        <v>18000</v>
      </c>
      <c r="U68" s="63"/>
      <c r="V68" s="63"/>
      <c r="W68" s="63"/>
      <c r="X68" s="63"/>
      <c r="Y68" s="63"/>
      <c r="Z68" s="63"/>
      <c r="AA68" s="63"/>
      <c r="AB68" s="63"/>
      <c r="AC68" s="63"/>
      <c r="AD68" s="63"/>
      <c r="AE68" s="63"/>
      <c r="AF68" s="63"/>
      <c r="AG68" s="63"/>
      <c r="AH68" s="63"/>
      <c r="AI68" s="69"/>
      <c r="AJ68" s="19"/>
      <c r="AK68" s="22"/>
      <c r="AL68" s="22"/>
    </row>
    <row r="69" spans="1:48" ht="66" x14ac:dyDescent="0.25">
      <c r="A69" s="60"/>
      <c r="B69" s="81" t="s">
        <v>187</v>
      </c>
      <c r="C69" s="82"/>
      <c r="D69" s="61"/>
      <c r="E69" s="83" t="s">
        <v>180</v>
      </c>
      <c r="F69" s="83" t="s">
        <v>188</v>
      </c>
      <c r="G69" s="84">
        <v>15983</v>
      </c>
      <c r="H69" s="84">
        <f t="shared" ref="H69:H71" si="72">G69</f>
        <v>15983</v>
      </c>
      <c r="I69" s="87">
        <f t="shared" si="71"/>
        <v>11573</v>
      </c>
      <c r="J69" s="87">
        <v>11573</v>
      </c>
      <c r="K69" s="87">
        <f t="shared" si="71"/>
        <v>11573</v>
      </c>
      <c r="L69" s="87">
        <v>11573</v>
      </c>
      <c r="M69" s="85"/>
      <c r="N69" s="86"/>
      <c r="O69" s="85">
        <f t="shared" ref="O69:O70" si="73">P69</f>
        <v>2800</v>
      </c>
      <c r="P69" s="86">
        <v>2800</v>
      </c>
      <c r="Q69" s="54"/>
      <c r="R69" s="54"/>
      <c r="S69" s="85">
        <f t="shared" ref="S69:S70" si="74">T69</f>
        <v>2800</v>
      </c>
      <c r="T69" s="86">
        <v>2800</v>
      </c>
      <c r="U69" s="63"/>
      <c r="V69" s="63"/>
      <c r="W69" s="63"/>
      <c r="X69" s="63"/>
      <c r="Y69" s="63"/>
      <c r="Z69" s="63"/>
      <c r="AA69" s="63"/>
      <c r="AB69" s="63"/>
      <c r="AC69" s="63"/>
      <c r="AD69" s="63"/>
      <c r="AE69" s="63"/>
      <c r="AF69" s="63"/>
      <c r="AG69" s="63"/>
      <c r="AH69" s="63"/>
      <c r="AI69" s="69"/>
      <c r="AJ69" s="19"/>
      <c r="AK69" s="22"/>
      <c r="AL69" s="22"/>
    </row>
    <row r="70" spans="1:48" ht="66" x14ac:dyDescent="0.25">
      <c r="A70" s="60"/>
      <c r="B70" s="81" t="s">
        <v>189</v>
      </c>
      <c r="C70" s="82"/>
      <c r="D70" s="61"/>
      <c r="E70" s="83" t="s">
        <v>180</v>
      </c>
      <c r="F70" s="83" t="s">
        <v>190</v>
      </c>
      <c r="G70" s="84">
        <v>20599</v>
      </c>
      <c r="H70" s="84">
        <f t="shared" si="72"/>
        <v>20599</v>
      </c>
      <c r="I70" s="87">
        <f t="shared" si="71"/>
        <v>9559</v>
      </c>
      <c r="J70" s="87">
        <v>9559</v>
      </c>
      <c r="K70" s="87">
        <f t="shared" si="71"/>
        <v>9559</v>
      </c>
      <c r="L70" s="87">
        <v>9559</v>
      </c>
      <c r="M70" s="85"/>
      <c r="N70" s="86"/>
      <c r="O70" s="85">
        <f t="shared" si="73"/>
        <v>8900</v>
      </c>
      <c r="P70" s="86">
        <v>8900</v>
      </c>
      <c r="Q70" s="54"/>
      <c r="R70" s="54"/>
      <c r="S70" s="85">
        <f t="shared" si="74"/>
        <v>8900</v>
      </c>
      <c r="T70" s="86">
        <v>8900</v>
      </c>
      <c r="U70" s="63"/>
      <c r="V70" s="63"/>
      <c r="W70" s="63"/>
      <c r="X70" s="63"/>
      <c r="Y70" s="63"/>
      <c r="Z70" s="63"/>
      <c r="AA70" s="63"/>
      <c r="AB70" s="63"/>
      <c r="AC70" s="63"/>
      <c r="AD70" s="63"/>
      <c r="AE70" s="63"/>
      <c r="AF70" s="63"/>
      <c r="AG70" s="63"/>
      <c r="AH70" s="63"/>
      <c r="AI70" s="69"/>
      <c r="AJ70" s="19"/>
      <c r="AK70" s="22"/>
      <c r="AL70" s="22"/>
    </row>
    <row r="71" spans="1:48" ht="66" x14ac:dyDescent="0.25">
      <c r="A71" s="60"/>
      <c r="B71" s="81" t="s">
        <v>191</v>
      </c>
      <c r="C71" s="82"/>
      <c r="D71" s="61"/>
      <c r="E71" s="83" t="s">
        <v>180</v>
      </c>
      <c r="F71" s="83" t="s">
        <v>192</v>
      </c>
      <c r="G71" s="84">
        <v>1743</v>
      </c>
      <c r="H71" s="84">
        <f t="shared" si="72"/>
        <v>1743</v>
      </c>
      <c r="I71" s="87">
        <f>J71</f>
        <v>1688</v>
      </c>
      <c r="J71" s="87">
        <v>1688</v>
      </c>
      <c r="K71" s="87">
        <f>L71</f>
        <v>1688</v>
      </c>
      <c r="L71" s="87">
        <v>1688</v>
      </c>
      <c r="M71" s="85"/>
      <c r="N71" s="86"/>
      <c r="O71" s="85"/>
      <c r="P71" s="86"/>
      <c r="Q71" s="54"/>
      <c r="R71" s="54"/>
      <c r="S71" s="85"/>
      <c r="T71" s="86"/>
      <c r="U71" s="63"/>
      <c r="V71" s="63"/>
      <c r="W71" s="63"/>
      <c r="X71" s="63"/>
      <c r="Y71" s="63"/>
      <c r="Z71" s="63"/>
      <c r="AA71" s="63"/>
      <c r="AB71" s="63"/>
      <c r="AC71" s="63"/>
      <c r="AD71" s="63"/>
      <c r="AE71" s="63"/>
      <c r="AF71" s="63"/>
      <c r="AG71" s="63"/>
      <c r="AH71" s="63"/>
      <c r="AI71" s="69"/>
      <c r="AJ71" s="19"/>
      <c r="AK71" s="22"/>
      <c r="AL71" s="22"/>
    </row>
    <row r="72" spans="1:48" s="89" customFormat="1" ht="115.5" x14ac:dyDescent="0.25">
      <c r="A72" s="60">
        <v>2</v>
      </c>
      <c r="B72" s="67" t="s">
        <v>193</v>
      </c>
      <c r="C72" s="61" t="s">
        <v>194</v>
      </c>
      <c r="D72" s="61" t="s">
        <v>195</v>
      </c>
      <c r="E72" s="88" t="s">
        <v>72</v>
      </c>
      <c r="F72" s="61" t="s">
        <v>196</v>
      </c>
      <c r="G72" s="80">
        <f>H72</f>
        <v>14678</v>
      </c>
      <c r="H72" s="80">
        <v>14678</v>
      </c>
      <c r="I72" s="63">
        <f>J72</f>
        <v>3460</v>
      </c>
      <c r="J72" s="80">
        <v>3460</v>
      </c>
      <c r="K72" s="63">
        <f>L72</f>
        <v>3460</v>
      </c>
      <c r="L72" s="63">
        <f>J72</f>
        <v>3460</v>
      </c>
      <c r="M72" s="68">
        <f t="shared" si="65"/>
        <v>3900</v>
      </c>
      <c r="N72" s="63">
        <v>3900</v>
      </c>
      <c r="O72" s="68">
        <f t="shared" si="66"/>
        <v>4650</v>
      </c>
      <c r="P72" s="63">
        <v>4650</v>
      </c>
      <c r="Q72" s="54">
        <f>T72-N72</f>
        <v>750</v>
      </c>
      <c r="R72" s="54"/>
      <c r="S72" s="68">
        <f t="shared" ref="S72:S73" si="75">T72</f>
        <v>4650</v>
      </c>
      <c r="T72" s="63">
        <v>4650</v>
      </c>
      <c r="U72" s="63">
        <f>V72</f>
        <v>3900</v>
      </c>
      <c r="V72" s="63">
        <v>3900</v>
      </c>
      <c r="W72" s="63"/>
      <c r="X72" s="63"/>
      <c r="Y72" s="63"/>
      <c r="Z72" s="63"/>
      <c r="AA72" s="63">
        <f t="shared" ref="AA72:AB73" si="76">U72+W72+Y72</f>
        <v>3900</v>
      </c>
      <c r="AB72" s="63">
        <f t="shared" si="76"/>
        <v>3900</v>
      </c>
      <c r="AC72" s="63">
        <f>O72-AA72</f>
        <v>750</v>
      </c>
      <c r="AD72" s="63">
        <f>P72-AB72</f>
        <v>750</v>
      </c>
      <c r="AE72" s="63">
        <f t="shared" ref="AE72:AE73" si="77">AF72</f>
        <v>0</v>
      </c>
      <c r="AF72" s="63">
        <f t="shared" ref="AF72:AF73" si="78">IF(AB72=0,AD72,0)</f>
        <v>0</v>
      </c>
      <c r="AG72" s="63"/>
      <c r="AH72" s="63"/>
      <c r="AI72" s="25" t="s">
        <v>404</v>
      </c>
      <c r="AJ72" s="19">
        <f t="shared" si="2"/>
        <v>1</v>
      </c>
      <c r="AK72" s="22">
        <f t="shared" si="11"/>
        <v>1</v>
      </c>
      <c r="AL72" s="22"/>
      <c r="AM72" s="12">
        <f>IF(AJ72=0,1,0)</f>
        <v>0</v>
      </c>
      <c r="AN72" s="12"/>
      <c r="AO72" s="12">
        <f>IF(P72=0,1,0)</f>
        <v>0</v>
      </c>
      <c r="AP72" s="12">
        <f t="shared" ref="AP72:AP87" si="79">IF(AO72=1,N72,0)</f>
        <v>0</v>
      </c>
      <c r="AQ72" s="12">
        <f>IF(N72=0,1,0)</f>
        <v>0</v>
      </c>
      <c r="AR72" s="12">
        <f t="shared" ref="AR72:AR135" si="80">IF(AQ72=1,P72,0)</f>
        <v>0</v>
      </c>
      <c r="AS72" s="12">
        <f>IF(Q72=0,0,1)</f>
        <v>1</v>
      </c>
      <c r="AT72" s="12">
        <f t="shared" si="18"/>
        <v>750</v>
      </c>
      <c r="AU72" s="12">
        <f>IF(R72=0,0,1)</f>
        <v>0</v>
      </c>
      <c r="AV72" s="12">
        <f t="shared" si="19"/>
        <v>0</v>
      </c>
    </row>
    <row r="73" spans="1:48" ht="49.5" x14ac:dyDescent="0.25">
      <c r="A73" s="60">
        <v>3</v>
      </c>
      <c r="B73" s="67" t="s">
        <v>197</v>
      </c>
      <c r="C73" s="61" t="s">
        <v>58</v>
      </c>
      <c r="D73" s="61" t="s">
        <v>198</v>
      </c>
      <c r="E73" s="88" t="s">
        <v>199</v>
      </c>
      <c r="F73" s="61" t="s">
        <v>200</v>
      </c>
      <c r="G73" s="80">
        <v>7628</v>
      </c>
      <c r="H73" s="80">
        <v>7628</v>
      </c>
      <c r="I73" s="63">
        <v>3000</v>
      </c>
      <c r="J73" s="80"/>
      <c r="K73" s="63">
        <v>3000</v>
      </c>
      <c r="L73" s="63"/>
      <c r="M73" s="68">
        <f t="shared" si="65"/>
        <v>3300</v>
      </c>
      <c r="N73" s="63">
        <v>3300</v>
      </c>
      <c r="O73" s="68">
        <f t="shared" si="66"/>
        <v>4300</v>
      </c>
      <c r="P73" s="63">
        <v>4300</v>
      </c>
      <c r="Q73" s="54">
        <f>T73-N73</f>
        <v>1000</v>
      </c>
      <c r="R73" s="54"/>
      <c r="S73" s="68">
        <f t="shared" si="75"/>
        <v>4300</v>
      </c>
      <c r="T73" s="63">
        <v>4300</v>
      </c>
      <c r="U73" s="63">
        <f>V73</f>
        <v>3300</v>
      </c>
      <c r="V73" s="63">
        <v>3300</v>
      </c>
      <c r="W73" s="63"/>
      <c r="X73" s="63"/>
      <c r="Y73" s="63"/>
      <c r="Z73" s="63"/>
      <c r="AA73" s="63">
        <f t="shared" si="76"/>
        <v>3300</v>
      </c>
      <c r="AB73" s="63">
        <f t="shared" si="76"/>
        <v>3300</v>
      </c>
      <c r="AC73" s="63">
        <f>O73-AA73</f>
        <v>1000</v>
      </c>
      <c r="AD73" s="63">
        <f>P73-AB73</f>
        <v>1000</v>
      </c>
      <c r="AE73" s="63">
        <f t="shared" si="77"/>
        <v>0</v>
      </c>
      <c r="AF73" s="63">
        <f t="shared" si="78"/>
        <v>0</v>
      </c>
      <c r="AG73" s="63"/>
      <c r="AH73" s="63"/>
      <c r="AI73" s="25" t="s">
        <v>404</v>
      </c>
      <c r="AJ73" s="19">
        <f t="shared" si="2"/>
        <v>1</v>
      </c>
      <c r="AK73" s="22">
        <f t="shared" si="11"/>
        <v>1</v>
      </c>
      <c r="AL73" s="22"/>
      <c r="AM73" s="12">
        <f>IF(AJ73=0,1,0)</f>
        <v>0</v>
      </c>
      <c r="AO73" s="12">
        <f>IF(P73=0,1,0)</f>
        <v>0</v>
      </c>
      <c r="AP73" s="12">
        <f t="shared" si="79"/>
        <v>0</v>
      </c>
      <c r="AQ73" s="12">
        <f>IF(N73=0,1,0)</f>
        <v>0</v>
      </c>
      <c r="AR73" s="12">
        <f t="shared" si="80"/>
        <v>0</v>
      </c>
      <c r="AS73" s="12">
        <f>IF(Q73=0,0,1)</f>
        <v>1</v>
      </c>
      <c r="AT73" s="12">
        <f t="shared" si="18"/>
        <v>1000</v>
      </c>
      <c r="AU73" s="12">
        <f>IF(R73=0,0,1)</f>
        <v>0</v>
      </c>
      <c r="AV73" s="12">
        <f t="shared" si="19"/>
        <v>0</v>
      </c>
    </row>
    <row r="74" spans="1:48" s="42" customFormat="1" ht="40.5" customHeight="1" x14ac:dyDescent="0.25">
      <c r="A74" s="35" t="s">
        <v>85</v>
      </c>
      <c r="B74" s="36" t="s">
        <v>86</v>
      </c>
      <c r="C74" s="37"/>
      <c r="D74" s="37"/>
      <c r="E74" s="37"/>
      <c r="F74" s="37"/>
      <c r="G74" s="38">
        <f>G75+G124</f>
        <v>487874</v>
      </c>
      <c r="H74" s="38">
        <f t="shared" ref="H74:AH74" si="81">H75+H124</f>
        <v>466479</v>
      </c>
      <c r="I74" s="38">
        <f t="shared" si="81"/>
        <v>0</v>
      </c>
      <c r="J74" s="38">
        <f t="shared" si="81"/>
        <v>0</v>
      </c>
      <c r="K74" s="38">
        <f t="shared" si="81"/>
        <v>0</v>
      </c>
      <c r="L74" s="38">
        <f t="shared" si="81"/>
        <v>0</v>
      </c>
      <c r="M74" s="38">
        <f t="shared" si="81"/>
        <v>322300</v>
      </c>
      <c r="N74" s="38">
        <f t="shared" si="81"/>
        <v>322300</v>
      </c>
      <c r="O74" s="38">
        <f t="shared" si="81"/>
        <v>320550</v>
      </c>
      <c r="P74" s="38">
        <f t="shared" si="81"/>
        <v>320550</v>
      </c>
      <c r="Q74" s="38">
        <f t="shared" si="81"/>
        <v>48158</v>
      </c>
      <c r="R74" s="38">
        <f t="shared" si="81"/>
        <v>80680</v>
      </c>
      <c r="S74" s="38">
        <f t="shared" si="81"/>
        <v>289778</v>
      </c>
      <c r="T74" s="38">
        <f t="shared" si="81"/>
        <v>289778</v>
      </c>
      <c r="U74" s="38">
        <f t="shared" si="81"/>
        <v>29340</v>
      </c>
      <c r="V74" s="38">
        <f t="shared" si="81"/>
        <v>29340</v>
      </c>
      <c r="W74" s="38">
        <f t="shared" si="81"/>
        <v>47291</v>
      </c>
      <c r="X74" s="38">
        <f t="shared" si="81"/>
        <v>47291</v>
      </c>
      <c r="Y74" s="38">
        <f t="shared" si="81"/>
        <v>65293</v>
      </c>
      <c r="Z74" s="38">
        <f t="shared" si="81"/>
        <v>65293</v>
      </c>
      <c r="AA74" s="38">
        <f t="shared" si="81"/>
        <v>141924</v>
      </c>
      <c r="AB74" s="38">
        <f t="shared" si="81"/>
        <v>141924</v>
      </c>
      <c r="AC74" s="38">
        <f t="shared" si="81"/>
        <v>158038</v>
      </c>
      <c r="AD74" s="38">
        <f t="shared" si="81"/>
        <v>158038</v>
      </c>
      <c r="AE74" s="38">
        <f t="shared" si="81"/>
        <v>153038</v>
      </c>
      <c r="AF74" s="38">
        <f t="shared" si="81"/>
        <v>153038</v>
      </c>
      <c r="AG74" s="38">
        <f t="shared" si="81"/>
        <v>28244.200000000004</v>
      </c>
      <c r="AH74" s="38">
        <f t="shared" si="81"/>
        <v>28244.200000000004</v>
      </c>
      <c r="AI74" s="40"/>
      <c r="AJ74" s="19">
        <f t="shared" si="2"/>
        <v>1</v>
      </c>
      <c r="AK74" s="22"/>
      <c r="AL74" s="22"/>
      <c r="AM74" s="92"/>
      <c r="AN74" s="12"/>
      <c r="AO74" s="12"/>
      <c r="AP74" s="12">
        <f t="shared" si="79"/>
        <v>0</v>
      </c>
      <c r="AQ74" s="12"/>
      <c r="AR74" s="12">
        <f t="shared" si="80"/>
        <v>0</v>
      </c>
      <c r="AS74" s="12"/>
      <c r="AT74" s="12">
        <f t="shared" si="18"/>
        <v>0</v>
      </c>
      <c r="AU74" s="12"/>
      <c r="AV74" s="12">
        <f t="shared" si="19"/>
        <v>0</v>
      </c>
    </row>
    <row r="75" spans="1:48" s="49" customFormat="1" ht="58.5" customHeight="1" x14ac:dyDescent="0.25">
      <c r="A75" s="43" t="s">
        <v>87</v>
      </c>
      <c r="B75" s="44" t="s">
        <v>88</v>
      </c>
      <c r="C75" s="72"/>
      <c r="D75" s="72"/>
      <c r="E75" s="72"/>
      <c r="F75" s="72"/>
      <c r="G75" s="46">
        <f>SUM(G76:G123)</f>
        <v>433616</v>
      </c>
      <c r="H75" s="46">
        <f t="shared" ref="H75:T75" si="82">SUM(H76:H123)</f>
        <v>412221</v>
      </c>
      <c r="I75" s="46">
        <f t="shared" si="82"/>
        <v>0</v>
      </c>
      <c r="J75" s="46">
        <f t="shared" si="82"/>
        <v>0</v>
      </c>
      <c r="K75" s="46">
        <f t="shared" si="82"/>
        <v>0</v>
      </c>
      <c r="L75" s="46">
        <f t="shared" si="82"/>
        <v>0</v>
      </c>
      <c r="M75" s="46">
        <f t="shared" si="82"/>
        <v>307170</v>
      </c>
      <c r="N75" s="46">
        <f t="shared" si="82"/>
        <v>307170</v>
      </c>
      <c r="O75" s="46">
        <f t="shared" si="82"/>
        <v>299962</v>
      </c>
      <c r="P75" s="46">
        <f t="shared" si="82"/>
        <v>299962</v>
      </c>
      <c r="Q75" s="46">
        <f t="shared" si="82"/>
        <v>42700</v>
      </c>
      <c r="R75" s="46">
        <f t="shared" si="82"/>
        <v>80680</v>
      </c>
      <c r="S75" s="46">
        <f t="shared" si="82"/>
        <v>269190</v>
      </c>
      <c r="T75" s="46">
        <f t="shared" si="82"/>
        <v>269190</v>
      </c>
      <c r="U75" s="46">
        <f t="shared" ref="U75:AH75" si="83">SUM(U76:U123)</f>
        <v>29340</v>
      </c>
      <c r="V75" s="46">
        <f t="shared" si="83"/>
        <v>29340</v>
      </c>
      <c r="W75" s="46">
        <f t="shared" si="83"/>
        <v>47291</v>
      </c>
      <c r="X75" s="46">
        <f t="shared" si="83"/>
        <v>47291</v>
      </c>
      <c r="Y75" s="46">
        <f t="shared" si="83"/>
        <v>65293</v>
      </c>
      <c r="Z75" s="46">
        <f t="shared" si="83"/>
        <v>65293</v>
      </c>
      <c r="AA75" s="46">
        <f t="shared" si="83"/>
        <v>141924</v>
      </c>
      <c r="AB75" s="46">
        <f t="shared" si="83"/>
        <v>141924</v>
      </c>
      <c r="AC75" s="46">
        <f t="shared" si="83"/>
        <v>158038</v>
      </c>
      <c r="AD75" s="46">
        <f t="shared" si="83"/>
        <v>158038</v>
      </c>
      <c r="AE75" s="46">
        <f t="shared" si="83"/>
        <v>153038</v>
      </c>
      <c r="AF75" s="46">
        <f t="shared" si="83"/>
        <v>153038</v>
      </c>
      <c r="AG75" s="46">
        <f t="shared" si="83"/>
        <v>0</v>
      </c>
      <c r="AH75" s="46">
        <f t="shared" si="83"/>
        <v>0</v>
      </c>
      <c r="AI75" s="73"/>
      <c r="AJ75" s="19">
        <f t="shared" si="2"/>
        <v>1</v>
      </c>
      <c r="AK75" s="22"/>
      <c r="AL75" s="22"/>
      <c r="AM75" s="12"/>
      <c r="AN75" s="12"/>
      <c r="AO75" s="12"/>
      <c r="AP75" s="12">
        <f t="shared" si="79"/>
        <v>0</v>
      </c>
      <c r="AQ75" s="12"/>
      <c r="AR75" s="12">
        <f t="shared" si="80"/>
        <v>0</v>
      </c>
      <c r="AS75" s="12"/>
      <c r="AT75" s="12">
        <f t="shared" si="18"/>
        <v>0</v>
      </c>
      <c r="AU75" s="12"/>
      <c r="AV75" s="12">
        <f t="shared" si="19"/>
        <v>0</v>
      </c>
    </row>
    <row r="76" spans="1:48" ht="99" x14ac:dyDescent="0.25">
      <c r="A76" s="60">
        <v>4</v>
      </c>
      <c r="B76" s="9" t="s">
        <v>201</v>
      </c>
      <c r="C76" s="61" t="s">
        <v>202</v>
      </c>
      <c r="D76" s="61" t="s">
        <v>203</v>
      </c>
      <c r="E76" s="61" t="s">
        <v>97</v>
      </c>
      <c r="F76" s="1" t="s">
        <v>899</v>
      </c>
      <c r="G76" s="7">
        <f>H76</f>
        <v>8560</v>
      </c>
      <c r="H76" s="2">
        <v>8560</v>
      </c>
      <c r="I76" s="63"/>
      <c r="J76" s="63"/>
      <c r="K76" s="63"/>
      <c r="L76" s="63"/>
      <c r="M76" s="68">
        <f>N76</f>
        <v>7500</v>
      </c>
      <c r="N76" s="68">
        <v>7500</v>
      </c>
      <c r="O76" s="68">
        <f>P76</f>
        <v>8000</v>
      </c>
      <c r="P76" s="68">
        <v>8000</v>
      </c>
      <c r="Q76" s="68">
        <f t="shared" ref="Q76" si="84">T76-N76</f>
        <v>500</v>
      </c>
      <c r="R76" s="68"/>
      <c r="S76" s="68">
        <f>T76</f>
        <v>8000</v>
      </c>
      <c r="T76" s="68">
        <v>8000</v>
      </c>
      <c r="U76" s="63">
        <v>6000</v>
      </c>
      <c r="V76" s="63">
        <v>6000</v>
      </c>
      <c r="W76" s="63">
        <f>X76</f>
        <v>1700</v>
      </c>
      <c r="X76" s="63">
        <v>1700</v>
      </c>
      <c r="Y76" s="63">
        <f>Z76</f>
        <v>300</v>
      </c>
      <c r="Z76" s="63">
        <f t="shared" ref="Z76:Z82" si="85">P76-V76-X76</f>
        <v>300</v>
      </c>
      <c r="AA76" s="63">
        <f t="shared" ref="AA76:AB123" si="86">U76+W76+Y76</f>
        <v>8000</v>
      </c>
      <c r="AB76" s="63">
        <f t="shared" si="86"/>
        <v>8000</v>
      </c>
      <c r="AC76" s="63">
        <f t="shared" ref="AC76:AD123" si="87">O76-AA76</f>
        <v>0</v>
      </c>
      <c r="AD76" s="63">
        <f t="shared" si="87"/>
        <v>0</v>
      </c>
      <c r="AE76" s="63">
        <f t="shared" ref="AE76:AE123" si="88">AF76</f>
        <v>0</v>
      </c>
      <c r="AF76" s="63">
        <f t="shared" ref="AF76:AF123" si="89">IF(AB76=0,AD76,0)</f>
        <v>0</v>
      </c>
      <c r="AG76" s="63"/>
      <c r="AH76" s="63"/>
      <c r="AI76" s="25" t="s">
        <v>1970</v>
      </c>
      <c r="AJ76" s="19">
        <f t="shared" si="2"/>
        <v>1</v>
      </c>
      <c r="AK76" s="22">
        <f t="shared" si="11"/>
        <v>1</v>
      </c>
      <c r="AL76" s="22">
        <f>IF(T76=0,1,0)</f>
        <v>0</v>
      </c>
      <c r="AM76" s="12">
        <f t="shared" ref="AM76:AM123" si="90">IF(AJ76=0,1,0)</f>
        <v>0</v>
      </c>
      <c r="AO76" s="12">
        <f t="shared" ref="AO76:AO97" si="91">IF(P76=0,1,0)</f>
        <v>0</v>
      </c>
      <c r="AP76" s="12">
        <f t="shared" si="79"/>
        <v>0</v>
      </c>
      <c r="AQ76" s="12">
        <f t="shared" ref="AQ76:AQ123" si="92">IF(N76=0,1,0)</f>
        <v>0</v>
      </c>
      <c r="AR76" s="12">
        <f t="shared" si="80"/>
        <v>0</v>
      </c>
      <c r="AS76" s="12">
        <f t="shared" ref="AS76:AS120" si="93">IF(Q76=0,0,1)</f>
        <v>1</v>
      </c>
      <c r="AT76" s="12">
        <f t="shared" si="18"/>
        <v>500</v>
      </c>
      <c r="AU76" s="12">
        <f t="shared" ref="AU76:AU95" si="94">IF(R76=0,0,1)</f>
        <v>0</v>
      </c>
      <c r="AV76" s="12">
        <f t="shared" si="19"/>
        <v>0</v>
      </c>
    </row>
    <row r="77" spans="1:48" ht="49.5" x14ac:dyDescent="0.25">
      <c r="A77" s="60">
        <v>5</v>
      </c>
      <c r="B77" s="9" t="s">
        <v>204</v>
      </c>
      <c r="C77" s="61" t="s">
        <v>205</v>
      </c>
      <c r="D77" s="61" t="s">
        <v>206</v>
      </c>
      <c r="E77" s="61" t="s">
        <v>97</v>
      </c>
      <c r="F77" s="61" t="s">
        <v>207</v>
      </c>
      <c r="G77" s="80">
        <v>26895</v>
      </c>
      <c r="H77" s="74">
        <v>5500</v>
      </c>
      <c r="I77" s="63"/>
      <c r="J77" s="63"/>
      <c r="K77" s="63"/>
      <c r="L77" s="63"/>
      <c r="M77" s="68">
        <f t="shared" ref="M77:M83" si="95">N77</f>
        <v>5500</v>
      </c>
      <c r="N77" s="68">
        <v>5500</v>
      </c>
      <c r="O77" s="68">
        <f t="shared" ref="O77:O83" si="96">P77</f>
        <v>5500</v>
      </c>
      <c r="P77" s="68">
        <v>5500</v>
      </c>
      <c r="Q77" s="68"/>
      <c r="R77" s="68">
        <f>N77-T77</f>
        <v>0</v>
      </c>
      <c r="S77" s="68">
        <f t="shared" ref="S77:S83" si="97">T77</f>
        <v>5500</v>
      </c>
      <c r="T77" s="68">
        <v>5500</v>
      </c>
      <c r="U77" s="63">
        <v>3740</v>
      </c>
      <c r="V77" s="63">
        <v>3740</v>
      </c>
      <c r="W77" s="63">
        <v>1000</v>
      </c>
      <c r="X77" s="63">
        <v>1000</v>
      </c>
      <c r="Y77" s="63">
        <f t="shared" ref="Y77:Y95" si="98">Z77</f>
        <v>760</v>
      </c>
      <c r="Z77" s="63">
        <f t="shared" si="85"/>
        <v>760</v>
      </c>
      <c r="AA77" s="63">
        <f t="shared" si="86"/>
        <v>5500</v>
      </c>
      <c r="AB77" s="63">
        <f t="shared" si="86"/>
        <v>5500</v>
      </c>
      <c r="AC77" s="63">
        <f t="shared" si="87"/>
        <v>0</v>
      </c>
      <c r="AD77" s="63">
        <f t="shared" si="87"/>
        <v>0</v>
      </c>
      <c r="AE77" s="63">
        <f t="shared" si="88"/>
        <v>0</v>
      </c>
      <c r="AF77" s="63">
        <f t="shared" si="89"/>
        <v>0</v>
      </c>
      <c r="AG77" s="63"/>
      <c r="AH77" s="63"/>
      <c r="AI77" s="69"/>
      <c r="AJ77" s="19">
        <f t="shared" si="2"/>
        <v>0</v>
      </c>
      <c r="AK77" s="22">
        <f t="shared" si="11"/>
        <v>0</v>
      </c>
      <c r="AL77" s="22">
        <f t="shared" ref="AL77:AL123" si="99">IF(T77=0,1,0)</f>
        <v>0</v>
      </c>
      <c r="AM77" s="12">
        <f t="shared" si="90"/>
        <v>1</v>
      </c>
      <c r="AO77" s="12">
        <f t="shared" si="91"/>
        <v>0</v>
      </c>
      <c r="AP77" s="12">
        <f t="shared" si="79"/>
        <v>0</v>
      </c>
      <c r="AQ77" s="12">
        <f t="shared" si="92"/>
        <v>0</v>
      </c>
      <c r="AR77" s="12">
        <f t="shared" si="80"/>
        <v>0</v>
      </c>
      <c r="AS77" s="12">
        <f t="shared" si="93"/>
        <v>0</v>
      </c>
      <c r="AT77" s="12">
        <f t="shared" si="18"/>
        <v>0</v>
      </c>
      <c r="AU77" s="12">
        <f t="shared" si="94"/>
        <v>0</v>
      </c>
      <c r="AV77" s="12">
        <f t="shared" si="19"/>
        <v>0</v>
      </c>
    </row>
    <row r="78" spans="1:48" ht="49.5" x14ac:dyDescent="0.25">
      <c r="A78" s="60">
        <v>6</v>
      </c>
      <c r="B78" s="9" t="s">
        <v>208</v>
      </c>
      <c r="C78" s="61" t="s">
        <v>194</v>
      </c>
      <c r="D78" s="61" t="s">
        <v>209</v>
      </c>
      <c r="E78" s="61" t="s">
        <v>183</v>
      </c>
      <c r="F78" s="61" t="s">
        <v>210</v>
      </c>
      <c r="G78" s="80">
        <v>24984</v>
      </c>
      <c r="H78" s="74">
        <f t="shared" ref="H78:H83" si="100">G78</f>
        <v>24984</v>
      </c>
      <c r="I78" s="63"/>
      <c r="J78" s="63"/>
      <c r="K78" s="63"/>
      <c r="L78" s="63"/>
      <c r="M78" s="68">
        <f t="shared" si="95"/>
        <v>20500</v>
      </c>
      <c r="N78" s="68">
        <v>20500</v>
      </c>
      <c r="O78" s="68">
        <f t="shared" si="96"/>
        <v>12500</v>
      </c>
      <c r="P78" s="68">
        <v>12500</v>
      </c>
      <c r="Q78" s="68"/>
      <c r="R78" s="68">
        <f>N78-T78</f>
        <v>8000</v>
      </c>
      <c r="S78" s="68">
        <f t="shared" si="97"/>
        <v>12500</v>
      </c>
      <c r="T78" s="68">
        <v>12500</v>
      </c>
      <c r="U78" s="63">
        <v>6000</v>
      </c>
      <c r="V78" s="63">
        <v>6000</v>
      </c>
      <c r="W78" s="63">
        <f>X78</f>
        <v>200</v>
      </c>
      <c r="X78" s="63">
        <v>200</v>
      </c>
      <c r="Y78" s="63">
        <f t="shared" si="98"/>
        <v>6300</v>
      </c>
      <c r="Z78" s="63">
        <f t="shared" si="85"/>
        <v>6300</v>
      </c>
      <c r="AA78" s="63">
        <f t="shared" si="86"/>
        <v>12500</v>
      </c>
      <c r="AB78" s="63">
        <f t="shared" si="86"/>
        <v>12500</v>
      </c>
      <c r="AC78" s="63">
        <f t="shared" si="87"/>
        <v>0</v>
      </c>
      <c r="AD78" s="63">
        <f t="shared" si="87"/>
        <v>0</v>
      </c>
      <c r="AE78" s="63">
        <f t="shared" si="88"/>
        <v>0</v>
      </c>
      <c r="AF78" s="63">
        <f t="shared" si="89"/>
        <v>0</v>
      </c>
      <c r="AG78" s="63"/>
      <c r="AH78" s="63"/>
      <c r="AI78" s="25" t="s">
        <v>211</v>
      </c>
      <c r="AJ78" s="19">
        <f t="shared" si="2"/>
        <v>1</v>
      </c>
      <c r="AK78" s="22">
        <f t="shared" si="11"/>
        <v>1</v>
      </c>
      <c r="AL78" s="22">
        <f t="shared" si="99"/>
        <v>0</v>
      </c>
      <c r="AM78" s="12">
        <f t="shared" si="90"/>
        <v>0</v>
      </c>
      <c r="AO78" s="12">
        <f t="shared" si="91"/>
        <v>0</v>
      </c>
      <c r="AP78" s="12">
        <f t="shared" si="79"/>
        <v>0</v>
      </c>
      <c r="AQ78" s="12">
        <f t="shared" si="92"/>
        <v>0</v>
      </c>
      <c r="AR78" s="12">
        <f t="shared" si="80"/>
        <v>0</v>
      </c>
      <c r="AS78" s="12">
        <f t="shared" si="93"/>
        <v>0</v>
      </c>
      <c r="AT78" s="12">
        <f t="shared" si="18"/>
        <v>0</v>
      </c>
      <c r="AU78" s="12">
        <f t="shared" si="94"/>
        <v>1</v>
      </c>
      <c r="AV78" s="12">
        <f t="shared" si="19"/>
        <v>8000</v>
      </c>
    </row>
    <row r="79" spans="1:48" ht="49.5" x14ac:dyDescent="0.25">
      <c r="A79" s="60">
        <v>7</v>
      </c>
      <c r="B79" s="9" t="s">
        <v>212</v>
      </c>
      <c r="C79" s="61" t="s">
        <v>146</v>
      </c>
      <c r="D79" s="61" t="s">
        <v>213</v>
      </c>
      <c r="E79" s="61" t="s">
        <v>199</v>
      </c>
      <c r="F79" s="61" t="s">
        <v>214</v>
      </c>
      <c r="G79" s="80">
        <v>3945</v>
      </c>
      <c r="H79" s="74">
        <f t="shared" si="100"/>
        <v>3945</v>
      </c>
      <c r="I79" s="63"/>
      <c r="J79" s="63"/>
      <c r="K79" s="63"/>
      <c r="L79" s="63"/>
      <c r="M79" s="68">
        <f t="shared" si="95"/>
        <v>3750</v>
      </c>
      <c r="N79" s="68">
        <v>3750</v>
      </c>
      <c r="O79" s="68">
        <f t="shared" si="96"/>
        <v>3750</v>
      </c>
      <c r="P79" s="68">
        <v>3750</v>
      </c>
      <c r="Q79" s="68"/>
      <c r="R79" s="68">
        <f t="shared" ref="R79:R82" si="101">N79-T79</f>
        <v>0</v>
      </c>
      <c r="S79" s="68">
        <f t="shared" si="97"/>
        <v>3750</v>
      </c>
      <c r="T79" s="68">
        <v>3750</v>
      </c>
      <c r="U79" s="63">
        <v>2000</v>
      </c>
      <c r="V79" s="63">
        <v>2000</v>
      </c>
      <c r="W79" s="63">
        <f>X79</f>
        <v>1650</v>
      </c>
      <c r="X79" s="63">
        <v>1650</v>
      </c>
      <c r="Y79" s="63">
        <f t="shared" si="98"/>
        <v>100</v>
      </c>
      <c r="Z79" s="63">
        <f t="shared" si="85"/>
        <v>100</v>
      </c>
      <c r="AA79" s="63">
        <f t="shared" si="86"/>
        <v>3750</v>
      </c>
      <c r="AB79" s="63">
        <f t="shared" si="86"/>
        <v>3750</v>
      </c>
      <c r="AC79" s="63">
        <f t="shared" si="87"/>
        <v>0</v>
      </c>
      <c r="AD79" s="63">
        <f t="shared" si="87"/>
        <v>0</v>
      </c>
      <c r="AE79" s="63">
        <f t="shared" si="88"/>
        <v>0</v>
      </c>
      <c r="AF79" s="63">
        <f t="shared" si="89"/>
        <v>0</v>
      </c>
      <c r="AG79" s="63"/>
      <c r="AH79" s="63"/>
      <c r="AI79" s="69"/>
      <c r="AJ79" s="19">
        <f t="shared" si="2"/>
        <v>0</v>
      </c>
      <c r="AK79" s="22">
        <f t="shared" si="11"/>
        <v>0</v>
      </c>
      <c r="AL79" s="22">
        <f t="shared" si="99"/>
        <v>0</v>
      </c>
      <c r="AM79" s="12">
        <f t="shared" si="90"/>
        <v>1</v>
      </c>
      <c r="AO79" s="12">
        <f t="shared" si="91"/>
        <v>0</v>
      </c>
      <c r="AP79" s="12">
        <f t="shared" si="79"/>
        <v>0</v>
      </c>
      <c r="AQ79" s="12">
        <f t="shared" si="92"/>
        <v>0</v>
      </c>
      <c r="AR79" s="12">
        <f t="shared" si="80"/>
        <v>0</v>
      </c>
      <c r="AS79" s="12">
        <f t="shared" si="93"/>
        <v>0</v>
      </c>
      <c r="AT79" s="12">
        <f t="shared" si="18"/>
        <v>0</v>
      </c>
      <c r="AU79" s="12">
        <f t="shared" si="94"/>
        <v>0</v>
      </c>
      <c r="AV79" s="12">
        <f t="shared" si="19"/>
        <v>0</v>
      </c>
    </row>
    <row r="80" spans="1:48" ht="115.5" x14ac:dyDescent="0.25">
      <c r="A80" s="60">
        <v>8</v>
      </c>
      <c r="B80" s="91" t="s">
        <v>215</v>
      </c>
      <c r="C80" s="61" t="s">
        <v>216</v>
      </c>
      <c r="D80" s="61" t="s">
        <v>217</v>
      </c>
      <c r="E80" s="61" t="s">
        <v>199</v>
      </c>
      <c r="F80" s="61" t="s">
        <v>218</v>
      </c>
      <c r="G80" s="75">
        <v>4185</v>
      </c>
      <c r="H80" s="74">
        <f t="shared" si="100"/>
        <v>4185</v>
      </c>
      <c r="I80" s="63"/>
      <c r="J80" s="63"/>
      <c r="K80" s="63"/>
      <c r="L80" s="63"/>
      <c r="M80" s="68">
        <f t="shared" si="95"/>
        <v>3650</v>
      </c>
      <c r="N80" s="68">
        <v>3650</v>
      </c>
      <c r="O80" s="68">
        <f t="shared" si="96"/>
        <v>3650</v>
      </c>
      <c r="P80" s="68">
        <v>3650</v>
      </c>
      <c r="Q80" s="68"/>
      <c r="R80" s="68">
        <f t="shared" si="101"/>
        <v>0</v>
      </c>
      <c r="S80" s="68">
        <f t="shared" si="97"/>
        <v>3650</v>
      </c>
      <c r="T80" s="68">
        <v>3650</v>
      </c>
      <c r="U80" s="63">
        <v>3500</v>
      </c>
      <c r="V80" s="63">
        <v>3500</v>
      </c>
      <c r="W80" s="63"/>
      <c r="X80" s="63"/>
      <c r="Y80" s="63">
        <f t="shared" si="98"/>
        <v>150</v>
      </c>
      <c r="Z80" s="63">
        <f t="shared" si="85"/>
        <v>150</v>
      </c>
      <c r="AA80" s="63">
        <f t="shared" si="86"/>
        <v>3650</v>
      </c>
      <c r="AB80" s="63">
        <f t="shared" si="86"/>
        <v>3650</v>
      </c>
      <c r="AC80" s="63">
        <f t="shared" si="87"/>
        <v>0</v>
      </c>
      <c r="AD80" s="63">
        <f t="shared" si="87"/>
        <v>0</v>
      </c>
      <c r="AE80" s="63">
        <f t="shared" si="88"/>
        <v>0</v>
      </c>
      <c r="AF80" s="63">
        <f t="shared" si="89"/>
        <v>0</v>
      </c>
      <c r="AG80" s="63"/>
      <c r="AH80" s="63"/>
      <c r="AI80" s="69"/>
      <c r="AJ80" s="19">
        <f t="shared" si="2"/>
        <v>0</v>
      </c>
      <c r="AK80" s="22">
        <f t="shared" si="11"/>
        <v>0</v>
      </c>
      <c r="AL80" s="22">
        <f t="shared" si="99"/>
        <v>0</v>
      </c>
      <c r="AM80" s="12">
        <f t="shared" si="90"/>
        <v>1</v>
      </c>
      <c r="AO80" s="12">
        <f t="shared" si="91"/>
        <v>0</v>
      </c>
      <c r="AP80" s="12">
        <f t="shared" si="79"/>
        <v>0</v>
      </c>
      <c r="AQ80" s="12">
        <f t="shared" si="92"/>
        <v>0</v>
      </c>
      <c r="AR80" s="12">
        <f t="shared" si="80"/>
        <v>0</v>
      </c>
      <c r="AS80" s="12">
        <f t="shared" si="93"/>
        <v>0</v>
      </c>
      <c r="AT80" s="12">
        <f t="shared" si="18"/>
        <v>0</v>
      </c>
      <c r="AU80" s="12">
        <f t="shared" si="94"/>
        <v>0</v>
      </c>
      <c r="AV80" s="12">
        <f t="shared" si="19"/>
        <v>0</v>
      </c>
    </row>
    <row r="81" spans="1:48" ht="49.5" x14ac:dyDescent="0.25">
      <c r="A81" s="60">
        <v>9</v>
      </c>
      <c r="B81" s="91" t="s">
        <v>219</v>
      </c>
      <c r="C81" s="61" t="s">
        <v>216</v>
      </c>
      <c r="D81" s="61" t="s">
        <v>220</v>
      </c>
      <c r="E81" s="61">
        <v>2016</v>
      </c>
      <c r="F81" s="61" t="s">
        <v>221</v>
      </c>
      <c r="G81" s="75">
        <v>932</v>
      </c>
      <c r="H81" s="74">
        <f t="shared" si="100"/>
        <v>932</v>
      </c>
      <c r="I81" s="63"/>
      <c r="J81" s="63"/>
      <c r="K81" s="63"/>
      <c r="L81" s="63"/>
      <c r="M81" s="68">
        <f t="shared" si="95"/>
        <v>900</v>
      </c>
      <c r="N81" s="68">
        <v>900</v>
      </c>
      <c r="O81" s="68">
        <f t="shared" si="96"/>
        <v>900</v>
      </c>
      <c r="P81" s="68">
        <v>900</v>
      </c>
      <c r="Q81" s="68"/>
      <c r="R81" s="68">
        <f t="shared" si="101"/>
        <v>0</v>
      </c>
      <c r="S81" s="68">
        <f t="shared" si="97"/>
        <v>900</v>
      </c>
      <c r="T81" s="68">
        <v>900</v>
      </c>
      <c r="U81" s="63">
        <v>800</v>
      </c>
      <c r="V81" s="63">
        <v>800</v>
      </c>
      <c r="W81" s="63"/>
      <c r="X81" s="63"/>
      <c r="Y81" s="63">
        <f t="shared" si="98"/>
        <v>100</v>
      </c>
      <c r="Z81" s="63">
        <f t="shared" si="85"/>
        <v>100</v>
      </c>
      <c r="AA81" s="63">
        <f t="shared" si="86"/>
        <v>900</v>
      </c>
      <c r="AB81" s="63">
        <f t="shared" si="86"/>
        <v>900</v>
      </c>
      <c r="AC81" s="63">
        <f t="shared" si="87"/>
        <v>0</v>
      </c>
      <c r="AD81" s="63">
        <f t="shared" si="87"/>
        <v>0</v>
      </c>
      <c r="AE81" s="63">
        <f t="shared" si="88"/>
        <v>0</v>
      </c>
      <c r="AF81" s="63">
        <f t="shared" si="89"/>
        <v>0</v>
      </c>
      <c r="AG81" s="63"/>
      <c r="AH81" s="63"/>
      <c r="AI81" s="69"/>
      <c r="AJ81" s="19">
        <f t="shared" si="2"/>
        <v>0</v>
      </c>
      <c r="AK81" s="22">
        <f t="shared" si="11"/>
        <v>0</v>
      </c>
      <c r="AL81" s="22">
        <f t="shared" si="99"/>
        <v>0</v>
      </c>
      <c r="AM81" s="12">
        <f t="shared" si="90"/>
        <v>1</v>
      </c>
      <c r="AO81" s="12">
        <f t="shared" si="91"/>
        <v>0</v>
      </c>
      <c r="AP81" s="12">
        <f t="shared" si="79"/>
        <v>0</v>
      </c>
      <c r="AQ81" s="12">
        <f t="shared" si="92"/>
        <v>0</v>
      </c>
      <c r="AR81" s="12">
        <f t="shared" si="80"/>
        <v>0</v>
      </c>
      <c r="AS81" s="12">
        <f t="shared" si="93"/>
        <v>0</v>
      </c>
      <c r="AT81" s="12">
        <f t="shared" si="18"/>
        <v>0</v>
      </c>
      <c r="AU81" s="12">
        <f t="shared" si="94"/>
        <v>0</v>
      </c>
      <c r="AV81" s="12">
        <f t="shared" si="19"/>
        <v>0</v>
      </c>
    </row>
    <row r="82" spans="1:48" ht="99" x14ac:dyDescent="0.25">
      <c r="A82" s="60">
        <v>10</v>
      </c>
      <c r="B82" s="91" t="s">
        <v>222</v>
      </c>
      <c r="C82" s="61" t="s">
        <v>216</v>
      </c>
      <c r="D82" s="61" t="s">
        <v>223</v>
      </c>
      <c r="E82" s="61">
        <v>2016</v>
      </c>
      <c r="F82" s="61" t="s">
        <v>224</v>
      </c>
      <c r="G82" s="75">
        <v>8241</v>
      </c>
      <c r="H82" s="74">
        <f t="shared" si="100"/>
        <v>8241</v>
      </c>
      <c r="I82" s="63"/>
      <c r="J82" s="63"/>
      <c r="K82" s="63"/>
      <c r="L82" s="63"/>
      <c r="M82" s="68">
        <f t="shared" si="95"/>
        <v>7500</v>
      </c>
      <c r="N82" s="5">
        <v>7500</v>
      </c>
      <c r="O82" s="68">
        <f t="shared" si="96"/>
        <v>7500</v>
      </c>
      <c r="P82" s="5">
        <v>7500</v>
      </c>
      <c r="Q82" s="68"/>
      <c r="R82" s="68">
        <f t="shared" si="101"/>
        <v>0</v>
      </c>
      <c r="S82" s="68">
        <f t="shared" si="97"/>
        <v>7500</v>
      </c>
      <c r="T82" s="5">
        <v>7500</v>
      </c>
      <c r="U82" s="63">
        <v>7300</v>
      </c>
      <c r="V82" s="63">
        <v>7300</v>
      </c>
      <c r="W82" s="63"/>
      <c r="X82" s="63"/>
      <c r="Y82" s="63">
        <f t="shared" si="98"/>
        <v>200</v>
      </c>
      <c r="Z82" s="63">
        <f t="shared" si="85"/>
        <v>200</v>
      </c>
      <c r="AA82" s="63">
        <f t="shared" si="86"/>
        <v>7500</v>
      </c>
      <c r="AB82" s="63">
        <f t="shared" si="86"/>
        <v>7500</v>
      </c>
      <c r="AC82" s="63">
        <f t="shared" si="87"/>
        <v>0</v>
      </c>
      <c r="AD82" s="63">
        <f t="shared" si="87"/>
        <v>0</v>
      </c>
      <c r="AE82" s="63">
        <f t="shared" si="88"/>
        <v>0</v>
      </c>
      <c r="AF82" s="63">
        <f t="shared" si="89"/>
        <v>0</v>
      </c>
      <c r="AG82" s="63"/>
      <c r="AH82" s="63"/>
      <c r="AI82" s="69"/>
      <c r="AJ82" s="19">
        <f t="shared" si="2"/>
        <v>0</v>
      </c>
      <c r="AK82" s="22">
        <f t="shared" si="11"/>
        <v>0</v>
      </c>
      <c r="AL82" s="22">
        <f t="shared" si="99"/>
        <v>0</v>
      </c>
      <c r="AM82" s="12">
        <f t="shared" si="90"/>
        <v>1</v>
      </c>
      <c r="AO82" s="12">
        <f t="shared" si="91"/>
        <v>0</v>
      </c>
      <c r="AP82" s="12">
        <f t="shared" si="79"/>
        <v>0</v>
      </c>
      <c r="AQ82" s="12">
        <f t="shared" si="92"/>
        <v>0</v>
      </c>
      <c r="AR82" s="12">
        <f t="shared" si="80"/>
        <v>0</v>
      </c>
      <c r="AS82" s="12">
        <f t="shared" si="93"/>
        <v>0</v>
      </c>
      <c r="AT82" s="12">
        <f t="shared" si="18"/>
        <v>0</v>
      </c>
      <c r="AU82" s="12">
        <f t="shared" si="94"/>
        <v>0</v>
      </c>
      <c r="AV82" s="12">
        <f t="shared" si="19"/>
        <v>0</v>
      </c>
    </row>
    <row r="83" spans="1:48" ht="66" x14ac:dyDescent="0.25">
      <c r="A83" s="60">
        <v>11</v>
      </c>
      <c r="B83" s="91" t="s">
        <v>225</v>
      </c>
      <c r="C83" s="61" t="s">
        <v>176</v>
      </c>
      <c r="D83" s="61"/>
      <c r="E83" s="61" t="s">
        <v>91</v>
      </c>
      <c r="F83" s="61"/>
      <c r="G83" s="75">
        <v>33000</v>
      </c>
      <c r="H83" s="74">
        <f t="shared" si="100"/>
        <v>33000</v>
      </c>
      <c r="I83" s="63"/>
      <c r="J83" s="63"/>
      <c r="K83" s="63"/>
      <c r="L83" s="63"/>
      <c r="M83" s="68">
        <f t="shared" si="95"/>
        <v>30000</v>
      </c>
      <c r="N83" s="68">
        <v>30000</v>
      </c>
      <c r="O83" s="68">
        <f t="shared" si="96"/>
        <v>30000</v>
      </c>
      <c r="P83" s="68">
        <v>30000</v>
      </c>
      <c r="Q83" s="68"/>
      <c r="R83" s="68">
        <f>N83-T83</f>
        <v>20000</v>
      </c>
      <c r="S83" s="4">
        <f t="shared" si="97"/>
        <v>10000</v>
      </c>
      <c r="T83" s="4">
        <v>10000</v>
      </c>
      <c r="U83" s="63"/>
      <c r="V83" s="63"/>
      <c r="W83" s="63"/>
      <c r="X83" s="63"/>
      <c r="Y83" s="63">
        <f t="shared" si="98"/>
        <v>25000</v>
      </c>
      <c r="Z83" s="63">
        <v>25000</v>
      </c>
      <c r="AA83" s="63">
        <f t="shared" si="86"/>
        <v>25000</v>
      </c>
      <c r="AB83" s="63">
        <f t="shared" si="86"/>
        <v>25000</v>
      </c>
      <c r="AC83" s="63">
        <f t="shared" si="87"/>
        <v>5000</v>
      </c>
      <c r="AD83" s="63">
        <f t="shared" si="87"/>
        <v>5000</v>
      </c>
      <c r="AE83" s="63">
        <f t="shared" si="88"/>
        <v>0</v>
      </c>
      <c r="AF83" s="63">
        <f t="shared" si="89"/>
        <v>0</v>
      </c>
      <c r="AG83" s="63"/>
      <c r="AH83" s="63"/>
      <c r="AI83" s="25" t="s">
        <v>915</v>
      </c>
      <c r="AJ83" s="19">
        <f t="shared" ref="AJ83:AJ146" si="102">IF(N83-T83=0,0,1)</f>
        <v>1</v>
      </c>
      <c r="AK83" s="22">
        <f t="shared" si="11"/>
        <v>1</v>
      </c>
      <c r="AL83" s="22">
        <f t="shared" si="99"/>
        <v>0</v>
      </c>
      <c r="AM83" s="12">
        <f t="shared" si="90"/>
        <v>0</v>
      </c>
      <c r="AO83" s="12">
        <f t="shared" si="91"/>
        <v>0</v>
      </c>
      <c r="AP83" s="12">
        <f t="shared" si="79"/>
        <v>0</v>
      </c>
      <c r="AQ83" s="12">
        <f t="shared" si="92"/>
        <v>0</v>
      </c>
      <c r="AR83" s="12">
        <f t="shared" si="80"/>
        <v>0</v>
      </c>
      <c r="AS83" s="12">
        <f t="shared" si="93"/>
        <v>0</v>
      </c>
      <c r="AT83" s="12">
        <f t="shared" si="18"/>
        <v>0</v>
      </c>
      <c r="AU83" s="12">
        <f t="shared" si="94"/>
        <v>1</v>
      </c>
      <c r="AV83" s="12">
        <f t="shared" si="19"/>
        <v>20000</v>
      </c>
    </row>
    <row r="84" spans="1:48" ht="49.5" x14ac:dyDescent="0.25">
      <c r="A84" s="60">
        <v>12</v>
      </c>
      <c r="B84" s="91" t="s">
        <v>226</v>
      </c>
      <c r="C84" s="61" t="s">
        <v>146</v>
      </c>
      <c r="D84" s="61" t="s">
        <v>227</v>
      </c>
      <c r="E84" s="61" t="s">
        <v>109</v>
      </c>
      <c r="F84" s="61" t="s">
        <v>228</v>
      </c>
      <c r="G84" s="74">
        <v>4331</v>
      </c>
      <c r="H84" s="74">
        <f>G84</f>
        <v>4331</v>
      </c>
      <c r="I84" s="63"/>
      <c r="J84" s="63"/>
      <c r="K84" s="63"/>
      <c r="L84" s="63"/>
      <c r="M84" s="68">
        <f>N84</f>
        <v>4100</v>
      </c>
      <c r="N84" s="63">
        <v>4100</v>
      </c>
      <c r="O84" s="68">
        <f>P84</f>
        <v>4100</v>
      </c>
      <c r="P84" s="63">
        <v>4100</v>
      </c>
      <c r="Q84" s="68"/>
      <c r="R84" s="68">
        <f t="shared" ref="R84:R105" si="103">N84-T84</f>
        <v>0</v>
      </c>
      <c r="S84" s="68">
        <f>T84</f>
        <v>4100</v>
      </c>
      <c r="T84" s="63">
        <v>4100</v>
      </c>
      <c r="U84" s="63"/>
      <c r="V84" s="63"/>
      <c r="W84" s="63">
        <v>3200</v>
      </c>
      <c r="X84" s="63">
        <v>3200</v>
      </c>
      <c r="Y84" s="63">
        <f t="shared" si="98"/>
        <v>900</v>
      </c>
      <c r="Z84" s="63">
        <f t="shared" ref="Z84:Z95" si="104">P84-V84-X84</f>
        <v>900</v>
      </c>
      <c r="AA84" s="63">
        <f t="shared" si="86"/>
        <v>4100</v>
      </c>
      <c r="AB84" s="63">
        <f t="shared" si="86"/>
        <v>4100</v>
      </c>
      <c r="AC84" s="63">
        <f t="shared" si="87"/>
        <v>0</v>
      </c>
      <c r="AD84" s="63">
        <f t="shared" si="87"/>
        <v>0</v>
      </c>
      <c r="AE84" s="63">
        <f t="shared" si="88"/>
        <v>0</v>
      </c>
      <c r="AF84" s="63">
        <f t="shared" si="89"/>
        <v>0</v>
      </c>
      <c r="AG84" s="63"/>
      <c r="AH84" s="63"/>
      <c r="AI84" s="69"/>
      <c r="AJ84" s="19">
        <f t="shared" si="102"/>
        <v>0</v>
      </c>
      <c r="AK84" s="22">
        <f t="shared" si="11"/>
        <v>0</v>
      </c>
      <c r="AL84" s="22">
        <f t="shared" si="99"/>
        <v>0</v>
      </c>
      <c r="AM84" s="12">
        <f t="shared" si="90"/>
        <v>1</v>
      </c>
      <c r="AO84" s="12">
        <f t="shared" si="91"/>
        <v>0</v>
      </c>
      <c r="AP84" s="12">
        <f t="shared" si="79"/>
        <v>0</v>
      </c>
      <c r="AQ84" s="12">
        <f t="shared" si="92"/>
        <v>0</v>
      </c>
      <c r="AR84" s="12">
        <f t="shared" si="80"/>
        <v>0</v>
      </c>
      <c r="AS84" s="12">
        <f t="shared" si="93"/>
        <v>0</v>
      </c>
      <c r="AT84" s="12">
        <f t="shared" si="18"/>
        <v>0</v>
      </c>
      <c r="AU84" s="12">
        <f t="shared" si="94"/>
        <v>0</v>
      </c>
      <c r="AV84" s="12">
        <f t="shared" si="19"/>
        <v>0</v>
      </c>
    </row>
    <row r="85" spans="1:48" ht="49.5" x14ac:dyDescent="0.25">
      <c r="A85" s="60">
        <v>13</v>
      </c>
      <c r="B85" s="91" t="s">
        <v>229</v>
      </c>
      <c r="C85" s="61" t="s">
        <v>230</v>
      </c>
      <c r="D85" s="61" t="s">
        <v>231</v>
      </c>
      <c r="E85" s="61">
        <v>2017</v>
      </c>
      <c r="F85" s="61" t="s">
        <v>232</v>
      </c>
      <c r="G85" s="74">
        <v>4687</v>
      </c>
      <c r="H85" s="74">
        <f t="shared" ref="H85:H95" si="105">G85</f>
        <v>4687</v>
      </c>
      <c r="I85" s="63"/>
      <c r="J85" s="63"/>
      <c r="K85" s="63"/>
      <c r="L85" s="63"/>
      <c r="M85" s="68">
        <f t="shared" ref="M85:M95" si="106">N85</f>
        <v>4400</v>
      </c>
      <c r="N85" s="63">
        <v>4400</v>
      </c>
      <c r="O85" s="68">
        <f t="shared" ref="O85:O95" si="107">P85</f>
        <v>4400</v>
      </c>
      <c r="P85" s="63">
        <v>4400</v>
      </c>
      <c r="Q85" s="68"/>
      <c r="R85" s="68">
        <f t="shared" si="103"/>
        <v>0</v>
      </c>
      <c r="S85" s="68">
        <f t="shared" ref="S85:S95" si="108">T85</f>
        <v>4400</v>
      </c>
      <c r="T85" s="63">
        <v>4400</v>
      </c>
      <c r="U85" s="63"/>
      <c r="V85" s="63"/>
      <c r="W85" s="63">
        <v>3500</v>
      </c>
      <c r="X85" s="63">
        <v>3500</v>
      </c>
      <c r="Y85" s="63">
        <f t="shared" si="98"/>
        <v>900</v>
      </c>
      <c r="Z85" s="63">
        <f t="shared" si="104"/>
        <v>900</v>
      </c>
      <c r="AA85" s="63">
        <f t="shared" si="86"/>
        <v>4400</v>
      </c>
      <c r="AB85" s="63">
        <f t="shared" si="86"/>
        <v>4400</v>
      </c>
      <c r="AC85" s="63">
        <f t="shared" si="87"/>
        <v>0</v>
      </c>
      <c r="AD85" s="63">
        <f t="shared" si="87"/>
        <v>0</v>
      </c>
      <c r="AE85" s="63">
        <f t="shared" si="88"/>
        <v>0</v>
      </c>
      <c r="AF85" s="63">
        <f t="shared" si="89"/>
        <v>0</v>
      </c>
      <c r="AG85" s="63"/>
      <c r="AH85" s="63"/>
      <c r="AI85" s="69"/>
      <c r="AJ85" s="19">
        <f t="shared" si="102"/>
        <v>0</v>
      </c>
      <c r="AK85" s="22">
        <f t="shared" si="11"/>
        <v>0</v>
      </c>
      <c r="AL85" s="22">
        <f t="shared" si="99"/>
        <v>0</v>
      </c>
      <c r="AM85" s="12">
        <f t="shared" si="90"/>
        <v>1</v>
      </c>
      <c r="AO85" s="12">
        <f t="shared" si="91"/>
        <v>0</v>
      </c>
      <c r="AP85" s="12">
        <f t="shared" si="79"/>
        <v>0</v>
      </c>
      <c r="AQ85" s="12">
        <f t="shared" si="92"/>
        <v>0</v>
      </c>
      <c r="AR85" s="12">
        <f t="shared" si="80"/>
        <v>0</v>
      </c>
      <c r="AS85" s="12">
        <f t="shared" si="93"/>
        <v>0</v>
      </c>
      <c r="AT85" s="12">
        <f t="shared" si="18"/>
        <v>0</v>
      </c>
      <c r="AU85" s="12">
        <f t="shared" si="94"/>
        <v>0</v>
      </c>
      <c r="AV85" s="12">
        <f t="shared" si="19"/>
        <v>0</v>
      </c>
    </row>
    <row r="86" spans="1:48" ht="49.5" x14ac:dyDescent="0.25">
      <c r="A86" s="60">
        <v>14</v>
      </c>
      <c r="B86" s="91" t="s">
        <v>233</v>
      </c>
      <c r="C86" s="61" t="s">
        <v>230</v>
      </c>
      <c r="D86" s="61" t="s">
        <v>234</v>
      </c>
      <c r="E86" s="61" t="s">
        <v>109</v>
      </c>
      <c r="F86" s="61" t="s">
        <v>235</v>
      </c>
      <c r="G86" s="74">
        <v>3967</v>
      </c>
      <c r="H86" s="74">
        <f t="shared" si="105"/>
        <v>3967</v>
      </c>
      <c r="I86" s="63"/>
      <c r="J86" s="63"/>
      <c r="K86" s="63"/>
      <c r="L86" s="63"/>
      <c r="M86" s="68">
        <f t="shared" si="106"/>
        <v>3700</v>
      </c>
      <c r="N86" s="63">
        <v>3700</v>
      </c>
      <c r="O86" s="68">
        <f t="shared" si="107"/>
        <v>3700</v>
      </c>
      <c r="P86" s="63">
        <v>3700</v>
      </c>
      <c r="Q86" s="68"/>
      <c r="R86" s="68">
        <f t="shared" si="103"/>
        <v>0</v>
      </c>
      <c r="S86" s="68">
        <f t="shared" si="108"/>
        <v>3700</v>
      </c>
      <c r="T86" s="63">
        <v>3700</v>
      </c>
      <c r="U86" s="63"/>
      <c r="V86" s="63"/>
      <c r="W86" s="63">
        <v>3000</v>
      </c>
      <c r="X86" s="63">
        <v>3000</v>
      </c>
      <c r="Y86" s="63">
        <f t="shared" si="98"/>
        <v>700</v>
      </c>
      <c r="Z86" s="63">
        <f t="shared" si="104"/>
        <v>700</v>
      </c>
      <c r="AA86" s="63">
        <f t="shared" si="86"/>
        <v>3700</v>
      </c>
      <c r="AB86" s="63">
        <f t="shared" si="86"/>
        <v>3700</v>
      </c>
      <c r="AC86" s="63">
        <f t="shared" si="87"/>
        <v>0</v>
      </c>
      <c r="AD86" s="63">
        <f t="shared" si="87"/>
        <v>0</v>
      </c>
      <c r="AE86" s="63">
        <f t="shared" si="88"/>
        <v>0</v>
      </c>
      <c r="AF86" s="63">
        <f t="shared" si="89"/>
        <v>0</v>
      </c>
      <c r="AG86" s="63"/>
      <c r="AH86" s="63"/>
      <c r="AI86" s="69"/>
      <c r="AJ86" s="19">
        <f t="shared" si="102"/>
        <v>0</v>
      </c>
      <c r="AK86" s="22">
        <f t="shared" si="11"/>
        <v>0</v>
      </c>
      <c r="AL86" s="22">
        <f t="shared" si="99"/>
        <v>0</v>
      </c>
      <c r="AM86" s="12">
        <f t="shared" si="90"/>
        <v>1</v>
      </c>
      <c r="AO86" s="12">
        <f t="shared" si="91"/>
        <v>0</v>
      </c>
      <c r="AP86" s="12">
        <f t="shared" si="79"/>
        <v>0</v>
      </c>
      <c r="AQ86" s="12">
        <f t="shared" si="92"/>
        <v>0</v>
      </c>
      <c r="AR86" s="12">
        <f t="shared" si="80"/>
        <v>0</v>
      </c>
      <c r="AS86" s="12">
        <f t="shared" si="93"/>
        <v>0</v>
      </c>
      <c r="AT86" s="12">
        <f t="shared" si="18"/>
        <v>0</v>
      </c>
      <c r="AU86" s="12">
        <f t="shared" si="94"/>
        <v>0</v>
      </c>
      <c r="AV86" s="12">
        <f t="shared" si="19"/>
        <v>0</v>
      </c>
    </row>
    <row r="87" spans="1:48" ht="49.5" x14ac:dyDescent="0.25">
      <c r="A87" s="60">
        <v>15</v>
      </c>
      <c r="B87" s="91" t="s">
        <v>236</v>
      </c>
      <c r="C87" s="61" t="s">
        <v>146</v>
      </c>
      <c r="D87" s="61" t="s">
        <v>237</v>
      </c>
      <c r="E87" s="61" t="s">
        <v>109</v>
      </c>
      <c r="F87" s="61" t="s">
        <v>238</v>
      </c>
      <c r="G87" s="74">
        <v>14971</v>
      </c>
      <c r="H87" s="74">
        <f t="shared" si="105"/>
        <v>14971</v>
      </c>
      <c r="I87" s="63"/>
      <c r="J87" s="63"/>
      <c r="K87" s="63"/>
      <c r="L87" s="63"/>
      <c r="M87" s="68">
        <f t="shared" si="106"/>
        <v>14800</v>
      </c>
      <c r="N87" s="63">
        <v>14800</v>
      </c>
      <c r="O87" s="68">
        <f t="shared" si="107"/>
        <v>14800</v>
      </c>
      <c r="P87" s="63">
        <v>14800</v>
      </c>
      <c r="Q87" s="68"/>
      <c r="R87" s="68">
        <f t="shared" si="103"/>
        <v>0</v>
      </c>
      <c r="S87" s="68">
        <f t="shared" si="108"/>
        <v>14800</v>
      </c>
      <c r="T87" s="63">
        <v>14800</v>
      </c>
      <c r="U87" s="63"/>
      <c r="V87" s="63"/>
      <c r="W87" s="63">
        <f t="shared" ref="W87:W93" si="109">X87</f>
        <v>8400</v>
      </c>
      <c r="X87" s="63">
        <v>8400</v>
      </c>
      <c r="Y87" s="63">
        <f t="shared" si="98"/>
        <v>6400</v>
      </c>
      <c r="Z87" s="63">
        <f t="shared" si="104"/>
        <v>6400</v>
      </c>
      <c r="AA87" s="63">
        <f t="shared" si="86"/>
        <v>14800</v>
      </c>
      <c r="AB87" s="63">
        <f t="shared" si="86"/>
        <v>14800</v>
      </c>
      <c r="AC87" s="63">
        <f t="shared" si="87"/>
        <v>0</v>
      </c>
      <c r="AD87" s="63">
        <f t="shared" si="87"/>
        <v>0</v>
      </c>
      <c r="AE87" s="63">
        <f t="shared" si="88"/>
        <v>0</v>
      </c>
      <c r="AF87" s="63">
        <f t="shared" si="89"/>
        <v>0</v>
      </c>
      <c r="AG87" s="63"/>
      <c r="AH87" s="63"/>
      <c r="AI87" s="69"/>
      <c r="AJ87" s="19">
        <f t="shared" si="102"/>
        <v>0</v>
      </c>
      <c r="AK87" s="22">
        <f t="shared" si="11"/>
        <v>0</v>
      </c>
      <c r="AL87" s="22">
        <f t="shared" si="99"/>
        <v>0</v>
      </c>
      <c r="AM87" s="12">
        <f t="shared" si="90"/>
        <v>1</v>
      </c>
      <c r="AO87" s="12">
        <f t="shared" si="91"/>
        <v>0</v>
      </c>
      <c r="AP87" s="12">
        <f t="shared" si="79"/>
        <v>0</v>
      </c>
      <c r="AQ87" s="12">
        <f t="shared" si="92"/>
        <v>0</v>
      </c>
      <c r="AR87" s="12">
        <f t="shared" si="80"/>
        <v>0</v>
      </c>
      <c r="AS87" s="12">
        <f t="shared" si="93"/>
        <v>0</v>
      </c>
      <c r="AT87" s="12">
        <f t="shared" si="18"/>
        <v>0</v>
      </c>
      <c r="AU87" s="12">
        <f t="shared" si="94"/>
        <v>0</v>
      </c>
      <c r="AV87" s="12">
        <f t="shared" si="19"/>
        <v>0</v>
      </c>
    </row>
    <row r="88" spans="1:48" ht="49.5" x14ac:dyDescent="0.25">
      <c r="A88" s="60">
        <v>16</v>
      </c>
      <c r="B88" s="91" t="s">
        <v>239</v>
      </c>
      <c r="C88" s="61" t="s">
        <v>194</v>
      </c>
      <c r="D88" s="61" t="s">
        <v>240</v>
      </c>
      <c r="E88" s="61" t="s">
        <v>109</v>
      </c>
      <c r="F88" s="61" t="s">
        <v>241</v>
      </c>
      <c r="G88" s="74">
        <v>7204</v>
      </c>
      <c r="H88" s="74">
        <f t="shared" si="105"/>
        <v>7204</v>
      </c>
      <c r="I88" s="63"/>
      <c r="J88" s="63"/>
      <c r="K88" s="63"/>
      <c r="L88" s="63"/>
      <c r="M88" s="68">
        <f t="shared" si="106"/>
        <v>7100</v>
      </c>
      <c r="N88" s="63">
        <v>7100</v>
      </c>
      <c r="O88" s="68">
        <f t="shared" si="107"/>
        <v>524</v>
      </c>
      <c r="P88" s="63">
        <v>524</v>
      </c>
      <c r="Q88" s="68"/>
      <c r="R88" s="68">
        <f t="shared" si="103"/>
        <v>7100</v>
      </c>
      <c r="S88" s="68">
        <f t="shared" si="108"/>
        <v>0</v>
      </c>
      <c r="T88" s="63">
        <v>0</v>
      </c>
      <c r="U88" s="63"/>
      <c r="V88" s="63"/>
      <c r="W88" s="63">
        <f t="shared" si="109"/>
        <v>267</v>
      </c>
      <c r="X88" s="63">
        <v>267</v>
      </c>
      <c r="Y88" s="63">
        <f t="shared" si="98"/>
        <v>257</v>
      </c>
      <c r="Z88" s="63">
        <f t="shared" si="104"/>
        <v>257</v>
      </c>
      <c r="AA88" s="63">
        <f t="shared" si="86"/>
        <v>524</v>
      </c>
      <c r="AB88" s="63">
        <f t="shared" si="86"/>
        <v>524</v>
      </c>
      <c r="AC88" s="63">
        <f t="shared" si="87"/>
        <v>0</v>
      </c>
      <c r="AD88" s="63">
        <f t="shared" si="87"/>
        <v>0</v>
      </c>
      <c r="AE88" s="63">
        <f t="shared" si="88"/>
        <v>0</v>
      </c>
      <c r="AF88" s="63">
        <f t="shared" si="89"/>
        <v>0</v>
      </c>
      <c r="AG88" s="63"/>
      <c r="AH88" s="63"/>
      <c r="AI88" s="25" t="s">
        <v>242</v>
      </c>
      <c r="AJ88" s="19">
        <f t="shared" si="102"/>
        <v>1</v>
      </c>
      <c r="AK88" s="22">
        <f t="shared" si="11"/>
        <v>1</v>
      </c>
      <c r="AL88" s="22">
        <f t="shared" si="99"/>
        <v>1</v>
      </c>
      <c r="AM88" s="12">
        <f t="shared" si="90"/>
        <v>0</v>
      </c>
      <c r="AO88" s="12">
        <v>1</v>
      </c>
      <c r="AP88" s="92">
        <f>R88</f>
        <v>7100</v>
      </c>
      <c r="AQ88" s="12">
        <f t="shared" si="92"/>
        <v>0</v>
      </c>
      <c r="AR88" s="12">
        <f t="shared" si="80"/>
        <v>0</v>
      </c>
      <c r="AS88" s="12">
        <f t="shared" si="93"/>
        <v>0</v>
      </c>
      <c r="AT88" s="12">
        <f t="shared" si="18"/>
        <v>0</v>
      </c>
    </row>
    <row r="89" spans="1:48" ht="49.5" x14ac:dyDescent="0.25">
      <c r="A89" s="60">
        <v>17</v>
      </c>
      <c r="B89" s="91" t="s">
        <v>243</v>
      </c>
      <c r="C89" s="61" t="s">
        <v>99</v>
      </c>
      <c r="D89" s="61" t="s">
        <v>244</v>
      </c>
      <c r="E89" s="61" t="s">
        <v>109</v>
      </c>
      <c r="F89" s="61" t="s">
        <v>245</v>
      </c>
      <c r="G89" s="74">
        <v>9266</v>
      </c>
      <c r="H89" s="74">
        <f t="shared" si="105"/>
        <v>9266</v>
      </c>
      <c r="I89" s="63"/>
      <c r="J89" s="63"/>
      <c r="K89" s="63"/>
      <c r="L89" s="63"/>
      <c r="M89" s="68">
        <f t="shared" si="106"/>
        <v>8500</v>
      </c>
      <c r="N89" s="63">
        <v>8500</v>
      </c>
      <c r="O89" s="68">
        <f t="shared" si="107"/>
        <v>8500</v>
      </c>
      <c r="P89" s="63">
        <v>8500</v>
      </c>
      <c r="Q89" s="68"/>
      <c r="R89" s="68">
        <f t="shared" si="103"/>
        <v>0</v>
      </c>
      <c r="S89" s="68">
        <f t="shared" si="108"/>
        <v>8500</v>
      </c>
      <c r="T89" s="63">
        <v>8500</v>
      </c>
      <c r="U89" s="63"/>
      <c r="V89" s="63"/>
      <c r="W89" s="63">
        <f t="shared" si="109"/>
        <v>3884</v>
      </c>
      <c r="X89" s="63">
        <v>3884</v>
      </c>
      <c r="Y89" s="63">
        <f t="shared" si="98"/>
        <v>4616</v>
      </c>
      <c r="Z89" s="63">
        <f t="shared" si="104"/>
        <v>4616</v>
      </c>
      <c r="AA89" s="63">
        <f t="shared" si="86"/>
        <v>8500</v>
      </c>
      <c r="AB89" s="63">
        <f t="shared" si="86"/>
        <v>8500</v>
      </c>
      <c r="AC89" s="63">
        <f t="shared" si="87"/>
        <v>0</v>
      </c>
      <c r="AD89" s="63">
        <f t="shared" si="87"/>
        <v>0</v>
      </c>
      <c r="AE89" s="63">
        <f t="shared" si="88"/>
        <v>0</v>
      </c>
      <c r="AF89" s="63">
        <f t="shared" si="89"/>
        <v>0</v>
      </c>
      <c r="AG89" s="63"/>
      <c r="AH89" s="63"/>
      <c r="AI89" s="69"/>
      <c r="AJ89" s="19">
        <f t="shared" si="102"/>
        <v>0</v>
      </c>
      <c r="AK89" s="22">
        <f t="shared" si="11"/>
        <v>0</v>
      </c>
      <c r="AL89" s="22">
        <f t="shared" si="99"/>
        <v>0</v>
      </c>
      <c r="AM89" s="12">
        <f t="shared" si="90"/>
        <v>1</v>
      </c>
      <c r="AO89" s="12">
        <f t="shared" si="91"/>
        <v>0</v>
      </c>
      <c r="AP89" s="12">
        <f t="shared" ref="AP89:AP97" si="110">IF(AO89=1,N89,0)</f>
        <v>0</v>
      </c>
      <c r="AQ89" s="12">
        <f t="shared" si="92"/>
        <v>0</v>
      </c>
      <c r="AR89" s="12">
        <f t="shared" si="80"/>
        <v>0</v>
      </c>
      <c r="AS89" s="12">
        <f t="shared" si="93"/>
        <v>0</v>
      </c>
      <c r="AT89" s="12">
        <f t="shared" si="18"/>
        <v>0</v>
      </c>
      <c r="AU89" s="12">
        <f t="shared" si="94"/>
        <v>0</v>
      </c>
      <c r="AV89" s="12">
        <f t="shared" si="19"/>
        <v>0</v>
      </c>
    </row>
    <row r="90" spans="1:48" ht="49.5" x14ac:dyDescent="0.25">
      <c r="A90" s="60">
        <v>18</v>
      </c>
      <c r="B90" s="91" t="s">
        <v>246</v>
      </c>
      <c r="C90" s="61" t="s">
        <v>52</v>
      </c>
      <c r="D90" s="61" t="s">
        <v>247</v>
      </c>
      <c r="E90" s="61" t="s">
        <v>248</v>
      </c>
      <c r="F90" s="61" t="s">
        <v>249</v>
      </c>
      <c r="G90" s="74">
        <v>14857</v>
      </c>
      <c r="H90" s="74">
        <f t="shared" si="105"/>
        <v>14857</v>
      </c>
      <c r="I90" s="63"/>
      <c r="J90" s="63"/>
      <c r="K90" s="63"/>
      <c r="L90" s="63"/>
      <c r="M90" s="68">
        <f t="shared" si="106"/>
        <v>13500</v>
      </c>
      <c r="N90" s="63">
        <v>13500</v>
      </c>
      <c r="O90" s="68">
        <f t="shared" si="107"/>
        <v>13500</v>
      </c>
      <c r="P90" s="63">
        <v>13500</v>
      </c>
      <c r="Q90" s="68"/>
      <c r="R90" s="68">
        <f t="shared" si="103"/>
        <v>0</v>
      </c>
      <c r="S90" s="68">
        <f t="shared" si="108"/>
        <v>13500</v>
      </c>
      <c r="T90" s="63">
        <v>13500</v>
      </c>
      <c r="U90" s="63"/>
      <c r="V90" s="63"/>
      <c r="W90" s="63">
        <f t="shared" si="109"/>
        <v>4700</v>
      </c>
      <c r="X90" s="63">
        <v>4700</v>
      </c>
      <c r="Y90" s="63">
        <f t="shared" si="98"/>
        <v>8800</v>
      </c>
      <c r="Z90" s="63">
        <f t="shared" si="104"/>
        <v>8800</v>
      </c>
      <c r="AA90" s="63">
        <f t="shared" si="86"/>
        <v>13500</v>
      </c>
      <c r="AB90" s="63">
        <f t="shared" si="86"/>
        <v>13500</v>
      </c>
      <c r="AC90" s="63">
        <f t="shared" si="87"/>
        <v>0</v>
      </c>
      <c r="AD90" s="63">
        <f t="shared" si="87"/>
        <v>0</v>
      </c>
      <c r="AE90" s="63">
        <f t="shared" si="88"/>
        <v>0</v>
      </c>
      <c r="AF90" s="63">
        <f t="shared" si="89"/>
        <v>0</v>
      </c>
      <c r="AG90" s="63"/>
      <c r="AH90" s="63"/>
      <c r="AI90" s="69"/>
      <c r="AJ90" s="19">
        <f t="shared" si="102"/>
        <v>0</v>
      </c>
      <c r="AK90" s="22">
        <f t="shared" si="11"/>
        <v>0</v>
      </c>
      <c r="AL90" s="22">
        <f t="shared" si="99"/>
        <v>0</v>
      </c>
      <c r="AM90" s="12">
        <f t="shared" si="90"/>
        <v>1</v>
      </c>
      <c r="AO90" s="12">
        <f t="shared" si="91"/>
        <v>0</v>
      </c>
      <c r="AP90" s="12">
        <f t="shared" si="110"/>
        <v>0</v>
      </c>
      <c r="AQ90" s="12">
        <f t="shared" si="92"/>
        <v>0</v>
      </c>
      <c r="AR90" s="12">
        <f t="shared" si="80"/>
        <v>0</v>
      </c>
      <c r="AS90" s="12">
        <f t="shared" si="93"/>
        <v>0</v>
      </c>
      <c r="AT90" s="12">
        <f t="shared" si="18"/>
        <v>0</v>
      </c>
      <c r="AU90" s="12">
        <f t="shared" si="94"/>
        <v>0</v>
      </c>
      <c r="AV90" s="12">
        <f t="shared" si="19"/>
        <v>0</v>
      </c>
    </row>
    <row r="91" spans="1:48" ht="49.5" x14ac:dyDescent="0.25">
      <c r="A91" s="60">
        <v>19</v>
      </c>
      <c r="B91" s="91" t="s">
        <v>250</v>
      </c>
      <c r="C91" s="61" t="s">
        <v>58</v>
      </c>
      <c r="D91" s="61" t="s">
        <v>251</v>
      </c>
      <c r="E91" s="61" t="s">
        <v>252</v>
      </c>
      <c r="F91" s="61" t="s">
        <v>253</v>
      </c>
      <c r="G91" s="74">
        <v>6441</v>
      </c>
      <c r="H91" s="74">
        <f t="shared" si="105"/>
        <v>6441</v>
      </c>
      <c r="I91" s="63"/>
      <c r="J91" s="63"/>
      <c r="K91" s="63"/>
      <c r="L91" s="63"/>
      <c r="M91" s="68">
        <f t="shared" si="106"/>
        <v>6200</v>
      </c>
      <c r="N91" s="63">
        <v>6200</v>
      </c>
      <c r="O91" s="68">
        <f t="shared" si="107"/>
        <v>6200</v>
      </c>
      <c r="P91" s="63">
        <v>6200</v>
      </c>
      <c r="Q91" s="68"/>
      <c r="R91" s="68">
        <f t="shared" si="103"/>
        <v>0</v>
      </c>
      <c r="S91" s="68">
        <f t="shared" si="108"/>
        <v>6200</v>
      </c>
      <c r="T91" s="63">
        <v>6200</v>
      </c>
      <c r="U91" s="63"/>
      <c r="V91" s="63"/>
      <c r="W91" s="63">
        <f t="shared" si="109"/>
        <v>40</v>
      </c>
      <c r="X91" s="63">
        <v>40</v>
      </c>
      <c r="Y91" s="63">
        <f t="shared" si="98"/>
        <v>6160</v>
      </c>
      <c r="Z91" s="63">
        <f t="shared" si="104"/>
        <v>6160</v>
      </c>
      <c r="AA91" s="63">
        <f t="shared" si="86"/>
        <v>6200</v>
      </c>
      <c r="AB91" s="63">
        <f t="shared" si="86"/>
        <v>6200</v>
      </c>
      <c r="AC91" s="63">
        <f t="shared" si="87"/>
        <v>0</v>
      </c>
      <c r="AD91" s="63">
        <f t="shared" si="87"/>
        <v>0</v>
      </c>
      <c r="AE91" s="63">
        <f t="shared" si="88"/>
        <v>0</v>
      </c>
      <c r="AF91" s="63">
        <f t="shared" si="89"/>
        <v>0</v>
      </c>
      <c r="AG91" s="63"/>
      <c r="AH91" s="63"/>
      <c r="AI91" s="69"/>
      <c r="AJ91" s="19">
        <f t="shared" si="102"/>
        <v>0</v>
      </c>
      <c r="AK91" s="22">
        <f t="shared" si="11"/>
        <v>0</v>
      </c>
      <c r="AL91" s="22">
        <f t="shared" si="99"/>
        <v>0</v>
      </c>
      <c r="AM91" s="12">
        <f t="shared" si="90"/>
        <v>1</v>
      </c>
      <c r="AO91" s="12">
        <f t="shared" si="91"/>
        <v>0</v>
      </c>
      <c r="AP91" s="12">
        <f t="shared" si="110"/>
        <v>0</v>
      </c>
      <c r="AQ91" s="12">
        <f t="shared" si="92"/>
        <v>0</v>
      </c>
      <c r="AR91" s="12">
        <f t="shared" si="80"/>
        <v>0</v>
      </c>
      <c r="AS91" s="12">
        <f t="shared" si="93"/>
        <v>0</v>
      </c>
      <c r="AT91" s="12">
        <f t="shared" si="18"/>
        <v>0</v>
      </c>
      <c r="AU91" s="12">
        <f t="shared" si="94"/>
        <v>0</v>
      </c>
      <c r="AV91" s="12">
        <f t="shared" si="19"/>
        <v>0</v>
      </c>
    </row>
    <row r="92" spans="1:48" ht="49.5" x14ac:dyDescent="0.25">
      <c r="A92" s="60">
        <v>20</v>
      </c>
      <c r="B92" s="91" t="s">
        <v>254</v>
      </c>
      <c r="C92" s="61" t="s">
        <v>58</v>
      </c>
      <c r="D92" s="61" t="s">
        <v>255</v>
      </c>
      <c r="E92" s="61" t="s">
        <v>252</v>
      </c>
      <c r="F92" s="61" t="s">
        <v>256</v>
      </c>
      <c r="G92" s="74">
        <v>8740</v>
      </c>
      <c r="H92" s="74">
        <f t="shared" si="105"/>
        <v>8740</v>
      </c>
      <c r="I92" s="63"/>
      <c r="J92" s="63"/>
      <c r="K92" s="63"/>
      <c r="L92" s="63"/>
      <c r="M92" s="68">
        <f t="shared" si="106"/>
        <v>8400</v>
      </c>
      <c r="N92" s="63">
        <v>8400</v>
      </c>
      <c r="O92" s="68">
        <f t="shared" si="107"/>
        <v>8400</v>
      </c>
      <c r="P92" s="63">
        <v>8400</v>
      </c>
      <c r="Q92" s="68"/>
      <c r="R92" s="68">
        <f t="shared" si="103"/>
        <v>0</v>
      </c>
      <c r="S92" s="68">
        <f t="shared" si="108"/>
        <v>8400</v>
      </c>
      <c r="T92" s="63">
        <v>8400</v>
      </c>
      <c r="U92" s="63"/>
      <c r="V92" s="63"/>
      <c r="W92" s="63">
        <f t="shared" si="109"/>
        <v>6500</v>
      </c>
      <c r="X92" s="63">
        <v>6500</v>
      </c>
      <c r="Y92" s="63">
        <f t="shared" si="98"/>
        <v>1900</v>
      </c>
      <c r="Z92" s="63">
        <f t="shared" si="104"/>
        <v>1900</v>
      </c>
      <c r="AA92" s="63">
        <f t="shared" si="86"/>
        <v>8400</v>
      </c>
      <c r="AB92" s="63">
        <f t="shared" si="86"/>
        <v>8400</v>
      </c>
      <c r="AC92" s="63">
        <f t="shared" si="87"/>
        <v>0</v>
      </c>
      <c r="AD92" s="63">
        <f t="shared" si="87"/>
        <v>0</v>
      </c>
      <c r="AE92" s="63">
        <f t="shared" si="88"/>
        <v>0</v>
      </c>
      <c r="AF92" s="63">
        <f t="shared" si="89"/>
        <v>0</v>
      </c>
      <c r="AG92" s="63"/>
      <c r="AH92" s="63"/>
      <c r="AI92" s="69"/>
      <c r="AJ92" s="19">
        <f t="shared" si="102"/>
        <v>0</v>
      </c>
      <c r="AK92" s="22">
        <f t="shared" ref="AK92:AK154" si="111">AJ92</f>
        <v>0</v>
      </c>
      <c r="AL92" s="22">
        <f t="shared" si="99"/>
        <v>0</v>
      </c>
      <c r="AM92" s="12">
        <f t="shared" si="90"/>
        <v>1</v>
      </c>
      <c r="AO92" s="12">
        <f t="shared" si="91"/>
        <v>0</v>
      </c>
      <c r="AP92" s="12">
        <f t="shared" si="110"/>
        <v>0</v>
      </c>
      <c r="AQ92" s="12">
        <f t="shared" si="92"/>
        <v>0</v>
      </c>
      <c r="AR92" s="12">
        <f t="shared" si="80"/>
        <v>0</v>
      </c>
      <c r="AS92" s="12">
        <f t="shared" si="93"/>
        <v>0</v>
      </c>
      <c r="AT92" s="12">
        <f t="shared" si="18"/>
        <v>0</v>
      </c>
      <c r="AU92" s="12">
        <f t="shared" si="94"/>
        <v>0</v>
      </c>
      <c r="AV92" s="12">
        <f t="shared" si="19"/>
        <v>0</v>
      </c>
    </row>
    <row r="93" spans="1:48" ht="49.5" x14ac:dyDescent="0.25">
      <c r="A93" s="60">
        <v>21</v>
      </c>
      <c r="B93" s="91" t="s">
        <v>257</v>
      </c>
      <c r="C93" s="61" t="s">
        <v>258</v>
      </c>
      <c r="D93" s="61" t="s">
        <v>259</v>
      </c>
      <c r="E93" s="61">
        <v>2017</v>
      </c>
      <c r="F93" s="61" t="s">
        <v>260</v>
      </c>
      <c r="G93" s="75">
        <v>4000</v>
      </c>
      <c r="H93" s="74">
        <f t="shared" si="105"/>
        <v>4000</v>
      </c>
      <c r="I93" s="63"/>
      <c r="J93" s="63"/>
      <c r="K93" s="63"/>
      <c r="L93" s="63"/>
      <c r="M93" s="68">
        <f t="shared" si="106"/>
        <v>4000</v>
      </c>
      <c r="N93" s="63">
        <v>4000</v>
      </c>
      <c r="O93" s="68">
        <f t="shared" si="107"/>
        <v>4000</v>
      </c>
      <c r="P93" s="63">
        <v>4000</v>
      </c>
      <c r="Q93" s="68"/>
      <c r="R93" s="68">
        <f t="shared" si="103"/>
        <v>0</v>
      </c>
      <c r="S93" s="68">
        <f t="shared" si="108"/>
        <v>4000</v>
      </c>
      <c r="T93" s="63">
        <v>4000</v>
      </c>
      <c r="U93" s="63"/>
      <c r="V93" s="63"/>
      <c r="W93" s="63">
        <f t="shared" si="109"/>
        <v>3400</v>
      </c>
      <c r="X93" s="63">
        <v>3400</v>
      </c>
      <c r="Y93" s="63">
        <f t="shared" si="98"/>
        <v>600</v>
      </c>
      <c r="Z93" s="63">
        <f t="shared" si="104"/>
        <v>600</v>
      </c>
      <c r="AA93" s="63">
        <f t="shared" si="86"/>
        <v>4000</v>
      </c>
      <c r="AB93" s="63">
        <f t="shared" si="86"/>
        <v>4000</v>
      </c>
      <c r="AC93" s="63">
        <f t="shared" si="87"/>
        <v>0</v>
      </c>
      <c r="AD93" s="63">
        <f t="shared" si="87"/>
        <v>0</v>
      </c>
      <c r="AE93" s="63">
        <f t="shared" si="88"/>
        <v>0</v>
      </c>
      <c r="AF93" s="63">
        <f t="shared" si="89"/>
        <v>0</v>
      </c>
      <c r="AG93" s="63"/>
      <c r="AH93" s="63"/>
      <c r="AI93" s="69"/>
      <c r="AJ93" s="19">
        <f t="shared" si="102"/>
        <v>0</v>
      </c>
      <c r="AK93" s="22">
        <f t="shared" si="111"/>
        <v>0</v>
      </c>
      <c r="AL93" s="22">
        <f t="shared" si="99"/>
        <v>0</v>
      </c>
      <c r="AM93" s="12">
        <f t="shared" si="90"/>
        <v>1</v>
      </c>
      <c r="AO93" s="12">
        <f t="shared" si="91"/>
        <v>0</v>
      </c>
      <c r="AP93" s="12">
        <f t="shared" si="110"/>
        <v>0</v>
      </c>
      <c r="AQ93" s="12">
        <f t="shared" si="92"/>
        <v>0</v>
      </c>
      <c r="AR93" s="12">
        <f t="shared" si="80"/>
        <v>0</v>
      </c>
      <c r="AS93" s="12">
        <f t="shared" si="93"/>
        <v>0</v>
      </c>
      <c r="AT93" s="12">
        <f t="shared" si="18"/>
        <v>0</v>
      </c>
      <c r="AU93" s="12">
        <f t="shared" si="94"/>
        <v>0</v>
      </c>
      <c r="AV93" s="12">
        <f t="shared" si="19"/>
        <v>0</v>
      </c>
    </row>
    <row r="94" spans="1:48" ht="99" x14ac:dyDescent="0.25">
      <c r="A94" s="60">
        <v>22</v>
      </c>
      <c r="B94" s="91" t="s">
        <v>261</v>
      </c>
      <c r="C94" s="61" t="s">
        <v>52</v>
      </c>
      <c r="D94" s="61" t="s">
        <v>262</v>
      </c>
      <c r="E94" s="61">
        <v>2017</v>
      </c>
      <c r="F94" s="61" t="s">
        <v>263</v>
      </c>
      <c r="G94" s="75">
        <v>5118</v>
      </c>
      <c r="H94" s="74">
        <f t="shared" si="105"/>
        <v>5118</v>
      </c>
      <c r="I94" s="63"/>
      <c r="J94" s="63"/>
      <c r="K94" s="63"/>
      <c r="L94" s="63"/>
      <c r="M94" s="68">
        <f t="shared" si="106"/>
        <v>4800</v>
      </c>
      <c r="N94" s="63">
        <v>4800</v>
      </c>
      <c r="O94" s="68">
        <f t="shared" si="107"/>
        <v>4800</v>
      </c>
      <c r="P94" s="63">
        <v>4800</v>
      </c>
      <c r="Q94" s="68"/>
      <c r="R94" s="68">
        <f t="shared" si="103"/>
        <v>0</v>
      </c>
      <c r="S94" s="68">
        <f t="shared" si="108"/>
        <v>4800</v>
      </c>
      <c r="T94" s="63">
        <v>4800</v>
      </c>
      <c r="U94" s="63"/>
      <c r="V94" s="63"/>
      <c r="W94" s="63">
        <v>4000</v>
      </c>
      <c r="X94" s="63">
        <v>4000</v>
      </c>
      <c r="Y94" s="63">
        <f t="shared" si="98"/>
        <v>800</v>
      </c>
      <c r="Z94" s="63">
        <f t="shared" si="104"/>
        <v>800</v>
      </c>
      <c r="AA94" s="63">
        <f t="shared" si="86"/>
        <v>4800</v>
      </c>
      <c r="AB94" s="63">
        <f t="shared" si="86"/>
        <v>4800</v>
      </c>
      <c r="AC94" s="63">
        <f t="shared" si="87"/>
        <v>0</v>
      </c>
      <c r="AD94" s="63">
        <f t="shared" si="87"/>
        <v>0</v>
      </c>
      <c r="AE94" s="63">
        <f t="shared" si="88"/>
        <v>0</v>
      </c>
      <c r="AF94" s="63">
        <f t="shared" si="89"/>
        <v>0</v>
      </c>
      <c r="AG94" s="63"/>
      <c r="AH94" s="63"/>
      <c r="AI94" s="69"/>
      <c r="AJ94" s="19">
        <f t="shared" si="102"/>
        <v>0</v>
      </c>
      <c r="AK94" s="22">
        <f t="shared" si="111"/>
        <v>0</v>
      </c>
      <c r="AL94" s="22">
        <f t="shared" si="99"/>
        <v>0</v>
      </c>
      <c r="AM94" s="12">
        <f t="shared" si="90"/>
        <v>1</v>
      </c>
      <c r="AO94" s="12">
        <f t="shared" si="91"/>
        <v>0</v>
      </c>
      <c r="AP94" s="12">
        <f t="shared" si="110"/>
        <v>0</v>
      </c>
      <c r="AQ94" s="12">
        <f t="shared" si="92"/>
        <v>0</v>
      </c>
      <c r="AR94" s="12">
        <f t="shared" si="80"/>
        <v>0</v>
      </c>
      <c r="AS94" s="12">
        <f t="shared" si="93"/>
        <v>0</v>
      </c>
      <c r="AT94" s="12">
        <f t="shared" ref="AT94:AT157" si="112">IF(AS94=1,Q94,0)</f>
        <v>0</v>
      </c>
      <c r="AU94" s="12">
        <f t="shared" si="94"/>
        <v>0</v>
      </c>
      <c r="AV94" s="12">
        <f t="shared" ref="AV94:AV157" si="113">IF(AU94=1,R94,0)</f>
        <v>0</v>
      </c>
    </row>
    <row r="95" spans="1:48" ht="49.5" x14ac:dyDescent="0.25">
      <c r="A95" s="60">
        <v>23</v>
      </c>
      <c r="B95" s="91" t="s">
        <v>264</v>
      </c>
      <c r="C95" s="61" t="s">
        <v>52</v>
      </c>
      <c r="D95" s="61" t="s">
        <v>265</v>
      </c>
      <c r="E95" s="61">
        <v>2017</v>
      </c>
      <c r="F95" s="61" t="s">
        <v>260</v>
      </c>
      <c r="G95" s="75">
        <v>2302</v>
      </c>
      <c r="H95" s="74">
        <f t="shared" si="105"/>
        <v>2302</v>
      </c>
      <c r="I95" s="63"/>
      <c r="J95" s="63"/>
      <c r="K95" s="63"/>
      <c r="L95" s="63"/>
      <c r="M95" s="68">
        <f t="shared" si="106"/>
        <v>2200</v>
      </c>
      <c r="N95" s="63">
        <v>2200</v>
      </c>
      <c r="O95" s="68">
        <f t="shared" si="107"/>
        <v>2200</v>
      </c>
      <c r="P95" s="63">
        <v>2200</v>
      </c>
      <c r="Q95" s="68"/>
      <c r="R95" s="68">
        <f t="shared" si="103"/>
        <v>0</v>
      </c>
      <c r="S95" s="68">
        <f t="shared" si="108"/>
        <v>2200</v>
      </c>
      <c r="T95" s="63">
        <v>2200</v>
      </c>
      <c r="U95" s="63"/>
      <c r="V95" s="63"/>
      <c r="W95" s="63">
        <f>X95</f>
        <v>1850</v>
      </c>
      <c r="X95" s="63">
        <v>1850</v>
      </c>
      <c r="Y95" s="63">
        <f t="shared" si="98"/>
        <v>350</v>
      </c>
      <c r="Z95" s="63">
        <f t="shared" si="104"/>
        <v>350</v>
      </c>
      <c r="AA95" s="63">
        <f t="shared" si="86"/>
        <v>2200</v>
      </c>
      <c r="AB95" s="63">
        <f t="shared" si="86"/>
        <v>2200</v>
      </c>
      <c r="AC95" s="63">
        <f t="shared" si="87"/>
        <v>0</v>
      </c>
      <c r="AD95" s="63">
        <f t="shared" si="87"/>
        <v>0</v>
      </c>
      <c r="AE95" s="63">
        <f t="shared" si="88"/>
        <v>0</v>
      </c>
      <c r="AF95" s="63">
        <f t="shared" si="89"/>
        <v>0</v>
      </c>
      <c r="AG95" s="63"/>
      <c r="AH95" s="63"/>
      <c r="AI95" s="69"/>
      <c r="AJ95" s="19">
        <f t="shared" si="102"/>
        <v>0</v>
      </c>
      <c r="AK95" s="22">
        <f t="shared" si="111"/>
        <v>0</v>
      </c>
      <c r="AL95" s="22">
        <f t="shared" si="99"/>
        <v>0</v>
      </c>
      <c r="AM95" s="12">
        <f t="shared" si="90"/>
        <v>1</v>
      </c>
      <c r="AO95" s="12">
        <f t="shared" si="91"/>
        <v>0</v>
      </c>
      <c r="AP95" s="12">
        <f t="shared" si="110"/>
        <v>0</v>
      </c>
      <c r="AQ95" s="12">
        <f t="shared" si="92"/>
        <v>0</v>
      </c>
      <c r="AR95" s="12">
        <f t="shared" si="80"/>
        <v>0</v>
      </c>
      <c r="AS95" s="12">
        <f t="shared" si="93"/>
        <v>0</v>
      </c>
      <c r="AT95" s="12">
        <f t="shared" si="112"/>
        <v>0</v>
      </c>
      <c r="AU95" s="12">
        <f t="shared" si="94"/>
        <v>0</v>
      </c>
      <c r="AV95" s="12">
        <f t="shared" si="113"/>
        <v>0</v>
      </c>
    </row>
    <row r="96" spans="1:48" ht="49.5" x14ac:dyDescent="0.25">
      <c r="A96" s="60">
        <v>24</v>
      </c>
      <c r="B96" s="91" t="s">
        <v>266</v>
      </c>
      <c r="C96" s="61" t="s">
        <v>99</v>
      </c>
      <c r="D96" s="61" t="s">
        <v>267</v>
      </c>
      <c r="E96" s="61" t="s">
        <v>109</v>
      </c>
      <c r="F96" s="61"/>
      <c r="G96" s="74">
        <v>14500</v>
      </c>
      <c r="H96" s="74">
        <f>G96</f>
        <v>14500</v>
      </c>
      <c r="I96" s="63"/>
      <c r="J96" s="63"/>
      <c r="K96" s="63"/>
      <c r="L96" s="63"/>
      <c r="M96" s="68">
        <f>N96</f>
        <v>14000</v>
      </c>
      <c r="N96" s="63">
        <v>14000</v>
      </c>
      <c r="O96" s="68">
        <f>P96</f>
        <v>0</v>
      </c>
      <c r="P96" s="63"/>
      <c r="Q96" s="68"/>
      <c r="R96" s="68">
        <f t="shared" si="103"/>
        <v>14000</v>
      </c>
      <c r="S96" s="68">
        <f>T96</f>
        <v>0</v>
      </c>
      <c r="T96" s="63"/>
      <c r="U96" s="63"/>
      <c r="V96" s="63"/>
      <c r="W96" s="63"/>
      <c r="X96" s="63"/>
      <c r="Y96" s="63"/>
      <c r="Z96" s="63"/>
      <c r="AA96" s="63">
        <f t="shared" si="86"/>
        <v>0</v>
      </c>
      <c r="AB96" s="63">
        <f t="shared" si="86"/>
        <v>0</v>
      </c>
      <c r="AC96" s="63">
        <f t="shared" si="87"/>
        <v>0</v>
      </c>
      <c r="AD96" s="63">
        <f t="shared" si="87"/>
        <v>0</v>
      </c>
      <c r="AE96" s="63">
        <f t="shared" si="88"/>
        <v>0</v>
      </c>
      <c r="AF96" s="63">
        <f t="shared" si="89"/>
        <v>0</v>
      </c>
      <c r="AG96" s="63"/>
      <c r="AH96" s="63"/>
      <c r="AI96" s="25" t="s">
        <v>268</v>
      </c>
      <c r="AJ96" s="19">
        <f t="shared" si="102"/>
        <v>1</v>
      </c>
      <c r="AK96" s="22">
        <f t="shared" si="111"/>
        <v>1</v>
      </c>
      <c r="AL96" s="22">
        <f t="shared" si="99"/>
        <v>1</v>
      </c>
      <c r="AM96" s="12">
        <f t="shared" si="90"/>
        <v>0</v>
      </c>
      <c r="AO96" s="12">
        <f t="shared" si="91"/>
        <v>1</v>
      </c>
      <c r="AP96" s="12">
        <f t="shared" si="110"/>
        <v>14000</v>
      </c>
      <c r="AQ96" s="12">
        <f t="shared" si="92"/>
        <v>0</v>
      </c>
      <c r="AR96" s="12">
        <f t="shared" si="80"/>
        <v>0</v>
      </c>
      <c r="AS96" s="12">
        <f t="shared" si="93"/>
        <v>0</v>
      </c>
      <c r="AT96" s="12">
        <f t="shared" si="112"/>
        <v>0</v>
      </c>
    </row>
    <row r="97" spans="1:48" ht="26.25" customHeight="1" x14ac:dyDescent="0.25">
      <c r="A97" s="60">
        <v>25</v>
      </c>
      <c r="B97" s="91" t="s">
        <v>269</v>
      </c>
      <c r="C97" s="61" t="s">
        <v>58</v>
      </c>
      <c r="D97" s="61" t="s">
        <v>270</v>
      </c>
      <c r="E97" s="61" t="s">
        <v>116</v>
      </c>
      <c r="F97" s="61"/>
      <c r="G97" s="74">
        <v>25000</v>
      </c>
      <c r="H97" s="74">
        <f t="shared" ref="H97:H120" si="114">G97</f>
        <v>25000</v>
      </c>
      <c r="I97" s="63"/>
      <c r="J97" s="63"/>
      <c r="K97" s="63"/>
      <c r="L97" s="63"/>
      <c r="M97" s="68">
        <f t="shared" ref="M97:M118" si="115">N97</f>
        <v>22700</v>
      </c>
      <c r="N97" s="63">
        <v>22700</v>
      </c>
      <c r="O97" s="68">
        <f t="shared" ref="O97:O104" si="116">P97</f>
        <v>22700</v>
      </c>
      <c r="P97" s="63">
        <v>22700</v>
      </c>
      <c r="Q97" s="54"/>
      <c r="R97" s="68">
        <f t="shared" si="103"/>
        <v>0</v>
      </c>
      <c r="S97" s="68">
        <f t="shared" ref="S97" si="117">T97</f>
        <v>22700</v>
      </c>
      <c r="T97" s="63">
        <v>22700</v>
      </c>
      <c r="U97" s="63"/>
      <c r="V97" s="63"/>
      <c r="W97" s="63"/>
      <c r="X97" s="63"/>
      <c r="Y97" s="63"/>
      <c r="Z97" s="63"/>
      <c r="AA97" s="63">
        <f t="shared" si="86"/>
        <v>0</v>
      </c>
      <c r="AB97" s="63">
        <f t="shared" si="86"/>
        <v>0</v>
      </c>
      <c r="AC97" s="63">
        <f t="shared" si="87"/>
        <v>22700</v>
      </c>
      <c r="AD97" s="63">
        <f t="shared" si="87"/>
        <v>22700</v>
      </c>
      <c r="AE97" s="63">
        <f t="shared" si="88"/>
        <v>22700</v>
      </c>
      <c r="AF97" s="63">
        <f t="shared" si="89"/>
        <v>22700</v>
      </c>
      <c r="AG97" s="63"/>
      <c r="AH97" s="63"/>
      <c r="AI97" s="69"/>
      <c r="AJ97" s="19">
        <f t="shared" si="102"/>
        <v>0</v>
      </c>
      <c r="AK97" s="22">
        <f t="shared" si="111"/>
        <v>0</v>
      </c>
      <c r="AL97" s="22">
        <f t="shared" si="99"/>
        <v>0</v>
      </c>
      <c r="AM97" s="12">
        <f t="shared" si="90"/>
        <v>1</v>
      </c>
      <c r="AO97" s="12">
        <f t="shared" si="91"/>
        <v>0</v>
      </c>
      <c r="AP97" s="12">
        <f t="shared" si="110"/>
        <v>0</v>
      </c>
      <c r="AQ97" s="12">
        <f t="shared" si="92"/>
        <v>0</v>
      </c>
      <c r="AR97" s="12">
        <f t="shared" si="80"/>
        <v>0</v>
      </c>
      <c r="AS97" s="12">
        <f t="shared" si="93"/>
        <v>0</v>
      </c>
      <c r="AT97" s="12">
        <f t="shared" si="112"/>
        <v>0</v>
      </c>
      <c r="AU97" s="12">
        <f>IF(R97=0,0,1)</f>
        <v>0</v>
      </c>
      <c r="AV97" s="12">
        <f t="shared" si="113"/>
        <v>0</v>
      </c>
    </row>
    <row r="98" spans="1:48" ht="36" customHeight="1" x14ac:dyDescent="0.25">
      <c r="A98" s="60">
        <v>26</v>
      </c>
      <c r="B98" s="91" t="s">
        <v>271</v>
      </c>
      <c r="C98" s="61" t="s">
        <v>205</v>
      </c>
      <c r="D98" s="61" t="s">
        <v>272</v>
      </c>
      <c r="E98" s="61" t="s">
        <v>109</v>
      </c>
      <c r="F98" s="61"/>
      <c r="G98" s="74">
        <v>1300</v>
      </c>
      <c r="H98" s="74">
        <f t="shared" si="114"/>
        <v>1300</v>
      </c>
      <c r="I98" s="63"/>
      <c r="J98" s="63"/>
      <c r="K98" s="63"/>
      <c r="L98" s="63"/>
      <c r="M98" s="68">
        <f t="shared" si="115"/>
        <v>1100</v>
      </c>
      <c r="N98" s="63">
        <v>1100</v>
      </c>
      <c r="O98" s="68"/>
      <c r="P98" s="63"/>
      <c r="Q98" s="68"/>
      <c r="R98" s="68">
        <f t="shared" si="103"/>
        <v>1100</v>
      </c>
      <c r="S98" s="68"/>
      <c r="T98" s="63"/>
      <c r="U98" s="63"/>
      <c r="V98" s="63"/>
      <c r="W98" s="63"/>
      <c r="X98" s="63"/>
      <c r="Y98" s="63"/>
      <c r="Z98" s="63"/>
      <c r="AA98" s="63">
        <f t="shared" si="86"/>
        <v>0</v>
      </c>
      <c r="AB98" s="63">
        <f t="shared" si="86"/>
        <v>0</v>
      </c>
      <c r="AC98" s="63">
        <f t="shared" si="87"/>
        <v>0</v>
      </c>
      <c r="AD98" s="63">
        <f t="shared" si="87"/>
        <v>0</v>
      </c>
      <c r="AE98" s="63">
        <f t="shared" si="88"/>
        <v>0</v>
      </c>
      <c r="AF98" s="63">
        <f t="shared" si="89"/>
        <v>0</v>
      </c>
      <c r="AG98" s="63"/>
      <c r="AH98" s="63"/>
      <c r="AI98" s="25" t="s">
        <v>242</v>
      </c>
      <c r="AJ98" s="19">
        <f t="shared" si="102"/>
        <v>1</v>
      </c>
      <c r="AK98" s="22">
        <f t="shared" si="111"/>
        <v>1</v>
      </c>
      <c r="AL98" s="22">
        <f t="shared" si="99"/>
        <v>1</v>
      </c>
      <c r="AM98" s="12">
        <f t="shared" si="90"/>
        <v>0</v>
      </c>
      <c r="AO98" s="12">
        <v>1</v>
      </c>
      <c r="AP98" s="92">
        <f>R98</f>
        <v>1100</v>
      </c>
      <c r="AQ98" s="12">
        <f t="shared" si="92"/>
        <v>0</v>
      </c>
      <c r="AR98" s="12">
        <f t="shared" si="80"/>
        <v>0</v>
      </c>
      <c r="AS98" s="12">
        <f t="shared" si="93"/>
        <v>0</v>
      </c>
      <c r="AT98" s="12">
        <f t="shared" si="112"/>
        <v>0</v>
      </c>
    </row>
    <row r="99" spans="1:48" ht="36" customHeight="1" x14ac:dyDescent="0.25">
      <c r="A99" s="60">
        <v>27</v>
      </c>
      <c r="B99" s="91" t="s">
        <v>273</v>
      </c>
      <c r="C99" s="61" t="s">
        <v>205</v>
      </c>
      <c r="D99" s="61" t="s">
        <v>274</v>
      </c>
      <c r="E99" s="61" t="s">
        <v>109</v>
      </c>
      <c r="F99" s="61"/>
      <c r="G99" s="74">
        <v>1500</v>
      </c>
      <c r="H99" s="74">
        <f t="shared" si="114"/>
        <v>1500</v>
      </c>
      <c r="I99" s="63"/>
      <c r="J99" s="63"/>
      <c r="K99" s="63"/>
      <c r="L99" s="63"/>
      <c r="M99" s="68">
        <f t="shared" si="115"/>
        <v>1350</v>
      </c>
      <c r="N99" s="63">
        <v>1350</v>
      </c>
      <c r="O99" s="68">
        <f t="shared" si="116"/>
        <v>1350</v>
      </c>
      <c r="P99" s="63">
        <v>1350</v>
      </c>
      <c r="Q99" s="68"/>
      <c r="R99" s="68">
        <f t="shared" si="103"/>
        <v>0</v>
      </c>
      <c r="S99" s="68">
        <f t="shared" ref="S99:S102" si="118">T99</f>
        <v>1350</v>
      </c>
      <c r="T99" s="63">
        <v>1350</v>
      </c>
      <c r="U99" s="63"/>
      <c r="V99" s="63"/>
      <c r="W99" s="63"/>
      <c r="X99" s="63"/>
      <c r="Y99" s="63"/>
      <c r="Z99" s="63"/>
      <c r="AA99" s="63">
        <f t="shared" si="86"/>
        <v>0</v>
      </c>
      <c r="AB99" s="63">
        <f t="shared" si="86"/>
        <v>0</v>
      </c>
      <c r="AC99" s="63">
        <f t="shared" si="87"/>
        <v>1350</v>
      </c>
      <c r="AD99" s="63">
        <f t="shared" si="87"/>
        <v>1350</v>
      </c>
      <c r="AE99" s="63">
        <f t="shared" si="88"/>
        <v>1350</v>
      </c>
      <c r="AF99" s="63">
        <f t="shared" si="89"/>
        <v>1350</v>
      </c>
      <c r="AG99" s="63"/>
      <c r="AH99" s="63"/>
      <c r="AI99" s="69"/>
      <c r="AJ99" s="19">
        <f t="shared" si="102"/>
        <v>0</v>
      </c>
      <c r="AK99" s="22">
        <f t="shared" si="111"/>
        <v>0</v>
      </c>
      <c r="AL99" s="22">
        <f t="shared" si="99"/>
        <v>0</v>
      </c>
      <c r="AM99" s="12">
        <f t="shared" si="90"/>
        <v>1</v>
      </c>
      <c r="AO99" s="12">
        <f t="shared" ref="AO99:AO123" si="119">IF(P99=0,1,0)</f>
        <v>0</v>
      </c>
      <c r="AP99" s="12">
        <f t="shared" ref="AP99:AP162" si="120">IF(AO99=1,N99,0)</f>
        <v>0</v>
      </c>
      <c r="AQ99" s="12">
        <f t="shared" si="92"/>
        <v>0</v>
      </c>
      <c r="AR99" s="12">
        <f t="shared" si="80"/>
        <v>0</v>
      </c>
      <c r="AS99" s="12">
        <f t="shared" si="93"/>
        <v>0</v>
      </c>
      <c r="AT99" s="12">
        <f t="shared" si="112"/>
        <v>0</v>
      </c>
      <c r="AU99" s="12">
        <f>IF(R99=0,0,1)</f>
        <v>0</v>
      </c>
      <c r="AV99" s="12">
        <f t="shared" si="113"/>
        <v>0</v>
      </c>
    </row>
    <row r="100" spans="1:48" ht="36" customHeight="1" x14ac:dyDescent="0.25">
      <c r="A100" s="60">
        <v>28</v>
      </c>
      <c r="B100" s="91" t="s">
        <v>275</v>
      </c>
      <c r="C100" s="61" t="s">
        <v>58</v>
      </c>
      <c r="D100" s="61" t="s">
        <v>276</v>
      </c>
      <c r="E100" s="61">
        <v>2018</v>
      </c>
      <c r="F100" s="61"/>
      <c r="G100" s="74">
        <v>1700</v>
      </c>
      <c r="H100" s="74">
        <f t="shared" si="114"/>
        <v>1700</v>
      </c>
      <c r="I100" s="63"/>
      <c r="J100" s="63"/>
      <c r="K100" s="63"/>
      <c r="L100" s="63"/>
      <c r="M100" s="68">
        <f t="shared" si="115"/>
        <v>1550</v>
      </c>
      <c r="N100" s="63">
        <v>1550</v>
      </c>
      <c r="O100" s="68">
        <f t="shared" si="116"/>
        <v>1550</v>
      </c>
      <c r="P100" s="63">
        <v>1550</v>
      </c>
      <c r="Q100" s="68"/>
      <c r="R100" s="68">
        <f t="shared" si="103"/>
        <v>0</v>
      </c>
      <c r="S100" s="68">
        <f t="shared" si="118"/>
        <v>1550</v>
      </c>
      <c r="T100" s="63">
        <v>1550</v>
      </c>
      <c r="U100" s="63"/>
      <c r="V100" s="63"/>
      <c r="W100" s="63"/>
      <c r="X100" s="63"/>
      <c r="Y100" s="63"/>
      <c r="Z100" s="63"/>
      <c r="AA100" s="63">
        <f t="shared" si="86"/>
        <v>0</v>
      </c>
      <c r="AB100" s="63">
        <f t="shared" si="86"/>
        <v>0</v>
      </c>
      <c r="AC100" s="63">
        <f t="shared" si="87"/>
        <v>1550</v>
      </c>
      <c r="AD100" s="63">
        <f t="shared" si="87"/>
        <v>1550</v>
      </c>
      <c r="AE100" s="63">
        <f t="shared" si="88"/>
        <v>1550</v>
      </c>
      <c r="AF100" s="63">
        <f t="shared" si="89"/>
        <v>1550</v>
      </c>
      <c r="AG100" s="63"/>
      <c r="AH100" s="63"/>
      <c r="AI100" s="69"/>
      <c r="AJ100" s="19">
        <f t="shared" si="102"/>
        <v>0</v>
      </c>
      <c r="AK100" s="22">
        <f t="shared" si="111"/>
        <v>0</v>
      </c>
      <c r="AL100" s="22">
        <f t="shared" si="99"/>
        <v>0</v>
      </c>
      <c r="AM100" s="12">
        <f t="shared" si="90"/>
        <v>1</v>
      </c>
      <c r="AO100" s="12">
        <f t="shared" si="119"/>
        <v>0</v>
      </c>
      <c r="AP100" s="12">
        <f t="shared" si="120"/>
        <v>0</v>
      </c>
      <c r="AQ100" s="12">
        <f t="shared" si="92"/>
        <v>0</v>
      </c>
      <c r="AR100" s="12">
        <f t="shared" si="80"/>
        <v>0</v>
      </c>
      <c r="AS100" s="12">
        <f t="shared" si="93"/>
        <v>0</v>
      </c>
      <c r="AT100" s="12">
        <f t="shared" si="112"/>
        <v>0</v>
      </c>
      <c r="AU100" s="12">
        <f>IF(R100=0,0,1)</f>
        <v>0</v>
      </c>
      <c r="AV100" s="12">
        <f t="shared" si="113"/>
        <v>0</v>
      </c>
    </row>
    <row r="101" spans="1:48" ht="49.5" x14ac:dyDescent="0.25">
      <c r="A101" s="60">
        <v>29</v>
      </c>
      <c r="B101" s="91" t="s">
        <v>277</v>
      </c>
      <c r="C101" s="61" t="s">
        <v>146</v>
      </c>
      <c r="D101" s="61" t="s">
        <v>278</v>
      </c>
      <c r="E101" s="61" t="s">
        <v>116</v>
      </c>
      <c r="F101" s="1" t="s">
        <v>900</v>
      </c>
      <c r="G101" s="2">
        <f>H101</f>
        <v>10993</v>
      </c>
      <c r="H101" s="2">
        <v>10993</v>
      </c>
      <c r="I101" s="63"/>
      <c r="J101" s="63"/>
      <c r="K101" s="63"/>
      <c r="L101" s="63"/>
      <c r="M101" s="68">
        <f t="shared" si="115"/>
        <v>9160</v>
      </c>
      <c r="N101" s="63">
        <v>9160</v>
      </c>
      <c r="O101" s="68">
        <f t="shared" si="116"/>
        <v>9160</v>
      </c>
      <c r="P101" s="63">
        <v>9160</v>
      </c>
      <c r="Q101" s="68"/>
      <c r="R101" s="68">
        <f t="shared" si="103"/>
        <v>0</v>
      </c>
      <c r="S101" s="68">
        <f t="shared" si="118"/>
        <v>9160</v>
      </c>
      <c r="T101" s="63">
        <v>9160</v>
      </c>
      <c r="U101" s="63"/>
      <c r="V101" s="63"/>
      <c r="W101" s="63"/>
      <c r="X101" s="63"/>
      <c r="Y101" s="63"/>
      <c r="Z101" s="63"/>
      <c r="AA101" s="63">
        <f t="shared" si="86"/>
        <v>0</v>
      </c>
      <c r="AB101" s="63">
        <f t="shared" si="86"/>
        <v>0</v>
      </c>
      <c r="AC101" s="63">
        <f t="shared" si="87"/>
        <v>9160</v>
      </c>
      <c r="AD101" s="63">
        <f t="shared" si="87"/>
        <v>9160</v>
      </c>
      <c r="AE101" s="63">
        <f t="shared" si="88"/>
        <v>9160</v>
      </c>
      <c r="AF101" s="63">
        <f t="shared" si="89"/>
        <v>9160</v>
      </c>
      <c r="AG101" s="63"/>
      <c r="AH101" s="63"/>
      <c r="AI101" s="69"/>
      <c r="AJ101" s="19">
        <f t="shared" si="102"/>
        <v>0</v>
      </c>
      <c r="AK101" s="22">
        <f t="shared" si="111"/>
        <v>0</v>
      </c>
      <c r="AL101" s="22">
        <f t="shared" si="99"/>
        <v>0</v>
      </c>
      <c r="AM101" s="12">
        <f t="shared" si="90"/>
        <v>1</v>
      </c>
      <c r="AO101" s="12">
        <f t="shared" si="119"/>
        <v>0</v>
      </c>
      <c r="AP101" s="12">
        <f t="shared" si="120"/>
        <v>0</v>
      </c>
      <c r="AQ101" s="12">
        <f t="shared" si="92"/>
        <v>0</v>
      </c>
      <c r="AR101" s="12">
        <f t="shared" si="80"/>
        <v>0</v>
      </c>
      <c r="AS101" s="12">
        <f t="shared" si="93"/>
        <v>0</v>
      </c>
      <c r="AT101" s="12">
        <f t="shared" si="112"/>
        <v>0</v>
      </c>
      <c r="AU101" s="12">
        <f>IF(R101=0,0,1)</f>
        <v>0</v>
      </c>
      <c r="AV101" s="12">
        <f t="shared" si="113"/>
        <v>0</v>
      </c>
    </row>
    <row r="102" spans="1:48" ht="31.5" customHeight="1" x14ac:dyDescent="0.25">
      <c r="A102" s="60">
        <v>30</v>
      </c>
      <c r="B102" s="91" t="s">
        <v>279</v>
      </c>
      <c r="C102" s="61" t="s">
        <v>146</v>
      </c>
      <c r="D102" s="61" t="s">
        <v>280</v>
      </c>
      <c r="E102" s="61" t="s">
        <v>116</v>
      </c>
      <c r="F102" s="61"/>
      <c r="G102" s="75">
        <v>3600</v>
      </c>
      <c r="H102" s="74">
        <f t="shared" si="114"/>
        <v>3600</v>
      </c>
      <c r="I102" s="63"/>
      <c r="J102" s="63"/>
      <c r="K102" s="63"/>
      <c r="L102" s="63"/>
      <c r="M102" s="68">
        <f t="shared" si="115"/>
        <v>3300</v>
      </c>
      <c r="N102" s="63">
        <v>3300</v>
      </c>
      <c r="O102" s="68">
        <f t="shared" si="116"/>
        <v>3300</v>
      </c>
      <c r="P102" s="63">
        <v>3300</v>
      </c>
      <c r="Q102" s="68"/>
      <c r="R102" s="68">
        <f t="shared" si="103"/>
        <v>0</v>
      </c>
      <c r="S102" s="68">
        <f t="shared" si="118"/>
        <v>3300</v>
      </c>
      <c r="T102" s="63">
        <v>3300</v>
      </c>
      <c r="U102" s="63"/>
      <c r="V102" s="63"/>
      <c r="W102" s="63"/>
      <c r="X102" s="63"/>
      <c r="Y102" s="63"/>
      <c r="Z102" s="63"/>
      <c r="AA102" s="63">
        <f t="shared" si="86"/>
        <v>0</v>
      </c>
      <c r="AB102" s="63">
        <f t="shared" si="86"/>
        <v>0</v>
      </c>
      <c r="AC102" s="63">
        <f t="shared" si="87"/>
        <v>3300</v>
      </c>
      <c r="AD102" s="63">
        <f t="shared" si="87"/>
        <v>3300</v>
      </c>
      <c r="AE102" s="63">
        <f t="shared" si="88"/>
        <v>3300</v>
      </c>
      <c r="AF102" s="63">
        <f t="shared" si="89"/>
        <v>3300</v>
      </c>
      <c r="AG102" s="63"/>
      <c r="AH102" s="63"/>
      <c r="AI102" s="69"/>
      <c r="AJ102" s="19">
        <f t="shared" si="102"/>
        <v>0</v>
      </c>
      <c r="AK102" s="22">
        <f t="shared" si="111"/>
        <v>0</v>
      </c>
      <c r="AL102" s="22">
        <f t="shared" si="99"/>
        <v>0</v>
      </c>
      <c r="AM102" s="12">
        <f t="shared" si="90"/>
        <v>1</v>
      </c>
      <c r="AO102" s="12">
        <f t="shared" si="119"/>
        <v>0</v>
      </c>
      <c r="AP102" s="12">
        <f t="shared" si="120"/>
        <v>0</v>
      </c>
      <c r="AQ102" s="12">
        <f t="shared" si="92"/>
        <v>0</v>
      </c>
      <c r="AR102" s="12">
        <f t="shared" si="80"/>
        <v>0</v>
      </c>
      <c r="AS102" s="12">
        <f t="shared" si="93"/>
        <v>0</v>
      </c>
      <c r="AT102" s="12">
        <f t="shared" si="112"/>
        <v>0</v>
      </c>
      <c r="AU102" s="12">
        <f>IF(R102=0,0,1)</f>
        <v>0</v>
      </c>
      <c r="AV102" s="12">
        <f t="shared" si="113"/>
        <v>0</v>
      </c>
    </row>
    <row r="103" spans="1:48" ht="49.5" x14ac:dyDescent="0.25">
      <c r="A103" s="60">
        <v>31</v>
      </c>
      <c r="B103" s="67" t="s">
        <v>281</v>
      </c>
      <c r="C103" s="61" t="s">
        <v>99</v>
      </c>
      <c r="D103" s="61" t="s">
        <v>282</v>
      </c>
      <c r="E103" s="88" t="s">
        <v>199</v>
      </c>
      <c r="F103" s="61" t="s">
        <v>283</v>
      </c>
      <c r="G103" s="80">
        <v>1705</v>
      </c>
      <c r="H103" s="80">
        <v>1705</v>
      </c>
      <c r="I103" s="63"/>
      <c r="J103" s="80"/>
      <c r="K103" s="63"/>
      <c r="L103" s="63"/>
      <c r="M103" s="68">
        <f t="shared" si="115"/>
        <v>1620</v>
      </c>
      <c r="N103" s="63">
        <v>1620</v>
      </c>
      <c r="O103" s="68"/>
      <c r="P103" s="63"/>
      <c r="Q103" s="68"/>
      <c r="R103" s="68">
        <f t="shared" si="103"/>
        <v>1620</v>
      </c>
      <c r="S103" s="68"/>
      <c r="T103" s="63"/>
      <c r="U103" s="63"/>
      <c r="V103" s="63"/>
      <c r="W103" s="63"/>
      <c r="X103" s="63"/>
      <c r="Y103" s="63"/>
      <c r="Z103" s="63"/>
      <c r="AA103" s="63">
        <f t="shared" si="86"/>
        <v>0</v>
      </c>
      <c r="AB103" s="63">
        <f t="shared" si="86"/>
        <v>0</v>
      </c>
      <c r="AC103" s="63">
        <f t="shared" si="87"/>
        <v>0</v>
      </c>
      <c r="AD103" s="63">
        <f t="shared" si="87"/>
        <v>0</v>
      </c>
      <c r="AE103" s="63">
        <f t="shared" si="88"/>
        <v>0</v>
      </c>
      <c r="AF103" s="63">
        <f t="shared" si="89"/>
        <v>0</v>
      </c>
      <c r="AG103" s="63"/>
      <c r="AH103" s="63"/>
      <c r="AI103" s="25" t="s">
        <v>284</v>
      </c>
      <c r="AJ103" s="19">
        <f t="shared" si="102"/>
        <v>1</v>
      </c>
      <c r="AK103" s="22">
        <f t="shared" si="111"/>
        <v>1</v>
      </c>
      <c r="AL103" s="22">
        <f t="shared" si="99"/>
        <v>1</v>
      </c>
      <c r="AM103" s="12">
        <f t="shared" si="90"/>
        <v>0</v>
      </c>
      <c r="AO103" s="12">
        <f t="shared" si="119"/>
        <v>1</v>
      </c>
      <c r="AP103" s="12">
        <f t="shared" si="120"/>
        <v>1620</v>
      </c>
      <c r="AQ103" s="12">
        <f t="shared" si="92"/>
        <v>0</v>
      </c>
      <c r="AR103" s="12">
        <f t="shared" si="80"/>
        <v>0</v>
      </c>
      <c r="AS103" s="12">
        <f t="shared" si="93"/>
        <v>0</v>
      </c>
      <c r="AT103" s="12">
        <f t="shared" si="112"/>
        <v>0</v>
      </c>
    </row>
    <row r="104" spans="1:48" ht="49.5" x14ac:dyDescent="0.25">
      <c r="A104" s="152">
        <v>32</v>
      </c>
      <c r="B104" s="337" t="s">
        <v>285</v>
      </c>
      <c r="C104" s="61" t="s">
        <v>286</v>
      </c>
      <c r="D104" s="61" t="s">
        <v>287</v>
      </c>
      <c r="E104" s="61" t="s">
        <v>332</v>
      </c>
      <c r="F104" s="61"/>
      <c r="G104" s="2">
        <f>H104</f>
        <v>52000</v>
      </c>
      <c r="H104" s="2">
        <v>52000</v>
      </c>
      <c r="I104" s="63"/>
      <c r="J104" s="63"/>
      <c r="K104" s="63"/>
      <c r="L104" s="63"/>
      <c r="M104" s="68">
        <f t="shared" si="115"/>
        <v>25000</v>
      </c>
      <c r="N104" s="63">
        <v>25000</v>
      </c>
      <c r="O104" s="68">
        <f t="shared" si="116"/>
        <v>25000</v>
      </c>
      <c r="P104" s="63">
        <v>25000</v>
      </c>
      <c r="Q104" s="68"/>
      <c r="R104" s="68">
        <f t="shared" si="103"/>
        <v>0</v>
      </c>
      <c r="S104" s="68">
        <f t="shared" ref="S104" si="121">T104</f>
        <v>25000</v>
      </c>
      <c r="T104" s="63">
        <v>25000</v>
      </c>
      <c r="U104" s="63"/>
      <c r="V104" s="63"/>
      <c r="W104" s="63"/>
      <c r="X104" s="63"/>
      <c r="Y104" s="63"/>
      <c r="Z104" s="63"/>
      <c r="AA104" s="63">
        <f t="shared" si="86"/>
        <v>0</v>
      </c>
      <c r="AB104" s="63">
        <f t="shared" si="86"/>
        <v>0</v>
      </c>
      <c r="AC104" s="63">
        <f t="shared" si="87"/>
        <v>25000</v>
      </c>
      <c r="AD104" s="63">
        <f t="shared" si="87"/>
        <v>25000</v>
      </c>
      <c r="AE104" s="63">
        <f t="shared" si="88"/>
        <v>25000</v>
      </c>
      <c r="AF104" s="63">
        <f t="shared" si="89"/>
        <v>25000</v>
      </c>
      <c r="AG104" s="63"/>
      <c r="AH104" s="63"/>
      <c r="AI104" s="334" t="s">
        <v>2126</v>
      </c>
      <c r="AJ104" s="19">
        <f t="shared" si="102"/>
        <v>0</v>
      </c>
      <c r="AK104" s="22">
        <f t="shared" si="111"/>
        <v>0</v>
      </c>
      <c r="AL104" s="22">
        <f t="shared" si="99"/>
        <v>0</v>
      </c>
      <c r="AM104" s="12">
        <f t="shared" si="90"/>
        <v>1</v>
      </c>
      <c r="AO104" s="12">
        <f t="shared" si="119"/>
        <v>0</v>
      </c>
      <c r="AP104" s="12">
        <f t="shared" si="120"/>
        <v>0</v>
      </c>
      <c r="AQ104" s="12">
        <f t="shared" si="92"/>
        <v>0</v>
      </c>
      <c r="AR104" s="12">
        <f t="shared" si="80"/>
        <v>0</v>
      </c>
      <c r="AS104" s="12">
        <f t="shared" si="93"/>
        <v>0</v>
      </c>
      <c r="AT104" s="12">
        <f t="shared" si="112"/>
        <v>0</v>
      </c>
      <c r="AU104" s="12">
        <f>IF(R104=0,0,1)</f>
        <v>0</v>
      </c>
      <c r="AV104" s="12">
        <f t="shared" si="113"/>
        <v>0</v>
      </c>
    </row>
    <row r="105" spans="1:48" ht="33" x14ac:dyDescent="0.25">
      <c r="A105" s="60">
        <v>33</v>
      </c>
      <c r="B105" s="91" t="s">
        <v>288</v>
      </c>
      <c r="C105" s="61" t="s">
        <v>58</v>
      </c>
      <c r="D105" s="61" t="s">
        <v>289</v>
      </c>
      <c r="E105" s="61" t="s">
        <v>290</v>
      </c>
      <c r="F105" s="61"/>
      <c r="G105" s="75">
        <v>4000</v>
      </c>
      <c r="H105" s="74">
        <f>G105</f>
        <v>4000</v>
      </c>
      <c r="I105" s="63"/>
      <c r="J105" s="63"/>
      <c r="K105" s="63"/>
      <c r="L105" s="63"/>
      <c r="M105" s="68">
        <f>N105</f>
        <v>3600</v>
      </c>
      <c r="N105" s="63">
        <v>3600</v>
      </c>
      <c r="O105" s="68"/>
      <c r="P105" s="63"/>
      <c r="Q105" s="68"/>
      <c r="R105" s="68">
        <f t="shared" si="103"/>
        <v>3600</v>
      </c>
      <c r="S105" s="68"/>
      <c r="T105" s="63"/>
      <c r="U105" s="63"/>
      <c r="V105" s="63"/>
      <c r="W105" s="63"/>
      <c r="X105" s="63"/>
      <c r="Y105" s="63"/>
      <c r="Z105" s="63"/>
      <c r="AA105" s="63">
        <f t="shared" si="86"/>
        <v>0</v>
      </c>
      <c r="AB105" s="63">
        <f t="shared" si="86"/>
        <v>0</v>
      </c>
      <c r="AC105" s="63">
        <f t="shared" si="87"/>
        <v>0</v>
      </c>
      <c r="AD105" s="63">
        <f t="shared" si="87"/>
        <v>0</v>
      </c>
      <c r="AE105" s="63">
        <f t="shared" si="88"/>
        <v>0</v>
      </c>
      <c r="AF105" s="63">
        <f t="shared" si="89"/>
        <v>0</v>
      </c>
      <c r="AG105" s="63"/>
      <c r="AH105" s="63"/>
      <c r="AI105" s="25" t="s">
        <v>291</v>
      </c>
      <c r="AJ105" s="19">
        <f t="shared" si="102"/>
        <v>1</v>
      </c>
      <c r="AK105" s="22">
        <f t="shared" si="111"/>
        <v>1</v>
      </c>
      <c r="AL105" s="22">
        <f t="shared" si="99"/>
        <v>1</v>
      </c>
      <c r="AM105" s="12">
        <f t="shared" si="90"/>
        <v>0</v>
      </c>
      <c r="AO105" s="12">
        <f t="shared" si="119"/>
        <v>1</v>
      </c>
      <c r="AP105" s="12">
        <f t="shared" si="120"/>
        <v>3600</v>
      </c>
      <c r="AQ105" s="12">
        <f t="shared" si="92"/>
        <v>0</v>
      </c>
      <c r="AR105" s="12">
        <f t="shared" si="80"/>
        <v>0</v>
      </c>
      <c r="AS105" s="12">
        <f t="shared" si="93"/>
        <v>0</v>
      </c>
      <c r="AT105" s="12">
        <f t="shared" si="112"/>
        <v>0</v>
      </c>
    </row>
    <row r="106" spans="1:48" ht="49.5" x14ac:dyDescent="0.25">
      <c r="A106" s="60">
        <v>34</v>
      </c>
      <c r="B106" s="91" t="s">
        <v>292</v>
      </c>
      <c r="C106" s="61" t="s">
        <v>58</v>
      </c>
      <c r="D106" s="61" t="s">
        <v>293</v>
      </c>
      <c r="E106" s="61" t="s">
        <v>116</v>
      </c>
      <c r="F106" s="61" t="s">
        <v>294</v>
      </c>
      <c r="G106" s="75">
        <v>27258</v>
      </c>
      <c r="H106" s="74">
        <f t="shared" si="114"/>
        <v>27258</v>
      </c>
      <c r="I106" s="63"/>
      <c r="J106" s="63"/>
      <c r="K106" s="63"/>
      <c r="L106" s="63"/>
      <c r="M106" s="68">
        <v>12200</v>
      </c>
      <c r="N106" s="63">
        <f>M106</f>
        <v>12200</v>
      </c>
      <c r="O106" s="68">
        <f>P106</f>
        <v>25000</v>
      </c>
      <c r="P106" s="63">
        <v>25000</v>
      </c>
      <c r="Q106" s="68">
        <f>T106-N106</f>
        <v>12800</v>
      </c>
      <c r="R106" s="68"/>
      <c r="S106" s="68">
        <f>T106</f>
        <v>25000</v>
      </c>
      <c r="T106" s="63">
        <v>25000</v>
      </c>
      <c r="U106" s="63"/>
      <c r="V106" s="63"/>
      <c r="W106" s="63"/>
      <c r="X106" s="63"/>
      <c r="Y106" s="63"/>
      <c r="Z106" s="63"/>
      <c r="AA106" s="63">
        <f t="shared" si="86"/>
        <v>0</v>
      </c>
      <c r="AB106" s="63">
        <f t="shared" si="86"/>
        <v>0</v>
      </c>
      <c r="AC106" s="63">
        <f t="shared" si="87"/>
        <v>25000</v>
      </c>
      <c r="AD106" s="63">
        <f t="shared" si="87"/>
        <v>25000</v>
      </c>
      <c r="AE106" s="63">
        <f t="shared" si="88"/>
        <v>25000</v>
      </c>
      <c r="AF106" s="63">
        <f t="shared" si="89"/>
        <v>25000</v>
      </c>
      <c r="AG106" s="63"/>
      <c r="AH106" s="63"/>
      <c r="AI106" s="25" t="s">
        <v>1971</v>
      </c>
      <c r="AJ106" s="19">
        <f t="shared" si="102"/>
        <v>1</v>
      </c>
      <c r="AK106" s="22">
        <f t="shared" si="111"/>
        <v>1</v>
      </c>
      <c r="AL106" s="22">
        <f t="shared" si="99"/>
        <v>0</v>
      </c>
      <c r="AM106" s="12">
        <f t="shared" si="90"/>
        <v>0</v>
      </c>
      <c r="AO106" s="12">
        <f t="shared" si="119"/>
        <v>0</v>
      </c>
      <c r="AP106" s="12">
        <f t="shared" si="120"/>
        <v>0</v>
      </c>
      <c r="AQ106" s="12">
        <f t="shared" si="92"/>
        <v>0</v>
      </c>
      <c r="AR106" s="12">
        <f t="shared" si="80"/>
        <v>0</v>
      </c>
      <c r="AS106" s="12">
        <f t="shared" si="93"/>
        <v>1</v>
      </c>
      <c r="AT106" s="12">
        <f t="shared" si="112"/>
        <v>12800</v>
      </c>
      <c r="AU106" s="12">
        <f>IF(R106=0,0,1)</f>
        <v>0</v>
      </c>
      <c r="AV106" s="12">
        <f t="shared" si="113"/>
        <v>0</v>
      </c>
    </row>
    <row r="107" spans="1:48" ht="49.5" x14ac:dyDescent="0.25">
      <c r="A107" s="60">
        <v>35</v>
      </c>
      <c r="B107" s="91" t="s">
        <v>295</v>
      </c>
      <c r="C107" s="61" t="s">
        <v>58</v>
      </c>
      <c r="D107" s="61" t="s">
        <v>296</v>
      </c>
      <c r="E107" s="61" t="s">
        <v>116</v>
      </c>
      <c r="F107" s="61" t="s">
        <v>297</v>
      </c>
      <c r="G107" s="75">
        <v>14460</v>
      </c>
      <c r="H107" s="74">
        <f t="shared" si="114"/>
        <v>14460</v>
      </c>
      <c r="I107" s="63"/>
      <c r="J107" s="63"/>
      <c r="K107" s="63"/>
      <c r="L107" s="63"/>
      <c r="M107" s="68">
        <v>7550</v>
      </c>
      <c r="N107" s="63">
        <f>M107</f>
        <v>7550</v>
      </c>
      <c r="O107" s="68">
        <f>P107</f>
        <v>13500</v>
      </c>
      <c r="P107" s="63">
        <v>13500</v>
      </c>
      <c r="Q107" s="68">
        <f>T107-N107</f>
        <v>5950</v>
      </c>
      <c r="R107" s="68"/>
      <c r="S107" s="68">
        <f>T107</f>
        <v>13500</v>
      </c>
      <c r="T107" s="63">
        <v>13500</v>
      </c>
      <c r="U107" s="63"/>
      <c r="V107" s="63"/>
      <c r="W107" s="63"/>
      <c r="X107" s="63"/>
      <c r="Y107" s="63"/>
      <c r="Z107" s="63"/>
      <c r="AA107" s="63">
        <f t="shared" si="86"/>
        <v>0</v>
      </c>
      <c r="AB107" s="63">
        <f t="shared" si="86"/>
        <v>0</v>
      </c>
      <c r="AC107" s="63">
        <f t="shared" si="87"/>
        <v>13500</v>
      </c>
      <c r="AD107" s="63">
        <f t="shared" si="87"/>
        <v>13500</v>
      </c>
      <c r="AE107" s="63">
        <f t="shared" si="88"/>
        <v>13500</v>
      </c>
      <c r="AF107" s="63">
        <f t="shared" si="89"/>
        <v>13500</v>
      </c>
      <c r="AG107" s="63"/>
      <c r="AH107" s="63"/>
      <c r="AI107" s="25" t="s">
        <v>1971</v>
      </c>
      <c r="AJ107" s="19">
        <f t="shared" si="102"/>
        <v>1</v>
      </c>
      <c r="AK107" s="22">
        <f t="shared" si="111"/>
        <v>1</v>
      </c>
      <c r="AL107" s="22">
        <f t="shared" si="99"/>
        <v>0</v>
      </c>
      <c r="AM107" s="12">
        <f t="shared" si="90"/>
        <v>0</v>
      </c>
      <c r="AO107" s="12">
        <f t="shared" si="119"/>
        <v>0</v>
      </c>
      <c r="AP107" s="12">
        <f t="shared" si="120"/>
        <v>0</v>
      </c>
      <c r="AQ107" s="12">
        <f t="shared" si="92"/>
        <v>0</v>
      </c>
      <c r="AR107" s="12">
        <f t="shared" si="80"/>
        <v>0</v>
      </c>
      <c r="AS107" s="12">
        <f t="shared" si="93"/>
        <v>1</v>
      </c>
      <c r="AT107" s="12">
        <f t="shared" si="112"/>
        <v>5950</v>
      </c>
      <c r="AU107" s="12">
        <f>IF(R107=0,0,1)</f>
        <v>0</v>
      </c>
      <c r="AV107" s="12">
        <f t="shared" si="113"/>
        <v>0</v>
      </c>
    </row>
    <row r="108" spans="1:48" ht="86.25" customHeight="1" x14ac:dyDescent="0.25">
      <c r="A108" s="60">
        <v>36</v>
      </c>
      <c r="B108" s="91" t="s">
        <v>298</v>
      </c>
      <c r="C108" s="61" t="s">
        <v>52</v>
      </c>
      <c r="D108" s="61" t="s">
        <v>299</v>
      </c>
      <c r="E108" s="61" t="s">
        <v>290</v>
      </c>
      <c r="F108" s="61"/>
      <c r="G108" s="75">
        <v>6000</v>
      </c>
      <c r="H108" s="74">
        <f t="shared" si="114"/>
        <v>6000</v>
      </c>
      <c r="I108" s="63"/>
      <c r="J108" s="63"/>
      <c r="K108" s="63"/>
      <c r="L108" s="63"/>
      <c r="M108" s="68">
        <f>H108*0.9</f>
        <v>5400</v>
      </c>
      <c r="N108" s="63">
        <f>M108</f>
        <v>5400</v>
      </c>
      <c r="O108" s="68"/>
      <c r="P108" s="63"/>
      <c r="Q108" s="68"/>
      <c r="R108" s="68">
        <f t="shared" ref="R108" si="122">N108-T108</f>
        <v>5400</v>
      </c>
      <c r="S108" s="68"/>
      <c r="T108" s="63"/>
      <c r="U108" s="63"/>
      <c r="V108" s="63"/>
      <c r="W108" s="63"/>
      <c r="X108" s="63"/>
      <c r="Y108" s="63"/>
      <c r="Z108" s="63"/>
      <c r="AA108" s="63">
        <f t="shared" si="86"/>
        <v>0</v>
      </c>
      <c r="AB108" s="63">
        <f t="shared" si="86"/>
        <v>0</v>
      </c>
      <c r="AC108" s="63">
        <f t="shared" si="87"/>
        <v>0</v>
      </c>
      <c r="AD108" s="63">
        <f t="shared" si="87"/>
        <v>0</v>
      </c>
      <c r="AE108" s="63">
        <f t="shared" si="88"/>
        <v>0</v>
      </c>
      <c r="AF108" s="63">
        <f t="shared" si="89"/>
        <v>0</v>
      </c>
      <c r="AG108" s="63"/>
      <c r="AH108" s="63"/>
      <c r="AI108" s="25" t="s">
        <v>300</v>
      </c>
      <c r="AJ108" s="19">
        <f t="shared" si="102"/>
        <v>1</v>
      </c>
      <c r="AK108" s="22">
        <f t="shared" si="111"/>
        <v>1</v>
      </c>
      <c r="AL108" s="22">
        <f t="shared" si="99"/>
        <v>1</v>
      </c>
      <c r="AM108" s="12">
        <f t="shared" si="90"/>
        <v>0</v>
      </c>
      <c r="AO108" s="12">
        <f t="shared" si="119"/>
        <v>1</v>
      </c>
      <c r="AP108" s="12">
        <f t="shared" si="120"/>
        <v>5400</v>
      </c>
      <c r="AQ108" s="12">
        <f t="shared" si="92"/>
        <v>0</v>
      </c>
      <c r="AR108" s="12">
        <f t="shared" si="80"/>
        <v>0</v>
      </c>
      <c r="AS108" s="12">
        <f t="shared" si="93"/>
        <v>0</v>
      </c>
      <c r="AT108" s="12">
        <f t="shared" si="112"/>
        <v>0</v>
      </c>
    </row>
    <row r="109" spans="1:48" s="157" customFormat="1" ht="33" x14ac:dyDescent="0.25">
      <c r="A109" s="152">
        <v>37</v>
      </c>
      <c r="B109" s="337" t="s">
        <v>301</v>
      </c>
      <c r="C109" s="1" t="s">
        <v>205</v>
      </c>
      <c r="D109" s="1" t="s">
        <v>302</v>
      </c>
      <c r="E109" s="1" t="s">
        <v>116</v>
      </c>
      <c r="F109" s="1"/>
      <c r="G109" s="158">
        <f>H109</f>
        <v>9500</v>
      </c>
      <c r="H109" s="2">
        <f>9500</f>
        <v>9500</v>
      </c>
      <c r="I109" s="3"/>
      <c r="J109" s="3"/>
      <c r="K109" s="3"/>
      <c r="L109" s="3"/>
      <c r="M109" s="4">
        <v>8000</v>
      </c>
      <c r="N109" s="3">
        <f>M109</f>
        <v>8000</v>
      </c>
      <c r="O109" s="4">
        <f>P109</f>
        <v>9148</v>
      </c>
      <c r="P109" s="3">
        <v>9148</v>
      </c>
      <c r="Q109" s="4"/>
      <c r="R109" s="4">
        <f>N109</f>
        <v>8000</v>
      </c>
      <c r="S109" s="4">
        <f>T109</f>
        <v>0</v>
      </c>
      <c r="T109" s="3"/>
      <c r="U109" s="3"/>
      <c r="V109" s="3"/>
      <c r="W109" s="3"/>
      <c r="X109" s="3"/>
      <c r="Y109" s="3"/>
      <c r="Z109" s="3"/>
      <c r="AA109" s="3">
        <f t="shared" si="86"/>
        <v>0</v>
      </c>
      <c r="AB109" s="3">
        <f t="shared" si="86"/>
        <v>0</v>
      </c>
      <c r="AC109" s="3">
        <f t="shared" si="87"/>
        <v>9148</v>
      </c>
      <c r="AD109" s="3">
        <f t="shared" si="87"/>
        <v>9148</v>
      </c>
      <c r="AE109" s="3">
        <f t="shared" si="88"/>
        <v>9148</v>
      </c>
      <c r="AF109" s="3">
        <f t="shared" si="89"/>
        <v>9148</v>
      </c>
      <c r="AG109" s="3"/>
      <c r="AH109" s="3"/>
      <c r="AI109" s="334" t="s">
        <v>2127</v>
      </c>
      <c r="AJ109" s="801">
        <f t="shared" si="102"/>
        <v>1</v>
      </c>
      <c r="AK109" s="155">
        <f t="shared" si="111"/>
        <v>1</v>
      </c>
      <c r="AL109" s="22">
        <f t="shared" si="99"/>
        <v>1</v>
      </c>
      <c r="AM109" s="156">
        <f t="shared" si="90"/>
        <v>0</v>
      </c>
      <c r="AN109" s="156"/>
      <c r="AO109" s="156">
        <f t="shared" si="119"/>
        <v>0</v>
      </c>
      <c r="AP109" s="156">
        <f t="shared" si="120"/>
        <v>0</v>
      </c>
      <c r="AQ109" s="156">
        <f t="shared" si="92"/>
        <v>0</v>
      </c>
      <c r="AR109" s="156">
        <f t="shared" si="80"/>
        <v>0</v>
      </c>
      <c r="AS109" s="156">
        <f t="shared" si="93"/>
        <v>0</v>
      </c>
      <c r="AT109" s="156">
        <f t="shared" si="112"/>
        <v>0</v>
      </c>
      <c r="AU109" s="156">
        <f>IF(R109=0,0,1)</f>
        <v>1</v>
      </c>
      <c r="AV109" s="156">
        <f t="shared" si="113"/>
        <v>8000</v>
      </c>
    </row>
    <row r="110" spans="1:48" ht="49.5" x14ac:dyDescent="0.25">
      <c r="A110" s="60">
        <v>38</v>
      </c>
      <c r="B110" s="91" t="s">
        <v>303</v>
      </c>
      <c r="C110" s="61" t="s">
        <v>230</v>
      </c>
      <c r="D110" s="61" t="s">
        <v>304</v>
      </c>
      <c r="E110" s="61" t="s">
        <v>116</v>
      </c>
      <c r="F110" s="61" t="s">
        <v>305</v>
      </c>
      <c r="G110" s="75">
        <f>H110</f>
        <v>3135</v>
      </c>
      <c r="H110" s="74">
        <v>3135</v>
      </c>
      <c r="I110" s="63"/>
      <c r="J110" s="63"/>
      <c r="K110" s="63"/>
      <c r="L110" s="63"/>
      <c r="M110" s="68">
        <v>1500</v>
      </c>
      <c r="N110" s="63">
        <f>M110</f>
        <v>1500</v>
      </c>
      <c r="O110" s="68">
        <f>P110</f>
        <v>2900</v>
      </c>
      <c r="P110" s="63">
        <v>2900</v>
      </c>
      <c r="Q110" s="68">
        <f t="shared" ref="Q110:Q113" si="123">T110-N110</f>
        <v>1400</v>
      </c>
      <c r="R110" s="68"/>
      <c r="S110" s="68">
        <f>T110</f>
        <v>2900</v>
      </c>
      <c r="T110" s="63">
        <v>2900</v>
      </c>
      <c r="U110" s="58"/>
      <c r="V110" s="58"/>
      <c r="W110" s="58"/>
      <c r="X110" s="58"/>
      <c r="Y110" s="63"/>
      <c r="Z110" s="63"/>
      <c r="AA110" s="63">
        <f t="shared" si="86"/>
        <v>0</v>
      </c>
      <c r="AB110" s="63">
        <f t="shared" si="86"/>
        <v>0</v>
      </c>
      <c r="AC110" s="63">
        <f t="shared" si="87"/>
        <v>2900</v>
      </c>
      <c r="AD110" s="63">
        <f t="shared" si="87"/>
        <v>2900</v>
      </c>
      <c r="AE110" s="63">
        <f t="shared" si="88"/>
        <v>2900</v>
      </c>
      <c r="AF110" s="63">
        <f t="shared" si="89"/>
        <v>2900</v>
      </c>
      <c r="AG110" s="58"/>
      <c r="AH110" s="58"/>
      <c r="AI110" s="25" t="s">
        <v>1971</v>
      </c>
      <c r="AJ110" s="19">
        <f t="shared" si="102"/>
        <v>1</v>
      </c>
      <c r="AK110" s="22">
        <f t="shared" si="111"/>
        <v>1</v>
      </c>
      <c r="AL110" s="22">
        <f t="shared" si="99"/>
        <v>0</v>
      </c>
      <c r="AM110" s="12">
        <f t="shared" si="90"/>
        <v>0</v>
      </c>
      <c r="AO110" s="12">
        <f t="shared" si="119"/>
        <v>0</v>
      </c>
      <c r="AP110" s="12">
        <f t="shared" si="120"/>
        <v>0</v>
      </c>
      <c r="AQ110" s="12">
        <f t="shared" si="92"/>
        <v>0</v>
      </c>
      <c r="AR110" s="12">
        <f t="shared" si="80"/>
        <v>0</v>
      </c>
      <c r="AS110" s="12">
        <f t="shared" si="93"/>
        <v>1</v>
      </c>
      <c r="AT110" s="12">
        <f t="shared" si="112"/>
        <v>1400</v>
      </c>
      <c r="AU110" s="12">
        <f>IF(R110=0,0,1)</f>
        <v>0</v>
      </c>
      <c r="AV110" s="12">
        <f t="shared" si="113"/>
        <v>0</v>
      </c>
    </row>
    <row r="111" spans="1:48" ht="33" x14ac:dyDescent="0.25">
      <c r="A111" s="60">
        <v>39</v>
      </c>
      <c r="B111" s="91" t="s">
        <v>306</v>
      </c>
      <c r="C111" s="61" t="s">
        <v>52</v>
      </c>
      <c r="D111" s="61" t="s">
        <v>307</v>
      </c>
      <c r="E111" s="61" t="s">
        <v>116</v>
      </c>
      <c r="F111" s="61"/>
      <c r="G111" s="75">
        <v>1060</v>
      </c>
      <c r="H111" s="74">
        <f t="shared" si="114"/>
        <v>1060</v>
      </c>
      <c r="I111" s="63"/>
      <c r="J111" s="63"/>
      <c r="K111" s="63"/>
      <c r="L111" s="63"/>
      <c r="M111" s="68">
        <f t="shared" si="115"/>
        <v>1000</v>
      </c>
      <c r="N111" s="63">
        <v>1000</v>
      </c>
      <c r="O111" s="68"/>
      <c r="P111" s="63"/>
      <c r="Q111" s="68"/>
      <c r="R111" s="68">
        <f t="shared" ref="R111:R112" si="124">N111-T111</f>
        <v>1000</v>
      </c>
      <c r="S111" s="68"/>
      <c r="T111" s="63"/>
      <c r="U111" s="63"/>
      <c r="V111" s="63"/>
      <c r="W111" s="63"/>
      <c r="X111" s="63"/>
      <c r="Y111" s="63"/>
      <c r="Z111" s="63"/>
      <c r="AA111" s="63">
        <f t="shared" si="86"/>
        <v>0</v>
      </c>
      <c r="AB111" s="63">
        <f t="shared" si="86"/>
        <v>0</v>
      </c>
      <c r="AC111" s="63">
        <f t="shared" si="87"/>
        <v>0</v>
      </c>
      <c r="AD111" s="63">
        <f t="shared" si="87"/>
        <v>0</v>
      </c>
      <c r="AE111" s="63">
        <f t="shared" si="88"/>
        <v>0</v>
      </c>
      <c r="AF111" s="63">
        <f t="shared" si="89"/>
        <v>0</v>
      </c>
      <c r="AG111" s="63"/>
      <c r="AH111" s="63"/>
      <c r="AI111" s="25" t="s">
        <v>284</v>
      </c>
      <c r="AJ111" s="19">
        <f t="shared" si="102"/>
        <v>1</v>
      </c>
      <c r="AK111" s="22">
        <f t="shared" si="111"/>
        <v>1</v>
      </c>
      <c r="AL111" s="22">
        <f t="shared" si="99"/>
        <v>1</v>
      </c>
      <c r="AM111" s="12">
        <f t="shared" si="90"/>
        <v>0</v>
      </c>
      <c r="AO111" s="12">
        <f t="shared" si="119"/>
        <v>1</v>
      </c>
      <c r="AP111" s="12">
        <f t="shared" si="120"/>
        <v>1000</v>
      </c>
      <c r="AQ111" s="12">
        <f t="shared" si="92"/>
        <v>0</v>
      </c>
      <c r="AR111" s="12">
        <f t="shared" si="80"/>
        <v>0</v>
      </c>
      <c r="AS111" s="12">
        <f t="shared" si="93"/>
        <v>0</v>
      </c>
      <c r="AT111" s="12">
        <f t="shared" si="112"/>
        <v>0</v>
      </c>
    </row>
    <row r="112" spans="1:48" s="157" customFormat="1" ht="33" x14ac:dyDescent="0.25">
      <c r="A112" s="152">
        <v>40</v>
      </c>
      <c r="B112" s="337" t="s">
        <v>308</v>
      </c>
      <c r="C112" s="1" t="s">
        <v>146</v>
      </c>
      <c r="D112" s="1" t="s">
        <v>309</v>
      </c>
      <c r="E112" s="1" t="s">
        <v>116</v>
      </c>
      <c r="F112" s="1"/>
      <c r="G112" s="158">
        <v>3746</v>
      </c>
      <c r="H112" s="2">
        <f t="shared" si="114"/>
        <v>3746</v>
      </c>
      <c r="I112" s="3"/>
      <c r="J112" s="3"/>
      <c r="K112" s="3"/>
      <c r="L112" s="3"/>
      <c r="M112" s="4">
        <f t="shared" si="115"/>
        <v>3500</v>
      </c>
      <c r="N112" s="3">
        <v>3500</v>
      </c>
      <c r="O112" s="4">
        <f t="shared" ref="O112:O117" si="125">P112</f>
        <v>3500</v>
      </c>
      <c r="P112" s="3">
        <v>3500</v>
      </c>
      <c r="Q112" s="4"/>
      <c r="R112" s="4">
        <f t="shared" si="124"/>
        <v>3500</v>
      </c>
      <c r="S112" s="4">
        <f t="shared" ref="S112:S113" si="126">T112</f>
        <v>0</v>
      </c>
      <c r="T112" s="3"/>
      <c r="U112" s="3"/>
      <c r="V112" s="3"/>
      <c r="W112" s="3"/>
      <c r="X112" s="3"/>
      <c r="Y112" s="3"/>
      <c r="Z112" s="3"/>
      <c r="AA112" s="3">
        <f t="shared" si="86"/>
        <v>0</v>
      </c>
      <c r="AB112" s="3">
        <f t="shared" si="86"/>
        <v>0</v>
      </c>
      <c r="AC112" s="3">
        <f t="shared" si="87"/>
        <v>3500</v>
      </c>
      <c r="AD112" s="3">
        <f t="shared" si="87"/>
        <v>3500</v>
      </c>
      <c r="AE112" s="3">
        <f t="shared" si="88"/>
        <v>3500</v>
      </c>
      <c r="AF112" s="3">
        <f t="shared" si="89"/>
        <v>3500</v>
      </c>
      <c r="AG112" s="3"/>
      <c r="AH112" s="3"/>
      <c r="AI112" s="334" t="s">
        <v>284</v>
      </c>
      <c r="AJ112" s="801">
        <f t="shared" si="102"/>
        <v>1</v>
      </c>
      <c r="AK112" s="155">
        <f t="shared" si="111"/>
        <v>1</v>
      </c>
      <c r="AL112" s="22">
        <f t="shared" si="99"/>
        <v>1</v>
      </c>
      <c r="AM112" s="156">
        <f t="shared" si="90"/>
        <v>0</v>
      </c>
      <c r="AN112" s="156"/>
      <c r="AO112" s="156">
        <f t="shared" si="119"/>
        <v>0</v>
      </c>
      <c r="AP112" s="156">
        <f t="shared" si="120"/>
        <v>0</v>
      </c>
      <c r="AQ112" s="156">
        <f t="shared" si="92"/>
        <v>0</v>
      </c>
      <c r="AR112" s="156">
        <f t="shared" si="80"/>
        <v>0</v>
      </c>
      <c r="AS112" s="156">
        <f t="shared" si="93"/>
        <v>0</v>
      </c>
      <c r="AT112" s="156">
        <f t="shared" si="112"/>
        <v>0</v>
      </c>
      <c r="AU112" s="156">
        <f>IF(R112=0,0,1)</f>
        <v>1</v>
      </c>
      <c r="AV112" s="156">
        <f t="shared" si="113"/>
        <v>3500</v>
      </c>
    </row>
    <row r="113" spans="1:48" ht="33" x14ac:dyDescent="0.25">
      <c r="A113" s="60">
        <v>41</v>
      </c>
      <c r="B113" s="91" t="s">
        <v>310</v>
      </c>
      <c r="C113" s="61" t="s">
        <v>52</v>
      </c>
      <c r="D113" s="61" t="s">
        <v>311</v>
      </c>
      <c r="E113" s="61" t="s">
        <v>290</v>
      </c>
      <c r="F113" s="61"/>
      <c r="G113" s="75">
        <v>14200</v>
      </c>
      <c r="H113" s="74">
        <f t="shared" si="114"/>
        <v>14200</v>
      </c>
      <c r="I113" s="63"/>
      <c r="J113" s="63"/>
      <c r="K113" s="63"/>
      <c r="L113" s="63"/>
      <c r="M113" s="68">
        <f t="shared" si="115"/>
        <v>9500</v>
      </c>
      <c r="N113" s="63">
        <v>9500</v>
      </c>
      <c r="O113" s="68">
        <f t="shared" si="125"/>
        <v>12900</v>
      </c>
      <c r="P113" s="63">
        <v>12900</v>
      </c>
      <c r="Q113" s="68">
        <f t="shared" si="123"/>
        <v>3400</v>
      </c>
      <c r="R113" s="68"/>
      <c r="S113" s="68">
        <f t="shared" si="126"/>
        <v>12900</v>
      </c>
      <c r="T113" s="63">
        <v>12900</v>
      </c>
      <c r="U113" s="63"/>
      <c r="V113" s="63"/>
      <c r="W113" s="63"/>
      <c r="X113" s="63"/>
      <c r="Y113" s="63"/>
      <c r="Z113" s="63"/>
      <c r="AA113" s="63">
        <f t="shared" si="86"/>
        <v>0</v>
      </c>
      <c r="AB113" s="63">
        <f t="shared" si="86"/>
        <v>0</v>
      </c>
      <c r="AC113" s="63">
        <f t="shared" si="87"/>
        <v>12900</v>
      </c>
      <c r="AD113" s="63">
        <f t="shared" si="87"/>
        <v>12900</v>
      </c>
      <c r="AE113" s="63">
        <f t="shared" si="88"/>
        <v>12900</v>
      </c>
      <c r="AF113" s="63">
        <f t="shared" si="89"/>
        <v>12900</v>
      </c>
      <c r="AG113" s="63"/>
      <c r="AH113" s="63"/>
      <c r="AI113" s="25" t="s">
        <v>1971</v>
      </c>
      <c r="AJ113" s="19">
        <f t="shared" si="102"/>
        <v>1</v>
      </c>
      <c r="AK113" s="22">
        <f t="shared" si="111"/>
        <v>1</v>
      </c>
      <c r="AL113" s="22">
        <f t="shared" si="99"/>
        <v>0</v>
      </c>
      <c r="AM113" s="12">
        <f t="shared" si="90"/>
        <v>0</v>
      </c>
      <c r="AO113" s="12">
        <f t="shared" si="119"/>
        <v>0</v>
      </c>
      <c r="AP113" s="12">
        <f t="shared" si="120"/>
        <v>0</v>
      </c>
      <c r="AQ113" s="12">
        <f t="shared" si="92"/>
        <v>0</v>
      </c>
      <c r="AR113" s="12">
        <f t="shared" si="80"/>
        <v>0</v>
      </c>
      <c r="AS113" s="12">
        <f t="shared" si="93"/>
        <v>1</v>
      </c>
      <c r="AT113" s="12">
        <f t="shared" si="112"/>
        <v>3400</v>
      </c>
      <c r="AU113" s="12">
        <f>IF(R113=0,0,1)</f>
        <v>0</v>
      </c>
      <c r="AV113" s="12">
        <f t="shared" si="113"/>
        <v>0</v>
      </c>
    </row>
    <row r="114" spans="1:48" ht="33" x14ac:dyDescent="0.25">
      <c r="A114" s="60">
        <v>42</v>
      </c>
      <c r="B114" s="91" t="s">
        <v>312</v>
      </c>
      <c r="C114" s="61" t="s">
        <v>104</v>
      </c>
      <c r="D114" s="61" t="s">
        <v>313</v>
      </c>
      <c r="E114" s="61" t="s">
        <v>116</v>
      </c>
      <c r="F114" s="61"/>
      <c r="G114" s="75">
        <v>1755</v>
      </c>
      <c r="H114" s="74">
        <f t="shared" si="114"/>
        <v>1755</v>
      </c>
      <c r="I114" s="63"/>
      <c r="J114" s="63"/>
      <c r="K114" s="63"/>
      <c r="L114" s="63"/>
      <c r="M114" s="68">
        <f t="shared" si="115"/>
        <v>1650</v>
      </c>
      <c r="N114" s="63">
        <v>1650</v>
      </c>
      <c r="O114" s="68"/>
      <c r="P114" s="63"/>
      <c r="Q114" s="68"/>
      <c r="R114" s="68">
        <f>N114-T114</f>
        <v>1650</v>
      </c>
      <c r="S114" s="68"/>
      <c r="T114" s="63"/>
      <c r="U114" s="63"/>
      <c r="V114" s="63"/>
      <c r="W114" s="63"/>
      <c r="X114" s="63"/>
      <c r="Y114" s="63"/>
      <c r="Z114" s="63"/>
      <c r="AA114" s="63">
        <f t="shared" si="86"/>
        <v>0</v>
      </c>
      <c r="AB114" s="63">
        <f t="shared" si="86"/>
        <v>0</v>
      </c>
      <c r="AC114" s="63">
        <f t="shared" si="87"/>
        <v>0</v>
      </c>
      <c r="AD114" s="63">
        <f t="shared" si="87"/>
        <v>0</v>
      </c>
      <c r="AE114" s="63">
        <f t="shared" si="88"/>
        <v>0</v>
      </c>
      <c r="AF114" s="63">
        <f t="shared" si="89"/>
        <v>0</v>
      </c>
      <c r="AG114" s="63"/>
      <c r="AH114" s="63"/>
      <c r="AI114" s="25" t="s">
        <v>284</v>
      </c>
      <c r="AJ114" s="19">
        <f t="shared" si="102"/>
        <v>1</v>
      </c>
      <c r="AK114" s="22">
        <f t="shared" si="111"/>
        <v>1</v>
      </c>
      <c r="AL114" s="22">
        <f t="shared" si="99"/>
        <v>1</v>
      </c>
      <c r="AM114" s="12">
        <f t="shared" si="90"/>
        <v>0</v>
      </c>
      <c r="AO114" s="12">
        <f t="shared" si="119"/>
        <v>1</v>
      </c>
      <c r="AP114" s="12">
        <f t="shared" si="120"/>
        <v>1650</v>
      </c>
      <c r="AQ114" s="12">
        <f t="shared" si="92"/>
        <v>0</v>
      </c>
      <c r="AR114" s="12">
        <f t="shared" si="80"/>
        <v>0</v>
      </c>
      <c r="AS114" s="12">
        <f t="shared" si="93"/>
        <v>0</v>
      </c>
      <c r="AT114" s="12">
        <f t="shared" si="112"/>
        <v>0</v>
      </c>
    </row>
    <row r="115" spans="1:48" ht="33" x14ac:dyDescent="0.25">
      <c r="A115" s="60">
        <v>43</v>
      </c>
      <c r="B115" s="91" t="s">
        <v>314</v>
      </c>
      <c r="C115" s="61" t="s">
        <v>112</v>
      </c>
      <c r="D115" s="61" t="s">
        <v>315</v>
      </c>
      <c r="E115" s="61" t="s">
        <v>290</v>
      </c>
      <c r="F115" s="61"/>
      <c r="G115" s="75">
        <v>1340</v>
      </c>
      <c r="H115" s="74">
        <f t="shared" si="114"/>
        <v>1340</v>
      </c>
      <c r="I115" s="63"/>
      <c r="J115" s="63"/>
      <c r="K115" s="63"/>
      <c r="L115" s="63"/>
      <c r="M115" s="68">
        <f t="shared" si="115"/>
        <v>1250</v>
      </c>
      <c r="N115" s="63">
        <v>1250</v>
      </c>
      <c r="O115" s="68">
        <f t="shared" si="125"/>
        <v>1250</v>
      </c>
      <c r="P115" s="63">
        <v>1250</v>
      </c>
      <c r="Q115" s="54"/>
      <c r="R115" s="68">
        <f t="shared" ref="R115:R120" si="127">N115-T115</f>
        <v>0</v>
      </c>
      <c r="S115" s="68">
        <f t="shared" ref="S115" si="128">T115</f>
        <v>1250</v>
      </c>
      <c r="T115" s="63">
        <v>1250</v>
      </c>
      <c r="U115" s="63"/>
      <c r="V115" s="63"/>
      <c r="W115" s="63"/>
      <c r="X115" s="63"/>
      <c r="Y115" s="63"/>
      <c r="Z115" s="63"/>
      <c r="AA115" s="63">
        <f t="shared" si="86"/>
        <v>0</v>
      </c>
      <c r="AB115" s="63">
        <f t="shared" si="86"/>
        <v>0</v>
      </c>
      <c r="AC115" s="63">
        <f t="shared" si="87"/>
        <v>1250</v>
      </c>
      <c r="AD115" s="63">
        <f t="shared" si="87"/>
        <v>1250</v>
      </c>
      <c r="AE115" s="63">
        <f t="shared" si="88"/>
        <v>1250</v>
      </c>
      <c r="AF115" s="63">
        <f t="shared" si="89"/>
        <v>1250</v>
      </c>
      <c r="AG115" s="63"/>
      <c r="AH115" s="63"/>
      <c r="AI115" s="69"/>
      <c r="AJ115" s="19">
        <f t="shared" si="102"/>
        <v>0</v>
      </c>
      <c r="AK115" s="22">
        <f t="shared" si="111"/>
        <v>0</v>
      </c>
      <c r="AL115" s="22">
        <f t="shared" si="99"/>
        <v>0</v>
      </c>
      <c r="AM115" s="12">
        <f t="shared" si="90"/>
        <v>1</v>
      </c>
      <c r="AO115" s="12">
        <f t="shared" si="119"/>
        <v>0</v>
      </c>
      <c r="AP115" s="12">
        <f t="shared" si="120"/>
        <v>0</v>
      </c>
      <c r="AQ115" s="12">
        <f t="shared" si="92"/>
        <v>0</v>
      </c>
      <c r="AR115" s="12">
        <f t="shared" si="80"/>
        <v>0</v>
      </c>
      <c r="AS115" s="12">
        <f t="shared" si="93"/>
        <v>0</v>
      </c>
      <c r="AT115" s="12">
        <f t="shared" si="112"/>
        <v>0</v>
      </c>
      <c r="AU115" s="12">
        <f>IF(R115=0,0,1)</f>
        <v>0</v>
      </c>
      <c r="AV115" s="12">
        <f t="shared" si="113"/>
        <v>0</v>
      </c>
    </row>
    <row r="116" spans="1:48" ht="33" x14ac:dyDescent="0.25">
      <c r="A116" s="60">
        <v>44</v>
      </c>
      <c r="B116" s="91" t="s">
        <v>316</v>
      </c>
      <c r="C116" s="61" t="s">
        <v>52</v>
      </c>
      <c r="D116" s="61" t="s">
        <v>315</v>
      </c>
      <c r="E116" s="61" t="s">
        <v>290</v>
      </c>
      <c r="F116" s="61"/>
      <c r="G116" s="75">
        <v>1340</v>
      </c>
      <c r="H116" s="74">
        <f t="shared" si="114"/>
        <v>1340</v>
      </c>
      <c r="I116" s="63"/>
      <c r="J116" s="63"/>
      <c r="K116" s="63"/>
      <c r="L116" s="63"/>
      <c r="M116" s="68">
        <f t="shared" si="115"/>
        <v>1250</v>
      </c>
      <c r="N116" s="63">
        <v>1250</v>
      </c>
      <c r="O116" s="68"/>
      <c r="P116" s="63"/>
      <c r="Q116" s="68"/>
      <c r="R116" s="68">
        <f t="shared" si="127"/>
        <v>1250</v>
      </c>
      <c r="S116" s="68"/>
      <c r="T116" s="63"/>
      <c r="U116" s="58"/>
      <c r="V116" s="58"/>
      <c r="W116" s="58"/>
      <c r="X116" s="58"/>
      <c r="Y116" s="63"/>
      <c r="Z116" s="63"/>
      <c r="AA116" s="63">
        <f t="shared" si="86"/>
        <v>0</v>
      </c>
      <c r="AB116" s="63">
        <f t="shared" si="86"/>
        <v>0</v>
      </c>
      <c r="AC116" s="63">
        <f t="shared" si="87"/>
        <v>0</v>
      </c>
      <c r="AD116" s="63">
        <f t="shared" si="87"/>
        <v>0</v>
      </c>
      <c r="AE116" s="63">
        <f t="shared" si="88"/>
        <v>0</v>
      </c>
      <c r="AF116" s="63">
        <f t="shared" si="89"/>
        <v>0</v>
      </c>
      <c r="AG116" s="58"/>
      <c r="AH116" s="58"/>
      <c r="AI116" s="25" t="s">
        <v>284</v>
      </c>
      <c r="AJ116" s="19">
        <f t="shared" si="102"/>
        <v>1</v>
      </c>
      <c r="AK116" s="22">
        <f t="shared" si="111"/>
        <v>1</v>
      </c>
      <c r="AL116" s="22">
        <f t="shared" si="99"/>
        <v>1</v>
      </c>
      <c r="AM116" s="12">
        <f t="shared" si="90"/>
        <v>0</v>
      </c>
      <c r="AO116" s="12">
        <f t="shared" si="119"/>
        <v>1</v>
      </c>
      <c r="AP116" s="12">
        <f t="shared" si="120"/>
        <v>1250</v>
      </c>
      <c r="AQ116" s="12">
        <f t="shared" si="92"/>
        <v>0</v>
      </c>
      <c r="AR116" s="12">
        <f t="shared" si="80"/>
        <v>0</v>
      </c>
      <c r="AS116" s="12">
        <f t="shared" si="93"/>
        <v>0</v>
      </c>
      <c r="AT116" s="12">
        <f t="shared" si="112"/>
        <v>0</v>
      </c>
    </row>
    <row r="117" spans="1:48" ht="33" x14ac:dyDescent="0.25">
      <c r="A117" s="60">
        <v>45</v>
      </c>
      <c r="B117" s="91" t="s">
        <v>317</v>
      </c>
      <c r="C117" s="61" t="s">
        <v>58</v>
      </c>
      <c r="D117" s="61" t="s">
        <v>318</v>
      </c>
      <c r="E117" s="61" t="s">
        <v>290</v>
      </c>
      <c r="F117" s="61"/>
      <c r="G117" s="75">
        <v>1050</v>
      </c>
      <c r="H117" s="74">
        <f t="shared" si="114"/>
        <v>1050</v>
      </c>
      <c r="I117" s="63"/>
      <c r="J117" s="63"/>
      <c r="K117" s="63"/>
      <c r="L117" s="63"/>
      <c r="M117" s="68">
        <f t="shared" si="115"/>
        <v>1000</v>
      </c>
      <c r="N117" s="63">
        <v>1000</v>
      </c>
      <c r="O117" s="68">
        <f t="shared" si="125"/>
        <v>1000</v>
      </c>
      <c r="P117" s="63">
        <v>1000</v>
      </c>
      <c r="Q117" s="68"/>
      <c r="R117" s="68">
        <f t="shared" si="127"/>
        <v>0</v>
      </c>
      <c r="S117" s="68">
        <f t="shared" ref="S117" si="129">T117</f>
        <v>1000</v>
      </c>
      <c r="T117" s="63">
        <v>1000</v>
      </c>
      <c r="U117" s="63"/>
      <c r="V117" s="63"/>
      <c r="W117" s="63"/>
      <c r="X117" s="63"/>
      <c r="Y117" s="63"/>
      <c r="Z117" s="63"/>
      <c r="AA117" s="63">
        <f t="shared" si="86"/>
        <v>0</v>
      </c>
      <c r="AB117" s="63">
        <f t="shared" si="86"/>
        <v>0</v>
      </c>
      <c r="AC117" s="63">
        <f t="shared" si="87"/>
        <v>1000</v>
      </c>
      <c r="AD117" s="63">
        <f t="shared" si="87"/>
        <v>1000</v>
      </c>
      <c r="AE117" s="63">
        <f t="shared" si="88"/>
        <v>1000</v>
      </c>
      <c r="AF117" s="63">
        <f t="shared" si="89"/>
        <v>1000</v>
      </c>
      <c r="AG117" s="63"/>
      <c r="AH117" s="63"/>
      <c r="AI117" s="69"/>
      <c r="AJ117" s="19">
        <f t="shared" si="102"/>
        <v>0</v>
      </c>
      <c r="AK117" s="22">
        <f t="shared" si="111"/>
        <v>0</v>
      </c>
      <c r="AL117" s="22">
        <f t="shared" si="99"/>
        <v>0</v>
      </c>
      <c r="AM117" s="12">
        <f t="shared" si="90"/>
        <v>1</v>
      </c>
      <c r="AO117" s="12">
        <f t="shared" si="119"/>
        <v>0</v>
      </c>
      <c r="AP117" s="12">
        <f t="shared" si="120"/>
        <v>0</v>
      </c>
      <c r="AQ117" s="12">
        <f t="shared" si="92"/>
        <v>0</v>
      </c>
      <c r="AR117" s="12">
        <f t="shared" si="80"/>
        <v>0</v>
      </c>
      <c r="AS117" s="12">
        <f t="shared" si="93"/>
        <v>0</v>
      </c>
      <c r="AT117" s="12">
        <f t="shared" si="112"/>
        <v>0</v>
      </c>
      <c r="AU117" s="12">
        <f>IF(R117=0,0,1)</f>
        <v>0</v>
      </c>
      <c r="AV117" s="12">
        <f t="shared" si="113"/>
        <v>0</v>
      </c>
    </row>
    <row r="118" spans="1:48" ht="33" x14ac:dyDescent="0.25">
      <c r="A118" s="60">
        <v>46</v>
      </c>
      <c r="B118" s="91" t="s">
        <v>319</v>
      </c>
      <c r="C118" s="61" t="s">
        <v>99</v>
      </c>
      <c r="D118" s="61" t="s">
        <v>320</v>
      </c>
      <c r="E118" s="61" t="s">
        <v>290</v>
      </c>
      <c r="F118" s="61"/>
      <c r="G118" s="75">
        <v>1160</v>
      </c>
      <c r="H118" s="74">
        <f t="shared" si="114"/>
        <v>1160</v>
      </c>
      <c r="I118" s="63"/>
      <c r="J118" s="63"/>
      <c r="K118" s="63"/>
      <c r="L118" s="63"/>
      <c r="M118" s="68">
        <f t="shared" si="115"/>
        <v>1100</v>
      </c>
      <c r="N118" s="63">
        <v>1100</v>
      </c>
      <c r="O118" s="68"/>
      <c r="P118" s="63"/>
      <c r="Q118" s="68"/>
      <c r="R118" s="68">
        <f t="shared" si="127"/>
        <v>1100</v>
      </c>
      <c r="S118" s="68"/>
      <c r="T118" s="63"/>
      <c r="U118" s="63"/>
      <c r="V118" s="63"/>
      <c r="W118" s="63"/>
      <c r="X118" s="63"/>
      <c r="Y118" s="63"/>
      <c r="Z118" s="63"/>
      <c r="AA118" s="63">
        <f t="shared" si="86"/>
        <v>0</v>
      </c>
      <c r="AB118" s="63">
        <f t="shared" si="86"/>
        <v>0</v>
      </c>
      <c r="AC118" s="63">
        <f t="shared" si="87"/>
        <v>0</v>
      </c>
      <c r="AD118" s="63">
        <f t="shared" si="87"/>
        <v>0</v>
      </c>
      <c r="AE118" s="63">
        <f t="shared" si="88"/>
        <v>0</v>
      </c>
      <c r="AF118" s="63">
        <f t="shared" si="89"/>
        <v>0</v>
      </c>
      <c r="AG118" s="63"/>
      <c r="AH118" s="63"/>
      <c r="AI118" s="25" t="s">
        <v>284</v>
      </c>
      <c r="AJ118" s="19">
        <f t="shared" si="102"/>
        <v>1</v>
      </c>
      <c r="AK118" s="22">
        <f t="shared" si="111"/>
        <v>1</v>
      </c>
      <c r="AL118" s="22">
        <f t="shared" si="99"/>
        <v>1</v>
      </c>
      <c r="AM118" s="12">
        <f t="shared" si="90"/>
        <v>0</v>
      </c>
      <c r="AO118" s="12">
        <f t="shared" si="119"/>
        <v>1</v>
      </c>
      <c r="AP118" s="12">
        <f t="shared" si="120"/>
        <v>1100</v>
      </c>
      <c r="AQ118" s="12">
        <f t="shared" si="92"/>
        <v>0</v>
      </c>
      <c r="AR118" s="12">
        <f t="shared" si="80"/>
        <v>0</v>
      </c>
      <c r="AS118" s="12">
        <f t="shared" si="93"/>
        <v>0</v>
      </c>
      <c r="AT118" s="12">
        <f t="shared" si="112"/>
        <v>0</v>
      </c>
    </row>
    <row r="119" spans="1:48" ht="33" x14ac:dyDescent="0.25">
      <c r="A119" s="60">
        <v>47</v>
      </c>
      <c r="B119" s="91" t="s">
        <v>321</v>
      </c>
      <c r="C119" s="61" t="s">
        <v>205</v>
      </c>
      <c r="D119" s="61" t="s">
        <v>322</v>
      </c>
      <c r="E119" s="61" t="s">
        <v>290</v>
      </c>
      <c r="F119" s="61"/>
      <c r="G119" s="75">
        <v>3700</v>
      </c>
      <c r="H119" s="74">
        <f>G119</f>
        <v>3700</v>
      </c>
      <c r="I119" s="63"/>
      <c r="J119" s="63"/>
      <c r="K119" s="63"/>
      <c r="L119" s="63"/>
      <c r="M119" s="68">
        <f>N119</f>
        <v>3360</v>
      </c>
      <c r="N119" s="63">
        <v>3360</v>
      </c>
      <c r="O119" s="68"/>
      <c r="P119" s="63"/>
      <c r="Q119" s="68"/>
      <c r="R119" s="68">
        <f t="shared" si="127"/>
        <v>3360</v>
      </c>
      <c r="S119" s="68"/>
      <c r="T119" s="63"/>
      <c r="U119" s="63"/>
      <c r="V119" s="63"/>
      <c r="W119" s="63"/>
      <c r="X119" s="63"/>
      <c r="Y119" s="63"/>
      <c r="Z119" s="63"/>
      <c r="AA119" s="63">
        <f t="shared" si="86"/>
        <v>0</v>
      </c>
      <c r="AB119" s="63">
        <f t="shared" si="86"/>
        <v>0</v>
      </c>
      <c r="AC119" s="63">
        <f t="shared" si="87"/>
        <v>0</v>
      </c>
      <c r="AD119" s="63">
        <f t="shared" si="87"/>
        <v>0</v>
      </c>
      <c r="AE119" s="63">
        <f t="shared" si="88"/>
        <v>0</v>
      </c>
      <c r="AF119" s="63">
        <f t="shared" si="89"/>
        <v>0</v>
      </c>
      <c r="AG119" s="63"/>
      <c r="AH119" s="63"/>
      <c r="AI119" s="25" t="s">
        <v>284</v>
      </c>
      <c r="AJ119" s="19">
        <f t="shared" si="102"/>
        <v>1</v>
      </c>
      <c r="AK119" s="22">
        <f t="shared" si="111"/>
        <v>1</v>
      </c>
      <c r="AL119" s="22">
        <f t="shared" si="99"/>
        <v>1</v>
      </c>
      <c r="AM119" s="12">
        <f t="shared" si="90"/>
        <v>0</v>
      </c>
      <c r="AO119" s="12">
        <f t="shared" si="119"/>
        <v>1</v>
      </c>
      <c r="AP119" s="12">
        <f t="shared" si="120"/>
        <v>3360</v>
      </c>
      <c r="AQ119" s="12">
        <f t="shared" si="92"/>
        <v>0</v>
      </c>
      <c r="AR119" s="12">
        <f t="shared" si="80"/>
        <v>0</v>
      </c>
      <c r="AS119" s="12">
        <f t="shared" si="93"/>
        <v>0</v>
      </c>
      <c r="AT119" s="12">
        <f t="shared" si="112"/>
        <v>0</v>
      </c>
    </row>
    <row r="120" spans="1:48" ht="51" customHeight="1" x14ac:dyDescent="0.25">
      <c r="A120" s="60">
        <v>48</v>
      </c>
      <c r="B120" s="91" t="s">
        <v>323</v>
      </c>
      <c r="C120" s="61" t="s">
        <v>52</v>
      </c>
      <c r="D120" s="61" t="s">
        <v>322</v>
      </c>
      <c r="E120" s="61" t="s">
        <v>290</v>
      </c>
      <c r="F120" s="61"/>
      <c r="G120" s="75">
        <v>5000</v>
      </c>
      <c r="H120" s="74">
        <f t="shared" si="114"/>
        <v>5000</v>
      </c>
      <c r="I120" s="63"/>
      <c r="J120" s="63"/>
      <c r="K120" s="63"/>
      <c r="L120" s="63"/>
      <c r="M120" s="68">
        <v>4530</v>
      </c>
      <c r="N120" s="68">
        <v>4530</v>
      </c>
      <c r="O120" s="68">
        <v>4530</v>
      </c>
      <c r="P120" s="68">
        <v>4530</v>
      </c>
      <c r="Q120" s="68"/>
      <c r="R120" s="68">
        <f t="shared" si="127"/>
        <v>0</v>
      </c>
      <c r="S120" s="68">
        <v>4530</v>
      </c>
      <c r="T120" s="68">
        <v>4530</v>
      </c>
      <c r="U120" s="63"/>
      <c r="V120" s="63"/>
      <c r="W120" s="63"/>
      <c r="X120" s="63"/>
      <c r="Y120" s="63"/>
      <c r="Z120" s="63"/>
      <c r="AA120" s="63">
        <f t="shared" si="86"/>
        <v>0</v>
      </c>
      <c r="AB120" s="63">
        <f t="shared" si="86"/>
        <v>0</v>
      </c>
      <c r="AC120" s="63">
        <f t="shared" si="87"/>
        <v>4530</v>
      </c>
      <c r="AD120" s="63">
        <f t="shared" si="87"/>
        <v>4530</v>
      </c>
      <c r="AE120" s="63">
        <f t="shared" si="88"/>
        <v>4530</v>
      </c>
      <c r="AF120" s="63">
        <f t="shared" si="89"/>
        <v>4530</v>
      </c>
      <c r="AG120" s="63"/>
      <c r="AH120" s="63"/>
      <c r="AI120" s="69"/>
      <c r="AJ120" s="19">
        <f t="shared" si="102"/>
        <v>0</v>
      </c>
      <c r="AK120" s="22">
        <f t="shared" si="111"/>
        <v>0</v>
      </c>
      <c r="AL120" s="22">
        <f t="shared" si="99"/>
        <v>0</v>
      </c>
      <c r="AM120" s="12">
        <f t="shared" si="90"/>
        <v>1</v>
      </c>
      <c r="AO120" s="12">
        <f t="shared" si="119"/>
        <v>0</v>
      </c>
      <c r="AP120" s="12">
        <f t="shared" si="120"/>
        <v>0</v>
      </c>
      <c r="AQ120" s="12">
        <f t="shared" si="92"/>
        <v>0</v>
      </c>
      <c r="AR120" s="12">
        <f t="shared" si="80"/>
        <v>0</v>
      </c>
      <c r="AS120" s="12">
        <f t="shared" si="93"/>
        <v>0</v>
      </c>
      <c r="AT120" s="12">
        <f t="shared" si="112"/>
        <v>0</v>
      </c>
      <c r="AU120" s="12">
        <f>IF(R120=0,0,1)</f>
        <v>0</v>
      </c>
      <c r="AV120" s="12">
        <f t="shared" si="113"/>
        <v>0</v>
      </c>
    </row>
    <row r="121" spans="1:48" s="157" customFormat="1" ht="49.5" x14ac:dyDescent="0.25">
      <c r="A121" s="152">
        <v>49</v>
      </c>
      <c r="B121" s="337" t="s">
        <v>2128</v>
      </c>
      <c r="C121" s="1" t="s">
        <v>99</v>
      </c>
      <c r="D121" s="1" t="s">
        <v>324</v>
      </c>
      <c r="E121" s="1" t="s">
        <v>290</v>
      </c>
      <c r="F121" s="1" t="s">
        <v>2129</v>
      </c>
      <c r="G121" s="158">
        <f>H121</f>
        <v>3988</v>
      </c>
      <c r="H121" s="2">
        <v>3988</v>
      </c>
      <c r="I121" s="3"/>
      <c r="J121" s="3"/>
      <c r="K121" s="3"/>
      <c r="L121" s="3"/>
      <c r="M121" s="4"/>
      <c r="N121" s="4"/>
      <c r="O121" s="4">
        <f>P121</f>
        <v>1100</v>
      </c>
      <c r="P121" s="4">
        <v>1100</v>
      </c>
      <c r="Q121" s="4">
        <f t="shared" ref="Q121:Q123" si="130">T121-N121</f>
        <v>3500</v>
      </c>
      <c r="R121" s="4"/>
      <c r="S121" s="4">
        <f>T121</f>
        <v>3500</v>
      </c>
      <c r="T121" s="4">
        <v>3500</v>
      </c>
      <c r="U121" s="3"/>
      <c r="V121" s="3"/>
      <c r="W121" s="3"/>
      <c r="X121" s="3"/>
      <c r="Y121" s="3"/>
      <c r="Z121" s="3"/>
      <c r="AA121" s="3">
        <f t="shared" si="86"/>
        <v>0</v>
      </c>
      <c r="AB121" s="3">
        <f t="shared" si="86"/>
        <v>0</v>
      </c>
      <c r="AC121" s="3">
        <f t="shared" si="87"/>
        <v>1100</v>
      </c>
      <c r="AD121" s="3">
        <f t="shared" si="87"/>
        <v>1100</v>
      </c>
      <c r="AE121" s="3">
        <f t="shared" si="88"/>
        <v>1100</v>
      </c>
      <c r="AF121" s="3">
        <f t="shared" si="89"/>
        <v>1100</v>
      </c>
      <c r="AG121" s="3"/>
      <c r="AH121" s="3"/>
      <c r="AI121" s="334" t="s">
        <v>2082</v>
      </c>
      <c r="AJ121" s="801">
        <f t="shared" si="102"/>
        <v>1</v>
      </c>
      <c r="AK121" s="155">
        <f t="shared" si="111"/>
        <v>1</v>
      </c>
      <c r="AL121" s="22">
        <f t="shared" si="99"/>
        <v>0</v>
      </c>
      <c r="AM121" s="156">
        <f t="shared" si="90"/>
        <v>0</v>
      </c>
      <c r="AN121" s="156"/>
      <c r="AO121" s="156">
        <f t="shared" si="119"/>
        <v>0</v>
      </c>
      <c r="AP121" s="156">
        <f t="shared" si="120"/>
        <v>0</v>
      </c>
      <c r="AQ121" s="156">
        <f t="shared" si="92"/>
        <v>1</v>
      </c>
      <c r="AR121" s="156">
        <f t="shared" si="80"/>
        <v>1100</v>
      </c>
      <c r="AS121" s="156"/>
      <c r="AT121" s="156"/>
      <c r="AU121" s="156">
        <f>IF(R121=0,0,1)</f>
        <v>0</v>
      </c>
      <c r="AV121" s="156">
        <f t="shared" si="113"/>
        <v>0</v>
      </c>
    </row>
    <row r="122" spans="1:48" ht="49.5" x14ac:dyDescent="0.25">
      <c r="A122" s="60">
        <v>50</v>
      </c>
      <c r="B122" s="91" t="s">
        <v>325</v>
      </c>
      <c r="C122" s="61" t="s">
        <v>205</v>
      </c>
      <c r="D122" s="61" t="s">
        <v>326</v>
      </c>
      <c r="E122" s="61" t="s">
        <v>290</v>
      </c>
      <c r="F122" s="61"/>
      <c r="G122" s="75">
        <f t="shared" ref="G122:G123" si="131">H122</f>
        <v>10000</v>
      </c>
      <c r="H122" s="74">
        <v>10000</v>
      </c>
      <c r="I122" s="63"/>
      <c r="J122" s="63"/>
      <c r="K122" s="63"/>
      <c r="L122" s="63"/>
      <c r="M122" s="68"/>
      <c r="N122" s="68"/>
      <c r="O122" s="68">
        <f t="shared" ref="O122:O123" si="132">P122</f>
        <v>6150</v>
      </c>
      <c r="P122" s="68">
        <v>6150</v>
      </c>
      <c r="Q122" s="68">
        <f t="shared" si="130"/>
        <v>6150</v>
      </c>
      <c r="R122" s="68"/>
      <c r="S122" s="68">
        <f t="shared" ref="S122:S123" si="133">T122</f>
        <v>6150</v>
      </c>
      <c r="T122" s="68">
        <v>6150</v>
      </c>
      <c r="U122" s="63"/>
      <c r="V122" s="63"/>
      <c r="W122" s="63"/>
      <c r="X122" s="63"/>
      <c r="Y122" s="63"/>
      <c r="Z122" s="63"/>
      <c r="AA122" s="63">
        <f t="shared" si="86"/>
        <v>0</v>
      </c>
      <c r="AB122" s="63">
        <f t="shared" si="86"/>
        <v>0</v>
      </c>
      <c r="AC122" s="63">
        <f t="shared" si="87"/>
        <v>6150</v>
      </c>
      <c r="AD122" s="63">
        <f t="shared" si="87"/>
        <v>6150</v>
      </c>
      <c r="AE122" s="63">
        <f t="shared" si="88"/>
        <v>6150</v>
      </c>
      <c r="AF122" s="63">
        <f t="shared" si="89"/>
        <v>6150</v>
      </c>
      <c r="AG122" s="63"/>
      <c r="AH122" s="63"/>
      <c r="AI122" s="25" t="s">
        <v>84</v>
      </c>
      <c r="AJ122" s="19">
        <f t="shared" si="102"/>
        <v>1</v>
      </c>
      <c r="AK122" s="22">
        <f t="shared" si="111"/>
        <v>1</v>
      </c>
      <c r="AL122" s="22">
        <f t="shared" si="99"/>
        <v>0</v>
      </c>
      <c r="AM122" s="12">
        <f t="shared" si="90"/>
        <v>0</v>
      </c>
      <c r="AO122" s="12">
        <f t="shared" si="119"/>
        <v>0</v>
      </c>
      <c r="AP122" s="12">
        <f t="shared" si="120"/>
        <v>0</v>
      </c>
      <c r="AQ122" s="12">
        <f t="shared" si="92"/>
        <v>1</v>
      </c>
      <c r="AR122" s="12">
        <f t="shared" si="80"/>
        <v>6150</v>
      </c>
      <c r="AU122" s="12">
        <f>IF(R122=0,0,1)</f>
        <v>0</v>
      </c>
      <c r="AV122" s="12">
        <f t="shared" si="113"/>
        <v>0</v>
      </c>
    </row>
    <row r="123" spans="1:48" ht="36" customHeight="1" x14ac:dyDescent="0.25">
      <c r="A123" s="60">
        <v>51</v>
      </c>
      <c r="B123" s="91" t="s">
        <v>327</v>
      </c>
      <c r="C123" s="61" t="s">
        <v>146</v>
      </c>
      <c r="D123" s="61" t="s">
        <v>328</v>
      </c>
      <c r="E123" s="61" t="s">
        <v>290</v>
      </c>
      <c r="F123" s="61"/>
      <c r="G123" s="75">
        <f t="shared" si="131"/>
        <v>12000</v>
      </c>
      <c r="H123" s="74">
        <v>12000</v>
      </c>
      <c r="I123" s="63"/>
      <c r="J123" s="63"/>
      <c r="K123" s="63"/>
      <c r="L123" s="63"/>
      <c r="M123" s="68"/>
      <c r="N123" s="68"/>
      <c r="O123" s="68">
        <f t="shared" si="132"/>
        <v>9000</v>
      </c>
      <c r="P123" s="68">
        <v>9000</v>
      </c>
      <c r="Q123" s="68">
        <f t="shared" si="130"/>
        <v>9000</v>
      </c>
      <c r="R123" s="68"/>
      <c r="S123" s="68">
        <f t="shared" si="133"/>
        <v>9000</v>
      </c>
      <c r="T123" s="68">
        <v>9000</v>
      </c>
      <c r="U123" s="63"/>
      <c r="V123" s="63"/>
      <c r="W123" s="63"/>
      <c r="X123" s="63"/>
      <c r="Y123" s="63"/>
      <c r="Z123" s="63"/>
      <c r="AA123" s="63">
        <f t="shared" si="86"/>
        <v>0</v>
      </c>
      <c r="AB123" s="63">
        <f t="shared" si="86"/>
        <v>0</v>
      </c>
      <c r="AC123" s="63">
        <f t="shared" si="87"/>
        <v>9000</v>
      </c>
      <c r="AD123" s="63">
        <f t="shared" si="87"/>
        <v>9000</v>
      </c>
      <c r="AE123" s="63">
        <f t="shared" si="88"/>
        <v>9000</v>
      </c>
      <c r="AF123" s="63">
        <f t="shared" si="89"/>
        <v>9000</v>
      </c>
      <c r="AG123" s="63"/>
      <c r="AH123" s="63"/>
      <c r="AI123" s="25" t="s">
        <v>84</v>
      </c>
      <c r="AJ123" s="19">
        <f t="shared" si="102"/>
        <v>1</v>
      </c>
      <c r="AK123" s="22">
        <f t="shared" si="111"/>
        <v>1</v>
      </c>
      <c r="AL123" s="22">
        <f t="shared" si="99"/>
        <v>0</v>
      </c>
      <c r="AM123" s="12">
        <f t="shared" si="90"/>
        <v>0</v>
      </c>
      <c r="AO123" s="12">
        <f t="shared" si="119"/>
        <v>0</v>
      </c>
      <c r="AP123" s="12">
        <f t="shared" si="120"/>
        <v>0</v>
      </c>
      <c r="AQ123" s="12">
        <f t="shared" si="92"/>
        <v>1</v>
      </c>
      <c r="AR123" s="12">
        <f t="shared" si="80"/>
        <v>9000</v>
      </c>
      <c r="AU123" s="12">
        <f>IF(R123=0,0,1)</f>
        <v>0</v>
      </c>
      <c r="AV123" s="12">
        <f t="shared" si="113"/>
        <v>0</v>
      </c>
    </row>
    <row r="124" spans="1:48" s="49" customFormat="1" ht="46.5" customHeight="1" x14ac:dyDescent="0.25">
      <c r="A124" s="93" t="s">
        <v>47</v>
      </c>
      <c r="B124" s="44" t="s">
        <v>138</v>
      </c>
      <c r="C124" s="45"/>
      <c r="D124" s="45"/>
      <c r="E124" s="45"/>
      <c r="F124" s="45"/>
      <c r="G124" s="46">
        <f>G125</f>
        <v>54258</v>
      </c>
      <c r="H124" s="46">
        <f>H125</f>
        <v>54258</v>
      </c>
      <c r="I124" s="46"/>
      <c r="J124" s="46"/>
      <c r="K124" s="46"/>
      <c r="L124" s="46"/>
      <c r="M124" s="46">
        <f>M125</f>
        <v>15130</v>
      </c>
      <c r="N124" s="46">
        <f>N125</f>
        <v>15130</v>
      </c>
      <c r="O124" s="46">
        <f t="shared" ref="O124:R124" si="134">O125</f>
        <v>20588</v>
      </c>
      <c r="P124" s="46">
        <f t="shared" si="134"/>
        <v>20588</v>
      </c>
      <c r="Q124" s="46">
        <f t="shared" si="134"/>
        <v>5458</v>
      </c>
      <c r="R124" s="46">
        <f t="shared" si="134"/>
        <v>0</v>
      </c>
      <c r="S124" s="46">
        <f>S125</f>
        <v>20588</v>
      </c>
      <c r="T124" s="46">
        <f>T125</f>
        <v>20588</v>
      </c>
      <c r="U124" s="46"/>
      <c r="V124" s="46"/>
      <c r="W124" s="46"/>
      <c r="X124" s="46"/>
      <c r="Y124" s="46"/>
      <c r="Z124" s="46"/>
      <c r="AA124" s="46"/>
      <c r="AB124" s="46"/>
      <c r="AC124" s="46"/>
      <c r="AD124" s="46"/>
      <c r="AE124" s="46"/>
      <c r="AF124" s="46"/>
      <c r="AG124" s="46">
        <f>AG125</f>
        <v>28244.200000000004</v>
      </c>
      <c r="AH124" s="46">
        <f>AH125</f>
        <v>28244.200000000004</v>
      </c>
      <c r="AI124" s="47"/>
      <c r="AJ124" s="19">
        <f t="shared" si="102"/>
        <v>1</v>
      </c>
      <c r="AK124" s="22"/>
      <c r="AL124" s="22">
        <f>SUM(AL76:AL123)</f>
        <v>13</v>
      </c>
      <c r="AM124" s="12"/>
      <c r="AN124" s="12"/>
      <c r="AO124" s="12"/>
      <c r="AP124" s="12">
        <f t="shared" si="120"/>
        <v>0</v>
      </c>
      <c r="AQ124" s="12"/>
      <c r="AR124" s="12">
        <f t="shared" si="80"/>
        <v>0</v>
      </c>
      <c r="AS124" s="12"/>
      <c r="AT124" s="12">
        <f t="shared" si="112"/>
        <v>0</v>
      </c>
      <c r="AU124" s="12"/>
      <c r="AV124" s="12">
        <f t="shared" si="113"/>
        <v>0</v>
      </c>
    </row>
    <row r="125" spans="1:48" ht="45" customHeight="1" x14ac:dyDescent="0.25">
      <c r="A125" s="60">
        <v>52</v>
      </c>
      <c r="B125" s="91" t="s">
        <v>329</v>
      </c>
      <c r="C125" s="61" t="s">
        <v>330</v>
      </c>
      <c r="D125" s="61" t="s">
        <v>331</v>
      </c>
      <c r="E125" s="61" t="s">
        <v>332</v>
      </c>
      <c r="F125" s="61"/>
      <c r="G125" s="75">
        <v>54258</v>
      </c>
      <c r="H125" s="74">
        <f>G125</f>
        <v>54258</v>
      </c>
      <c r="I125" s="63"/>
      <c r="J125" s="63"/>
      <c r="K125" s="63"/>
      <c r="L125" s="63"/>
      <c r="M125" s="68">
        <f>N125</f>
        <v>15130</v>
      </c>
      <c r="N125" s="68">
        <f>20950+4500-4050-870-5400</f>
        <v>15130</v>
      </c>
      <c r="O125" s="68">
        <f>P125</f>
        <v>20588</v>
      </c>
      <c r="P125" s="68">
        <f>20535+53</f>
        <v>20588</v>
      </c>
      <c r="Q125" s="68">
        <f t="shared" ref="Q125" si="135">T125-N125</f>
        <v>5458</v>
      </c>
      <c r="R125" s="54"/>
      <c r="S125" s="68">
        <f>T125</f>
        <v>20588</v>
      </c>
      <c r="T125" s="68">
        <f>20535+53</f>
        <v>20588</v>
      </c>
      <c r="U125" s="58"/>
      <c r="V125" s="58"/>
      <c r="W125" s="58"/>
      <c r="X125" s="58"/>
      <c r="Y125" s="58"/>
      <c r="Z125" s="58"/>
      <c r="AA125" s="58"/>
      <c r="AB125" s="58"/>
      <c r="AC125" s="58"/>
      <c r="AD125" s="58"/>
      <c r="AE125" s="58"/>
      <c r="AF125" s="58"/>
      <c r="AG125" s="54">
        <f>G125*0.9-O125</f>
        <v>28244.200000000004</v>
      </c>
      <c r="AH125" s="54">
        <f>H125*0.9-P125</f>
        <v>28244.200000000004</v>
      </c>
      <c r="AI125" s="69"/>
      <c r="AJ125" s="19">
        <f t="shared" si="102"/>
        <v>1</v>
      </c>
      <c r="AK125" s="22">
        <f t="shared" si="111"/>
        <v>1</v>
      </c>
      <c r="AL125" s="22">
        <f>51-13-3</f>
        <v>35</v>
      </c>
      <c r="AM125" s="12">
        <f>IF(AJ125=0,1,0)</f>
        <v>0</v>
      </c>
      <c r="AO125" s="12">
        <f>IF(P125=0,1,0)</f>
        <v>0</v>
      </c>
      <c r="AP125" s="12">
        <f t="shared" si="120"/>
        <v>0</v>
      </c>
      <c r="AQ125" s="12">
        <f>IF(N125=0,1,0)</f>
        <v>0</v>
      </c>
      <c r="AR125" s="12">
        <f t="shared" si="80"/>
        <v>0</v>
      </c>
      <c r="AS125" s="12">
        <f>IF(Q125=0,0,1)</f>
        <v>1</v>
      </c>
      <c r="AT125" s="12">
        <f t="shared" si="112"/>
        <v>5458</v>
      </c>
      <c r="AU125" s="12">
        <f>IF(R125=0,0,1)</f>
        <v>0</v>
      </c>
      <c r="AV125" s="12">
        <f t="shared" si="113"/>
        <v>0</v>
      </c>
    </row>
    <row r="126" spans="1:48" s="34" customFormat="1" ht="30.75" customHeight="1" x14ac:dyDescent="0.25">
      <c r="A126" s="28" t="s">
        <v>333</v>
      </c>
      <c r="B126" s="29" t="s">
        <v>334</v>
      </c>
      <c r="C126" s="30"/>
      <c r="D126" s="30"/>
      <c r="E126" s="30"/>
      <c r="F126" s="30"/>
      <c r="G126" s="31">
        <f>G127+G138</f>
        <v>1341207</v>
      </c>
      <c r="H126" s="31">
        <f t="shared" ref="H126:T126" si="136">H127+H138</f>
        <v>1136616</v>
      </c>
      <c r="I126" s="31">
        <f t="shared" si="136"/>
        <v>350090</v>
      </c>
      <c r="J126" s="31">
        <f t="shared" si="136"/>
        <v>350090</v>
      </c>
      <c r="K126" s="31">
        <f t="shared" si="136"/>
        <v>341390</v>
      </c>
      <c r="L126" s="31">
        <f t="shared" si="136"/>
        <v>341390</v>
      </c>
      <c r="M126" s="31">
        <f t="shared" si="136"/>
        <v>640259</v>
      </c>
      <c r="N126" s="31">
        <f t="shared" si="136"/>
        <v>510000</v>
      </c>
      <c r="O126" s="31">
        <f t="shared" si="136"/>
        <v>630120</v>
      </c>
      <c r="P126" s="31">
        <f t="shared" si="136"/>
        <v>607920</v>
      </c>
      <c r="Q126" s="31">
        <f t="shared" si="136"/>
        <v>74370</v>
      </c>
      <c r="R126" s="31">
        <f t="shared" si="136"/>
        <v>1450</v>
      </c>
      <c r="S126" s="31">
        <f t="shared" si="136"/>
        <v>605120</v>
      </c>
      <c r="T126" s="31">
        <f t="shared" si="136"/>
        <v>582920</v>
      </c>
      <c r="U126" s="31">
        <f t="shared" ref="U126:AH126" si="137">U127+U138</f>
        <v>155645</v>
      </c>
      <c r="V126" s="31">
        <f t="shared" si="137"/>
        <v>155645</v>
      </c>
      <c r="W126" s="31">
        <f t="shared" si="137"/>
        <v>69581</v>
      </c>
      <c r="X126" s="31">
        <f t="shared" si="137"/>
        <v>69581</v>
      </c>
      <c r="Y126" s="31">
        <f t="shared" si="137"/>
        <v>32335</v>
      </c>
      <c r="Z126" s="31">
        <f t="shared" si="137"/>
        <v>28635</v>
      </c>
      <c r="AA126" s="31">
        <f t="shared" si="137"/>
        <v>257561</v>
      </c>
      <c r="AB126" s="31">
        <f t="shared" si="137"/>
        <v>253861</v>
      </c>
      <c r="AC126" s="31">
        <f t="shared" si="137"/>
        <v>255008</v>
      </c>
      <c r="AD126" s="31">
        <f t="shared" si="137"/>
        <v>258708</v>
      </c>
      <c r="AE126" s="31">
        <f t="shared" si="137"/>
        <v>232850</v>
      </c>
      <c r="AF126" s="31">
        <f t="shared" si="137"/>
        <v>232850</v>
      </c>
      <c r="AG126" s="31">
        <f t="shared" si="137"/>
        <v>-10648.899999999994</v>
      </c>
      <c r="AH126" s="31">
        <f t="shared" si="137"/>
        <v>-10648.899999999994</v>
      </c>
      <c r="AI126" s="32"/>
      <c r="AJ126" s="19">
        <f t="shared" si="102"/>
        <v>1</v>
      </c>
      <c r="AK126" s="22"/>
      <c r="AL126" s="22"/>
      <c r="AM126" s="92"/>
      <c r="AN126" s="12"/>
      <c r="AO126" s="12"/>
      <c r="AP126" s="12">
        <f t="shared" si="120"/>
        <v>0</v>
      </c>
      <c r="AQ126" s="12"/>
      <c r="AR126" s="12">
        <f t="shared" si="80"/>
        <v>0</v>
      </c>
      <c r="AS126" s="12"/>
      <c r="AT126" s="12">
        <f t="shared" si="112"/>
        <v>0</v>
      </c>
      <c r="AU126" s="12"/>
      <c r="AV126" s="12">
        <f t="shared" si="113"/>
        <v>0</v>
      </c>
    </row>
    <row r="127" spans="1:48" s="42" customFormat="1" ht="51.75" x14ac:dyDescent="0.25">
      <c r="A127" s="35" t="s">
        <v>45</v>
      </c>
      <c r="B127" s="36" t="s">
        <v>46</v>
      </c>
      <c r="C127" s="37"/>
      <c r="D127" s="37"/>
      <c r="E127" s="37"/>
      <c r="F127" s="37"/>
      <c r="G127" s="38">
        <f>G128</f>
        <v>797014</v>
      </c>
      <c r="H127" s="38">
        <f t="shared" ref="H127:AH127" si="138">H128</f>
        <v>665601</v>
      </c>
      <c r="I127" s="38">
        <f t="shared" si="138"/>
        <v>350090</v>
      </c>
      <c r="J127" s="38">
        <f t="shared" si="138"/>
        <v>350090</v>
      </c>
      <c r="K127" s="38">
        <f t="shared" si="138"/>
        <v>341390</v>
      </c>
      <c r="L127" s="38">
        <f t="shared" si="138"/>
        <v>341390</v>
      </c>
      <c r="M127" s="38">
        <f t="shared" si="138"/>
        <v>295529</v>
      </c>
      <c r="N127" s="38">
        <f t="shared" si="138"/>
        <v>165270</v>
      </c>
      <c r="O127" s="38">
        <f t="shared" si="138"/>
        <v>165270</v>
      </c>
      <c r="P127" s="38">
        <f t="shared" si="138"/>
        <v>165270</v>
      </c>
      <c r="Q127" s="38">
        <f t="shared" si="138"/>
        <v>0</v>
      </c>
      <c r="R127" s="38">
        <f t="shared" si="138"/>
        <v>0</v>
      </c>
      <c r="S127" s="38">
        <f t="shared" si="138"/>
        <v>165270</v>
      </c>
      <c r="T127" s="38">
        <f t="shared" si="138"/>
        <v>165270</v>
      </c>
      <c r="U127" s="38">
        <f t="shared" si="138"/>
        <v>118645</v>
      </c>
      <c r="V127" s="38">
        <f t="shared" si="138"/>
        <v>118645</v>
      </c>
      <c r="W127" s="38">
        <f t="shared" si="138"/>
        <v>35950</v>
      </c>
      <c r="X127" s="38">
        <f t="shared" si="138"/>
        <v>35950</v>
      </c>
      <c r="Y127" s="38">
        <f t="shared" si="138"/>
        <v>1700</v>
      </c>
      <c r="Z127" s="38">
        <f t="shared" si="138"/>
        <v>1700</v>
      </c>
      <c r="AA127" s="38">
        <f t="shared" si="138"/>
        <v>156295</v>
      </c>
      <c r="AB127" s="38">
        <f t="shared" si="138"/>
        <v>156295</v>
      </c>
      <c r="AC127" s="38">
        <f t="shared" si="138"/>
        <v>15074</v>
      </c>
      <c r="AD127" s="38">
        <f t="shared" si="138"/>
        <v>15074</v>
      </c>
      <c r="AE127" s="38">
        <f t="shared" si="138"/>
        <v>0</v>
      </c>
      <c r="AF127" s="38">
        <f t="shared" si="138"/>
        <v>0</v>
      </c>
      <c r="AG127" s="38">
        <f t="shared" si="138"/>
        <v>0</v>
      </c>
      <c r="AH127" s="38">
        <f t="shared" si="138"/>
        <v>0</v>
      </c>
      <c r="AI127" s="40"/>
      <c r="AJ127" s="19">
        <f t="shared" si="102"/>
        <v>0</v>
      </c>
      <c r="AK127" s="22"/>
      <c r="AL127" s="22"/>
      <c r="AM127" s="12"/>
      <c r="AN127" s="12"/>
      <c r="AO127" s="12"/>
      <c r="AP127" s="12">
        <f t="shared" si="120"/>
        <v>0</v>
      </c>
      <c r="AQ127" s="12"/>
      <c r="AR127" s="12">
        <f t="shared" si="80"/>
        <v>0</v>
      </c>
      <c r="AS127" s="12"/>
      <c r="AT127" s="12">
        <f t="shared" si="112"/>
        <v>0</v>
      </c>
      <c r="AU127" s="12"/>
      <c r="AV127" s="12">
        <f t="shared" si="113"/>
        <v>0</v>
      </c>
    </row>
    <row r="128" spans="1:48" s="49" customFormat="1" ht="34.5" x14ac:dyDescent="0.25">
      <c r="A128" s="43" t="s">
        <v>47</v>
      </c>
      <c r="B128" s="44" t="s">
        <v>48</v>
      </c>
      <c r="C128" s="45"/>
      <c r="D128" s="45"/>
      <c r="E128" s="45"/>
      <c r="F128" s="45"/>
      <c r="G128" s="46">
        <f>SUM(G131:G137)</f>
        <v>797014</v>
      </c>
      <c r="H128" s="46">
        <f t="shared" ref="H128:T128" si="139">SUM(H131:H137)</f>
        <v>665601</v>
      </c>
      <c r="I128" s="46">
        <f t="shared" si="139"/>
        <v>350090</v>
      </c>
      <c r="J128" s="46">
        <f t="shared" si="139"/>
        <v>350090</v>
      </c>
      <c r="K128" s="46">
        <f t="shared" si="139"/>
        <v>341390</v>
      </c>
      <c r="L128" s="46">
        <f t="shared" si="139"/>
        <v>341390</v>
      </c>
      <c r="M128" s="46">
        <f t="shared" si="139"/>
        <v>295529</v>
      </c>
      <c r="N128" s="46">
        <f t="shared" si="139"/>
        <v>165270</v>
      </c>
      <c r="O128" s="46">
        <f t="shared" si="139"/>
        <v>165270</v>
      </c>
      <c r="P128" s="46">
        <f t="shared" si="139"/>
        <v>165270</v>
      </c>
      <c r="Q128" s="46">
        <f t="shared" si="139"/>
        <v>0</v>
      </c>
      <c r="R128" s="46">
        <f t="shared" si="139"/>
        <v>0</v>
      </c>
      <c r="S128" s="46">
        <f t="shared" si="139"/>
        <v>165270</v>
      </c>
      <c r="T128" s="46">
        <f t="shared" si="139"/>
        <v>165270</v>
      </c>
      <c r="U128" s="46">
        <f t="shared" ref="U128:AH128" si="140">SUM(U131:U137)</f>
        <v>118645</v>
      </c>
      <c r="V128" s="46">
        <f t="shared" si="140"/>
        <v>118645</v>
      </c>
      <c r="W128" s="46">
        <f t="shared" si="140"/>
        <v>35950</v>
      </c>
      <c r="X128" s="46">
        <f t="shared" si="140"/>
        <v>35950</v>
      </c>
      <c r="Y128" s="46">
        <f t="shared" si="140"/>
        <v>1700</v>
      </c>
      <c r="Z128" s="46">
        <f t="shared" si="140"/>
        <v>1700</v>
      </c>
      <c r="AA128" s="46">
        <f t="shared" si="140"/>
        <v>156295</v>
      </c>
      <c r="AB128" s="46">
        <f t="shared" si="140"/>
        <v>156295</v>
      </c>
      <c r="AC128" s="46">
        <f t="shared" si="140"/>
        <v>15074</v>
      </c>
      <c r="AD128" s="46">
        <f t="shared" si="140"/>
        <v>15074</v>
      </c>
      <c r="AE128" s="46">
        <f t="shared" si="140"/>
        <v>0</v>
      </c>
      <c r="AF128" s="46">
        <f t="shared" si="140"/>
        <v>0</v>
      </c>
      <c r="AG128" s="46">
        <f t="shared" si="140"/>
        <v>0</v>
      </c>
      <c r="AH128" s="46">
        <f t="shared" si="140"/>
        <v>0</v>
      </c>
      <c r="AI128" s="47"/>
      <c r="AJ128" s="19">
        <f t="shared" si="102"/>
        <v>0</v>
      </c>
      <c r="AK128" s="22"/>
      <c r="AL128" s="22"/>
      <c r="AM128" s="12"/>
      <c r="AN128" s="12"/>
      <c r="AO128" s="12"/>
      <c r="AP128" s="12">
        <f t="shared" si="120"/>
        <v>0</v>
      </c>
      <c r="AQ128" s="12"/>
      <c r="AR128" s="12">
        <f t="shared" si="80"/>
        <v>0</v>
      </c>
      <c r="AS128" s="12"/>
      <c r="AT128" s="12">
        <f t="shared" si="112"/>
        <v>0</v>
      </c>
      <c r="AU128" s="12"/>
      <c r="AV128" s="12">
        <f t="shared" si="113"/>
        <v>0</v>
      </c>
    </row>
    <row r="129" spans="1:48" ht="17.25" x14ac:dyDescent="0.25">
      <c r="A129" s="50"/>
      <c r="B129" s="51" t="s">
        <v>49</v>
      </c>
      <c r="C129" s="52"/>
      <c r="D129" s="52"/>
      <c r="E129" s="52"/>
      <c r="F129" s="52"/>
      <c r="G129" s="53"/>
      <c r="H129" s="53"/>
      <c r="I129" s="53"/>
      <c r="J129" s="53"/>
      <c r="K129" s="53"/>
      <c r="L129" s="53"/>
      <c r="M129" s="53"/>
      <c r="N129" s="53"/>
      <c r="O129" s="53"/>
      <c r="P129" s="53"/>
      <c r="Q129" s="54"/>
      <c r="R129" s="54"/>
      <c r="S129" s="53"/>
      <c r="T129" s="53"/>
      <c r="U129" s="63"/>
      <c r="V129" s="63"/>
      <c r="W129" s="68"/>
      <c r="X129" s="68"/>
      <c r="Y129" s="68"/>
      <c r="Z129" s="68"/>
      <c r="AA129" s="68"/>
      <c r="AB129" s="68"/>
      <c r="AC129" s="68"/>
      <c r="AD129" s="68"/>
      <c r="AE129" s="68"/>
      <c r="AF129" s="68"/>
      <c r="AG129" s="68"/>
      <c r="AH129" s="68"/>
      <c r="AI129" s="55"/>
      <c r="AJ129" s="19">
        <f t="shared" si="102"/>
        <v>0</v>
      </c>
      <c r="AK129" s="22"/>
      <c r="AL129" s="22"/>
      <c r="AP129" s="12">
        <f t="shared" si="120"/>
        <v>0</v>
      </c>
      <c r="AR129" s="12">
        <f t="shared" si="80"/>
        <v>0</v>
      </c>
      <c r="AT129" s="12">
        <f t="shared" si="112"/>
        <v>0</v>
      </c>
      <c r="AV129" s="12">
        <f t="shared" si="113"/>
        <v>0</v>
      </c>
    </row>
    <row r="130" spans="1:48" ht="51.75" x14ac:dyDescent="0.25">
      <c r="A130" s="50"/>
      <c r="B130" s="56" t="s">
        <v>50</v>
      </c>
      <c r="C130" s="57"/>
      <c r="D130" s="57"/>
      <c r="E130" s="57"/>
      <c r="F130" s="57"/>
      <c r="G130" s="58"/>
      <c r="H130" s="58"/>
      <c r="I130" s="58"/>
      <c r="J130" s="58"/>
      <c r="K130" s="58"/>
      <c r="L130" s="58"/>
      <c r="M130" s="58"/>
      <c r="N130" s="58"/>
      <c r="O130" s="58"/>
      <c r="P130" s="58"/>
      <c r="Q130" s="54"/>
      <c r="R130" s="54"/>
      <c r="S130" s="58"/>
      <c r="T130" s="58"/>
      <c r="U130" s="63"/>
      <c r="V130" s="63"/>
      <c r="W130" s="63"/>
      <c r="X130" s="63"/>
      <c r="Y130" s="63"/>
      <c r="Z130" s="63"/>
      <c r="AA130" s="63"/>
      <c r="AB130" s="63"/>
      <c r="AC130" s="63"/>
      <c r="AD130" s="63"/>
      <c r="AE130" s="63"/>
      <c r="AF130" s="63"/>
      <c r="AG130" s="63"/>
      <c r="AH130" s="63"/>
      <c r="AI130" s="59"/>
      <c r="AJ130" s="19">
        <f t="shared" si="102"/>
        <v>0</v>
      </c>
      <c r="AK130" s="22"/>
      <c r="AL130" s="22"/>
      <c r="AP130" s="12">
        <f t="shared" si="120"/>
        <v>0</v>
      </c>
      <c r="AR130" s="12">
        <f t="shared" si="80"/>
        <v>0</v>
      </c>
      <c r="AT130" s="12">
        <f t="shared" si="112"/>
        <v>0</v>
      </c>
      <c r="AV130" s="12">
        <f t="shared" si="113"/>
        <v>0</v>
      </c>
    </row>
    <row r="131" spans="1:48" ht="49.5" x14ac:dyDescent="0.25">
      <c r="A131" s="60">
        <v>1</v>
      </c>
      <c r="B131" s="9" t="s">
        <v>335</v>
      </c>
      <c r="C131" s="61" t="s">
        <v>336</v>
      </c>
      <c r="D131" s="61" t="s">
        <v>337</v>
      </c>
      <c r="E131" s="61" t="s">
        <v>338</v>
      </c>
      <c r="F131" s="61" t="s">
        <v>339</v>
      </c>
      <c r="G131" s="68">
        <v>279000</v>
      </c>
      <c r="H131" s="74">
        <f>G131</f>
        <v>279000</v>
      </c>
      <c r="I131" s="63">
        <f>J131</f>
        <v>102000</v>
      </c>
      <c r="J131" s="63">
        <v>102000</v>
      </c>
      <c r="K131" s="63">
        <f>L131</f>
        <v>102000</v>
      </c>
      <c r="L131" s="63">
        <v>102000</v>
      </c>
      <c r="M131" s="68">
        <f>N131</f>
        <v>72000</v>
      </c>
      <c r="N131" s="63">
        <v>72000</v>
      </c>
      <c r="O131" s="68">
        <f>P131</f>
        <v>72000</v>
      </c>
      <c r="P131" s="63">
        <v>72000</v>
      </c>
      <c r="Q131" s="54"/>
      <c r="R131" s="54">
        <f t="shared" ref="R131:R137" si="141">N131-T131</f>
        <v>0</v>
      </c>
      <c r="S131" s="68">
        <f>T131</f>
        <v>72000</v>
      </c>
      <c r="T131" s="63">
        <v>72000</v>
      </c>
      <c r="U131" s="63">
        <v>53146</v>
      </c>
      <c r="V131" s="63">
        <v>53146</v>
      </c>
      <c r="W131" s="63">
        <f>X131</f>
        <v>15500</v>
      </c>
      <c r="X131" s="63">
        <v>15500</v>
      </c>
      <c r="Y131" s="63"/>
      <c r="Z131" s="63"/>
      <c r="AA131" s="63">
        <f t="shared" ref="AA131:AB137" si="142">U131+W131+Y131</f>
        <v>68646</v>
      </c>
      <c r="AB131" s="63">
        <f t="shared" si="142"/>
        <v>68646</v>
      </c>
      <c r="AC131" s="63">
        <f>O131-AA131</f>
        <v>3354</v>
      </c>
      <c r="AD131" s="63">
        <f>P131-AB131</f>
        <v>3354</v>
      </c>
      <c r="AE131" s="63">
        <f t="shared" ref="AE131:AE137" si="143">AF131</f>
        <v>0</v>
      </c>
      <c r="AF131" s="63">
        <f t="shared" ref="AF131:AF137" si="144">IF(AB131=0,AD131,0)</f>
        <v>0</v>
      </c>
      <c r="AG131" s="63"/>
      <c r="AH131" s="63"/>
      <c r="AI131" s="69"/>
      <c r="AJ131" s="19">
        <f t="shared" si="102"/>
        <v>0</v>
      </c>
      <c r="AK131" s="22">
        <f t="shared" si="111"/>
        <v>0</v>
      </c>
      <c r="AL131" s="22"/>
      <c r="AM131" s="12">
        <f t="shared" ref="AM131:AM137" si="145">IF(AJ131=0,1,0)</f>
        <v>1</v>
      </c>
      <c r="AO131" s="12">
        <f t="shared" ref="AO131:AO137" si="146">IF(P131=0,1,0)</f>
        <v>0</v>
      </c>
      <c r="AP131" s="12">
        <f t="shared" si="120"/>
        <v>0</v>
      </c>
      <c r="AQ131" s="12">
        <f t="shared" ref="AQ131:AQ137" si="147">IF(N131=0,1,0)</f>
        <v>0</v>
      </c>
      <c r="AR131" s="12">
        <f t="shared" si="80"/>
        <v>0</v>
      </c>
      <c r="AS131" s="12">
        <f t="shared" ref="AS131:AS137" si="148">IF(Q131=0,0,1)</f>
        <v>0</v>
      </c>
      <c r="AT131" s="12">
        <f t="shared" si="112"/>
        <v>0</v>
      </c>
      <c r="AU131" s="12">
        <f t="shared" ref="AU131:AU137" si="149">IF(R131=0,0,1)</f>
        <v>0</v>
      </c>
      <c r="AV131" s="12">
        <f t="shared" si="113"/>
        <v>0</v>
      </c>
    </row>
    <row r="132" spans="1:48" ht="49.5" x14ac:dyDescent="0.25">
      <c r="A132" s="60">
        <v>2</v>
      </c>
      <c r="B132" s="9" t="s">
        <v>340</v>
      </c>
      <c r="C132" s="61" t="s">
        <v>341</v>
      </c>
      <c r="D132" s="61" t="s">
        <v>342</v>
      </c>
      <c r="E132" s="61" t="s">
        <v>338</v>
      </c>
      <c r="F132" s="61" t="s">
        <v>343</v>
      </c>
      <c r="G132" s="68">
        <v>97718</v>
      </c>
      <c r="H132" s="74">
        <f t="shared" ref="H132:H137" si="150">G132</f>
        <v>97718</v>
      </c>
      <c r="I132" s="63">
        <f t="shared" ref="I132:K137" si="151">J132</f>
        <v>45000</v>
      </c>
      <c r="J132" s="63">
        <v>45000</v>
      </c>
      <c r="K132" s="63">
        <f t="shared" si="151"/>
        <v>45000</v>
      </c>
      <c r="L132" s="63">
        <v>45000</v>
      </c>
      <c r="M132" s="68">
        <f t="shared" ref="M132:M137" si="152">N132</f>
        <v>33600</v>
      </c>
      <c r="N132" s="63">
        <v>33600</v>
      </c>
      <c r="O132" s="68">
        <f t="shared" ref="O132:O137" si="153">P132</f>
        <v>33600</v>
      </c>
      <c r="P132" s="63">
        <v>33600</v>
      </c>
      <c r="Q132" s="54"/>
      <c r="R132" s="54">
        <f t="shared" si="141"/>
        <v>0</v>
      </c>
      <c r="S132" s="68">
        <f t="shared" ref="S132:S133" si="154">T132</f>
        <v>33600</v>
      </c>
      <c r="T132" s="63">
        <v>33600</v>
      </c>
      <c r="U132" s="63">
        <v>27000</v>
      </c>
      <c r="V132" s="63">
        <v>27000</v>
      </c>
      <c r="W132" s="63"/>
      <c r="X132" s="63"/>
      <c r="Y132" s="63"/>
      <c r="Z132" s="63"/>
      <c r="AA132" s="63">
        <f t="shared" si="142"/>
        <v>27000</v>
      </c>
      <c r="AB132" s="63">
        <f t="shared" si="142"/>
        <v>27000</v>
      </c>
      <c r="AC132" s="63">
        <f>O132-AA132</f>
        <v>6600</v>
      </c>
      <c r="AD132" s="63">
        <f>P132-AB132</f>
        <v>6600</v>
      </c>
      <c r="AE132" s="63">
        <f t="shared" si="143"/>
        <v>0</v>
      </c>
      <c r="AF132" s="63">
        <f t="shared" si="144"/>
        <v>0</v>
      </c>
      <c r="AG132" s="63"/>
      <c r="AH132" s="63"/>
      <c r="AI132" s="69"/>
      <c r="AJ132" s="19">
        <f t="shared" si="102"/>
        <v>0</v>
      </c>
      <c r="AK132" s="22">
        <f t="shared" si="111"/>
        <v>0</v>
      </c>
      <c r="AL132" s="22"/>
      <c r="AM132" s="12">
        <f t="shared" si="145"/>
        <v>1</v>
      </c>
      <c r="AO132" s="12">
        <f t="shared" si="146"/>
        <v>0</v>
      </c>
      <c r="AP132" s="12">
        <f t="shared" si="120"/>
        <v>0</v>
      </c>
      <c r="AQ132" s="12">
        <f t="shared" si="147"/>
        <v>0</v>
      </c>
      <c r="AR132" s="12">
        <f t="shared" si="80"/>
        <v>0</v>
      </c>
      <c r="AS132" s="12">
        <f t="shared" si="148"/>
        <v>0</v>
      </c>
      <c r="AT132" s="12">
        <f t="shared" si="112"/>
        <v>0</v>
      </c>
      <c r="AU132" s="12">
        <f t="shared" si="149"/>
        <v>0</v>
      </c>
      <c r="AV132" s="12">
        <f t="shared" si="113"/>
        <v>0</v>
      </c>
    </row>
    <row r="133" spans="1:48" ht="66" x14ac:dyDescent="0.25">
      <c r="A133" s="60">
        <v>3</v>
      </c>
      <c r="B133" s="9" t="s">
        <v>344</v>
      </c>
      <c r="C133" s="61" t="s">
        <v>336</v>
      </c>
      <c r="D133" s="61" t="s">
        <v>345</v>
      </c>
      <c r="E133" s="61" t="s">
        <v>346</v>
      </c>
      <c r="F133" s="95" t="s">
        <v>347</v>
      </c>
      <c r="G133" s="68">
        <v>76072</v>
      </c>
      <c r="H133" s="74">
        <f t="shared" si="150"/>
        <v>76072</v>
      </c>
      <c r="I133" s="63">
        <f t="shared" si="151"/>
        <v>51931</v>
      </c>
      <c r="J133" s="63">
        <v>51931</v>
      </c>
      <c r="K133" s="63">
        <f t="shared" si="151"/>
        <v>51931</v>
      </c>
      <c r="L133" s="63">
        <v>51931</v>
      </c>
      <c r="M133" s="68">
        <f t="shared" si="152"/>
        <v>17200</v>
      </c>
      <c r="N133" s="63">
        <v>17200</v>
      </c>
      <c r="O133" s="68">
        <f t="shared" si="153"/>
        <v>17200</v>
      </c>
      <c r="P133" s="63">
        <v>17200</v>
      </c>
      <c r="Q133" s="54"/>
      <c r="R133" s="54">
        <f t="shared" si="141"/>
        <v>0</v>
      </c>
      <c r="S133" s="68">
        <f t="shared" si="154"/>
        <v>17200</v>
      </c>
      <c r="T133" s="63">
        <v>17200</v>
      </c>
      <c r="U133" s="63">
        <v>11000</v>
      </c>
      <c r="V133" s="63">
        <v>11000</v>
      </c>
      <c r="W133" s="63">
        <f>X133</f>
        <v>6700</v>
      </c>
      <c r="X133" s="63">
        <v>6700</v>
      </c>
      <c r="Y133" s="63"/>
      <c r="Z133" s="63"/>
      <c r="AA133" s="63">
        <f t="shared" si="142"/>
        <v>17700</v>
      </c>
      <c r="AB133" s="63">
        <f t="shared" si="142"/>
        <v>17700</v>
      </c>
      <c r="AC133" s="63"/>
      <c r="AD133" s="63"/>
      <c r="AE133" s="63">
        <f t="shared" si="143"/>
        <v>0</v>
      </c>
      <c r="AF133" s="63">
        <f t="shared" si="144"/>
        <v>0</v>
      </c>
      <c r="AG133" s="63"/>
      <c r="AH133" s="63"/>
      <c r="AI133" s="69"/>
      <c r="AJ133" s="19">
        <f t="shared" si="102"/>
        <v>0</v>
      </c>
      <c r="AK133" s="22">
        <f t="shared" si="111"/>
        <v>0</v>
      </c>
      <c r="AL133" s="22"/>
      <c r="AM133" s="12">
        <f t="shared" si="145"/>
        <v>1</v>
      </c>
      <c r="AO133" s="12">
        <f t="shared" si="146"/>
        <v>0</v>
      </c>
      <c r="AP133" s="12">
        <f t="shared" si="120"/>
        <v>0</v>
      </c>
      <c r="AQ133" s="12">
        <f t="shared" si="147"/>
        <v>0</v>
      </c>
      <c r="AR133" s="12">
        <f t="shared" si="80"/>
        <v>0</v>
      </c>
      <c r="AS133" s="12">
        <f t="shared" si="148"/>
        <v>0</v>
      </c>
      <c r="AT133" s="12">
        <f t="shared" si="112"/>
        <v>0</v>
      </c>
      <c r="AU133" s="12">
        <f t="shared" si="149"/>
        <v>0</v>
      </c>
      <c r="AV133" s="12">
        <f t="shared" si="113"/>
        <v>0</v>
      </c>
    </row>
    <row r="134" spans="1:48" ht="108" customHeight="1" x14ac:dyDescent="0.25">
      <c r="A134" s="60">
        <v>4</v>
      </c>
      <c r="B134" s="9" t="s">
        <v>348</v>
      </c>
      <c r="C134" s="61" t="s">
        <v>336</v>
      </c>
      <c r="D134" s="61" t="s">
        <v>349</v>
      </c>
      <c r="E134" s="61" t="s">
        <v>338</v>
      </c>
      <c r="F134" s="61" t="s">
        <v>350</v>
      </c>
      <c r="G134" s="68">
        <v>149094</v>
      </c>
      <c r="H134" s="74">
        <v>17681</v>
      </c>
      <c r="I134" s="63">
        <f t="shared" si="151"/>
        <v>10000</v>
      </c>
      <c r="J134" s="63">
        <v>10000</v>
      </c>
      <c r="K134" s="63">
        <f t="shared" si="151"/>
        <v>1300</v>
      </c>
      <c r="L134" s="63">
        <v>1300</v>
      </c>
      <c r="M134" s="68">
        <f>130259+N134</f>
        <v>137959</v>
      </c>
      <c r="N134" s="63">
        <v>7700</v>
      </c>
      <c r="O134" s="68">
        <f>P134</f>
        <v>7700</v>
      </c>
      <c r="P134" s="63">
        <f>N134</f>
        <v>7700</v>
      </c>
      <c r="Q134" s="54"/>
      <c r="R134" s="54">
        <f t="shared" si="141"/>
        <v>0</v>
      </c>
      <c r="S134" s="68">
        <f>T134</f>
        <v>7700</v>
      </c>
      <c r="T134" s="63">
        <f>P134</f>
        <v>7700</v>
      </c>
      <c r="U134" s="63">
        <f>V134</f>
        <v>6149</v>
      </c>
      <c r="V134" s="63">
        <v>6149</v>
      </c>
      <c r="W134" s="63">
        <f>X134</f>
        <v>5450</v>
      </c>
      <c r="X134" s="63">
        <v>5450</v>
      </c>
      <c r="Y134" s="63">
        <f>Z134</f>
        <v>1700</v>
      </c>
      <c r="Z134" s="63">
        <v>1700</v>
      </c>
      <c r="AA134" s="63">
        <f t="shared" si="142"/>
        <v>13299</v>
      </c>
      <c r="AB134" s="63">
        <f t="shared" si="142"/>
        <v>13299</v>
      </c>
      <c r="AC134" s="63"/>
      <c r="AD134" s="63"/>
      <c r="AE134" s="63">
        <f t="shared" si="143"/>
        <v>0</v>
      </c>
      <c r="AF134" s="63">
        <f t="shared" si="144"/>
        <v>0</v>
      </c>
      <c r="AG134" s="63"/>
      <c r="AH134" s="63"/>
      <c r="AI134" s="25" t="s">
        <v>351</v>
      </c>
      <c r="AJ134" s="19">
        <f t="shared" si="102"/>
        <v>0</v>
      </c>
      <c r="AK134" s="22">
        <f t="shared" si="111"/>
        <v>0</v>
      </c>
      <c r="AL134" s="22"/>
      <c r="AM134" s="12">
        <f t="shared" si="145"/>
        <v>1</v>
      </c>
      <c r="AO134" s="12">
        <f t="shared" si="146"/>
        <v>0</v>
      </c>
      <c r="AP134" s="12">
        <f t="shared" si="120"/>
        <v>0</v>
      </c>
      <c r="AQ134" s="12">
        <f t="shared" si="147"/>
        <v>0</v>
      </c>
      <c r="AR134" s="12">
        <f t="shared" si="80"/>
        <v>0</v>
      </c>
      <c r="AS134" s="12">
        <f t="shared" si="148"/>
        <v>0</v>
      </c>
      <c r="AT134" s="12">
        <f t="shared" si="112"/>
        <v>0</v>
      </c>
      <c r="AU134" s="12">
        <f t="shared" si="149"/>
        <v>0</v>
      </c>
      <c r="AV134" s="12">
        <f t="shared" si="113"/>
        <v>0</v>
      </c>
    </row>
    <row r="135" spans="1:48" ht="49.5" x14ac:dyDescent="0.25">
      <c r="A135" s="60">
        <v>5</v>
      </c>
      <c r="B135" s="9" t="s">
        <v>352</v>
      </c>
      <c r="C135" s="61" t="s">
        <v>99</v>
      </c>
      <c r="D135" s="61" t="s">
        <v>353</v>
      </c>
      <c r="E135" s="61" t="s">
        <v>346</v>
      </c>
      <c r="F135" s="61" t="s">
        <v>354</v>
      </c>
      <c r="G135" s="63">
        <v>39343</v>
      </c>
      <c r="H135" s="74">
        <f t="shared" si="150"/>
        <v>39343</v>
      </c>
      <c r="I135" s="63">
        <f t="shared" si="151"/>
        <v>25402</v>
      </c>
      <c r="J135" s="63">
        <v>25402</v>
      </c>
      <c r="K135" s="63">
        <f t="shared" si="151"/>
        <v>25402</v>
      </c>
      <c r="L135" s="63">
        <v>25402</v>
      </c>
      <c r="M135" s="68">
        <f t="shared" si="152"/>
        <v>13000</v>
      </c>
      <c r="N135" s="63">
        <v>13000</v>
      </c>
      <c r="O135" s="68">
        <f t="shared" si="153"/>
        <v>13000</v>
      </c>
      <c r="P135" s="63">
        <v>13000</v>
      </c>
      <c r="Q135" s="54"/>
      <c r="R135" s="54">
        <f t="shared" si="141"/>
        <v>0</v>
      </c>
      <c r="S135" s="68">
        <f t="shared" ref="S135:S137" si="155">T135</f>
        <v>13000</v>
      </c>
      <c r="T135" s="63">
        <v>13000</v>
      </c>
      <c r="U135" s="63">
        <v>9300</v>
      </c>
      <c r="V135" s="63">
        <v>9300</v>
      </c>
      <c r="W135" s="63">
        <f>X135</f>
        <v>3300</v>
      </c>
      <c r="X135" s="63">
        <v>3300</v>
      </c>
      <c r="Y135" s="63"/>
      <c r="Z135" s="63"/>
      <c r="AA135" s="63">
        <f t="shared" si="142"/>
        <v>12600</v>
      </c>
      <c r="AB135" s="63">
        <f t="shared" si="142"/>
        <v>12600</v>
      </c>
      <c r="AC135" s="63">
        <f t="shared" ref="AC135:AD137" si="156">O135-AA135</f>
        <v>400</v>
      </c>
      <c r="AD135" s="63">
        <f t="shared" si="156"/>
        <v>400</v>
      </c>
      <c r="AE135" s="63">
        <f t="shared" si="143"/>
        <v>0</v>
      </c>
      <c r="AF135" s="63">
        <f t="shared" si="144"/>
        <v>0</v>
      </c>
      <c r="AG135" s="63"/>
      <c r="AH135" s="63"/>
      <c r="AI135" s="69"/>
      <c r="AJ135" s="19">
        <f t="shared" si="102"/>
        <v>0</v>
      </c>
      <c r="AK135" s="22">
        <f t="shared" si="111"/>
        <v>0</v>
      </c>
      <c r="AL135" s="22"/>
      <c r="AM135" s="12">
        <f t="shared" si="145"/>
        <v>1</v>
      </c>
      <c r="AO135" s="12">
        <f t="shared" si="146"/>
        <v>0</v>
      </c>
      <c r="AP135" s="12">
        <f t="shared" si="120"/>
        <v>0</v>
      </c>
      <c r="AQ135" s="12">
        <f t="shared" si="147"/>
        <v>0</v>
      </c>
      <c r="AR135" s="12">
        <f t="shared" si="80"/>
        <v>0</v>
      </c>
      <c r="AS135" s="12">
        <f t="shared" si="148"/>
        <v>0</v>
      </c>
      <c r="AT135" s="12">
        <f t="shared" si="112"/>
        <v>0</v>
      </c>
      <c r="AU135" s="12">
        <f t="shared" si="149"/>
        <v>0</v>
      </c>
      <c r="AV135" s="12">
        <f t="shared" si="113"/>
        <v>0</v>
      </c>
    </row>
    <row r="136" spans="1:48" ht="49.5" x14ac:dyDescent="0.25">
      <c r="A136" s="60">
        <v>6</v>
      </c>
      <c r="B136" s="9" t="s">
        <v>355</v>
      </c>
      <c r="C136" s="61" t="s">
        <v>112</v>
      </c>
      <c r="D136" s="61" t="s">
        <v>353</v>
      </c>
      <c r="E136" s="61" t="s">
        <v>346</v>
      </c>
      <c r="F136" s="61" t="s">
        <v>356</v>
      </c>
      <c r="G136" s="63">
        <v>38049</v>
      </c>
      <c r="H136" s="74">
        <f t="shared" si="150"/>
        <v>38049</v>
      </c>
      <c r="I136" s="63">
        <f t="shared" si="151"/>
        <v>19108</v>
      </c>
      <c r="J136" s="63">
        <v>19108</v>
      </c>
      <c r="K136" s="63">
        <f t="shared" si="151"/>
        <v>19108</v>
      </c>
      <c r="L136" s="63">
        <v>19108</v>
      </c>
      <c r="M136" s="68">
        <f t="shared" si="152"/>
        <v>15770</v>
      </c>
      <c r="N136" s="63">
        <v>15770</v>
      </c>
      <c r="O136" s="68">
        <f t="shared" si="153"/>
        <v>15770</v>
      </c>
      <c r="P136" s="63">
        <v>15770</v>
      </c>
      <c r="Q136" s="54"/>
      <c r="R136" s="54">
        <f t="shared" si="141"/>
        <v>0</v>
      </c>
      <c r="S136" s="68">
        <f t="shared" si="155"/>
        <v>15770</v>
      </c>
      <c r="T136" s="63">
        <v>15770</v>
      </c>
      <c r="U136" s="63">
        <v>10500</v>
      </c>
      <c r="V136" s="63">
        <v>10500</v>
      </c>
      <c r="W136" s="63">
        <f>X136</f>
        <v>5000</v>
      </c>
      <c r="X136" s="63">
        <v>5000</v>
      </c>
      <c r="Y136" s="63"/>
      <c r="Z136" s="63"/>
      <c r="AA136" s="63">
        <f t="shared" si="142"/>
        <v>15500</v>
      </c>
      <c r="AB136" s="63">
        <f t="shared" si="142"/>
        <v>15500</v>
      </c>
      <c r="AC136" s="63">
        <f t="shared" si="156"/>
        <v>270</v>
      </c>
      <c r="AD136" s="63">
        <f t="shared" si="156"/>
        <v>270</v>
      </c>
      <c r="AE136" s="63">
        <f t="shared" si="143"/>
        <v>0</v>
      </c>
      <c r="AF136" s="63">
        <f t="shared" si="144"/>
        <v>0</v>
      </c>
      <c r="AG136" s="63"/>
      <c r="AH136" s="63"/>
      <c r="AI136" s="69"/>
      <c r="AJ136" s="19">
        <f t="shared" si="102"/>
        <v>0</v>
      </c>
      <c r="AK136" s="22">
        <f t="shared" si="111"/>
        <v>0</v>
      </c>
      <c r="AL136" s="22"/>
      <c r="AM136" s="12">
        <f t="shared" si="145"/>
        <v>1</v>
      </c>
      <c r="AO136" s="12">
        <f t="shared" si="146"/>
        <v>0</v>
      </c>
      <c r="AP136" s="12">
        <f t="shared" si="120"/>
        <v>0</v>
      </c>
      <c r="AQ136" s="12">
        <f t="shared" si="147"/>
        <v>0</v>
      </c>
      <c r="AR136" s="12">
        <f t="shared" ref="AR136:AR196" si="157">IF(AQ136=1,P136,0)</f>
        <v>0</v>
      </c>
      <c r="AS136" s="12">
        <f t="shared" si="148"/>
        <v>0</v>
      </c>
      <c r="AT136" s="12">
        <f t="shared" si="112"/>
        <v>0</v>
      </c>
      <c r="AU136" s="12">
        <f t="shared" si="149"/>
        <v>0</v>
      </c>
      <c r="AV136" s="12">
        <f t="shared" si="113"/>
        <v>0</v>
      </c>
    </row>
    <row r="137" spans="1:48" ht="49.5" x14ac:dyDescent="0.25">
      <c r="A137" s="60">
        <v>7</v>
      </c>
      <c r="B137" s="91" t="s">
        <v>357</v>
      </c>
      <c r="C137" s="61" t="s">
        <v>176</v>
      </c>
      <c r="D137" s="61" t="s">
        <v>358</v>
      </c>
      <c r="E137" s="61" t="s">
        <v>346</v>
      </c>
      <c r="F137" s="61" t="s">
        <v>359</v>
      </c>
      <c r="G137" s="63">
        <v>117738</v>
      </c>
      <c r="H137" s="74">
        <f t="shared" si="150"/>
        <v>117738</v>
      </c>
      <c r="I137" s="63">
        <f t="shared" si="151"/>
        <v>96649</v>
      </c>
      <c r="J137" s="63">
        <v>96649</v>
      </c>
      <c r="K137" s="63">
        <f t="shared" si="151"/>
        <v>96649</v>
      </c>
      <c r="L137" s="63">
        <v>96649</v>
      </c>
      <c r="M137" s="68">
        <f t="shared" si="152"/>
        <v>6000</v>
      </c>
      <c r="N137" s="63">
        <v>6000</v>
      </c>
      <c r="O137" s="68">
        <f t="shared" si="153"/>
        <v>6000</v>
      </c>
      <c r="P137" s="63">
        <v>6000</v>
      </c>
      <c r="Q137" s="54"/>
      <c r="R137" s="54">
        <f t="shared" si="141"/>
        <v>0</v>
      </c>
      <c r="S137" s="68">
        <f t="shared" si="155"/>
        <v>6000</v>
      </c>
      <c r="T137" s="63">
        <v>6000</v>
      </c>
      <c r="U137" s="63">
        <v>1550</v>
      </c>
      <c r="V137" s="63">
        <v>1550</v>
      </c>
      <c r="W137" s="63"/>
      <c r="X137" s="63"/>
      <c r="Y137" s="63"/>
      <c r="Z137" s="63"/>
      <c r="AA137" s="63">
        <f t="shared" si="142"/>
        <v>1550</v>
      </c>
      <c r="AB137" s="63">
        <f t="shared" si="142"/>
        <v>1550</v>
      </c>
      <c r="AC137" s="63">
        <f t="shared" si="156"/>
        <v>4450</v>
      </c>
      <c r="AD137" s="63">
        <f t="shared" si="156"/>
        <v>4450</v>
      </c>
      <c r="AE137" s="63">
        <f t="shared" si="143"/>
        <v>0</v>
      </c>
      <c r="AF137" s="63">
        <f t="shared" si="144"/>
        <v>0</v>
      </c>
      <c r="AG137" s="63"/>
      <c r="AH137" s="63"/>
      <c r="AI137" s="69"/>
      <c r="AJ137" s="19">
        <f t="shared" si="102"/>
        <v>0</v>
      </c>
      <c r="AK137" s="22">
        <f t="shared" si="111"/>
        <v>0</v>
      </c>
      <c r="AL137" s="22"/>
      <c r="AM137" s="12">
        <f t="shared" si="145"/>
        <v>1</v>
      </c>
      <c r="AO137" s="12">
        <f t="shared" si="146"/>
        <v>0</v>
      </c>
      <c r="AP137" s="12">
        <f t="shared" si="120"/>
        <v>0</v>
      </c>
      <c r="AQ137" s="12">
        <f t="shared" si="147"/>
        <v>0</v>
      </c>
      <c r="AR137" s="12">
        <f t="shared" si="157"/>
        <v>0</v>
      </c>
      <c r="AS137" s="12">
        <f t="shared" si="148"/>
        <v>0</v>
      </c>
      <c r="AT137" s="12">
        <f t="shared" si="112"/>
        <v>0</v>
      </c>
      <c r="AU137" s="12">
        <f t="shared" si="149"/>
        <v>0</v>
      </c>
      <c r="AV137" s="12">
        <f t="shared" si="113"/>
        <v>0</v>
      </c>
    </row>
    <row r="138" spans="1:48" s="42" customFormat="1" ht="39.75" customHeight="1" x14ac:dyDescent="0.25">
      <c r="A138" s="35" t="s">
        <v>85</v>
      </c>
      <c r="B138" s="36" t="s">
        <v>86</v>
      </c>
      <c r="C138" s="37"/>
      <c r="D138" s="37"/>
      <c r="E138" s="37"/>
      <c r="F138" s="37"/>
      <c r="G138" s="38">
        <f>G139+G155</f>
        <v>544193</v>
      </c>
      <c r="H138" s="38">
        <f>H139+H155</f>
        <v>471015</v>
      </c>
      <c r="I138" s="38"/>
      <c r="J138" s="38"/>
      <c r="K138" s="38"/>
      <c r="L138" s="38"/>
      <c r="M138" s="38">
        <f t="shared" ref="M138:AH138" si="158">M139+M155</f>
        <v>344730</v>
      </c>
      <c r="N138" s="38">
        <f t="shared" si="158"/>
        <v>344730</v>
      </c>
      <c r="O138" s="38">
        <f t="shared" si="158"/>
        <v>464850</v>
      </c>
      <c r="P138" s="38">
        <f t="shared" si="158"/>
        <v>442650</v>
      </c>
      <c r="Q138" s="38">
        <f t="shared" si="158"/>
        <v>74370</v>
      </c>
      <c r="R138" s="38">
        <f t="shared" si="158"/>
        <v>1450</v>
      </c>
      <c r="S138" s="38">
        <f t="shared" si="158"/>
        <v>439850</v>
      </c>
      <c r="T138" s="38">
        <f t="shared" si="158"/>
        <v>417650</v>
      </c>
      <c r="U138" s="38">
        <f t="shared" si="158"/>
        <v>37000</v>
      </c>
      <c r="V138" s="38">
        <f t="shared" si="158"/>
        <v>37000</v>
      </c>
      <c r="W138" s="38">
        <f t="shared" si="158"/>
        <v>33631</v>
      </c>
      <c r="X138" s="38">
        <f t="shared" si="158"/>
        <v>33631</v>
      </c>
      <c r="Y138" s="38">
        <f t="shared" si="158"/>
        <v>30635</v>
      </c>
      <c r="Z138" s="38">
        <f t="shared" si="158"/>
        <v>26935</v>
      </c>
      <c r="AA138" s="38">
        <f t="shared" si="158"/>
        <v>101266</v>
      </c>
      <c r="AB138" s="38">
        <f t="shared" si="158"/>
        <v>97566</v>
      </c>
      <c r="AC138" s="38">
        <f t="shared" si="158"/>
        <v>239934</v>
      </c>
      <c r="AD138" s="38">
        <f t="shared" si="158"/>
        <v>243634</v>
      </c>
      <c r="AE138" s="38">
        <f t="shared" si="158"/>
        <v>232850</v>
      </c>
      <c r="AF138" s="38">
        <f t="shared" si="158"/>
        <v>232850</v>
      </c>
      <c r="AG138" s="38">
        <f t="shared" si="158"/>
        <v>-10648.899999999994</v>
      </c>
      <c r="AH138" s="38">
        <f t="shared" si="158"/>
        <v>-10648.899999999994</v>
      </c>
      <c r="AI138" s="40"/>
      <c r="AJ138" s="19">
        <f t="shared" si="102"/>
        <v>1</v>
      </c>
      <c r="AK138" s="22"/>
      <c r="AL138" s="22"/>
      <c r="AM138" s="12"/>
      <c r="AN138" s="12"/>
      <c r="AO138" s="12"/>
      <c r="AP138" s="12">
        <f t="shared" si="120"/>
        <v>0</v>
      </c>
      <c r="AQ138" s="12"/>
      <c r="AR138" s="12">
        <f t="shared" si="157"/>
        <v>0</v>
      </c>
      <c r="AS138" s="12"/>
      <c r="AT138" s="12">
        <f t="shared" si="112"/>
        <v>0</v>
      </c>
      <c r="AU138" s="12"/>
      <c r="AV138" s="12">
        <f t="shared" si="113"/>
        <v>0</v>
      </c>
    </row>
    <row r="139" spans="1:48" s="49" customFormat="1" ht="102" customHeight="1" x14ac:dyDescent="0.25">
      <c r="A139" s="43" t="s">
        <v>87</v>
      </c>
      <c r="B139" s="44" t="s">
        <v>88</v>
      </c>
      <c r="C139" s="72"/>
      <c r="D139" s="72"/>
      <c r="E139" s="72"/>
      <c r="F139" s="72"/>
      <c r="G139" s="46">
        <f>SUM(G140:G154)</f>
        <v>444914</v>
      </c>
      <c r="H139" s="46">
        <f t="shared" ref="H139:T139" si="159">SUM(H140:H154)</f>
        <v>371736</v>
      </c>
      <c r="I139" s="46">
        <f t="shared" si="159"/>
        <v>0</v>
      </c>
      <c r="J139" s="46">
        <f t="shared" si="159"/>
        <v>0</v>
      </c>
      <c r="K139" s="46">
        <f t="shared" si="159"/>
        <v>0</v>
      </c>
      <c r="L139" s="46">
        <f t="shared" si="159"/>
        <v>0</v>
      </c>
      <c r="M139" s="46">
        <f t="shared" si="159"/>
        <v>339650</v>
      </c>
      <c r="N139" s="46">
        <f t="shared" si="159"/>
        <v>339650</v>
      </c>
      <c r="O139" s="46">
        <f t="shared" si="159"/>
        <v>361850</v>
      </c>
      <c r="P139" s="46">
        <f t="shared" si="159"/>
        <v>339650</v>
      </c>
      <c r="Q139" s="46">
        <f t="shared" si="159"/>
        <v>1450</v>
      </c>
      <c r="R139" s="46">
        <f t="shared" si="159"/>
        <v>1450</v>
      </c>
      <c r="S139" s="46">
        <f t="shared" si="159"/>
        <v>361850</v>
      </c>
      <c r="T139" s="46">
        <f t="shared" si="159"/>
        <v>339650</v>
      </c>
      <c r="U139" s="46">
        <f t="shared" ref="U139:AH139" si="160">SUM(U140:U153)</f>
        <v>37000</v>
      </c>
      <c r="V139" s="46">
        <f t="shared" si="160"/>
        <v>37000</v>
      </c>
      <c r="W139" s="46">
        <f t="shared" si="160"/>
        <v>33500</v>
      </c>
      <c r="X139" s="46">
        <f t="shared" si="160"/>
        <v>33500</v>
      </c>
      <c r="Y139" s="46">
        <f t="shared" si="160"/>
        <v>30500</v>
      </c>
      <c r="Z139" s="46">
        <f t="shared" si="160"/>
        <v>26800</v>
      </c>
      <c r="AA139" s="46">
        <f t="shared" si="160"/>
        <v>101000</v>
      </c>
      <c r="AB139" s="46">
        <f t="shared" si="160"/>
        <v>97300</v>
      </c>
      <c r="AC139" s="46">
        <f t="shared" si="160"/>
        <v>237200</v>
      </c>
      <c r="AD139" s="46">
        <f t="shared" si="160"/>
        <v>240900</v>
      </c>
      <c r="AE139" s="46">
        <f t="shared" si="160"/>
        <v>232850</v>
      </c>
      <c r="AF139" s="46">
        <f t="shared" si="160"/>
        <v>232850</v>
      </c>
      <c r="AG139" s="46">
        <f t="shared" si="160"/>
        <v>0</v>
      </c>
      <c r="AH139" s="46">
        <f t="shared" si="160"/>
        <v>0</v>
      </c>
      <c r="AI139" s="73"/>
      <c r="AJ139" s="19">
        <v>1</v>
      </c>
      <c r="AK139" s="22"/>
      <c r="AL139" s="22"/>
      <c r="AM139" s="12"/>
      <c r="AN139" s="12"/>
      <c r="AO139" s="12"/>
      <c r="AP139" s="12">
        <f t="shared" si="120"/>
        <v>0</v>
      </c>
      <c r="AQ139" s="12"/>
      <c r="AR139" s="12">
        <f t="shared" si="157"/>
        <v>0</v>
      </c>
      <c r="AS139" s="12"/>
      <c r="AT139" s="12">
        <f t="shared" si="112"/>
        <v>0</v>
      </c>
      <c r="AU139" s="12"/>
      <c r="AV139" s="12">
        <f t="shared" si="113"/>
        <v>0</v>
      </c>
    </row>
    <row r="140" spans="1:48" ht="49.5" x14ac:dyDescent="0.25">
      <c r="A140" s="60">
        <v>8</v>
      </c>
      <c r="B140" s="9" t="s">
        <v>360</v>
      </c>
      <c r="C140" s="61" t="s">
        <v>361</v>
      </c>
      <c r="D140" s="61" t="s">
        <v>362</v>
      </c>
      <c r="E140" s="61" t="s">
        <v>97</v>
      </c>
      <c r="F140" s="61" t="s">
        <v>363</v>
      </c>
      <c r="G140" s="62">
        <v>53932</v>
      </c>
      <c r="H140" s="74">
        <f>G140</f>
        <v>53932</v>
      </c>
      <c r="I140" s="63"/>
      <c r="J140" s="63"/>
      <c r="K140" s="63"/>
      <c r="L140" s="63"/>
      <c r="M140" s="68">
        <f t="shared" ref="M140:M153" si="161">N140</f>
        <v>48850</v>
      </c>
      <c r="N140" s="63">
        <v>48850</v>
      </c>
      <c r="O140" s="68">
        <f t="shared" ref="O140:O153" si="162">P140</f>
        <v>48850</v>
      </c>
      <c r="P140" s="63">
        <v>48850</v>
      </c>
      <c r="Q140" s="54"/>
      <c r="R140" s="54">
        <f t="shared" ref="R140:R149" si="163">N140-T140</f>
        <v>0</v>
      </c>
      <c r="S140" s="68">
        <f t="shared" ref="S140:S153" si="164">T140</f>
        <v>48850</v>
      </c>
      <c r="T140" s="63">
        <v>48850</v>
      </c>
      <c r="U140" s="63">
        <v>30000</v>
      </c>
      <c r="V140" s="63">
        <v>30000</v>
      </c>
      <c r="W140" s="63">
        <v>15000</v>
      </c>
      <c r="X140" s="63">
        <v>15000</v>
      </c>
      <c r="Y140" s="63"/>
      <c r="Z140" s="63"/>
      <c r="AA140" s="63">
        <f t="shared" ref="AA140:AB154" si="165">U140+W140+Y140</f>
        <v>45000</v>
      </c>
      <c r="AB140" s="63">
        <f t="shared" si="165"/>
        <v>45000</v>
      </c>
      <c r="AC140" s="63">
        <f t="shared" ref="AC140:AD154" si="166">O140-AA140</f>
        <v>3850</v>
      </c>
      <c r="AD140" s="63">
        <f t="shared" si="166"/>
        <v>3850</v>
      </c>
      <c r="AE140" s="63">
        <f t="shared" ref="AE140:AE154" si="167">AF140</f>
        <v>0</v>
      </c>
      <c r="AF140" s="63">
        <f t="shared" ref="AF140:AF154" si="168">IF(AB140=0,AD140,0)</f>
        <v>0</v>
      </c>
      <c r="AG140" s="63"/>
      <c r="AH140" s="63"/>
      <c r="AI140" s="69"/>
      <c r="AJ140" s="19">
        <f t="shared" si="102"/>
        <v>0</v>
      </c>
      <c r="AK140" s="22">
        <f t="shared" si="111"/>
        <v>0</v>
      </c>
      <c r="AL140" s="22"/>
      <c r="AM140" s="12">
        <f t="shared" ref="AM140:AM154" si="169">IF(AJ140=0,1,0)</f>
        <v>1</v>
      </c>
      <c r="AO140" s="12">
        <f t="shared" ref="AO140:AO154" si="170">IF(P140=0,1,0)</f>
        <v>0</v>
      </c>
      <c r="AP140" s="12">
        <f t="shared" si="120"/>
        <v>0</v>
      </c>
      <c r="AQ140" s="12">
        <f t="shared" ref="AQ140:AQ154" si="171">IF(N140=0,1,0)</f>
        <v>0</v>
      </c>
      <c r="AR140" s="12">
        <f t="shared" si="157"/>
        <v>0</v>
      </c>
      <c r="AS140" s="12">
        <f t="shared" ref="AS140:AS153" si="172">IF(Q140=0,0,1)</f>
        <v>0</v>
      </c>
      <c r="AT140" s="12">
        <f t="shared" si="112"/>
        <v>0</v>
      </c>
      <c r="AU140" s="12">
        <f t="shared" ref="AU140:AU154" si="173">IF(R140=0,0,1)</f>
        <v>0</v>
      </c>
      <c r="AV140" s="12">
        <f t="shared" si="113"/>
        <v>0</v>
      </c>
    </row>
    <row r="141" spans="1:48" ht="49.5" x14ac:dyDescent="0.25">
      <c r="A141" s="60">
        <v>9</v>
      </c>
      <c r="B141" s="9" t="s">
        <v>364</v>
      </c>
      <c r="C141" s="61" t="s">
        <v>336</v>
      </c>
      <c r="D141" s="61" t="s">
        <v>365</v>
      </c>
      <c r="E141" s="61">
        <v>2016</v>
      </c>
      <c r="F141" s="61" t="s">
        <v>366</v>
      </c>
      <c r="G141" s="62">
        <v>10978</v>
      </c>
      <c r="H141" s="74">
        <f>G141</f>
        <v>10978</v>
      </c>
      <c r="I141" s="63"/>
      <c r="J141" s="63"/>
      <c r="K141" s="63"/>
      <c r="L141" s="63"/>
      <c r="M141" s="68">
        <f t="shared" si="161"/>
        <v>10460</v>
      </c>
      <c r="N141" s="63">
        <v>10460</v>
      </c>
      <c r="O141" s="68">
        <f t="shared" si="162"/>
        <v>10460</v>
      </c>
      <c r="P141" s="63">
        <v>10460</v>
      </c>
      <c r="Q141" s="54"/>
      <c r="R141" s="54">
        <f t="shared" si="163"/>
        <v>0</v>
      </c>
      <c r="S141" s="68">
        <f t="shared" si="164"/>
        <v>10460</v>
      </c>
      <c r="T141" s="63">
        <v>10460</v>
      </c>
      <c r="U141" s="63">
        <v>7000</v>
      </c>
      <c r="V141" s="63">
        <v>7000</v>
      </c>
      <c r="W141" s="68"/>
      <c r="X141" s="68"/>
      <c r="Y141" s="68"/>
      <c r="Z141" s="68"/>
      <c r="AA141" s="63">
        <f t="shared" si="165"/>
        <v>7000</v>
      </c>
      <c r="AB141" s="63">
        <f t="shared" si="165"/>
        <v>7000</v>
      </c>
      <c r="AC141" s="63">
        <f t="shared" si="166"/>
        <v>3460</v>
      </c>
      <c r="AD141" s="63">
        <f t="shared" si="166"/>
        <v>3460</v>
      </c>
      <c r="AE141" s="63">
        <f t="shared" si="167"/>
        <v>0</v>
      </c>
      <c r="AF141" s="63">
        <f t="shared" si="168"/>
        <v>0</v>
      </c>
      <c r="AG141" s="68"/>
      <c r="AH141" s="68"/>
      <c r="AI141" s="69"/>
      <c r="AJ141" s="19">
        <f t="shared" si="102"/>
        <v>0</v>
      </c>
      <c r="AK141" s="22">
        <f t="shared" si="111"/>
        <v>0</v>
      </c>
      <c r="AL141" s="22"/>
      <c r="AM141" s="12">
        <f t="shared" si="169"/>
        <v>1</v>
      </c>
      <c r="AO141" s="12">
        <f t="shared" si="170"/>
        <v>0</v>
      </c>
      <c r="AP141" s="12">
        <f t="shared" si="120"/>
        <v>0</v>
      </c>
      <c r="AQ141" s="12">
        <f t="shared" si="171"/>
        <v>0</v>
      </c>
      <c r="AR141" s="12">
        <f t="shared" si="157"/>
        <v>0</v>
      </c>
      <c r="AS141" s="12">
        <f t="shared" si="172"/>
        <v>0</v>
      </c>
      <c r="AT141" s="12">
        <f t="shared" si="112"/>
        <v>0</v>
      </c>
      <c r="AU141" s="12">
        <f t="shared" si="173"/>
        <v>0</v>
      </c>
      <c r="AV141" s="12">
        <f t="shared" si="113"/>
        <v>0</v>
      </c>
    </row>
    <row r="142" spans="1:48" ht="82.5" x14ac:dyDescent="0.25">
      <c r="A142" s="60">
        <v>10</v>
      </c>
      <c r="B142" s="9" t="s">
        <v>367</v>
      </c>
      <c r="C142" s="61" t="s">
        <v>194</v>
      </c>
      <c r="D142" s="61" t="s">
        <v>368</v>
      </c>
      <c r="E142" s="61" t="s">
        <v>109</v>
      </c>
      <c r="F142" s="61" t="s">
        <v>369</v>
      </c>
      <c r="G142" s="62">
        <v>44954</v>
      </c>
      <c r="H142" s="74">
        <f>G142</f>
        <v>44954</v>
      </c>
      <c r="I142" s="63"/>
      <c r="J142" s="63"/>
      <c r="K142" s="63"/>
      <c r="L142" s="63"/>
      <c r="M142" s="68">
        <f t="shared" si="161"/>
        <v>40340</v>
      </c>
      <c r="N142" s="63">
        <v>40340</v>
      </c>
      <c r="O142" s="68">
        <f t="shared" si="162"/>
        <v>40340</v>
      </c>
      <c r="P142" s="63">
        <v>40340</v>
      </c>
      <c r="Q142" s="54"/>
      <c r="R142" s="54">
        <f t="shared" si="163"/>
        <v>0</v>
      </c>
      <c r="S142" s="68">
        <f t="shared" si="164"/>
        <v>40340</v>
      </c>
      <c r="T142" s="63">
        <v>40340</v>
      </c>
      <c r="U142" s="63"/>
      <c r="V142" s="63"/>
      <c r="W142" s="63">
        <f>X142</f>
        <v>14000</v>
      </c>
      <c r="X142" s="63">
        <v>14000</v>
      </c>
      <c r="Y142" s="63">
        <f>Z142</f>
        <v>26000</v>
      </c>
      <c r="Z142" s="63">
        <v>26000</v>
      </c>
      <c r="AA142" s="63">
        <f t="shared" si="165"/>
        <v>40000</v>
      </c>
      <c r="AB142" s="63">
        <f t="shared" si="165"/>
        <v>40000</v>
      </c>
      <c r="AC142" s="63">
        <f t="shared" si="166"/>
        <v>340</v>
      </c>
      <c r="AD142" s="63">
        <f t="shared" si="166"/>
        <v>340</v>
      </c>
      <c r="AE142" s="63">
        <f t="shared" si="167"/>
        <v>0</v>
      </c>
      <c r="AF142" s="63">
        <f t="shared" si="168"/>
        <v>0</v>
      </c>
      <c r="AG142" s="63"/>
      <c r="AH142" s="63"/>
      <c r="AI142" s="69"/>
      <c r="AJ142" s="19">
        <f t="shared" si="102"/>
        <v>0</v>
      </c>
      <c r="AK142" s="22">
        <f t="shared" si="111"/>
        <v>0</v>
      </c>
      <c r="AL142" s="22"/>
      <c r="AM142" s="12">
        <f t="shared" si="169"/>
        <v>1</v>
      </c>
      <c r="AO142" s="12">
        <f t="shared" si="170"/>
        <v>0</v>
      </c>
      <c r="AP142" s="12">
        <f t="shared" si="120"/>
        <v>0</v>
      </c>
      <c r="AQ142" s="12">
        <f t="shared" si="171"/>
        <v>0</v>
      </c>
      <c r="AR142" s="12">
        <f t="shared" si="157"/>
        <v>0</v>
      </c>
      <c r="AS142" s="12">
        <f t="shared" si="172"/>
        <v>0</v>
      </c>
      <c r="AT142" s="12">
        <f t="shared" si="112"/>
        <v>0</v>
      </c>
      <c r="AU142" s="12">
        <f t="shared" si="173"/>
        <v>0</v>
      </c>
      <c r="AV142" s="12">
        <f t="shared" si="113"/>
        <v>0</v>
      </c>
    </row>
    <row r="143" spans="1:48" ht="66" x14ac:dyDescent="0.25">
      <c r="A143" s="60">
        <v>11</v>
      </c>
      <c r="B143" s="91" t="s">
        <v>370</v>
      </c>
      <c r="C143" s="61" t="s">
        <v>336</v>
      </c>
      <c r="D143" s="61" t="s">
        <v>371</v>
      </c>
      <c r="E143" s="61" t="s">
        <v>109</v>
      </c>
      <c r="F143" s="61" t="s">
        <v>372</v>
      </c>
      <c r="G143" s="74">
        <v>5980</v>
      </c>
      <c r="H143" s="74">
        <f>G143</f>
        <v>5980</v>
      </c>
      <c r="I143" s="63"/>
      <c r="J143" s="63"/>
      <c r="K143" s="63"/>
      <c r="L143" s="63"/>
      <c r="M143" s="68">
        <f t="shared" si="161"/>
        <v>5700</v>
      </c>
      <c r="N143" s="63">
        <v>5700</v>
      </c>
      <c r="O143" s="68">
        <f t="shared" si="162"/>
        <v>5700</v>
      </c>
      <c r="P143" s="63">
        <v>5700</v>
      </c>
      <c r="Q143" s="54"/>
      <c r="R143" s="54">
        <f t="shared" si="163"/>
        <v>0</v>
      </c>
      <c r="S143" s="68">
        <f t="shared" si="164"/>
        <v>5700</v>
      </c>
      <c r="T143" s="63">
        <v>5700</v>
      </c>
      <c r="U143" s="26"/>
      <c r="V143" s="26"/>
      <c r="W143" s="63">
        <v>4500</v>
      </c>
      <c r="X143" s="63">
        <v>4500</v>
      </c>
      <c r="Y143" s="63">
        <v>4500</v>
      </c>
      <c r="Z143" s="63">
        <v>800</v>
      </c>
      <c r="AA143" s="63">
        <f t="shared" si="165"/>
        <v>9000</v>
      </c>
      <c r="AB143" s="63">
        <f t="shared" si="165"/>
        <v>5300</v>
      </c>
      <c r="AC143" s="63">
        <f t="shared" si="166"/>
        <v>-3300</v>
      </c>
      <c r="AD143" s="63">
        <f t="shared" si="166"/>
        <v>400</v>
      </c>
      <c r="AE143" s="63">
        <f t="shared" si="167"/>
        <v>0</v>
      </c>
      <c r="AF143" s="63">
        <f t="shared" si="168"/>
        <v>0</v>
      </c>
      <c r="AG143" s="63"/>
      <c r="AH143" s="63"/>
      <c r="AI143" s="69"/>
      <c r="AJ143" s="19">
        <f t="shared" si="102"/>
        <v>0</v>
      </c>
      <c r="AK143" s="22">
        <f t="shared" si="111"/>
        <v>0</v>
      </c>
      <c r="AL143" s="22"/>
      <c r="AM143" s="12">
        <f t="shared" si="169"/>
        <v>1</v>
      </c>
      <c r="AO143" s="12">
        <f t="shared" si="170"/>
        <v>0</v>
      </c>
      <c r="AP143" s="12">
        <f t="shared" si="120"/>
        <v>0</v>
      </c>
      <c r="AQ143" s="12">
        <f t="shared" si="171"/>
        <v>0</v>
      </c>
      <c r="AR143" s="12">
        <f t="shared" si="157"/>
        <v>0</v>
      </c>
      <c r="AS143" s="12">
        <f t="shared" si="172"/>
        <v>0</v>
      </c>
      <c r="AT143" s="12">
        <f t="shared" si="112"/>
        <v>0</v>
      </c>
      <c r="AU143" s="12">
        <f t="shared" si="173"/>
        <v>0</v>
      </c>
      <c r="AV143" s="12">
        <f t="shared" si="113"/>
        <v>0</v>
      </c>
    </row>
    <row r="144" spans="1:48" ht="49.5" x14ac:dyDescent="0.25">
      <c r="A144" s="60">
        <v>12</v>
      </c>
      <c r="B144" s="9" t="s">
        <v>373</v>
      </c>
      <c r="C144" s="61" t="s">
        <v>336</v>
      </c>
      <c r="D144" s="61"/>
      <c r="E144" s="61" t="s">
        <v>116</v>
      </c>
      <c r="F144" s="61" t="s">
        <v>374</v>
      </c>
      <c r="G144" s="62">
        <v>126957</v>
      </c>
      <c r="H144" s="74">
        <f>G144-50978</f>
        <v>75979</v>
      </c>
      <c r="I144" s="63"/>
      <c r="J144" s="63"/>
      <c r="K144" s="63"/>
      <c r="L144" s="63"/>
      <c r="M144" s="68">
        <f t="shared" si="161"/>
        <v>60000</v>
      </c>
      <c r="N144" s="68">
        <v>60000</v>
      </c>
      <c r="O144" s="68">
        <f t="shared" si="162"/>
        <v>60000</v>
      </c>
      <c r="P144" s="68">
        <v>60000</v>
      </c>
      <c r="Q144" s="54"/>
      <c r="R144" s="54">
        <f t="shared" si="163"/>
        <v>0</v>
      </c>
      <c r="S144" s="68">
        <f t="shared" si="164"/>
        <v>60000</v>
      </c>
      <c r="T144" s="68">
        <v>60000</v>
      </c>
      <c r="U144" s="58"/>
      <c r="V144" s="58"/>
      <c r="W144" s="58"/>
      <c r="X144" s="58"/>
      <c r="Y144" s="58"/>
      <c r="Z144" s="58"/>
      <c r="AA144" s="63">
        <f t="shared" si="165"/>
        <v>0</v>
      </c>
      <c r="AB144" s="63">
        <f t="shared" si="165"/>
        <v>0</v>
      </c>
      <c r="AC144" s="63">
        <f t="shared" si="166"/>
        <v>60000</v>
      </c>
      <c r="AD144" s="63">
        <f t="shared" si="166"/>
        <v>60000</v>
      </c>
      <c r="AE144" s="63">
        <f t="shared" si="167"/>
        <v>60000</v>
      </c>
      <c r="AF144" s="63">
        <f t="shared" si="168"/>
        <v>60000</v>
      </c>
      <c r="AG144" s="58"/>
      <c r="AH144" s="58"/>
      <c r="AI144" s="61" t="s">
        <v>375</v>
      </c>
      <c r="AJ144" s="19">
        <f t="shared" si="102"/>
        <v>0</v>
      </c>
      <c r="AK144" s="22">
        <f t="shared" si="111"/>
        <v>0</v>
      </c>
      <c r="AL144" s="22"/>
      <c r="AM144" s="12">
        <f t="shared" si="169"/>
        <v>1</v>
      </c>
      <c r="AO144" s="12">
        <f t="shared" si="170"/>
        <v>0</v>
      </c>
      <c r="AP144" s="12">
        <f t="shared" si="120"/>
        <v>0</v>
      </c>
      <c r="AQ144" s="12">
        <f t="shared" si="171"/>
        <v>0</v>
      </c>
      <c r="AR144" s="12">
        <f t="shared" si="157"/>
        <v>0</v>
      </c>
      <c r="AS144" s="12">
        <f t="shared" si="172"/>
        <v>0</v>
      </c>
      <c r="AT144" s="12">
        <f t="shared" si="112"/>
        <v>0</v>
      </c>
      <c r="AU144" s="12">
        <f t="shared" si="173"/>
        <v>0</v>
      </c>
      <c r="AV144" s="12">
        <f t="shared" si="113"/>
        <v>0</v>
      </c>
    </row>
    <row r="145" spans="1:48" ht="82.5" x14ac:dyDescent="0.25">
      <c r="A145" s="60">
        <v>13</v>
      </c>
      <c r="B145" s="91" t="s">
        <v>376</v>
      </c>
      <c r="C145" s="61" t="s">
        <v>377</v>
      </c>
      <c r="D145" s="61" t="s">
        <v>378</v>
      </c>
      <c r="E145" s="61" t="s">
        <v>116</v>
      </c>
      <c r="F145" s="61" t="s">
        <v>379</v>
      </c>
      <c r="G145" s="74">
        <v>8646</v>
      </c>
      <c r="H145" s="74">
        <v>8646</v>
      </c>
      <c r="I145" s="63"/>
      <c r="J145" s="63"/>
      <c r="K145" s="63"/>
      <c r="L145" s="63"/>
      <c r="M145" s="68">
        <f t="shared" si="161"/>
        <v>8000</v>
      </c>
      <c r="N145" s="63">
        <v>8000</v>
      </c>
      <c r="O145" s="68">
        <f t="shared" si="162"/>
        <v>8000</v>
      </c>
      <c r="P145" s="63">
        <v>8000</v>
      </c>
      <c r="Q145" s="54"/>
      <c r="R145" s="54">
        <f t="shared" si="163"/>
        <v>0</v>
      </c>
      <c r="S145" s="68">
        <f t="shared" si="164"/>
        <v>8000</v>
      </c>
      <c r="T145" s="63">
        <v>8000</v>
      </c>
      <c r="U145" s="58"/>
      <c r="V145" s="58"/>
      <c r="W145" s="58"/>
      <c r="X145" s="58"/>
      <c r="Y145" s="58"/>
      <c r="Z145" s="58"/>
      <c r="AA145" s="63">
        <f t="shared" si="165"/>
        <v>0</v>
      </c>
      <c r="AB145" s="63">
        <f t="shared" si="165"/>
        <v>0</v>
      </c>
      <c r="AC145" s="63">
        <f t="shared" si="166"/>
        <v>8000</v>
      </c>
      <c r="AD145" s="63">
        <f t="shared" si="166"/>
        <v>8000</v>
      </c>
      <c r="AE145" s="63">
        <f t="shared" si="167"/>
        <v>8000</v>
      </c>
      <c r="AF145" s="63">
        <f t="shared" si="168"/>
        <v>8000</v>
      </c>
      <c r="AG145" s="58"/>
      <c r="AH145" s="58"/>
      <c r="AI145" s="69"/>
      <c r="AJ145" s="19">
        <f t="shared" si="102"/>
        <v>0</v>
      </c>
      <c r="AK145" s="22">
        <f t="shared" si="111"/>
        <v>0</v>
      </c>
      <c r="AL145" s="22"/>
      <c r="AM145" s="12">
        <f t="shared" si="169"/>
        <v>1</v>
      </c>
      <c r="AO145" s="12">
        <f t="shared" si="170"/>
        <v>0</v>
      </c>
      <c r="AP145" s="12">
        <f t="shared" si="120"/>
        <v>0</v>
      </c>
      <c r="AQ145" s="12">
        <f t="shared" si="171"/>
        <v>0</v>
      </c>
      <c r="AR145" s="12">
        <f t="shared" si="157"/>
        <v>0</v>
      </c>
      <c r="AS145" s="12">
        <f t="shared" si="172"/>
        <v>0</v>
      </c>
      <c r="AT145" s="12">
        <f t="shared" si="112"/>
        <v>0</v>
      </c>
      <c r="AU145" s="12">
        <f t="shared" si="173"/>
        <v>0</v>
      </c>
      <c r="AV145" s="12">
        <f t="shared" si="113"/>
        <v>0</v>
      </c>
    </row>
    <row r="146" spans="1:48" ht="33" x14ac:dyDescent="0.25">
      <c r="A146" s="60">
        <v>14</v>
      </c>
      <c r="B146" s="9" t="s">
        <v>380</v>
      </c>
      <c r="C146" s="61" t="s">
        <v>194</v>
      </c>
      <c r="D146" s="82"/>
      <c r="E146" s="61" t="s">
        <v>116</v>
      </c>
      <c r="F146" s="61"/>
      <c r="G146" s="62">
        <v>7400</v>
      </c>
      <c r="H146" s="74">
        <f t="shared" ref="H146:H153" si="174">G146</f>
        <v>7400</v>
      </c>
      <c r="I146" s="63"/>
      <c r="J146" s="63"/>
      <c r="K146" s="63"/>
      <c r="L146" s="63"/>
      <c r="M146" s="68">
        <f t="shared" si="161"/>
        <v>7000</v>
      </c>
      <c r="N146" s="63">
        <v>7000</v>
      </c>
      <c r="O146" s="68">
        <f t="shared" si="162"/>
        <v>7000</v>
      </c>
      <c r="P146" s="63">
        <v>7000</v>
      </c>
      <c r="Q146" s="54"/>
      <c r="R146" s="54">
        <f t="shared" si="163"/>
        <v>0</v>
      </c>
      <c r="S146" s="68">
        <f t="shared" si="164"/>
        <v>7000</v>
      </c>
      <c r="T146" s="63">
        <v>7000</v>
      </c>
      <c r="U146" s="53"/>
      <c r="V146" s="53"/>
      <c r="W146" s="53"/>
      <c r="X146" s="53"/>
      <c r="Y146" s="53"/>
      <c r="Z146" s="53"/>
      <c r="AA146" s="63">
        <f t="shared" si="165"/>
        <v>0</v>
      </c>
      <c r="AB146" s="63">
        <f t="shared" si="165"/>
        <v>0</v>
      </c>
      <c r="AC146" s="63">
        <f t="shared" si="166"/>
        <v>7000</v>
      </c>
      <c r="AD146" s="63">
        <f t="shared" si="166"/>
        <v>7000</v>
      </c>
      <c r="AE146" s="63">
        <f t="shared" si="167"/>
        <v>7000</v>
      </c>
      <c r="AF146" s="63">
        <f t="shared" si="168"/>
        <v>7000</v>
      </c>
      <c r="AG146" s="53"/>
      <c r="AH146" s="53"/>
      <c r="AI146" s="69"/>
      <c r="AJ146" s="19">
        <f t="shared" si="102"/>
        <v>0</v>
      </c>
      <c r="AK146" s="22">
        <f t="shared" si="111"/>
        <v>0</v>
      </c>
      <c r="AL146" s="22"/>
      <c r="AM146" s="12">
        <f t="shared" si="169"/>
        <v>1</v>
      </c>
      <c r="AO146" s="12">
        <f t="shared" si="170"/>
        <v>0</v>
      </c>
      <c r="AP146" s="12">
        <f t="shared" si="120"/>
        <v>0</v>
      </c>
      <c r="AQ146" s="12">
        <f t="shared" si="171"/>
        <v>0</v>
      </c>
      <c r="AR146" s="12">
        <f t="shared" si="157"/>
        <v>0</v>
      </c>
      <c r="AS146" s="12">
        <f t="shared" si="172"/>
        <v>0</v>
      </c>
      <c r="AT146" s="12">
        <f t="shared" si="112"/>
        <v>0</v>
      </c>
      <c r="AU146" s="12">
        <f t="shared" si="173"/>
        <v>0</v>
      </c>
      <c r="AV146" s="12">
        <f t="shared" si="113"/>
        <v>0</v>
      </c>
    </row>
    <row r="147" spans="1:48" ht="33" x14ac:dyDescent="0.25">
      <c r="A147" s="60">
        <v>15</v>
      </c>
      <c r="B147" s="9" t="s">
        <v>381</v>
      </c>
      <c r="C147" s="61" t="s">
        <v>52</v>
      </c>
      <c r="D147" s="82"/>
      <c r="E147" s="61" t="s">
        <v>116</v>
      </c>
      <c r="F147" s="61"/>
      <c r="G147" s="62">
        <v>7400</v>
      </c>
      <c r="H147" s="74">
        <f t="shared" si="174"/>
        <v>7400</v>
      </c>
      <c r="I147" s="63"/>
      <c r="J147" s="63"/>
      <c r="K147" s="63"/>
      <c r="L147" s="63"/>
      <c r="M147" s="68">
        <f t="shared" si="161"/>
        <v>7000</v>
      </c>
      <c r="N147" s="63">
        <v>7000</v>
      </c>
      <c r="O147" s="68">
        <f t="shared" si="162"/>
        <v>7000</v>
      </c>
      <c r="P147" s="63">
        <v>7000</v>
      </c>
      <c r="Q147" s="54"/>
      <c r="R147" s="54">
        <f t="shared" si="163"/>
        <v>0</v>
      </c>
      <c r="S147" s="68">
        <f t="shared" si="164"/>
        <v>7000</v>
      </c>
      <c r="T147" s="63">
        <v>7000</v>
      </c>
      <c r="U147" s="58"/>
      <c r="V147" s="58"/>
      <c r="W147" s="58"/>
      <c r="X147" s="58"/>
      <c r="Y147" s="58"/>
      <c r="Z147" s="58"/>
      <c r="AA147" s="63">
        <f t="shared" si="165"/>
        <v>0</v>
      </c>
      <c r="AB147" s="63">
        <f t="shared" si="165"/>
        <v>0</v>
      </c>
      <c r="AC147" s="63">
        <f t="shared" si="166"/>
        <v>7000</v>
      </c>
      <c r="AD147" s="63">
        <f t="shared" si="166"/>
        <v>7000</v>
      </c>
      <c r="AE147" s="63">
        <f t="shared" si="167"/>
        <v>7000</v>
      </c>
      <c r="AF147" s="63">
        <f t="shared" si="168"/>
        <v>7000</v>
      </c>
      <c r="AG147" s="58"/>
      <c r="AH147" s="58"/>
      <c r="AI147" s="69"/>
      <c r="AJ147" s="19">
        <f t="shared" ref="AJ147:AJ211" si="175">IF(N147-T147=0,0,1)</f>
        <v>0</v>
      </c>
      <c r="AK147" s="22">
        <f t="shared" si="111"/>
        <v>0</v>
      </c>
      <c r="AL147" s="22"/>
      <c r="AM147" s="12">
        <f t="shared" si="169"/>
        <v>1</v>
      </c>
      <c r="AO147" s="12">
        <f t="shared" si="170"/>
        <v>0</v>
      </c>
      <c r="AP147" s="12">
        <f t="shared" si="120"/>
        <v>0</v>
      </c>
      <c r="AQ147" s="12">
        <f t="shared" si="171"/>
        <v>0</v>
      </c>
      <c r="AR147" s="12">
        <f t="shared" si="157"/>
        <v>0</v>
      </c>
      <c r="AS147" s="12">
        <f t="shared" si="172"/>
        <v>0</v>
      </c>
      <c r="AT147" s="12">
        <f t="shared" si="112"/>
        <v>0</v>
      </c>
      <c r="AU147" s="12">
        <f t="shared" si="173"/>
        <v>0</v>
      </c>
      <c r="AV147" s="12">
        <f t="shared" si="113"/>
        <v>0</v>
      </c>
    </row>
    <row r="148" spans="1:48" ht="33" x14ac:dyDescent="0.25">
      <c r="A148" s="60">
        <v>16</v>
      </c>
      <c r="B148" s="9" t="s">
        <v>382</v>
      </c>
      <c r="C148" s="61" t="s">
        <v>52</v>
      </c>
      <c r="D148" s="82"/>
      <c r="E148" s="61" t="s">
        <v>116</v>
      </c>
      <c r="F148" s="61"/>
      <c r="G148" s="62">
        <v>3500</v>
      </c>
      <c r="H148" s="74">
        <f t="shared" si="174"/>
        <v>3500</v>
      </c>
      <c r="I148" s="63"/>
      <c r="J148" s="63"/>
      <c r="K148" s="63"/>
      <c r="L148" s="63"/>
      <c r="M148" s="68">
        <f t="shared" si="161"/>
        <v>3500</v>
      </c>
      <c r="N148" s="63">
        <v>3500</v>
      </c>
      <c r="O148" s="68">
        <f t="shared" si="162"/>
        <v>3500</v>
      </c>
      <c r="P148" s="63">
        <v>3500</v>
      </c>
      <c r="Q148" s="54"/>
      <c r="R148" s="54">
        <f t="shared" si="163"/>
        <v>0</v>
      </c>
      <c r="S148" s="68">
        <f t="shared" si="164"/>
        <v>3500</v>
      </c>
      <c r="T148" s="63">
        <v>3500</v>
      </c>
      <c r="U148" s="63"/>
      <c r="V148" s="63"/>
      <c r="W148" s="63"/>
      <c r="X148" s="63"/>
      <c r="Y148" s="63"/>
      <c r="Z148" s="63"/>
      <c r="AA148" s="63">
        <f t="shared" si="165"/>
        <v>0</v>
      </c>
      <c r="AB148" s="63">
        <f t="shared" si="165"/>
        <v>0</v>
      </c>
      <c r="AC148" s="63">
        <f t="shared" si="166"/>
        <v>3500</v>
      </c>
      <c r="AD148" s="63">
        <f t="shared" si="166"/>
        <v>3500</v>
      </c>
      <c r="AE148" s="63">
        <f t="shared" si="167"/>
        <v>3500</v>
      </c>
      <c r="AF148" s="63">
        <f t="shared" si="168"/>
        <v>3500</v>
      </c>
      <c r="AG148" s="63"/>
      <c r="AH148" s="63"/>
      <c r="AI148" s="69"/>
      <c r="AJ148" s="19">
        <f t="shared" si="175"/>
        <v>0</v>
      </c>
      <c r="AK148" s="22">
        <f t="shared" si="111"/>
        <v>0</v>
      </c>
      <c r="AL148" s="22"/>
      <c r="AM148" s="12">
        <f t="shared" si="169"/>
        <v>1</v>
      </c>
      <c r="AO148" s="12">
        <f t="shared" si="170"/>
        <v>0</v>
      </c>
      <c r="AP148" s="12">
        <f t="shared" si="120"/>
        <v>0</v>
      </c>
      <c r="AQ148" s="12">
        <f t="shared" si="171"/>
        <v>0</v>
      </c>
      <c r="AR148" s="12">
        <f t="shared" si="157"/>
        <v>0</v>
      </c>
      <c r="AS148" s="12">
        <f t="shared" si="172"/>
        <v>0</v>
      </c>
      <c r="AT148" s="12">
        <f t="shared" si="112"/>
        <v>0</v>
      </c>
      <c r="AU148" s="12">
        <f t="shared" si="173"/>
        <v>0</v>
      </c>
      <c r="AV148" s="12">
        <f t="shared" si="113"/>
        <v>0</v>
      </c>
    </row>
    <row r="149" spans="1:48" ht="33" x14ac:dyDescent="0.25">
      <c r="A149" s="60">
        <v>17</v>
      </c>
      <c r="B149" s="9" t="s">
        <v>383</v>
      </c>
      <c r="C149" s="61" t="s">
        <v>58</v>
      </c>
      <c r="D149" s="82"/>
      <c r="E149" s="61" t="s">
        <v>116</v>
      </c>
      <c r="F149" s="61"/>
      <c r="G149" s="62">
        <v>2000</v>
      </c>
      <c r="H149" s="74">
        <f t="shared" si="174"/>
        <v>2000</v>
      </c>
      <c r="I149" s="63"/>
      <c r="J149" s="63"/>
      <c r="K149" s="63"/>
      <c r="L149" s="63"/>
      <c r="M149" s="68">
        <f t="shared" si="161"/>
        <v>1800</v>
      </c>
      <c r="N149" s="63">
        <v>1800</v>
      </c>
      <c r="O149" s="68">
        <f t="shared" si="162"/>
        <v>1800</v>
      </c>
      <c r="P149" s="63">
        <v>1800</v>
      </c>
      <c r="Q149" s="54"/>
      <c r="R149" s="54">
        <f t="shared" si="163"/>
        <v>0</v>
      </c>
      <c r="S149" s="68">
        <f t="shared" si="164"/>
        <v>1800</v>
      </c>
      <c r="T149" s="63">
        <v>1800</v>
      </c>
      <c r="U149" s="63"/>
      <c r="V149" s="63"/>
      <c r="W149" s="63"/>
      <c r="X149" s="63"/>
      <c r="Y149" s="63"/>
      <c r="Z149" s="63"/>
      <c r="AA149" s="63">
        <f t="shared" si="165"/>
        <v>0</v>
      </c>
      <c r="AB149" s="63">
        <f t="shared" si="165"/>
        <v>0</v>
      </c>
      <c r="AC149" s="63">
        <f t="shared" si="166"/>
        <v>1800</v>
      </c>
      <c r="AD149" s="63">
        <f t="shared" si="166"/>
        <v>1800</v>
      </c>
      <c r="AE149" s="63">
        <f t="shared" si="167"/>
        <v>1800</v>
      </c>
      <c r="AF149" s="63">
        <f t="shared" si="168"/>
        <v>1800</v>
      </c>
      <c r="AG149" s="63"/>
      <c r="AH149" s="63"/>
      <c r="AI149" s="69"/>
      <c r="AJ149" s="19">
        <f t="shared" si="175"/>
        <v>0</v>
      </c>
      <c r="AK149" s="22">
        <f t="shared" si="111"/>
        <v>0</v>
      </c>
      <c r="AL149" s="22"/>
      <c r="AM149" s="12">
        <f t="shared" si="169"/>
        <v>1</v>
      </c>
      <c r="AO149" s="12">
        <f t="shared" si="170"/>
        <v>0</v>
      </c>
      <c r="AP149" s="12">
        <f t="shared" si="120"/>
        <v>0</v>
      </c>
      <c r="AQ149" s="12">
        <f t="shared" si="171"/>
        <v>0</v>
      </c>
      <c r="AR149" s="12">
        <f t="shared" si="157"/>
        <v>0</v>
      </c>
      <c r="AS149" s="12">
        <f t="shared" si="172"/>
        <v>0</v>
      </c>
      <c r="AT149" s="12">
        <f t="shared" si="112"/>
        <v>0</v>
      </c>
      <c r="AU149" s="12">
        <f t="shared" si="173"/>
        <v>0</v>
      </c>
      <c r="AV149" s="12">
        <f t="shared" si="113"/>
        <v>0</v>
      </c>
    </row>
    <row r="150" spans="1:48" ht="49.5" x14ac:dyDescent="0.25">
      <c r="A150" s="60">
        <v>18</v>
      </c>
      <c r="B150" s="9" t="s">
        <v>384</v>
      </c>
      <c r="C150" s="61" t="s">
        <v>336</v>
      </c>
      <c r="D150" s="82"/>
      <c r="E150" s="61" t="s">
        <v>116</v>
      </c>
      <c r="F150" s="61"/>
      <c r="G150" s="62">
        <v>81517</v>
      </c>
      <c r="H150" s="74">
        <f t="shared" si="174"/>
        <v>81517</v>
      </c>
      <c r="I150" s="63"/>
      <c r="J150" s="63"/>
      <c r="K150" s="63"/>
      <c r="L150" s="63"/>
      <c r="M150" s="68">
        <f t="shared" si="161"/>
        <v>80000</v>
      </c>
      <c r="N150" s="63">
        <v>80000</v>
      </c>
      <c r="O150" s="68">
        <f t="shared" si="162"/>
        <v>78550</v>
      </c>
      <c r="P150" s="63">
        <f>79000-450</f>
        <v>78550</v>
      </c>
      <c r="Q150" s="54"/>
      <c r="R150" s="54">
        <f>N150-T150</f>
        <v>1450</v>
      </c>
      <c r="S150" s="68">
        <f t="shared" si="164"/>
        <v>78550</v>
      </c>
      <c r="T150" s="63">
        <f>79000-450</f>
        <v>78550</v>
      </c>
      <c r="U150" s="63"/>
      <c r="V150" s="63"/>
      <c r="W150" s="63"/>
      <c r="X150" s="63"/>
      <c r="Y150" s="63"/>
      <c r="Z150" s="63"/>
      <c r="AA150" s="63">
        <f t="shared" si="165"/>
        <v>0</v>
      </c>
      <c r="AB150" s="63">
        <f t="shared" si="165"/>
        <v>0</v>
      </c>
      <c r="AC150" s="63">
        <f t="shared" si="166"/>
        <v>78550</v>
      </c>
      <c r="AD150" s="63">
        <f t="shared" si="166"/>
        <v>78550</v>
      </c>
      <c r="AE150" s="63">
        <f t="shared" si="167"/>
        <v>78550</v>
      </c>
      <c r="AF150" s="63">
        <f t="shared" si="168"/>
        <v>78550</v>
      </c>
      <c r="AG150" s="63"/>
      <c r="AH150" s="63"/>
      <c r="AI150" s="25" t="s">
        <v>915</v>
      </c>
      <c r="AJ150" s="19">
        <f t="shared" si="175"/>
        <v>1</v>
      </c>
      <c r="AK150" s="22">
        <f t="shared" si="111"/>
        <v>1</v>
      </c>
      <c r="AL150" s="22"/>
      <c r="AM150" s="12">
        <f t="shared" si="169"/>
        <v>0</v>
      </c>
      <c r="AO150" s="12">
        <f t="shared" si="170"/>
        <v>0</v>
      </c>
      <c r="AP150" s="12">
        <f t="shared" si="120"/>
        <v>0</v>
      </c>
      <c r="AQ150" s="12">
        <f t="shared" si="171"/>
        <v>0</v>
      </c>
      <c r="AR150" s="12">
        <f t="shared" si="157"/>
        <v>0</v>
      </c>
      <c r="AS150" s="12">
        <f t="shared" si="172"/>
        <v>0</v>
      </c>
      <c r="AT150" s="12">
        <f t="shared" si="112"/>
        <v>0</v>
      </c>
      <c r="AU150" s="12">
        <f t="shared" si="173"/>
        <v>1</v>
      </c>
      <c r="AV150" s="12">
        <f t="shared" si="113"/>
        <v>1450</v>
      </c>
    </row>
    <row r="151" spans="1:48" ht="82.5" x14ac:dyDescent="0.25">
      <c r="A151" s="60">
        <v>19</v>
      </c>
      <c r="B151" s="9" t="s">
        <v>385</v>
      </c>
      <c r="C151" s="61" t="s">
        <v>336</v>
      </c>
      <c r="D151" s="61" t="s">
        <v>386</v>
      </c>
      <c r="E151" s="61" t="s">
        <v>116</v>
      </c>
      <c r="F151" s="61"/>
      <c r="G151" s="62">
        <v>18000</v>
      </c>
      <c r="H151" s="74">
        <f t="shared" si="174"/>
        <v>18000</v>
      </c>
      <c r="I151" s="63"/>
      <c r="J151" s="63"/>
      <c r="K151" s="63"/>
      <c r="L151" s="63"/>
      <c r="M151" s="68">
        <f t="shared" si="161"/>
        <v>18000</v>
      </c>
      <c r="N151" s="63">
        <v>18000</v>
      </c>
      <c r="O151" s="68">
        <f t="shared" si="162"/>
        <v>18000</v>
      </c>
      <c r="P151" s="63">
        <v>18000</v>
      </c>
      <c r="Q151" s="54"/>
      <c r="R151" s="54">
        <f t="shared" ref="R151:R153" si="176">N151-T151</f>
        <v>0</v>
      </c>
      <c r="S151" s="68">
        <f t="shared" si="164"/>
        <v>18000</v>
      </c>
      <c r="T151" s="63">
        <v>18000</v>
      </c>
      <c r="U151" s="63"/>
      <c r="V151" s="63"/>
      <c r="W151" s="63"/>
      <c r="X151" s="63"/>
      <c r="Y151" s="63"/>
      <c r="Z151" s="63"/>
      <c r="AA151" s="63">
        <f t="shared" si="165"/>
        <v>0</v>
      </c>
      <c r="AB151" s="63">
        <f t="shared" si="165"/>
        <v>0</v>
      </c>
      <c r="AC151" s="63">
        <f t="shared" si="166"/>
        <v>18000</v>
      </c>
      <c r="AD151" s="63">
        <f t="shared" si="166"/>
        <v>18000</v>
      </c>
      <c r="AE151" s="63">
        <f t="shared" si="167"/>
        <v>18000</v>
      </c>
      <c r="AF151" s="63">
        <f t="shared" si="168"/>
        <v>18000</v>
      </c>
      <c r="AG151" s="63"/>
      <c r="AH151" s="63"/>
      <c r="AI151" s="69"/>
      <c r="AJ151" s="19">
        <f t="shared" si="175"/>
        <v>0</v>
      </c>
      <c r="AK151" s="22">
        <f t="shared" si="111"/>
        <v>0</v>
      </c>
      <c r="AL151" s="22"/>
      <c r="AM151" s="12">
        <f t="shared" si="169"/>
        <v>1</v>
      </c>
      <c r="AO151" s="12">
        <f t="shared" si="170"/>
        <v>0</v>
      </c>
      <c r="AP151" s="12">
        <f t="shared" si="120"/>
        <v>0</v>
      </c>
      <c r="AQ151" s="12">
        <f t="shared" si="171"/>
        <v>0</v>
      </c>
      <c r="AR151" s="12">
        <f t="shared" si="157"/>
        <v>0</v>
      </c>
      <c r="AS151" s="12">
        <f t="shared" si="172"/>
        <v>0</v>
      </c>
      <c r="AT151" s="12">
        <f t="shared" si="112"/>
        <v>0</v>
      </c>
      <c r="AU151" s="12">
        <f t="shared" si="173"/>
        <v>0</v>
      </c>
      <c r="AV151" s="12">
        <f t="shared" si="113"/>
        <v>0</v>
      </c>
    </row>
    <row r="152" spans="1:48" ht="40.5" customHeight="1" x14ac:dyDescent="0.25">
      <c r="A152" s="60">
        <v>20</v>
      </c>
      <c r="B152" s="9" t="s">
        <v>387</v>
      </c>
      <c r="C152" s="61" t="s">
        <v>336</v>
      </c>
      <c r="D152" s="96"/>
      <c r="E152" s="61" t="s">
        <v>290</v>
      </c>
      <c r="F152" s="61"/>
      <c r="G152" s="62">
        <v>30000</v>
      </c>
      <c r="H152" s="74">
        <f t="shared" si="174"/>
        <v>30000</v>
      </c>
      <c r="I152" s="63"/>
      <c r="J152" s="63"/>
      <c r="K152" s="63"/>
      <c r="L152" s="63"/>
      <c r="M152" s="68">
        <f t="shared" si="161"/>
        <v>30000</v>
      </c>
      <c r="N152" s="63">
        <v>30000</v>
      </c>
      <c r="O152" s="68">
        <f t="shared" si="162"/>
        <v>30000</v>
      </c>
      <c r="P152" s="63">
        <v>30000</v>
      </c>
      <c r="Q152" s="54"/>
      <c r="R152" s="54">
        <f t="shared" si="176"/>
        <v>0</v>
      </c>
      <c r="S152" s="68">
        <f t="shared" si="164"/>
        <v>30000</v>
      </c>
      <c r="T152" s="63">
        <v>30000</v>
      </c>
      <c r="U152" s="58"/>
      <c r="V152" s="58"/>
      <c r="W152" s="58"/>
      <c r="X152" s="58"/>
      <c r="Y152" s="58"/>
      <c r="Z152" s="58"/>
      <c r="AA152" s="63">
        <f t="shared" si="165"/>
        <v>0</v>
      </c>
      <c r="AB152" s="63">
        <f t="shared" si="165"/>
        <v>0</v>
      </c>
      <c r="AC152" s="63">
        <f t="shared" si="166"/>
        <v>30000</v>
      </c>
      <c r="AD152" s="63">
        <f t="shared" si="166"/>
        <v>30000</v>
      </c>
      <c r="AE152" s="63">
        <f t="shared" si="167"/>
        <v>30000</v>
      </c>
      <c r="AF152" s="63">
        <f t="shared" si="168"/>
        <v>30000</v>
      </c>
      <c r="AG152" s="58"/>
      <c r="AH152" s="58"/>
      <c r="AI152" s="69"/>
      <c r="AJ152" s="19">
        <f t="shared" si="175"/>
        <v>0</v>
      </c>
      <c r="AK152" s="22">
        <f t="shared" si="111"/>
        <v>0</v>
      </c>
      <c r="AL152" s="22"/>
      <c r="AM152" s="12">
        <f t="shared" si="169"/>
        <v>1</v>
      </c>
      <c r="AO152" s="12">
        <f t="shared" si="170"/>
        <v>0</v>
      </c>
      <c r="AP152" s="12">
        <f t="shared" si="120"/>
        <v>0</v>
      </c>
      <c r="AQ152" s="12">
        <f t="shared" si="171"/>
        <v>0</v>
      </c>
      <c r="AR152" s="12">
        <f t="shared" si="157"/>
        <v>0</v>
      </c>
      <c r="AS152" s="12">
        <f t="shared" si="172"/>
        <v>0</v>
      </c>
      <c r="AT152" s="12">
        <f t="shared" si="112"/>
        <v>0</v>
      </c>
      <c r="AU152" s="12">
        <f t="shared" si="173"/>
        <v>0</v>
      </c>
      <c r="AV152" s="12">
        <f t="shared" si="113"/>
        <v>0</v>
      </c>
    </row>
    <row r="153" spans="1:48" ht="40.5" customHeight="1" x14ac:dyDescent="0.25">
      <c r="A153" s="60">
        <v>21</v>
      </c>
      <c r="B153" s="9" t="s">
        <v>388</v>
      </c>
      <c r="C153" s="61" t="s">
        <v>176</v>
      </c>
      <c r="D153" s="96"/>
      <c r="E153" s="61" t="s">
        <v>290</v>
      </c>
      <c r="F153" s="61"/>
      <c r="G153" s="62">
        <v>20000</v>
      </c>
      <c r="H153" s="74">
        <f t="shared" si="174"/>
        <v>20000</v>
      </c>
      <c r="I153" s="63"/>
      <c r="J153" s="63"/>
      <c r="K153" s="63"/>
      <c r="L153" s="63"/>
      <c r="M153" s="68">
        <f t="shared" si="161"/>
        <v>19000</v>
      </c>
      <c r="N153" s="63">
        <v>19000</v>
      </c>
      <c r="O153" s="68">
        <f t="shared" si="162"/>
        <v>19000</v>
      </c>
      <c r="P153" s="63">
        <v>19000</v>
      </c>
      <c r="Q153" s="54"/>
      <c r="R153" s="54">
        <f t="shared" si="176"/>
        <v>0</v>
      </c>
      <c r="S153" s="68">
        <f t="shared" si="164"/>
        <v>19000</v>
      </c>
      <c r="T153" s="63">
        <v>19000</v>
      </c>
      <c r="U153" s="58"/>
      <c r="V153" s="58"/>
      <c r="W153" s="58"/>
      <c r="X153" s="58"/>
      <c r="Y153" s="58"/>
      <c r="Z153" s="58"/>
      <c r="AA153" s="63">
        <f t="shared" si="165"/>
        <v>0</v>
      </c>
      <c r="AB153" s="63">
        <f t="shared" si="165"/>
        <v>0</v>
      </c>
      <c r="AC153" s="63">
        <f t="shared" si="166"/>
        <v>19000</v>
      </c>
      <c r="AD153" s="63">
        <f t="shared" si="166"/>
        <v>19000</v>
      </c>
      <c r="AE153" s="63">
        <f t="shared" si="167"/>
        <v>19000</v>
      </c>
      <c r="AF153" s="63">
        <f t="shared" si="168"/>
        <v>19000</v>
      </c>
      <c r="AG153" s="58"/>
      <c r="AH153" s="58"/>
      <c r="AI153" s="69"/>
      <c r="AJ153" s="19">
        <f t="shared" si="175"/>
        <v>0</v>
      </c>
      <c r="AK153" s="22">
        <f t="shared" si="111"/>
        <v>0</v>
      </c>
      <c r="AL153" s="22"/>
      <c r="AM153" s="12">
        <f t="shared" si="169"/>
        <v>1</v>
      </c>
      <c r="AO153" s="12">
        <f t="shared" si="170"/>
        <v>0</v>
      </c>
      <c r="AP153" s="12">
        <f t="shared" si="120"/>
        <v>0</v>
      </c>
      <c r="AQ153" s="12">
        <f t="shared" si="171"/>
        <v>0</v>
      </c>
      <c r="AR153" s="12">
        <f t="shared" si="157"/>
        <v>0</v>
      </c>
      <c r="AS153" s="12">
        <f t="shared" si="172"/>
        <v>0</v>
      </c>
      <c r="AT153" s="12">
        <f t="shared" si="112"/>
        <v>0</v>
      </c>
      <c r="AU153" s="12">
        <f t="shared" si="173"/>
        <v>0</v>
      </c>
      <c r="AV153" s="12">
        <f t="shared" si="113"/>
        <v>0</v>
      </c>
    </row>
    <row r="154" spans="1:48" ht="76.5" customHeight="1" x14ac:dyDescent="0.25">
      <c r="A154" s="60">
        <v>22</v>
      </c>
      <c r="B154" s="9" t="s">
        <v>389</v>
      </c>
      <c r="C154" s="61" t="s">
        <v>70</v>
      </c>
      <c r="D154" s="61"/>
      <c r="E154" s="61" t="s">
        <v>116</v>
      </c>
      <c r="F154" s="61" t="s">
        <v>390</v>
      </c>
      <c r="G154" s="74">
        <v>23650</v>
      </c>
      <c r="H154" s="80">
        <v>1450</v>
      </c>
      <c r="I154" s="63"/>
      <c r="J154" s="63"/>
      <c r="K154" s="63"/>
      <c r="L154" s="63"/>
      <c r="M154" s="68"/>
      <c r="N154" s="63"/>
      <c r="O154" s="68">
        <v>23650</v>
      </c>
      <c r="P154" s="63">
        <f>H154</f>
        <v>1450</v>
      </c>
      <c r="Q154" s="54">
        <f>T154</f>
        <v>1450</v>
      </c>
      <c r="R154" s="54"/>
      <c r="S154" s="68">
        <v>23650</v>
      </c>
      <c r="T154" s="63">
        <v>1450</v>
      </c>
      <c r="U154" s="5"/>
      <c r="V154" s="5"/>
      <c r="W154" s="5"/>
      <c r="X154" s="5"/>
      <c r="Y154" s="5"/>
      <c r="Z154" s="5"/>
      <c r="AA154" s="63">
        <f t="shared" si="165"/>
        <v>0</v>
      </c>
      <c r="AB154" s="63">
        <f t="shared" si="165"/>
        <v>0</v>
      </c>
      <c r="AC154" s="63">
        <f t="shared" si="166"/>
        <v>23650</v>
      </c>
      <c r="AD154" s="63">
        <f t="shared" si="166"/>
        <v>1450</v>
      </c>
      <c r="AE154" s="63">
        <f t="shared" si="167"/>
        <v>1450</v>
      </c>
      <c r="AF154" s="63">
        <f t="shared" si="168"/>
        <v>1450</v>
      </c>
      <c r="AG154" s="5"/>
      <c r="AH154" s="5"/>
      <c r="AI154" s="25" t="s">
        <v>391</v>
      </c>
      <c r="AJ154" s="19">
        <f t="shared" si="175"/>
        <v>1</v>
      </c>
      <c r="AK154" s="22">
        <f t="shared" si="111"/>
        <v>1</v>
      </c>
      <c r="AL154" s="22"/>
      <c r="AM154" s="12">
        <f t="shared" si="169"/>
        <v>0</v>
      </c>
      <c r="AO154" s="12">
        <f t="shared" si="170"/>
        <v>0</v>
      </c>
      <c r="AP154" s="12">
        <f t="shared" si="120"/>
        <v>0</v>
      </c>
      <c r="AQ154" s="12">
        <f t="shared" si="171"/>
        <v>1</v>
      </c>
      <c r="AR154" s="12">
        <f t="shared" si="157"/>
        <v>1450</v>
      </c>
      <c r="AU154" s="12">
        <f t="shared" si="173"/>
        <v>0</v>
      </c>
      <c r="AV154" s="12">
        <f t="shared" si="113"/>
        <v>0</v>
      </c>
    </row>
    <row r="155" spans="1:48" s="49" customFormat="1" ht="40.5" customHeight="1" x14ac:dyDescent="0.25">
      <c r="A155" s="93" t="s">
        <v>47</v>
      </c>
      <c r="B155" s="44" t="s">
        <v>138</v>
      </c>
      <c r="C155" s="77"/>
      <c r="D155" s="77"/>
      <c r="E155" s="77"/>
      <c r="F155" s="77"/>
      <c r="G155" s="97">
        <f>SUM(G156:G157)</f>
        <v>99279</v>
      </c>
      <c r="H155" s="97">
        <f t="shared" ref="H155:T155" si="177">SUM(H156:H157)</f>
        <v>99279</v>
      </c>
      <c r="I155" s="97">
        <f t="shared" si="177"/>
        <v>0</v>
      </c>
      <c r="J155" s="97">
        <f t="shared" si="177"/>
        <v>0</v>
      </c>
      <c r="K155" s="97">
        <f t="shared" si="177"/>
        <v>0</v>
      </c>
      <c r="L155" s="97">
        <f t="shared" si="177"/>
        <v>0</v>
      </c>
      <c r="M155" s="97">
        <f t="shared" si="177"/>
        <v>5080</v>
      </c>
      <c r="N155" s="97">
        <f t="shared" si="177"/>
        <v>5080</v>
      </c>
      <c r="O155" s="97">
        <f t="shared" si="177"/>
        <v>103000</v>
      </c>
      <c r="P155" s="97">
        <f t="shared" si="177"/>
        <v>103000</v>
      </c>
      <c r="Q155" s="97">
        <f t="shared" si="177"/>
        <v>72920</v>
      </c>
      <c r="R155" s="97">
        <f t="shared" si="177"/>
        <v>0</v>
      </c>
      <c r="S155" s="97">
        <f t="shared" si="177"/>
        <v>78000</v>
      </c>
      <c r="T155" s="97">
        <f t="shared" si="177"/>
        <v>78000</v>
      </c>
      <c r="U155" s="98"/>
      <c r="V155" s="98"/>
      <c r="W155" s="99">
        <f t="shared" ref="W155:AF155" si="178">W156</f>
        <v>131</v>
      </c>
      <c r="X155" s="99">
        <f t="shared" si="178"/>
        <v>131</v>
      </c>
      <c r="Y155" s="99">
        <f t="shared" si="178"/>
        <v>135</v>
      </c>
      <c r="Z155" s="99">
        <f t="shared" si="178"/>
        <v>135</v>
      </c>
      <c r="AA155" s="99">
        <f t="shared" si="178"/>
        <v>266</v>
      </c>
      <c r="AB155" s="99">
        <f t="shared" si="178"/>
        <v>266</v>
      </c>
      <c r="AC155" s="99">
        <f t="shared" si="178"/>
        <v>2734</v>
      </c>
      <c r="AD155" s="99">
        <f t="shared" si="178"/>
        <v>2734</v>
      </c>
      <c r="AE155" s="99">
        <f t="shared" si="178"/>
        <v>0</v>
      </c>
      <c r="AF155" s="99">
        <f t="shared" si="178"/>
        <v>0</v>
      </c>
      <c r="AG155" s="99">
        <f>SUM(AG156:AG157)</f>
        <v>-10648.899999999994</v>
      </c>
      <c r="AH155" s="99">
        <f>SUM(AH156:AH157)</f>
        <v>-10648.899999999994</v>
      </c>
      <c r="AI155" s="79"/>
      <c r="AJ155" s="19">
        <f t="shared" si="175"/>
        <v>1</v>
      </c>
      <c r="AK155" s="22"/>
      <c r="AL155" s="22"/>
      <c r="AM155" s="12"/>
      <c r="AN155" s="12"/>
      <c r="AO155" s="12"/>
      <c r="AP155" s="12">
        <f t="shared" si="120"/>
        <v>0</v>
      </c>
      <c r="AQ155" s="12"/>
      <c r="AR155" s="12">
        <f t="shared" si="157"/>
        <v>0</v>
      </c>
      <c r="AS155" s="12"/>
      <c r="AT155" s="12">
        <f t="shared" si="112"/>
        <v>0</v>
      </c>
      <c r="AU155" s="12"/>
      <c r="AV155" s="12">
        <f t="shared" si="113"/>
        <v>0</v>
      </c>
    </row>
    <row r="156" spans="1:48" ht="99" x14ac:dyDescent="0.25">
      <c r="A156" s="60">
        <v>23</v>
      </c>
      <c r="B156" s="9" t="s">
        <v>392</v>
      </c>
      <c r="C156" s="61" t="s">
        <v>176</v>
      </c>
      <c r="D156" s="61" t="s">
        <v>393</v>
      </c>
      <c r="E156" s="61" t="s">
        <v>394</v>
      </c>
      <c r="F156" s="61" t="s">
        <v>395</v>
      </c>
      <c r="G156" s="75"/>
      <c r="H156" s="74"/>
      <c r="I156" s="63"/>
      <c r="J156" s="63"/>
      <c r="K156" s="63"/>
      <c r="L156" s="63"/>
      <c r="M156" s="68">
        <f>N156</f>
        <v>3000</v>
      </c>
      <c r="N156" s="63">
        <v>3000</v>
      </c>
      <c r="O156" s="68">
        <f>P156</f>
        <v>3000</v>
      </c>
      <c r="P156" s="63">
        <v>3000</v>
      </c>
      <c r="Q156" s="54"/>
      <c r="R156" s="54">
        <f>N156-T156</f>
        <v>0</v>
      </c>
      <c r="S156" s="68">
        <f>T156</f>
        <v>3000</v>
      </c>
      <c r="T156" s="63">
        <v>3000</v>
      </c>
      <c r="U156" s="5"/>
      <c r="V156" s="5"/>
      <c r="W156" s="68">
        <f>X156</f>
        <v>131</v>
      </c>
      <c r="X156" s="68">
        <v>131</v>
      </c>
      <c r="Y156" s="68">
        <f>Z156</f>
        <v>135</v>
      </c>
      <c r="Z156" s="68">
        <v>135</v>
      </c>
      <c r="AA156" s="63">
        <f t="shared" ref="AA156:AB157" si="179">U156+W156+Y156</f>
        <v>266</v>
      </c>
      <c r="AB156" s="63">
        <f t="shared" si="179"/>
        <v>266</v>
      </c>
      <c r="AC156" s="63">
        <f>O156-AA156</f>
        <v>2734</v>
      </c>
      <c r="AD156" s="63">
        <f>P156-AB156</f>
        <v>2734</v>
      </c>
      <c r="AE156" s="63">
        <f t="shared" ref="AE156:AE157" si="180">AF156</f>
        <v>0</v>
      </c>
      <c r="AF156" s="63">
        <f t="shared" ref="AF156:AF157" si="181">IF(AB156=0,AD156,0)</f>
        <v>0</v>
      </c>
      <c r="AG156" s="54"/>
      <c r="AH156" s="54"/>
      <c r="AI156" s="25" t="s">
        <v>396</v>
      </c>
      <c r="AJ156" s="19">
        <f t="shared" si="175"/>
        <v>0</v>
      </c>
      <c r="AK156" s="22">
        <f t="shared" ref="AK156:AK186" si="182">AJ156</f>
        <v>0</v>
      </c>
      <c r="AL156" s="22"/>
      <c r="AM156" s="12">
        <f>IF(AJ156=0,1,0)</f>
        <v>1</v>
      </c>
      <c r="AO156" s="12">
        <f>IF(P156=0,1,0)</f>
        <v>0</v>
      </c>
      <c r="AP156" s="12">
        <f t="shared" si="120"/>
        <v>0</v>
      </c>
      <c r="AQ156" s="12">
        <f>IF(N156=0,1,0)</f>
        <v>0</v>
      </c>
      <c r="AR156" s="12">
        <f t="shared" si="157"/>
        <v>0</v>
      </c>
      <c r="AS156" s="12">
        <f>IF(Q156=0,0,1)</f>
        <v>0</v>
      </c>
      <c r="AT156" s="12">
        <f t="shared" si="112"/>
        <v>0</v>
      </c>
      <c r="AU156" s="12">
        <f>IF(R156=0,0,1)</f>
        <v>0</v>
      </c>
      <c r="AV156" s="12">
        <f t="shared" si="113"/>
        <v>0</v>
      </c>
    </row>
    <row r="157" spans="1:48" ht="54.75" customHeight="1" x14ac:dyDescent="0.25">
      <c r="A157" s="60">
        <v>24</v>
      </c>
      <c r="B157" s="91" t="s">
        <v>397</v>
      </c>
      <c r="C157" s="61" t="s">
        <v>336</v>
      </c>
      <c r="D157" s="61" t="s">
        <v>398</v>
      </c>
      <c r="E157" s="61" t="s">
        <v>151</v>
      </c>
      <c r="F157" s="61"/>
      <c r="G157" s="2">
        <f>H157</f>
        <v>99279</v>
      </c>
      <c r="H157" s="2">
        <v>99279</v>
      </c>
      <c r="I157" s="63"/>
      <c r="J157" s="63"/>
      <c r="K157" s="63"/>
      <c r="L157" s="63"/>
      <c r="M157" s="68">
        <f>N157</f>
        <v>2080</v>
      </c>
      <c r="N157" s="63">
        <v>2080</v>
      </c>
      <c r="O157" s="68">
        <f>P157</f>
        <v>100000</v>
      </c>
      <c r="P157" s="63">
        <v>100000</v>
      </c>
      <c r="Q157" s="54">
        <f>T157-N157</f>
        <v>72920</v>
      </c>
      <c r="R157" s="54"/>
      <c r="S157" s="151">
        <f>T157</f>
        <v>75000</v>
      </c>
      <c r="T157" s="149">
        <v>75000</v>
      </c>
      <c r="U157" s="5"/>
      <c r="V157" s="5"/>
      <c r="W157" s="5"/>
      <c r="X157" s="5"/>
      <c r="Y157" s="5"/>
      <c r="Z157" s="5"/>
      <c r="AA157" s="63">
        <f t="shared" si="179"/>
        <v>0</v>
      </c>
      <c r="AB157" s="63">
        <f t="shared" si="179"/>
        <v>0</v>
      </c>
      <c r="AC157" s="63">
        <f>O157-AA157</f>
        <v>100000</v>
      </c>
      <c r="AD157" s="63">
        <f>P157-AB157</f>
        <v>100000</v>
      </c>
      <c r="AE157" s="63">
        <f t="shared" si="180"/>
        <v>100000</v>
      </c>
      <c r="AF157" s="63">
        <f t="shared" si="181"/>
        <v>100000</v>
      </c>
      <c r="AG157" s="54">
        <f t="shared" ref="AG157:AH157" si="183">G157*0.9-O157</f>
        <v>-10648.899999999994</v>
      </c>
      <c r="AH157" s="54">
        <f t="shared" si="183"/>
        <v>-10648.899999999994</v>
      </c>
      <c r="AI157" s="25" t="s">
        <v>913</v>
      </c>
      <c r="AJ157" s="19">
        <f t="shared" si="175"/>
        <v>1</v>
      </c>
      <c r="AK157" s="22">
        <f t="shared" si="182"/>
        <v>1</v>
      </c>
      <c r="AL157" s="22"/>
      <c r="AM157" s="12">
        <f>IF(AJ157=0,1,0)</f>
        <v>0</v>
      </c>
      <c r="AO157" s="12">
        <f>IF(P157=0,1,0)</f>
        <v>0</v>
      </c>
      <c r="AP157" s="12">
        <f t="shared" si="120"/>
        <v>0</v>
      </c>
      <c r="AQ157" s="12">
        <f>IF(N157=0,1,0)</f>
        <v>0</v>
      </c>
      <c r="AR157" s="12">
        <f t="shared" si="157"/>
        <v>0</v>
      </c>
      <c r="AS157" s="12">
        <f>IF(Q157=0,0,1)</f>
        <v>1</v>
      </c>
      <c r="AT157" s="12">
        <f t="shared" si="112"/>
        <v>72920</v>
      </c>
      <c r="AU157" s="12">
        <f>IF(R157=0,0,1)</f>
        <v>0</v>
      </c>
      <c r="AV157" s="12">
        <f t="shared" si="113"/>
        <v>0</v>
      </c>
    </row>
    <row r="158" spans="1:48" s="34" customFormat="1" ht="39" customHeight="1" x14ac:dyDescent="0.25">
      <c r="A158" s="28" t="s">
        <v>399</v>
      </c>
      <c r="B158" s="100" t="s">
        <v>400</v>
      </c>
      <c r="C158" s="30"/>
      <c r="D158" s="30"/>
      <c r="E158" s="30"/>
      <c r="F158" s="30"/>
      <c r="G158" s="31">
        <f>G159+G167</f>
        <v>551716</v>
      </c>
      <c r="H158" s="31">
        <f t="shared" ref="H158:AH158" si="184">H159+H167</f>
        <v>503716</v>
      </c>
      <c r="I158" s="31">
        <f t="shared" si="184"/>
        <v>68340</v>
      </c>
      <c r="J158" s="31">
        <f t="shared" si="184"/>
        <v>68340</v>
      </c>
      <c r="K158" s="31">
        <f t="shared" si="184"/>
        <v>68340</v>
      </c>
      <c r="L158" s="31">
        <f t="shared" si="184"/>
        <v>68340</v>
      </c>
      <c r="M158" s="31">
        <f t="shared" si="184"/>
        <v>267500.40000000002</v>
      </c>
      <c r="N158" s="31">
        <f t="shared" si="184"/>
        <v>267500.40000000002</v>
      </c>
      <c r="O158" s="31">
        <f t="shared" si="184"/>
        <v>328240</v>
      </c>
      <c r="P158" s="31">
        <f t="shared" si="184"/>
        <v>285040</v>
      </c>
      <c r="Q158" s="31">
        <f t="shared" si="184"/>
        <v>61850</v>
      </c>
      <c r="R158" s="31">
        <f t="shared" si="184"/>
        <v>16810.400000000001</v>
      </c>
      <c r="S158" s="31">
        <f t="shared" si="184"/>
        <v>355740</v>
      </c>
      <c r="T158" s="31">
        <f t="shared" si="184"/>
        <v>312540</v>
      </c>
      <c r="U158" s="31">
        <f t="shared" si="184"/>
        <v>80471</v>
      </c>
      <c r="V158" s="31">
        <f t="shared" si="184"/>
        <v>80471</v>
      </c>
      <c r="W158" s="31">
        <f t="shared" si="184"/>
        <v>65550</v>
      </c>
      <c r="X158" s="31">
        <f t="shared" si="184"/>
        <v>65550</v>
      </c>
      <c r="Y158" s="31">
        <f t="shared" si="184"/>
        <v>95106</v>
      </c>
      <c r="Z158" s="31">
        <f t="shared" si="184"/>
        <v>95106</v>
      </c>
      <c r="AA158" s="31">
        <f t="shared" si="184"/>
        <v>241127</v>
      </c>
      <c r="AB158" s="31">
        <f t="shared" si="184"/>
        <v>241127</v>
      </c>
      <c r="AC158" s="31">
        <f t="shared" si="184"/>
        <v>84971</v>
      </c>
      <c r="AD158" s="31">
        <f t="shared" si="184"/>
        <v>41771</v>
      </c>
      <c r="AE158" s="31">
        <f t="shared" si="184"/>
        <v>25050</v>
      </c>
      <c r="AF158" s="31">
        <f t="shared" si="184"/>
        <v>25050</v>
      </c>
      <c r="AG158" s="31">
        <f t="shared" si="184"/>
        <v>9800</v>
      </c>
      <c r="AH158" s="31">
        <f t="shared" si="184"/>
        <v>9800</v>
      </c>
      <c r="AI158" s="32"/>
      <c r="AJ158" s="19">
        <f t="shared" si="175"/>
        <v>1</v>
      </c>
      <c r="AK158" s="22"/>
      <c r="AL158" s="22"/>
      <c r="AM158" s="92"/>
      <c r="AN158" s="12"/>
      <c r="AO158" s="12"/>
      <c r="AP158" s="12">
        <f t="shared" si="120"/>
        <v>0</v>
      </c>
      <c r="AQ158" s="12"/>
      <c r="AR158" s="12">
        <f t="shared" si="157"/>
        <v>0</v>
      </c>
      <c r="AS158" s="12"/>
      <c r="AT158" s="12">
        <f t="shared" ref="AT158:AT222" si="185">IF(AS158=1,Q158,0)</f>
        <v>0</v>
      </c>
      <c r="AU158" s="12"/>
      <c r="AV158" s="12">
        <f t="shared" ref="AV158:AV222" si="186">IF(AU158=1,R158,0)</f>
        <v>0</v>
      </c>
    </row>
    <row r="159" spans="1:48" s="42" customFormat="1" ht="56.25" customHeight="1" x14ac:dyDescent="0.25">
      <c r="A159" s="35" t="s">
        <v>45</v>
      </c>
      <c r="B159" s="36" t="s">
        <v>46</v>
      </c>
      <c r="C159" s="37"/>
      <c r="D159" s="37"/>
      <c r="E159" s="37"/>
      <c r="F159" s="37"/>
      <c r="G159" s="38">
        <f>G160</f>
        <v>140596</v>
      </c>
      <c r="H159" s="38">
        <f t="shared" ref="H159:AH159" si="187">H160</f>
        <v>140596</v>
      </c>
      <c r="I159" s="38">
        <f t="shared" si="187"/>
        <v>68340</v>
      </c>
      <c r="J159" s="38">
        <f t="shared" si="187"/>
        <v>68340</v>
      </c>
      <c r="K159" s="38">
        <f t="shared" si="187"/>
        <v>68340</v>
      </c>
      <c r="L159" s="38">
        <f t="shared" si="187"/>
        <v>68340</v>
      </c>
      <c r="M159" s="38">
        <f t="shared" si="187"/>
        <v>39950</v>
      </c>
      <c r="N159" s="38">
        <f t="shared" si="187"/>
        <v>39950</v>
      </c>
      <c r="O159" s="38">
        <f t="shared" si="187"/>
        <v>28460</v>
      </c>
      <c r="P159" s="38">
        <f t="shared" si="187"/>
        <v>28460</v>
      </c>
      <c r="Q159" s="38">
        <f t="shared" si="187"/>
        <v>0</v>
      </c>
      <c r="R159" s="38">
        <f t="shared" si="187"/>
        <v>11490</v>
      </c>
      <c r="S159" s="38">
        <f t="shared" si="187"/>
        <v>28460</v>
      </c>
      <c r="T159" s="38">
        <f t="shared" si="187"/>
        <v>28460</v>
      </c>
      <c r="U159" s="38">
        <f t="shared" si="187"/>
        <v>24109</v>
      </c>
      <c r="V159" s="38">
        <f t="shared" si="187"/>
        <v>24109</v>
      </c>
      <c r="W159" s="101">
        <f t="shared" si="187"/>
        <v>0</v>
      </c>
      <c r="X159" s="101">
        <f t="shared" si="187"/>
        <v>0</v>
      </c>
      <c r="Y159" s="101">
        <f t="shared" si="187"/>
        <v>0</v>
      </c>
      <c r="Z159" s="101">
        <f t="shared" si="187"/>
        <v>0</v>
      </c>
      <c r="AA159" s="101">
        <f t="shared" si="187"/>
        <v>24109</v>
      </c>
      <c r="AB159" s="101">
        <f t="shared" si="187"/>
        <v>24109</v>
      </c>
      <c r="AC159" s="101">
        <f t="shared" si="187"/>
        <v>4351</v>
      </c>
      <c r="AD159" s="101">
        <f t="shared" si="187"/>
        <v>4351</v>
      </c>
      <c r="AE159" s="101">
        <f t="shared" si="187"/>
        <v>0</v>
      </c>
      <c r="AF159" s="101">
        <f t="shared" si="187"/>
        <v>0</v>
      </c>
      <c r="AG159" s="101">
        <f t="shared" si="187"/>
        <v>0</v>
      </c>
      <c r="AH159" s="101">
        <f t="shared" si="187"/>
        <v>0</v>
      </c>
      <c r="AI159" s="40"/>
      <c r="AJ159" s="19">
        <f t="shared" si="175"/>
        <v>1</v>
      </c>
      <c r="AK159" s="22"/>
      <c r="AL159" s="22"/>
      <c r="AM159" s="12"/>
      <c r="AN159" s="12"/>
      <c r="AO159" s="12"/>
      <c r="AP159" s="12">
        <f t="shared" si="120"/>
        <v>0</v>
      </c>
      <c r="AQ159" s="12"/>
      <c r="AR159" s="12">
        <f t="shared" si="157"/>
        <v>0</v>
      </c>
      <c r="AS159" s="12"/>
      <c r="AT159" s="12">
        <f t="shared" si="185"/>
        <v>0</v>
      </c>
      <c r="AU159" s="12"/>
      <c r="AV159" s="12">
        <f t="shared" si="186"/>
        <v>0</v>
      </c>
    </row>
    <row r="160" spans="1:48" s="49" customFormat="1" ht="39.75" customHeight="1" x14ac:dyDescent="0.25">
      <c r="A160" s="43" t="s">
        <v>47</v>
      </c>
      <c r="B160" s="44" t="s">
        <v>48</v>
      </c>
      <c r="C160" s="45"/>
      <c r="D160" s="45"/>
      <c r="E160" s="45"/>
      <c r="F160" s="45"/>
      <c r="G160" s="46">
        <f>SUM(G163:G166)</f>
        <v>140596</v>
      </c>
      <c r="H160" s="46">
        <f>SUM(H163:H166)</f>
        <v>140596</v>
      </c>
      <c r="I160" s="46">
        <f t="shared" ref="I160:U160" si="188">SUM(I163:I166)</f>
        <v>68340</v>
      </c>
      <c r="J160" s="46">
        <f t="shared" si="188"/>
        <v>68340</v>
      </c>
      <c r="K160" s="46">
        <f t="shared" si="188"/>
        <v>68340</v>
      </c>
      <c r="L160" s="46">
        <f t="shared" si="188"/>
        <v>68340</v>
      </c>
      <c r="M160" s="46">
        <f t="shared" si="188"/>
        <v>39950</v>
      </c>
      <c r="N160" s="46">
        <f t="shared" si="188"/>
        <v>39950</v>
      </c>
      <c r="O160" s="46">
        <f t="shared" si="188"/>
        <v>28460</v>
      </c>
      <c r="P160" s="46">
        <f t="shared" si="188"/>
        <v>28460</v>
      </c>
      <c r="Q160" s="46">
        <f t="shared" si="188"/>
        <v>0</v>
      </c>
      <c r="R160" s="46">
        <f t="shared" si="188"/>
        <v>11490</v>
      </c>
      <c r="S160" s="46">
        <f t="shared" si="188"/>
        <v>28460</v>
      </c>
      <c r="T160" s="46">
        <f t="shared" si="188"/>
        <v>28460</v>
      </c>
      <c r="U160" s="46">
        <f t="shared" si="188"/>
        <v>24109</v>
      </c>
      <c r="V160" s="46">
        <f>SUM(V163:V166)</f>
        <v>24109</v>
      </c>
      <c r="W160" s="90">
        <f t="shared" ref="W160:AA160" si="189">SUM(W163:W166)</f>
        <v>0</v>
      </c>
      <c r="X160" s="90">
        <f>SUM(X163:X166)</f>
        <v>0</v>
      </c>
      <c r="Y160" s="90">
        <f t="shared" ref="Y160" si="190">SUM(Y163:Y166)</f>
        <v>0</v>
      </c>
      <c r="Z160" s="90">
        <f>SUM(Z163:Z166)</f>
        <v>0</v>
      </c>
      <c r="AA160" s="90">
        <f t="shared" si="189"/>
        <v>24109</v>
      </c>
      <c r="AB160" s="90">
        <f>SUM(AB163:AB166)</f>
        <v>24109</v>
      </c>
      <c r="AC160" s="90">
        <f t="shared" ref="AC160:AG160" si="191">SUM(AC163:AC166)</f>
        <v>4351</v>
      </c>
      <c r="AD160" s="90">
        <f>SUM(AD163:AD166)</f>
        <v>4351</v>
      </c>
      <c r="AE160" s="90">
        <f t="shared" ref="AE160" si="192">SUM(AE163:AE166)</f>
        <v>0</v>
      </c>
      <c r="AF160" s="90">
        <f>SUM(AF163:AF166)</f>
        <v>0</v>
      </c>
      <c r="AG160" s="90">
        <f t="shared" si="191"/>
        <v>0</v>
      </c>
      <c r="AH160" s="90">
        <f>SUM(AH163:AH166)</f>
        <v>0</v>
      </c>
      <c r="AI160" s="47"/>
      <c r="AJ160" s="19">
        <f t="shared" si="175"/>
        <v>1</v>
      </c>
      <c r="AK160" s="22"/>
      <c r="AL160" s="22"/>
      <c r="AM160" s="12"/>
      <c r="AN160" s="12"/>
      <c r="AO160" s="12"/>
      <c r="AP160" s="12">
        <f t="shared" si="120"/>
        <v>0</v>
      </c>
      <c r="AQ160" s="12"/>
      <c r="AR160" s="12">
        <f t="shared" si="157"/>
        <v>0</v>
      </c>
      <c r="AS160" s="12"/>
      <c r="AT160" s="12">
        <f t="shared" si="185"/>
        <v>0</v>
      </c>
      <c r="AU160" s="12"/>
      <c r="AV160" s="12">
        <f t="shared" si="186"/>
        <v>0</v>
      </c>
    </row>
    <row r="161" spans="1:16378" ht="22.5" customHeight="1" x14ac:dyDescent="0.25">
      <c r="A161" s="50"/>
      <c r="B161" s="51" t="s">
        <v>49</v>
      </c>
      <c r="C161" s="52"/>
      <c r="D161" s="52"/>
      <c r="E161" s="52"/>
      <c r="F161" s="52"/>
      <c r="G161" s="53"/>
      <c r="H161" s="53"/>
      <c r="I161" s="53"/>
      <c r="J161" s="53"/>
      <c r="K161" s="53"/>
      <c r="L161" s="53"/>
      <c r="M161" s="53"/>
      <c r="N161" s="53"/>
      <c r="O161" s="53"/>
      <c r="P161" s="53"/>
      <c r="Q161" s="54"/>
      <c r="R161" s="54"/>
      <c r="S161" s="53"/>
      <c r="T161" s="53"/>
      <c r="U161" s="5"/>
      <c r="V161" s="5"/>
      <c r="W161" s="5"/>
      <c r="X161" s="5"/>
      <c r="Y161" s="5"/>
      <c r="Z161" s="5"/>
      <c r="AA161" s="5"/>
      <c r="AB161" s="5"/>
      <c r="AC161" s="5"/>
      <c r="AD161" s="5"/>
      <c r="AE161" s="5"/>
      <c r="AF161" s="5"/>
      <c r="AG161" s="5"/>
      <c r="AH161" s="5"/>
      <c r="AI161" s="55"/>
      <c r="AJ161" s="19">
        <v>1</v>
      </c>
      <c r="AK161" s="22"/>
      <c r="AL161" s="22"/>
      <c r="AP161" s="12">
        <f t="shared" si="120"/>
        <v>0</v>
      </c>
      <c r="AR161" s="12">
        <f t="shared" si="157"/>
        <v>0</v>
      </c>
      <c r="AT161" s="12">
        <f t="shared" si="185"/>
        <v>0</v>
      </c>
      <c r="AV161" s="12">
        <f t="shared" si="186"/>
        <v>0</v>
      </c>
    </row>
    <row r="162" spans="1:16378" ht="51.75" x14ac:dyDescent="0.25">
      <c r="A162" s="50"/>
      <c r="B162" s="56" t="s">
        <v>50</v>
      </c>
      <c r="C162" s="57"/>
      <c r="D162" s="57"/>
      <c r="E162" s="57"/>
      <c r="F162" s="57"/>
      <c r="G162" s="58"/>
      <c r="H162" s="58"/>
      <c r="I162" s="58"/>
      <c r="J162" s="58"/>
      <c r="K162" s="58"/>
      <c r="L162" s="58"/>
      <c r="M162" s="58"/>
      <c r="N162" s="58"/>
      <c r="O162" s="58"/>
      <c r="P162" s="58"/>
      <c r="Q162" s="54"/>
      <c r="R162" s="54"/>
      <c r="S162" s="58"/>
      <c r="T162" s="58"/>
      <c r="U162" s="63"/>
      <c r="V162" s="63"/>
      <c r="W162" s="63"/>
      <c r="X162" s="63"/>
      <c r="Y162" s="63"/>
      <c r="Z162" s="63"/>
      <c r="AA162" s="63"/>
      <c r="AB162" s="63"/>
      <c r="AC162" s="63"/>
      <c r="AD162" s="63"/>
      <c r="AE162" s="63"/>
      <c r="AF162" s="63"/>
      <c r="AG162" s="63"/>
      <c r="AH162" s="63"/>
      <c r="AI162" s="59"/>
      <c r="AJ162" s="19">
        <v>1</v>
      </c>
      <c r="AK162" s="22"/>
      <c r="AL162" s="22"/>
      <c r="AP162" s="12">
        <f t="shared" si="120"/>
        <v>0</v>
      </c>
      <c r="AR162" s="12">
        <f t="shared" si="157"/>
        <v>0</v>
      </c>
      <c r="AT162" s="12">
        <f t="shared" si="185"/>
        <v>0</v>
      </c>
      <c r="AV162" s="12">
        <f t="shared" si="186"/>
        <v>0</v>
      </c>
    </row>
    <row r="163" spans="1:16378" ht="49.5" x14ac:dyDescent="0.25">
      <c r="A163" s="60">
        <v>1</v>
      </c>
      <c r="B163" s="9" t="s">
        <v>401</v>
      </c>
      <c r="C163" s="61" t="s">
        <v>336</v>
      </c>
      <c r="D163" s="61" t="s">
        <v>402</v>
      </c>
      <c r="E163" s="61" t="s">
        <v>72</v>
      </c>
      <c r="F163" s="61" t="s">
        <v>403</v>
      </c>
      <c r="G163" s="80">
        <v>69804</v>
      </c>
      <c r="H163" s="74">
        <f>G163</f>
        <v>69804</v>
      </c>
      <c r="I163" s="63">
        <f>J163</f>
        <v>44500</v>
      </c>
      <c r="J163" s="63">
        <v>44500</v>
      </c>
      <c r="K163" s="63">
        <f>L163</f>
        <v>44500</v>
      </c>
      <c r="L163" s="63">
        <v>44500</v>
      </c>
      <c r="M163" s="68">
        <f>N163</f>
        <v>8200</v>
      </c>
      <c r="N163" s="63">
        <v>8200</v>
      </c>
      <c r="O163" s="68">
        <f>P163</f>
        <v>2500</v>
      </c>
      <c r="P163" s="63">
        <v>2500</v>
      </c>
      <c r="Q163" s="54"/>
      <c r="R163" s="54">
        <f>N163-T163</f>
        <v>5700</v>
      </c>
      <c r="S163" s="68">
        <f>T163</f>
        <v>2500</v>
      </c>
      <c r="T163" s="63">
        <v>2500</v>
      </c>
      <c r="U163" s="63">
        <f>V163</f>
        <v>691</v>
      </c>
      <c r="V163" s="63">
        <v>691</v>
      </c>
      <c r="W163" s="63"/>
      <c r="X163" s="63"/>
      <c r="Y163" s="63"/>
      <c r="Z163" s="63"/>
      <c r="AA163" s="63">
        <f t="shared" ref="AA163:AB166" si="193">U163+W163+Y163</f>
        <v>691</v>
      </c>
      <c r="AB163" s="63">
        <f t="shared" si="193"/>
        <v>691</v>
      </c>
      <c r="AC163" s="63">
        <f t="shared" ref="AC163:AD166" si="194">O163-AA163</f>
        <v>1809</v>
      </c>
      <c r="AD163" s="63">
        <f t="shared" si="194"/>
        <v>1809</v>
      </c>
      <c r="AE163" s="63">
        <f t="shared" ref="AE163:AE166" si="195">AF163</f>
        <v>0</v>
      </c>
      <c r="AF163" s="63">
        <f t="shared" ref="AF163:AF166" si="196">IF(AB163=0,AD163,0)</f>
        <v>0</v>
      </c>
      <c r="AG163" s="63"/>
      <c r="AH163" s="63"/>
      <c r="AI163" s="25" t="s">
        <v>404</v>
      </c>
      <c r="AJ163" s="19">
        <f t="shared" si="175"/>
        <v>1</v>
      </c>
      <c r="AK163" s="22">
        <f t="shared" si="182"/>
        <v>1</v>
      </c>
      <c r="AL163" s="22"/>
      <c r="AM163" s="12">
        <f>IF(AJ163=0,1,0)</f>
        <v>0</v>
      </c>
      <c r="AO163" s="12">
        <f>IF(P163=0,1,0)</f>
        <v>0</v>
      </c>
      <c r="AP163" s="12">
        <f t="shared" ref="AP163:AP196" si="197">IF(AO163=1,N163,0)</f>
        <v>0</v>
      </c>
      <c r="AQ163" s="12">
        <f>IF(N163=0,1,0)</f>
        <v>0</v>
      </c>
      <c r="AR163" s="12">
        <f t="shared" si="157"/>
        <v>0</v>
      </c>
      <c r="AS163" s="12">
        <f>IF(Q163=0,0,1)</f>
        <v>0</v>
      </c>
      <c r="AT163" s="12">
        <f t="shared" si="185"/>
        <v>0</v>
      </c>
      <c r="AU163" s="12">
        <f>IF(R163=0,0,1)</f>
        <v>1</v>
      </c>
      <c r="AV163" s="12">
        <f t="shared" si="186"/>
        <v>5700</v>
      </c>
    </row>
    <row r="164" spans="1:16378" ht="49.5" x14ac:dyDescent="0.25">
      <c r="A164" s="60">
        <v>2</v>
      </c>
      <c r="B164" s="9" t="s">
        <v>405</v>
      </c>
      <c r="C164" s="61" t="s">
        <v>336</v>
      </c>
      <c r="D164" s="61" t="s">
        <v>406</v>
      </c>
      <c r="E164" s="61" t="s">
        <v>72</v>
      </c>
      <c r="F164" s="61" t="s">
        <v>407</v>
      </c>
      <c r="G164" s="80">
        <v>24083</v>
      </c>
      <c r="H164" s="74">
        <f>G164</f>
        <v>24083</v>
      </c>
      <c r="I164" s="63">
        <f t="shared" ref="I164:K166" si="198">J164</f>
        <v>10340</v>
      </c>
      <c r="J164" s="63">
        <v>10340</v>
      </c>
      <c r="K164" s="63">
        <f t="shared" si="198"/>
        <v>10340</v>
      </c>
      <c r="L164" s="63">
        <v>10340</v>
      </c>
      <c r="M164" s="68">
        <f>N164</f>
        <v>9700</v>
      </c>
      <c r="N164" s="63">
        <v>9700</v>
      </c>
      <c r="O164" s="68">
        <f>P164</f>
        <v>9630</v>
      </c>
      <c r="P164" s="63">
        <v>9630</v>
      </c>
      <c r="Q164" s="54"/>
      <c r="R164" s="54">
        <f t="shared" ref="R164:R166" si="199">N164-T164</f>
        <v>70</v>
      </c>
      <c r="S164" s="68">
        <f>T164</f>
        <v>9630</v>
      </c>
      <c r="T164" s="63">
        <v>9630</v>
      </c>
      <c r="U164" s="63">
        <f>V164</f>
        <v>9660</v>
      </c>
      <c r="V164" s="63">
        <v>9660</v>
      </c>
      <c r="W164" s="63"/>
      <c r="X164" s="63"/>
      <c r="Y164" s="63"/>
      <c r="Z164" s="63"/>
      <c r="AA164" s="63">
        <f t="shared" si="193"/>
        <v>9660</v>
      </c>
      <c r="AB164" s="63">
        <f t="shared" si="193"/>
        <v>9660</v>
      </c>
      <c r="AC164" s="63">
        <f t="shared" si="194"/>
        <v>-30</v>
      </c>
      <c r="AD164" s="63">
        <f t="shared" si="194"/>
        <v>-30</v>
      </c>
      <c r="AE164" s="63">
        <f t="shared" si="195"/>
        <v>0</v>
      </c>
      <c r="AF164" s="63">
        <f t="shared" si="196"/>
        <v>0</v>
      </c>
      <c r="AG164" s="63"/>
      <c r="AH164" s="63"/>
      <c r="AI164" s="25" t="s">
        <v>404</v>
      </c>
      <c r="AJ164" s="19">
        <f t="shared" si="175"/>
        <v>1</v>
      </c>
      <c r="AK164" s="22">
        <f t="shared" si="182"/>
        <v>1</v>
      </c>
      <c r="AL164" s="22"/>
      <c r="AM164" s="12">
        <f>IF(AJ164=0,1,0)</f>
        <v>0</v>
      </c>
      <c r="AO164" s="12">
        <f>IF(P164=0,1,0)</f>
        <v>0</v>
      </c>
      <c r="AP164" s="12">
        <f t="shared" si="197"/>
        <v>0</v>
      </c>
      <c r="AQ164" s="12">
        <f>IF(N164=0,1,0)</f>
        <v>0</v>
      </c>
      <c r="AR164" s="12">
        <f t="shared" si="157"/>
        <v>0</v>
      </c>
      <c r="AS164" s="12">
        <f>IF(Q164=0,0,1)</f>
        <v>0</v>
      </c>
      <c r="AT164" s="12">
        <f t="shared" si="185"/>
        <v>0</v>
      </c>
      <c r="AU164" s="12">
        <f>IF(R164=0,0,1)</f>
        <v>1</v>
      </c>
      <c r="AV164" s="12">
        <f t="shared" si="186"/>
        <v>70</v>
      </c>
    </row>
    <row r="165" spans="1:16378" ht="49.5" x14ac:dyDescent="0.25">
      <c r="A165" s="60">
        <v>3</v>
      </c>
      <c r="B165" s="9" t="s">
        <v>408</v>
      </c>
      <c r="C165" s="61" t="s">
        <v>99</v>
      </c>
      <c r="D165" s="61" t="s">
        <v>409</v>
      </c>
      <c r="E165" s="61" t="s">
        <v>72</v>
      </c>
      <c r="F165" s="61" t="s">
        <v>410</v>
      </c>
      <c r="G165" s="80">
        <v>31326</v>
      </c>
      <c r="H165" s="74">
        <f>G165</f>
        <v>31326</v>
      </c>
      <c r="I165" s="63">
        <f t="shared" si="198"/>
        <v>8000</v>
      </c>
      <c r="J165" s="63">
        <v>8000</v>
      </c>
      <c r="K165" s="63">
        <f t="shared" si="198"/>
        <v>8000</v>
      </c>
      <c r="L165" s="63">
        <v>8000</v>
      </c>
      <c r="M165" s="68">
        <f>N165</f>
        <v>16400</v>
      </c>
      <c r="N165" s="63">
        <v>16400</v>
      </c>
      <c r="O165" s="68">
        <f>P165</f>
        <v>12210</v>
      </c>
      <c r="P165" s="63">
        <v>12210</v>
      </c>
      <c r="Q165" s="54"/>
      <c r="R165" s="54">
        <f t="shared" si="199"/>
        <v>4190</v>
      </c>
      <c r="S165" s="68">
        <f>T165</f>
        <v>12210</v>
      </c>
      <c r="T165" s="63">
        <v>12210</v>
      </c>
      <c r="U165" s="63">
        <f>V165</f>
        <v>9618</v>
      </c>
      <c r="V165" s="63">
        <v>9618</v>
      </c>
      <c r="W165" s="63"/>
      <c r="X165" s="63"/>
      <c r="Y165" s="63"/>
      <c r="Z165" s="63"/>
      <c r="AA165" s="63">
        <f t="shared" si="193"/>
        <v>9618</v>
      </c>
      <c r="AB165" s="63">
        <f t="shared" si="193"/>
        <v>9618</v>
      </c>
      <c r="AC165" s="63">
        <f t="shared" si="194"/>
        <v>2592</v>
      </c>
      <c r="AD165" s="63">
        <f t="shared" si="194"/>
        <v>2592</v>
      </c>
      <c r="AE165" s="63">
        <f t="shared" si="195"/>
        <v>0</v>
      </c>
      <c r="AF165" s="63">
        <f t="shared" si="196"/>
        <v>0</v>
      </c>
      <c r="AG165" s="63"/>
      <c r="AH165" s="63"/>
      <c r="AI165" s="25" t="s">
        <v>404</v>
      </c>
      <c r="AJ165" s="19">
        <f t="shared" si="175"/>
        <v>1</v>
      </c>
      <c r="AK165" s="22">
        <f t="shared" si="182"/>
        <v>1</v>
      </c>
      <c r="AL165" s="22"/>
      <c r="AM165" s="12">
        <f>IF(AJ165=0,1,0)</f>
        <v>0</v>
      </c>
      <c r="AO165" s="12">
        <f>IF(P165=0,1,0)</f>
        <v>0</v>
      </c>
      <c r="AP165" s="12">
        <f t="shared" si="197"/>
        <v>0</v>
      </c>
      <c r="AQ165" s="12">
        <f>IF(N165=0,1,0)</f>
        <v>0</v>
      </c>
      <c r="AR165" s="12">
        <f t="shared" si="157"/>
        <v>0</v>
      </c>
      <c r="AS165" s="12">
        <f>IF(Q165=0,0,1)</f>
        <v>0</v>
      </c>
      <c r="AT165" s="12">
        <f t="shared" si="185"/>
        <v>0</v>
      </c>
      <c r="AU165" s="12">
        <f>IF(R165=0,0,1)</f>
        <v>1</v>
      </c>
      <c r="AV165" s="12">
        <f t="shared" si="186"/>
        <v>4190</v>
      </c>
    </row>
    <row r="166" spans="1:16378" ht="49.5" x14ac:dyDescent="0.25">
      <c r="A166" s="60">
        <v>4</v>
      </c>
      <c r="B166" s="9" t="s">
        <v>411</v>
      </c>
      <c r="C166" s="61" t="s">
        <v>194</v>
      </c>
      <c r="D166" s="61" t="s">
        <v>412</v>
      </c>
      <c r="E166" s="61" t="s">
        <v>72</v>
      </c>
      <c r="F166" s="61" t="s">
        <v>413</v>
      </c>
      <c r="G166" s="80">
        <v>15383</v>
      </c>
      <c r="H166" s="74">
        <f>G166</f>
        <v>15383</v>
      </c>
      <c r="I166" s="63">
        <f t="shared" si="198"/>
        <v>5500</v>
      </c>
      <c r="J166" s="63">
        <v>5500</v>
      </c>
      <c r="K166" s="63">
        <f t="shared" si="198"/>
        <v>5500</v>
      </c>
      <c r="L166" s="63">
        <v>5500</v>
      </c>
      <c r="M166" s="68">
        <f>N166</f>
        <v>5650</v>
      </c>
      <c r="N166" s="63">
        <v>5650</v>
      </c>
      <c r="O166" s="68">
        <f>P166</f>
        <v>4120</v>
      </c>
      <c r="P166" s="63">
        <v>4120</v>
      </c>
      <c r="Q166" s="54"/>
      <c r="R166" s="54">
        <f t="shared" si="199"/>
        <v>1530</v>
      </c>
      <c r="S166" s="68">
        <f>T166</f>
        <v>4120</v>
      </c>
      <c r="T166" s="63">
        <v>4120</v>
      </c>
      <c r="U166" s="63">
        <f>V166</f>
        <v>4140</v>
      </c>
      <c r="V166" s="63">
        <v>4140</v>
      </c>
      <c r="W166" s="63"/>
      <c r="X166" s="63"/>
      <c r="Y166" s="63"/>
      <c r="Z166" s="63"/>
      <c r="AA166" s="63">
        <f t="shared" si="193"/>
        <v>4140</v>
      </c>
      <c r="AB166" s="63">
        <f t="shared" si="193"/>
        <v>4140</v>
      </c>
      <c r="AC166" s="63">
        <f t="shared" si="194"/>
        <v>-20</v>
      </c>
      <c r="AD166" s="63">
        <f t="shared" si="194"/>
        <v>-20</v>
      </c>
      <c r="AE166" s="63">
        <f t="shared" si="195"/>
        <v>0</v>
      </c>
      <c r="AF166" s="63">
        <f t="shared" si="196"/>
        <v>0</v>
      </c>
      <c r="AG166" s="63"/>
      <c r="AH166" s="63"/>
      <c r="AI166" s="25" t="s">
        <v>404</v>
      </c>
      <c r="AJ166" s="19">
        <f t="shared" si="175"/>
        <v>1</v>
      </c>
      <c r="AK166" s="22">
        <f t="shared" si="182"/>
        <v>1</v>
      </c>
      <c r="AL166" s="22"/>
      <c r="AM166" s="12">
        <f>IF(AJ166=0,1,0)</f>
        <v>0</v>
      </c>
      <c r="AO166" s="12">
        <f>IF(P166=0,1,0)</f>
        <v>0</v>
      </c>
      <c r="AP166" s="12">
        <f t="shared" si="197"/>
        <v>0</v>
      </c>
      <c r="AQ166" s="12">
        <f>IF(N166=0,1,0)</f>
        <v>0</v>
      </c>
      <c r="AR166" s="12">
        <f t="shared" si="157"/>
        <v>0</v>
      </c>
      <c r="AS166" s="12">
        <f>IF(Q166=0,0,1)</f>
        <v>0</v>
      </c>
      <c r="AT166" s="12">
        <f t="shared" si="185"/>
        <v>0</v>
      </c>
      <c r="AU166" s="12">
        <f>IF(R166=0,0,1)</f>
        <v>1</v>
      </c>
      <c r="AV166" s="12">
        <f t="shared" si="186"/>
        <v>1530</v>
      </c>
    </row>
    <row r="167" spans="1:16378" s="103" customFormat="1" ht="34.5" x14ac:dyDescent="0.25">
      <c r="A167" s="35" t="s">
        <v>85</v>
      </c>
      <c r="B167" s="36" t="s">
        <v>86</v>
      </c>
      <c r="C167" s="37"/>
      <c r="D167" s="37"/>
      <c r="E167" s="37"/>
      <c r="F167" s="37"/>
      <c r="G167" s="38">
        <f>G168+G189</f>
        <v>411120</v>
      </c>
      <c r="H167" s="38">
        <f t="shared" ref="H167:T167" si="200">H168+H189</f>
        <v>363120</v>
      </c>
      <c r="I167" s="38">
        <f t="shared" si="200"/>
        <v>0</v>
      </c>
      <c r="J167" s="38">
        <f t="shared" si="200"/>
        <v>0</v>
      </c>
      <c r="K167" s="38">
        <f t="shared" si="200"/>
        <v>0</v>
      </c>
      <c r="L167" s="38">
        <f t="shared" si="200"/>
        <v>0</v>
      </c>
      <c r="M167" s="38">
        <f t="shared" si="200"/>
        <v>227550.4</v>
      </c>
      <c r="N167" s="38">
        <f t="shared" si="200"/>
        <v>227550.4</v>
      </c>
      <c r="O167" s="38">
        <f t="shared" si="200"/>
        <v>299780</v>
      </c>
      <c r="P167" s="38">
        <f t="shared" si="200"/>
        <v>256580</v>
      </c>
      <c r="Q167" s="38">
        <f t="shared" si="200"/>
        <v>61850</v>
      </c>
      <c r="R167" s="38">
        <f t="shared" si="200"/>
        <v>5320.4</v>
      </c>
      <c r="S167" s="38">
        <f t="shared" si="200"/>
        <v>327280</v>
      </c>
      <c r="T167" s="38">
        <f t="shared" si="200"/>
        <v>284080</v>
      </c>
      <c r="U167" s="38">
        <f t="shared" ref="U167:AH167" si="201">U168+U189</f>
        <v>56362</v>
      </c>
      <c r="V167" s="38">
        <f t="shared" si="201"/>
        <v>56362</v>
      </c>
      <c r="W167" s="38">
        <f t="shared" si="201"/>
        <v>65550</v>
      </c>
      <c r="X167" s="38">
        <f t="shared" si="201"/>
        <v>65550</v>
      </c>
      <c r="Y167" s="38">
        <f t="shared" si="201"/>
        <v>95106</v>
      </c>
      <c r="Z167" s="38">
        <f t="shared" si="201"/>
        <v>95106</v>
      </c>
      <c r="AA167" s="38">
        <f t="shared" si="201"/>
        <v>217018</v>
      </c>
      <c r="AB167" s="38">
        <f t="shared" si="201"/>
        <v>217018</v>
      </c>
      <c r="AC167" s="38">
        <f t="shared" si="201"/>
        <v>80620</v>
      </c>
      <c r="AD167" s="38">
        <f t="shared" si="201"/>
        <v>37420</v>
      </c>
      <c r="AE167" s="38">
        <f t="shared" si="201"/>
        <v>25050</v>
      </c>
      <c r="AF167" s="38">
        <f t="shared" si="201"/>
        <v>25050</v>
      </c>
      <c r="AG167" s="38">
        <f t="shared" si="201"/>
        <v>9800</v>
      </c>
      <c r="AH167" s="38">
        <f t="shared" si="201"/>
        <v>9800</v>
      </c>
      <c r="AI167" s="38"/>
      <c r="AJ167" s="19">
        <f t="shared" si="175"/>
        <v>1</v>
      </c>
      <c r="AK167" s="102"/>
      <c r="AL167" s="743"/>
      <c r="AM167" s="743"/>
      <c r="AN167" s="102"/>
      <c r="AO167" s="102"/>
      <c r="AP167" s="102">
        <f t="shared" si="197"/>
        <v>0</v>
      </c>
      <c r="AQ167" s="102"/>
      <c r="AR167" s="102">
        <f t="shared" si="157"/>
        <v>0</v>
      </c>
      <c r="AS167" s="102"/>
      <c r="AT167" s="102">
        <f t="shared" si="185"/>
        <v>0</v>
      </c>
      <c r="AU167" s="102"/>
      <c r="AV167" s="102">
        <f t="shared" si="186"/>
        <v>0</v>
      </c>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c r="IW167" s="102"/>
      <c r="IX167" s="102"/>
      <c r="IY167" s="102"/>
      <c r="IZ167" s="102"/>
      <c r="JA167" s="102"/>
      <c r="JB167" s="102"/>
      <c r="JC167" s="102"/>
      <c r="JD167" s="102"/>
      <c r="JE167" s="102"/>
      <c r="JF167" s="102"/>
      <c r="JG167" s="102"/>
      <c r="JH167" s="102"/>
      <c r="JI167" s="102"/>
      <c r="JJ167" s="102"/>
      <c r="JK167" s="102"/>
      <c r="JL167" s="102"/>
      <c r="JM167" s="102"/>
      <c r="JN167" s="102"/>
      <c r="JO167" s="102"/>
      <c r="JP167" s="102"/>
      <c r="JQ167" s="102"/>
      <c r="JR167" s="102"/>
      <c r="JS167" s="102"/>
      <c r="JT167" s="102"/>
      <c r="JU167" s="102"/>
      <c r="JV167" s="102"/>
      <c r="JW167" s="102"/>
      <c r="JX167" s="102"/>
      <c r="JY167" s="102"/>
      <c r="JZ167" s="102"/>
      <c r="KA167" s="102"/>
      <c r="KB167" s="102"/>
      <c r="KC167" s="102"/>
      <c r="KD167" s="102"/>
      <c r="KE167" s="102"/>
      <c r="KF167" s="102"/>
      <c r="KG167" s="102"/>
      <c r="KH167" s="102"/>
      <c r="KI167" s="102"/>
      <c r="KJ167" s="102"/>
      <c r="KK167" s="102"/>
      <c r="KL167" s="102"/>
      <c r="KM167" s="102"/>
      <c r="KN167" s="102"/>
      <c r="KO167" s="102"/>
      <c r="KP167" s="102"/>
      <c r="KQ167" s="102"/>
      <c r="KR167" s="102"/>
      <c r="KS167" s="102"/>
      <c r="KT167" s="102"/>
      <c r="KU167" s="102"/>
      <c r="KV167" s="102"/>
      <c r="KW167" s="102"/>
      <c r="KX167" s="102"/>
      <c r="KY167" s="102"/>
      <c r="KZ167" s="102"/>
      <c r="LA167" s="102"/>
      <c r="LB167" s="102"/>
      <c r="LC167" s="102"/>
      <c r="LD167" s="102"/>
      <c r="LE167" s="102"/>
      <c r="LF167" s="102"/>
      <c r="LG167" s="102"/>
      <c r="LH167" s="102"/>
      <c r="LI167" s="102"/>
      <c r="LJ167" s="102"/>
      <c r="LK167" s="102"/>
      <c r="LL167" s="102"/>
      <c r="LM167" s="102"/>
      <c r="LN167" s="102"/>
      <c r="LO167" s="102"/>
      <c r="LP167" s="102"/>
      <c r="LQ167" s="102"/>
      <c r="LR167" s="102"/>
      <c r="LS167" s="102"/>
      <c r="LT167" s="102"/>
      <c r="LU167" s="102"/>
      <c r="LV167" s="102"/>
      <c r="LW167" s="102"/>
      <c r="LX167" s="102"/>
      <c r="LY167" s="102"/>
      <c r="LZ167" s="102"/>
      <c r="MA167" s="102"/>
      <c r="MB167" s="102"/>
      <c r="MC167" s="102"/>
      <c r="MD167" s="102"/>
      <c r="ME167" s="102"/>
      <c r="MF167" s="102"/>
      <c r="MG167" s="102"/>
      <c r="MH167" s="102"/>
      <c r="MI167" s="102"/>
      <c r="MJ167" s="102"/>
      <c r="MK167" s="102"/>
      <c r="ML167" s="102"/>
      <c r="MM167" s="102"/>
      <c r="MN167" s="102"/>
      <c r="MO167" s="102"/>
      <c r="MP167" s="102"/>
      <c r="MQ167" s="102"/>
      <c r="MR167" s="102"/>
      <c r="MS167" s="102"/>
      <c r="MT167" s="102"/>
      <c r="MU167" s="102"/>
      <c r="MV167" s="102"/>
      <c r="MW167" s="102"/>
      <c r="MX167" s="102"/>
      <c r="MY167" s="102"/>
      <c r="MZ167" s="102"/>
      <c r="NA167" s="102"/>
      <c r="NB167" s="102"/>
      <c r="NC167" s="102"/>
      <c r="ND167" s="102"/>
      <c r="NE167" s="102"/>
      <c r="NF167" s="102"/>
      <c r="NG167" s="102"/>
      <c r="NH167" s="102"/>
      <c r="NI167" s="102"/>
      <c r="NJ167" s="102"/>
      <c r="NK167" s="102"/>
      <c r="NL167" s="102"/>
      <c r="NM167" s="102"/>
      <c r="NN167" s="102"/>
      <c r="NO167" s="102"/>
      <c r="NP167" s="102"/>
      <c r="NQ167" s="102"/>
      <c r="NR167" s="102"/>
      <c r="NS167" s="102"/>
      <c r="NT167" s="102"/>
      <c r="NU167" s="102"/>
      <c r="NV167" s="102"/>
      <c r="NW167" s="102"/>
      <c r="NX167" s="102"/>
      <c r="NY167" s="102"/>
      <c r="NZ167" s="102"/>
      <c r="OA167" s="102"/>
      <c r="OB167" s="102"/>
      <c r="OC167" s="102"/>
      <c r="OD167" s="102"/>
      <c r="OE167" s="102"/>
      <c r="OF167" s="102"/>
      <c r="OG167" s="102"/>
      <c r="OH167" s="102"/>
      <c r="OI167" s="102"/>
      <c r="OJ167" s="102"/>
      <c r="OK167" s="102"/>
      <c r="OL167" s="102"/>
      <c r="OM167" s="102"/>
      <c r="ON167" s="102"/>
      <c r="OO167" s="102"/>
      <c r="OP167" s="102"/>
      <c r="OQ167" s="102"/>
      <c r="OR167" s="102"/>
      <c r="OS167" s="102"/>
      <c r="OT167" s="102"/>
      <c r="OU167" s="102"/>
      <c r="OV167" s="102"/>
      <c r="OW167" s="102"/>
      <c r="OX167" s="102"/>
      <c r="OY167" s="102"/>
      <c r="OZ167" s="102"/>
      <c r="PA167" s="102"/>
      <c r="PB167" s="102"/>
      <c r="PC167" s="102"/>
      <c r="PD167" s="102"/>
      <c r="PE167" s="102"/>
      <c r="PF167" s="102"/>
      <c r="PG167" s="102"/>
      <c r="PH167" s="102"/>
      <c r="PI167" s="102"/>
      <c r="PJ167" s="102"/>
      <c r="PK167" s="102"/>
      <c r="PL167" s="102"/>
      <c r="PM167" s="102"/>
      <c r="PN167" s="102"/>
      <c r="PO167" s="102"/>
      <c r="PP167" s="102"/>
      <c r="PQ167" s="102"/>
      <c r="PR167" s="102"/>
      <c r="PS167" s="102"/>
      <c r="PT167" s="102"/>
      <c r="PU167" s="102"/>
      <c r="PV167" s="102"/>
      <c r="PW167" s="102"/>
      <c r="PX167" s="102"/>
      <c r="PY167" s="102"/>
      <c r="PZ167" s="102"/>
      <c r="QA167" s="102"/>
      <c r="QB167" s="102"/>
      <c r="QC167" s="102"/>
      <c r="QD167" s="102"/>
      <c r="QE167" s="102"/>
      <c r="QF167" s="102"/>
      <c r="QG167" s="102"/>
      <c r="QH167" s="102"/>
      <c r="QI167" s="102"/>
      <c r="QJ167" s="102"/>
      <c r="QK167" s="102"/>
      <c r="QL167" s="102"/>
      <c r="QM167" s="102"/>
      <c r="QN167" s="102"/>
      <c r="QO167" s="102"/>
      <c r="QP167" s="102"/>
      <c r="QQ167" s="102"/>
      <c r="QR167" s="102"/>
      <c r="QS167" s="102"/>
      <c r="QT167" s="102"/>
      <c r="QU167" s="102"/>
      <c r="QV167" s="102"/>
      <c r="QW167" s="102"/>
      <c r="QX167" s="102"/>
      <c r="QY167" s="102"/>
      <c r="QZ167" s="102"/>
      <c r="RA167" s="102"/>
      <c r="RB167" s="102"/>
      <c r="RC167" s="102"/>
      <c r="RD167" s="102"/>
      <c r="RE167" s="102"/>
      <c r="RF167" s="102"/>
      <c r="RG167" s="102"/>
      <c r="RH167" s="102"/>
      <c r="RI167" s="102"/>
      <c r="RJ167" s="102"/>
      <c r="RK167" s="102"/>
      <c r="RL167" s="102"/>
      <c r="RM167" s="102"/>
      <c r="RN167" s="102"/>
      <c r="RO167" s="102"/>
      <c r="RP167" s="102"/>
      <c r="RQ167" s="102"/>
      <c r="RR167" s="102"/>
      <c r="RS167" s="102"/>
      <c r="RT167" s="102"/>
      <c r="RU167" s="102"/>
      <c r="RV167" s="102"/>
      <c r="RW167" s="102"/>
      <c r="RX167" s="102"/>
      <c r="RY167" s="102"/>
      <c r="RZ167" s="102"/>
      <c r="SA167" s="102"/>
      <c r="SB167" s="102"/>
      <c r="SC167" s="102"/>
      <c r="SD167" s="102"/>
      <c r="SE167" s="102"/>
      <c r="SF167" s="102"/>
      <c r="SG167" s="102"/>
      <c r="SH167" s="102"/>
      <c r="SI167" s="102"/>
      <c r="SJ167" s="102"/>
      <c r="SK167" s="102"/>
      <c r="SL167" s="102"/>
      <c r="SM167" s="102"/>
      <c r="SN167" s="102"/>
      <c r="SO167" s="102"/>
      <c r="SP167" s="102"/>
      <c r="SQ167" s="102"/>
      <c r="SR167" s="102"/>
      <c r="SS167" s="102"/>
      <c r="ST167" s="102"/>
      <c r="SU167" s="102"/>
      <c r="SV167" s="102"/>
      <c r="SW167" s="102"/>
      <c r="SX167" s="102"/>
      <c r="SY167" s="102"/>
      <c r="SZ167" s="102"/>
      <c r="TA167" s="102"/>
      <c r="TB167" s="102"/>
      <c r="TC167" s="102"/>
      <c r="TD167" s="102"/>
      <c r="TE167" s="102"/>
      <c r="TF167" s="102"/>
      <c r="TG167" s="102"/>
      <c r="TH167" s="102"/>
      <c r="TI167" s="102"/>
      <c r="TJ167" s="102"/>
      <c r="TK167" s="102"/>
      <c r="TL167" s="102"/>
      <c r="TM167" s="102"/>
      <c r="TN167" s="102"/>
      <c r="TO167" s="102"/>
      <c r="TP167" s="102"/>
      <c r="TQ167" s="102"/>
      <c r="TR167" s="102"/>
      <c r="TS167" s="102"/>
      <c r="TT167" s="102"/>
      <c r="TU167" s="102"/>
      <c r="TV167" s="102"/>
      <c r="TW167" s="102"/>
      <c r="TX167" s="102"/>
      <c r="TY167" s="102"/>
      <c r="TZ167" s="102"/>
      <c r="UA167" s="102"/>
      <c r="UB167" s="102"/>
      <c r="UC167" s="102"/>
      <c r="UD167" s="102"/>
      <c r="UE167" s="102"/>
      <c r="UF167" s="102"/>
      <c r="UG167" s="102"/>
      <c r="UH167" s="102"/>
      <c r="UI167" s="102"/>
      <c r="UJ167" s="102"/>
      <c r="UK167" s="102"/>
      <c r="UL167" s="102"/>
      <c r="UM167" s="102"/>
      <c r="UN167" s="102"/>
      <c r="UO167" s="102"/>
      <c r="UP167" s="102"/>
      <c r="UQ167" s="102"/>
      <c r="UR167" s="102"/>
      <c r="US167" s="102"/>
      <c r="UT167" s="102"/>
      <c r="UU167" s="102"/>
      <c r="UV167" s="102"/>
      <c r="UW167" s="102"/>
      <c r="UX167" s="102"/>
      <c r="UY167" s="102"/>
      <c r="UZ167" s="102"/>
      <c r="VA167" s="102"/>
      <c r="VB167" s="102"/>
      <c r="VC167" s="102"/>
      <c r="VD167" s="102"/>
      <c r="VE167" s="102"/>
      <c r="VF167" s="102"/>
      <c r="VG167" s="102"/>
      <c r="VH167" s="102"/>
      <c r="VI167" s="102"/>
      <c r="VJ167" s="102"/>
      <c r="VK167" s="102"/>
      <c r="VL167" s="102"/>
      <c r="VM167" s="102"/>
      <c r="VN167" s="102"/>
      <c r="VO167" s="102"/>
      <c r="VP167" s="102"/>
      <c r="VQ167" s="102"/>
      <c r="VR167" s="102"/>
      <c r="VS167" s="102"/>
      <c r="VT167" s="102"/>
      <c r="VU167" s="102"/>
      <c r="VV167" s="102"/>
      <c r="VW167" s="102"/>
      <c r="VX167" s="102"/>
      <c r="VY167" s="102"/>
      <c r="VZ167" s="102"/>
      <c r="WA167" s="102"/>
      <c r="WB167" s="102"/>
      <c r="WC167" s="102"/>
      <c r="WD167" s="102"/>
      <c r="WE167" s="102"/>
      <c r="WF167" s="102"/>
      <c r="WG167" s="102"/>
      <c r="WH167" s="102"/>
      <c r="WI167" s="102"/>
      <c r="WJ167" s="102"/>
      <c r="WK167" s="102"/>
      <c r="WL167" s="102"/>
      <c r="WM167" s="102"/>
      <c r="WN167" s="102"/>
      <c r="WO167" s="102"/>
      <c r="WP167" s="102"/>
      <c r="WQ167" s="102"/>
      <c r="WR167" s="102"/>
      <c r="WS167" s="102"/>
      <c r="WT167" s="102"/>
      <c r="WU167" s="102"/>
      <c r="WV167" s="102"/>
      <c r="WW167" s="102"/>
      <c r="WX167" s="102"/>
      <c r="WY167" s="102"/>
      <c r="WZ167" s="102"/>
      <c r="XA167" s="102"/>
      <c r="XB167" s="102"/>
      <c r="XC167" s="102"/>
      <c r="XD167" s="102"/>
      <c r="XE167" s="102"/>
      <c r="XF167" s="102"/>
      <c r="XG167" s="102"/>
      <c r="XH167" s="102"/>
      <c r="XI167" s="102"/>
      <c r="XJ167" s="102"/>
      <c r="XK167" s="102"/>
      <c r="XL167" s="102"/>
      <c r="XM167" s="102"/>
      <c r="XN167" s="102"/>
      <c r="XO167" s="102"/>
      <c r="XP167" s="102"/>
      <c r="XQ167" s="102"/>
      <c r="XR167" s="102"/>
      <c r="XS167" s="102"/>
      <c r="XT167" s="102"/>
      <c r="XU167" s="102"/>
      <c r="XV167" s="102"/>
      <c r="XW167" s="102"/>
      <c r="XX167" s="102"/>
      <c r="XY167" s="102"/>
      <c r="XZ167" s="102"/>
      <c r="YA167" s="102"/>
      <c r="YB167" s="102"/>
      <c r="YC167" s="102"/>
      <c r="YD167" s="102"/>
      <c r="YE167" s="102"/>
      <c r="YF167" s="102"/>
      <c r="YG167" s="102"/>
      <c r="YH167" s="102"/>
      <c r="YI167" s="102"/>
      <c r="YJ167" s="102"/>
      <c r="YK167" s="102"/>
      <c r="YL167" s="102"/>
      <c r="YM167" s="102"/>
      <c r="YN167" s="102"/>
      <c r="YO167" s="102"/>
      <c r="YP167" s="102"/>
      <c r="YQ167" s="102"/>
      <c r="YR167" s="102"/>
      <c r="YS167" s="102"/>
      <c r="YT167" s="102"/>
      <c r="YU167" s="102"/>
      <c r="YV167" s="102"/>
      <c r="YW167" s="102"/>
      <c r="YX167" s="102"/>
      <c r="YY167" s="102"/>
      <c r="YZ167" s="102"/>
      <c r="ZA167" s="102"/>
      <c r="ZB167" s="102"/>
      <c r="ZC167" s="102"/>
      <c r="ZD167" s="102"/>
      <c r="ZE167" s="102"/>
      <c r="ZF167" s="102"/>
      <c r="ZG167" s="102"/>
      <c r="ZH167" s="102"/>
      <c r="ZI167" s="102"/>
      <c r="ZJ167" s="102"/>
      <c r="ZK167" s="102"/>
      <c r="ZL167" s="102"/>
      <c r="ZM167" s="102"/>
      <c r="ZN167" s="102"/>
      <c r="ZO167" s="102"/>
      <c r="ZP167" s="102"/>
      <c r="ZQ167" s="102"/>
      <c r="ZR167" s="102"/>
      <c r="ZS167" s="102"/>
      <c r="ZT167" s="102"/>
      <c r="ZU167" s="102"/>
      <c r="ZV167" s="102"/>
      <c r="ZW167" s="102"/>
      <c r="ZX167" s="102"/>
      <c r="ZY167" s="102"/>
      <c r="ZZ167" s="102"/>
      <c r="AAA167" s="102"/>
      <c r="AAB167" s="102"/>
      <c r="AAC167" s="102"/>
      <c r="AAD167" s="102"/>
      <c r="AAE167" s="102"/>
      <c r="AAF167" s="102"/>
      <c r="AAG167" s="102"/>
      <c r="AAH167" s="102"/>
      <c r="AAI167" s="102"/>
      <c r="AAJ167" s="102"/>
      <c r="AAK167" s="102"/>
      <c r="AAL167" s="102"/>
      <c r="AAM167" s="102"/>
      <c r="AAN167" s="102"/>
      <c r="AAO167" s="102"/>
      <c r="AAP167" s="102"/>
      <c r="AAQ167" s="102"/>
      <c r="AAR167" s="102"/>
      <c r="AAS167" s="102"/>
      <c r="AAT167" s="102"/>
      <c r="AAU167" s="102"/>
      <c r="AAV167" s="102"/>
      <c r="AAW167" s="102"/>
      <c r="AAX167" s="102"/>
      <c r="AAY167" s="102"/>
      <c r="AAZ167" s="102"/>
      <c r="ABA167" s="102"/>
      <c r="ABB167" s="102"/>
      <c r="ABC167" s="102"/>
      <c r="ABD167" s="102"/>
      <c r="ABE167" s="102"/>
      <c r="ABF167" s="102"/>
      <c r="ABG167" s="102"/>
      <c r="ABH167" s="102"/>
      <c r="ABI167" s="102"/>
      <c r="ABJ167" s="102"/>
      <c r="ABK167" s="102"/>
      <c r="ABL167" s="102"/>
      <c r="ABM167" s="102"/>
      <c r="ABN167" s="102"/>
      <c r="ABO167" s="102"/>
      <c r="ABP167" s="102"/>
      <c r="ABQ167" s="102"/>
      <c r="ABR167" s="102"/>
      <c r="ABS167" s="102"/>
      <c r="ABT167" s="102"/>
      <c r="ABU167" s="102"/>
      <c r="ABV167" s="102"/>
      <c r="ABW167" s="102"/>
      <c r="ABX167" s="102"/>
      <c r="ABY167" s="102"/>
      <c r="ABZ167" s="102"/>
      <c r="ACA167" s="102"/>
      <c r="ACB167" s="102"/>
      <c r="ACC167" s="102"/>
      <c r="ACD167" s="102"/>
      <c r="ACE167" s="102"/>
      <c r="ACF167" s="102"/>
      <c r="ACG167" s="102"/>
      <c r="ACH167" s="102"/>
      <c r="ACI167" s="102"/>
      <c r="ACJ167" s="102"/>
      <c r="ACK167" s="102"/>
      <c r="ACL167" s="102"/>
      <c r="ACM167" s="102"/>
      <c r="ACN167" s="102"/>
      <c r="ACO167" s="102"/>
      <c r="ACP167" s="102"/>
      <c r="ACQ167" s="102"/>
      <c r="ACR167" s="102"/>
      <c r="ACS167" s="102"/>
      <c r="ACT167" s="102"/>
      <c r="ACU167" s="102"/>
      <c r="ACV167" s="102"/>
      <c r="ACW167" s="102"/>
      <c r="ACX167" s="102"/>
      <c r="ACY167" s="102"/>
      <c r="ACZ167" s="102"/>
      <c r="ADA167" s="102"/>
      <c r="ADB167" s="102"/>
      <c r="ADC167" s="102"/>
      <c r="ADD167" s="102"/>
      <c r="ADE167" s="102"/>
      <c r="ADF167" s="102"/>
      <c r="ADG167" s="102"/>
      <c r="ADH167" s="102"/>
      <c r="ADI167" s="102"/>
      <c r="ADJ167" s="102"/>
      <c r="ADK167" s="102"/>
      <c r="ADL167" s="102"/>
      <c r="ADM167" s="102"/>
      <c r="ADN167" s="102"/>
      <c r="ADO167" s="102"/>
      <c r="ADP167" s="102"/>
      <c r="ADQ167" s="102"/>
      <c r="ADR167" s="102"/>
      <c r="ADS167" s="102"/>
      <c r="ADT167" s="102"/>
      <c r="ADU167" s="102"/>
      <c r="ADV167" s="102"/>
      <c r="ADW167" s="102"/>
      <c r="ADX167" s="102"/>
      <c r="ADY167" s="102"/>
      <c r="ADZ167" s="102"/>
      <c r="AEA167" s="102"/>
      <c r="AEB167" s="102"/>
      <c r="AEC167" s="102"/>
      <c r="AED167" s="102"/>
      <c r="AEE167" s="102"/>
      <c r="AEF167" s="102"/>
      <c r="AEG167" s="102"/>
      <c r="AEH167" s="102"/>
      <c r="AEI167" s="102"/>
      <c r="AEJ167" s="102"/>
      <c r="AEK167" s="102"/>
      <c r="AEL167" s="102"/>
      <c r="AEM167" s="102"/>
      <c r="AEN167" s="102"/>
      <c r="AEO167" s="102"/>
      <c r="AEP167" s="102"/>
      <c r="AEQ167" s="102"/>
      <c r="AER167" s="102"/>
      <c r="AES167" s="102"/>
      <c r="AET167" s="102"/>
      <c r="AEU167" s="102"/>
      <c r="AEV167" s="102"/>
      <c r="AEW167" s="102"/>
      <c r="AEX167" s="102"/>
      <c r="AEY167" s="102"/>
      <c r="AEZ167" s="102"/>
      <c r="AFA167" s="102"/>
      <c r="AFB167" s="102"/>
      <c r="AFC167" s="102"/>
      <c r="AFD167" s="102"/>
      <c r="AFE167" s="102"/>
      <c r="AFF167" s="102"/>
      <c r="AFG167" s="102"/>
      <c r="AFH167" s="102"/>
      <c r="AFI167" s="102"/>
      <c r="AFJ167" s="102"/>
      <c r="AFK167" s="102"/>
      <c r="AFL167" s="102"/>
      <c r="AFM167" s="102"/>
      <c r="AFN167" s="102"/>
      <c r="AFO167" s="102"/>
      <c r="AFP167" s="102"/>
      <c r="AFQ167" s="102"/>
      <c r="AFR167" s="102"/>
      <c r="AFS167" s="102"/>
      <c r="AFT167" s="102"/>
      <c r="AFU167" s="102"/>
      <c r="AFV167" s="102"/>
      <c r="AFW167" s="102"/>
      <c r="AFX167" s="102"/>
      <c r="AFY167" s="102"/>
      <c r="AFZ167" s="102"/>
      <c r="AGA167" s="102"/>
      <c r="AGB167" s="102"/>
      <c r="AGC167" s="102"/>
      <c r="AGD167" s="102"/>
      <c r="AGE167" s="102"/>
      <c r="AGF167" s="102"/>
      <c r="AGG167" s="102"/>
      <c r="AGH167" s="102"/>
      <c r="AGI167" s="102"/>
      <c r="AGJ167" s="102"/>
      <c r="AGK167" s="102"/>
      <c r="AGL167" s="102"/>
      <c r="AGM167" s="102"/>
      <c r="AGN167" s="102"/>
      <c r="AGO167" s="102"/>
      <c r="AGP167" s="102"/>
      <c r="AGQ167" s="102"/>
      <c r="AGR167" s="102"/>
      <c r="AGS167" s="102"/>
      <c r="AGT167" s="102"/>
      <c r="AGU167" s="102"/>
      <c r="AGV167" s="102"/>
      <c r="AGW167" s="102"/>
      <c r="AGX167" s="102"/>
      <c r="AGY167" s="102"/>
      <c r="AGZ167" s="102"/>
      <c r="AHA167" s="102"/>
      <c r="AHB167" s="102"/>
      <c r="AHC167" s="102"/>
      <c r="AHD167" s="102"/>
      <c r="AHE167" s="102"/>
      <c r="AHF167" s="102"/>
      <c r="AHG167" s="102"/>
      <c r="AHH167" s="102"/>
      <c r="AHI167" s="102"/>
      <c r="AHJ167" s="102"/>
      <c r="AHK167" s="102"/>
      <c r="AHL167" s="102"/>
      <c r="AHM167" s="102"/>
      <c r="AHN167" s="102"/>
      <c r="AHO167" s="102"/>
      <c r="AHP167" s="102"/>
      <c r="AHQ167" s="102"/>
      <c r="AHR167" s="102"/>
      <c r="AHS167" s="102"/>
      <c r="AHT167" s="102"/>
      <c r="AHU167" s="102"/>
      <c r="AHV167" s="102"/>
      <c r="AHW167" s="102"/>
      <c r="AHX167" s="102"/>
      <c r="AHY167" s="102"/>
      <c r="AHZ167" s="102"/>
      <c r="AIA167" s="102"/>
      <c r="AIB167" s="102"/>
      <c r="AIC167" s="102"/>
      <c r="AID167" s="102"/>
      <c r="AIE167" s="102"/>
      <c r="AIF167" s="102"/>
      <c r="AIG167" s="102"/>
      <c r="AIH167" s="102"/>
      <c r="AII167" s="102"/>
      <c r="AIJ167" s="102"/>
      <c r="AIK167" s="102"/>
      <c r="AIL167" s="102"/>
      <c r="AIM167" s="102"/>
      <c r="AIN167" s="102"/>
      <c r="AIO167" s="102"/>
      <c r="AIP167" s="102"/>
      <c r="AIQ167" s="102"/>
      <c r="AIR167" s="102"/>
      <c r="AIS167" s="102"/>
      <c r="AIT167" s="102"/>
      <c r="AIU167" s="102"/>
      <c r="AIV167" s="102"/>
      <c r="AIW167" s="102"/>
      <c r="AIX167" s="102"/>
      <c r="AIY167" s="102"/>
      <c r="AIZ167" s="102"/>
      <c r="AJA167" s="102"/>
      <c r="AJB167" s="102"/>
      <c r="AJC167" s="102"/>
      <c r="AJD167" s="102"/>
      <c r="AJE167" s="102"/>
      <c r="AJF167" s="102"/>
      <c r="AJG167" s="102"/>
      <c r="AJH167" s="102"/>
      <c r="AJI167" s="102"/>
      <c r="AJJ167" s="102"/>
      <c r="AJK167" s="102"/>
      <c r="AJL167" s="102"/>
      <c r="AJM167" s="102"/>
      <c r="AJN167" s="102"/>
      <c r="AJO167" s="102"/>
      <c r="AJP167" s="102"/>
      <c r="AJQ167" s="102"/>
      <c r="AJR167" s="102"/>
      <c r="AJS167" s="102"/>
      <c r="AJT167" s="102"/>
      <c r="AJU167" s="102"/>
      <c r="AJV167" s="102"/>
      <c r="AJW167" s="102"/>
      <c r="AJX167" s="102"/>
      <c r="AJY167" s="102"/>
      <c r="AJZ167" s="102"/>
      <c r="AKA167" s="102"/>
      <c r="AKB167" s="102"/>
      <c r="AKC167" s="102"/>
      <c r="AKD167" s="102"/>
      <c r="AKE167" s="102"/>
      <c r="AKF167" s="102"/>
      <c r="AKG167" s="102"/>
      <c r="AKH167" s="102"/>
      <c r="AKI167" s="102"/>
      <c r="AKJ167" s="102"/>
      <c r="AKK167" s="102"/>
      <c r="AKL167" s="102"/>
      <c r="AKM167" s="102"/>
      <c r="AKN167" s="102"/>
      <c r="AKO167" s="102"/>
      <c r="AKP167" s="102"/>
      <c r="AKQ167" s="102"/>
      <c r="AKR167" s="102"/>
      <c r="AKS167" s="102"/>
      <c r="AKT167" s="102"/>
      <c r="AKU167" s="102"/>
      <c r="AKV167" s="102"/>
      <c r="AKW167" s="102"/>
      <c r="AKX167" s="102"/>
      <c r="AKY167" s="102"/>
      <c r="AKZ167" s="102"/>
      <c r="ALA167" s="102"/>
      <c r="ALB167" s="102"/>
      <c r="ALC167" s="102"/>
      <c r="ALD167" s="102"/>
      <c r="ALE167" s="102"/>
      <c r="ALF167" s="102"/>
      <c r="ALG167" s="102"/>
      <c r="ALH167" s="102"/>
      <c r="ALI167" s="102"/>
      <c r="ALJ167" s="102"/>
      <c r="ALK167" s="102"/>
      <c r="ALL167" s="102"/>
      <c r="ALM167" s="102"/>
      <c r="ALN167" s="102"/>
      <c r="ALO167" s="102"/>
      <c r="ALP167" s="102"/>
      <c r="ALQ167" s="102"/>
      <c r="ALR167" s="102"/>
      <c r="ALS167" s="102"/>
      <c r="ALT167" s="102"/>
      <c r="ALU167" s="102"/>
      <c r="ALV167" s="102"/>
      <c r="ALW167" s="102"/>
      <c r="ALX167" s="102"/>
      <c r="ALY167" s="102"/>
      <c r="ALZ167" s="102"/>
      <c r="AMA167" s="102"/>
      <c r="AMB167" s="102"/>
      <c r="AMC167" s="102"/>
      <c r="AMD167" s="102"/>
      <c r="AME167" s="102"/>
      <c r="AMF167" s="102"/>
      <c r="AMG167" s="102"/>
      <c r="AMH167" s="102"/>
      <c r="AMI167" s="102"/>
      <c r="AMJ167" s="102"/>
      <c r="AMK167" s="102"/>
      <c r="AML167" s="102"/>
      <c r="AMM167" s="102"/>
      <c r="AMN167" s="102"/>
      <c r="AMO167" s="102"/>
      <c r="AMP167" s="102"/>
      <c r="AMQ167" s="102"/>
      <c r="AMR167" s="102"/>
      <c r="AMS167" s="102"/>
      <c r="AMT167" s="102"/>
      <c r="AMU167" s="102"/>
      <c r="AMV167" s="102"/>
      <c r="AMW167" s="102"/>
      <c r="AMX167" s="102"/>
      <c r="AMY167" s="102"/>
      <c r="AMZ167" s="102"/>
      <c r="ANA167" s="102"/>
      <c r="ANB167" s="102"/>
      <c r="ANC167" s="102"/>
      <c r="AND167" s="102"/>
      <c r="ANE167" s="102"/>
      <c r="ANF167" s="102"/>
      <c r="ANG167" s="102"/>
      <c r="ANH167" s="102"/>
      <c r="ANI167" s="102"/>
      <c r="ANJ167" s="102"/>
      <c r="ANK167" s="102"/>
      <c r="ANL167" s="102"/>
      <c r="ANM167" s="102"/>
      <c r="ANN167" s="102"/>
      <c r="ANO167" s="102"/>
      <c r="ANP167" s="102"/>
      <c r="ANQ167" s="102"/>
      <c r="ANR167" s="102"/>
      <c r="ANS167" s="102"/>
      <c r="ANT167" s="102"/>
      <c r="ANU167" s="102"/>
      <c r="ANV167" s="102"/>
      <c r="ANW167" s="102"/>
      <c r="ANX167" s="102"/>
      <c r="ANY167" s="102"/>
      <c r="ANZ167" s="102"/>
      <c r="AOA167" s="102"/>
      <c r="AOB167" s="102"/>
      <c r="AOC167" s="102"/>
      <c r="AOD167" s="102"/>
      <c r="AOE167" s="102"/>
      <c r="AOF167" s="102"/>
      <c r="AOG167" s="102"/>
      <c r="AOH167" s="102"/>
      <c r="AOI167" s="102"/>
      <c r="AOJ167" s="102"/>
      <c r="AOK167" s="102"/>
      <c r="AOL167" s="102"/>
      <c r="AOM167" s="102"/>
      <c r="AON167" s="102"/>
      <c r="AOO167" s="102"/>
      <c r="AOP167" s="102"/>
      <c r="AOQ167" s="102"/>
      <c r="AOR167" s="102"/>
      <c r="AOS167" s="102"/>
      <c r="AOT167" s="102"/>
      <c r="AOU167" s="102"/>
      <c r="AOV167" s="102"/>
      <c r="AOW167" s="102"/>
      <c r="AOX167" s="102"/>
      <c r="AOY167" s="102"/>
      <c r="AOZ167" s="102"/>
      <c r="APA167" s="102"/>
      <c r="APB167" s="102"/>
      <c r="APC167" s="102"/>
      <c r="APD167" s="102"/>
      <c r="APE167" s="102"/>
      <c r="APF167" s="102"/>
      <c r="APG167" s="102"/>
      <c r="APH167" s="102"/>
      <c r="API167" s="102"/>
      <c r="APJ167" s="102"/>
      <c r="APK167" s="102"/>
      <c r="APL167" s="102"/>
      <c r="APM167" s="102"/>
      <c r="APN167" s="102"/>
      <c r="APO167" s="102"/>
      <c r="APP167" s="102"/>
      <c r="APQ167" s="102"/>
      <c r="APR167" s="102"/>
      <c r="APS167" s="102"/>
      <c r="APT167" s="102"/>
      <c r="APU167" s="102"/>
      <c r="APV167" s="102"/>
      <c r="APW167" s="102"/>
      <c r="APX167" s="102"/>
      <c r="APY167" s="102"/>
      <c r="APZ167" s="102"/>
      <c r="AQA167" s="102"/>
      <c r="AQB167" s="102"/>
      <c r="AQC167" s="102"/>
      <c r="AQD167" s="102"/>
      <c r="AQE167" s="102"/>
      <c r="AQF167" s="102"/>
      <c r="AQG167" s="102"/>
      <c r="AQH167" s="102"/>
      <c r="AQI167" s="102"/>
      <c r="AQJ167" s="102"/>
      <c r="AQK167" s="102"/>
      <c r="AQL167" s="102"/>
      <c r="AQM167" s="102"/>
      <c r="AQN167" s="102"/>
      <c r="AQO167" s="102"/>
      <c r="AQP167" s="102"/>
      <c r="AQQ167" s="102"/>
      <c r="AQR167" s="102"/>
      <c r="AQS167" s="102"/>
      <c r="AQT167" s="102"/>
      <c r="AQU167" s="102"/>
      <c r="AQV167" s="102"/>
      <c r="AQW167" s="102"/>
      <c r="AQX167" s="102"/>
      <c r="AQY167" s="102"/>
      <c r="AQZ167" s="102"/>
      <c r="ARA167" s="102"/>
      <c r="ARB167" s="102"/>
      <c r="ARC167" s="102"/>
      <c r="ARD167" s="102"/>
      <c r="ARE167" s="102"/>
      <c r="ARF167" s="102"/>
      <c r="ARG167" s="102"/>
      <c r="ARH167" s="102"/>
      <c r="ARI167" s="102"/>
      <c r="ARJ167" s="102"/>
      <c r="ARK167" s="102"/>
      <c r="ARL167" s="102"/>
      <c r="ARM167" s="102"/>
      <c r="ARN167" s="102"/>
      <c r="ARO167" s="102"/>
      <c r="ARP167" s="102"/>
      <c r="ARQ167" s="102"/>
      <c r="ARR167" s="102"/>
      <c r="ARS167" s="102"/>
      <c r="ART167" s="102"/>
      <c r="ARU167" s="102"/>
      <c r="ARV167" s="102"/>
      <c r="ARW167" s="102"/>
      <c r="ARX167" s="102"/>
      <c r="ARY167" s="102"/>
      <c r="ARZ167" s="102"/>
      <c r="ASA167" s="102"/>
      <c r="ASB167" s="102"/>
      <c r="ASC167" s="102"/>
      <c r="ASD167" s="102"/>
      <c r="ASE167" s="102"/>
      <c r="ASF167" s="102"/>
      <c r="ASG167" s="102"/>
      <c r="ASH167" s="102"/>
      <c r="ASI167" s="102"/>
      <c r="ASJ167" s="102"/>
      <c r="ASK167" s="102"/>
      <c r="ASL167" s="102"/>
      <c r="ASM167" s="102"/>
      <c r="ASN167" s="102"/>
      <c r="ASO167" s="102"/>
      <c r="ASP167" s="102"/>
      <c r="ASQ167" s="102"/>
      <c r="ASR167" s="102"/>
      <c r="ASS167" s="102"/>
      <c r="AST167" s="102"/>
      <c r="ASU167" s="102"/>
      <c r="ASV167" s="102"/>
      <c r="ASW167" s="102"/>
      <c r="ASX167" s="102"/>
      <c r="ASY167" s="102"/>
      <c r="ASZ167" s="102"/>
      <c r="ATA167" s="102"/>
      <c r="ATB167" s="102"/>
      <c r="ATC167" s="102"/>
      <c r="ATD167" s="102"/>
      <c r="ATE167" s="102"/>
      <c r="ATF167" s="102"/>
      <c r="ATG167" s="102"/>
      <c r="ATH167" s="102"/>
      <c r="ATI167" s="102"/>
      <c r="ATJ167" s="102"/>
      <c r="ATK167" s="102"/>
      <c r="ATL167" s="102"/>
      <c r="ATM167" s="102"/>
      <c r="ATN167" s="102"/>
      <c r="ATO167" s="102"/>
      <c r="ATP167" s="102"/>
      <c r="ATQ167" s="102"/>
      <c r="ATR167" s="102"/>
      <c r="ATS167" s="102"/>
      <c r="ATT167" s="102"/>
      <c r="ATU167" s="102"/>
      <c r="ATV167" s="102"/>
      <c r="ATW167" s="102"/>
      <c r="ATX167" s="102"/>
      <c r="ATY167" s="102"/>
      <c r="ATZ167" s="102"/>
      <c r="AUA167" s="102"/>
      <c r="AUB167" s="102"/>
      <c r="AUC167" s="102"/>
      <c r="AUD167" s="102"/>
      <c r="AUE167" s="102"/>
      <c r="AUF167" s="102"/>
      <c r="AUG167" s="102"/>
      <c r="AUH167" s="102"/>
      <c r="AUI167" s="102"/>
      <c r="AUJ167" s="102"/>
      <c r="AUK167" s="102"/>
      <c r="AUL167" s="102"/>
      <c r="AUM167" s="102"/>
      <c r="AUN167" s="102"/>
      <c r="AUO167" s="102"/>
      <c r="AUP167" s="102"/>
      <c r="AUQ167" s="102"/>
      <c r="AUR167" s="102"/>
      <c r="AUS167" s="102"/>
      <c r="AUT167" s="102"/>
      <c r="AUU167" s="102"/>
      <c r="AUV167" s="102"/>
      <c r="AUW167" s="102"/>
      <c r="AUX167" s="102"/>
      <c r="AUY167" s="102"/>
      <c r="AUZ167" s="102"/>
      <c r="AVA167" s="102"/>
      <c r="AVB167" s="102"/>
      <c r="AVC167" s="102"/>
      <c r="AVD167" s="102"/>
      <c r="AVE167" s="102"/>
      <c r="AVF167" s="102"/>
      <c r="AVG167" s="102"/>
      <c r="AVH167" s="102"/>
      <c r="AVI167" s="102"/>
      <c r="AVJ167" s="102"/>
      <c r="AVK167" s="102"/>
      <c r="AVL167" s="102"/>
      <c r="AVM167" s="102"/>
      <c r="AVN167" s="102"/>
      <c r="AVO167" s="102"/>
      <c r="AVP167" s="102"/>
      <c r="AVQ167" s="102"/>
      <c r="AVR167" s="102"/>
      <c r="AVS167" s="102"/>
      <c r="AVT167" s="102"/>
      <c r="AVU167" s="102"/>
      <c r="AVV167" s="102"/>
      <c r="AVW167" s="102"/>
      <c r="AVX167" s="102"/>
      <c r="AVY167" s="102"/>
      <c r="AVZ167" s="102"/>
      <c r="AWA167" s="102"/>
      <c r="AWB167" s="102"/>
      <c r="AWC167" s="102"/>
      <c r="AWD167" s="102"/>
      <c r="AWE167" s="102"/>
      <c r="AWF167" s="102"/>
      <c r="AWG167" s="102"/>
      <c r="AWH167" s="102"/>
      <c r="AWI167" s="102"/>
      <c r="AWJ167" s="102"/>
      <c r="AWK167" s="102"/>
      <c r="AWL167" s="102"/>
      <c r="AWM167" s="102"/>
      <c r="AWN167" s="102"/>
      <c r="AWO167" s="102"/>
      <c r="AWP167" s="102"/>
      <c r="AWQ167" s="102"/>
      <c r="AWR167" s="102"/>
      <c r="AWS167" s="102"/>
      <c r="AWT167" s="102"/>
      <c r="AWU167" s="102"/>
      <c r="AWV167" s="102"/>
      <c r="AWW167" s="102"/>
      <c r="AWX167" s="102"/>
      <c r="AWY167" s="102"/>
      <c r="AWZ167" s="102"/>
      <c r="AXA167" s="102"/>
      <c r="AXB167" s="102"/>
      <c r="AXC167" s="102"/>
      <c r="AXD167" s="102"/>
      <c r="AXE167" s="102"/>
      <c r="AXF167" s="102"/>
      <c r="AXG167" s="102"/>
      <c r="AXH167" s="102"/>
      <c r="AXI167" s="102"/>
      <c r="AXJ167" s="102"/>
      <c r="AXK167" s="102"/>
      <c r="AXL167" s="102"/>
      <c r="AXM167" s="102"/>
      <c r="AXN167" s="102"/>
      <c r="AXO167" s="102"/>
      <c r="AXP167" s="102"/>
      <c r="AXQ167" s="102"/>
      <c r="AXR167" s="102"/>
      <c r="AXS167" s="102"/>
      <c r="AXT167" s="102"/>
      <c r="AXU167" s="102"/>
      <c r="AXV167" s="102"/>
      <c r="AXW167" s="102"/>
      <c r="AXX167" s="102"/>
      <c r="AXY167" s="102"/>
      <c r="AXZ167" s="102"/>
      <c r="AYA167" s="102"/>
      <c r="AYB167" s="102"/>
      <c r="AYC167" s="102"/>
      <c r="AYD167" s="102"/>
      <c r="AYE167" s="102"/>
      <c r="AYF167" s="102"/>
      <c r="AYG167" s="102"/>
      <c r="AYH167" s="102"/>
      <c r="AYI167" s="102"/>
      <c r="AYJ167" s="102"/>
      <c r="AYK167" s="102"/>
      <c r="AYL167" s="102"/>
      <c r="AYM167" s="102"/>
      <c r="AYN167" s="102"/>
      <c r="AYO167" s="102"/>
      <c r="AYP167" s="102"/>
      <c r="AYQ167" s="102"/>
      <c r="AYR167" s="102"/>
      <c r="AYS167" s="102"/>
      <c r="AYT167" s="102"/>
      <c r="AYU167" s="102"/>
      <c r="AYV167" s="102"/>
      <c r="AYW167" s="102"/>
      <c r="AYX167" s="102"/>
      <c r="AYY167" s="102"/>
      <c r="AYZ167" s="102"/>
      <c r="AZA167" s="102"/>
      <c r="AZB167" s="102"/>
      <c r="AZC167" s="102"/>
      <c r="AZD167" s="102"/>
      <c r="AZE167" s="102"/>
      <c r="AZF167" s="102"/>
      <c r="AZG167" s="102"/>
      <c r="AZH167" s="102"/>
      <c r="AZI167" s="102"/>
      <c r="AZJ167" s="102"/>
      <c r="AZK167" s="102"/>
      <c r="AZL167" s="102"/>
      <c r="AZM167" s="102"/>
      <c r="AZN167" s="102"/>
      <c r="AZO167" s="102"/>
      <c r="AZP167" s="102"/>
      <c r="AZQ167" s="102"/>
      <c r="AZR167" s="102"/>
      <c r="AZS167" s="102"/>
      <c r="AZT167" s="102"/>
      <c r="AZU167" s="102"/>
      <c r="AZV167" s="102"/>
      <c r="AZW167" s="102"/>
      <c r="AZX167" s="102"/>
      <c r="AZY167" s="102"/>
      <c r="AZZ167" s="102"/>
      <c r="BAA167" s="102"/>
      <c r="BAB167" s="102"/>
      <c r="BAC167" s="102"/>
      <c r="BAD167" s="102"/>
      <c r="BAE167" s="102"/>
      <c r="BAF167" s="102"/>
      <c r="BAG167" s="102"/>
      <c r="BAH167" s="102"/>
      <c r="BAI167" s="102"/>
      <c r="BAJ167" s="102"/>
      <c r="BAK167" s="102"/>
      <c r="BAL167" s="102"/>
      <c r="BAM167" s="102"/>
      <c r="BAN167" s="102"/>
      <c r="BAO167" s="102"/>
      <c r="BAP167" s="102"/>
      <c r="BAQ167" s="102"/>
      <c r="BAR167" s="102"/>
      <c r="BAS167" s="102"/>
      <c r="BAT167" s="102"/>
      <c r="BAU167" s="102"/>
      <c r="BAV167" s="102"/>
      <c r="BAW167" s="102"/>
      <c r="BAX167" s="102"/>
      <c r="BAY167" s="102"/>
      <c r="BAZ167" s="102"/>
      <c r="BBA167" s="102"/>
      <c r="BBB167" s="102"/>
      <c r="BBC167" s="102"/>
      <c r="BBD167" s="102"/>
      <c r="BBE167" s="102"/>
      <c r="BBF167" s="102"/>
      <c r="BBG167" s="102"/>
      <c r="BBH167" s="102"/>
      <c r="BBI167" s="102"/>
      <c r="BBJ167" s="102"/>
      <c r="BBK167" s="102"/>
      <c r="BBL167" s="102"/>
      <c r="BBM167" s="102"/>
      <c r="BBN167" s="102"/>
      <c r="BBO167" s="102"/>
      <c r="BBP167" s="102"/>
      <c r="BBQ167" s="102"/>
      <c r="BBR167" s="102"/>
      <c r="BBS167" s="102"/>
      <c r="BBT167" s="102"/>
      <c r="BBU167" s="102"/>
      <c r="BBV167" s="102"/>
      <c r="BBW167" s="102"/>
      <c r="BBX167" s="102"/>
      <c r="BBY167" s="102"/>
      <c r="BBZ167" s="102"/>
      <c r="BCA167" s="102"/>
      <c r="BCB167" s="102"/>
      <c r="BCC167" s="102"/>
      <c r="BCD167" s="102"/>
      <c r="BCE167" s="102"/>
      <c r="BCF167" s="102"/>
      <c r="BCG167" s="102"/>
      <c r="BCH167" s="102"/>
      <c r="BCI167" s="102"/>
      <c r="BCJ167" s="102"/>
      <c r="BCK167" s="102"/>
      <c r="BCL167" s="102"/>
      <c r="BCM167" s="102"/>
      <c r="BCN167" s="102"/>
      <c r="BCO167" s="102"/>
      <c r="BCP167" s="102"/>
      <c r="BCQ167" s="102"/>
      <c r="BCR167" s="102"/>
      <c r="BCS167" s="102"/>
      <c r="BCT167" s="102"/>
      <c r="BCU167" s="102"/>
      <c r="BCV167" s="102"/>
      <c r="BCW167" s="102"/>
      <c r="BCX167" s="102"/>
      <c r="BCY167" s="102"/>
      <c r="BCZ167" s="102"/>
      <c r="BDA167" s="102"/>
      <c r="BDB167" s="102"/>
      <c r="BDC167" s="102"/>
      <c r="BDD167" s="102"/>
      <c r="BDE167" s="102"/>
      <c r="BDF167" s="102"/>
      <c r="BDG167" s="102"/>
      <c r="BDH167" s="102"/>
      <c r="BDI167" s="102"/>
      <c r="BDJ167" s="102"/>
      <c r="BDK167" s="102"/>
      <c r="BDL167" s="102"/>
      <c r="BDM167" s="102"/>
      <c r="BDN167" s="102"/>
      <c r="BDO167" s="102"/>
      <c r="BDP167" s="102"/>
      <c r="BDQ167" s="102"/>
      <c r="BDR167" s="102"/>
      <c r="BDS167" s="102"/>
      <c r="BDT167" s="102"/>
      <c r="BDU167" s="102"/>
      <c r="BDV167" s="102"/>
      <c r="BDW167" s="102"/>
      <c r="BDX167" s="102"/>
      <c r="BDY167" s="102"/>
      <c r="BDZ167" s="102"/>
      <c r="BEA167" s="102"/>
      <c r="BEB167" s="102"/>
      <c r="BEC167" s="102"/>
      <c r="BED167" s="102"/>
      <c r="BEE167" s="102"/>
      <c r="BEF167" s="102"/>
      <c r="BEG167" s="102"/>
      <c r="BEH167" s="102"/>
      <c r="BEI167" s="102"/>
      <c r="BEJ167" s="102"/>
      <c r="BEK167" s="102"/>
      <c r="BEL167" s="102"/>
      <c r="BEM167" s="102"/>
      <c r="BEN167" s="102"/>
      <c r="BEO167" s="102"/>
      <c r="BEP167" s="102"/>
      <c r="BEQ167" s="102"/>
      <c r="BER167" s="102"/>
      <c r="BES167" s="102"/>
      <c r="BET167" s="102"/>
      <c r="BEU167" s="102"/>
      <c r="BEV167" s="102"/>
      <c r="BEW167" s="102"/>
      <c r="BEX167" s="102"/>
      <c r="BEY167" s="102"/>
      <c r="BEZ167" s="102"/>
      <c r="BFA167" s="102"/>
      <c r="BFB167" s="102"/>
      <c r="BFC167" s="102"/>
      <c r="BFD167" s="102"/>
      <c r="BFE167" s="102"/>
      <c r="BFF167" s="102"/>
      <c r="BFG167" s="102"/>
      <c r="BFH167" s="102"/>
      <c r="BFI167" s="102"/>
      <c r="BFJ167" s="102"/>
      <c r="BFK167" s="102"/>
      <c r="BFL167" s="102"/>
      <c r="BFM167" s="102"/>
      <c r="BFN167" s="102"/>
      <c r="BFO167" s="102"/>
      <c r="BFP167" s="102"/>
      <c r="BFQ167" s="102"/>
      <c r="BFR167" s="102"/>
      <c r="BFS167" s="102"/>
      <c r="BFT167" s="102"/>
      <c r="BFU167" s="102"/>
      <c r="BFV167" s="102"/>
      <c r="BFW167" s="102"/>
      <c r="BFX167" s="102"/>
      <c r="BFY167" s="102"/>
      <c r="BFZ167" s="102"/>
      <c r="BGA167" s="102"/>
      <c r="BGB167" s="102"/>
      <c r="BGC167" s="102"/>
      <c r="BGD167" s="102"/>
      <c r="BGE167" s="102"/>
      <c r="BGF167" s="102"/>
      <c r="BGG167" s="102"/>
      <c r="BGH167" s="102"/>
      <c r="BGI167" s="102"/>
      <c r="BGJ167" s="102"/>
      <c r="BGK167" s="102"/>
      <c r="BGL167" s="102"/>
      <c r="BGM167" s="102"/>
      <c r="BGN167" s="102"/>
      <c r="BGO167" s="102"/>
      <c r="BGP167" s="102"/>
      <c r="BGQ167" s="102"/>
      <c r="BGR167" s="102"/>
      <c r="BGS167" s="102"/>
      <c r="BGT167" s="102"/>
      <c r="BGU167" s="102"/>
      <c r="BGV167" s="102"/>
      <c r="BGW167" s="102"/>
      <c r="BGX167" s="102"/>
      <c r="BGY167" s="102"/>
      <c r="BGZ167" s="102"/>
      <c r="BHA167" s="102"/>
      <c r="BHB167" s="102"/>
      <c r="BHC167" s="102"/>
      <c r="BHD167" s="102"/>
      <c r="BHE167" s="102"/>
      <c r="BHF167" s="102"/>
      <c r="BHG167" s="102"/>
      <c r="BHH167" s="102"/>
      <c r="BHI167" s="102"/>
      <c r="BHJ167" s="102"/>
      <c r="BHK167" s="102"/>
      <c r="BHL167" s="102"/>
      <c r="BHM167" s="102"/>
      <c r="BHN167" s="102"/>
      <c r="BHO167" s="102"/>
      <c r="BHP167" s="102"/>
      <c r="BHQ167" s="102"/>
      <c r="BHR167" s="102"/>
      <c r="BHS167" s="102"/>
      <c r="BHT167" s="102"/>
      <c r="BHU167" s="102"/>
      <c r="BHV167" s="102"/>
      <c r="BHW167" s="102"/>
      <c r="BHX167" s="102"/>
      <c r="BHY167" s="102"/>
      <c r="BHZ167" s="102"/>
      <c r="BIA167" s="102"/>
      <c r="BIB167" s="102"/>
      <c r="BIC167" s="102"/>
      <c r="BID167" s="102"/>
      <c r="BIE167" s="102"/>
      <c r="BIF167" s="102"/>
      <c r="BIG167" s="102"/>
      <c r="BIH167" s="102"/>
      <c r="BII167" s="102"/>
      <c r="BIJ167" s="102"/>
      <c r="BIK167" s="102"/>
      <c r="BIL167" s="102"/>
      <c r="BIM167" s="102"/>
      <c r="BIN167" s="102"/>
      <c r="BIO167" s="102"/>
      <c r="BIP167" s="102"/>
      <c r="BIQ167" s="102"/>
      <c r="BIR167" s="102"/>
      <c r="BIS167" s="102"/>
      <c r="BIT167" s="102"/>
      <c r="BIU167" s="102"/>
      <c r="BIV167" s="102"/>
      <c r="BIW167" s="102"/>
      <c r="BIX167" s="102"/>
      <c r="BIY167" s="102"/>
      <c r="BIZ167" s="102"/>
      <c r="BJA167" s="102"/>
      <c r="BJB167" s="102"/>
      <c r="BJC167" s="102"/>
      <c r="BJD167" s="102"/>
      <c r="BJE167" s="102"/>
      <c r="BJF167" s="102"/>
      <c r="BJG167" s="102"/>
      <c r="BJH167" s="102"/>
      <c r="BJI167" s="102"/>
      <c r="BJJ167" s="102"/>
      <c r="BJK167" s="102"/>
      <c r="BJL167" s="102"/>
      <c r="BJM167" s="102"/>
      <c r="BJN167" s="102"/>
      <c r="BJO167" s="102"/>
      <c r="BJP167" s="102"/>
      <c r="BJQ167" s="102"/>
      <c r="BJR167" s="102"/>
      <c r="BJS167" s="102"/>
      <c r="BJT167" s="102"/>
      <c r="BJU167" s="102"/>
      <c r="BJV167" s="102"/>
      <c r="BJW167" s="102"/>
      <c r="BJX167" s="102"/>
      <c r="BJY167" s="102"/>
      <c r="BJZ167" s="102"/>
      <c r="BKA167" s="102"/>
      <c r="BKB167" s="102"/>
      <c r="BKC167" s="102"/>
      <c r="BKD167" s="102"/>
      <c r="BKE167" s="102"/>
      <c r="BKF167" s="102"/>
      <c r="BKG167" s="102"/>
      <c r="BKH167" s="102"/>
      <c r="BKI167" s="102"/>
      <c r="BKJ167" s="102"/>
      <c r="BKK167" s="102"/>
      <c r="BKL167" s="102"/>
      <c r="BKM167" s="102"/>
      <c r="BKN167" s="102"/>
      <c r="BKO167" s="102"/>
      <c r="BKP167" s="102"/>
      <c r="BKQ167" s="102"/>
      <c r="BKR167" s="102"/>
      <c r="BKS167" s="102"/>
      <c r="BKT167" s="102"/>
      <c r="BKU167" s="102"/>
      <c r="BKV167" s="102"/>
      <c r="BKW167" s="102"/>
      <c r="BKX167" s="102"/>
      <c r="BKY167" s="102"/>
      <c r="BKZ167" s="102"/>
      <c r="BLA167" s="102"/>
      <c r="BLB167" s="102"/>
      <c r="BLC167" s="102"/>
      <c r="BLD167" s="102"/>
      <c r="BLE167" s="102"/>
      <c r="BLF167" s="102"/>
      <c r="BLG167" s="102"/>
      <c r="BLH167" s="102"/>
      <c r="BLI167" s="102"/>
      <c r="BLJ167" s="102"/>
      <c r="BLK167" s="102"/>
      <c r="BLL167" s="102"/>
      <c r="BLM167" s="102"/>
      <c r="BLN167" s="102"/>
      <c r="BLO167" s="102"/>
      <c r="BLP167" s="102"/>
      <c r="BLQ167" s="102"/>
      <c r="BLR167" s="102"/>
      <c r="BLS167" s="102"/>
      <c r="BLT167" s="102"/>
      <c r="BLU167" s="102"/>
      <c r="BLV167" s="102"/>
      <c r="BLW167" s="102"/>
      <c r="BLX167" s="102"/>
      <c r="BLY167" s="102"/>
      <c r="BLZ167" s="102"/>
      <c r="BMA167" s="102"/>
      <c r="BMB167" s="102"/>
      <c r="BMC167" s="102"/>
      <c r="BMD167" s="102"/>
      <c r="BME167" s="102"/>
      <c r="BMF167" s="102"/>
      <c r="BMG167" s="102"/>
      <c r="BMH167" s="102"/>
      <c r="BMI167" s="102"/>
      <c r="BMJ167" s="102"/>
      <c r="BMK167" s="102"/>
      <c r="BML167" s="102"/>
      <c r="BMM167" s="102"/>
      <c r="BMN167" s="102"/>
      <c r="BMO167" s="102"/>
      <c r="BMP167" s="102"/>
      <c r="BMQ167" s="102"/>
      <c r="BMR167" s="102"/>
      <c r="BMS167" s="102"/>
      <c r="BMT167" s="102"/>
      <c r="BMU167" s="102"/>
      <c r="BMV167" s="102"/>
      <c r="BMW167" s="102"/>
      <c r="BMX167" s="102"/>
      <c r="BMY167" s="102"/>
      <c r="BMZ167" s="102"/>
      <c r="BNA167" s="102"/>
      <c r="BNB167" s="102"/>
      <c r="BNC167" s="102"/>
      <c r="BND167" s="102"/>
      <c r="BNE167" s="102"/>
      <c r="BNF167" s="102"/>
      <c r="BNG167" s="102"/>
      <c r="BNH167" s="102"/>
      <c r="BNI167" s="102"/>
      <c r="BNJ167" s="102"/>
      <c r="BNK167" s="102"/>
      <c r="BNL167" s="102"/>
      <c r="BNM167" s="102"/>
      <c r="BNN167" s="102"/>
      <c r="BNO167" s="102"/>
      <c r="BNP167" s="102"/>
      <c r="BNQ167" s="102"/>
      <c r="BNR167" s="102"/>
      <c r="BNS167" s="102"/>
      <c r="BNT167" s="102"/>
      <c r="BNU167" s="102"/>
      <c r="BNV167" s="102"/>
      <c r="BNW167" s="102"/>
      <c r="BNX167" s="102"/>
      <c r="BNY167" s="102"/>
      <c r="BNZ167" s="102"/>
      <c r="BOA167" s="102"/>
      <c r="BOB167" s="102"/>
      <c r="BOC167" s="102"/>
      <c r="BOD167" s="102"/>
      <c r="BOE167" s="102"/>
      <c r="BOF167" s="102"/>
      <c r="BOG167" s="102"/>
      <c r="BOH167" s="102"/>
      <c r="BOI167" s="102"/>
      <c r="BOJ167" s="102"/>
      <c r="BOK167" s="102"/>
      <c r="BOL167" s="102"/>
      <c r="BOM167" s="102"/>
      <c r="BON167" s="102"/>
      <c r="BOO167" s="102"/>
      <c r="BOP167" s="102"/>
      <c r="BOQ167" s="102"/>
      <c r="BOR167" s="102"/>
      <c r="BOS167" s="102"/>
      <c r="BOT167" s="102"/>
      <c r="BOU167" s="102"/>
      <c r="BOV167" s="102"/>
      <c r="BOW167" s="102"/>
      <c r="BOX167" s="102"/>
      <c r="BOY167" s="102"/>
      <c r="BOZ167" s="102"/>
      <c r="BPA167" s="102"/>
      <c r="BPB167" s="102"/>
      <c r="BPC167" s="102"/>
      <c r="BPD167" s="102"/>
      <c r="BPE167" s="102"/>
      <c r="BPF167" s="102"/>
      <c r="BPG167" s="102"/>
      <c r="BPH167" s="102"/>
      <c r="BPI167" s="102"/>
      <c r="BPJ167" s="102"/>
      <c r="BPK167" s="102"/>
      <c r="BPL167" s="102"/>
      <c r="BPM167" s="102"/>
      <c r="BPN167" s="102"/>
      <c r="BPO167" s="102"/>
      <c r="BPP167" s="102"/>
      <c r="BPQ167" s="102"/>
      <c r="BPR167" s="102"/>
      <c r="BPS167" s="102"/>
      <c r="BPT167" s="102"/>
      <c r="BPU167" s="102"/>
      <c r="BPV167" s="102"/>
      <c r="BPW167" s="102"/>
      <c r="BPX167" s="102"/>
      <c r="BPY167" s="102"/>
      <c r="BPZ167" s="102"/>
      <c r="BQA167" s="102"/>
      <c r="BQB167" s="102"/>
      <c r="BQC167" s="102"/>
      <c r="BQD167" s="102"/>
      <c r="BQE167" s="102"/>
      <c r="BQF167" s="102"/>
      <c r="BQG167" s="102"/>
      <c r="BQH167" s="102"/>
      <c r="BQI167" s="102"/>
      <c r="BQJ167" s="102"/>
      <c r="BQK167" s="102"/>
      <c r="BQL167" s="102"/>
      <c r="BQM167" s="102"/>
      <c r="BQN167" s="102"/>
      <c r="BQO167" s="102"/>
      <c r="BQP167" s="102"/>
      <c r="BQQ167" s="102"/>
      <c r="BQR167" s="102"/>
      <c r="BQS167" s="102"/>
      <c r="BQT167" s="102"/>
      <c r="BQU167" s="102"/>
      <c r="BQV167" s="102"/>
      <c r="BQW167" s="102"/>
      <c r="BQX167" s="102"/>
      <c r="BQY167" s="102"/>
      <c r="BQZ167" s="102"/>
      <c r="BRA167" s="102"/>
      <c r="BRB167" s="102"/>
      <c r="BRC167" s="102"/>
      <c r="BRD167" s="102"/>
      <c r="BRE167" s="102"/>
      <c r="BRF167" s="102"/>
      <c r="BRG167" s="102"/>
      <c r="BRH167" s="102"/>
      <c r="BRI167" s="102"/>
      <c r="BRJ167" s="102"/>
      <c r="BRK167" s="102"/>
      <c r="BRL167" s="102"/>
      <c r="BRM167" s="102"/>
      <c r="BRN167" s="102"/>
      <c r="BRO167" s="102"/>
      <c r="BRP167" s="102"/>
      <c r="BRQ167" s="102"/>
      <c r="BRR167" s="102"/>
      <c r="BRS167" s="102"/>
      <c r="BRT167" s="102"/>
      <c r="BRU167" s="102"/>
      <c r="BRV167" s="102"/>
      <c r="BRW167" s="102"/>
      <c r="BRX167" s="102"/>
      <c r="BRY167" s="102"/>
      <c r="BRZ167" s="102"/>
      <c r="BSA167" s="102"/>
      <c r="BSB167" s="102"/>
      <c r="BSC167" s="102"/>
      <c r="BSD167" s="102"/>
      <c r="BSE167" s="102"/>
      <c r="BSF167" s="102"/>
      <c r="BSG167" s="102"/>
      <c r="BSH167" s="102"/>
      <c r="BSI167" s="102"/>
      <c r="BSJ167" s="102"/>
      <c r="BSK167" s="102"/>
      <c r="BSL167" s="102"/>
      <c r="BSM167" s="102"/>
      <c r="BSN167" s="102"/>
      <c r="BSO167" s="102"/>
      <c r="BSP167" s="102"/>
      <c r="BSQ167" s="102"/>
      <c r="BSR167" s="102"/>
      <c r="BSS167" s="102"/>
      <c r="BST167" s="102"/>
      <c r="BSU167" s="102"/>
      <c r="BSV167" s="102"/>
      <c r="BSW167" s="102"/>
      <c r="BSX167" s="102"/>
      <c r="BSY167" s="102"/>
      <c r="BSZ167" s="102"/>
      <c r="BTA167" s="102"/>
      <c r="BTB167" s="102"/>
      <c r="BTC167" s="102"/>
      <c r="BTD167" s="102"/>
      <c r="BTE167" s="102"/>
      <c r="BTF167" s="102"/>
      <c r="BTG167" s="102"/>
      <c r="BTH167" s="102"/>
      <c r="BTI167" s="102"/>
      <c r="BTJ167" s="102"/>
      <c r="BTK167" s="102"/>
      <c r="BTL167" s="102"/>
      <c r="BTM167" s="102"/>
      <c r="BTN167" s="102"/>
      <c r="BTO167" s="102"/>
      <c r="BTP167" s="102"/>
      <c r="BTQ167" s="102"/>
      <c r="BTR167" s="102"/>
      <c r="BTS167" s="102"/>
      <c r="BTT167" s="102"/>
      <c r="BTU167" s="102"/>
      <c r="BTV167" s="102"/>
      <c r="BTW167" s="102"/>
      <c r="BTX167" s="102"/>
      <c r="BTY167" s="102"/>
      <c r="BTZ167" s="102"/>
      <c r="BUA167" s="102"/>
      <c r="BUB167" s="102"/>
      <c r="BUC167" s="102"/>
      <c r="BUD167" s="102"/>
      <c r="BUE167" s="102"/>
      <c r="BUF167" s="102"/>
      <c r="BUG167" s="102"/>
      <c r="BUH167" s="102"/>
      <c r="BUI167" s="102"/>
      <c r="BUJ167" s="102"/>
      <c r="BUK167" s="102"/>
      <c r="BUL167" s="102"/>
      <c r="BUM167" s="102"/>
      <c r="BUN167" s="102"/>
      <c r="BUO167" s="102"/>
      <c r="BUP167" s="102"/>
      <c r="BUQ167" s="102"/>
      <c r="BUR167" s="102"/>
      <c r="BUS167" s="102"/>
      <c r="BUT167" s="102"/>
      <c r="BUU167" s="102"/>
      <c r="BUV167" s="102"/>
      <c r="BUW167" s="102"/>
      <c r="BUX167" s="102"/>
      <c r="BUY167" s="102"/>
      <c r="BUZ167" s="102"/>
      <c r="BVA167" s="102"/>
      <c r="BVB167" s="102"/>
      <c r="BVC167" s="102"/>
      <c r="BVD167" s="102"/>
      <c r="BVE167" s="102"/>
      <c r="BVF167" s="102"/>
      <c r="BVG167" s="102"/>
      <c r="BVH167" s="102"/>
      <c r="BVI167" s="102"/>
      <c r="BVJ167" s="102"/>
      <c r="BVK167" s="102"/>
      <c r="BVL167" s="102"/>
      <c r="BVM167" s="102"/>
      <c r="BVN167" s="102"/>
      <c r="BVO167" s="102"/>
      <c r="BVP167" s="102"/>
      <c r="BVQ167" s="102"/>
      <c r="BVR167" s="102"/>
      <c r="BVS167" s="102"/>
      <c r="BVT167" s="102"/>
      <c r="BVU167" s="102"/>
      <c r="BVV167" s="102"/>
      <c r="BVW167" s="102"/>
      <c r="BVX167" s="102"/>
      <c r="BVY167" s="102"/>
      <c r="BVZ167" s="102"/>
      <c r="BWA167" s="102"/>
      <c r="BWB167" s="102"/>
      <c r="BWC167" s="102"/>
      <c r="BWD167" s="102"/>
      <c r="BWE167" s="102"/>
      <c r="BWF167" s="102"/>
      <c r="BWG167" s="102"/>
      <c r="BWH167" s="102"/>
      <c r="BWI167" s="102"/>
      <c r="BWJ167" s="102"/>
      <c r="BWK167" s="102"/>
      <c r="BWL167" s="102"/>
      <c r="BWM167" s="102"/>
      <c r="BWN167" s="102"/>
      <c r="BWO167" s="102"/>
      <c r="BWP167" s="102"/>
      <c r="BWQ167" s="102"/>
      <c r="BWR167" s="102"/>
      <c r="BWS167" s="102"/>
      <c r="BWT167" s="102"/>
      <c r="BWU167" s="102"/>
      <c r="BWV167" s="102"/>
      <c r="BWW167" s="102"/>
      <c r="BWX167" s="102"/>
      <c r="BWY167" s="102"/>
      <c r="BWZ167" s="102"/>
      <c r="BXA167" s="102"/>
      <c r="BXB167" s="102"/>
      <c r="BXC167" s="102"/>
      <c r="BXD167" s="102"/>
      <c r="BXE167" s="102"/>
      <c r="BXF167" s="102"/>
      <c r="BXG167" s="102"/>
      <c r="BXH167" s="102"/>
      <c r="BXI167" s="102"/>
      <c r="BXJ167" s="102"/>
      <c r="BXK167" s="102"/>
      <c r="BXL167" s="102"/>
      <c r="BXM167" s="102"/>
      <c r="BXN167" s="102"/>
      <c r="BXO167" s="102"/>
      <c r="BXP167" s="102"/>
      <c r="BXQ167" s="102"/>
      <c r="BXR167" s="102"/>
      <c r="BXS167" s="102"/>
      <c r="BXT167" s="102"/>
      <c r="BXU167" s="102"/>
      <c r="BXV167" s="102"/>
      <c r="BXW167" s="102"/>
      <c r="BXX167" s="102"/>
      <c r="BXY167" s="102"/>
      <c r="BXZ167" s="102"/>
      <c r="BYA167" s="102"/>
      <c r="BYB167" s="102"/>
      <c r="BYC167" s="102"/>
      <c r="BYD167" s="102"/>
      <c r="BYE167" s="102"/>
      <c r="BYF167" s="102"/>
      <c r="BYG167" s="102"/>
      <c r="BYH167" s="102"/>
      <c r="BYI167" s="102"/>
      <c r="BYJ167" s="102"/>
      <c r="BYK167" s="102"/>
      <c r="BYL167" s="102"/>
      <c r="BYM167" s="102"/>
      <c r="BYN167" s="102"/>
      <c r="BYO167" s="102"/>
      <c r="BYP167" s="102"/>
      <c r="BYQ167" s="102"/>
      <c r="BYR167" s="102"/>
      <c r="BYS167" s="102"/>
      <c r="BYT167" s="102"/>
      <c r="BYU167" s="102"/>
      <c r="BYV167" s="102"/>
      <c r="BYW167" s="102"/>
      <c r="BYX167" s="102"/>
      <c r="BYY167" s="102"/>
      <c r="BYZ167" s="102"/>
      <c r="BZA167" s="102"/>
      <c r="BZB167" s="102"/>
      <c r="BZC167" s="102"/>
      <c r="BZD167" s="102"/>
      <c r="BZE167" s="102"/>
      <c r="BZF167" s="102"/>
      <c r="BZG167" s="102"/>
      <c r="BZH167" s="102"/>
      <c r="BZI167" s="102"/>
      <c r="BZJ167" s="102"/>
      <c r="BZK167" s="102"/>
      <c r="BZL167" s="102"/>
      <c r="BZM167" s="102"/>
      <c r="BZN167" s="102"/>
      <c r="BZO167" s="102"/>
      <c r="BZP167" s="102"/>
      <c r="BZQ167" s="102"/>
      <c r="BZR167" s="102"/>
      <c r="BZS167" s="102"/>
      <c r="BZT167" s="102"/>
      <c r="BZU167" s="102"/>
      <c r="BZV167" s="102"/>
      <c r="BZW167" s="102"/>
      <c r="BZX167" s="102"/>
      <c r="BZY167" s="102"/>
      <c r="BZZ167" s="102"/>
      <c r="CAA167" s="102"/>
      <c r="CAB167" s="102"/>
      <c r="CAC167" s="102"/>
      <c r="CAD167" s="102"/>
      <c r="CAE167" s="102"/>
      <c r="CAF167" s="102"/>
      <c r="CAG167" s="102"/>
      <c r="CAH167" s="102"/>
      <c r="CAI167" s="102"/>
      <c r="CAJ167" s="102"/>
      <c r="CAK167" s="102"/>
      <c r="CAL167" s="102"/>
      <c r="CAM167" s="102"/>
      <c r="CAN167" s="102"/>
      <c r="CAO167" s="102"/>
      <c r="CAP167" s="102"/>
      <c r="CAQ167" s="102"/>
      <c r="CAR167" s="102"/>
      <c r="CAS167" s="102"/>
      <c r="CAT167" s="102"/>
      <c r="CAU167" s="102"/>
      <c r="CAV167" s="102"/>
      <c r="CAW167" s="102"/>
      <c r="CAX167" s="102"/>
      <c r="CAY167" s="102"/>
      <c r="CAZ167" s="102"/>
      <c r="CBA167" s="102"/>
      <c r="CBB167" s="102"/>
      <c r="CBC167" s="102"/>
      <c r="CBD167" s="102"/>
      <c r="CBE167" s="102"/>
      <c r="CBF167" s="102"/>
      <c r="CBG167" s="102"/>
      <c r="CBH167" s="102"/>
      <c r="CBI167" s="102"/>
      <c r="CBJ167" s="102"/>
      <c r="CBK167" s="102"/>
      <c r="CBL167" s="102"/>
      <c r="CBM167" s="102"/>
      <c r="CBN167" s="102"/>
      <c r="CBO167" s="102"/>
      <c r="CBP167" s="102"/>
      <c r="CBQ167" s="102"/>
      <c r="CBR167" s="102"/>
      <c r="CBS167" s="102"/>
      <c r="CBT167" s="102"/>
      <c r="CBU167" s="102"/>
      <c r="CBV167" s="102"/>
      <c r="CBW167" s="102"/>
      <c r="CBX167" s="102"/>
      <c r="CBY167" s="102"/>
      <c r="CBZ167" s="102"/>
      <c r="CCA167" s="102"/>
      <c r="CCB167" s="102"/>
      <c r="CCC167" s="102"/>
      <c r="CCD167" s="102"/>
      <c r="CCE167" s="102"/>
      <c r="CCF167" s="102"/>
      <c r="CCG167" s="102"/>
      <c r="CCH167" s="102"/>
      <c r="CCI167" s="102"/>
      <c r="CCJ167" s="102"/>
      <c r="CCK167" s="102"/>
      <c r="CCL167" s="102"/>
      <c r="CCM167" s="102"/>
      <c r="CCN167" s="102"/>
      <c r="CCO167" s="102"/>
      <c r="CCP167" s="102"/>
      <c r="CCQ167" s="102"/>
      <c r="CCR167" s="102"/>
      <c r="CCS167" s="102"/>
      <c r="CCT167" s="102"/>
      <c r="CCU167" s="102"/>
      <c r="CCV167" s="102"/>
      <c r="CCW167" s="102"/>
      <c r="CCX167" s="102"/>
      <c r="CCY167" s="102"/>
      <c r="CCZ167" s="102"/>
      <c r="CDA167" s="102"/>
      <c r="CDB167" s="102"/>
      <c r="CDC167" s="102"/>
      <c r="CDD167" s="102"/>
      <c r="CDE167" s="102"/>
      <c r="CDF167" s="102"/>
      <c r="CDG167" s="102"/>
      <c r="CDH167" s="102"/>
      <c r="CDI167" s="102"/>
      <c r="CDJ167" s="102"/>
      <c r="CDK167" s="102"/>
      <c r="CDL167" s="102"/>
      <c r="CDM167" s="102"/>
      <c r="CDN167" s="102"/>
      <c r="CDO167" s="102"/>
      <c r="CDP167" s="102"/>
      <c r="CDQ167" s="102"/>
      <c r="CDR167" s="102"/>
      <c r="CDS167" s="102"/>
      <c r="CDT167" s="102"/>
      <c r="CDU167" s="102"/>
      <c r="CDV167" s="102"/>
      <c r="CDW167" s="102"/>
      <c r="CDX167" s="102"/>
      <c r="CDY167" s="102"/>
      <c r="CDZ167" s="102"/>
      <c r="CEA167" s="102"/>
      <c r="CEB167" s="102"/>
      <c r="CEC167" s="102"/>
      <c r="CED167" s="102"/>
      <c r="CEE167" s="102"/>
      <c r="CEF167" s="102"/>
      <c r="CEG167" s="102"/>
      <c r="CEH167" s="102"/>
      <c r="CEI167" s="102"/>
      <c r="CEJ167" s="102"/>
      <c r="CEK167" s="102"/>
      <c r="CEL167" s="102"/>
      <c r="CEM167" s="102"/>
      <c r="CEN167" s="102"/>
      <c r="CEO167" s="102"/>
      <c r="CEP167" s="102"/>
      <c r="CEQ167" s="102"/>
      <c r="CER167" s="102"/>
      <c r="CES167" s="102"/>
      <c r="CET167" s="102"/>
      <c r="CEU167" s="102"/>
      <c r="CEV167" s="102"/>
      <c r="CEW167" s="102"/>
      <c r="CEX167" s="102"/>
      <c r="CEY167" s="102"/>
      <c r="CEZ167" s="102"/>
      <c r="CFA167" s="102"/>
      <c r="CFB167" s="102"/>
      <c r="CFC167" s="102"/>
      <c r="CFD167" s="102"/>
      <c r="CFE167" s="102"/>
      <c r="CFF167" s="102"/>
      <c r="CFG167" s="102"/>
      <c r="CFH167" s="102"/>
      <c r="CFI167" s="102"/>
      <c r="CFJ167" s="102"/>
      <c r="CFK167" s="102"/>
      <c r="CFL167" s="102"/>
      <c r="CFM167" s="102"/>
      <c r="CFN167" s="102"/>
      <c r="CFO167" s="102"/>
      <c r="CFP167" s="102"/>
      <c r="CFQ167" s="102"/>
      <c r="CFR167" s="102"/>
      <c r="CFS167" s="102"/>
      <c r="CFT167" s="102"/>
      <c r="CFU167" s="102"/>
      <c r="CFV167" s="102"/>
      <c r="CFW167" s="102"/>
      <c r="CFX167" s="102"/>
      <c r="CFY167" s="102"/>
      <c r="CFZ167" s="102"/>
      <c r="CGA167" s="102"/>
      <c r="CGB167" s="102"/>
      <c r="CGC167" s="102"/>
      <c r="CGD167" s="102"/>
      <c r="CGE167" s="102"/>
      <c r="CGF167" s="102"/>
      <c r="CGG167" s="102"/>
      <c r="CGH167" s="102"/>
      <c r="CGI167" s="102"/>
      <c r="CGJ167" s="102"/>
      <c r="CGK167" s="102"/>
      <c r="CGL167" s="102"/>
      <c r="CGM167" s="102"/>
      <c r="CGN167" s="102"/>
      <c r="CGO167" s="102"/>
      <c r="CGP167" s="102"/>
      <c r="CGQ167" s="102"/>
      <c r="CGR167" s="102"/>
      <c r="CGS167" s="102"/>
      <c r="CGT167" s="102"/>
      <c r="CGU167" s="102"/>
      <c r="CGV167" s="102"/>
      <c r="CGW167" s="102"/>
      <c r="CGX167" s="102"/>
      <c r="CGY167" s="102"/>
      <c r="CGZ167" s="102"/>
      <c r="CHA167" s="102"/>
      <c r="CHB167" s="102"/>
      <c r="CHC167" s="102"/>
      <c r="CHD167" s="102"/>
      <c r="CHE167" s="102"/>
      <c r="CHF167" s="102"/>
      <c r="CHG167" s="102"/>
      <c r="CHH167" s="102"/>
      <c r="CHI167" s="102"/>
      <c r="CHJ167" s="102"/>
      <c r="CHK167" s="102"/>
      <c r="CHL167" s="102"/>
      <c r="CHM167" s="102"/>
      <c r="CHN167" s="102"/>
      <c r="CHO167" s="102"/>
      <c r="CHP167" s="102"/>
      <c r="CHQ167" s="102"/>
      <c r="CHR167" s="102"/>
      <c r="CHS167" s="102"/>
      <c r="CHT167" s="102"/>
      <c r="CHU167" s="102"/>
      <c r="CHV167" s="102"/>
      <c r="CHW167" s="102"/>
      <c r="CHX167" s="102"/>
      <c r="CHY167" s="102"/>
      <c r="CHZ167" s="102"/>
      <c r="CIA167" s="102"/>
      <c r="CIB167" s="102"/>
      <c r="CIC167" s="102"/>
      <c r="CID167" s="102"/>
      <c r="CIE167" s="102"/>
      <c r="CIF167" s="102"/>
      <c r="CIG167" s="102"/>
      <c r="CIH167" s="102"/>
      <c r="CII167" s="102"/>
      <c r="CIJ167" s="102"/>
      <c r="CIK167" s="102"/>
      <c r="CIL167" s="102"/>
      <c r="CIM167" s="102"/>
      <c r="CIN167" s="102"/>
      <c r="CIO167" s="102"/>
      <c r="CIP167" s="102"/>
      <c r="CIQ167" s="102"/>
      <c r="CIR167" s="102"/>
      <c r="CIS167" s="102"/>
      <c r="CIT167" s="102"/>
      <c r="CIU167" s="102"/>
      <c r="CIV167" s="102"/>
      <c r="CIW167" s="102"/>
      <c r="CIX167" s="102"/>
      <c r="CIY167" s="102"/>
      <c r="CIZ167" s="102"/>
      <c r="CJA167" s="102"/>
      <c r="CJB167" s="102"/>
      <c r="CJC167" s="102"/>
      <c r="CJD167" s="102"/>
      <c r="CJE167" s="102"/>
      <c r="CJF167" s="102"/>
      <c r="CJG167" s="102"/>
      <c r="CJH167" s="102"/>
      <c r="CJI167" s="102"/>
      <c r="CJJ167" s="102"/>
      <c r="CJK167" s="102"/>
      <c r="CJL167" s="102"/>
      <c r="CJM167" s="102"/>
      <c r="CJN167" s="102"/>
      <c r="CJO167" s="102"/>
      <c r="CJP167" s="102"/>
      <c r="CJQ167" s="102"/>
      <c r="CJR167" s="102"/>
      <c r="CJS167" s="102"/>
      <c r="CJT167" s="102"/>
      <c r="CJU167" s="102"/>
      <c r="CJV167" s="102"/>
      <c r="CJW167" s="102"/>
      <c r="CJX167" s="102"/>
      <c r="CJY167" s="102"/>
      <c r="CJZ167" s="102"/>
      <c r="CKA167" s="102"/>
      <c r="CKB167" s="102"/>
      <c r="CKC167" s="102"/>
      <c r="CKD167" s="102"/>
      <c r="CKE167" s="102"/>
      <c r="CKF167" s="102"/>
      <c r="CKG167" s="102"/>
      <c r="CKH167" s="102"/>
      <c r="CKI167" s="102"/>
      <c r="CKJ167" s="102"/>
      <c r="CKK167" s="102"/>
      <c r="CKL167" s="102"/>
      <c r="CKM167" s="102"/>
      <c r="CKN167" s="102"/>
      <c r="CKO167" s="102"/>
      <c r="CKP167" s="102"/>
      <c r="CKQ167" s="102"/>
      <c r="CKR167" s="102"/>
      <c r="CKS167" s="102"/>
      <c r="CKT167" s="102"/>
      <c r="CKU167" s="102"/>
      <c r="CKV167" s="102"/>
      <c r="CKW167" s="102"/>
      <c r="CKX167" s="102"/>
      <c r="CKY167" s="102"/>
      <c r="CKZ167" s="102"/>
      <c r="CLA167" s="102"/>
      <c r="CLB167" s="102"/>
      <c r="CLC167" s="102"/>
      <c r="CLD167" s="102"/>
      <c r="CLE167" s="102"/>
      <c r="CLF167" s="102"/>
      <c r="CLG167" s="102"/>
      <c r="CLH167" s="102"/>
      <c r="CLI167" s="102"/>
      <c r="CLJ167" s="102"/>
      <c r="CLK167" s="102"/>
      <c r="CLL167" s="102"/>
      <c r="CLM167" s="102"/>
      <c r="CLN167" s="102"/>
      <c r="CLO167" s="102"/>
      <c r="CLP167" s="102"/>
      <c r="CLQ167" s="102"/>
      <c r="CLR167" s="102"/>
      <c r="CLS167" s="102"/>
      <c r="CLT167" s="102"/>
      <c r="CLU167" s="102"/>
      <c r="CLV167" s="102"/>
      <c r="CLW167" s="102"/>
      <c r="CLX167" s="102"/>
      <c r="CLY167" s="102"/>
      <c r="CLZ167" s="102"/>
      <c r="CMA167" s="102"/>
      <c r="CMB167" s="102"/>
      <c r="CMC167" s="102"/>
      <c r="CMD167" s="102"/>
      <c r="CME167" s="102"/>
      <c r="CMF167" s="102"/>
      <c r="CMG167" s="102"/>
      <c r="CMH167" s="102"/>
      <c r="CMI167" s="102"/>
      <c r="CMJ167" s="102"/>
      <c r="CMK167" s="102"/>
      <c r="CML167" s="102"/>
      <c r="CMM167" s="102"/>
      <c r="CMN167" s="102"/>
      <c r="CMO167" s="102"/>
      <c r="CMP167" s="102"/>
      <c r="CMQ167" s="102"/>
      <c r="CMR167" s="102"/>
      <c r="CMS167" s="102"/>
      <c r="CMT167" s="102"/>
      <c r="CMU167" s="102"/>
      <c r="CMV167" s="102"/>
      <c r="CMW167" s="102"/>
      <c r="CMX167" s="102"/>
      <c r="CMY167" s="102"/>
      <c r="CMZ167" s="102"/>
      <c r="CNA167" s="102"/>
      <c r="CNB167" s="102"/>
      <c r="CNC167" s="102"/>
      <c r="CND167" s="102"/>
      <c r="CNE167" s="102"/>
      <c r="CNF167" s="102"/>
      <c r="CNG167" s="102"/>
      <c r="CNH167" s="102"/>
      <c r="CNI167" s="102"/>
      <c r="CNJ167" s="102"/>
      <c r="CNK167" s="102"/>
      <c r="CNL167" s="102"/>
      <c r="CNM167" s="102"/>
      <c r="CNN167" s="102"/>
      <c r="CNO167" s="102"/>
      <c r="CNP167" s="102"/>
      <c r="CNQ167" s="102"/>
      <c r="CNR167" s="102"/>
      <c r="CNS167" s="102"/>
      <c r="CNT167" s="102"/>
      <c r="CNU167" s="102"/>
      <c r="CNV167" s="102"/>
      <c r="CNW167" s="102"/>
      <c r="CNX167" s="102"/>
      <c r="CNY167" s="102"/>
      <c r="CNZ167" s="102"/>
      <c r="COA167" s="102"/>
      <c r="COB167" s="102"/>
      <c r="COC167" s="102"/>
      <c r="COD167" s="102"/>
      <c r="COE167" s="102"/>
      <c r="COF167" s="102"/>
      <c r="COG167" s="102"/>
      <c r="COH167" s="102"/>
      <c r="COI167" s="102"/>
      <c r="COJ167" s="102"/>
      <c r="COK167" s="102"/>
      <c r="COL167" s="102"/>
      <c r="COM167" s="102"/>
      <c r="CON167" s="102"/>
      <c r="COO167" s="102"/>
      <c r="COP167" s="102"/>
      <c r="COQ167" s="102"/>
      <c r="COR167" s="102"/>
      <c r="COS167" s="102"/>
      <c r="COT167" s="102"/>
      <c r="COU167" s="102"/>
      <c r="COV167" s="102"/>
      <c r="COW167" s="102"/>
      <c r="COX167" s="102"/>
      <c r="COY167" s="102"/>
      <c r="COZ167" s="102"/>
      <c r="CPA167" s="102"/>
      <c r="CPB167" s="102"/>
      <c r="CPC167" s="102"/>
      <c r="CPD167" s="102"/>
      <c r="CPE167" s="102"/>
      <c r="CPF167" s="102"/>
      <c r="CPG167" s="102"/>
      <c r="CPH167" s="102"/>
      <c r="CPI167" s="102"/>
      <c r="CPJ167" s="102"/>
      <c r="CPK167" s="102"/>
      <c r="CPL167" s="102"/>
      <c r="CPM167" s="102"/>
      <c r="CPN167" s="102"/>
      <c r="CPO167" s="102"/>
      <c r="CPP167" s="102"/>
      <c r="CPQ167" s="102"/>
      <c r="CPR167" s="102"/>
      <c r="CPS167" s="102"/>
      <c r="CPT167" s="102"/>
      <c r="CPU167" s="102"/>
      <c r="CPV167" s="102"/>
      <c r="CPW167" s="102"/>
      <c r="CPX167" s="102"/>
      <c r="CPY167" s="102"/>
      <c r="CPZ167" s="102"/>
      <c r="CQA167" s="102"/>
      <c r="CQB167" s="102"/>
      <c r="CQC167" s="102"/>
      <c r="CQD167" s="102"/>
      <c r="CQE167" s="102"/>
      <c r="CQF167" s="102"/>
      <c r="CQG167" s="102"/>
      <c r="CQH167" s="102"/>
      <c r="CQI167" s="102"/>
      <c r="CQJ167" s="102"/>
      <c r="CQK167" s="102"/>
      <c r="CQL167" s="102"/>
      <c r="CQM167" s="102"/>
      <c r="CQN167" s="102"/>
      <c r="CQO167" s="102"/>
      <c r="CQP167" s="102"/>
      <c r="CQQ167" s="102"/>
      <c r="CQR167" s="102"/>
      <c r="CQS167" s="102"/>
      <c r="CQT167" s="102"/>
      <c r="CQU167" s="102"/>
      <c r="CQV167" s="102"/>
      <c r="CQW167" s="102"/>
      <c r="CQX167" s="102"/>
      <c r="CQY167" s="102"/>
      <c r="CQZ167" s="102"/>
      <c r="CRA167" s="102"/>
      <c r="CRB167" s="102"/>
      <c r="CRC167" s="102"/>
      <c r="CRD167" s="102"/>
      <c r="CRE167" s="102"/>
      <c r="CRF167" s="102"/>
      <c r="CRG167" s="102"/>
      <c r="CRH167" s="102"/>
      <c r="CRI167" s="102"/>
      <c r="CRJ167" s="102"/>
      <c r="CRK167" s="102"/>
      <c r="CRL167" s="102"/>
      <c r="CRM167" s="102"/>
      <c r="CRN167" s="102"/>
      <c r="CRO167" s="102"/>
      <c r="CRP167" s="102"/>
      <c r="CRQ167" s="102"/>
      <c r="CRR167" s="102"/>
      <c r="CRS167" s="102"/>
      <c r="CRT167" s="102"/>
      <c r="CRU167" s="102"/>
      <c r="CRV167" s="102"/>
      <c r="CRW167" s="102"/>
      <c r="CRX167" s="102"/>
      <c r="CRY167" s="102"/>
      <c r="CRZ167" s="102"/>
      <c r="CSA167" s="102"/>
      <c r="CSB167" s="102"/>
      <c r="CSC167" s="102"/>
      <c r="CSD167" s="102"/>
      <c r="CSE167" s="102"/>
      <c r="CSF167" s="102"/>
      <c r="CSG167" s="102"/>
      <c r="CSH167" s="102"/>
      <c r="CSI167" s="102"/>
      <c r="CSJ167" s="102"/>
      <c r="CSK167" s="102"/>
      <c r="CSL167" s="102"/>
      <c r="CSM167" s="102"/>
      <c r="CSN167" s="102"/>
      <c r="CSO167" s="102"/>
      <c r="CSP167" s="102"/>
      <c r="CSQ167" s="102"/>
      <c r="CSR167" s="102"/>
      <c r="CSS167" s="102"/>
      <c r="CST167" s="102"/>
      <c r="CSU167" s="102"/>
      <c r="CSV167" s="102"/>
      <c r="CSW167" s="102"/>
      <c r="CSX167" s="102"/>
      <c r="CSY167" s="102"/>
      <c r="CSZ167" s="102"/>
      <c r="CTA167" s="102"/>
      <c r="CTB167" s="102"/>
      <c r="CTC167" s="102"/>
      <c r="CTD167" s="102"/>
      <c r="CTE167" s="102"/>
      <c r="CTF167" s="102"/>
      <c r="CTG167" s="102"/>
      <c r="CTH167" s="102"/>
      <c r="CTI167" s="102"/>
      <c r="CTJ167" s="102"/>
      <c r="CTK167" s="102"/>
      <c r="CTL167" s="102"/>
      <c r="CTM167" s="102"/>
      <c r="CTN167" s="102"/>
      <c r="CTO167" s="102"/>
      <c r="CTP167" s="102"/>
      <c r="CTQ167" s="102"/>
      <c r="CTR167" s="102"/>
      <c r="CTS167" s="102"/>
      <c r="CTT167" s="102"/>
      <c r="CTU167" s="102"/>
      <c r="CTV167" s="102"/>
      <c r="CTW167" s="102"/>
      <c r="CTX167" s="102"/>
      <c r="CTY167" s="102"/>
      <c r="CTZ167" s="102"/>
      <c r="CUA167" s="102"/>
      <c r="CUB167" s="102"/>
      <c r="CUC167" s="102"/>
      <c r="CUD167" s="102"/>
      <c r="CUE167" s="102"/>
      <c r="CUF167" s="102"/>
      <c r="CUG167" s="102"/>
      <c r="CUH167" s="102"/>
      <c r="CUI167" s="102"/>
      <c r="CUJ167" s="102"/>
      <c r="CUK167" s="102"/>
      <c r="CUL167" s="102"/>
      <c r="CUM167" s="102"/>
      <c r="CUN167" s="102"/>
      <c r="CUO167" s="102"/>
      <c r="CUP167" s="102"/>
      <c r="CUQ167" s="102"/>
      <c r="CUR167" s="102"/>
      <c r="CUS167" s="102"/>
      <c r="CUT167" s="102"/>
      <c r="CUU167" s="102"/>
      <c r="CUV167" s="102"/>
      <c r="CUW167" s="102"/>
      <c r="CUX167" s="102"/>
      <c r="CUY167" s="102"/>
      <c r="CUZ167" s="102"/>
      <c r="CVA167" s="102"/>
      <c r="CVB167" s="102"/>
      <c r="CVC167" s="102"/>
      <c r="CVD167" s="102"/>
      <c r="CVE167" s="102"/>
      <c r="CVF167" s="102"/>
      <c r="CVG167" s="102"/>
      <c r="CVH167" s="102"/>
      <c r="CVI167" s="102"/>
      <c r="CVJ167" s="102"/>
      <c r="CVK167" s="102"/>
      <c r="CVL167" s="102"/>
      <c r="CVM167" s="102"/>
      <c r="CVN167" s="102"/>
      <c r="CVO167" s="102"/>
      <c r="CVP167" s="102"/>
      <c r="CVQ167" s="102"/>
      <c r="CVR167" s="102"/>
      <c r="CVS167" s="102"/>
      <c r="CVT167" s="102"/>
      <c r="CVU167" s="102"/>
      <c r="CVV167" s="102"/>
      <c r="CVW167" s="102"/>
      <c r="CVX167" s="102"/>
      <c r="CVY167" s="102"/>
      <c r="CVZ167" s="102"/>
      <c r="CWA167" s="102"/>
      <c r="CWB167" s="102"/>
      <c r="CWC167" s="102"/>
      <c r="CWD167" s="102"/>
      <c r="CWE167" s="102"/>
      <c r="CWF167" s="102"/>
      <c r="CWG167" s="102"/>
      <c r="CWH167" s="102"/>
      <c r="CWI167" s="102"/>
      <c r="CWJ167" s="102"/>
      <c r="CWK167" s="102"/>
      <c r="CWL167" s="102"/>
      <c r="CWM167" s="102"/>
      <c r="CWN167" s="102"/>
      <c r="CWO167" s="102"/>
      <c r="CWP167" s="102"/>
      <c r="CWQ167" s="102"/>
      <c r="CWR167" s="102"/>
      <c r="CWS167" s="102"/>
      <c r="CWT167" s="102"/>
      <c r="CWU167" s="102"/>
      <c r="CWV167" s="102"/>
      <c r="CWW167" s="102"/>
      <c r="CWX167" s="102"/>
      <c r="CWY167" s="102"/>
      <c r="CWZ167" s="102"/>
      <c r="CXA167" s="102"/>
      <c r="CXB167" s="102"/>
      <c r="CXC167" s="102"/>
      <c r="CXD167" s="102"/>
      <c r="CXE167" s="102"/>
      <c r="CXF167" s="102"/>
      <c r="CXG167" s="102"/>
      <c r="CXH167" s="102"/>
      <c r="CXI167" s="102"/>
      <c r="CXJ167" s="102"/>
      <c r="CXK167" s="102"/>
      <c r="CXL167" s="102"/>
      <c r="CXM167" s="102"/>
      <c r="CXN167" s="102"/>
      <c r="CXO167" s="102"/>
      <c r="CXP167" s="102"/>
      <c r="CXQ167" s="102"/>
      <c r="CXR167" s="102"/>
      <c r="CXS167" s="102"/>
      <c r="CXT167" s="102"/>
      <c r="CXU167" s="102"/>
      <c r="CXV167" s="102"/>
      <c r="CXW167" s="102"/>
      <c r="CXX167" s="102"/>
      <c r="CXY167" s="102"/>
      <c r="CXZ167" s="102"/>
      <c r="CYA167" s="102"/>
      <c r="CYB167" s="102"/>
      <c r="CYC167" s="102"/>
      <c r="CYD167" s="102"/>
      <c r="CYE167" s="102"/>
      <c r="CYF167" s="102"/>
      <c r="CYG167" s="102"/>
      <c r="CYH167" s="102"/>
      <c r="CYI167" s="102"/>
      <c r="CYJ167" s="102"/>
      <c r="CYK167" s="102"/>
      <c r="CYL167" s="102"/>
      <c r="CYM167" s="102"/>
      <c r="CYN167" s="102"/>
      <c r="CYO167" s="102"/>
      <c r="CYP167" s="102"/>
      <c r="CYQ167" s="102"/>
      <c r="CYR167" s="102"/>
      <c r="CYS167" s="102"/>
      <c r="CYT167" s="102"/>
      <c r="CYU167" s="102"/>
      <c r="CYV167" s="102"/>
      <c r="CYW167" s="102"/>
      <c r="CYX167" s="102"/>
      <c r="CYY167" s="102"/>
      <c r="CYZ167" s="102"/>
      <c r="CZA167" s="102"/>
      <c r="CZB167" s="102"/>
      <c r="CZC167" s="102"/>
      <c r="CZD167" s="102"/>
      <c r="CZE167" s="102"/>
      <c r="CZF167" s="102"/>
      <c r="CZG167" s="102"/>
      <c r="CZH167" s="102"/>
      <c r="CZI167" s="102"/>
      <c r="CZJ167" s="102"/>
      <c r="CZK167" s="102"/>
      <c r="CZL167" s="102"/>
      <c r="CZM167" s="102"/>
      <c r="CZN167" s="102"/>
      <c r="CZO167" s="102"/>
      <c r="CZP167" s="102"/>
      <c r="CZQ167" s="102"/>
      <c r="CZR167" s="102"/>
      <c r="CZS167" s="102"/>
      <c r="CZT167" s="102"/>
      <c r="CZU167" s="102"/>
      <c r="CZV167" s="102"/>
      <c r="CZW167" s="102"/>
      <c r="CZX167" s="102"/>
      <c r="CZY167" s="102"/>
      <c r="CZZ167" s="102"/>
      <c r="DAA167" s="102"/>
      <c r="DAB167" s="102"/>
      <c r="DAC167" s="102"/>
      <c r="DAD167" s="102"/>
      <c r="DAE167" s="102"/>
      <c r="DAF167" s="102"/>
      <c r="DAG167" s="102"/>
      <c r="DAH167" s="102"/>
      <c r="DAI167" s="102"/>
      <c r="DAJ167" s="102"/>
      <c r="DAK167" s="102"/>
      <c r="DAL167" s="102"/>
      <c r="DAM167" s="102"/>
      <c r="DAN167" s="102"/>
      <c r="DAO167" s="102"/>
      <c r="DAP167" s="102"/>
      <c r="DAQ167" s="102"/>
      <c r="DAR167" s="102"/>
      <c r="DAS167" s="102"/>
      <c r="DAT167" s="102"/>
      <c r="DAU167" s="102"/>
      <c r="DAV167" s="102"/>
      <c r="DAW167" s="102"/>
      <c r="DAX167" s="102"/>
      <c r="DAY167" s="102"/>
      <c r="DAZ167" s="102"/>
      <c r="DBA167" s="102"/>
      <c r="DBB167" s="102"/>
      <c r="DBC167" s="102"/>
      <c r="DBD167" s="102"/>
      <c r="DBE167" s="102"/>
      <c r="DBF167" s="102"/>
      <c r="DBG167" s="102"/>
      <c r="DBH167" s="102"/>
      <c r="DBI167" s="102"/>
      <c r="DBJ167" s="102"/>
      <c r="DBK167" s="102"/>
      <c r="DBL167" s="102"/>
      <c r="DBM167" s="102"/>
      <c r="DBN167" s="102"/>
      <c r="DBO167" s="102"/>
      <c r="DBP167" s="102"/>
      <c r="DBQ167" s="102"/>
      <c r="DBR167" s="102"/>
      <c r="DBS167" s="102"/>
      <c r="DBT167" s="102"/>
      <c r="DBU167" s="102"/>
      <c r="DBV167" s="102"/>
      <c r="DBW167" s="102"/>
      <c r="DBX167" s="102"/>
      <c r="DBY167" s="102"/>
      <c r="DBZ167" s="102"/>
      <c r="DCA167" s="102"/>
      <c r="DCB167" s="102"/>
      <c r="DCC167" s="102"/>
      <c r="DCD167" s="102"/>
      <c r="DCE167" s="102"/>
      <c r="DCF167" s="102"/>
      <c r="DCG167" s="102"/>
      <c r="DCH167" s="102"/>
      <c r="DCI167" s="102"/>
      <c r="DCJ167" s="102"/>
      <c r="DCK167" s="102"/>
      <c r="DCL167" s="102"/>
      <c r="DCM167" s="102"/>
      <c r="DCN167" s="102"/>
      <c r="DCO167" s="102"/>
      <c r="DCP167" s="102"/>
      <c r="DCQ167" s="102"/>
      <c r="DCR167" s="102"/>
      <c r="DCS167" s="102"/>
      <c r="DCT167" s="102"/>
      <c r="DCU167" s="102"/>
      <c r="DCV167" s="102"/>
      <c r="DCW167" s="102"/>
      <c r="DCX167" s="102"/>
      <c r="DCY167" s="102"/>
      <c r="DCZ167" s="102"/>
      <c r="DDA167" s="102"/>
      <c r="DDB167" s="102"/>
      <c r="DDC167" s="102"/>
      <c r="DDD167" s="102"/>
      <c r="DDE167" s="102"/>
      <c r="DDF167" s="102"/>
      <c r="DDG167" s="102"/>
      <c r="DDH167" s="102"/>
      <c r="DDI167" s="102"/>
      <c r="DDJ167" s="102"/>
      <c r="DDK167" s="102"/>
      <c r="DDL167" s="102"/>
      <c r="DDM167" s="102"/>
      <c r="DDN167" s="102"/>
      <c r="DDO167" s="102"/>
      <c r="DDP167" s="102"/>
      <c r="DDQ167" s="102"/>
      <c r="DDR167" s="102"/>
      <c r="DDS167" s="102"/>
      <c r="DDT167" s="102"/>
      <c r="DDU167" s="102"/>
      <c r="DDV167" s="102"/>
      <c r="DDW167" s="102"/>
      <c r="DDX167" s="102"/>
      <c r="DDY167" s="102"/>
      <c r="DDZ167" s="102"/>
      <c r="DEA167" s="102"/>
      <c r="DEB167" s="102"/>
      <c r="DEC167" s="102"/>
      <c r="DED167" s="102"/>
      <c r="DEE167" s="102"/>
      <c r="DEF167" s="102"/>
      <c r="DEG167" s="102"/>
      <c r="DEH167" s="102"/>
      <c r="DEI167" s="102"/>
      <c r="DEJ167" s="102"/>
      <c r="DEK167" s="102"/>
      <c r="DEL167" s="102"/>
      <c r="DEM167" s="102"/>
      <c r="DEN167" s="102"/>
      <c r="DEO167" s="102"/>
      <c r="DEP167" s="102"/>
      <c r="DEQ167" s="102"/>
      <c r="DER167" s="102"/>
      <c r="DES167" s="102"/>
      <c r="DET167" s="102"/>
      <c r="DEU167" s="102"/>
      <c r="DEV167" s="102"/>
      <c r="DEW167" s="102"/>
      <c r="DEX167" s="102"/>
      <c r="DEY167" s="102"/>
      <c r="DEZ167" s="102"/>
      <c r="DFA167" s="102"/>
      <c r="DFB167" s="102"/>
      <c r="DFC167" s="102"/>
      <c r="DFD167" s="102"/>
      <c r="DFE167" s="102"/>
      <c r="DFF167" s="102"/>
      <c r="DFG167" s="102"/>
      <c r="DFH167" s="102"/>
      <c r="DFI167" s="102"/>
      <c r="DFJ167" s="102"/>
      <c r="DFK167" s="102"/>
      <c r="DFL167" s="102"/>
      <c r="DFM167" s="102"/>
      <c r="DFN167" s="102"/>
      <c r="DFO167" s="102"/>
      <c r="DFP167" s="102"/>
      <c r="DFQ167" s="102"/>
      <c r="DFR167" s="102"/>
      <c r="DFS167" s="102"/>
      <c r="DFT167" s="102"/>
      <c r="DFU167" s="102"/>
      <c r="DFV167" s="102"/>
      <c r="DFW167" s="102"/>
      <c r="DFX167" s="102"/>
      <c r="DFY167" s="102"/>
      <c r="DFZ167" s="102"/>
      <c r="DGA167" s="102"/>
      <c r="DGB167" s="102"/>
      <c r="DGC167" s="102"/>
      <c r="DGD167" s="102"/>
      <c r="DGE167" s="102"/>
      <c r="DGF167" s="102"/>
      <c r="DGG167" s="102"/>
      <c r="DGH167" s="102"/>
      <c r="DGI167" s="102"/>
      <c r="DGJ167" s="102"/>
      <c r="DGK167" s="102"/>
      <c r="DGL167" s="102"/>
      <c r="DGM167" s="102"/>
      <c r="DGN167" s="102"/>
      <c r="DGO167" s="102"/>
      <c r="DGP167" s="102"/>
      <c r="DGQ167" s="102"/>
      <c r="DGR167" s="102"/>
      <c r="DGS167" s="102"/>
      <c r="DGT167" s="102"/>
      <c r="DGU167" s="102"/>
      <c r="DGV167" s="102"/>
      <c r="DGW167" s="102"/>
      <c r="DGX167" s="102"/>
      <c r="DGY167" s="102"/>
      <c r="DGZ167" s="102"/>
      <c r="DHA167" s="102"/>
      <c r="DHB167" s="102"/>
      <c r="DHC167" s="102"/>
      <c r="DHD167" s="102"/>
      <c r="DHE167" s="102"/>
      <c r="DHF167" s="102"/>
      <c r="DHG167" s="102"/>
      <c r="DHH167" s="102"/>
      <c r="DHI167" s="102"/>
      <c r="DHJ167" s="102"/>
      <c r="DHK167" s="102"/>
      <c r="DHL167" s="102"/>
      <c r="DHM167" s="102"/>
      <c r="DHN167" s="102"/>
      <c r="DHO167" s="102"/>
      <c r="DHP167" s="102"/>
      <c r="DHQ167" s="102"/>
      <c r="DHR167" s="102"/>
      <c r="DHS167" s="102"/>
      <c r="DHT167" s="102"/>
      <c r="DHU167" s="102"/>
      <c r="DHV167" s="102"/>
      <c r="DHW167" s="102"/>
      <c r="DHX167" s="102"/>
      <c r="DHY167" s="102"/>
      <c r="DHZ167" s="102"/>
      <c r="DIA167" s="102"/>
      <c r="DIB167" s="102"/>
      <c r="DIC167" s="102"/>
      <c r="DID167" s="102"/>
      <c r="DIE167" s="102"/>
      <c r="DIF167" s="102"/>
      <c r="DIG167" s="102"/>
      <c r="DIH167" s="102"/>
      <c r="DII167" s="102"/>
      <c r="DIJ167" s="102"/>
      <c r="DIK167" s="102"/>
      <c r="DIL167" s="102"/>
      <c r="DIM167" s="102"/>
      <c r="DIN167" s="102"/>
      <c r="DIO167" s="102"/>
      <c r="DIP167" s="102"/>
      <c r="DIQ167" s="102"/>
      <c r="DIR167" s="102"/>
      <c r="DIS167" s="102"/>
      <c r="DIT167" s="102"/>
      <c r="DIU167" s="102"/>
      <c r="DIV167" s="102"/>
      <c r="DIW167" s="102"/>
      <c r="DIX167" s="102"/>
      <c r="DIY167" s="102"/>
      <c r="DIZ167" s="102"/>
      <c r="DJA167" s="102"/>
      <c r="DJB167" s="102"/>
      <c r="DJC167" s="102"/>
      <c r="DJD167" s="102"/>
      <c r="DJE167" s="102"/>
      <c r="DJF167" s="102"/>
      <c r="DJG167" s="102"/>
      <c r="DJH167" s="102"/>
      <c r="DJI167" s="102"/>
      <c r="DJJ167" s="102"/>
      <c r="DJK167" s="102"/>
      <c r="DJL167" s="102"/>
      <c r="DJM167" s="102"/>
      <c r="DJN167" s="102"/>
      <c r="DJO167" s="102"/>
      <c r="DJP167" s="102"/>
      <c r="DJQ167" s="102"/>
      <c r="DJR167" s="102"/>
      <c r="DJS167" s="102"/>
      <c r="DJT167" s="102"/>
      <c r="DJU167" s="102"/>
      <c r="DJV167" s="102"/>
      <c r="DJW167" s="102"/>
      <c r="DJX167" s="102"/>
      <c r="DJY167" s="102"/>
      <c r="DJZ167" s="102"/>
      <c r="DKA167" s="102"/>
      <c r="DKB167" s="102"/>
      <c r="DKC167" s="102"/>
      <c r="DKD167" s="102"/>
      <c r="DKE167" s="102"/>
      <c r="DKF167" s="102"/>
      <c r="DKG167" s="102"/>
      <c r="DKH167" s="102"/>
      <c r="DKI167" s="102"/>
      <c r="DKJ167" s="102"/>
      <c r="DKK167" s="102"/>
      <c r="DKL167" s="102"/>
      <c r="DKM167" s="102"/>
      <c r="DKN167" s="102"/>
      <c r="DKO167" s="102"/>
      <c r="DKP167" s="102"/>
      <c r="DKQ167" s="102"/>
      <c r="DKR167" s="102"/>
      <c r="DKS167" s="102"/>
      <c r="DKT167" s="102"/>
      <c r="DKU167" s="102"/>
      <c r="DKV167" s="102"/>
      <c r="DKW167" s="102"/>
      <c r="DKX167" s="102"/>
      <c r="DKY167" s="102"/>
      <c r="DKZ167" s="102"/>
      <c r="DLA167" s="102"/>
      <c r="DLB167" s="102"/>
      <c r="DLC167" s="102"/>
      <c r="DLD167" s="102"/>
      <c r="DLE167" s="102"/>
      <c r="DLF167" s="102"/>
      <c r="DLG167" s="102"/>
      <c r="DLH167" s="102"/>
      <c r="DLI167" s="102"/>
      <c r="DLJ167" s="102"/>
      <c r="DLK167" s="102"/>
      <c r="DLL167" s="102"/>
      <c r="DLM167" s="102"/>
      <c r="DLN167" s="102"/>
      <c r="DLO167" s="102"/>
      <c r="DLP167" s="102"/>
      <c r="DLQ167" s="102"/>
      <c r="DLR167" s="102"/>
      <c r="DLS167" s="102"/>
      <c r="DLT167" s="102"/>
      <c r="DLU167" s="102"/>
      <c r="DLV167" s="102"/>
      <c r="DLW167" s="102"/>
      <c r="DLX167" s="102"/>
      <c r="DLY167" s="102"/>
      <c r="DLZ167" s="102"/>
      <c r="DMA167" s="102"/>
      <c r="DMB167" s="102"/>
      <c r="DMC167" s="102"/>
      <c r="DMD167" s="102"/>
      <c r="DME167" s="102"/>
      <c r="DMF167" s="102"/>
      <c r="DMG167" s="102"/>
      <c r="DMH167" s="102"/>
      <c r="DMI167" s="102"/>
      <c r="DMJ167" s="102"/>
      <c r="DMK167" s="102"/>
      <c r="DML167" s="102"/>
      <c r="DMM167" s="102"/>
      <c r="DMN167" s="102"/>
      <c r="DMO167" s="102"/>
      <c r="DMP167" s="102"/>
      <c r="DMQ167" s="102"/>
      <c r="DMR167" s="102"/>
      <c r="DMS167" s="102"/>
      <c r="DMT167" s="102"/>
      <c r="DMU167" s="102"/>
      <c r="DMV167" s="102"/>
      <c r="DMW167" s="102"/>
      <c r="DMX167" s="102"/>
      <c r="DMY167" s="102"/>
      <c r="DMZ167" s="102"/>
      <c r="DNA167" s="102"/>
      <c r="DNB167" s="102"/>
      <c r="DNC167" s="102"/>
      <c r="DND167" s="102"/>
      <c r="DNE167" s="102"/>
      <c r="DNF167" s="102"/>
      <c r="DNG167" s="102"/>
      <c r="DNH167" s="102"/>
      <c r="DNI167" s="102"/>
      <c r="DNJ167" s="102"/>
      <c r="DNK167" s="102"/>
      <c r="DNL167" s="102"/>
      <c r="DNM167" s="102"/>
      <c r="DNN167" s="102"/>
      <c r="DNO167" s="102"/>
      <c r="DNP167" s="102"/>
      <c r="DNQ167" s="102"/>
      <c r="DNR167" s="102"/>
      <c r="DNS167" s="102"/>
      <c r="DNT167" s="102"/>
      <c r="DNU167" s="102"/>
      <c r="DNV167" s="102"/>
      <c r="DNW167" s="102"/>
      <c r="DNX167" s="102"/>
      <c r="DNY167" s="102"/>
      <c r="DNZ167" s="102"/>
      <c r="DOA167" s="102"/>
      <c r="DOB167" s="102"/>
      <c r="DOC167" s="102"/>
      <c r="DOD167" s="102"/>
      <c r="DOE167" s="102"/>
      <c r="DOF167" s="102"/>
      <c r="DOG167" s="102"/>
      <c r="DOH167" s="102"/>
      <c r="DOI167" s="102"/>
      <c r="DOJ167" s="102"/>
      <c r="DOK167" s="102"/>
      <c r="DOL167" s="102"/>
      <c r="DOM167" s="102"/>
      <c r="DON167" s="102"/>
      <c r="DOO167" s="102"/>
      <c r="DOP167" s="102"/>
      <c r="DOQ167" s="102"/>
      <c r="DOR167" s="102"/>
      <c r="DOS167" s="102"/>
      <c r="DOT167" s="102"/>
      <c r="DOU167" s="102"/>
      <c r="DOV167" s="102"/>
      <c r="DOW167" s="102"/>
      <c r="DOX167" s="102"/>
      <c r="DOY167" s="102"/>
      <c r="DOZ167" s="102"/>
      <c r="DPA167" s="102"/>
      <c r="DPB167" s="102"/>
      <c r="DPC167" s="102"/>
      <c r="DPD167" s="102"/>
      <c r="DPE167" s="102"/>
      <c r="DPF167" s="102"/>
      <c r="DPG167" s="102"/>
      <c r="DPH167" s="102"/>
      <c r="DPI167" s="102"/>
      <c r="DPJ167" s="102"/>
      <c r="DPK167" s="102"/>
      <c r="DPL167" s="102"/>
      <c r="DPM167" s="102"/>
      <c r="DPN167" s="102"/>
      <c r="DPO167" s="102"/>
      <c r="DPP167" s="102"/>
      <c r="DPQ167" s="102"/>
      <c r="DPR167" s="102"/>
      <c r="DPS167" s="102"/>
      <c r="DPT167" s="102"/>
      <c r="DPU167" s="102"/>
      <c r="DPV167" s="102"/>
      <c r="DPW167" s="102"/>
      <c r="DPX167" s="102"/>
      <c r="DPY167" s="102"/>
      <c r="DPZ167" s="102"/>
      <c r="DQA167" s="102"/>
      <c r="DQB167" s="102"/>
      <c r="DQC167" s="102"/>
      <c r="DQD167" s="102"/>
      <c r="DQE167" s="102"/>
      <c r="DQF167" s="102"/>
      <c r="DQG167" s="102"/>
      <c r="DQH167" s="102"/>
      <c r="DQI167" s="102"/>
      <c r="DQJ167" s="102"/>
      <c r="DQK167" s="102"/>
      <c r="DQL167" s="102"/>
      <c r="DQM167" s="102"/>
      <c r="DQN167" s="102"/>
      <c r="DQO167" s="102"/>
      <c r="DQP167" s="102"/>
      <c r="DQQ167" s="102"/>
      <c r="DQR167" s="102"/>
      <c r="DQS167" s="102"/>
      <c r="DQT167" s="102"/>
      <c r="DQU167" s="102"/>
      <c r="DQV167" s="102"/>
      <c r="DQW167" s="102"/>
      <c r="DQX167" s="102"/>
      <c r="DQY167" s="102"/>
      <c r="DQZ167" s="102"/>
      <c r="DRA167" s="102"/>
      <c r="DRB167" s="102"/>
      <c r="DRC167" s="102"/>
      <c r="DRD167" s="102"/>
      <c r="DRE167" s="102"/>
      <c r="DRF167" s="102"/>
      <c r="DRG167" s="102"/>
      <c r="DRH167" s="102"/>
      <c r="DRI167" s="102"/>
      <c r="DRJ167" s="102"/>
      <c r="DRK167" s="102"/>
      <c r="DRL167" s="102"/>
      <c r="DRM167" s="102"/>
      <c r="DRN167" s="102"/>
      <c r="DRO167" s="102"/>
      <c r="DRP167" s="102"/>
      <c r="DRQ167" s="102"/>
      <c r="DRR167" s="102"/>
      <c r="DRS167" s="102"/>
      <c r="DRT167" s="102"/>
      <c r="DRU167" s="102"/>
      <c r="DRV167" s="102"/>
      <c r="DRW167" s="102"/>
      <c r="DRX167" s="102"/>
      <c r="DRY167" s="102"/>
      <c r="DRZ167" s="102"/>
      <c r="DSA167" s="102"/>
      <c r="DSB167" s="102"/>
      <c r="DSC167" s="102"/>
      <c r="DSD167" s="102"/>
      <c r="DSE167" s="102"/>
      <c r="DSF167" s="102"/>
      <c r="DSG167" s="102"/>
      <c r="DSH167" s="102"/>
      <c r="DSI167" s="102"/>
      <c r="DSJ167" s="102"/>
      <c r="DSK167" s="102"/>
      <c r="DSL167" s="102"/>
      <c r="DSM167" s="102"/>
      <c r="DSN167" s="102"/>
      <c r="DSO167" s="102"/>
      <c r="DSP167" s="102"/>
      <c r="DSQ167" s="102"/>
      <c r="DSR167" s="102"/>
      <c r="DSS167" s="102"/>
      <c r="DST167" s="102"/>
      <c r="DSU167" s="102"/>
      <c r="DSV167" s="102"/>
      <c r="DSW167" s="102"/>
      <c r="DSX167" s="102"/>
      <c r="DSY167" s="102"/>
      <c r="DSZ167" s="102"/>
      <c r="DTA167" s="102"/>
      <c r="DTB167" s="102"/>
      <c r="DTC167" s="102"/>
      <c r="DTD167" s="102"/>
      <c r="DTE167" s="102"/>
      <c r="DTF167" s="102"/>
      <c r="DTG167" s="102"/>
      <c r="DTH167" s="102"/>
      <c r="DTI167" s="102"/>
      <c r="DTJ167" s="102"/>
      <c r="DTK167" s="102"/>
      <c r="DTL167" s="102"/>
      <c r="DTM167" s="102"/>
      <c r="DTN167" s="102"/>
      <c r="DTO167" s="102"/>
      <c r="DTP167" s="102"/>
      <c r="DTQ167" s="102"/>
      <c r="DTR167" s="102"/>
      <c r="DTS167" s="102"/>
      <c r="DTT167" s="102"/>
      <c r="DTU167" s="102"/>
      <c r="DTV167" s="102"/>
      <c r="DTW167" s="102"/>
      <c r="DTX167" s="102"/>
      <c r="DTY167" s="102"/>
      <c r="DTZ167" s="102"/>
      <c r="DUA167" s="102"/>
      <c r="DUB167" s="102"/>
      <c r="DUC167" s="102"/>
      <c r="DUD167" s="102"/>
      <c r="DUE167" s="102"/>
      <c r="DUF167" s="102"/>
      <c r="DUG167" s="102"/>
      <c r="DUH167" s="102"/>
      <c r="DUI167" s="102"/>
      <c r="DUJ167" s="102"/>
      <c r="DUK167" s="102"/>
      <c r="DUL167" s="102"/>
      <c r="DUM167" s="102"/>
      <c r="DUN167" s="102"/>
      <c r="DUO167" s="102"/>
      <c r="DUP167" s="102"/>
      <c r="DUQ167" s="102"/>
      <c r="DUR167" s="102"/>
      <c r="DUS167" s="102"/>
      <c r="DUT167" s="102"/>
      <c r="DUU167" s="102"/>
      <c r="DUV167" s="102"/>
      <c r="DUW167" s="102"/>
      <c r="DUX167" s="102"/>
      <c r="DUY167" s="102"/>
      <c r="DUZ167" s="102"/>
      <c r="DVA167" s="102"/>
      <c r="DVB167" s="102"/>
      <c r="DVC167" s="102"/>
      <c r="DVD167" s="102"/>
      <c r="DVE167" s="102"/>
      <c r="DVF167" s="102"/>
      <c r="DVG167" s="102"/>
      <c r="DVH167" s="102"/>
      <c r="DVI167" s="102"/>
      <c r="DVJ167" s="102"/>
      <c r="DVK167" s="102"/>
      <c r="DVL167" s="102"/>
      <c r="DVM167" s="102"/>
      <c r="DVN167" s="102"/>
      <c r="DVO167" s="102"/>
      <c r="DVP167" s="102"/>
      <c r="DVQ167" s="102"/>
      <c r="DVR167" s="102"/>
      <c r="DVS167" s="102"/>
      <c r="DVT167" s="102"/>
      <c r="DVU167" s="102"/>
      <c r="DVV167" s="102"/>
      <c r="DVW167" s="102"/>
      <c r="DVX167" s="102"/>
      <c r="DVY167" s="102"/>
      <c r="DVZ167" s="102"/>
      <c r="DWA167" s="102"/>
      <c r="DWB167" s="102"/>
      <c r="DWC167" s="102"/>
      <c r="DWD167" s="102"/>
      <c r="DWE167" s="102"/>
      <c r="DWF167" s="102"/>
      <c r="DWG167" s="102"/>
      <c r="DWH167" s="102"/>
      <c r="DWI167" s="102"/>
      <c r="DWJ167" s="102"/>
      <c r="DWK167" s="102"/>
      <c r="DWL167" s="102"/>
      <c r="DWM167" s="102"/>
      <c r="DWN167" s="102"/>
      <c r="DWO167" s="102"/>
      <c r="DWP167" s="102"/>
      <c r="DWQ167" s="102"/>
      <c r="DWR167" s="102"/>
      <c r="DWS167" s="102"/>
      <c r="DWT167" s="102"/>
      <c r="DWU167" s="102"/>
      <c r="DWV167" s="102"/>
      <c r="DWW167" s="102"/>
      <c r="DWX167" s="102"/>
      <c r="DWY167" s="102"/>
      <c r="DWZ167" s="102"/>
      <c r="DXA167" s="102"/>
      <c r="DXB167" s="102"/>
      <c r="DXC167" s="102"/>
      <c r="DXD167" s="102"/>
      <c r="DXE167" s="102"/>
      <c r="DXF167" s="102"/>
      <c r="DXG167" s="102"/>
      <c r="DXH167" s="102"/>
      <c r="DXI167" s="102"/>
      <c r="DXJ167" s="102"/>
      <c r="DXK167" s="102"/>
      <c r="DXL167" s="102"/>
      <c r="DXM167" s="102"/>
      <c r="DXN167" s="102"/>
      <c r="DXO167" s="102"/>
      <c r="DXP167" s="102"/>
      <c r="DXQ167" s="102"/>
      <c r="DXR167" s="102"/>
      <c r="DXS167" s="102"/>
      <c r="DXT167" s="102"/>
      <c r="DXU167" s="102"/>
      <c r="DXV167" s="102"/>
      <c r="DXW167" s="102"/>
      <c r="DXX167" s="102"/>
      <c r="DXY167" s="102"/>
      <c r="DXZ167" s="102"/>
      <c r="DYA167" s="102"/>
      <c r="DYB167" s="102"/>
      <c r="DYC167" s="102"/>
      <c r="DYD167" s="102"/>
      <c r="DYE167" s="102"/>
      <c r="DYF167" s="102"/>
      <c r="DYG167" s="102"/>
      <c r="DYH167" s="102"/>
      <c r="DYI167" s="102"/>
      <c r="DYJ167" s="102"/>
      <c r="DYK167" s="102"/>
      <c r="DYL167" s="102"/>
      <c r="DYM167" s="102"/>
      <c r="DYN167" s="102"/>
      <c r="DYO167" s="102"/>
      <c r="DYP167" s="102"/>
      <c r="DYQ167" s="102"/>
      <c r="DYR167" s="102"/>
      <c r="DYS167" s="102"/>
      <c r="DYT167" s="102"/>
      <c r="DYU167" s="102"/>
      <c r="DYV167" s="102"/>
      <c r="DYW167" s="102"/>
      <c r="DYX167" s="102"/>
      <c r="DYY167" s="102"/>
      <c r="DYZ167" s="102"/>
      <c r="DZA167" s="102"/>
      <c r="DZB167" s="102"/>
      <c r="DZC167" s="102"/>
      <c r="DZD167" s="102"/>
      <c r="DZE167" s="102"/>
      <c r="DZF167" s="102"/>
      <c r="DZG167" s="102"/>
      <c r="DZH167" s="102"/>
      <c r="DZI167" s="102"/>
      <c r="DZJ167" s="102"/>
      <c r="DZK167" s="102"/>
      <c r="DZL167" s="102"/>
      <c r="DZM167" s="102"/>
      <c r="DZN167" s="102"/>
      <c r="DZO167" s="102"/>
      <c r="DZP167" s="102"/>
      <c r="DZQ167" s="102"/>
      <c r="DZR167" s="102"/>
      <c r="DZS167" s="102"/>
      <c r="DZT167" s="102"/>
      <c r="DZU167" s="102"/>
      <c r="DZV167" s="102"/>
      <c r="DZW167" s="102"/>
      <c r="DZX167" s="102"/>
      <c r="DZY167" s="102"/>
      <c r="DZZ167" s="102"/>
      <c r="EAA167" s="102"/>
      <c r="EAB167" s="102"/>
      <c r="EAC167" s="102"/>
      <c r="EAD167" s="102"/>
      <c r="EAE167" s="102"/>
      <c r="EAF167" s="102"/>
      <c r="EAG167" s="102"/>
      <c r="EAH167" s="102"/>
      <c r="EAI167" s="102"/>
      <c r="EAJ167" s="102"/>
      <c r="EAK167" s="102"/>
      <c r="EAL167" s="102"/>
      <c r="EAM167" s="102"/>
      <c r="EAN167" s="102"/>
      <c r="EAO167" s="102"/>
      <c r="EAP167" s="102"/>
      <c r="EAQ167" s="102"/>
      <c r="EAR167" s="102"/>
      <c r="EAS167" s="102"/>
      <c r="EAT167" s="102"/>
      <c r="EAU167" s="102"/>
      <c r="EAV167" s="102"/>
      <c r="EAW167" s="102"/>
      <c r="EAX167" s="102"/>
      <c r="EAY167" s="102"/>
      <c r="EAZ167" s="102"/>
      <c r="EBA167" s="102"/>
      <c r="EBB167" s="102"/>
      <c r="EBC167" s="102"/>
      <c r="EBD167" s="102"/>
      <c r="EBE167" s="102"/>
      <c r="EBF167" s="102"/>
      <c r="EBG167" s="102"/>
      <c r="EBH167" s="102"/>
      <c r="EBI167" s="102"/>
      <c r="EBJ167" s="102"/>
      <c r="EBK167" s="102"/>
      <c r="EBL167" s="102"/>
      <c r="EBM167" s="102"/>
      <c r="EBN167" s="102"/>
      <c r="EBO167" s="102"/>
      <c r="EBP167" s="102"/>
      <c r="EBQ167" s="102"/>
      <c r="EBR167" s="102"/>
      <c r="EBS167" s="102"/>
      <c r="EBT167" s="102"/>
      <c r="EBU167" s="102"/>
      <c r="EBV167" s="102"/>
      <c r="EBW167" s="102"/>
      <c r="EBX167" s="102"/>
      <c r="EBY167" s="102"/>
      <c r="EBZ167" s="102"/>
      <c r="ECA167" s="102"/>
      <c r="ECB167" s="102"/>
      <c r="ECC167" s="102"/>
      <c r="ECD167" s="102"/>
      <c r="ECE167" s="102"/>
      <c r="ECF167" s="102"/>
      <c r="ECG167" s="102"/>
      <c r="ECH167" s="102"/>
      <c r="ECI167" s="102"/>
      <c r="ECJ167" s="102"/>
      <c r="ECK167" s="102"/>
      <c r="ECL167" s="102"/>
      <c r="ECM167" s="102"/>
      <c r="ECN167" s="102"/>
      <c r="ECO167" s="102"/>
      <c r="ECP167" s="102"/>
      <c r="ECQ167" s="102"/>
      <c r="ECR167" s="102"/>
      <c r="ECS167" s="102"/>
      <c r="ECT167" s="102"/>
      <c r="ECU167" s="102"/>
      <c r="ECV167" s="102"/>
      <c r="ECW167" s="102"/>
      <c r="ECX167" s="102"/>
      <c r="ECY167" s="102"/>
      <c r="ECZ167" s="102"/>
      <c r="EDA167" s="102"/>
      <c r="EDB167" s="102"/>
      <c r="EDC167" s="102"/>
      <c r="EDD167" s="102"/>
      <c r="EDE167" s="102"/>
      <c r="EDF167" s="102"/>
      <c r="EDG167" s="102"/>
      <c r="EDH167" s="102"/>
      <c r="EDI167" s="102"/>
      <c r="EDJ167" s="102"/>
      <c r="EDK167" s="102"/>
      <c r="EDL167" s="102"/>
      <c r="EDM167" s="102"/>
      <c r="EDN167" s="102"/>
      <c r="EDO167" s="102"/>
      <c r="EDP167" s="102"/>
      <c r="EDQ167" s="102"/>
      <c r="EDR167" s="102"/>
      <c r="EDS167" s="102"/>
      <c r="EDT167" s="102"/>
      <c r="EDU167" s="102"/>
      <c r="EDV167" s="102"/>
      <c r="EDW167" s="102"/>
      <c r="EDX167" s="102"/>
      <c r="EDY167" s="102"/>
      <c r="EDZ167" s="102"/>
      <c r="EEA167" s="102"/>
      <c r="EEB167" s="102"/>
      <c r="EEC167" s="102"/>
      <c r="EED167" s="102"/>
      <c r="EEE167" s="102"/>
      <c r="EEF167" s="102"/>
      <c r="EEG167" s="102"/>
      <c r="EEH167" s="102"/>
      <c r="EEI167" s="102"/>
      <c r="EEJ167" s="102"/>
      <c r="EEK167" s="102"/>
      <c r="EEL167" s="102"/>
      <c r="EEM167" s="102"/>
      <c r="EEN167" s="102"/>
      <c r="EEO167" s="102"/>
      <c r="EEP167" s="102"/>
      <c r="EEQ167" s="102"/>
      <c r="EER167" s="102"/>
      <c r="EES167" s="102"/>
      <c r="EET167" s="102"/>
      <c r="EEU167" s="102"/>
      <c r="EEV167" s="102"/>
      <c r="EEW167" s="102"/>
      <c r="EEX167" s="102"/>
      <c r="EEY167" s="102"/>
      <c r="EEZ167" s="102"/>
      <c r="EFA167" s="102"/>
      <c r="EFB167" s="102"/>
      <c r="EFC167" s="102"/>
      <c r="EFD167" s="102"/>
      <c r="EFE167" s="102"/>
      <c r="EFF167" s="102"/>
      <c r="EFG167" s="102"/>
      <c r="EFH167" s="102"/>
      <c r="EFI167" s="102"/>
      <c r="EFJ167" s="102"/>
      <c r="EFK167" s="102"/>
      <c r="EFL167" s="102"/>
      <c r="EFM167" s="102"/>
      <c r="EFN167" s="102"/>
      <c r="EFO167" s="102"/>
      <c r="EFP167" s="102"/>
      <c r="EFQ167" s="102"/>
      <c r="EFR167" s="102"/>
      <c r="EFS167" s="102"/>
      <c r="EFT167" s="102"/>
      <c r="EFU167" s="102"/>
      <c r="EFV167" s="102"/>
      <c r="EFW167" s="102"/>
      <c r="EFX167" s="102"/>
      <c r="EFY167" s="102"/>
      <c r="EFZ167" s="102"/>
      <c r="EGA167" s="102"/>
      <c r="EGB167" s="102"/>
      <c r="EGC167" s="102"/>
      <c r="EGD167" s="102"/>
      <c r="EGE167" s="102"/>
      <c r="EGF167" s="102"/>
      <c r="EGG167" s="102"/>
      <c r="EGH167" s="102"/>
      <c r="EGI167" s="102"/>
      <c r="EGJ167" s="102"/>
      <c r="EGK167" s="102"/>
      <c r="EGL167" s="102"/>
      <c r="EGM167" s="102"/>
      <c r="EGN167" s="102"/>
      <c r="EGO167" s="102"/>
      <c r="EGP167" s="102"/>
      <c r="EGQ167" s="102"/>
      <c r="EGR167" s="102"/>
      <c r="EGS167" s="102"/>
      <c r="EGT167" s="102"/>
      <c r="EGU167" s="102"/>
      <c r="EGV167" s="102"/>
      <c r="EGW167" s="102"/>
      <c r="EGX167" s="102"/>
      <c r="EGY167" s="102"/>
      <c r="EGZ167" s="102"/>
      <c r="EHA167" s="102"/>
      <c r="EHB167" s="102"/>
      <c r="EHC167" s="102"/>
      <c r="EHD167" s="102"/>
      <c r="EHE167" s="102"/>
      <c r="EHF167" s="102"/>
      <c r="EHG167" s="102"/>
      <c r="EHH167" s="102"/>
      <c r="EHI167" s="102"/>
      <c r="EHJ167" s="102"/>
      <c r="EHK167" s="102"/>
      <c r="EHL167" s="102"/>
      <c r="EHM167" s="102"/>
      <c r="EHN167" s="102"/>
      <c r="EHO167" s="102"/>
      <c r="EHP167" s="102"/>
      <c r="EHQ167" s="102"/>
      <c r="EHR167" s="102"/>
      <c r="EHS167" s="102"/>
      <c r="EHT167" s="102"/>
      <c r="EHU167" s="102"/>
      <c r="EHV167" s="102"/>
      <c r="EHW167" s="102"/>
      <c r="EHX167" s="102"/>
      <c r="EHY167" s="102"/>
      <c r="EHZ167" s="102"/>
      <c r="EIA167" s="102"/>
      <c r="EIB167" s="102"/>
      <c r="EIC167" s="102"/>
      <c r="EID167" s="102"/>
      <c r="EIE167" s="102"/>
      <c r="EIF167" s="102"/>
      <c r="EIG167" s="102"/>
      <c r="EIH167" s="102"/>
      <c r="EII167" s="102"/>
      <c r="EIJ167" s="102"/>
      <c r="EIK167" s="102"/>
      <c r="EIL167" s="102"/>
      <c r="EIM167" s="102"/>
      <c r="EIN167" s="102"/>
      <c r="EIO167" s="102"/>
      <c r="EIP167" s="102"/>
      <c r="EIQ167" s="102"/>
      <c r="EIR167" s="102"/>
      <c r="EIS167" s="102"/>
      <c r="EIT167" s="102"/>
      <c r="EIU167" s="102"/>
      <c r="EIV167" s="102"/>
      <c r="EIW167" s="102"/>
      <c r="EIX167" s="102"/>
      <c r="EIY167" s="102"/>
      <c r="EIZ167" s="102"/>
      <c r="EJA167" s="102"/>
      <c r="EJB167" s="102"/>
      <c r="EJC167" s="102"/>
      <c r="EJD167" s="102"/>
      <c r="EJE167" s="102"/>
      <c r="EJF167" s="102"/>
      <c r="EJG167" s="102"/>
      <c r="EJH167" s="102"/>
      <c r="EJI167" s="102"/>
      <c r="EJJ167" s="102"/>
      <c r="EJK167" s="102"/>
      <c r="EJL167" s="102"/>
      <c r="EJM167" s="102"/>
      <c r="EJN167" s="102"/>
      <c r="EJO167" s="102"/>
      <c r="EJP167" s="102"/>
      <c r="EJQ167" s="102"/>
      <c r="EJR167" s="102"/>
      <c r="EJS167" s="102"/>
      <c r="EJT167" s="102"/>
      <c r="EJU167" s="102"/>
      <c r="EJV167" s="102"/>
      <c r="EJW167" s="102"/>
      <c r="EJX167" s="102"/>
      <c r="EJY167" s="102"/>
      <c r="EJZ167" s="102"/>
      <c r="EKA167" s="102"/>
      <c r="EKB167" s="102"/>
      <c r="EKC167" s="102"/>
      <c r="EKD167" s="102"/>
      <c r="EKE167" s="102"/>
      <c r="EKF167" s="102"/>
      <c r="EKG167" s="102"/>
      <c r="EKH167" s="102"/>
      <c r="EKI167" s="102"/>
      <c r="EKJ167" s="102"/>
      <c r="EKK167" s="102"/>
      <c r="EKL167" s="102"/>
      <c r="EKM167" s="102"/>
      <c r="EKN167" s="102"/>
      <c r="EKO167" s="102"/>
      <c r="EKP167" s="102"/>
      <c r="EKQ167" s="102"/>
      <c r="EKR167" s="102"/>
      <c r="EKS167" s="102"/>
      <c r="EKT167" s="102"/>
      <c r="EKU167" s="102"/>
      <c r="EKV167" s="102"/>
      <c r="EKW167" s="102"/>
      <c r="EKX167" s="102"/>
      <c r="EKY167" s="102"/>
      <c r="EKZ167" s="102"/>
      <c r="ELA167" s="102"/>
      <c r="ELB167" s="102"/>
      <c r="ELC167" s="102"/>
      <c r="ELD167" s="102"/>
      <c r="ELE167" s="102"/>
      <c r="ELF167" s="102"/>
      <c r="ELG167" s="102"/>
      <c r="ELH167" s="102"/>
      <c r="ELI167" s="102"/>
      <c r="ELJ167" s="102"/>
      <c r="ELK167" s="102"/>
      <c r="ELL167" s="102"/>
      <c r="ELM167" s="102"/>
      <c r="ELN167" s="102"/>
      <c r="ELO167" s="102"/>
      <c r="ELP167" s="102"/>
      <c r="ELQ167" s="102"/>
      <c r="ELR167" s="102"/>
      <c r="ELS167" s="102"/>
      <c r="ELT167" s="102"/>
      <c r="ELU167" s="102"/>
      <c r="ELV167" s="102"/>
      <c r="ELW167" s="102"/>
      <c r="ELX167" s="102"/>
      <c r="ELY167" s="102"/>
      <c r="ELZ167" s="102"/>
      <c r="EMA167" s="102"/>
      <c r="EMB167" s="102"/>
      <c r="EMC167" s="102"/>
      <c r="EMD167" s="102"/>
      <c r="EME167" s="102"/>
      <c r="EMF167" s="102"/>
      <c r="EMG167" s="102"/>
      <c r="EMH167" s="102"/>
      <c r="EMI167" s="102"/>
      <c r="EMJ167" s="102"/>
      <c r="EMK167" s="102"/>
      <c r="EML167" s="102"/>
      <c r="EMM167" s="102"/>
      <c r="EMN167" s="102"/>
      <c r="EMO167" s="102"/>
      <c r="EMP167" s="102"/>
      <c r="EMQ167" s="102"/>
      <c r="EMR167" s="102"/>
      <c r="EMS167" s="102"/>
      <c r="EMT167" s="102"/>
      <c r="EMU167" s="102"/>
      <c r="EMV167" s="102"/>
      <c r="EMW167" s="102"/>
      <c r="EMX167" s="102"/>
      <c r="EMY167" s="102"/>
      <c r="EMZ167" s="102"/>
      <c r="ENA167" s="102"/>
      <c r="ENB167" s="102"/>
      <c r="ENC167" s="102"/>
      <c r="END167" s="102"/>
      <c r="ENE167" s="102"/>
      <c r="ENF167" s="102"/>
      <c r="ENG167" s="102"/>
      <c r="ENH167" s="102"/>
      <c r="ENI167" s="102"/>
      <c r="ENJ167" s="102"/>
      <c r="ENK167" s="102"/>
      <c r="ENL167" s="102"/>
      <c r="ENM167" s="102"/>
      <c r="ENN167" s="102"/>
      <c r="ENO167" s="102"/>
      <c r="ENP167" s="102"/>
      <c r="ENQ167" s="102"/>
      <c r="ENR167" s="102"/>
      <c r="ENS167" s="102"/>
      <c r="ENT167" s="102"/>
      <c r="ENU167" s="102"/>
      <c r="ENV167" s="102"/>
      <c r="ENW167" s="102"/>
      <c r="ENX167" s="102"/>
      <c r="ENY167" s="102"/>
      <c r="ENZ167" s="102"/>
      <c r="EOA167" s="102"/>
      <c r="EOB167" s="102"/>
      <c r="EOC167" s="102"/>
      <c r="EOD167" s="102"/>
      <c r="EOE167" s="102"/>
      <c r="EOF167" s="102"/>
      <c r="EOG167" s="102"/>
      <c r="EOH167" s="102"/>
      <c r="EOI167" s="102"/>
      <c r="EOJ167" s="102"/>
      <c r="EOK167" s="102"/>
      <c r="EOL167" s="102"/>
      <c r="EOM167" s="102"/>
      <c r="EON167" s="102"/>
      <c r="EOO167" s="102"/>
      <c r="EOP167" s="102"/>
      <c r="EOQ167" s="102"/>
      <c r="EOR167" s="102"/>
      <c r="EOS167" s="102"/>
      <c r="EOT167" s="102"/>
      <c r="EOU167" s="102"/>
      <c r="EOV167" s="102"/>
      <c r="EOW167" s="102"/>
      <c r="EOX167" s="102"/>
      <c r="EOY167" s="102"/>
      <c r="EOZ167" s="102"/>
      <c r="EPA167" s="102"/>
      <c r="EPB167" s="102"/>
      <c r="EPC167" s="102"/>
      <c r="EPD167" s="102"/>
      <c r="EPE167" s="102"/>
      <c r="EPF167" s="102"/>
      <c r="EPG167" s="102"/>
      <c r="EPH167" s="102"/>
      <c r="EPI167" s="102"/>
      <c r="EPJ167" s="102"/>
      <c r="EPK167" s="102"/>
      <c r="EPL167" s="102"/>
      <c r="EPM167" s="102"/>
      <c r="EPN167" s="102"/>
      <c r="EPO167" s="102"/>
      <c r="EPP167" s="102"/>
      <c r="EPQ167" s="102"/>
      <c r="EPR167" s="102"/>
      <c r="EPS167" s="102"/>
      <c r="EPT167" s="102"/>
      <c r="EPU167" s="102"/>
      <c r="EPV167" s="102"/>
      <c r="EPW167" s="102"/>
      <c r="EPX167" s="102"/>
      <c r="EPY167" s="102"/>
      <c r="EPZ167" s="102"/>
      <c r="EQA167" s="102"/>
      <c r="EQB167" s="102"/>
      <c r="EQC167" s="102"/>
      <c r="EQD167" s="102"/>
      <c r="EQE167" s="102"/>
      <c r="EQF167" s="102"/>
      <c r="EQG167" s="102"/>
      <c r="EQH167" s="102"/>
      <c r="EQI167" s="102"/>
      <c r="EQJ167" s="102"/>
      <c r="EQK167" s="102"/>
      <c r="EQL167" s="102"/>
      <c r="EQM167" s="102"/>
      <c r="EQN167" s="102"/>
      <c r="EQO167" s="102"/>
      <c r="EQP167" s="102"/>
      <c r="EQQ167" s="102"/>
      <c r="EQR167" s="102"/>
      <c r="EQS167" s="102"/>
      <c r="EQT167" s="102"/>
      <c r="EQU167" s="102"/>
      <c r="EQV167" s="102"/>
      <c r="EQW167" s="102"/>
      <c r="EQX167" s="102"/>
      <c r="EQY167" s="102"/>
      <c r="EQZ167" s="102"/>
      <c r="ERA167" s="102"/>
      <c r="ERB167" s="102"/>
      <c r="ERC167" s="102"/>
      <c r="ERD167" s="102"/>
      <c r="ERE167" s="102"/>
      <c r="ERF167" s="102"/>
      <c r="ERG167" s="102"/>
      <c r="ERH167" s="102"/>
      <c r="ERI167" s="102"/>
      <c r="ERJ167" s="102"/>
      <c r="ERK167" s="102"/>
      <c r="ERL167" s="102"/>
      <c r="ERM167" s="102"/>
      <c r="ERN167" s="102"/>
      <c r="ERO167" s="102"/>
      <c r="ERP167" s="102"/>
      <c r="ERQ167" s="102"/>
      <c r="ERR167" s="102"/>
      <c r="ERS167" s="102"/>
      <c r="ERT167" s="102"/>
      <c r="ERU167" s="102"/>
      <c r="ERV167" s="102"/>
      <c r="ERW167" s="102"/>
      <c r="ERX167" s="102"/>
      <c r="ERY167" s="102"/>
      <c r="ERZ167" s="102"/>
      <c r="ESA167" s="102"/>
      <c r="ESB167" s="102"/>
      <c r="ESC167" s="102"/>
      <c r="ESD167" s="102"/>
      <c r="ESE167" s="102"/>
      <c r="ESF167" s="102"/>
      <c r="ESG167" s="102"/>
      <c r="ESH167" s="102"/>
      <c r="ESI167" s="102"/>
      <c r="ESJ167" s="102"/>
      <c r="ESK167" s="102"/>
      <c r="ESL167" s="102"/>
      <c r="ESM167" s="102"/>
      <c r="ESN167" s="102"/>
      <c r="ESO167" s="102"/>
      <c r="ESP167" s="102"/>
      <c r="ESQ167" s="102"/>
      <c r="ESR167" s="102"/>
      <c r="ESS167" s="102"/>
      <c r="EST167" s="102"/>
      <c r="ESU167" s="102"/>
      <c r="ESV167" s="102"/>
      <c r="ESW167" s="102"/>
      <c r="ESX167" s="102"/>
      <c r="ESY167" s="102"/>
      <c r="ESZ167" s="102"/>
      <c r="ETA167" s="102"/>
      <c r="ETB167" s="102"/>
      <c r="ETC167" s="102"/>
      <c r="ETD167" s="102"/>
      <c r="ETE167" s="102"/>
      <c r="ETF167" s="102"/>
      <c r="ETG167" s="102"/>
      <c r="ETH167" s="102"/>
      <c r="ETI167" s="102"/>
      <c r="ETJ167" s="102"/>
      <c r="ETK167" s="102"/>
      <c r="ETL167" s="102"/>
      <c r="ETM167" s="102"/>
      <c r="ETN167" s="102"/>
      <c r="ETO167" s="102"/>
      <c r="ETP167" s="102"/>
      <c r="ETQ167" s="102"/>
      <c r="ETR167" s="102"/>
      <c r="ETS167" s="102"/>
      <c r="ETT167" s="102"/>
      <c r="ETU167" s="102"/>
      <c r="ETV167" s="102"/>
      <c r="ETW167" s="102"/>
      <c r="ETX167" s="102"/>
      <c r="ETY167" s="102"/>
      <c r="ETZ167" s="102"/>
      <c r="EUA167" s="102"/>
      <c r="EUB167" s="102"/>
      <c r="EUC167" s="102"/>
      <c r="EUD167" s="102"/>
      <c r="EUE167" s="102"/>
      <c r="EUF167" s="102"/>
      <c r="EUG167" s="102"/>
      <c r="EUH167" s="102"/>
      <c r="EUI167" s="102"/>
      <c r="EUJ167" s="102"/>
      <c r="EUK167" s="102"/>
      <c r="EUL167" s="102"/>
      <c r="EUM167" s="102"/>
      <c r="EUN167" s="102"/>
      <c r="EUO167" s="102"/>
      <c r="EUP167" s="102"/>
      <c r="EUQ167" s="102"/>
      <c r="EUR167" s="102"/>
      <c r="EUS167" s="102"/>
      <c r="EUT167" s="102"/>
      <c r="EUU167" s="102"/>
      <c r="EUV167" s="102"/>
      <c r="EUW167" s="102"/>
      <c r="EUX167" s="102"/>
      <c r="EUY167" s="102"/>
      <c r="EUZ167" s="102"/>
      <c r="EVA167" s="102"/>
      <c r="EVB167" s="102"/>
      <c r="EVC167" s="102"/>
      <c r="EVD167" s="102"/>
      <c r="EVE167" s="102"/>
      <c r="EVF167" s="102"/>
      <c r="EVG167" s="102"/>
      <c r="EVH167" s="102"/>
      <c r="EVI167" s="102"/>
      <c r="EVJ167" s="102"/>
      <c r="EVK167" s="102"/>
      <c r="EVL167" s="102"/>
      <c r="EVM167" s="102"/>
      <c r="EVN167" s="102"/>
      <c r="EVO167" s="102"/>
      <c r="EVP167" s="102"/>
      <c r="EVQ167" s="102"/>
      <c r="EVR167" s="102"/>
      <c r="EVS167" s="102"/>
      <c r="EVT167" s="102"/>
      <c r="EVU167" s="102"/>
      <c r="EVV167" s="102"/>
      <c r="EVW167" s="102"/>
      <c r="EVX167" s="102"/>
      <c r="EVY167" s="102"/>
      <c r="EVZ167" s="102"/>
      <c r="EWA167" s="102"/>
      <c r="EWB167" s="102"/>
      <c r="EWC167" s="102"/>
      <c r="EWD167" s="102"/>
      <c r="EWE167" s="102"/>
      <c r="EWF167" s="102"/>
      <c r="EWG167" s="102"/>
      <c r="EWH167" s="102"/>
      <c r="EWI167" s="102"/>
      <c r="EWJ167" s="102"/>
      <c r="EWK167" s="102"/>
      <c r="EWL167" s="102"/>
      <c r="EWM167" s="102"/>
      <c r="EWN167" s="102"/>
      <c r="EWO167" s="102"/>
      <c r="EWP167" s="102"/>
      <c r="EWQ167" s="102"/>
      <c r="EWR167" s="102"/>
      <c r="EWS167" s="102"/>
      <c r="EWT167" s="102"/>
      <c r="EWU167" s="102"/>
      <c r="EWV167" s="102"/>
      <c r="EWW167" s="102"/>
      <c r="EWX167" s="102"/>
      <c r="EWY167" s="102"/>
      <c r="EWZ167" s="102"/>
      <c r="EXA167" s="102"/>
      <c r="EXB167" s="102"/>
      <c r="EXC167" s="102"/>
      <c r="EXD167" s="102"/>
      <c r="EXE167" s="102"/>
      <c r="EXF167" s="102"/>
      <c r="EXG167" s="102"/>
      <c r="EXH167" s="102"/>
      <c r="EXI167" s="102"/>
      <c r="EXJ167" s="102"/>
      <c r="EXK167" s="102"/>
      <c r="EXL167" s="102"/>
      <c r="EXM167" s="102"/>
      <c r="EXN167" s="102"/>
      <c r="EXO167" s="102"/>
      <c r="EXP167" s="102"/>
      <c r="EXQ167" s="102"/>
      <c r="EXR167" s="102"/>
      <c r="EXS167" s="102"/>
      <c r="EXT167" s="102"/>
      <c r="EXU167" s="102"/>
      <c r="EXV167" s="102"/>
      <c r="EXW167" s="102"/>
      <c r="EXX167" s="102"/>
      <c r="EXY167" s="102"/>
      <c r="EXZ167" s="102"/>
      <c r="EYA167" s="102"/>
      <c r="EYB167" s="102"/>
      <c r="EYC167" s="102"/>
      <c r="EYD167" s="102"/>
      <c r="EYE167" s="102"/>
      <c r="EYF167" s="102"/>
      <c r="EYG167" s="102"/>
      <c r="EYH167" s="102"/>
      <c r="EYI167" s="102"/>
      <c r="EYJ167" s="102"/>
      <c r="EYK167" s="102"/>
      <c r="EYL167" s="102"/>
      <c r="EYM167" s="102"/>
      <c r="EYN167" s="102"/>
      <c r="EYO167" s="102"/>
      <c r="EYP167" s="102"/>
      <c r="EYQ167" s="102"/>
      <c r="EYR167" s="102"/>
      <c r="EYS167" s="102"/>
      <c r="EYT167" s="102"/>
      <c r="EYU167" s="102"/>
      <c r="EYV167" s="102"/>
      <c r="EYW167" s="102"/>
      <c r="EYX167" s="102"/>
      <c r="EYY167" s="102"/>
      <c r="EYZ167" s="102"/>
      <c r="EZA167" s="102"/>
      <c r="EZB167" s="102"/>
      <c r="EZC167" s="102"/>
      <c r="EZD167" s="102"/>
      <c r="EZE167" s="102"/>
      <c r="EZF167" s="102"/>
      <c r="EZG167" s="102"/>
      <c r="EZH167" s="102"/>
      <c r="EZI167" s="102"/>
      <c r="EZJ167" s="102"/>
      <c r="EZK167" s="102"/>
      <c r="EZL167" s="102"/>
      <c r="EZM167" s="102"/>
      <c r="EZN167" s="102"/>
      <c r="EZO167" s="102"/>
      <c r="EZP167" s="102"/>
      <c r="EZQ167" s="102"/>
      <c r="EZR167" s="102"/>
      <c r="EZS167" s="102"/>
      <c r="EZT167" s="102"/>
      <c r="EZU167" s="102"/>
      <c r="EZV167" s="102"/>
      <c r="EZW167" s="102"/>
      <c r="EZX167" s="102"/>
      <c r="EZY167" s="102"/>
      <c r="EZZ167" s="102"/>
      <c r="FAA167" s="102"/>
      <c r="FAB167" s="102"/>
      <c r="FAC167" s="102"/>
      <c r="FAD167" s="102"/>
      <c r="FAE167" s="102"/>
      <c r="FAF167" s="102"/>
      <c r="FAG167" s="102"/>
      <c r="FAH167" s="102"/>
      <c r="FAI167" s="102"/>
      <c r="FAJ167" s="102"/>
      <c r="FAK167" s="102"/>
      <c r="FAL167" s="102"/>
      <c r="FAM167" s="102"/>
      <c r="FAN167" s="102"/>
      <c r="FAO167" s="102"/>
      <c r="FAP167" s="102"/>
      <c r="FAQ167" s="102"/>
      <c r="FAR167" s="102"/>
      <c r="FAS167" s="102"/>
      <c r="FAT167" s="102"/>
      <c r="FAU167" s="102"/>
      <c r="FAV167" s="102"/>
      <c r="FAW167" s="102"/>
      <c r="FAX167" s="102"/>
      <c r="FAY167" s="102"/>
      <c r="FAZ167" s="102"/>
      <c r="FBA167" s="102"/>
      <c r="FBB167" s="102"/>
      <c r="FBC167" s="102"/>
      <c r="FBD167" s="102"/>
      <c r="FBE167" s="102"/>
      <c r="FBF167" s="102"/>
      <c r="FBG167" s="102"/>
      <c r="FBH167" s="102"/>
      <c r="FBI167" s="102"/>
      <c r="FBJ167" s="102"/>
      <c r="FBK167" s="102"/>
      <c r="FBL167" s="102"/>
      <c r="FBM167" s="102"/>
      <c r="FBN167" s="102"/>
      <c r="FBO167" s="102"/>
      <c r="FBP167" s="102"/>
      <c r="FBQ167" s="102"/>
      <c r="FBR167" s="102"/>
      <c r="FBS167" s="102"/>
      <c r="FBT167" s="102"/>
      <c r="FBU167" s="102"/>
      <c r="FBV167" s="102"/>
      <c r="FBW167" s="102"/>
      <c r="FBX167" s="102"/>
      <c r="FBY167" s="102"/>
      <c r="FBZ167" s="102"/>
      <c r="FCA167" s="102"/>
      <c r="FCB167" s="102"/>
      <c r="FCC167" s="102"/>
      <c r="FCD167" s="102"/>
      <c r="FCE167" s="102"/>
      <c r="FCF167" s="102"/>
      <c r="FCG167" s="102"/>
      <c r="FCH167" s="102"/>
      <c r="FCI167" s="102"/>
      <c r="FCJ167" s="102"/>
      <c r="FCK167" s="102"/>
      <c r="FCL167" s="102"/>
      <c r="FCM167" s="102"/>
      <c r="FCN167" s="102"/>
      <c r="FCO167" s="102"/>
      <c r="FCP167" s="102"/>
      <c r="FCQ167" s="102"/>
      <c r="FCR167" s="102"/>
      <c r="FCS167" s="102"/>
      <c r="FCT167" s="102"/>
      <c r="FCU167" s="102"/>
      <c r="FCV167" s="102"/>
      <c r="FCW167" s="102"/>
      <c r="FCX167" s="102"/>
      <c r="FCY167" s="102"/>
      <c r="FCZ167" s="102"/>
      <c r="FDA167" s="102"/>
      <c r="FDB167" s="102"/>
      <c r="FDC167" s="102"/>
      <c r="FDD167" s="102"/>
      <c r="FDE167" s="102"/>
      <c r="FDF167" s="102"/>
      <c r="FDG167" s="102"/>
      <c r="FDH167" s="102"/>
      <c r="FDI167" s="102"/>
      <c r="FDJ167" s="102"/>
      <c r="FDK167" s="102"/>
      <c r="FDL167" s="102"/>
      <c r="FDM167" s="102"/>
      <c r="FDN167" s="102"/>
      <c r="FDO167" s="102"/>
      <c r="FDP167" s="102"/>
      <c r="FDQ167" s="102"/>
      <c r="FDR167" s="102"/>
      <c r="FDS167" s="102"/>
      <c r="FDT167" s="102"/>
      <c r="FDU167" s="102"/>
      <c r="FDV167" s="102"/>
      <c r="FDW167" s="102"/>
      <c r="FDX167" s="102"/>
      <c r="FDY167" s="102"/>
      <c r="FDZ167" s="102"/>
      <c r="FEA167" s="102"/>
      <c r="FEB167" s="102"/>
      <c r="FEC167" s="102"/>
      <c r="FED167" s="102"/>
      <c r="FEE167" s="102"/>
      <c r="FEF167" s="102"/>
      <c r="FEG167" s="102"/>
      <c r="FEH167" s="102"/>
      <c r="FEI167" s="102"/>
      <c r="FEJ167" s="102"/>
      <c r="FEK167" s="102"/>
      <c r="FEL167" s="102"/>
      <c r="FEM167" s="102"/>
      <c r="FEN167" s="102"/>
      <c r="FEO167" s="102"/>
      <c r="FEP167" s="102"/>
      <c r="FEQ167" s="102"/>
      <c r="FER167" s="102"/>
      <c r="FES167" s="102"/>
      <c r="FET167" s="102"/>
      <c r="FEU167" s="102"/>
      <c r="FEV167" s="102"/>
      <c r="FEW167" s="102"/>
      <c r="FEX167" s="102"/>
      <c r="FEY167" s="102"/>
      <c r="FEZ167" s="102"/>
      <c r="FFA167" s="102"/>
      <c r="FFB167" s="102"/>
      <c r="FFC167" s="102"/>
      <c r="FFD167" s="102"/>
      <c r="FFE167" s="102"/>
      <c r="FFF167" s="102"/>
      <c r="FFG167" s="102"/>
      <c r="FFH167" s="102"/>
      <c r="FFI167" s="102"/>
      <c r="FFJ167" s="102"/>
      <c r="FFK167" s="102"/>
      <c r="FFL167" s="102"/>
      <c r="FFM167" s="102"/>
      <c r="FFN167" s="102"/>
      <c r="FFO167" s="102"/>
      <c r="FFP167" s="102"/>
      <c r="FFQ167" s="102"/>
      <c r="FFR167" s="102"/>
      <c r="FFS167" s="102"/>
      <c r="FFT167" s="102"/>
      <c r="FFU167" s="102"/>
      <c r="FFV167" s="102"/>
      <c r="FFW167" s="102"/>
      <c r="FFX167" s="102"/>
      <c r="FFY167" s="102"/>
      <c r="FFZ167" s="102"/>
      <c r="FGA167" s="102"/>
      <c r="FGB167" s="102"/>
      <c r="FGC167" s="102"/>
      <c r="FGD167" s="102"/>
      <c r="FGE167" s="102"/>
      <c r="FGF167" s="102"/>
      <c r="FGG167" s="102"/>
      <c r="FGH167" s="102"/>
      <c r="FGI167" s="102"/>
      <c r="FGJ167" s="102"/>
      <c r="FGK167" s="102"/>
      <c r="FGL167" s="102"/>
      <c r="FGM167" s="102"/>
      <c r="FGN167" s="102"/>
      <c r="FGO167" s="102"/>
      <c r="FGP167" s="102"/>
      <c r="FGQ167" s="102"/>
      <c r="FGR167" s="102"/>
      <c r="FGS167" s="102"/>
      <c r="FGT167" s="102"/>
      <c r="FGU167" s="102"/>
      <c r="FGV167" s="102"/>
      <c r="FGW167" s="102"/>
      <c r="FGX167" s="102"/>
      <c r="FGY167" s="102"/>
      <c r="FGZ167" s="102"/>
      <c r="FHA167" s="102"/>
      <c r="FHB167" s="102"/>
      <c r="FHC167" s="102"/>
      <c r="FHD167" s="102"/>
      <c r="FHE167" s="102"/>
      <c r="FHF167" s="102"/>
      <c r="FHG167" s="102"/>
      <c r="FHH167" s="102"/>
      <c r="FHI167" s="102"/>
      <c r="FHJ167" s="102"/>
      <c r="FHK167" s="102"/>
      <c r="FHL167" s="102"/>
      <c r="FHM167" s="102"/>
      <c r="FHN167" s="102"/>
      <c r="FHO167" s="102"/>
      <c r="FHP167" s="102"/>
      <c r="FHQ167" s="102"/>
      <c r="FHR167" s="102"/>
      <c r="FHS167" s="102"/>
      <c r="FHT167" s="102"/>
      <c r="FHU167" s="102"/>
      <c r="FHV167" s="102"/>
      <c r="FHW167" s="102"/>
      <c r="FHX167" s="102"/>
      <c r="FHY167" s="102"/>
      <c r="FHZ167" s="102"/>
      <c r="FIA167" s="102"/>
      <c r="FIB167" s="102"/>
      <c r="FIC167" s="102"/>
      <c r="FID167" s="102"/>
      <c r="FIE167" s="102"/>
      <c r="FIF167" s="102"/>
      <c r="FIG167" s="102"/>
      <c r="FIH167" s="102"/>
      <c r="FII167" s="102"/>
      <c r="FIJ167" s="102"/>
      <c r="FIK167" s="102"/>
      <c r="FIL167" s="102"/>
      <c r="FIM167" s="102"/>
      <c r="FIN167" s="102"/>
      <c r="FIO167" s="102"/>
      <c r="FIP167" s="102"/>
      <c r="FIQ167" s="102"/>
      <c r="FIR167" s="102"/>
      <c r="FIS167" s="102"/>
      <c r="FIT167" s="102"/>
      <c r="FIU167" s="102"/>
      <c r="FIV167" s="102"/>
      <c r="FIW167" s="102"/>
      <c r="FIX167" s="102"/>
      <c r="FIY167" s="102"/>
      <c r="FIZ167" s="102"/>
      <c r="FJA167" s="102"/>
      <c r="FJB167" s="102"/>
      <c r="FJC167" s="102"/>
      <c r="FJD167" s="102"/>
      <c r="FJE167" s="102"/>
      <c r="FJF167" s="102"/>
      <c r="FJG167" s="102"/>
      <c r="FJH167" s="102"/>
      <c r="FJI167" s="102"/>
      <c r="FJJ167" s="102"/>
      <c r="FJK167" s="102"/>
      <c r="FJL167" s="102"/>
      <c r="FJM167" s="102"/>
      <c r="FJN167" s="102"/>
      <c r="FJO167" s="102"/>
      <c r="FJP167" s="102"/>
      <c r="FJQ167" s="102"/>
      <c r="FJR167" s="102"/>
      <c r="FJS167" s="102"/>
      <c r="FJT167" s="102"/>
      <c r="FJU167" s="102"/>
      <c r="FJV167" s="102"/>
      <c r="FJW167" s="102"/>
      <c r="FJX167" s="102"/>
      <c r="FJY167" s="102"/>
      <c r="FJZ167" s="102"/>
      <c r="FKA167" s="102"/>
      <c r="FKB167" s="102"/>
      <c r="FKC167" s="102"/>
      <c r="FKD167" s="102"/>
      <c r="FKE167" s="102"/>
      <c r="FKF167" s="102"/>
      <c r="FKG167" s="102"/>
      <c r="FKH167" s="102"/>
      <c r="FKI167" s="102"/>
      <c r="FKJ167" s="102"/>
      <c r="FKK167" s="102"/>
      <c r="FKL167" s="102"/>
      <c r="FKM167" s="102"/>
      <c r="FKN167" s="102"/>
      <c r="FKO167" s="102"/>
      <c r="FKP167" s="102"/>
      <c r="FKQ167" s="102"/>
      <c r="FKR167" s="102"/>
      <c r="FKS167" s="102"/>
      <c r="FKT167" s="102"/>
      <c r="FKU167" s="102"/>
      <c r="FKV167" s="102"/>
      <c r="FKW167" s="102"/>
      <c r="FKX167" s="102"/>
      <c r="FKY167" s="102"/>
      <c r="FKZ167" s="102"/>
      <c r="FLA167" s="102"/>
      <c r="FLB167" s="102"/>
      <c r="FLC167" s="102"/>
      <c r="FLD167" s="102"/>
      <c r="FLE167" s="102"/>
      <c r="FLF167" s="102"/>
      <c r="FLG167" s="102"/>
      <c r="FLH167" s="102"/>
      <c r="FLI167" s="102"/>
      <c r="FLJ167" s="102"/>
      <c r="FLK167" s="102"/>
      <c r="FLL167" s="102"/>
      <c r="FLM167" s="102"/>
      <c r="FLN167" s="102"/>
      <c r="FLO167" s="102"/>
      <c r="FLP167" s="102"/>
      <c r="FLQ167" s="102"/>
      <c r="FLR167" s="102"/>
      <c r="FLS167" s="102"/>
      <c r="FLT167" s="102"/>
      <c r="FLU167" s="102"/>
      <c r="FLV167" s="102"/>
      <c r="FLW167" s="102"/>
      <c r="FLX167" s="102"/>
      <c r="FLY167" s="102"/>
      <c r="FLZ167" s="102"/>
      <c r="FMA167" s="102"/>
      <c r="FMB167" s="102"/>
      <c r="FMC167" s="102"/>
      <c r="FMD167" s="102"/>
      <c r="FME167" s="102"/>
      <c r="FMF167" s="102"/>
      <c r="FMG167" s="102"/>
      <c r="FMH167" s="102"/>
      <c r="FMI167" s="102"/>
      <c r="FMJ167" s="102"/>
      <c r="FMK167" s="102"/>
      <c r="FML167" s="102"/>
      <c r="FMM167" s="102"/>
      <c r="FMN167" s="102"/>
      <c r="FMO167" s="102"/>
      <c r="FMP167" s="102"/>
      <c r="FMQ167" s="102"/>
      <c r="FMR167" s="102"/>
      <c r="FMS167" s="102"/>
      <c r="FMT167" s="102"/>
      <c r="FMU167" s="102"/>
      <c r="FMV167" s="102"/>
      <c r="FMW167" s="102"/>
      <c r="FMX167" s="102"/>
      <c r="FMY167" s="102"/>
      <c r="FMZ167" s="102"/>
      <c r="FNA167" s="102"/>
      <c r="FNB167" s="102"/>
      <c r="FNC167" s="102"/>
      <c r="FND167" s="102"/>
      <c r="FNE167" s="102"/>
      <c r="FNF167" s="102"/>
      <c r="FNG167" s="102"/>
      <c r="FNH167" s="102"/>
      <c r="FNI167" s="102"/>
      <c r="FNJ167" s="102"/>
      <c r="FNK167" s="102"/>
      <c r="FNL167" s="102"/>
      <c r="FNM167" s="102"/>
      <c r="FNN167" s="102"/>
      <c r="FNO167" s="102"/>
      <c r="FNP167" s="102"/>
      <c r="FNQ167" s="102"/>
      <c r="FNR167" s="102"/>
      <c r="FNS167" s="102"/>
      <c r="FNT167" s="102"/>
      <c r="FNU167" s="102"/>
      <c r="FNV167" s="102"/>
      <c r="FNW167" s="102"/>
      <c r="FNX167" s="102"/>
      <c r="FNY167" s="102"/>
      <c r="FNZ167" s="102"/>
      <c r="FOA167" s="102"/>
      <c r="FOB167" s="102"/>
      <c r="FOC167" s="102"/>
      <c r="FOD167" s="102"/>
      <c r="FOE167" s="102"/>
      <c r="FOF167" s="102"/>
      <c r="FOG167" s="102"/>
      <c r="FOH167" s="102"/>
      <c r="FOI167" s="102"/>
      <c r="FOJ167" s="102"/>
      <c r="FOK167" s="102"/>
      <c r="FOL167" s="102"/>
      <c r="FOM167" s="102"/>
      <c r="FON167" s="102"/>
      <c r="FOO167" s="102"/>
      <c r="FOP167" s="102"/>
      <c r="FOQ167" s="102"/>
      <c r="FOR167" s="102"/>
      <c r="FOS167" s="102"/>
      <c r="FOT167" s="102"/>
      <c r="FOU167" s="102"/>
      <c r="FOV167" s="102"/>
      <c r="FOW167" s="102"/>
      <c r="FOX167" s="102"/>
      <c r="FOY167" s="102"/>
      <c r="FOZ167" s="102"/>
      <c r="FPA167" s="102"/>
      <c r="FPB167" s="102"/>
      <c r="FPC167" s="102"/>
      <c r="FPD167" s="102"/>
      <c r="FPE167" s="102"/>
      <c r="FPF167" s="102"/>
      <c r="FPG167" s="102"/>
      <c r="FPH167" s="102"/>
      <c r="FPI167" s="102"/>
      <c r="FPJ167" s="102"/>
      <c r="FPK167" s="102"/>
      <c r="FPL167" s="102"/>
      <c r="FPM167" s="102"/>
      <c r="FPN167" s="102"/>
      <c r="FPO167" s="102"/>
      <c r="FPP167" s="102"/>
      <c r="FPQ167" s="102"/>
      <c r="FPR167" s="102"/>
      <c r="FPS167" s="102"/>
      <c r="FPT167" s="102"/>
      <c r="FPU167" s="102"/>
      <c r="FPV167" s="102"/>
      <c r="FPW167" s="102"/>
      <c r="FPX167" s="102"/>
      <c r="FPY167" s="102"/>
      <c r="FPZ167" s="102"/>
      <c r="FQA167" s="102"/>
      <c r="FQB167" s="102"/>
      <c r="FQC167" s="102"/>
      <c r="FQD167" s="102"/>
      <c r="FQE167" s="102"/>
      <c r="FQF167" s="102"/>
      <c r="FQG167" s="102"/>
      <c r="FQH167" s="102"/>
      <c r="FQI167" s="102"/>
      <c r="FQJ167" s="102"/>
      <c r="FQK167" s="102"/>
      <c r="FQL167" s="102"/>
      <c r="FQM167" s="102"/>
      <c r="FQN167" s="102"/>
      <c r="FQO167" s="102"/>
      <c r="FQP167" s="102"/>
      <c r="FQQ167" s="102"/>
      <c r="FQR167" s="102"/>
      <c r="FQS167" s="102"/>
      <c r="FQT167" s="102"/>
      <c r="FQU167" s="102"/>
      <c r="FQV167" s="102"/>
      <c r="FQW167" s="102"/>
      <c r="FQX167" s="102"/>
      <c r="FQY167" s="102"/>
      <c r="FQZ167" s="102"/>
      <c r="FRA167" s="102"/>
      <c r="FRB167" s="102"/>
      <c r="FRC167" s="102"/>
      <c r="FRD167" s="102"/>
      <c r="FRE167" s="102"/>
      <c r="FRF167" s="102"/>
      <c r="FRG167" s="102"/>
      <c r="FRH167" s="102"/>
      <c r="FRI167" s="102"/>
      <c r="FRJ167" s="102"/>
      <c r="FRK167" s="102"/>
      <c r="FRL167" s="102"/>
      <c r="FRM167" s="102"/>
      <c r="FRN167" s="102"/>
      <c r="FRO167" s="102"/>
      <c r="FRP167" s="102"/>
      <c r="FRQ167" s="102"/>
      <c r="FRR167" s="102"/>
      <c r="FRS167" s="102"/>
      <c r="FRT167" s="102"/>
      <c r="FRU167" s="102"/>
      <c r="FRV167" s="102"/>
      <c r="FRW167" s="102"/>
      <c r="FRX167" s="102"/>
      <c r="FRY167" s="102"/>
      <c r="FRZ167" s="102"/>
      <c r="FSA167" s="102"/>
      <c r="FSB167" s="102"/>
      <c r="FSC167" s="102"/>
      <c r="FSD167" s="102"/>
      <c r="FSE167" s="102"/>
      <c r="FSF167" s="102"/>
      <c r="FSG167" s="102"/>
      <c r="FSH167" s="102"/>
      <c r="FSI167" s="102"/>
      <c r="FSJ167" s="102"/>
      <c r="FSK167" s="102"/>
      <c r="FSL167" s="102"/>
      <c r="FSM167" s="102"/>
      <c r="FSN167" s="102"/>
      <c r="FSO167" s="102"/>
      <c r="FSP167" s="102"/>
      <c r="FSQ167" s="102"/>
      <c r="FSR167" s="102"/>
      <c r="FSS167" s="102"/>
      <c r="FST167" s="102"/>
      <c r="FSU167" s="102"/>
      <c r="FSV167" s="102"/>
      <c r="FSW167" s="102"/>
      <c r="FSX167" s="102"/>
      <c r="FSY167" s="102"/>
      <c r="FSZ167" s="102"/>
      <c r="FTA167" s="102"/>
      <c r="FTB167" s="102"/>
      <c r="FTC167" s="102"/>
      <c r="FTD167" s="102"/>
      <c r="FTE167" s="102"/>
      <c r="FTF167" s="102"/>
      <c r="FTG167" s="102"/>
      <c r="FTH167" s="102"/>
      <c r="FTI167" s="102"/>
      <c r="FTJ167" s="102"/>
      <c r="FTK167" s="102"/>
      <c r="FTL167" s="102"/>
      <c r="FTM167" s="102"/>
      <c r="FTN167" s="102"/>
      <c r="FTO167" s="102"/>
      <c r="FTP167" s="102"/>
      <c r="FTQ167" s="102"/>
      <c r="FTR167" s="102"/>
      <c r="FTS167" s="102"/>
      <c r="FTT167" s="102"/>
      <c r="FTU167" s="102"/>
      <c r="FTV167" s="102"/>
      <c r="FTW167" s="102"/>
      <c r="FTX167" s="102"/>
      <c r="FTY167" s="102"/>
      <c r="FTZ167" s="102"/>
      <c r="FUA167" s="102"/>
      <c r="FUB167" s="102"/>
      <c r="FUC167" s="102"/>
      <c r="FUD167" s="102"/>
      <c r="FUE167" s="102"/>
      <c r="FUF167" s="102"/>
      <c r="FUG167" s="102"/>
      <c r="FUH167" s="102"/>
      <c r="FUI167" s="102"/>
      <c r="FUJ167" s="102"/>
      <c r="FUK167" s="102"/>
      <c r="FUL167" s="102"/>
      <c r="FUM167" s="102"/>
      <c r="FUN167" s="102"/>
      <c r="FUO167" s="102"/>
      <c r="FUP167" s="102"/>
      <c r="FUQ167" s="102"/>
      <c r="FUR167" s="102"/>
      <c r="FUS167" s="102"/>
      <c r="FUT167" s="102"/>
      <c r="FUU167" s="102"/>
      <c r="FUV167" s="102"/>
      <c r="FUW167" s="102"/>
      <c r="FUX167" s="102"/>
      <c r="FUY167" s="102"/>
      <c r="FUZ167" s="102"/>
      <c r="FVA167" s="102"/>
      <c r="FVB167" s="102"/>
      <c r="FVC167" s="102"/>
      <c r="FVD167" s="102"/>
      <c r="FVE167" s="102"/>
      <c r="FVF167" s="102"/>
      <c r="FVG167" s="102"/>
      <c r="FVH167" s="102"/>
      <c r="FVI167" s="102"/>
      <c r="FVJ167" s="102"/>
      <c r="FVK167" s="102"/>
      <c r="FVL167" s="102"/>
      <c r="FVM167" s="102"/>
      <c r="FVN167" s="102"/>
      <c r="FVO167" s="102"/>
      <c r="FVP167" s="102"/>
      <c r="FVQ167" s="102"/>
      <c r="FVR167" s="102"/>
      <c r="FVS167" s="102"/>
      <c r="FVT167" s="102"/>
      <c r="FVU167" s="102"/>
      <c r="FVV167" s="102"/>
      <c r="FVW167" s="102"/>
      <c r="FVX167" s="102"/>
      <c r="FVY167" s="102"/>
      <c r="FVZ167" s="102"/>
      <c r="FWA167" s="102"/>
      <c r="FWB167" s="102"/>
      <c r="FWC167" s="102"/>
      <c r="FWD167" s="102"/>
      <c r="FWE167" s="102"/>
      <c r="FWF167" s="102"/>
      <c r="FWG167" s="102"/>
      <c r="FWH167" s="102"/>
      <c r="FWI167" s="102"/>
      <c r="FWJ167" s="102"/>
      <c r="FWK167" s="102"/>
      <c r="FWL167" s="102"/>
      <c r="FWM167" s="102"/>
      <c r="FWN167" s="102"/>
      <c r="FWO167" s="102"/>
      <c r="FWP167" s="102"/>
      <c r="FWQ167" s="102"/>
      <c r="FWR167" s="102"/>
      <c r="FWS167" s="102"/>
      <c r="FWT167" s="102"/>
      <c r="FWU167" s="102"/>
      <c r="FWV167" s="102"/>
      <c r="FWW167" s="102"/>
      <c r="FWX167" s="102"/>
      <c r="FWY167" s="102"/>
      <c r="FWZ167" s="102"/>
      <c r="FXA167" s="102"/>
      <c r="FXB167" s="102"/>
      <c r="FXC167" s="102"/>
      <c r="FXD167" s="102"/>
      <c r="FXE167" s="102"/>
      <c r="FXF167" s="102"/>
      <c r="FXG167" s="102"/>
      <c r="FXH167" s="102"/>
      <c r="FXI167" s="102"/>
      <c r="FXJ167" s="102"/>
      <c r="FXK167" s="102"/>
      <c r="FXL167" s="102"/>
      <c r="FXM167" s="102"/>
      <c r="FXN167" s="102"/>
      <c r="FXO167" s="102"/>
      <c r="FXP167" s="102"/>
      <c r="FXQ167" s="102"/>
      <c r="FXR167" s="102"/>
      <c r="FXS167" s="102"/>
      <c r="FXT167" s="102"/>
      <c r="FXU167" s="102"/>
      <c r="FXV167" s="102"/>
      <c r="FXW167" s="102"/>
      <c r="FXX167" s="102"/>
      <c r="FXY167" s="102"/>
      <c r="FXZ167" s="102"/>
      <c r="FYA167" s="102"/>
      <c r="FYB167" s="102"/>
      <c r="FYC167" s="102"/>
      <c r="FYD167" s="102"/>
      <c r="FYE167" s="102"/>
      <c r="FYF167" s="102"/>
      <c r="FYG167" s="102"/>
      <c r="FYH167" s="102"/>
      <c r="FYI167" s="102"/>
      <c r="FYJ167" s="102"/>
      <c r="FYK167" s="102"/>
      <c r="FYL167" s="102"/>
      <c r="FYM167" s="102"/>
      <c r="FYN167" s="102"/>
      <c r="FYO167" s="102"/>
      <c r="FYP167" s="102"/>
      <c r="FYQ167" s="102"/>
      <c r="FYR167" s="102"/>
      <c r="FYS167" s="102"/>
      <c r="FYT167" s="102"/>
      <c r="FYU167" s="102"/>
      <c r="FYV167" s="102"/>
      <c r="FYW167" s="102"/>
      <c r="FYX167" s="102"/>
      <c r="FYY167" s="102"/>
      <c r="FYZ167" s="102"/>
      <c r="FZA167" s="102"/>
      <c r="FZB167" s="102"/>
      <c r="FZC167" s="102"/>
      <c r="FZD167" s="102"/>
      <c r="FZE167" s="102"/>
      <c r="FZF167" s="102"/>
      <c r="FZG167" s="102"/>
      <c r="FZH167" s="102"/>
      <c r="FZI167" s="102"/>
      <c r="FZJ167" s="102"/>
      <c r="FZK167" s="102"/>
      <c r="FZL167" s="102"/>
      <c r="FZM167" s="102"/>
      <c r="FZN167" s="102"/>
      <c r="FZO167" s="102"/>
      <c r="FZP167" s="102"/>
      <c r="FZQ167" s="102"/>
      <c r="FZR167" s="102"/>
      <c r="FZS167" s="102"/>
      <c r="FZT167" s="102"/>
      <c r="FZU167" s="102"/>
      <c r="FZV167" s="102"/>
      <c r="FZW167" s="102"/>
      <c r="FZX167" s="102"/>
      <c r="FZY167" s="102"/>
      <c r="FZZ167" s="102"/>
      <c r="GAA167" s="102"/>
      <c r="GAB167" s="102"/>
      <c r="GAC167" s="102"/>
      <c r="GAD167" s="102"/>
      <c r="GAE167" s="102"/>
      <c r="GAF167" s="102"/>
      <c r="GAG167" s="102"/>
      <c r="GAH167" s="102"/>
      <c r="GAI167" s="102"/>
      <c r="GAJ167" s="102"/>
      <c r="GAK167" s="102"/>
      <c r="GAL167" s="102"/>
      <c r="GAM167" s="102"/>
      <c r="GAN167" s="102"/>
      <c r="GAO167" s="102"/>
      <c r="GAP167" s="102"/>
      <c r="GAQ167" s="102"/>
      <c r="GAR167" s="102"/>
      <c r="GAS167" s="102"/>
      <c r="GAT167" s="102"/>
      <c r="GAU167" s="102"/>
      <c r="GAV167" s="102"/>
      <c r="GAW167" s="102"/>
      <c r="GAX167" s="102"/>
      <c r="GAY167" s="102"/>
      <c r="GAZ167" s="102"/>
      <c r="GBA167" s="102"/>
      <c r="GBB167" s="102"/>
      <c r="GBC167" s="102"/>
      <c r="GBD167" s="102"/>
      <c r="GBE167" s="102"/>
      <c r="GBF167" s="102"/>
      <c r="GBG167" s="102"/>
      <c r="GBH167" s="102"/>
      <c r="GBI167" s="102"/>
      <c r="GBJ167" s="102"/>
      <c r="GBK167" s="102"/>
      <c r="GBL167" s="102"/>
      <c r="GBM167" s="102"/>
      <c r="GBN167" s="102"/>
      <c r="GBO167" s="102"/>
      <c r="GBP167" s="102"/>
      <c r="GBQ167" s="102"/>
      <c r="GBR167" s="102"/>
      <c r="GBS167" s="102"/>
      <c r="GBT167" s="102"/>
      <c r="GBU167" s="102"/>
      <c r="GBV167" s="102"/>
      <c r="GBW167" s="102"/>
      <c r="GBX167" s="102"/>
      <c r="GBY167" s="102"/>
      <c r="GBZ167" s="102"/>
      <c r="GCA167" s="102"/>
      <c r="GCB167" s="102"/>
      <c r="GCC167" s="102"/>
      <c r="GCD167" s="102"/>
      <c r="GCE167" s="102"/>
      <c r="GCF167" s="102"/>
      <c r="GCG167" s="102"/>
      <c r="GCH167" s="102"/>
      <c r="GCI167" s="102"/>
      <c r="GCJ167" s="102"/>
      <c r="GCK167" s="102"/>
      <c r="GCL167" s="102"/>
      <c r="GCM167" s="102"/>
      <c r="GCN167" s="102"/>
      <c r="GCO167" s="102"/>
      <c r="GCP167" s="102"/>
      <c r="GCQ167" s="102"/>
      <c r="GCR167" s="102"/>
      <c r="GCS167" s="102"/>
      <c r="GCT167" s="102"/>
      <c r="GCU167" s="102"/>
      <c r="GCV167" s="102"/>
      <c r="GCW167" s="102"/>
      <c r="GCX167" s="102"/>
      <c r="GCY167" s="102"/>
      <c r="GCZ167" s="102"/>
      <c r="GDA167" s="102"/>
      <c r="GDB167" s="102"/>
      <c r="GDC167" s="102"/>
      <c r="GDD167" s="102"/>
      <c r="GDE167" s="102"/>
      <c r="GDF167" s="102"/>
      <c r="GDG167" s="102"/>
      <c r="GDH167" s="102"/>
      <c r="GDI167" s="102"/>
      <c r="GDJ167" s="102"/>
      <c r="GDK167" s="102"/>
      <c r="GDL167" s="102"/>
      <c r="GDM167" s="102"/>
      <c r="GDN167" s="102"/>
      <c r="GDO167" s="102"/>
      <c r="GDP167" s="102"/>
      <c r="GDQ167" s="102"/>
      <c r="GDR167" s="102"/>
      <c r="GDS167" s="102"/>
      <c r="GDT167" s="102"/>
      <c r="GDU167" s="102"/>
      <c r="GDV167" s="102"/>
      <c r="GDW167" s="102"/>
      <c r="GDX167" s="102"/>
      <c r="GDY167" s="102"/>
      <c r="GDZ167" s="102"/>
      <c r="GEA167" s="102"/>
      <c r="GEB167" s="102"/>
      <c r="GEC167" s="102"/>
      <c r="GED167" s="102"/>
      <c r="GEE167" s="102"/>
      <c r="GEF167" s="102"/>
      <c r="GEG167" s="102"/>
      <c r="GEH167" s="102"/>
      <c r="GEI167" s="102"/>
      <c r="GEJ167" s="102"/>
      <c r="GEK167" s="102"/>
      <c r="GEL167" s="102"/>
      <c r="GEM167" s="102"/>
      <c r="GEN167" s="102"/>
      <c r="GEO167" s="102"/>
      <c r="GEP167" s="102"/>
      <c r="GEQ167" s="102"/>
      <c r="GER167" s="102"/>
      <c r="GES167" s="102"/>
      <c r="GET167" s="102"/>
      <c r="GEU167" s="102"/>
      <c r="GEV167" s="102"/>
      <c r="GEW167" s="102"/>
      <c r="GEX167" s="102"/>
      <c r="GEY167" s="102"/>
      <c r="GEZ167" s="102"/>
      <c r="GFA167" s="102"/>
      <c r="GFB167" s="102"/>
      <c r="GFC167" s="102"/>
      <c r="GFD167" s="102"/>
      <c r="GFE167" s="102"/>
      <c r="GFF167" s="102"/>
      <c r="GFG167" s="102"/>
      <c r="GFH167" s="102"/>
      <c r="GFI167" s="102"/>
      <c r="GFJ167" s="102"/>
      <c r="GFK167" s="102"/>
      <c r="GFL167" s="102"/>
      <c r="GFM167" s="102"/>
      <c r="GFN167" s="102"/>
      <c r="GFO167" s="102"/>
      <c r="GFP167" s="102"/>
      <c r="GFQ167" s="102"/>
      <c r="GFR167" s="102"/>
      <c r="GFS167" s="102"/>
      <c r="GFT167" s="102"/>
      <c r="GFU167" s="102"/>
      <c r="GFV167" s="102"/>
      <c r="GFW167" s="102"/>
      <c r="GFX167" s="102"/>
      <c r="GFY167" s="102"/>
      <c r="GFZ167" s="102"/>
      <c r="GGA167" s="102"/>
      <c r="GGB167" s="102"/>
      <c r="GGC167" s="102"/>
      <c r="GGD167" s="102"/>
      <c r="GGE167" s="102"/>
      <c r="GGF167" s="102"/>
      <c r="GGG167" s="102"/>
      <c r="GGH167" s="102"/>
      <c r="GGI167" s="102"/>
      <c r="GGJ167" s="102"/>
      <c r="GGK167" s="102"/>
      <c r="GGL167" s="102"/>
      <c r="GGM167" s="102"/>
      <c r="GGN167" s="102"/>
      <c r="GGO167" s="102"/>
      <c r="GGP167" s="102"/>
      <c r="GGQ167" s="102"/>
      <c r="GGR167" s="102"/>
      <c r="GGS167" s="102"/>
      <c r="GGT167" s="102"/>
      <c r="GGU167" s="102"/>
      <c r="GGV167" s="102"/>
      <c r="GGW167" s="102"/>
      <c r="GGX167" s="102"/>
      <c r="GGY167" s="102"/>
      <c r="GGZ167" s="102"/>
      <c r="GHA167" s="102"/>
      <c r="GHB167" s="102"/>
      <c r="GHC167" s="102"/>
      <c r="GHD167" s="102"/>
      <c r="GHE167" s="102"/>
      <c r="GHF167" s="102"/>
      <c r="GHG167" s="102"/>
      <c r="GHH167" s="102"/>
      <c r="GHI167" s="102"/>
      <c r="GHJ167" s="102"/>
      <c r="GHK167" s="102"/>
      <c r="GHL167" s="102"/>
      <c r="GHM167" s="102"/>
      <c r="GHN167" s="102"/>
      <c r="GHO167" s="102"/>
      <c r="GHP167" s="102"/>
      <c r="GHQ167" s="102"/>
      <c r="GHR167" s="102"/>
      <c r="GHS167" s="102"/>
      <c r="GHT167" s="102"/>
      <c r="GHU167" s="102"/>
      <c r="GHV167" s="102"/>
      <c r="GHW167" s="102"/>
      <c r="GHX167" s="102"/>
      <c r="GHY167" s="102"/>
      <c r="GHZ167" s="102"/>
      <c r="GIA167" s="102"/>
      <c r="GIB167" s="102"/>
      <c r="GIC167" s="102"/>
      <c r="GID167" s="102"/>
      <c r="GIE167" s="102"/>
      <c r="GIF167" s="102"/>
      <c r="GIG167" s="102"/>
      <c r="GIH167" s="102"/>
      <c r="GII167" s="102"/>
      <c r="GIJ167" s="102"/>
      <c r="GIK167" s="102"/>
      <c r="GIL167" s="102"/>
      <c r="GIM167" s="102"/>
      <c r="GIN167" s="102"/>
      <c r="GIO167" s="102"/>
      <c r="GIP167" s="102"/>
      <c r="GIQ167" s="102"/>
      <c r="GIR167" s="102"/>
      <c r="GIS167" s="102"/>
      <c r="GIT167" s="102"/>
      <c r="GIU167" s="102"/>
      <c r="GIV167" s="102"/>
      <c r="GIW167" s="102"/>
      <c r="GIX167" s="102"/>
      <c r="GIY167" s="102"/>
      <c r="GIZ167" s="102"/>
      <c r="GJA167" s="102"/>
      <c r="GJB167" s="102"/>
      <c r="GJC167" s="102"/>
      <c r="GJD167" s="102"/>
      <c r="GJE167" s="102"/>
      <c r="GJF167" s="102"/>
      <c r="GJG167" s="102"/>
      <c r="GJH167" s="102"/>
      <c r="GJI167" s="102"/>
      <c r="GJJ167" s="102"/>
      <c r="GJK167" s="102"/>
      <c r="GJL167" s="102"/>
      <c r="GJM167" s="102"/>
      <c r="GJN167" s="102"/>
      <c r="GJO167" s="102"/>
      <c r="GJP167" s="102"/>
      <c r="GJQ167" s="102"/>
      <c r="GJR167" s="102"/>
      <c r="GJS167" s="102"/>
      <c r="GJT167" s="102"/>
      <c r="GJU167" s="102"/>
      <c r="GJV167" s="102"/>
      <c r="GJW167" s="102"/>
      <c r="GJX167" s="102"/>
      <c r="GJY167" s="102"/>
      <c r="GJZ167" s="102"/>
      <c r="GKA167" s="102"/>
      <c r="GKB167" s="102"/>
      <c r="GKC167" s="102"/>
      <c r="GKD167" s="102"/>
      <c r="GKE167" s="102"/>
      <c r="GKF167" s="102"/>
      <c r="GKG167" s="102"/>
      <c r="GKH167" s="102"/>
      <c r="GKI167" s="102"/>
      <c r="GKJ167" s="102"/>
      <c r="GKK167" s="102"/>
      <c r="GKL167" s="102"/>
      <c r="GKM167" s="102"/>
      <c r="GKN167" s="102"/>
      <c r="GKO167" s="102"/>
      <c r="GKP167" s="102"/>
      <c r="GKQ167" s="102"/>
      <c r="GKR167" s="102"/>
      <c r="GKS167" s="102"/>
      <c r="GKT167" s="102"/>
      <c r="GKU167" s="102"/>
      <c r="GKV167" s="102"/>
      <c r="GKW167" s="102"/>
      <c r="GKX167" s="102"/>
      <c r="GKY167" s="102"/>
      <c r="GKZ167" s="102"/>
      <c r="GLA167" s="102"/>
      <c r="GLB167" s="102"/>
      <c r="GLC167" s="102"/>
      <c r="GLD167" s="102"/>
      <c r="GLE167" s="102"/>
      <c r="GLF167" s="102"/>
      <c r="GLG167" s="102"/>
      <c r="GLH167" s="102"/>
      <c r="GLI167" s="102"/>
      <c r="GLJ167" s="102"/>
      <c r="GLK167" s="102"/>
      <c r="GLL167" s="102"/>
      <c r="GLM167" s="102"/>
      <c r="GLN167" s="102"/>
      <c r="GLO167" s="102"/>
      <c r="GLP167" s="102"/>
      <c r="GLQ167" s="102"/>
      <c r="GLR167" s="102"/>
      <c r="GLS167" s="102"/>
      <c r="GLT167" s="102"/>
      <c r="GLU167" s="102"/>
      <c r="GLV167" s="102"/>
      <c r="GLW167" s="102"/>
      <c r="GLX167" s="102"/>
      <c r="GLY167" s="102"/>
      <c r="GLZ167" s="102"/>
      <c r="GMA167" s="102"/>
      <c r="GMB167" s="102"/>
      <c r="GMC167" s="102"/>
      <c r="GMD167" s="102"/>
      <c r="GME167" s="102"/>
      <c r="GMF167" s="102"/>
      <c r="GMG167" s="102"/>
      <c r="GMH167" s="102"/>
      <c r="GMI167" s="102"/>
      <c r="GMJ167" s="102"/>
      <c r="GMK167" s="102"/>
      <c r="GML167" s="102"/>
      <c r="GMM167" s="102"/>
      <c r="GMN167" s="102"/>
      <c r="GMO167" s="102"/>
      <c r="GMP167" s="102"/>
      <c r="GMQ167" s="102"/>
      <c r="GMR167" s="102"/>
      <c r="GMS167" s="102"/>
      <c r="GMT167" s="102"/>
      <c r="GMU167" s="102"/>
      <c r="GMV167" s="102"/>
      <c r="GMW167" s="102"/>
      <c r="GMX167" s="102"/>
      <c r="GMY167" s="102"/>
      <c r="GMZ167" s="102"/>
      <c r="GNA167" s="102"/>
      <c r="GNB167" s="102"/>
      <c r="GNC167" s="102"/>
      <c r="GND167" s="102"/>
      <c r="GNE167" s="102"/>
      <c r="GNF167" s="102"/>
      <c r="GNG167" s="102"/>
      <c r="GNH167" s="102"/>
      <c r="GNI167" s="102"/>
      <c r="GNJ167" s="102"/>
      <c r="GNK167" s="102"/>
      <c r="GNL167" s="102"/>
      <c r="GNM167" s="102"/>
      <c r="GNN167" s="102"/>
      <c r="GNO167" s="102"/>
      <c r="GNP167" s="102"/>
      <c r="GNQ167" s="102"/>
      <c r="GNR167" s="102"/>
      <c r="GNS167" s="102"/>
      <c r="GNT167" s="102"/>
      <c r="GNU167" s="102"/>
      <c r="GNV167" s="102"/>
      <c r="GNW167" s="102"/>
      <c r="GNX167" s="102"/>
      <c r="GNY167" s="102"/>
      <c r="GNZ167" s="102"/>
      <c r="GOA167" s="102"/>
      <c r="GOB167" s="102"/>
      <c r="GOC167" s="102"/>
      <c r="GOD167" s="102"/>
      <c r="GOE167" s="102"/>
      <c r="GOF167" s="102"/>
      <c r="GOG167" s="102"/>
      <c r="GOH167" s="102"/>
      <c r="GOI167" s="102"/>
      <c r="GOJ167" s="102"/>
      <c r="GOK167" s="102"/>
      <c r="GOL167" s="102"/>
      <c r="GOM167" s="102"/>
      <c r="GON167" s="102"/>
      <c r="GOO167" s="102"/>
      <c r="GOP167" s="102"/>
      <c r="GOQ167" s="102"/>
      <c r="GOR167" s="102"/>
      <c r="GOS167" s="102"/>
      <c r="GOT167" s="102"/>
      <c r="GOU167" s="102"/>
      <c r="GOV167" s="102"/>
      <c r="GOW167" s="102"/>
      <c r="GOX167" s="102"/>
      <c r="GOY167" s="102"/>
      <c r="GOZ167" s="102"/>
      <c r="GPA167" s="102"/>
      <c r="GPB167" s="102"/>
      <c r="GPC167" s="102"/>
      <c r="GPD167" s="102"/>
      <c r="GPE167" s="102"/>
      <c r="GPF167" s="102"/>
      <c r="GPG167" s="102"/>
      <c r="GPH167" s="102"/>
      <c r="GPI167" s="102"/>
      <c r="GPJ167" s="102"/>
      <c r="GPK167" s="102"/>
      <c r="GPL167" s="102"/>
      <c r="GPM167" s="102"/>
      <c r="GPN167" s="102"/>
      <c r="GPO167" s="102"/>
      <c r="GPP167" s="102"/>
      <c r="GPQ167" s="102"/>
      <c r="GPR167" s="102"/>
      <c r="GPS167" s="102"/>
      <c r="GPT167" s="102"/>
      <c r="GPU167" s="102"/>
      <c r="GPV167" s="102"/>
      <c r="GPW167" s="102"/>
      <c r="GPX167" s="102"/>
      <c r="GPY167" s="102"/>
      <c r="GPZ167" s="102"/>
      <c r="GQA167" s="102"/>
      <c r="GQB167" s="102"/>
      <c r="GQC167" s="102"/>
      <c r="GQD167" s="102"/>
      <c r="GQE167" s="102"/>
      <c r="GQF167" s="102"/>
      <c r="GQG167" s="102"/>
      <c r="GQH167" s="102"/>
      <c r="GQI167" s="102"/>
      <c r="GQJ167" s="102"/>
      <c r="GQK167" s="102"/>
      <c r="GQL167" s="102"/>
      <c r="GQM167" s="102"/>
      <c r="GQN167" s="102"/>
      <c r="GQO167" s="102"/>
      <c r="GQP167" s="102"/>
      <c r="GQQ167" s="102"/>
      <c r="GQR167" s="102"/>
      <c r="GQS167" s="102"/>
      <c r="GQT167" s="102"/>
      <c r="GQU167" s="102"/>
      <c r="GQV167" s="102"/>
      <c r="GQW167" s="102"/>
      <c r="GQX167" s="102"/>
      <c r="GQY167" s="102"/>
      <c r="GQZ167" s="102"/>
      <c r="GRA167" s="102"/>
      <c r="GRB167" s="102"/>
      <c r="GRC167" s="102"/>
      <c r="GRD167" s="102"/>
      <c r="GRE167" s="102"/>
      <c r="GRF167" s="102"/>
      <c r="GRG167" s="102"/>
      <c r="GRH167" s="102"/>
      <c r="GRI167" s="102"/>
      <c r="GRJ167" s="102"/>
      <c r="GRK167" s="102"/>
      <c r="GRL167" s="102"/>
      <c r="GRM167" s="102"/>
      <c r="GRN167" s="102"/>
      <c r="GRO167" s="102"/>
      <c r="GRP167" s="102"/>
      <c r="GRQ167" s="102"/>
      <c r="GRR167" s="102"/>
      <c r="GRS167" s="102"/>
      <c r="GRT167" s="102"/>
      <c r="GRU167" s="102"/>
      <c r="GRV167" s="102"/>
      <c r="GRW167" s="102"/>
      <c r="GRX167" s="102"/>
      <c r="GRY167" s="102"/>
      <c r="GRZ167" s="102"/>
      <c r="GSA167" s="102"/>
      <c r="GSB167" s="102"/>
      <c r="GSC167" s="102"/>
      <c r="GSD167" s="102"/>
      <c r="GSE167" s="102"/>
      <c r="GSF167" s="102"/>
      <c r="GSG167" s="102"/>
      <c r="GSH167" s="102"/>
      <c r="GSI167" s="102"/>
      <c r="GSJ167" s="102"/>
      <c r="GSK167" s="102"/>
      <c r="GSL167" s="102"/>
      <c r="GSM167" s="102"/>
      <c r="GSN167" s="102"/>
      <c r="GSO167" s="102"/>
      <c r="GSP167" s="102"/>
      <c r="GSQ167" s="102"/>
      <c r="GSR167" s="102"/>
      <c r="GSS167" s="102"/>
      <c r="GST167" s="102"/>
      <c r="GSU167" s="102"/>
      <c r="GSV167" s="102"/>
      <c r="GSW167" s="102"/>
      <c r="GSX167" s="102"/>
      <c r="GSY167" s="102"/>
      <c r="GSZ167" s="102"/>
      <c r="GTA167" s="102"/>
      <c r="GTB167" s="102"/>
      <c r="GTC167" s="102"/>
      <c r="GTD167" s="102"/>
      <c r="GTE167" s="102"/>
      <c r="GTF167" s="102"/>
      <c r="GTG167" s="102"/>
      <c r="GTH167" s="102"/>
      <c r="GTI167" s="102"/>
      <c r="GTJ167" s="102"/>
      <c r="GTK167" s="102"/>
      <c r="GTL167" s="102"/>
      <c r="GTM167" s="102"/>
      <c r="GTN167" s="102"/>
      <c r="GTO167" s="102"/>
      <c r="GTP167" s="102"/>
      <c r="GTQ167" s="102"/>
      <c r="GTR167" s="102"/>
      <c r="GTS167" s="102"/>
      <c r="GTT167" s="102"/>
      <c r="GTU167" s="102"/>
      <c r="GTV167" s="102"/>
      <c r="GTW167" s="102"/>
      <c r="GTX167" s="102"/>
      <c r="GTY167" s="102"/>
      <c r="GTZ167" s="102"/>
      <c r="GUA167" s="102"/>
      <c r="GUB167" s="102"/>
      <c r="GUC167" s="102"/>
      <c r="GUD167" s="102"/>
      <c r="GUE167" s="102"/>
      <c r="GUF167" s="102"/>
      <c r="GUG167" s="102"/>
      <c r="GUH167" s="102"/>
      <c r="GUI167" s="102"/>
      <c r="GUJ167" s="102"/>
      <c r="GUK167" s="102"/>
      <c r="GUL167" s="102"/>
      <c r="GUM167" s="102"/>
      <c r="GUN167" s="102"/>
      <c r="GUO167" s="102"/>
      <c r="GUP167" s="102"/>
      <c r="GUQ167" s="102"/>
      <c r="GUR167" s="102"/>
      <c r="GUS167" s="102"/>
      <c r="GUT167" s="102"/>
      <c r="GUU167" s="102"/>
      <c r="GUV167" s="102"/>
      <c r="GUW167" s="102"/>
      <c r="GUX167" s="102"/>
      <c r="GUY167" s="102"/>
      <c r="GUZ167" s="102"/>
      <c r="GVA167" s="102"/>
      <c r="GVB167" s="102"/>
      <c r="GVC167" s="102"/>
      <c r="GVD167" s="102"/>
      <c r="GVE167" s="102"/>
      <c r="GVF167" s="102"/>
      <c r="GVG167" s="102"/>
      <c r="GVH167" s="102"/>
      <c r="GVI167" s="102"/>
      <c r="GVJ167" s="102"/>
      <c r="GVK167" s="102"/>
      <c r="GVL167" s="102"/>
      <c r="GVM167" s="102"/>
      <c r="GVN167" s="102"/>
      <c r="GVO167" s="102"/>
      <c r="GVP167" s="102"/>
      <c r="GVQ167" s="102"/>
      <c r="GVR167" s="102"/>
      <c r="GVS167" s="102"/>
      <c r="GVT167" s="102"/>
      <c r="GVU167" s="102"/>
      <c r="GVV167" s="102"/>
      <c r="GVW167" s="102"/>
      <c r="GVX167" s="102"/>
      <c r="GVY167" s="102"/>
      <c r="GVZ167" s="102"/>
      <c r="GWA167" s="102"/>
      <c r="GWB167" s="102"/>
      <c r="GWC167" s="102"/>
      <c r="GWD167" s="102"/>
      <c r="GWE167" s="102"/>
      <c r="GWF167" s="102"/>
      <c r="GWG167" s="102"/>
      <c r="GWH167" s="102"/>
      <c r="GWI167" s="102"/>
      <c r="GWJ167" s="102"/>
      <c r="GWK167" s="102"/>
      <c r="GWL167" s="102"/>
      <c r="GWM167" s="102"/>
      <c r="GWN167" s="102"/>
      <c r="GWO167" s="102"/>
      <c r="GWP167" s="102"/>
      <c r="GWQ167" s="102"/>
      <c r="GWR167" s="102"/>
      <c r="GWS167" s="102"/>
      <c r="GWT167" s="102"/>
      <c r="GWU167" s="102"/>
      <c r="GWV167" s="102"/>
      <c r="GWW167" s="102"/>
      <c r="GWX167" s="102"/>
      <c r="GWY167" s="102"/>
      <c r="GWZ167" s="102"/>
      <c r="GXA167" s="102"/>
      <c r="GXB167" s="102"/>
      <c r="GXC167" s="102"/>
      <c r="GXD167" s="102"/>
      <c r="GXE167" s="102"/>
      <c r="GXF167" s="102"/>
      <c r="GXG167" s="102"/>
      <c r="GXH167" s="102"/>
      <c r="GXI167" s="102"/>
      <c r="GXJ167" s="102"/>
      <c r="GXK167" s="102"/>
      <c r="GXL167" s="102"/>
      <c r="GXM167" s="102"/>
      <c r="GXN167" s="102"/>
      <c r="GXO167" s="102"/>
      <c r="GXP167" s="102"/>
      <c r="GXQ167" s="102"/>
      <c r="GXR167" s="102"/>
      <c r="GXS167" s="102"/>
      <c r="GXT167" s="102"/>
      <c r="GXU167" s="102"/>
      <c r="GXV167" s="102"/>
      <c r="GXW167" s="102"/>
      <c r="GXX167" s="102"/>
      <c r="GXY167" s="102"/>
      <c r="GXZ167" s="102"/>
      <c r="GYA167" s="102"/>
      <c r="GYB167" s="102"/>
      <c r="GYC167" s="102"/>
      <c r="GYD167" s="102"/>
      <c r="GYE167" s="102"/>
      <c r="GYF167" s="102"/>
      <c r="GYG167" s="102"/>
      <c r="GYH167" s="102"/>
      <c r="GYI167" s="102"/>
      <c r="GYJ167" s="102"/>
      <c r="GYK167" s="102"/>
      <c r="GYL167" s="102"/>
      <c r="GYM167" s="102"/>
      <c r="GYN167" s="102"/>
      <c r="GYO167" s="102"/>
      <c r="GYP167" s="102"/>
      <c r="GYQ167" s="102"/>
      <c r="GYR167" s="102"/>
      <c r="GYS167" s="102"/>
      <c r="GYT167" s="102"/>
      <c r="GYU167" s="102"/>
      <c r="GYV167" s="102"/>
      <c r="GYW167" s="102"/>
      <c r="GYX167" s="102"/>
      <c r="GYY167" s="102"/>
      <c r="GYZ167" s="102"/>
      <c r="GZA167" s="102"/>
      <c r="GZB167" s="102"/>
      <c r="GZC167" s="102"/>
      <c r="GZD167" s="102"/>
      <c r="GZE167" s="102"/>
      <c r="GZF167" s="102"/>
      <c r="GZG167" s="102"/>
      <c r="GZH167" s="102"/>
      <c r="GZI167" s="102"/>
      <c r="GZJ167" s="102"/>
      <c r="GZK167" s="102"/>
      <c r="GZL167" s="102"/>
      <c r="GZM167" s="102"/>
      <c r="GZN167" s="102"/>
      <c r="GZO167" s="102"/>
      <c r="GZP167" s="102"/>
      <c r="GZQ167" s="102"/>
      <c r="GZR167" s="102"/>
      <c r="GZS167" s="102"/>
      <c r="GZT167" s="102"/>
      <c r="GZU167" s="102"/>
      <c r="GZV167" s="102"/>
      <c r="GZW167" s="102"/>
      <c r="GZX167" s="102"/>
      <c r="GZY167" s="102"/>
      <c r="GZZ167" s="102"/>
      <c r="HAA167" s="102"/>
      <c r="HAB167" s="102"/>
      <c r="HAC167" s="102"/>
      <c r="HAD167" s="102"/>
      <c r="HAE167" s="102"/>
      <c r="HAF167" s="102"/>
      <c r="HAG167" s="102"/>
      <c r="HAH167" s="102"/>
      <c r="HAI167" s="102"/>
      <c r="HAJ167" s="102"/>
      <c r="HAK167" s="102"/>
      <c r="HAL167" s="102"/>
      <c r="HAM167" s="102"/>
      <c r="HAN167" s="102"/>
      <c r="HAO167" s="102"/>
      <c r="HAP167" s="102"/>
      <c r="HAQ167" s="102"/>
      <c r="HAR167" s="102"/>
      <c r="HAS167" s="102"/>
      <c r="HAT167" s="102"/>
      <c r="HAU167" s="102"/>
      <c r="HAV167" s="102"/>
      <c r="HAW167" s="102"/>
      <c r="HAX167" s="102"/>
      <c r="HAY167" s="102"/>
      <c r="HAZ167" s="102"/>
      <c r="HBA167" s="102"/>
      <c r="HBB167" s="102"/>
      <c r="HBC167" s="102"/>
      <c r="HBD167" s="102"/>
      <c r="HBE167" s="102"/>
      <c r="HBF167" s="102"/>
      <c r="HBG167" s="102"/>
      <c r="HBH167" s="102"/>
      <c r="HBI167" s="102"/>
      <c r="HBJ167" s="102"/>
      <c r="HBK167" s="102"/>
      <c r="HBL167" s="102"/>
      <c r="HBM167" s="102"/>
      <c r="HBN167" s="102"/>
      <c r="HBO167" s="102"/>
      <c r="HBP167" s="102"/>
      <c r="HBQ167" s="102"/>
      <c r="HBR167" s="102"/>
      <c r="HBS167" s="102"/>
      <c r="HBT167" s="102"/>
      <c r="HBU167" s="102"/>
      <c r="HBV167" s="102"/>
      <c r="HBW167" s="102"/>
      <c r="HBX167" s="102"/>
      <c r="HBY167" s="102"/>
      <c r="HBZ167" s="102"/>
      <c r="HCA167" s="102"/>
      <c r="HCB167" s="102"/>
      <c r="HCC167" s="102"/>
      <c r="HCD167" s="102"/>
      <c r="HCE167" s="102"/>
      <c r="HCF167" s="102"/>
      <c r="HCG167" s="102"/>
      <c r="HCH167" s="102"/>
      <c r="HCI167" s="102"/>
      <c r="HCJ167" s="102"/>
      <c r="HCK167" s="102"/>
      <c r="HCL167" s="102"/>
      <c r="HCM167" s="102"/>
      <c r="HCN167" s="102"/>
      <c r="HCO167" s="102"/>
      <c r="HCP167" s="102"/>
      <c r="HCQ167" s="102"/>
      <c r="HCR167" s="102"/>
      <c r="HCS167" s="102"/>
      <c r="HCT167" s="102"/>
      <c r="HCU167" s="102"/>
      <c r="HCV167" s="102"/>
      <c r="HCW167" s="102"/>
      <c r="HCX167" s="102"/>
      <c r="HCY167" s="102"/>
      <c r="HCZ167" s="102"/>
      <c r="HDA167" s="102"/>
      <c r="HDB167" s="102"/>
      <c r="HDC167" s="102"/>
      <c r="HDD167" s="102"/>
      <c r="HDE167" s="102"/>
      <c r="HDF167" s="102"/>
      <c r="HDG167" s="102"/>
      <c r="HDH167" s="102"/>
      <c r="HDI167" s="102"/>
      <c r="HDJ167" s="102"/>
      <c r="HDK167" s="102"/>
      <c r="HDL167" s="102"/>
      <c r="HDM167" s="102"/>
      <c r="HDN167" s="102"/>
      <c r="HDO167" s="102"/>
      <c r="HDP167" s="102"/>
      <c r="HDQ167" s="102"/>
      <c r="HDR167" s="102"/>
      <c r="HDS167" s="102"/>
      <c r="HDT167" s="102"/>
      <c r="HDU167" s="102"/>
      <c r="HDV167" s="102"/>
      <c r="HDW167" s="102"/>
      <c r="HDX167" s="102"/>
      <c r="HDY167" s="102"/>
      <c r="HDZ167" s="102"/>
      <c r="HEA167" s="102"/>
      <c r="HEB167" s="102"/>
      <c r="HEC167" s="102"/>
      <c r="HED167" s="102"/>
      <c r="HEE167" s="102"/>
      <c r="HEF167" s="102"/>
      <c r="HEG167" s="102"/>
      <c r="HEH167" s="102"/>
      <c r="HEI167" s="102"/>
      <c r="HEJ167" s="102"/>
      <c r="HEK167" s="102"/>
      <c r="HEL167" s="102"/>
      <c r="HEM167" s="102"/>
      <c r="HEN167" s="102"/>
      <c r="HEO167" s="102"/>
      <c r="HEP167" s="102"/>
      <c r="HEQ167" s="102"/>
      <c r="HER167" s="102"/>
      <c r="HES167" s="102"/>
      <c r="HET167" s="102"/>
      <c r="HEU167" s="102"/>
      <c r="HEV167" s="102"/>
      <c r="HEW167" s="102"/>
      <c r="HEX167" s="102"/>
      <c r="HEY167" s="102"/>
      <c r="HEZ167" s="102"/>
      <c r="HFA167" s="102"/>
      <c r="HFB167" s="102"/>
      <c r="HFC167" s="102"/>
      <c r="HFD167" s="102"/>
      <c r="HFE167" s="102"/>
      <c r="HFF167" s="102"/>
      <c r="HFG167" s="102"/>
      <c r="HFH167" s="102"/>
      <c r="HFI167" s="102"/>
      <c r="HFJ167" s="102"/>
      <c r="HFK167" s="102"/>
      <c r="HFL167" s="102"/>
      <c r="HFM167" s="102"/>
      <c r="HFN167" s="102"/>
      <c r="HFO167" s="102"/>
      <c r="HFP167" s="102"/>
      <c r="HFQ167" s="102"/>
      <c r="HFR167" s="102"/>
      <c r="HFS167" s="102"/>
      <c r="HFT167" s="102"/>
      <c r="HFU167" s="102"/>
      <c r="HFV167" s="102"/>
      <c r="HFW167" s="102"/>
      <c r="HFX167" s="102"/>
      <c r="HFY167" s="102"/>
      <c r="HFZ167" s="102"/>
      <c r="HGA167" s="102"/>
      <c r="HGB167" s="102"/>
      <c r="HGC167" s="102"/>
      <c r="HGD167" s="102"/>
      <c r="HGE167" s="102"/>
      <c r="HGF167" s="102"/>
      <c r="HGG167" s="102"/>
      <c r="HGH167" s="102"/>
      <c r="HGI167" s="102"/>
      <c r="HGJ167" s="102"/>
      <c r="HGK167" s="102"/>
      <c r="HGL167" s="102"/>
      <c r="HGM167" s="102"/>
      <c r="HGN167" s="102"/>
      <c r="HGO167" s="102"/>
      <c r="HGP167" s="102"/>
      <c r="HGQ167" s="102"/>
      <c r="HGR167" s="102"/>
      <c r="HGS167" s="102"/>
      <c r="HGT167" s="102"/>
      <c r="HGU167" s="102"/>
      <c r="HGV167" s="102"/>
      <c r="HGW167" s="102"/>
      <c r="HGX167" s="102"/>
      <c r="HGY167" s="102"/>
      <c r="HGZ167" s="102"/>
      <c r="HHA167" s="102"/>
      <c r="HHB167" s="102"/>
      <c r="HHC167" s="102"/>
      <c r="HHD167" s="102"/>
      <c r="HHE167" s="102"/>
      <c r="HHF167" s="102"/>
      <c r="HHG167" s="102"/>
      <c r="HHH167" s="102"/>
      <c r="HHI167" s="102"/>
      <c r="HHJ167" s="102"/>
      <c r="HHK167" s="102"/>
      <c r="HHL167" s="102"/>
      <c r="HHM167" s="102"/>
      <c r="HHN167" s="102"/>
      <c r="HHO167" s="102"/>
      <c r="HHP167" s="102"/>
      <c r="HHQ167" s="102"/>
      <c r="HHR167" s="102"/>
      <c r="HHS167" s="102"/>
      <c r="HHT167" s="102"/>
      <c r="HHU167" s="102"/>
      <c r="HHV167" s="102"/>
      <c r="HHW167" s="102"/>
      <c r="HHX167" s="102"/>
      <c r="HHY167" s="102"/>
      <c r="HHZ167" s="102"/>
      <c r="HIA167" s="102"/>
      <c r="HIB167" s="102"/>
      <c r="HIC167" s="102"/>
      <c r="HID167" s="102"/>
      <c r="HIE167" s="102"/>
      <c r="HIF167" s="102"/>
      <c r="HIG167" s="102"/>
      <c r="HIH167" s="102"/>
      <c r="HII167" s="102"/>
      <c r="HIJ167" s="102"/>
      <c r="HIK167" s="102"/>
      <c r="HIL167" s="102"/>
      <c r="HIM167" s="102"/>
      <c r="HIN167" s="102"/>
      <c r="HIO167" s="102"/>
      <c r="HIP167" s="102"/>
      <c r="HIQ167" s="102"/>
      <c r="HIR167" s="102"/>
      <c r="HIS167" s="102"/>
      <c r="HIT167" s="102"/>
      <c r="HIU167" s="102"/>
      <c r="HIV167" s="102"/>
      <c r="HIW167" s="102"/>
      <c r="HIX167" s="102"/>
      <c r="HIY167" s="102"/>
      <c r="HIZ167" s="102"/>
      <c r="HJA167" s="102"/>
      <c r="HJB167" s="102"/>
      <c r="HJC167" s="102"/>
      <c r="HJD167" s="102"/>
      <c r="HJE167" s="102"/>
      <c r="HJF167" s="102"/>
      <c r="HJG167" s="102"/>
      <c r="HJH167" s="102"/>
      <c r="HJI167" s="102"/>
      <c r="HJJ167" s="102"/>
      <c r="HJK167" s="102"/>
      <c r="HJL167" s="102"/>
      <c r="HJM167" s="102"/>
      <c r="HJN167" s="102"/>
      <c r="HJO167" s="102"/>
      <c r="HJP167" s="102"/>
      <c r="HJQ167" s="102"/>
      <c r="HJR167" s="102"/>
      <c r="HJS167" s="102"/>
      <c r="HJT167" s="102"/>
      <c r="HJU167" s="102"/>
      <c r="HJV167" s="102"/>
      <c r="HJW167" s="102"/>
      <c r="HJX167" s="102"/>
      <c r="HJY167" s="102"/>
      <c r="HJZ167" s="102"/>
      <c r="HKA167" s="102"/>
      <c r="HKB167" s="102"/>
      <c r="HKC167" s="102"/>
      <c r="HKD167" s="102"/>
      <c r="HKE167" s="102"/>
      <c r="HKF167" s="102"/>
      <c r="HKG167" s="102"/>
      <c r="HKH167" s="102"/>
      <c r="HKI167" s="102"/>
      <c r="HKJ167" s="102"/>
      <c r="HKK167" s="102"/>
      <c r="HKL167" s="102"/>
      <c r="HKM167" s="102"/>
      <c r="HKN167" s="102"/>
      <c r="HKO167" s="102"/>
      <c r="HKP167" s="102"/>
      <c r="HKQ167" s="102"/>
      <c r="HKR167" s="102"/>
      <c r="HKS167" s="102"/>
      <c r="HKT167" s="102"/>
      <c r="HKU167" s="102"/>
      <c r="HKV167" s="102"/>
      <c r="HKW167" s="102"/>
      <c r="HKX167" s="102"/>
      <c r="HKY167" s="102"/>
      <c r="HKZ167" s="102"/>
      <c r="HLA167" s="102"/>
      <c r="HLB167" s="102"/>
      <c r="HLC167" s="102"/>
      <c r="HLD167" s="102"/>
      <c r="HLE167" s="102"/>
      <c r="HLF167" s="102"/>
      <c r="HLG167" s="102"/>
      <c r="HLH167" s="102"/>
      <c r="HLI167" s="102"/>
      <c r="HLJ167" s="102"/>
      <c r="HLK167" s="102"/>
      <c r="HLL167" s="102"/>
      <c r="HLM167" s="102"/>
      <c r="HLN167" s="102"/>
      <c r="HLO167" s="102"/>
      <c r="HLP167" s="102"/>
      <c r="HLQ167" s="102"/>
      <c r="HLR167" s="102"/>
      <c r="HLS167" s="102"/>
      <c r="HLT167" s="102"/>
      <c r="HLU167" s="102"/>
      <c r="HLV167" s="102"/>
      <c r="HLW167" s="102"/>
      <c r="HLX167" s="102"/>
      <c r="HLY167" s="102"/>
      <c r="HLZ167" s="102"/>
      <c r="HMA167" s="102"/>
      <c r="HMB167" s="102"/>
      <c r="HMC167" s="102"/>
      <c r="HMD167" s="102"/>
      <c r="HME167" s="102"/>
      <c r="HMF167" s="102"/>
      <c r="HMG167" s="102"/>
      <c r="HMH167" s="102"/>
      <c r="HMI167" s="102"/>
      <c r="HMJ167" s="102"/>
      <c r="HMK167" s="102"/>
      <c r="HML167" s="102"/>
      <c r="HMM167" s="102"/>
      <c r="HMN167" s="102"/>
      <c r="HMO167" s="102"/>
      <c r="HMP167" s="102"/>
      <c r="HMQ167" s="102"/>
      <c r="HMR167" s="102"/>
      <c r="HMS167" s="102"/>
      <c r="HMT167" s="102"/>
      <c r="HMU167" s="102"/>
      <c r="HMV167" s="102"/>
      <c r="HMW167" s="102"/>
      <c r="HMX167" s="102"/>
      <c r="HMY167" s="102"/>
      <c r="HMZ167" s="102"/>
      <c r="HNA167" s="102"/>
      <c r="HNB167" s="102"/>
      <c r="HNC167" s="102"/>
      <c r="HND167" s="102"/>
      <c r="HNE167" s="102"/>
      <c r="HNF167" s="102"/>
      <c r="HNG167" s="102"/>
      <c r="HNH167" s="102"/>
      <c r="HNI167" s="102"/>
      <c r="HNJ167" s="102"/>
      <c r="HNK167" s="102"/>
      <c r="HNL167" s="102"/>
      <c r="HNM167" s="102"/>
      <c r="HNN167" s="102"/>
      <c r="HNO167" s="102"/>
      <c r="HNP167" s="102"/>
      <c r="HNQ167" s="102"/>
      <c r="HNR167" s="102"/>
      <c r="HNS167" s="102"/>
      <c r="HNT167" s="102"/>
      <c r="HNU167" s="102"/>
      <c r="HNV167" s="102"/>
      <c r="HNW167" s="102"/>
      <c r="HNX167" s="102"/>
      <c r="HNY167" s="102"/>
      <c r="HNZ167" s="102"/>
      <c r="HOA167" s="102"/>
      <c r="HOB167" s="102"/>
      <c r="HOC167" s="102"/>
      <c r="HOD167" s="102"/>
      <c r="HOE167" s="102"/>
      <c r="HOF167" s="102"/>
      <c r="HOG167" s="102"/>
      <c r="HOH167" s="102"/>
      <c r="HOI167" s="102"/>
      <c r="HOJ167" s="102"/>
      <c r="HOK167" s="102"/>
      <c r="HOL167" s="102"/>
      <c r="HOM167" s="102"/>
      <c r="HON167" s="102"/>
      <c r="HOO167" s="102"/>
      <c r="HOP167" s="102"/>
      <c r="HOQ167" s="102"/>
      <c r="HOR167" s="102"/>
      <c r="HOS167" s="102"/>
      <c r="HOT167" s="102"/>
      <c r="HOU167" s="102"/>
      <c r="HOV167" s="102"/>
      <c r="HOW167" s="102"/>
      <c r="HOX167" s="102"/>
      <c r="HOY167" s="102"/>
      <c r="HOZ167" s="102"/>
      <c r="HPA167" s="102"/>
      <c r="HPB167" s="102"/>
      <c r="HPC167" s="102"/>
      <c r="HPD167" s="102"/>
      <c r="HPE167" s="102"/>
      <c r="HPF167" s="102"/>
      <c r="HPG167" s="102"/>
      <c r="HPH167" s="102"/>
      <c r="HPI167" s="102"/>
      <c r="HPJ167" s="102"/>
      <c r="HPK167" s="102"/>
      <c r="HPL167" s="102"/>
      <c r="HPM167" s="102"/>
      <c r="HPN167" s="102"/>
      <c r="HPO167" s="102"/>
      <c r="HPP167" s="102"/>
      <c r="HPQ167" s="102"/>
      <c r="HPR167" s="102"/>
      <c r="HPS167" s="102"/>
      <c r="HPT167" s="102"/>
      <c r="HPU167" s="102"/>
      <c r="HPV167" s="102"/>
      <c r="HPW167" s="102"/>
      <c r="HPX167" s="102"/>
      <c r="HPY167" s="102"/>
      <c r="HPZ167" s="102"/>
      <c r="HQA167" s="102"/>
      <c r="HQB167" s="102"/>
      <c r="HQC167" s="102"/>
      <c r="HQD167" s="102"/>
      <c r="HQE167" s="102"/>
      <c r="HQF167" s="102"/>
      <c r="HQG167" s="102"/>
      <c r="HQH167" s="102"/>
      <c r="HQI167" s="102"/>
      <c r="HQJ167" s="102"/>
      <c r="HQK167" s="102"/>
      <c r="HQL167" s="102"/>
      <c r="HQM167" s="102"/>
      <c r="HQN167" s="102"/>
      <c r="HQO167" s="102"/>
      <c r="HQP167" s="102"/>
      <c r="HQQ167" s="102"/>
      <c r="HQR167" s="102"/>
      <c r="HQS167" s="102"/>
      <c r="HQT167" s="102"/>
      <c r="HQU167" s="102"/>
      <c r="HQV167" s="102"/>
      <c r="HQW167" s="102"/>
      <c r="HQX167" s="102"/>
      <c r="HQY167" s="102"/>
      <c r="HQZ167" s="102"/>
      <c r="HRA167" s="102"/>
      <c r="HRB167" s="102"/>
      <c r="HRC167" s="102"/>
      <c r="HRD167" s="102"/>
      <c r="HRE167" s="102"/>
      <c r="HRF167" s="102"/>
      <c r="HRG167" s="102"/>
      <c r="HRH167" s="102"/>
      <c r="HRI167" s="102"/>
      <c r="HRJ167" s="102"/>
      <c r="HRK167" s="102"/>
      <c r="HRL167" s="102"/>
      <c r="HRM167" s="102"/>
      <c r="HRN167" s="102"/>
      <c r="HRO167" s="102"/>
      <c r="HRP167" s="102"/>
      <c r="HRQ167" s="102"/>
      <c r="HRR167" s="102"/>
      <c r="HRS167" s="102"/>
      <c r="HRT167" s="102"/>
      <c r="HRU167" s="102"/>
      <c r="HRV167" s="102"/>
      <c r="HRW167" s="102"/>
      <c r="HRX167" s="102"/>
      <c r="HRY167" s="102"/>
      <c r="HRZ167" s="102"/>
      <c r="HSA167" s="102"/>
      <c r="HSB167" s="102"/>
      <c r="HSC167" s="102"/>
      <c r="HSD167" s="102"/>
      <c r="HSE167" s="102"/>
      <c r="HSF167" s="102"/>
      <c r="HSG167" s="102"/>
      <c r="HSH167" s="102"/>
      <c r="HSI167" s="102"/>
      <c r="HSJ167" s="102"/>
      <c r="HSK167" s="102"/>
      <c r="HSL167" s="102"/>
      <c r="HSM167" s="102"/>
      <c r="HSN167" s="102"/>
      <c r="HSO167" s="102"/>
      <c r="HSP167" s="102"/>
      <c r="HSQ167" s="102"/>
      <c r="HSR167" s="102"/>
      <c r="HSS167" s="102"/>
      <c r="HST167" s="102"/>
      <c r="HSU167" s="102"/>
      <c r="HSV167" s="102"/>
      <c r="HSW167" s="102"/>
      <c r="HSX167" s="102"/>
      <c r="HSY167" s="102"/>
      <c r="HSZ167" s="102"/>
      <c r="HTA167" s="102"/>
      <c r="HTB167" s="102"/>
      <c r="HTC167" s="102"/>
      <c r="HTD167" s="102"/>
      <c r="HTE167" s="102"/>
      <c r="HTF167" s="102"/>
      <c r="HTG167" s="102"/>
      <c r="HTH167" s="102"/>
      <c r="HTI167" s="102"/>
      <c r="HTJ167" s="102"/>
      <c r="HTK167" s="102"/>
      <c r="HTL167" s="102"/>
      <c r="HTM167" s="102"/>
      <c r="HTN167" s="102"/>
      <c r="HTO167" s="102"/>
      <c r="HTP167" s="102"/>
      <c r="HTQ167" s="102"/>
      <c r="HTR167" s="102"/>
      <c r="HTS167" s="102"/>
      <c r="HTT167" s="102"/>
      <c r="HTU167" s="102"/>
      <c r="HTV167" s="102"/>
      <c r="HTW167" s="102"/>
      <c r="HTX167" s="102"/>
      <c r="HTY167" s="102"/>
      <c r="HTZ167" s="102"/>
      <c r="HUA167" s="102"/>
      <c r="HUB167" s="102"/>
      <c r="HUC167" s="102"/>
      <c r="HUD167" s="102"/>
      <c r="HUE167" s="102"/>
      <c r="HUF167" s="102"/>
      <c r="HUG167" s="102"/>
      <c r="HUH167" s="102"/>
      <c r="HUI167" s="102"/>
      <c r="HUJ167" s="102"/>
      <c r="HUK167" s="102"/>
      <c r="HUL167" s="102"/>
      <c r="HUM167" s="102"/>
      <c r="HUN167" s="102"/>
      <c r="HUO167" s="102"/>
      <c r="HUP167" s="102"/>
      <c r="HUQ167" s="102"/>
      <c r="HUR167" s="102"/>
      <c r="HUS167" s="102"/>
      <c r="HUT167" s="102"/>
      <c r="HUU167" s="102"/>
      <c r="HUV167" s="102"/>
      <c r="HUW167" s="102"/>
      <c r="HUX167" s="102"/>
      <c r="HUY167" s="102"/>
      <c r="HUZ167" s="102"/>
      <c r="HVA167" s="102"/>
      <c r="HVB167" s="102"/>
      <c r="HVC167" s="102"/>
      <c r="HVD167" s="102"/>
      <c r="HVE167" s="102"/>
      <c r="HVF167" s="102"/>
      <c r="HVG167" s="102"/>
      <c r="HVH167" s="102"/>
      <c r="HVI167" s="102"/>
      <c r="HVJ167" s="102"/>
      <c r="HVK167" s="102"/>
      <c r="HVL167" s="102"/>
      <c r="HVM167" s="102"/>
      <c r="HVN167" s="102"/>
      <c r="HVO167" s="102"/>
      <c r="HVP167" s="102"/>
      <c r="HVQ167" s="102"/>
      <c r="HVR167" s="102"/>
      <c r="HVS167" s="102"/>
      <c r="HVT167" s="102"/>
      <c r="HVU167" s="102"/>
      <c r="HVV167" s="102"/>
      <c r="HVW167" s="102"/>
      <c r="HVX167" s="102"/>
      <c r="HVY167" s="102"/>
      <c r="HVZ167" s="102"/>
      <c r="HWA167" s="102"/>
      <c r="HWB167" s="102"/>
      <c r="HWC167" s="102"/>
      <c r="HWD167" s="102"/>
      <c r="HWE167" s="102"/>
      <c r="HWF167" s="102"/>
      <c r="HWG167" s="102"/>
      <c r="HWH167" s="102"/>
      <c r="HWI167" s="102"/>
      <c r="HWJ167" s="102"/>
      <c r="HWK167" s="102"/>
      <c r="HWL167" s="102"/>
      <c r="HWM167" s="102"/>
      <c r="HWN167" s="102"/>
      <c r="HWO167" s="102"/>
      <c r="HWP167" s="102"/>
      <c r="HWQ167" s="102"/>
      <c r="HWR167" s="102"/>
      <c r="HWS167" s="102"/>
      <c r="HWT167" s="102"/>
      <c r="HWU167" s="102"/>
      <c r="HWV167" s="102"/>
      <c r="HWW167" s="102"/>
      <c r="HWX167" s="102"/>
      <c r="HWY167" s="102"/>
      <c r="HWZ167" s="102"/>
      <c r="HXA167" s="102"/>
      <c r="HXB167" s="102"/>
      <c r="HXC167" s="102"/>
      <c r="HXD167" s="102"/>
      <c r="HXE167" s="102"/>
      <c r="HXF167" s="102"/>
      <c r="HXG167" s="102"/>
      <c r="HXH167" s="102"/>
      <c r="HXI167" s="102"/>
      <c r="HXJ167" s="102"/>
      <c r="HXK167" s="102"/>
      <c r="HXL167" s="102"/>
      <c r="HXM167" s="102"/>
      <c r="HXN167" s="102"/>
      <c r="HXO167" s="102"/>
      <c r="HXP167" s="102"/>
      <c r="HXQ167" s="102"/>
      <c r="HXR167" s="102"/>
      <c r="HXS167" s="102"/>
      <c r="HXT167" s="102"/>
      <c r="HXU167" s="102"/>
      <c r="HXV167" s="102"/>
      <c r="HXW167" s="102"/>
      <c r="HXX167" s="102"/>
      <c r="HXY167" s="102"/>
      <c r="HXZ167" s="102"/>
      <c r="HYA167" s="102"/>
      <c r="HYB167" s="102"/>
      <c r="HYC167" s="102"/>
      <c r="HYD167" s="102"/>
      <c r="HYE167" s="102"/>
      <c r="HYF167" s="102"/>
      <c r="HYG167" s="102"/>
      <c r="HYH167" s="102"/>
      <c r="HYI167" s="102"/>
      <c r="HYJ167" s="102"/>
      <c r="HYK167" s="102"/>
      <c r="HYL167" s="102"/>
      <c r="HYM167" s="102"/>
      <c r="HYN167" s="102"/>
      <c r="HYO167" s="102"/>
      <c r="HYP167" s="102"/>
      <c r="HYQ167" s="102"/>
      <c r="HYR167" s="102"/>
      <c r="HYS167" s="102"/>
      <c r="HYT167" s="102"/>
      <c r="HYU167" s="102"/>
      <c r="HYV167" s="102"/>
      <c r="HYW167" s="102"/>
      <c r="HYX167" s="102"/>
      <c r="HYY167" s="102"/>
      <c r="HYZ167" s="102"/>
      <c r="HZA167" s="102"/>
      <c r="HZB167" s="102"/>
      <c r="HZC167" s="102"/>
      <c r="HZD167" s="102"/>
      <c r="HZE167" s="102"/>
      <c r="HZF167" s="102"/>
      <c r="HZG167" s="102"/>
      <c r="HZH167" s="102"/>
      <c r="HZI167" s="102"/>
      <c r="HZJ167" s="102"/>
      <c r="HZK167" s="102"/>
      <c r="HZL167" s="102"/>
      <c r="HZM167" s="102"/>
      <c r="HZN167" s="102"/>
      <c r="HZO167" s="102"/>
      <c r="HZP167" s="102"/>
      <c r="HZQ167" s="102"/>
      <c r="HZR167" s="102"/>
      <c r="HZS167" s="102"/>
      <c r="HZT167" s="102"/>
      <c r="HZU167" s="102"/>
      <c r="HZV167" s="102"/>
      <c r="HZW167" s="102"/>
      <c r="HZX167" s="102"/>
      <c r="HZY167" s="102"/>
      <c r="HZZ167" s="102"/>
      <c r="IAA167" s="102"/>
      <c r="IAB167" s="102"/>
      <c r="IAC167" s="102"/>
      <c r="IAD167" s="102"/>
      <c r="IAE167" s="102"/>
      <c r="IAF167" s="102"/>
      <c r="IAG167" s="102"/>
      <c r="IAH167" s="102"/>
      <c r="IAI167" s="102"/>
      <c r="IAJ167" s="102"/>
      <c r="IAK167" s="102"/>
      <c r="IAL167" s="102"/>
      <c r="IAM167" s="102"/>
      <c r="IAN167" s="102"/>
      <c r="IAO167" s="102"/>
      <c r="IAP167" s="102"/>
      <c r="IAQ167" s="102"/>
      <c r="IAR167" s="102"/>
      <c r="IAS167" s="102"/>
      <c r="IAT167" s="102"/>
      <c r="IAU167" s="102"/>
      <c r="IAV167" s="102"/>
      <c r="IAW167" s="102"/>
      <c r="IAX167" s="102"/>
      <c r="IAY167" s="102"/>
      <c r="IAZ167" s="102"/>
      <c r="IBA167" s="102"/>
      <c r="IBB167" s="102"/>
      <c r="IBC167" s="102"/>
      <c r="IBD167" s="102"/>
      <c r="IBE167" s="102"/>
      <c r="IBF167" s="102"/>
      <c r="IBG167" s="102"/>
      <c r="IBH167" s="102"/>
      <c r="IBI167" s="102"/>
      <c r="IBJ167" s="102"/>
      <c r="IBK167" s="102"/>
      <c r="IBL167" s="102"/>
      <c r="IBM167" s="102"/>
      <c r="IBN167" s="102"/>
      <c r="IBO167" s="102"/>
      <c r="IBP167" s="102"/>
      <c r="IBQ167" s="102"/>
      <c r="IBR167" s="102"/>
      <c r="IBS167" s="102"/>
      <c r="IBT167" s="102"/>
      <c r="IBU167" s="102"/>
      <c r="IBV167" s="102"/>
      <c r="IBW167" s="102"/>
      <c r="IBX167" s="102"/>
      <c r="IBY167" s="102"/>
      <c r="IBZ167" s="102"/>
      <c r="ICA167" s="102"/>
      <c r="ICB167" s="102"/>
      <c r="ICC167" s="102"/>
      <c r="ICD167" s="102"/>
      <c r="ICE167" s="102"/>
      <c r="ICF167" s="102"/>
      <c r="ICG167" s="102"/>
      <c r="ICH167" s="102"/>
      <c r="ICI167" s="102"/>
      <c r="ICJ167" s="102"/>
      <c r="ICK167" s="102"/>
      <c r="ICL167" s="102"/>
      <c r="ICM167" s="102"/>
      <c r="ICN167" s="102"/>
      <c r="ICO167" s="102"/>
      <c r="ICP167" s="102"/>
      <c r="ICQ167" s="102"/>
      <c r="ICR167" s="102"/>
      <c r="ICS167" s="102"/>
      <c r="ICT167" s="102"/>
      <c r="ICU167" s="102"/>
      <c r="ICV167" s="102"/>
      <c r="ICW167" s="102"/>
      <c r="ICX167" s="102"/>
      <c r="ICY167" s="102"/>
      <c r="ICZ167" s="102"/>
      <c r="IDA167" s="102"/>
      <c r="IDB167" s="102"/>
      <c r="IDC167" s="102"/>
      <c r="IDD167" s="102"/>
      <c r="IDE167" s="102"/>
      <c r="IDF167" s="102"/>
      <c r="IDG167" s="102"/>
      <c r="IDH167" s="102"/>
      <c r="IDI167" s="102"/>
      <c r="IDJ167" s="102"/>
      <c r="IDK167" s="102"/>
      <c r="IDL167" s="102"/>
      <c r="IDM167" s="102"/>
      <c r="IDN167" s="102"/>
      <c r="IDO167" s="102"/>
      <c r="IDP167" s="102"/>
      <c r="IDQ167" s="102"/>
      <c r="IDR167" s="102"/>
      <c r="IDS167" s="102"/>
      <c r="IDT167" s="102"/>
      <c r="IDU167" s="102"/>
      <c r="IDV167" s="102"/>
      <c r="IDW167" s="102"/>
      <c r="IDX167" s="102"/>
      <c r="IDY167" s="102"/>
      <c r="IDZ167" s="102"/>
      <c r="IEA167" s="102"/>
      <c r="IEB167" s="102"/>
      <c r="IEC167" s="102"/>
      <c r="IED167" s="102"/>
      <c r="IEE167" s="102"/>
      <c r="IEF167" s="102"/>
      <c r="IEG167" s="102"/>
      <c r="IEH167" s="102"/>
      <c r="IEI167" s="102"/>
      <c r="IEJ167" s="102"/>
      <c r="IEK167" s="102"/>
      <c r="IEL167" s="102"/>
      <c r="IEM167" s="102"/>
      <c r="IEN167" s="102"/>
      <c r="IEO167" s="102"/>
      <c r="IEP167" s="102"/>
      <c r="IEQ167" s="102"/>
      <c r="IER167" s="102"/>
      <c r="IES167" s="102"/>
      <c r="IET167" s="102"/>
      <c r="IEU167" s="102"/>
      <c r="IEV167" s="102"/>
      <c r="IEW167" s="102"/>
      <c r="IEX167" s="102"/>
      <c r="IEY167" s="102"/>
      <c r="IEZ167" s="102"/>
      <c r="IFA167" s="102"/>
      <c r="IFB167" s="102"/>
      <c r="IFC167" s="102"/>
      <c r="IFD167" s="102"/>
      <c r="IFE167" s="102"/>
      <c r="IFF167" s="102"/>
      <c r="IFG167" s="102"/>
      <c r="IFH167" s="102"/>
      <c r="IFI167" s="102"/>
      <c r="IFJ167" s="102"/>
      <c r="IFK167" s="102"/>
      <c r="IFL167" s="102"/>
      <c r="IFM167" s="102"/>
      <c r="IFN167" s="102"/>
      <c r="IFO167" s="102"/>
      <c r="IFP167" s="102"/>
      <c r="IFQ167" s="102"/>
      <c r="IFR167" s="102"/>
      <c r="IFS167" s="102"/>
      <c r="IFT167" s="102"/>
      <c r="IFU167" s="102"/>
      <c r="IFV167" s="102"/>
      <c r="IFW167" s="102"/>
      <c r="IFX167" s="102"/>
      <c r="IFY167" s="102"/>
      <c r="IFZ167" s="102"/>
      <c r="IGA167" s="102"/>
      <c r="IGB167" s="102"/>
      <c r="IGC167" s="102"/>
      <c r="IGD167" s="102"/>
      <c r="IGE167" s="102"/>
      <c r="IGF167" s="102"/>
      <c r="IGG167" s="102"/>
      <c r="IGH167" s="102"/>
      <c r="IGI167" s="102"/>
      <c r="IGJ167" s="102"/>
      <c r="IGK167" s="102"/>
      <c r="IGL167" s="102"/>
      <c r="IGM167" s="102"/>
      <c r="IGN167" s="102"/>
      <c r="IGO167" s="102"/>
      <c r="IGP167" s="102"/>
      <c r="IGQ167" s="102"/>
      <c r="IGR167" s="102"/>
      <c r="IGS167" s="102"/>
      <c r="IGT167" s="102"/>
      <c r="IGU167" s="102"/>
      <c r="IGV167" s="102"/>
      <c r="IGW167" s="102"/>
      <c r="IGX167" s="102"/>
      <c r="IGY167" s="102"/>
      <c r="IGZ167" s="102"/>
      <c r="IHA167" s="102"/>
      <c r="IHB167" s="102"/>
      <c r="IHC167" s="102"/>
      <c r="IHD167" s="102"/>
      <c r="IHE167" s="102"/>
      <c r="IHF167" s="102"/>
      <c r="IHG167" s="102"/>
      <c r="IHH167" s="102"/>
      <c r="IHI167" s="102"/>
      <c r="IHJ167" s="102"/>
      <c r="IHK167" s="102"/>
      <c r="IHL167" s="102"/>
      <c r="IHM167" s="102"/>
      <c r="IHN167" s="102"/>
      <c r="IHO167" s="102"/>
      <c r="IHP167" s="102"/>
      <c r="IHQ167" s="102"/>
      <c r="IHR167" s="102"/>
      <c r="IHS167" s="102"/>
      <c r="IHT167" s="102"/>
      <c r="IHU167" s="102"/>
      <c r="IHV167" s="102"/>
      <c r="IHW167" s="102"/>
      <c r="IHX167" s="102"/>
      <c r="IHY167" s="102"/>
      <c r="IHZ167" s="102"/>
      <c r="IIA167" s="102"/>
      <c r="IIB167" s="102"/>
      <c r="IIC167" s="102"/>
      <c r="IID167" s="102"/>
      <c r="IIE167" s="102"/>
      <c r="IIF167" s="102"/>
      <c r="IIG167" s="102"/>
      <c r="IIH167" s="102"/>
      <c r="III167" s="102"/>
      <c r="IIJ167" s="102"/>
      <c r="IIK167" s="102"/>
      <c r="IIL167" s="102"/>
      <c r="IIM167" s="102"/>
      <c r="IIN167" s="102"/>
      <c r="IIO167" s="102"/>
      <c r="IIP167" s="102"/>
      <c r="IIQ167" s="102"/>
      <c r="IIR167" s="102"/>
      <c r="IIS167" s="102"/>
      <c r="IIT167" s="102"/>
      <c r="IIU167" s="102"/>
      <c r="IIV167" s="102"/>
      <c r="IIW167" s="102"/>
      <c r="IIX167" s="102"/>
      <c r="IIY167" s="102"/>
      <c r="IIZ167" s="102"/>
      <c r="IJA167" s="102"/>
      <c r="IJB167" s="102"/>
      <c r="IJC167" s="102"/>
      <c r="IJD167" s="102"/>
      <c r="IJE167" s="102"/>
      <c r="IJF167" s="102"/>
      <c r="IJG167" s="102"/>
      <c r="IJH167" s="102"/>
      <c r="IJI167" s="102"/>
      <c r="IJJ167" s="102"/>
      <c r="IJK167" s="102"/>
      <c r="IJL167" s="102"/>
      <c r="IJM167" s="102"/>
      <c r="IJN167" s="102"/>
      <c r="IJO167" s="102"/>
      <c r="IJP167" s="102"/>
      <c r="IJQ167" s="102"/>
      <c r="IJR167" s="102"/>
      <c r="IJS167" s="102"/>
      <c r="IJT167" s="102"/>
      <c r="IJU167" s="102"/>
      <c r="IJV167" s="102"/>
      <c r="IJW167" s="102"/>
      <c r="IJX167" s="102"/>
      <c r="IJY167" s="102"/>
      <c r="IJZ167" s="102"/>
      <c r="IKA167" s="102"/>
      <c r="IKB167" s="102"/>
      <c r="IKC167" s="102"/>
      <c r="IKD167" s="102"/>
      <c r="IKE167" s="102"/>
      <c r="IKF167" s="102"/>
      <c r="IKG167" s="102"/>
      <c r="IKH167" s="102"/>
      <c r="IKI167" s="102"/>
      <c r="IKJ167" s="102"/>
      <c r="IKK167" s="102"/>
      <c r="IKL167" s="102"/>
      <c r="IKM167" s="102"/>
      <c r="IKN167" s="102"/>
      <c r="IKO167" s="102"/>
      <c r="IKP167" s="102"/>
      <c r="IKQ167" s="102"/>
      <c r="IKR167" s="102"/>
      <c r="IKS167" s="102"/>
      <c r="IKT167" s="102"/>
      <c r="IKU167" s="102"/>
      <c r="IKV167" s="102"/>
      <c r="IKW167" s="102"/>
      <c r="IKX167" s="102"/>
      <c r="IKY167" s="102"/>
      <c r="IKZ167" s="102"/>
      <c r="ILA167" s="102"/>
      <c r="ILB167" s="102"/>
      <c r="ILC167" s="102"/>
      <c r="ILD167" s="102"/>
      <c r="ILE167" s="102"/>
      <c r="ILF167" s="102"/>
      <c r="ILG167" s="102"/>
      <c r="ILH167" s="102"/>
      <c r="ILI167" s="102"/>
      <c r="ILJ167" s="102"/>
      <c r="ILK167" s="102"/>
      <c r="ILL167" s="102"/>
      <c r="ILM167" s="102"/>
      <c r="ILN167" s="102"/>
      <c r="ILO167" s="102"/>
      <c r="ILP167" s="102"/>
      <c r="ILQ167" s="102"/>
      <c r="ILR167" s="102"/>
      <c r="ILS167" s="102"/>
      <c r="ILT167" s="102"/>
      <c r="ILU167" s="102"/>
      <c r="ILV167" s="102"/>
      <c r="ILW167" s="102"/>
      <c r="ILX167" s="102"/>
      <c r="ILY167" s="102"/>
      <c r="ILZ167" s="102"/>
      <c r="IMA167" s="102"/>
      <c r="IMB167" s="102"/>
      <c r="IMC167" s="102"/>
      <c r="IMD167" s="102"/>
      <c r="IME167" s="102"/>
      <c r="IMF167" s="102"/>
      <c r="IMG167" s="102"/>
      <c r="IMH167" s="102"/>
      <c r="IMI167" s="102"/>
      <c r="IMJ167" s="102"/>
      <c r="IMK167" s="102"/>
      <c r="IML167" s="102"/>
      <c r="IMM167" s="102"/>
      <c r="IMN167" s="102"/>
      <c r="IMO167" s="102"/>
      <c r="IMP167" s="102"/>
      <c r="IMQ167" s="102"/>
      <c r="IMR167" s="102"/>
      <c r="IMS167" s="102"/>
      <c r="IMT167" s="102"/>
      <c r="IMU167" s="102"/>
      <c r="IMV167" s="102"/>
      <c r="IMW167" s="102"/>
      <c r="IMX167" s="102"/>
      <c r="IMY167" s="102"/>
      <c r="IMZ167" s="102"/>
      <c r="INA167" s="102"/>
      <c r="INB167" s="102"/>
      <c r="INC167" s="102"/>
      <c r="IND167" s="102"/>
      <c r="INE167" s="102"/>
      <c r="INF167" s="102"/>
      <c r="ING167" s="102"/>
      <c r="INH167" s="102"/>
      <c r="INI167" s="102"/>
      <c r="INJ167" s="102"/>
      <c r="INK167" s="102"/>
      <c r="INL167" s="102"/>
      <c r="INM167" s="102"/>
      <c r="INN167" s="102"/>
      <c r="INO167" s="102"/>
      <c r="INP167" s="102"/>
      <c r="INQ167" s="102"/>
      <c r="INR167" s="102"/>
      <c r="INS167" s="102"/>
      <c r="INT167" s="102"/>
      <c r="INU167" s="102"/>
      <c r="INV167" s="102"/>
      <c r="INW167" s="102"/>
      <c r="INX167" s="102"/>
      <c r="INY167" s="102"/>
      <c r="INZ167" s="102"/>
      <c r="IOA167" s="102"/>
      <c r="IOB167" s="102"/>
      <c r="IOC167" s="102"/>
      <c r="IOD167" s="102"/>
      <c r="IOE167" s="102"/>
      <c r="IOF167" s="102"/>
      <c r="IOG167" s="102"/>
      <c r="IOH167" s="102"/>
      <c r="IOI167" s="102"/>
      <c r="IOJ167" s="102"/>
      <c r="IOK167" s="102"/>
      <c r="IOL167" s="102"/>
      <c r="IOM167" s="102"/>
      <c r="ION167" s="102"/>
      <c r="IOO167" s="102"/>
      <c r="IOP167" s="102"/>
      <c r="IOQ167" s="102"/>
      <c r="IOR167" s="102"/>
      <c r="IOS167" s="102"/>
      <c r="IOT167" s="102"/>
      <c r="IOU167" s="102"/>
      <c r="IOV167" s="102"/>
      <c r="IOW167" s="102"/>
      <c r="IOX167" s="102"/>
      <c r="IOY167" s="102"/>
      <c r="IOZ167" s="102"/>
      <c r="IPA167" s="102"/>
      <c r="IPB167" s="102"/>
      <c r="IPC167" s="102"/>
      <c r="IPD167" s="102"/>
      <c r="IPE167" s="102"/>
      <c r="IPF167" s="102"/>
      <c r="IPG167" s="102"/>
      <c r="IPH167" s="102"/>
      <c r="IPI167" s="102"/>
      <c r="IPJ167" s="102"/>
      <c r="IPK167" s="102"/>
      <c r="IPL167" s="102"/>
      <c r="IPM167" s="102"/>
      <c r="IPN167" s="102"/>
      <c r="IPO167" s="102"/>
      <c r="IPP167" s="102"/>
      <c r="IPQ167" s="102"/>
      <c r="IPR167" s="102"/>
      <c r="IPS167" s="102"/>
      <c r="IPT167" s="102"/>
      <c r="IPU167" s="102"/>
      <c r="IPV167" s="102"/>
      <c r="IPW167" s="102"/>
      <c r="IPX167" s="102"/>
      <c r="IPY167" s="102"/>
      <c r="IPZ167" s="102"/>
      <c r="IQA167" s="102"/>
      <c r="IQB167" s="102"/>
      <c r="IQC167" s="102"/>
      <c r="IQD167" s="102"/>
      <c r="IQE167" s="102"/>
      <c r="IQF167" s="102"/>
      <c r="IQG167" s="102"/>
      <c r="IQH167" s="102"/>
      <c r="IQI167" s="102"/>
      <c r="IQJ167" s="102"/>
      <c r="IQK167" s="102"/>
      <c r="IQL167" s="102"/>
      <c r="IQM167" s="102"/>
      <c r="IQN167" s="102"/>
      <c r="IQO167" s="102"/>
      <c r="IQP167" s="102"/>
      <c r="IQQ167" s="102"/>
      <c r="IQR167" s="102"/>
      <c r="IQS167" s="102"/>
      <c r="IQT167" s="102"/>
      <c r="IQU167" s="102"/>
      <c r="IQV167" s="102"/>
      <c r="IQW167" s="102"/>
      <c r="IQX167" s="102"/>
      <c r="IQY167" s="102"/>
      <c r="IQZ167" s="102"/>
      <c r="IRA167" s="102"/>
      <c r="IRB167" s="102"/>
      <c r="IRC167" s="102"/>
      <c r="IRD167" s="102"/>
      <c r="IRE167" s="102"/>
      <c r="IRF167" s="102"/>
      <c r="IRG167" s="102"/>
      <c r="IRH167" s="102"/>
      <c r="IRI167" s="102"/>
      <c r="IRJ167" s="102"/>
      <c r="IRK167" s="102"/>
      <c r="IRL167" s="102"/>
      <c r="IRM167" s="102"/>
      <c r="IRN167" s="102"/>
      <c r="IRO167" s="102"/>
      <c r="IRP167" s="102"/>
      <c r="IRQ167" s="102"/>
      <c r="IRR167" s="102"/>
      <c r="IRS167" s="102"/>
      <c r="IRT167" s="102"/>
      <c r="IRU167" s="102"/>
      <c r="IRV167" s="102"/>
      <c r="IRW167" s="102"/>
      <c r="IRX167" s="102"/>
      <c r="IRY167" s="102"/>
      <c r="IRZ167" s="102"/>
      <c r="ISA167" s="102"/>
      <c r="ISB167" s="102"/>
      <c r="ISC167" s="102"/>
      <c r="ISD167" s="102"/>
      <c r="ISE167" s="102"/>
      <c r="ISF167" s="102"/>
      <c r="ISG167" s="102"/>
      <c r="ISH167" s="102"/>
      <c r="ISI167" s="102"/>
      <c r="ISJ167" s="102"/>
      <c r="ISK167" s="102"/>
      <c r="ISL167" s="102"/>
      <c r="ISM167" s="102"/>
      <c r="ISN167" s="102"/>
      <c r="ISO167" s="102"/>
      <c r="ISP167" s="102"/>
      <c r="ISQ167" s="102"/>
      <c r="ISR167" s="102"/>
      <c r="ISS167" s="102"/>
      <c r="IST167" s="102"/>
      <c r="ISU167" s="102"/>
      <c r="ISV167" s="102"/>
      <c r="ISW167" s="102"/>
      <c r="ISX167" s="102"/>
      <c r="ISY167" s="102"/>
      <c r="ISZ167" s="102"/>
      <c r="ITA167" s="102"/>
      <c r="ITB167" s="102"/>
      <c r="ITC167" s="102"/>
      <c r="ITD167" s="102"/>
      <c r="ITE167" s="102"/>
      <c r="ITF167" s="102"/>
      <c r="ITG167" s="102"/>
      <c r="ITH167" s="102"/>
      <c r="ITI167" s="102"/>
      <c r="ITJ167" s="102"/>
      <c r="ITK167" s="102"/>
      <c r="ITL167" s="102"/>
      <c r="ITM167" s="102"/>
      <c r="ITN167" s="102"/>
      <c r="ITO167" s="102"/>
      <c r="ITP167" s="102"/>
      <c r="ITQ167" s="102"/>
      <c r="ITR167" s="102"/>
      <c r="ITS167" s="102"/>
      <c r="ITT167" s="102"/>
      <c r="ITU167" s="102"/>
      <c r="ITV167" s="102"/>
      <c r="ITW167" s="102"/>
      <c r="ITX167" s="102"/>
      <c r="ITY167" s="102"/>
      <c r="ITZ167" s="102"/>
      <c r="IUA167" s="102"/>
      <c r="IUB167" s="102"/>
      <c r="IUC167" s="102"/>
      <c r="IUD167" s="102"/>
      <c r="IUE167" s="102"/>
      <c r="IUF167" s="102"/>
      <c r="IUG167" s="102"/>
      <c r="IUH167" s="102"/>
      <c r="IUI167" s="102"/>
      <c r="IUJ167" s="102"/>
      <c r="IUK167" s="102"/>
      <c r="IUL167" s="102"/>
      <c r="IUM167" s="102"/>
      <c r="IUN167" s="102"/>
      <c r="IUO167" s="102"/>
      <c r="IUP167" s="102"/>
      <c r="IUQ167" s="102"/>
      <c r="IUR167" s="102"/>
      <c r="IUS167" s="102"/>
      <c r="IUT167" s="102"/>
      <c r="IUU167" s="102"/>
      <c r="IUV167" s="102"/>
      <c r="IUW167" s="102"/>
      <c r="IUX167" s="102"/>
      <c r="IUY167" s="102"/>
      <c r="IUZ167" s="102"/>
      <c r="IVA167" s="102"/>
      <c r="IVB167" s="102"/>
      <c r="IVC167" s="102"/>
      <c r="IVD167" s="102"/>
      <c r="IVE167" s="102"/>
      <c r="IVF167" s="102"/>
      <c r="IVG167" s="102"/>
      <c r="IVH167" s="102"/>
      <c r="IVI167" s="102"/>
      <c r="IVJ167" s="102"/>
      <c r="IVK167" s="102"/>
      <c r="IVL167" s="102"/>
      <c r="IVM167" s="102"/>
      <c r="IVN167" s="102"/>
      <c r="IVO167" s="102"/>
      <c r="IVP167" s="102"/>
      <c r="IVQ167" s="102"/>
      <c r="IVR167" s="102"/>
      <c r="IVS167" s="102"/>
      <c r="IVT167" s="102"/>
      <c r="IVU167" s="102"/>
      <c r="IVV167" s="102"/>
      <c r="IVW167" s="102"/>
      <c r="IVX167" s="102"/>
      <c r="IVY167" s="102"/>
      <c r="IVZ167" s="102"/>
      <c r="IWA167" s="102"/>
      <c r="IWB167" s="102"/>
      <c r="IWC167" s="102"/>
      <c r="IWD167" s="102"/>
      <c r="IWE167" s="102"/>
      <c r="IWF167" s="102"/>
      <c r="IWG167" s="102"/>
      <c r="IWH167" s="102"/>
      <c r="IWI167" s="102"/>
      <c r="IWJ167" s="102"/>
      <c r="IWK167" s="102"/>
      <c r="IWL167" s="102"/>
      <c r="IWM167" s="102"/>
      <c r="IWN167" s="102"/>
      <c r="IWO167" s="102"/>
      <c r="IWP167" s="102"/>
      <c r="IWQ167" s="102"/>
      <c r="IWR167" s="102"/>
      <c r="IWS167" s="102"/>
      <c r="IWT167" s="102"/>
      <c r="IWU167" s="102"/>
      <c r="IWV167" s="102"/>
      <c r="IWW167" s="102"/>
      <c r="IWX167" s="102"/>
      <c r="IWY167" s="102"/>
      <c r="IWZ167" s="102"/>
      <c r="IXA167" s="102"/>
      <c r="IXB167" s="102"/>
      <c r="IXC167" s="102"/>
      <c r="IXD167" s="102"/>
      <c r="IXE167" s="102"/>
      <c r="IXF167" s="102"/>
      <c r="IXG167" s="102"/>
      <c r="IXH167" s="102"/>
      <c r="IXI167" s="102"/>
      <c r="IXJ167" s="102"/>
      <c r="IXK167" s="102"/>
      <c r="IXL167" s="102"/>
      <c r="IXM167" s="102"/>
      <c r="IXN167" s="102"/>
      <c r="IXO167" s="102"/>
      <c r="IXP167" s="102"/>
      <c r="IXQ167" s="102"/>
      <c r="IXR167" s="102"/>
      <c r="IXS167" s="102"/>
      <c r="IXT167" s="102"/>
      <c r="IXU167" s="102"/>
      <c r="IXV167" s="102"/>
      <c r="IXW167" s="102"/>
      <c r="IXX167" s="102"/>
      <c r="IXY167" s="102"/>
      <c r="IXZ167" s="102"/>
      <c r="IYA167" s="102"/>
      <c r="IYB167" s="102"/>
      <c r="IYC167" s="102"/>
      <c r="IYD167" s="102"/>
      <c r="IYE167" s="102"/>
      <c r="IYF167" s="102"/>
      <c r="IYG167" s="102"/>
      <c r="IYH167" s="102"/>
      <c r="IYI167" s="102"/>
      <c r="IYJ167" s="102"/>
      <c r="IYK167" s="102"/>
      <c r="IYL167" s="102"/>
      <c r="IYM167" s="102"/>
      <c r="IYN167" s="102"/>
      <c r="IYO167" s="102"/>
      <c r="IYP167" s="102"/>
      <c r="IYQ167" s="102"/>
      <c r="IYR167" s="102"/>
      <c r="IYS167" s="102"/>
      <c r="IYT167" s="102"/>
      <c r="IYU167" s="102"/>
      <c r="IYV167" s="102"/>
      <c r="IYW167" s="102"/>
      <c r="IYX167" s="102"/>
      <c r="IYY167" s="102"/>
      <c r="IYZ167" s="102"/>
      <c r="IZA167" s="102"/>
      <c r="IZB167" s="102"/>
      <c r="IZC167" s="102"/>
      <c r="IZD167" s="102"/>
      <c r="IZE167" s="102"/>
      <c r="IZF167" s="102"/>
      <c r="IZG167" s="102"/>
      <c r="IZH167" s="102"/>
      <c r="IZI167" s="102"/>
      <c r="IZJ167" s="102"/>
      <c r="IZK167" s="102"/>
      <c r="IZL167" s="102"/>
      <c r="IZM167" s="102"/>
      <c r="IZN167" s="102"/>
      <c r="IZO167" s="102"/>
      <c r="IZP167" s="102"/>
      <c r="IZQ167" s="102"/>
      <c r="IZR167" s="102"/>
      <c r="IZS167" s="102"/>
      <c r="IZT167" s="102"/>
      <c r="IZU167" s="102"/>
      <c r="IZV167" s="102"/>
      <c r="IZW167" s="102"/>
      <c r="IZX167" s="102"/>
      <c r="IZY167" s="102"/>
      <c r="IZZ167" s="102"/>
      <c r="JAA167" s="102"/>
      <c r="JAB167" s="102"/>
      <c r="JAC167" s="102"/>
      <c r="JAD167" s="102"/>
      <c r="JAE167" s="102"/>
      <c r="JAF167" s="102"/>
      <c r="JAG167" s="102"/>
      <c r="JAH167" s="102"/>
      <c r="JAI167" s="102"/>
      <c r="JAJ167" s="102"/>
      <c r="JAK167" s="102"/>
      <c r="JAL167" s="102"/>
      <c r="JAM167" s="102"/>
      <c r="JAN167" s="102"/>
      <c r="JAO167" s="102"/>
      <c r="JAP167" s="102"/>
      <c r="JAQ167" s="102"/>
      <c r="JAR167" s="102"/>
      <c r="JAS167" s="102"/>
      <c r="JAT167" s="102"/>
      <c r="JAU167" s="102"/>
      <c r="JAV167" s="102"/>
      <c r="JAW167" s="102"/>
      <c r="JAX167" s="102"/>
      <c r="JAY167" s="102"/>
      <c r="JAZ167" s="102"/>
      <c r="JBA167" s="102"/>
      <c r="JBB167" s="102"/>
      <c r="JBC167" s="102"/>
      <c r="JBD167" s="102"/>
      <c r="JBE167" s="102"/>
      <c r="JBF167" s="102"/>
      <c r="JBG167" s="102"/>
      <c r="JBH167" s="102"/>
      <c r="JBI167" s="102"/>
      <c r="JBJ167" s="102"/>
      <c r="JBK167" s="102"/>
      <c r="JBL167" s="102"/>
      <c r="JBM167" s="102"/>
      <c r="JBN167" s="102"/>
      <c r="JBO167" s="102"/>
      <c r="JBP167" s="102"/>
      <c r="JBQ167" s="102"/>
      <c r="JBR167" s="102"/>
      <c r="JBS167" s="102"/>
      <c r="JBT167" s="102"/>
      <c r="JBU167" s="102"/>
      <c r="JBV167" s="102"/>
      <c r="JBW167" s="102"/>
      <c r="JBX167" s="102"/>
      <c r="JBY167" s="102"/>
      <c r="JBZ167" s="102"/>
      <c r="JCA167" s="102"/>
      <c r="JCB167" s="102"/>
      <c r="JCC167" s="102"/>
      <c r="JCD167" s="102"/>
      <c r="JCE167" s="102"/>
      <c r="JCF167" s="102"/>
      <c r="JCG167" s="102"/>
      <c r="JCH167" s="102"/>
      <c r="JCI167" s="102"/>
      <c r="JCJ167" s="102"/>
      <c r="JCK167" s="102"/>
      <c r="JCL167" s="102"/>
      <c r="JCM167" s="102"/>
      <c r="JCN167" s="102"/>
      <c r="JCO167" s="102"/>
      <c r="JCP167" s="102"/>
      <c r="JCQ167" s="102"/>
      <c r="JCR167" s="102"/>
      <c r="JCS167" s="102"/>
      <c r="JCT167" s="102"/>
      <c r="JCU167" s="102"/>
      <c r="JCV167" s="102"/>
      <c r="JCW167" s="102"/>
      <c r="JCX167" s="102"/>
      <c r="JCY167" s="102"/>
      <c r="JCZ167" s="102"/>
      <c r="JDA167" s="102"/>
      <c r="JDB167" s="102"/>
      <c r="JDC167" s="102"/>
      <c r="JDD167" s="102"/>
      <c r="JDE167" s="102"/>
      <c r="JDF167" s="102"/>
      <c r="JDG167" s="102"/>
      <c r="JDH167" s="102"/>
      <c r="JDI167" s="102"/>
      <c r="JDJ167" s="102"/>
      <c r="JDK167" s="102"/>
      <c r="JDL167" s="102"/>
      <c r="JDM167" s="102"/>
      <c r="JDN167" s="102"/>
      <c r="JDO167" s="102"/>
      <c r="JDP167" s="102"/>
      <c r="JDQ167" s="102"/>
      <c r="JDR167" s="102"/>
      <c r="JDS167" s="102"/>
      <c r="JDT167" s="102"/>
      <c r="JDU167" s="102"/>
      <c r="JDV167" s="102"/>
      <c r="JDW167" s="102"/>
      <c r="JDX167" s="102"/>
      <c r="JDY167" s="102"/>
      <c r="JDZ167" s="102"/>
      <c r="JEA167" s="102"/>
      <c r="JEB167" s="102"/>
      <c r="JEC167" s="102"/>
      <c r="JED167" s="102"/>
      <c r="JEE167" s="102"/>
      <c r="JEF167" s="102"/>
      <c r="JEG167" s="102"/>
      <c r="JEH167" s="102"/>
      <c r="JEI167" s="102"/>
      <c r="JEJ167" s="102"/>
      <c r="JEK167" s="102"/>
      <c r="JEL167" s="102"/>
      <c r="JEM167" s="102"/>
      <c r="JEN167" s="102"/>
      <c r="JEO167" s="102"/>
      <c r="JEP167" s="102"/>
      <c r="JEQ167" s="102"/>
      <c r="JER167" s="102"/>
      <c r="JES167" s="102"/>
      <c r="JET167" s="102"/>
      <c r="JEU167" s="102"/>
      <c r="JEV167" s="102"/>
      <c r="JEW167" s="102"/>
      <c r="JEX167" s="102"/>
      <c r="JEY167" s="102"/>
      <c r="JEZ167" s="102"/>
      <c r="JFA167" s="102"/>
      <c r="JFB167" s="102"/>
      <c r="JFC167" s="102"/>
      <c r="JFD167" s="102"/>
      <c r="JFE167" s="102"/>
      <c r="JFF167" s="102"/>
      <c r="JFG167" s="102"/>
      <c r="JFH167" s="102"/>
      <c r="JFI167" s="102"/>
      <c r="JFJ167" s="102"/>
      <c r="JFK167" s="102"/>
      <c r="JFL167" s="102"/>
      <c r="JFM167" s="102"/>
      <c r="JFN167" s="102"/>
      <c r="JFO167" s="102"/>
      <c r="JFP167" s="102"/>
      <c r="JFQ167" s="102"/>
      <c r="JFR167" s="102"/>
      <c r="JFS167" s="102"/>
      <c r="JFT167" s="102"/>
      <c r="JFU167" s="102"/>
      <c r="JFV167" s="102"/>
      <c r="JFW167" s="102"/>
      <c r="JFX167" s="102"/>
      <c r="JFY167" s="102"/>
      <c r="JFZ167" s="102"/>
      <c r="JGA167" s="102"/>
      <c r="JGB167" s="102"/>
      <c r="JGC167" s="102"/>
      <c r="JGD167" s="102"/>
      <c r="JGE167" s="102"/>
      <c r="JGF167" s="102"/>
      <c r="JGG167" s="102"/>
      <c r="JGH167" s="102"/>
      <c r="JGI167" s="102"/>
      <c r="JGJ167" s="102"/>
      <c r="JGK167" s="102"/>
      <c r="JGL167" s="102"/>
      <c r="JGM167" s="102"/>
      <c r="JGN167" s="102"/>
      <c r="JGO167" s="102"/>
      <c r="JGP167" s="102"/>
      <c r="JGQ167" s="102"/>
      <c r="JGR167" s="102"/>
      <c r="JGS167" s="102"/>
      <c r="JGT167" s="102"/>
      <c r="JGU167" s="102"/>
      <c r="JGV167" s="102"/>
      <c r="JGW167" s="102"/>
      <c r="JGX167" s="102"/>
      <c r="JGY167" s="102"/>
      <c r="JGZ167" s="102"/>
      <c r="JHA167" s="102"/>
      <c r="JHB167" s="102"/>
      <c r="JHC167" s="102"/>
      <c r="JHD167" s="102"/>
      <c r="JHE167" s="102"/>
      <c r="JHF167" s="102"/>
      <c r="JHG167" s="102"/>
      <c r="JHH167" s="102"/>
      <c r="JHI167" s="102"/>
      <c r="JHJ167" s="102"/>
      <c r="JHK167" s="102"/>
      <c r="JHL167" s="102"/>
      <c r="JHM167" s="102"/>
      <c r="JHN167" s="102"/>
      <c r="JHO167" s="102"/>
      <c r="JHP167" s="102"/>
      <c r="JHQ167" s="102"/>
      <c r="JHR167" s="102"/>
      <c r="JHS167" s="102"/>
      <c r="JHT167" s="102"/>
      <c r="JHU167" s="102"/>
      <c r="JHV167" s="102"/>
      <c r="JHW167" s="102"/>
      <c r="JHX167" s="102"/>
      <c r="JHY167" s="102"/>
      <c r="JHZ167" s="102"/>
      <c r="JIA167" s="102"/>
      <c r="JIB167" s="102"/>
      <c r="JIC167" s="102"/>
      <c r="JID167" s="102"/>
      <c r="JIE167" s="102"/>
      <c r="JIF167" s="102"/>
      <c r="JIG167" s="102"/>
      <c r="JIH167" s="102"/>
      <c r="JII167" s="102"/>
      <c r="JIJ167" s="102"/>
      <c r="JIK167" s="102"/>
      <c r="JIL167" s="102"/>
      <c r="JIM167" s="102"/>
      <c r="JIN167" s="102"/>
      <c r="JIO167" s="102"/>
      <c r="JIP167" s="102"/>
      <c r="JIQ167" s="102"/>
      <c r="JIR167" s="102"/>
      <c r="JIS167" s="102"/>
      <c r="JIT167" s="102"/>
      <c r="JIU167" s="102"/>
      <c r="JIV167" s="102"/>
      <c r="JIW167" s="102"/>
      <c r="JIX167" s="102"/>
      <c r="JIY167" s="102"/>
      <c r="JIZ167" s="102"/>
      <c r="JJA167" s="102"/>
      <c r="JJB167" s="102"/>
      <c r="JJC167" s="102"/>
      <c r="JJD167" s="102"/>
      <c r="JJE167" s="102"/>
      <c r="JJF167" s="102"/>
      <c r="JJG167" s="102"/>
      <c r="JJH167" s="102"/>
      <c r="JJI167" s="102"/>
      <c r="JJJ167" s="102"/>
      <c r="JJK167" s="102"/>
      <c r="JJL167" s="102"/>
      <c r="JJM167" s="102"/>
      <c r="JJN167" s="102"/>
      <c r="JJO167" s="102"/>
      <c r="JJP167" s="102"/>
      <c r="JJQ167" s="102"/>
      <c r="JJR167" s="102"/>
      <c r="JJS167" s="102"/>
      <c r="JJT167" s="102"/>
      <c r="JJU167" s="102"/>
      <c r="JJV167" s="102"/>
      <c r="JJW167" s="102"/>
      <c r="JJX167" s="102"/>
      <c r="JJY167" s="102"/>
      <c r="JJZ167" s="102"/>
      <c r="JKA167" s="102"/>
      <c r="JKB167" s="102"/>
      <c r="JKC167" s="102"/>
      <c r="JKD167" s="102"/>
      <c r="JKE167" s="102"/>
      <c r="JKF167" s="102"/>
      <c r="JKG167" s="102"/>
      <c r="JKH167" s="102"/>
      <c r="JKI167" s="102"/>
      <c r="JKJ167" s="102"/>
      <c r="JKK167" s="102"/>
      <c r="JKL167" s="102"/>
      <c r="JKM167" s="102"/>
      <c r="JKN167" s="102"/>
      <c r="JKO167" s="102"/>
      <c r="JKP167" s="102"/>
      <c r="JKQ167" s="102"/>
      <c r="JKR167" s="102"/>
      <c r="JKS167" s="102"/>
      <c r="JKT167" s="102"/>
      <c r="JKU167" s="102"/>
      <c r="JKV167" s="102"/>
      <c r="JKW167" s="102"/>
      <c r="JKX167" s="102"/>
      <c r="JKY167" s="102"/>
      <c r="JKZ167" s="102"/>
      <c r="JLA167" s="102"/>
      <c r="JLB167" s="102"/>
      <c r="JLC167" s="102"/>
      <c r="JLD167" s="102"/>
      <c r="JLE167" s="102"/>
      <c r="JLF167" s="102"/>
      <c r="JLG167" s="102"/>
      <c r="JLH167" s="102"/>
      <c r="JLI167" s="102"/>
      <c r="JLJ167" s="102"/>
      <c r="JLK167" s="102"/>
      <c r="JLL167" s="102"/>
      <c r="JLM167" s="102"/>
      <c r="JLN167" s="102"/>
      <c r="JLO167" s="102"/>
      <c r="JLP167" s="102"/>
      <c r="JLQ167" s="102"/>
      <c r="JLR167" s="102"/>
      <c r="JLS167" s="102"/>
      <c r="JLT167" s="102"/>
      <c r="JLU167" s="102"/>
      <c r="JLV167" s="102"/>
      <c r="JLW167" s="102"/>
      <c r="JLX167" s="102"/>
      <c r="JLY167" s="102"/>
      <c r="JLZ167" s="102"/>
      <c r="JMA167" s="102"/>
      <c r="JMB167" s="102"/>
      <c r="JMC167" s="102"/>
      <c r="JMD167" s="102"/>
      <c r="JME167" s="102"/>
      <c r="JMF167" s="102"/>
      <c r="JMG167" s="102"/>
      <c r="JMH167" s="102"/>
      <c r="JMI167" s="102"/>
      <c r="JMJ167" s="102"/>
      <c r="JMK167" s="102"/>
      <c r="JML167" s="102"/>
      <c r="JMM167" s="102"/>
      <c r="JMN167" s="102"/>
      <c r="JMO167" s="102"/>
      <c r="JMP167" s="102"/>
      <c r="JMQ167" s="102"/>
      <c r="JMR167" s="102"/>
      <c r="JMS167" s="102"/>
      <c r="JMT167" s="102"/>
      <c r="JMU167" s="102"/>
      <c r="JMV167" s="102"/>
      <c r="JMW167" s="102"/>
      <c r="JMX167" s="102"/>
      <c r="JMY167" s="102"/>
      <c r="JMZ167" s="102"/>
      <c r="JNA167" s="102"/>
      <c r="JNB167" s="102"/>
      <c r="JNC167" s="102"/>
      <c r="JND167" s="102"/>
      <c r="JNE167" s="102"/>
      <c r="JNF167" s="102"/>
      <c r="JNG167" s="102"/>
      <c r="JNH167" s="102"/>
      <c r="JNI167" s="102"/>
      <c r="JNJ167" s="102"/>
      <c r="JNK167" s="102"/>
      <c r="JNL167" s="102"/>
      <c r="JNM167" s="102"/>
      <c r="JNN167" s="102"/>
      <c r="JNO167" s="102"/>
      <c r="JNP167" s="102"/>
      <c r="JNQ167" s="102"/>
      <c r="JNR167" s="102"/>
      <c r="JNS167" s="102"/>
      <c r="JNT167" s="102"/>
      <c r="JNU167" s="102"/>
      <c r="JNV167" s="102"/>
      <c r="JNW167" s="102"/>
      <c r="JNX167" s="102"/>
      <c r="JNY167" s="102"/>
      <c r="JNZ167" s="102"/>
      <c r="JOA167" s="102"/>
      <c r="JOB167" s="102"/>
      <c r="JOC167" s="102"/>
      <c r="JOD167" s="102"/>
      <c r="JOE167" s="102"/>
      <c r="JOF167" s="102"/>
      <c r="JOG167" s="102"/>
      <c r="JOH167" s="102"/>
      <c r="JOI167" s="102"/>
      <c r="JOJ167" s="102"/>
      <c r="JOK167" s="102"/>
      <c r="JOL167" s="102"/>
      <c r="JOM167" s="102"/>
      <c r="JON167" s="102"/>
      <c r="JOO167" s="102"/>
      <c r="JOP167" s="102"/>
      <c r="JOQ167" s="102"/>
      <c r="JOR167" s="102"/>
      <c r="JOS167" s="102"/>
      <c r="JOT167" s="102"/>
      <c r="JOU167" s="102"/>
      <c r="JOV167" s="102"/>
      <c r="JOW167" s="102"/>
      <c r="JOX167" s="102"/>
      <c r="JOY167" s="102"/>
      <c r="JOZ167" s="102"/>
      <c r="JPA167" s="102"/>
      <c r="JPB167" s="102"/>
      <c r="JPC167" s="102"/>
      <c r="JPD167" s="102"/>
      <c r="JPE167" s="102"/>
      <c r="JPF167" s="102"/>
      <c r="JPG167" s="102"/>
      <c r="JPH167" s="102"/>
      <c r="JPI167" s="102"/>
      <c r="JPJ167" s="102"/>
      <c r="JPK167" s="102"/>
      <c r="JPL167" s="102"/>
      <c r="JPM167" s="102"/>
      <c r="JPN167" s="102"/>
      <c r="JPO167" s="102"/>
      <c r="JPP167" s="102"/>
      <c r="JPQ167" s="102"/>
      <c r="JPR167" s="102"/>
      <c r="JPS167" s="102"/>
      <c r="JPT167" s="102"/>
      <c r="JPU167" s="102"/>
      <c r="JPV167" s="102"/>
      <c r="JPW167" s="102"/>
      <c r="JPX167" s="102"/>
      <c r="JPY167" s="102"/>
      <c r="JPZ167" s="102"/>
      <c r="JQA167" s="102"/>
      <c r="JQB167" s="102"/>
      <c r="JQC167" s="102"/>
      <c r="JQD167" s="102"/>
      <c r="JQE167" s="102"/>
      <c r="JQF167" s="102"/>
      <c r="JQG167" s="102"/>
      <c r="JQH167" s="102"/>
      <c r="JQI167" s="102"/>
      <c r="JQJ167" s="102"/>
      <c r="JQK167" s="102"/>
      <c r="JQL167" s="102"/>
      <c r="JQM167" s="102"/>
      <c r="JQN167" s="102"/>
      <c r="JQO167" s="102"/>
      <c r="JQP167" s="102"/>
      <c r="JQQ167" s="102"/>
      <c r="JQR167" s="102"/>
      <c r="JQS167" s="102"/>
      <c r="JQT167" s="102"/>
      <c r="JQU167" s="102"/>
      <c r="JQV167" s="102"/>
      <c r="JQW167" s="102"/>
      <c r="JQX167" s="102"/>
      <c r="JQY167" s="102"/>
      <c r="JQZ167" s="102"/>
      <c r="JRA167" s="102"/>
      <c r="JRB167" s="102"/>
      <c r="JRC167" s="102"/>
      <c r="JRD167" s="102"/>
      <c r="JRE167" s="102"/>
      <c r="JRF167" s="102"/>
      <c r="JRG167" s="102"/>
      <c r="JRH167" s="102"/>
      <c r="JRI167" s="102"/>
      <c r="JRJ167" s="102"/>
      <c r="JRK167" s="102"/>
      <c r="JRL167" s="102"/>
      <c r="JRM167" s="102"/>
      <c r="JRN167" s="102"/>
      <c r="JRO167" s="102"/>
      <c r="JRP167" s="102"/>
      <c r="JRQ167" s="102"/>
      <c r="JRR167" s="102"/>
      <c r="JRS167" s="102"/>
      <c r="JRT167" s="102"/>
      <c r="JRU167" s="102"/>
      <c r="JRV167" s="102"/>
      <c r="JRW167" s="102"/>
      <c r="JRX167" s="102"/>
      <c r="JRY167" s="102"/>
      <c r="JRZ167" s="102"/>
      <c r="JSA167" s="102"/>
      <c r="JSB167" s="102"/>
      <c r="JSC167" s="102"/>
      <c r="JSD167" s="102"/>
      <c r="JSE167" s="102"/>
      <c r="JSF167" s="102"/>
      <c r="JSG167" s="102"/>
      <c r="JSH167" s="102"/>
      <c r="JSI167" s="102"/>
      <c r="JSJ167" s="102"/>
      <c r="JSK167" s="102"/>
      <c r="JSL167" s="102"/>
      <c r="JSM167" s="102"/>
      <c r="JSN167" s="102"/>
      <c r="JSO167" s="102"/>
      <c r="JSP167" s="102"/>
      <c r="JSQ167" s="102"/>
      <c r="JSR167" s="102"/>
      <c r="JSS167" s="102"/>
      <c r="JST167" s="102"/>
      <c r="JSU167" s="102"/>
      <c r="JSV167" s="102"/>
      <c r="JSW167" s="102"/>
      <c r="JSX167" s="102"/>
      <c r="JSY167" s="102"/>
      <c r="JSZ167" s="102"/>
      <c r="JTA167" s="102"/>
      <c r="JTB167" s="102"/>
      <c r="JTC167" s="102"/>
      <c r="JTD167" s="102"/>
      <c r="JTE167" s="102"/>
      <c r="JTF167" s="102"/>
      <c r="JTG167" s="102"/>
      <c r="JTH167" s="102"/>
      <c r="JTI167" s="102"/>
      <c r="JTJ167" s="102"/>
      <c r="JTK167" s="102"/>
      <c r="JTL167" s="102"/>
      <c r="JTM167" s="102"/>
      <c r="JTN167" s="102"/>
      <c r="JTO167" s="102"/>
      <c r="JTP167" s="102"/>
      <c r="JTQ167" s="102"/>
      <c r="JTR167" s="102"/>
      <c r="JTS167" s="102"/>
      <c r="JTT167" s="102"/>
      <c r="JTU167" s="102"/>
      <c r="JTV167" s="102"/>
      <c r="JTW167" s="102"/>
      <c r="JTX167" s="102"/>
      <c r="JTY167" s="102"/>
      <c r="JTZ167" s="102"/>
      <c r="JUA167" s="102"/>
      <c r="JUB167" s="102"/>
      <c r="JUC167" s="102"/>
      <c r="JUD167" s="102"/>
      <c r="JUE167" s="102"/>
      <c r="JUF167" s="102"/>
      <c r="JUG167" s="102"/>
      <c r="JUH167" s="102"/>
      <c r="JUI167" s="102"/>
      <c r="JUJ167" s="102"/>
      <c r="JUK167" s="102"/>
      <c r="JUL167" s="102"/>
      <c r="JUM167" s="102"/>
      <c r="JUN167" s="102"/>
      <c r="JUO167" s="102"/>
      <c r="JUP167" s="102"/>
      <c r="JUQ167" s="102"/>
      <c r="JUR167" s="102"/>
      <c r="JUS167" s="102"/>
      <c r="JUT167" s="102"/>
      <c r="JUU167" s="102"/>
      <c r="JUV167" s="102"/>
      <c r="JUW167" s="102"/>
      <c r="JUX167" s="102"/>
      <c r="JUY167" s="102"/>
      <c r="JUZ167" s="102"/>
      <c r="JVA167" s="102"/>
      <c r="JVB167" s="102"/>
      <c r="JVC167" s="102"/>
      <c r="JVD167" s="102"/>
      <c r="JVE167" s="102"/>
      <c r="JVF167" s="102"/>
      <c r="JVG167" s="102"/>
      <c r="JVH167" s="102"/>
      <c r="JVI167" s="102"/>
      <c r="JVJ167" s="102"/>
      <c r="JVK167" s="102"/>
      <c r="JVL167" s="102"/>
      <c r="JVM167" s="102"/>
      <c r="JVN167" s="102"/>
      <c r="JVO167" s="102"/>
      <c r="JVP167" s="102"/>
      <c r="JVQ167" s="102"/>
      <c r="JVR167" s="102"/>
      <c r="JVS167" s="102"/>
      <c r="JVT167" s="102"/>
      <c r="JVU167" s="102"/>
      <c r="JVV167" s="102"/>
      <c r="JVW167" s="102"/>
      <c r="JVX167" s="102"/>
      <c r="JVY167" s="102"/>
      <c r="JVZ167" s="102"/>
      <c r="JWA167" s="102"/>
      <c r="JWB167" s="102"/>
      <c r="JWC167" s="102"/>
      <c r="JWD167" s="102"/>
      <c r="JWE167" s="102"/>
      <c r="JWF167" s="102"/>
      <c r="JWG167" s="102"/>
      <c r="JWH167" s="102"/>
      <c r="JWI167" s="102"/>
      <c r="JWJ167" s="102"/>
      <c r="JWK167" s="102"/>
      <c r="JWL167" s="102"/>
      <c r="JWM167" s="102"/>
      <c r="JWN167" s="102"/>
      <c r="JWO167" s="102"/>
      <c r="JWP167" s="102"/>
      <c r="JWQ167" s="102"/>
      <c r="JWR167" s="102"/>
      <c r="JWS167" s="102"/>
      <c r="JWT167" s="102"/>
      <c r="JWU167" s="102"/>
      <c r="JWV167" s="102"/>
      <c r="JWW167" s="102"/>
      <c r="JWX167" s="102"/>
      <c r="JWY167" s="102"/>
      <c r="JWZ167" s="102"/>
      <c r="JXA167" s="102"/>
      <c r="JXB167" s="102"/>
      <c r="JXC167" s="102"/>
      <c r="JXD167" s="102"/>
      <c r="JXE167" s="102"/>
      <c r="JXF167" s="102"/>
      <c r="JXG167" s="102"/>
      <c r="JXH167" s="102"/>
      <c r="JXI167" s="102"/>
      <c r="JXJ167" s="102"/>
      <c r="JXK167" s="102"/>
      <c r="JXL167" s="102"/>
      <c r="JXM167" s="102"/>
      <c r="JXN167" s="102"/>
      <c r="JXO167" s="102"/>
      <c r="JXP167" s="102"/>
      <c r="JXQ167" s="102"/>
      <c r="JXR167" s="102"/>
      <c r="JXS167" s="102"/>
      <c r="JXT167" s="102"/>
      <c r="JXU167" s="102"/>
      <c r="JXV167" s="102"/>
      <c r="JXW167" s="102"/>
      <c r="JXX167" s="102"/>
      <c r="JXY167" s="102"/>
      <c r="JXZ167" s="102"/>
      <c r="JYA167" s="102"/>
      <c r="JYB167" s="102"/>
      <c r="JYC167" s="102"/>
      <c r="JYD167" s="102"/>
      <c r="JYE167" s="102"/>
      <c r="JYF167" s="102"/>
      <c r="JYG167" s="102"/>
      <c r="JYH167" s="102"/>
      <c r="JYI167" s="102"/>
      <c r="JYJ167" s="102"/>
      <c r="JYK167" s="102"/>
      <c r="JYL167" s="102"/>
      <c r="JYM167" s="102"/>
      <c r="JYN167" s="102"/>
      <c r="JYO167" s="102"/>
      <c r="JYP167" s="102"/>
      <c r="JYQ167" s="102"/>
      <c r="JYR167" s="102"/>
      <c r="JYS167" s="102"/>
      <c r="JYT167" s="102"/>
      <c r="JYU167" s="102"/>
      <c r="JYV167" s="102"/>
      <c r="JYW167" s="102"/>
      <c r="JYX167" s="102"/>
      <c r="JYY167" s="102"/>
      <c r="JYZ167" s="102"/>
      <c r="JZA167" s="102"/>
      <c r="JZB167" s="102"/>
      <c r="JZC167" s="102"/>
      <c r="JZD167" s="102"/>
      <c r="JZE167" s="102"/>
      <c r="JZF167" s="102"/>
      <c r="JZG167" s="102"/>
      <c r="JZH167" s="102"/>
      <c r="JZI167" s="102"/>
      <c r="JZJ167" s="102"/>
      <c r="JZK167" s="102"/>
      <c r="JZL167" s="102"/>
      <c r="JZM167" s="102"/>
      <c r="JZN167" s="102"/>
      <c r="JZO167" s="102"/>
      <c r="JZP167" s="102"/>
      <c r="JZQ167" s="102"/>
      <c r="JZR167" s="102"/>
      <c r="JZS167" s="102"/>
      <c r="JZT167" s="102"/>
      <c r="JZU167" s="102"/>
      <c r="JZV167" s="102"/>
      <c r="JZW167" s="102"/>
      <c r="JZX167" s="102"/>
      <c r="JZY167" s="102"/>
      <c r="JZZ167" s="102"/>
      <c r="KAA167" s="102"/>
      <c r="KAB167" s="102"/>
      <c r="KAC167" s="102"/>
      <c r="KAD167" s="102"/>
      <c r="KAE167" s="102"/>
      <c r="KAF167" s="102"/>
      <c r="KAG167" s="102"/>
      <c r="KAH167" s="102"/>
      <c r="KAI167" s="102"/>
      <c r="KAJ167" s="102"/>
      <c r="KAK167" s="102"/>
      <c r="KAL167" s="102"/>
      <c r="KAM167" s="102"/>
      <c r="KAN167" s="102"/>
      <c r="KAO167" s="102"/>
      <c r="KAP167" s="102"/>
      <c r="KAQ167" s="102"/>
      <c r="KAR167" s="102"/>
      <c r="KAS167" s="102"/>
      <c r="KAT167" s="102"/>
      <c r="KAU167" s="102"/>
      <c r="KAV167" s="102"/>
      <c r="KAW167" s="102"/>
      <c r="KAX167" s="102"/>
      <c r="KAY167" s="102"/>
      <c r="KAZ167" s="102"/>
      <c r="KBA167" s="102"/>
      <c r="KBB167" s="102"/>
      <c r="KBC167" s="102"/>
      <c r="KBD167" s="102"/>
      <c r="KBE167" s="102"/>
      <c r="KBF167" s="102"/>
      <c r="KBG167" s="102"/>
      <c r="KBH167" s="102"/>
      <c r="KBI167" s="102"/>
      <c r="KBJ167" s="102"/>
      <c r="KBK167" s="102"/>
      <c r="KBL167" s="102"/>
      <c r="KBM167" s="102"/>
      <c r="KBN167" s="102"/>
      <c r="KBO167" s="102"/>
      <c r="KBP167" s="102"/>
      <c r="KBQ167" s="102"/>
      <c r="KBR167" s="102"/>
      <c r="KBS167" s="102"/>
      <c r="KBT167" s="102"/>
      <c r="KBU167" s="102"/>
      <c r="KBV167" s="102"/>
      <c r="KBW167" s="102"/>
      <c r="KBX167" s="102"/>
      <c r="KBY167" s="102"/>
      <c r="KBZ167" s="102"/>
      <c r="KCA167" s="102"/>
      <c r="KCB167" s="102"/>
      <c r="KCC167" s="102"/>
      <c r="KCD167" s="102"/>
      <c r="KCE167" s="102"/>
      <c r="KCF167" s="102"/>
      <c r="KCG167" s="102"/>
      <c r="KCH167" s="102"/>
      <c r="KCI167" s="102"/>
      <c r="KCJ167" s="102"/>
      <c r="KCK167" s="102"/>
      <c r="KCL167" s="102"/>
      <c r="KCM167" s="102"/>
      <c r="KCN167" s="102"/>
      <c r="KCO167" s="102"/>
      <c r="KCP167" s="102"/>
      <c r="KCQ167" s="102"/>
      <c r="KCR167" s="102"/>
      <c r="KCS167" s="102"/>
      <c r="KCT167" s="102"/>
      <c r="KCU167" s="102"/>
      <c r="KCV167" s="102"/>
      <c r="KCW167" s="102"/>
      <c r="KCX167" s="102"/>
      <c r="KCY167" s="102"/>
      <c r="KCZ167" s="102"/>
      <c r="KDA167" s="102"/>
      <c r="KDB167" s="102"/>
      <c r="KDC167" s="102"/>
      <c r="KDD167" s="102"/>
      <c r="KDE167" s="102"/>
      <c r="KDF167" s="102"/>
      <c r="KDG167" s="102"/>
      <c r="KDH167" s="102"/>
      <c r="KDI167" s="102"/>
      <c r="KDJ167" s="102"/>
      <c r="KDK167" s="102"/>
      <c r="KDL167" s="102"/>
      <c r="KDM167" s="102"/>
      <c r="KDN167" s="102"/>
      <c r="KDO167" s="102"/>
      <c r="KDP167" s="102"/>
      <c r="KDQ167" s="102"/>
      <c r="KDR167" s="102"/>
      <c r="KDS167" s="102"/>
      <c r="KDT167" s="102"/>
      <c r="KDU167" s="102"/>
      <c r="KDV167" s="102"/>
      <c r="KDW167" s="102"/>
      <c r="KDX167" s="102"/>
      <c r="KDY167" s="102"/>
      <c r="KDZ167" s="102"/>
      <c r="KEA167" s="102"/>
      <c r="KEB167" s="102"/>
      <c r="KEC167" s="102"/>
      <c r="KED167" s="102"/>
      <c r="KEE167" s="102"/>
      <c r="KEF167" s="102"/>
      <c r="KEG167" s="102"/>
      <c r="KEH167" s="102"/>
      <c r="KEI167" s="102"/>
      <c r="KEJ167" s="102"/>
      <c r="KEK167" s="102"/>
      <c r="KEL167" s="102"/>
      <c r="KEM167" s="102"/>
      <c r="KEN167" s="102"/>
      <c r="KEO167" s="102"/>
      <c r="KEP167" s="102"/>
      <c r="KEQ167" s="102"/>
      <c r="KER167" s="102"/>
      <c r="KES167" s="102"/>
      <c r="KET167" s="102"/>
      <c r="KEU167" s="102"/>
      <c r="KEV167" s="102"/>
      <c r="KEW167" s="102"/>
      <c r="KEX167" s="102"/>
      <c r="KEY167" s="102"/>
      <c r="KEZ167" s="102"/>
      <c r="KFA167" s="102"/>
      <c r="KFB167" s="102"/>
      <c r="KFC167" s="102"/>
      <c r="KFD167" s="102"/>
      <c r="KFE167" s="102"/>
      <c r="KFF167" s="102"/>
      <c r="KFG167" s="102"/>
      <c r="KFH167" s="102"/>
      <c r="KFI167" s="102"/>
      <c r="KFJ167" s="102"/>
      <c r="KFK167" s="102"/>
      <c r="KFL167" s="102"/>
      <c r="KFM167" s="102"/>
      <c r="KFN167" s="102"/>
      <c r="KFO167" s="102"/>
      <c r="KFP167" s="102"/>
      <c r="KFQ167" s="102"/>
      <c r="KFR167" s="102"/>
      <c r="KFS167" s="102"/>
      <c r="KFT167" s="102"/>
      <c r="KFU167" s="102"/>
      <c r="KFV167" s="102"/>
      <c r="KFW167" s="102"/>
      <c r="KFX167" s="102"/>
      <c r="KFY167" s="102"/>
      <c r="KFZ167" s="102"/>
      <c r="KGA167" s="102"/>
      <c r="KGB167" s="102"/>
      <c r="KGC167" s="102"/>
      <c r="KGD167" s="102"/>
      <c r="KGE167" s="102"/>
      <c r="KGF167" s="102"/>
      <c r="KGG167" s="102"/>
      <c r="KGH167" s="102"/>
      <c r="KGI167" s="102"/>
      <c r="KGJ167" s="102"/>
      <c r="KGK167" s="102"/>
      <c r="KGL167" s="102"/>
      <c r="KGM167" s="102"/>
      <c r="KGN167" s="102"/>
      <c r="KGO167" s="102"/>
      <c r="KGP167" s="102"/>
      <c r="KGQ167" s="102"/>
      <c r="KGR167" s="102"/>
      <c r="KGS167" s="102"/>
      <c r="KGT167" s="102"/>
      <c r="KGU167" s="102"/>
      <c r="KGV167" s="102"/>
      <c r="KGW167" s="102"/>
      <c r="KGX167" s="102"/>
      <c r="KGY167" s="102"/>
      <c r="KGZ167" s="102"/>
      <c r="KHA167" s="102"/>
      <c r="KHB167" s="102"/>
      <c r="KHC167" s="102"/>
      <c r="KHD167" s="102"/>
      <c r="KHE167" s="102"/>
      <c r="KHF167" s="102"/>
      <c r="KHG167" s="102"/>
      <c r="KHH167" s="102"/>
      <c r="KHI167" s="102"/>
      <c r="KHJ167" s="102"/>
      <c r="KHK167" s="102"/>
      <c r="KHL167" s="102"/>
      <c r="KHM167" s="102"/>
      <c r="KHN167" s="102"/>
      <c r="KHO167" s="102"/>
      <c r="KHP167" s="102"/>
      <c r="KHQ167" s="102"/>
      <c r="KHR167" s="102"/>
      <c r="KHS167" s="102"/>
      <c r="KHT167" s="102"/>
      <c r="KHU167" s="102"/>
      <c r="KHV167" s="102"/>
      <c r="KHW167" s="102"/>
      <c r="KHX167" s="102"/>
      <c r="KHY167" s="102"/>
      <c r="KHZ167" s="102"/>
      <c r="KIA167" s="102"/>
      <c r="KIB167" s="102"/>
      <c r="KIC167" s="102"/>
      <c r="KID167" s="102"/>
      <c r="KIE167" s="102"/>
      <c r="KIF167" s="102"/>
      <c r="KIG167" s="102"/>
      <c r="KIH167" s="102"/>
      <c r="KII167" s="102"/>
      <c r="KIJ167" s="102"/>
      <c r="KIK167" s="102"/>
      <c r="KIL167" s="102"/>
      <c r="KIM167" s="102"/>
      <c r="KIN167" s="102"/>
      <c r="KIO167" s="102"/>
      <c r="KIP167" s="102"/>
      <c r="KIQ167" s="102"/>
      <c r="KIR167" s="102"/>
      <c r="KIS167" s="102"/>
      <c r="KIT167" s="102"/>
      <c r="KIU167" s="102"/>
      <c r="KIV167" s="102"/>
      <c r="KIW167" s="102"/>
      <c r="KIX167" s="102"/>
      <c r="KIY167" s="102"/>
      <c r="KIZ167" s="102"/>
      <c r="KJA167" s="102"/>
      <c r="KJB167" s="102"/>
      <c r="KJC167" s="102"/>
      <c r="KJD167" s="102"/>
      <c r="KJE167" s="102"/>
      <c r="KJF167" s="102"/>
      <c r="KJG167" s="102"/>
      <c r="KJH167" s="102"/>
      <c r="KJI167" s="102"/>
      <c r="KJJ167" s="102"/>
      <c r="KJK167" s="102"/>
      <c r="KJL167" s="102"/>
      <c r="KJM167" s="102"/>
      <c r="KJN167" s="102"/>
      <c r="KJO167" s="102"/>
      <c r="KJP167" s="102"/>
      <c r="KJQ167" s="102"/>
      <c r="KJR167" s="102"/>
      <c r="KJS167" s="102"/>
      <c r="KJT167" s="102"/>
      <c r="KJU167" s="102"/>
      <c r="KJV167" s="102"/>
      <c r="KJW167" s="102"/>
      <c r="KJX167" s="102"/>
      <c r="KJY167" s="102"/>
      <c r="KJZ167" s="102"/>
      <c r="KKA167" s="102"/>
      <c r="KKB167" s="102"/>
      <c r="KKC167" s="102"/>
      <c r="KKD167" s="102"/>
      <c r="KKE167" s="102"/>
      <c r="KKF167" s="102"/>
      <c r="KKG167" s="102"/>
      <c r="KKH167" s="102"/>
      <c r="KKI167" s="102"/>
      <c r="KKJ167" s="102"/>
      <c r="KKK167" s="102"/>
      <c r="KKL167" s="102"/>
      <c r="KKM167" s="102"/>
      <c r="KKN167" s="102"/>
      <c r="KKO167" s="102"/>
      <c r="KKP167" s="102"/>
      <c r="KKQ167" s="102"/>
      <c r="KKR167" s="102"/>
      <c r="KKS167" s="102"/>
      <c r="KKT167" s="102"/>
      <c r="KKU167" s="102"/>
      <c r="KKV167" s="102"/>
      <c r="KKW167" s="102"/>
      <c r="KKX167" s="102"/>
      <c r="KKY167" s="102"/>
      <c r="KKZ167" s="102"/>
      <c r="KLA167" s="102"/>
      <c r="KLB167" s="102"/>
      <c r="KLC167" s="102"/>
      <c r="KLD167" s="102"/>
      <c r="KLE167" s="102"/>
      <c r="KLF167" s="102"/>
      <c r="KLG167" s="102"/>
      <c r="KLH167" s="102"/>
      <c r="KLI167" s="102"/>
      <c r="KLJ167" s="102"/>
      <c r="KLK167" s="102"/>
      <c r="KLL167" s="102"/>
      <c r="KLM167" s="102"/>
      <c r="KLN167" s="102"/>
      <c r="KLO167" s="102"/>
      <c r="KLP167" s="102"/>
      <c r="KLQ167" s="102"/>
      <c r="KLR167" s="102"/>
      <c r="KLS167" s="102"/>
      <c r="KLT167" s="102"/>
      <c r="KLU167" s="102"/>
      <c r="KLV167" s="102"/>
      <c r="KLW167" s="102"/>
      <c r="KLX167" s="102"/>
      <c r="KLY167" s="102"/>
      <c r="KLZ167" s="102"/>
      <c r="KMA167" s="102"/>
      <c r="KMB167" s="102"/>
      <c r="KMC167" s="102"/>
      <c r="KMD167" s="102"/>
      <c r="KME167" s="102"/>
      <c r="KMF167" s="102"/>
      <c r="KMG167" s="102"/>
      <c r="KMH167" s="102"/>
      <c r="KMI167" s="102"/>
      <c r="KMJ167" s="102"/>
      <c r="KMK167" s="102"/>
      <c r="KML167" s="102"/>
      <c r="KMM167" s="102"/>
      <c r="KMN167" s="102"/>
      <c r="KMO167" s="102"/>
      <c r="KMP167" s="102"/>
      <c r="KMQ167" s="102"/>
      <c r="KMR167" s="102"/>
      <c r="KMS167" s="102"/>
      <c r="KMT167" s="102"/>
      <c r="KMU167" s="102"/>
      <c r="KMV167" s="102"/>
      <c r="KMW167" s="102"/>
      <c r="KMX167" s="102"/>
      <c r="KMY167" s="102"/>
      <c r="KMZ167" s="102"/>
      <c r="KNA167" s="102"/>
      <c r="KNB167" s="102"/>
      <c r="KNC167" s="102"/>
      <c r="KND167" s="102"/>
      <c r="KNE167" s="102"/>
      <c r="KNF167" s="102"/>
      <c r="KNG167" s="102"/>
      <c r="KNH167" s="102"/>
      <c r="KNI167" s="102"/>
      <c r="KNJ167" s="102"/>
      <c r="KNK167" s="102"/>
      <c r="KNL167" s="102"/>
      <c r="KNM167" s="102"/>
      <c r="KNN167" s="102"/>
      <c r="KNO167" s="102"/>
      <c r="KNP167" s="102"/>
      <c r="KNQ167" s="102"/>
      <c r="KNR167" s="102"/>
      <c r="KNS167" s="102"/>
      <c r="KNT167" s="102"/>
      <c r="KNU167" s="102"/>
      <c r="KNV167" s="102"/>
      <c r="KNW167" s="102"/>
      <c r="KNX167" s="102"/>
      <c r="KNY167" s="102"/>
      <c r="KNZ167" s="102"/>
      <c r="KOA167" s="102"/>
      <c r="KOB167" s="102"/>
      <c r="KOC167" s="102"/>
      <c r="KOD167" s="102"/>
      <c r="KOE167" s="102"/>
      <c r="KOF167" s="102"/>
      <c r="KOG167" s="102"/>
      <c r="KOH167" s="102"/>
      <c r="KOI167" s="102"/>
      <c r="KOJ167" s="102"/>
      <c r="KOK167" s="102"/>
      <c r="KOL167" s="102"/>
      <c r="KOM167" s="102"/>
      <c r="KON167" s="102"/>
      <c r="KOO167" s="102"/>
      <c r="KOP167" s="102"/>
      <c r="KOQ167" s="102"/>
      <c r="KOR167" s="102"/>
      <c r="KOS167" s="102"/>
      <c r="KOT167" s="102"/>
      <c r="KOU167" s="102"/>
      <c r="KOV167" s="102"/>
      <c r="KOW167" s="102"/>
      <c r="KOX167" s="102"/>
      <c r="KOY167" s="102"/>
      <c r="KOZ167" s="102"/>
      <c r="KPA167" s="102"/>
      <c r="KPB167" s="102"/>
      <c r="KPC167" s="102"/>
      <c r="KPD167" s="102"/>
      <c r="KPE167" s="102"/>
      <c r="KPF167" s="102"/>
      <c r="KPG167" s="102"/>
      <c r="KPH167" s="102"/>
      <c r="KPI167" s="102"/>
      <c r="KPJ167" s="102"/>
      <c r="KPK167" s="102"/>
      <c r="KPL167" s="102"/>
      <c r="KPM167" s="102"/>
      <c r="KPN167" s="102"/>
      <c r="KPO167" s="102"/>
      <c r="KPP167" s="102"/>
      <c r="KPQ167" s="102"/>
      <c r="KPR167" s="102"/>
      <c r="KPS167" s="102"/>
      <c r="KPT167" s="102"/>
      <c r="KPU167" s="102"/>
      <c r="KPV167" s="102"/>
      <c r="KPW167" s="102"/>
      <c r="KPX167" s="102"/>
      <c r="KPY167" s="102"/>
      <c r="KPZ167" s="102"/>
      <c r="KQA167" s="102"/>
      <c r="KQB167" s="102"/>
      <c r="KQC167" s="102"/>
      <c r="KQD167" s="102"/>
      <c r="KQE167" s="102"/>
      <c r="KQF167" s="102"/>
      <c r="KQG167" s="102"/>
      <c r="KQH167" s="102"/>
      <c r="KQI167" s="102"/>
      <c r="KQJ167" s="102"/>
      <c r="KQK167" s="102"/>
      <c r="KQL167" s="102"/>
      <c r="KQM167" s="102"/>
      <c r="KQN167" s="102"/>
      <c r="KQO167" s="102"/>
      <c r="KQP167" s="102"/>
      <c r="KQQ167" s="102"/>
      <c r="KQR167" s="102"/>
      <c r="KQS167" s="102"/>
      <c r="KQT167" s="102"/>
      <c r="KQU167" s="102"/>
      <c r="KQV167" s="102"/>
      <c r="KQW167" s="102"/>
      <c r="KQX167" s="102"/>
      <c r="KQY167" s="102"/>
      <c r="KQZ167" s="102"/>
      <c r="KRA167" s="102"/>
      <c r="KRB167" s="102"/>
      <c r="KRC167" s="102"/>
      <c r="KRD167" s="102"/>
      <c r="KRE167" s="102"/>
      <c r="KRF167" s="102"/>
      <c r="KRG167" s="102"/>
      <c r="KRH167" s="102"/>
      <c r="KRI167" s="102"/>
      <c r="KRJ167" s="102"/>
      <c r="KRK167" s="102"/>
      <c r="KRL167" s="102"/>
      <c r="KRM167" s="102"/>
      <c r="KRN167" s="102"/>
      <c r="KRO167" s="102"/>
      <c r="KRP167" s="102"/>
      <c r="KRQ167" s="102"/>
      <c r="KRR167" s="102"/>
      <c r="KRS167" s="102"/>
      <c r="KRT167" s="102"/>
      <c r="KRU167" s="102"/>
      <c r="KRV167" s="102"/>
      <c r="KRW167" s="102"/>
      <c r="KRX167" s="102"/>
      <c r="KRY167" s="102"/>
      <c r="KRZ167" s="102"/>
      <c r="KSA167" s="102"/>
      <c r="KSB167" s="102"/>
      <c r="KSC167" s="102"/>
      <c r="KSD167" s="102"/>
      <c r="KSE167" s="102"/>
      <c r="KSF167" s="102"/>
      <c r="KSG167" s="102"/>
      <c r="KSH167" s="102"/>
      <c r="KSI167" s="102"/>
      <c r="KSJ167" s="102"/>
      <c r="KSK167" s="102"/>
      <c r="KSL167" s="102"/>
      <c r="KSM167" s="102"/>
      <c r="KSN167" s="102"/>
      <c r="KSO167" s="102"/>
      <c r="KSP167" s="102"/>
      <c r="KSQ167" s="102"/>
      <c r="KSR167" s="102"/>
      <c r="KSS167" s="102"/>
      <c r="KST167" s="102"/>
      <c r="KSU167" s="102"/>
      <c r="KSV167" s="102"/>
      <c r="KSW167" s="102"/>
      <c r="KSX167" s="102"/>
      <c r="KSY167" s="102"/>
      <c r="KSZ167" s="102"/>
      <c r="KTA167" s="102"/>
      <c r="KTB167" s="102"/>
      <c r="KTC167" s="102"/>
      <c r="KTD167" s="102"/>
      <c r="KTE167" s="102"/>
      <c r="KTF167" s="102"/>
      <c r="KTG167" s="102"/>
      <c r="KTH167" s="102"/>
      <c r="KTI167" s="102"/>
      <c r="KTJ167" s="102"/>
      <c r="KTK167" s="102"/>
      <c r="KTL167" s="102"/>
      <c r="KTM167" s="102"/>
      <c r="KTN167" s="102"/>
      <c r="KTO167" s="102"/>
      <c r="KTP167" s="102"/>
      <c r="KTQ167" s="102"/>
      <c r="KTR167" s="102"/>
      <c r="KTS167" s="102"/>
      <c r="KTT167" s="102"/>
      <c r="KTU167" s="102"/>
      <c r="KTV167" s="102"/>
      <c r="KTW167" s="102"/>
      <c r="KTX167" s="102"/>
      <c r="KTY167" s="102"/>
      <c r="KTZ167" s="102"/>
      <c r="KUA167" s="102"/>
      <c r="KUB167" s="102"/>
      <c r="KUC167" s="102"/>
      <c r="KUD167" s="102"/>
      <c r="KUE167" s="102"/>
      <c r="KUF167" s="102"/>
      <c r="KUG167" s="102"/>
      <c r="KUH167" s="102"/>
      <c r="KUI167" s="102"/>
      <c r="KUJ167" s="102"/>
      <c r="KUK167" s="102"/>
      <c r="KUL167" s="102"/>
      <c r="KUM167" s="102"/>
      <c r="KUN167" s="102"/>
      <c r="KUO167" s="102"/>
      <c r="KUP167" s="102"/>
      <c r="KUQ167" s="102"/>
      <c r="KUR167" s="102"/>
      <c r="KUS167" s="102"/>
      <c r="KUT167" s="102"/>
      <c r="KUU167" s="102"/>
      <c r="KUV167" s="102"/>
      <c r="KUW167" s="102"/>
      <c r="KUX167" s="102"/>
      <c r="KUY167" s="102"/>
      <c r="KUZ167" s="102"/>
      <c r="KVA167" s="102"/>
      <c r="KVB167" s="102"/>
      <c r="KVC167" s="102"/>
      <c r="KVD167" s="102"/>
      <c r="KVE167" s="102"/>
      <c r="KVF167" s="102"/>
      <c r="KVG167" s="102"/>
      <c r="KVH167" s="102"/>
      <c r="KVI167" s="102"/>
      <c r="KVJ167" s="102"/>
      <c r="KVK167" s="102"/>
      <c r="KVL167" s="102"/>
      <c r="KVM167" s="102"/>
      <c r="KVN167" s="102"/>
      <c r="KVO167" s="102"/>
      <c r="KVP167" s="102"/>
      <c r="KVQ167" s="102"/>
      <c r="KVR167" s="102"/>
      <c r="KVS167" s="102"/>
      <c r="KVT167" s="102"/>
      <c r="KVU167" s="102"/>
      <c r="KVV167" s="102"/>
      <c r="KVW167" s="102"/>
      <c r="KVX167" s="102"/>
      <c r="KVY167" s="102"/>
      <c r="KVZ167" s="102"/>
      <c r="KWA167" s="102"/>
      <c r="KWB167" s="102"/>
      <c r="KWC167" s="102"/>
      <c r="KWD167" s="102"/>
      <c r="KWE167" s="102"/>
      <c r="KWF167" s="102"/>
      <c r="KWG167" s="102"/>
      <c r="KWH167" s="102"/>
      <c r="KWI167" s="102"/>
      <c r="KWJ167" s="102"/>
      <c r="KWK167" s="102"/>
      <c r="KWL167" s="102"/>
      <c r="KWM167" s="102"/>
      <c r="KWN167" s="102"/>
      <c r="KWO167" s="102"/>
      <c r="KWP167" s="102"/>
      <c r="KWQ167" s="102"/>
      <c r="KWR167" s="102"/>
      <c r="KWS167" s="102"/>
      <c r="KWT167" s="102"/>
      <c r="KWU167" s="102"/>
      <c r="KWV167" s="102"/>
      <c r="KWW167" s="102"/>
      <c r="KWX167" s="102"/>
      <c r="KWY167" s="102"/>
      <c r="KWZ167" s="102"/>
      <c r="KXA167" s="102"/>
      <c r="KXB167" s="102"/>
      <c r="KXC167" s="102"/>
      <c r="KXD167" s="102"/>
      <c r="KXE167" s="102"/>
      <c r="KXF167" s="102"/>
      <c r="KXG167" s="102"/>
      <c r="KXH167" s="102"/>
      <c r="KXI167" s="102"/>
      <c r="KXJ167" s="102"/>
      <c r="KXK167" s="102"/>
      <c r="KXL167" s="102"/>
      <c r="KXM167" s="102"/>
      <c r="KXN167" s="102"/>
      <c r="KXO167" s="102"/>
      <c r="KXP167" s="102"/>
      <c r="KXQ167" s="102"/>
      <c r="KXR167" s="102"/>
      <c r="KXS167" s="102"/>
      <c r="KXT167" s="102"/>
      <c r="KXU167" s="102"/>
      <c r="KXV167" s="102"/>
      <c r="KXW167" s="102"/>
      <c r="KXX167" s="102"/>
      <c r="KXY167" s="102"/>
      <c r="KXZ167" s="102"/>
      <c r="KYA167" s="102"/>
      <c r="KYB167" s="102"/>
      <c r="KYC167" s="102"/>
      <c r="KYD167" s="102"/>
      <c r="KYE167" s="102"/>
      <c r="KYF167" s="102"/>
      <c r="KYG167" s="102"/>
      <c r="KYH167" s="102"/>
      <c r="KYI167" s="102"/>
      <c r="KYJ167" s="102"/>
      <c r="KYK167" s="102"/>
      <c r="KYL167" s="102"/>
      <c r="KYM167" s="102"/>
      <c r="KYN167" s="102"/>
      <c r="KYO167" s="102"/>
      <c r="KYP167" s="102"/>
      <c r="KYQ167" s="102"/>
      <c r="KYR167" s="102"/>
      <c r="KYS167" s="102"/>
      <c r="KYT167" s="102"/>
      <c r="KYU167" s="102"/>
      <c r="KYV167" s="102"/>
      <c r="KYW167" s="102"/>
      <c r="KYX167" s="102"/>
      <c r="KYY167" s="102"/>
      <c r="KYZ167" s="102"/>
      <c r="KZA167" s="102"/>
      <c r="KZB167" s="102"/>
      <c r="KZC167" s="102"/>
      <c r="KZD167" s="102"/>
      <c r="KZE167" s="102"/>
      <c r="KZF167" s="102"/>
      <c r="KZG167" s="102"/>
      <c r="KZH167" s="102"/>
      <c r="KZI167" s="102"/>
      <c r="KZJ167" s="102"/>
      <c r="KZK167" s="102"/>
      <c r="KZL167" s="102"/>
      <c r="KZM167" s="102"/>
      <c r="KZN167" s="102"/>
      <c r="KZO167" s="102"/>
      <c r="KZP167" s="102"/>
      <c r="KZQ167" s="102"/>
      <c r="KZR167" s="102"/>
      <c r="KZS167" s="102"/>
      <c r="KZT167" s="102"/>
      <c r="KZU167" s="102"/>
      <c r="KZV167" s="102"/>
      <c r="KZW167" s="102"/>
      <c r="KZX167" s="102"/>
      <c r="KZY167" s="102"/>
      <c r="KZZ167" s="102"/>
      <c r="LAA167" s="102"/>
      <c r="LAB167" s="102"/>
      <c r="LAC167" s="102"/>
      <c r="LAD167" s="102"/>
      <c r="LAE167" s="102"/>
      <c r="LAF167" s="102"/>
      <c r="LAG167" s="102"/>
      <c r="LAH167" s="102"/>
      <c r="LAI167" s="102"/>
      <c r="LAJ167" s="102"/>
      <c r="LAK167" s="102"/>
      <c r="LAL167" s="102"/>
      <c r="LAM167" s="102"/>
      <c r="LAN167" s="102"/>
      <c r="LAO167" s="102"/>
      <c r="LAP167" s="102"/>
      <c r="LAQ167" s="102"/>
      <c r="LAR167" s="102"/>
      <c r="LAS167" s="102"/>
      <c r="LAT167" s="102"/>
      <c r="LAU167" s="102"/>
      <c r="LAV167" s="102"/>
      <c r="LAW167" s="102"/>
      <c r="LAX167" s="102"/>
      <c r="LAY167" s="102"/>
      <c r="LAZ167" s="102"/>
      <c r="LBA167" s="102"/>
      <c r="LBB167" s="102"/>
      <c r="LBC167" s="102"/>
      <c r="LBD167" s="102"/>
      <c r="LBE167" s="102"/>
      <c r="LBF167" s="102"/>
      <c r="LBG167" s="102"/>
      <c r="LBH167" s="102"/>
      <c r="LBI167" s="102"/>
      <c r="LBJ167" s="102"/>
      <c r="LBK167" s="102"/>
      <c r="LBL167" s="102"/>
      <c r="LBM167" s="102"/>
      <c r="LBN167" s="102"/>
      <c r="LBO167" s="102"/>
      <c r="LBP167" s="102"/>
      <c r="LBQ167" s="102"/>
      <c r="LBR167" s="102"/>
      <c r="LBS167" s="102"/>
      <c r="LBT167" s="102"/>
      <c r="LBU167" s="102"/>
      <c r="LBV167" s="102"/>
      <c r="LBW167" s="102"/>
      <c r="LBX167" s="102"/>
      <c r="LBY167" s="102"/>
      <c r="LBZ167" s="102"/>
      <c r="LCA167" s="102"/>
      <c r="LCB167" s="102"/>
      <c r="LCC167" s="102"/>
      <c r="LCD167" s="102"/>
      <c r="LCE167" s="102"/>
      <c r="LCF167" s="102"/>
      <c r="LCG167" s="102"/>
      <c r="LCH167" s="102"/>
      <c r="LCI167" s="102"/>
      <c r="LCJ167" s="102"/>
      <c r="LCK167" s="102"/>
      <c r="LCL167" s="102"/>
      <c r="LCM167" s="102"/>
      <c r="LCN167" s="102"/>
      <c r="LCO167" s="102"/>
      <c r="LCP167" s="102"/>
      <c r="LCQ167" s="102"/>
      <c r="LCR167" s="102"/>
      <c r="LCS167" s="102"/>
      <c r="LCT167" s="102"/>
      <c r="LCU167" s="102"/>
      <c r="LCV167" s="102"/>
      <c r="LCW167" s="102"/>
      <c r="LCX167" s="102"/>
      <c r="LCY167" s="102"/>
      <c r="LCZ167" s="102"/>
      <c r="LDA167" s="102"/>
      <c r="LDB167" s="102"/>
      <c r="LDC167" s="102"/>
      <c r="LDD167" s="102"/>
      <c r="LDE167" s="102"/>
      <c r="LDF167" s="102"/>
      <c r="LDG167" s="102"/>
      <c r="LDH167" s="102"/>
      <c r="LDI167" s="102"/>
      <c r="LDJ167" s="102"/>
      <c r="LDK167" s="102"/>
      <c r="LDL167" s="102"/>
      <c r="LDM167" s="102"/>
      <c r="LDN167" s="102"/>
      <c r="LDO167" s="102"/>
      <c r="LDP167" s="102"/>
      <c r="LDQ167" s="102"/>
      <c r="LDR167" s="102"/>
      <c r="LDS167" s="102"/>
      <c r="LDT167" s="102"/>
      <c r="LDU167" s="102"/>
      <c r="LDV167" s="102"/>
      <c r="LDW167" s="102"/>
      <c r="LDX167" s="102"/>
      <c r="LDY167" s="102"/>
      <c r="LDZ167" s="102"/>
      <c r="LEA167" s="102"/>
      <c r="LEB167" s="102"/>
      <c r="LEC167" s="102"/>
      <c r="LED167" s="102"/>
      <c r="LEE167" s="102"/>
      <c r="LEF167" s="102"/>
      <c r="LEG167" s="102"/>
      <c r="LEH167" s="102"/>
      <c r="LEI167" s="102"/>
      <c r="LEJ167" s="102"/>
      <c r="LEK167" s="102"/>
      <c r="LEL167" s="102"/>
      <c r="LEM167" s="102"/>
      <c r="LEN167" s="102"/>
      <c r="LEO167" s="102"/>
      <c r="LEP167" s="102"/>
      <c r="LEQ167" s="102"/>
      <c r="LER167" s="102"/>
      <c r="LES167" s="102"/>
      <c r="LET167" s="102"/>
      <c r="LEU167" s="102"/>
      <c r="LEV167" s="102"/>
      <c r="LEW167" s="102"/>
      <c r="LEX167" s="102"/>
      <c r="LEY167" s="102"/>
      <c r="LEZ167" s="102"/>
      <c r="LFA167" s="102"/>
      <c r="LFB167" s="102"/>
      <c r="LFC167" s="102"/>
      <c r="LFD167" s="102"/>
      <c r="LFE167" s="102"/>
      <c r="LFF167" s="102"/>
      <c r="LFG167" s="102"/>
      <c r="LFH167" s="102"/>
      <c r="LFI167" s="102"/>
      <c r="LFJ167" s="102"/>
      <c r="LFK167" s="102"/>
      <c r="LFL167" s="102"/>
      <c r="LFM167" s="102"/>
      <c r="LFN167" s="102"/>
      <c r="LFO167" s="102"/>
      <c r="LFP167" s="102"/>
      <c r="LFQ167" s="102"/>
      <c r="LFR167" s="102"/>
      <c r="LFS167" s="102"/>
      <c r="LFT167" s="102"/>
      <c r="LFU167" s="102"/>
      <c r="LFV167" s="102"/>
      <c r="LFW167" s="102"/>
      <c r="LFX167" s="102"/>
      <c r="LFY167" s="102"/>
      <c r="LFZ167" s="102"/>
      <c r="LGA167" s="102"/>
      <c r="LGB167" s="102"/>
      <c r="LGC167" s="102"/>
      <c r="LGD167" s="102"/>
      <c r="LGE167" s="102"/>
      <c r="LGF167" s="102"/>
      <c r="LGG167" s="102"/>
      <c r="LGH167" s="102"/>
      <c r="LGI167" s="102"/>
      <c r="LGJ167" s="102"/>
      <c r="LGK167" s="102"/>
      <c r="LGL167" s="102"/>
      <c r="LGM167" s="102"/>
      <c r="LGN167" s="102"/>
      <c r="LGO167" s="102"/>
      <c r="LGP167" s="102"/>
      <c r="LGQ167" s="102"/>
      <c r="LGR167" s="102"/>
      <c r="LGS167" s="102"/>
      <c r="LGT167" s="102"/>
      <c r="LGU167" s="102"/>
      <c r="LGV167" s="102"/>
      <c r="LGW167" s="102"/>
      <c r="LGX167" s="102"/>
      <c r="LGY167" s="102"/>
      <c r="LGZ167" s="102"/>
      <c r="LHA167" s="102"/>
      <c r="LHB167" s="102"/>
      <c r="LHC167" s="102"/>
      <c r="LHD167" s="102"/>
      <c r="LHE167" s="102"/>
      <c r="LHF167" s="102"/>
      <c r="LHG167" s="102"/>
      <c r="LHH167" s="102"/>
      <c r="LHI167" s="102"/>
      <c r="LHJ167" s="102"/>
      <c r="LHK167" s="102"/>
      <c r="LHL167" s="102"/>
      <c r="LHM167" s="102"/>
      <c r="LHN167" s="102"/>
      <c r="LHO167" s="102"/>
      <c r="LHP167" s="102"/>
      <c r="LHQ167" s="102"/>
      <c r="LHR167" s="102"/>
      <c r="LHS167" s="102"/>
      <c r="LHT167" s="102"/>
      <c r="LHU167" s="102"/>
      <c r="LHV167" s="102"/>
      <c r="LHW167" s="102"/>
      <c r="LHX167" s="102"/>
      <c r="LHY167" s="102"/>
      <c r="LHZ167" s="102"/>
      <c r="LIA167" s="102"/>
      <c r="LIB167" s="102"/>
      <c r="LIC167" s="102"/>
      <c r="LID167" s="102"/>
      <c r="LIE167" s="102"/>
      <c r="LIF167" s="102"/>
      <c r="LIG167" s="102"/>
      <c r="LIH167" s="102"/>
      <c r="LII167" s="102"/>
      <c r="LIJ167" s="102"/>
      <c r="LIK167" s="102"/>
      <c r="LIL167" s="102"/>
      <c r="LIM167" s="102"/>
      <c r="LIN167" s="102"/>
      <c r="LIO167" s="102"/>
      <c r="LIP167" s="102"/>
      <c r="LIQ167" s="102"/>
      <c r="LIR167" s="102"/>
      <c r="LIS167" s="102"/>
      <c r="LIT167" s="102"/>
      <c r="LIU167" s="102"/>
      <c r="LIV167" s="102"/>
      <c r="LIW167" s="102"/>
      <c r="LIX167" s="102"/>
      <c r="LIY167" s="102"/>
      <c r="LIZ167" s="102"/>
      <c r="LJA167" s="102"/>
      <c r="LJB167" s="102"/>
      <c r="LJC167" s="102"/>
      <c r="LJD167" s="102"/>
      <c r="LJE167" s="102"/>
      <c r="LJF167" s="102"/>
      <c r="LJG167" s="102"/>
      <c r="LJH167" s="102"/>
      <c r="LJI167" s="102"/>
      <c r="LJJ167" s="102"/>
      <c r="LJK167" s="102"/>
      <c r="LJL167" s="102"/>
      <c r="LJM167" s="102"/>
      <c r="LJN167" s="102"/>
      <c r="LJO167" s="102"/>
      <c r="LJP167" s="102"/>
      <c r="LJQ167" s="102"/>
      <c r="LJR167" s="102"/>
      <c r="LJS167" s="102"/>
      <c r="LJT167" s="102"/>
      <c r="LJU167" s="102"/>
      <c r="LJV167" s="102"/>
      <c r="LJW167" s="102"/>
      <c r="LJX167" s="102"/>
      <c r="LJY167" s="102"/>
      <c r="LJZ167" s="102"/>
      <c r="LKA167" s="102"/>
      <c r="LKB167" s="102"/>
      <c r="LKC167" s="102"/>
      <c r="LKD167" s="102"/>
      <c r="LKE167" s="102"/>
      <c r="LKF167" s="102"/>
      <c r="LKG167" s="102"/>
      <c r="LKH167" s="102"/>
      <c r="LKI167" s="102"/>
      <c r="LKJ167" s="102"/>
      <c r="LKK167" s="102"/>
      <c r="LKL167" s="102"/>
      <c r="LKM167" s="102"/>
      <c r="LKN167" s="102"/>
      <c r="LKO167" s="102"/>
      <c r="LKP167" s="102"/>
      <c r="LKQ167" s="102"/>
      <c r="LKR167" s="102"/>
      <c r="LKS167" s="102"/>
      <c r="LKT167" s="102"/>
      <c r="LKU167" s="102"/>
      <c r="LKV167" s="102"/>
      <c r="LKW167" s="102"/>
      <c r="LKX167" s="102"/>
      <c r="LKY167" s="102"/>
      <c r="LKZ167" s="102"/>
      <c r="LLA167" s="102"/>
      <c r="LLB167" s="102"/>
      <c r="LLC167" s="102"/>
      <c r="LLD167" s="102"/>
      <c r="LLE167" s="102"/>
      <c r="LLF167" s="102"/>
      <c r="LLG167" s="102"/>
      <c r="LLH167" s="102"/>
      <c r="LLI167" s="102"/>
      <c r="LLJ167" s="102"/>
      <c r="LLK167" s="102"/>
      <c r="LLL167" s="102"/>
      <c r="LLM167" s="102"/>
      <c r="LLN167" s="102"/>
      <c r="LLO167" s="102"/>
      <c r="LLP167" s="102"/>
      <c r="LLQ167" s="102"/>
      <c r="LLR167" s="102"/>
      <c r="LLS167" s="102"/>
      <c r="LLT167" s="102"/>
      <c r="LLU167" s="102"/>
      <c r="LLV167" s="102"/>
      <c r="LLW167" s="102"/>
      <c r="LLX167" s="102"/>
      <c r="LLY167" s="102"/>
      <c r="LLZ167" s="102"/>
      <c r="LMA167" s="102"/>
      <c r="LMB167" s="102"/>
      <c r="LMC167" s="102"/>
      <c r="LMD167" s="102"/>
      <c r="LME167" s="102"/>
      <c r="LMF167" s="102"/>
      <c r="LMG167" s="102"/>
      <c r="LMH167" s="102"/>
      <c r="LMI167" s="102"/>
      <c r="LMJ167" s="102"/>
      <c r="LMK167" s="102"/>
      <c r="LML167" s="102"/>
      <c r="LMM167" s="102"/>
      <c r="LMN167" s="102"/>
      <c r="LMO167" s="102"/>
      <c r="LMP167" s="102"/>
      <c r="LMQ167" s="102"/>
      <c r="LMR167" s="102"/>
      <c r="LMS167" s="102"/>
      <c r="LMT167" s="102"/>
      <c r="LMU167" s="102"/>
      <c r="LMV167" s="102"/>
      <c r="LMW167" s="102"/>
      <c r="LMX167" s="102"/>
      <c r="LMY167" s="102"/>
      <c r="LMZ167" s="102"/>
      <c r="LNA167" s="102"/>
      <c r="LNB167" s="102"/>
      <c r="LNC167" s="102"/>
      <c r="LND167" s="102"/>
      <c r="LNE167" s="102"/>
      <c r="LNF167" s="102"/>
      <c r="LNG167" s="102"/>
      <c r="LNH167" s="102"/>
      <c r="LNI167" s="102"/>
      <c r="LNJ167" s="102"/>
      <c r="LNK167" s="102"/>
      <c r="LNL167" s="102"/>
      <c r="LNM167" s="102"/>
      <c r="LNN167" s="102"/>
      <c r="LNO167" s="102"/>
      <c r="LNP167" s="102"/>
      <c r="LNQ167" s="102"/>
      <c r="LNR167" s="102"/>
      <c r="LNS167" s="102"/>
      <c r="LNT167" s="102"/>
      <c r="LNU167" s="102"/>
      <c r="LNV167" s="102"/>
      <c r="LNW167" s="102"/>
      <c r="LNX167" s="102"/>
      <c r="LNY167" s="102"/>
      <c r="LNZ167" s="102"/>
      <c r="LOA167" s="102"/>
      <c r="LOB167" s="102"/>
      <c r="LOC167" s="102"/>
      <c r="LOD167" s="102"/>
      <c r="LOE167" s="102"/>
      <c r="LOF167" s="102"/>
      <c r="LOG167" s="102"/>
      <c r="LOH167" s="102"/>
      <c r="LOI167" s="102"/>
      <c r="LOJ167" s="102"/>
      <c r="LOK167" s="102"/>
      <c r="LOL167" s="102"/>
      <c r="LOM167" s="102"/>
      <c r="LON167" s="102"/>
      <c r="LOO167" s="102"/>
      <c r="LOP167" s="102"/>
      <c r="LOQ167" s="102"/>
      <c r="LOR167" s="102"/>
      <c r="LOS167" s="102"/>
      <c r="LOT167" s="102"/>
      <c r="LOU167" s="102"/>
      <c r="LOV167" s="102"/>
      <c r="LOW167" s="102"/>
      <c r="LOX167" s="102"/>
      <c r="LOY167" s="102"/>
      <c r="LOZ167" s="102"/>
      <c r="LPA167" s="102"/>
      <c r="LPB167" s="102"/>
      <c r="LPC167" s="102"/>
      <c r="LPD167" s="102"/>
      <c r="LPE167" s="102"/>
      <c r="LPF167" s="102"/>
      <c r="LPG167" s="102"/>
      <c r="LPH167" s="102"/>
      <c r="LPI167" s="102"/>
      <c r="LPJ167" s="102"/>
      <c r="LPK167" s="102"/>
      <c r="LPL167" s="102"/>
      <c r="LPM167" s="102"/>
      <c r="LPN167" s="102"/>
      <c r="LPO167" s="102"/>
      <c r="LPP167" s="102"/>
      <c r="LPQ167" s="102"/>
      <c r="LPR167" s="102"/>
      <c r="LPS167" s="102"/>
      <c r="LPT167" s="102"/>
      <c r="LPU167" s="102"/>
      <c r="LPV167" s="102"/>
      <c r="LPW167" s="102"/>
      <c r="LPX167" s="102"/>
      <c r="LPY167" s="102"/>
      <c r="LPZ167" s="102"/>
      <c r="LQA167" s="102"/>
      <c r="LQB167" s="102"/>
      <c r="LQC167" s="102"/>
      <c r="LQD167" s="102"/>
      <c r="LQE167" s="102"/>
      <c r="LQF167" s="102"/>
      <c r="LQG167" s="102"/>
      <c r="LQH167" s="102"/>
      <c r="LQI167" s="102"/>
      <c r="LQJ167" s="102"/>
      <c r="LQK167" s="102"/>
      <c r="LQL167" s="102"/>
      <c r="LQM167" s="102"/>
      <c r="LQN167" s="102"/>
      <c r="LQO167" s="102"/>
      <c r="LQP167" s="102"/>
      <c r="LQQ167" s="102"/>
      <c r="LQR167" s="102"/>
      <c r="LQS167" s="102"/>
      <c r="LQT167" s="102"/>
      <c r="LQU167" s="102"/>
      <c r="LQV167" s="102"/>
      <c r="LQW167" s="102"/>
      <c r="LQX167" s="102"/>
      <c r="LQY167" s="102"/>
      <c r="LQZ167" s="102"/>
      <c r="LRA167" s="102"/>
      <c r="LRB167" s="102"/>
      <c r="LRC167" s="102"/>
      <c r="LRD167" s="102"/>
      <c r="LRE167" s="102"/>
      <c r="LRF167" s="102"/>
      <c r="LRG167" s="102"/>
      <c r="LRH167" s="102"/>
      <c r="LRI167" s="102"/>
      <c r="LRJ167" s="102"/>
      <c r="LRK167" s="102"/>
      <c r="LRL167" s="102"/>
      <c r="LRM167" s="102"/>
      <c r="LRN167" s="102"/>
      <c r="LRO167" s="102"/>
      <c r="LRP167" s="102"/>
      <c r="LRQ167" s="102"/>
      <c r="LRR167" s="102"/>
      <c r="LRS167" s="102"/>
      <c r="LRT167" s="102"/>
      <c r="LRU167" s="102"/>
      <c r="LRV167" s="102"/>
      <c r="LRW167" s="102"/>
      <c r="LRX167" s="102"/>
      <c r="LRY167" s="102"/>
      <c r="LRZ167" s="102"/>
      <c r="LSA167" s="102"/>
      <c r="LSB167" s="102"/>
      <c r="LSC167" s="102"/>
      <c r="LSD167" s="102"/>
      <c r="LSE167" s="102"/>
      <c r="LSF167" s="102"/>
      <c r="LSG167" s="102"/>
      <c r="LSH167" s="102"/>
      <c r="LSI167" s="102"/>
      <c r="LSJ167" s="102"/>
      <c r="LSK167" s="102"/>
      <c r="LSL167" s="102"/>
      <c r="LSM167" s="102"/>
      <c r="LSN167" s="102"/>
      <c r="LSO167" s="102"/>
      <c r="LSP167" s="102"/>
      <c r="LSQ167" s="102"/>
      <c r="LSR167" s="102"/>
      <c r="LSS167" s="102"/>
      <c r="LST167" s="102"/>
      <c r="LSU167" s="102"/>
      <c r="LSV167" s="102"/>
      <c r="LSW167" s="102"/>
      <c r="LSX167" s="102"/>
      <c r="LSY167" s="102"/>
      <c r="LSZ167" s="102"/>
      <c r="LTA167" s="102"/>
      <c r="LTB167" s="102"/>
      <c r="LTC167" s="102"/>
      <c r="LTD167" s="102"/>
      <c r="LTE167" s="102"/>
      <c r="LTF167" s="102"/>
      <c r="LTG167" s="102"/>
      <c r="LTH167" s="102"/>
      <c r="LTI167" s="102"/>
      <c r="LTJ167" s="102"/>
      <c r="LTK167" s="102"/>
      <c r="LTL167" s="102"/>
      <c r="LTM167" s="102"/>
      <c r="LTN167" s="102"/>
      <c r="LTO167" s="102"/>
      <c r="LTP167" s="102"/>
      <c r="LTQ167" s="102"/>
      <c r="LTR167" s="102"/>
      <c r="LTS167" s="102"/>
      <c r="LTT167" s="102"/>
      <c r="LTU167" s="102"/>
      <c r="LTV167" s="102"/>
      <c r="LTW167" s="102"/>
      <c r="LTX167" s="102"/>
      <c r="LTY167" s="102"/>
      <c r="LTZ167" s="102"/>
      <c r="LUA167" s="102"/>
      <c r="LUB167" s="102"/>
      <c r="LUC167" s="102"/>
      <c r="LUD167" s="102"/>
      <c r="LUE167" s="102"/>
      <c r="LUF167" s="102"/>
      <c r="LUG167" s="102"/>
      <c r="LUH167" s="102"/>
      <c r="LUI167" s="102"/>
      <c r="LUJ167" s="102"/>
      <c r="LUK167" s="102"/>
      <c r="LUL167" s="102"/>
      <c r="LUM167" s="102"/>
      <c r="LUN167" s="102"/>
      <c r="LUO167" s="102"/>
      <c r="LUP167" s="102"/>
      <c r="LUQ167" s="102"/>
      <c r="LUR167" s="102"/>
      <c r="LUS167" s="102"/>
      <c r="LUT167" s="102"/>
      <c r="LUU167" s="102"/>
      <c r="LUV167" s="102"/>
      <c r="LUW167" s="102"/>
      <c r="LUX167" s="102"/>
      <c r="LUY167" s="102"/>
      <c r="LUZ167" s="102"/>
      <c r="LVA167" s="102"/>
      <c r="LVB167" s="102"/>
      <c r="LVC167" s="102"/>
      <c r="LVD167" s="102"/>
      <c r="LVE167" s="102"/>
      <c r="LVF167" s="102"/>
      <c r="LVG167" s="102"/>
      <c r="LVH167" s="102"/>
      <c r="LVI167" s="102"/>
      <c r="LVJ167" s="102"/>
      <c r="LVK167" s="102"/>
      <c r="LVL167" s="102"/>
      <c r="LVM167" s="102"/>
      <c r="LVN167" s="102"/>
      <c r="LVO167" s="102"/>
      <c r="LVP167" s="102"/>
      <c r="LVQ167" s="102"/>
      <c r="LVR167" s="102"/>
      <c r="LVS167" s="102"/>
      <c r="LVT167" s="102"/>
      <c r="LVU167" s="102"/>
      <c r="LVV167" s="102"/>
      <c r="LVW167" s="102"/>
      <c r="LVX167" s="102"/>
      <c r="LVY167" s="102"/>
      <c r="LVZ167" s="102"/>
      <c r="LWA167" s="102"/>
      <c r="LWB167" s="102"/>
      <c r="LWC167" s="102"/>
      <c r="LWD167" s="102"/>
      <c r="LWE167" s="102"/>
      <c r="LWF167" s="102"/>
      <c r="LWG167" s="102"/>
      <c r="LWH167" s="102"/>
      <c r="LWI167" s="102"/>
      <c r="LWJ167" s="102"/>
      <c r="LWK167" s="102"/>
      <c r="LWL167" s="102"/>
      <c r="LWM167" s="102"/>
      <c r="LWN167" s="102"/>
      <c r="LWO167" s="102"/>
      <c r="LWP167" s="102"/>
      <c r="LWQ167" s="102"/>
      <c r="LWR167" s="102"/>
      <c r="LWS167" s="102"/>
      <c r="LWT167" s="102"/>
      <c r="LWU167" s="102"/>
      <c r="LWV167" s="102"/>
      <c r="LWW167" s="102"/>
      <c r="LWX167" s="102"/>
      <c r="LWY167" s="102"/>
      <c r="LWZ167" s="102"/>
      <c r="LXA167" s="102"/>
      <c r="LXB167" s="102"/>
      <c r="LXC167" s="102"/>
      <c r="LXD167" s="102"/>
      <c r="LXE167" s="102"/>
      <c r="LXF167" s="102"/>
      <c r="LXG167" s="102"/>
      <c r="LXH167" s="102"/>
      <c r="LXI167" s="102"/>
      <c r="LXJ167" s="102"/>
      <c r="LXK167" s="102"/>
      <c r="LXL167" s="102"/>
      <c r="LXM167" s="102"/>
      <c r="LXN167" s="102"/>
      <c r="LXO167" s="102"/>
      <c r="LXP167" s="102"/>
      <c r="LXQ167" s="102"/>
      <c r="LXR167" s="102"/>
      <c r="LXS167" s="102"/>
      <c r="LXT167" s="102"/>
      <c r="LXU167" s="102"/>
      <c r="LXV167" s="102"/>
      <c r="LXW167" s="102"/>
      <c r="LXX167" s="102"/>
      <c r="LXY167" s="102"/>
      <c r="LXZ167" s="102"/>
      <c r="LYA167" s="102"/>
      <c r="LYB167" s="102"/>
      <c r="LYC167" s="102"/>
      <c r="LYD167" s="102"/>
      <c r="LYE167" s="102"/>
      <c r="LYF167" s="102"/>
      <c r="LYG167" s="102"/>
      <c r="LYH167" s="102"/>
      <c r="LYI167" s="102"/>
      <c r="LYJ167" s="102"/>
      <c r="LYK167" s="102"/>
      <c r="LYL167" s="102"/>
      <c r="LYM167" s="102"/>
      <c r="LYN167" s="102"/>
      <c r="LYO167" s="102"/>
      <c r="LYP167" s="102"/>
      <c r="LYQ167" s="102"/>
      <c r="LYR167" s="102"/>
      <c r="LYS167" s="102"/>
      <c r="LYT167" s="102"/>
      <c r="LYU167" s="102"/>
      <c r="LYV167" s="102"/>
      <c r="LYW167" s="102"/>
      <c r="LYX167" s="102"/>
      <c r="LYY167" s="102"/>
      <c r="LYZ167" s="102"/>
      <c r="LZA167" s="102"/>
      <c r="LZB167" s="102"/>
      <c r="LZC167" s="102"/>
      <c r="LZD167" s="102"/>
      <c r="LZE167" s="102"/>
      <c r="LZF167" s="102"/>
      <c r="LZG167" s="102"/>
      <c r="LZH167" s="102"/>
      <c r="LZI167" s="102"/>
      <c r="LZJ167" s="102"/>
      <c r="LZK167" s="102"/>
      <c r="LZL167" s="102"/>
      <c r="LZM167" s="102"/>
      <c r="LZN167" s="102"/>
      <c r="LZO167" s="102"/>
      <c r="LZP167" s="102"/>
      <c r="LZQ167" s="102"/>
      <c r="LZR167" s="102"/>
      <c r="LZS167" s="102"/>
      <c r="LZT167" s="102"/>
      <c r="LZU167" s="102"/>
      <c r="LZV167" s="102"/>
      <c r="LZW167" s="102"/>
      <c r="LZX167" s="102"/>
      <c r="LZY167" s="102"/>
      <c r="LZZ167" s="102"/>
      <c r="MAA167" s="102"/>
      <c r="MAB167" s="102"/>
      <c r="MAC167" s="102"/>
      <c r="MAD167" s="102"/>
      <c r="MAE167" s="102"/>
      <c r="MAF167" s="102"/>
      <c r="MAG167" s="102"/>
      <c r="MAH167" s="102"/>
      <c r="MAI167" s="102"/>
      <c r="MAJ167" s="102"/>
      <c r="MAK167" s="102"/>
      <c r="MAL167" s="102"/>
      <c r="MAM167" s="102"/>
      <c r="MAN167" s="102"/>
      <c r="MAO167" s="102"/>
      <c r="MAP167" s="102"/>
      <c r="MAQ167" s="102"/>
      <c r="MAR167" s="102"/>
      <c r="MAS167" s="102"/>
      <c r="MAT167" s="102"/>
      <c r="MAU167" s="102"/>
      <c r="MAV167" s="102"/>
      <c r="MAW167" s="102"/>
      <c r="MAX167" s="102"/>
      <c r="MAY167" s="102"/>
      <c r="MAZ167" s="102"/>
      <c r="MBA167" s="102"/>
      <c r="MBB167" s="102"/>
      <c r="MBC167" s="102"/>
      <c r="MBD167" s="102"/>
      <c r="MBE167" s="102"/>
      <c r="MBF167" s="102"/>
      <c r="MBG167" s="102"/>
      <c r="MBH167" s="102"/>
      <c r="MBI167" s="102"/>
      <c r="MBJ167" s="102"/>
      <c r="MBK167" s="102"/>
      <c r="MBL167" s="102"/>
      <c r="MBM167" s="102"/>
      <c r="MBN167" s="102"/>
      <c r="MBO167" s="102"/>
      <c r="MBP167" s="102"/>
      <c r="MBQ167" s="102"/>
      <c r="MBR167" s="102"/>
      <c r="MBS167" s="102"/>
      <c r="MBT167" s="102"/>
      <c r="MBU167" s="102"/>
      <c r="MBV167" s="102"/>
      <c r="MBW167" s="102"/>
      <c r="MBX167" s="102"/>
      <c r="MBY167" s="102"/>
      <c r="MBZ167" s="102"/>
      <c r="MCA167" s="102"/>
      <c r="MCB167" s="102"/>
      <c r="MCC167" s="102"/>
      <c r="MCD167" s="102"/>
      <c r="MCE167" s="102"/>
      <c r="MCF167" s="102"/>
      <c r="MCG167" s="102"/>
      <c r="MCH167" s="102"/>
      <c r="MCI167" s="102"/>
      <c r="MCJ167" s="102"/>
      <c r="MCK167" s="102"/>
      <c r="MCL167" s="102"/>
      <c r="MCM167" s="102"/>
      <c r="MCN167" s="102"/>
      <c r="MCO167" s="102"/>
      <c r="MCP167" s="102"/>
      <c r="MCQ167" s="102"/>
      <c r="MCR167" s="102"/>
      <c r="MCS167" s="102"/>
      <c r="MCT167" s="102"/>
      <c r="MCU167" s="102"/>
      <c r="MCV167" s="102"/>
      <c r="MCW167" s="102"/>
      <c r="MCX167" s="102"/>
      <c r="MCY167" s="102"/>
      <c r="MCZ167" s="102"/>
      <c r="MDA167" s="102"/>
      <c r="MDB167" s="102"/>
      <c r="MDC167" s="102"/>
      <c r="MDD167" s="102"/>
      <c r="MDE167" s="102"/>
      <c r="MDF167" s="102"/>
      <c r="MDG167" s="102"/>
      <c r="MDH167" s="102"/>
      <c r="MDI167" s="102"/>
      <c r="MDJ167" s="102"/>
      <c r="MDK167" s="102"/>
      <c r="MDL167" s="102"/>
      <c r="MDM167" s="102"/>
      <c r="MDN167" s="102"/>
      <c r="MDO167" s="102"/>
      <c r="MDP167" s="102"/>
      <c r="MDQ167" s="102"/>
      <c r="MDR167" s="102"/>
      <c r="MDS167" s="102"/>
      <c r="MDT167" s="102"/>
      <c r="MDU167" s="102"/>
      <c r="MDV167" s="102"/>
      <c r="MDW167" s="102"/>
      <c r="MDX167" s="102"/>
      <c r="MDY167" s="102"/>
      <c r="MDZ167" s="102"/>
      <c r="MEA167" s="102"/>
      <c r="MEB167" s="102"/>
      <c r="MEC167" s="102"/>
      <c r="MED167" s="102"/>
      <c r="MEE167" s="102"/>
      <c r="MEF167" s="102"/>
      <c r="MEG167" s="102"/>
      <c r="MEH167" s="102"/>
      <c r="MEI167" s="102"/>
      <c r="MEJ167" s="102"/>
      <c r="MEK167" s="102"/>
      <c r="MEL167" s="102"/>
      <c r="MEM167" s="102"/>
      <c r="MEN167" s="102"/>
      <c r="MEO167" s="102"/>
      <c r="MEP167" s="102"/>
      <c r="MEQ167" s="102"/>
      <c r="MER167" s="102"/>
      <c r="MES167" s="102"/>
      <c r="MET167" s="102"/>
      <c r="MEU167" s="102"/>
      <c r="MEV167" s="102"/>
      <c r="MEW167" s="102"/>
      <c r="MEX167" s="102"/>
      <c r="MEY167" s="102"/>
      <c r="MEZ167" s="102"/>
      <c r="MFA167" s="102"/>
      <c r="MFB167" s="102"/>
      <c r="MFC167" s="102"/>
      <c r="MFD167" s="102"/>
      <c r="MFE167" s="102"/>
      <c r="MFF167" s="102"/>
      <c r="MFG167" s="102"/>
      <c r="MFH167" s="102"/>
      <c r="MFI167" s="102"/>
      <c r="MFJ167" s="102"/>
      <c r="MFK167" s="102"/>
      <c r="MFL167" s="102"/>
      <c r="MFM167" s="102"/>
      <c r="MFN167" s="102"/>
      <c r="MFO167" s="102"/>
      <c r="MFP167" s="102"/>
      <c r="MFQ167" s="102"/>
      <c r="MFR167" s="102"/>
      <c r="MFS167" s="102"/>
      <c r="MFT167" s="102"/>
      <c r="MFU167" s="102"/>
      <c r="MFV167" s="102"/>
      <c r="MFW167" s="102"/>
      <c r="MFX167" s="102"/>
      <c r="MFY167" s="102"/>
      <c r="MFZ167" s="102"/>
      <c r="MGA167" s="102"/>
      <c r="MGB167" s="102"/>
      <c r="MGC167" s="102"/>
      <c r="MGD167" s="102"/>
      <c r="MGE167" s="102"/>
      <c r="MGF167" s="102"/>
      <c r="MGG167" s="102"/>
      <c r="MGH167" s="102"/>
      <c r="MGI167" s="102"/>
      <c r="MGJ167" s="102"/>
      <c r="MGK167" s="102"/>
      <c r="MGL167" s="102"/>
      <c r="MGM167" s="102"/>
      <c r="MGN167" s="102"/>
      <c r="MGO167" s="102"/>
      <c r="MGP167" s="102"/>
      <c r="MGQ167" s="102"/>
      <c r="MGR167" s="102"/>
      <c r="MGS167" s="102"/>
      <c r="MGT167" s="102"/>
      <c r="MGU167" s="102"/>
      <c r="MGV167" s="102"/>
      <c r="MGW167" s="102"/>
      <c r="MGX167" s="102"/>
      <c r="MGY167" s="102"/>
      <c r="MGZ167" s="102"/>
      <c r="MHA167" s="102"/>
      <c r="MHB167" s="102"/>
      <c r="MHC167" s="102"/>
      <c r="MHD167" s="102"/>
      <c r="MHE167" s="102"/>
      <c r="MHF167" s="102"/>
      <c r="MHG167" s="102"/>
      <c r="MHH167" s="102"/>
      <c r="MHI167" s="102"/>
      <c r="MHJ167" s="102"/>
      <c r="MHK167" s="102"/>
      <c r="MHL167" s="102"/>
      <c r="MHM167" s="102"/>
      <c r="MHN167" s="102"/>
      <c r="MHO167" s="102"/>
      <c r="MHP167" s="102"/>
      <c r="MHQ167" s="102"/>
      <c r="MHR167" s="102"/>
      <c r="MHS167" s="102"/>
      <c r="MHT167" s="102"/>
      <c r="MHU167" s="102"/>
      <c r="MHV167" s="102"/>
      <c r="MHW167" s="102"/>
      <c r="MHX167" s="102"/>
      <c r="MHY167" s="102"/>
      <c r="MHZ167" s="102"/>
      <c r="MIA167" s="102"/>
      <c r="MIB167" s="102"/>
      <c r="MIC167" s="102"/>
      <c r="MID167" s="102"/>
      <c r="MIE167" s="102"/>
      <c r="MIF167" s="102"/>
      <c r="MIG167" s="102"/>
      <c r="MIH167" s="102"/>
      <c r="MII167" s="102"/>
      <c r="MIJ167" s="102"/>
      <c r="MIK167" s="102"/>
      <c r="MIL167" s="102"/>
      <c r="MIM167" s="102"/>
      <c r="MIN167" s="102"/>
      <c r="MIO167" s="102"/>
      <c r="MIP167" s="102"/>
      <c r="MIQ167" s="102"/>
      <c r="MIR167" s="102"/>
      <c r="MIS167" s="102"/>
      <c r="MIT167" s="102"/>
      <c r="MIU167" s="102"/>
      <c r="MIV167" s="102"/>
      <c r="MIW167" s="102"/>
      <c r="MIX167" s="102"/>
      <c r="MIY167" s="102"/>
      <c r="MIZ167" s="102"/>
      <c r="MJA167" s="102"/>
      <c r="MJB167" s="102"/>
      <c r="MJC167" s="102"/>
      <c r="MJD167" s="102"/>
      <c r="MJE167" s="102"/>
      <c r="MJF167" s="102"/>
      <c r="MJG167" s="102"/>
      <c r="MJH167" s="102"/>
      <c r="MJI167" s="102"/>
      <c r="MJJ167" s="102"/>
      <c r="MJK167" s="102"/>
      <c r="MJL167" s="102"/>
      <c r="MJM167" s="102"/>
      <c r="MJN167" s="102"/>
      <c r="MJO167" s="102"/>
      <c r="MJP167" s="102"/>
      <c r="MJQ167" s="102"/>
      <c r="MJR167" s="102"/>
      <c r="MJS167" s="102"/>
      <c r="MJT167" s="102"/>
      <c r="MJU167" s="102"/>
      <c r="MJV167" s="102"/>
      <c r="MJW167" s="102"/>
      <c r="MJX167" s="102"/>
      <c r="MJY167" s="102"/>
      <c r="MJZ167" s="102"/>
      <c r="MKA167" s="102"/>
      <c r="MKB167" s="102"/>
      <c r="MKC167" s="102"/>
      <c r="MKD167" s="102"/>
      <c r="MKE167" s="102"/>
      <c r="MKF167" s="102"/>
      <c r="MKG167" s="102"/>
      <c r="MKH167" s="102"/>
      <c r="MKI167" s="102"/>
      <c r="MKJ167" s="102"/>
      <c r="MKK167" s="102"/>
      <c r="MKL167" s="102"/>
      <c r="MKM167" s="102"/>
      <c r="MKN167" s="102"/>
      <c r="MKO167" s="102"/>
      <c r="MKP167" s="102"/>
      <c r="MKQ167" s="102"/>
      <c r="MKR167" s="102"/>
      <c r="MKS167" s="102"/>
      <c r="MKT167" s="102"/>
      <c r="MKU167" s="102"/>
      <c r="MKV167" s="102"/>
      <c r="MKW167" s="102"/>
      <c r="MKX167" s="102"/>
      <c r="MKY167" s="102"/>
      <c r="MKZ167" s="102"/>
      <c r="MLA167" s="102"/>
      <c r="MLB167" s="102"/>
      <c r="MLC167" s="102"/>
      <c r="MLD167" s="102"/>
      <c r="MLE167" s="102"/>
      <c r="MLF167" s="102"/>
      <c r="MLG167" s="102"/>
      <c r="MLH167" s="102"/>
      <c r="MLI167" s="102"/>
      <c r="MLJ167" s="102"/>
      <c r="MLK167" s="102"/>
      <c r="MLL167" s="102"/>
      <c r="MLM167" s="102"/>
      <c r="MLN167" s="102"/>
      <c r="MLO167" s="102"/>
      <c r="MLP167" s="102"/>
      <c r="MLQ167" s="102"/>
      <c r="MLR167" s="102"/>
      <c r="MLS167" s="102"/>
      <c r="MLT167" s="102"/>
      <c r="MLU167" s="102"/>
      <c r="MLV167" s="102"/>
      <c r="MLW167" s="102"/>
      <c r="MLX167" s="102"/>
      <c r="MLY167" s="102"/>
      <c r="MLZ167" s="102"/>
      <c r="MMA167" s="102"/>
      <c r="MMB167" s="102"/>
      <c r="MMC167" s="102"/>
      <c r="MMD167" s="102"/>
      <c r="MME167" s="102"/>
      <c r="MMF167" s="102"/>
      <c r="MMG167" s="102"/>
      <c r="MMH167" s="102"/>
      <c r="MMI167" s="102"/>
      <c r="MMJ167" s="102"/>
      <c r="MMK167" s="102"/>
      <c r="MML167" s="102"/>
      <c r="MMM167" s="102"/>
      <c r="MMN167" s="102"/>
      <c r="MMO167" s="102"/>
      <c r="MMP167" s="102"/>
      <c r="MMQ167" s="102"/>
      <c r="MMR167" s="102"/>
      <c r="MMS167" s="102"/>
      <c r="MMT167" s="102"/>
      <c r="MMU167" s="102"/>
      <c r="MMV167" s="102"/>
      <c r="MMW167" s="102"/>
      <c r="MMX167" s="102"/>
      <c r="MMY167" s="102"/>
      <c r="MMZ167" s="102"/>
      <c r="MNA167" s="102"/>
      <c r="MNB167" s="102"/>
      <c r="MNC167" s="102"/>
      <c r="MND167" s="102"/>
      <c r="MNE167" s="102"/>
      <c r="MNF167" s="102"/>
      <c r="MNG167" s="102"/>
      <c r="MNH167" s="102"/>
      <c r="MNI167" s="102"/>
      <c r="MNJ167" s="102"/>
      <c r="MNK167" s="102"/>
      <c r="MNL167" s="102"/>
      <c r="MNM167" s="102"/>
      <c r="MNN167" s="102"/>
      <c r="MNO167" s="102"/>
      <c r="MNP167" s="102"/>
      <c r="MNQ167" s="102"/>
      <c r="MNR167" s="102"/>
      <c r="MNS167" s="102"/>
      <c r="MNT167" s="102"/>
      <c r="MNU167" s="102"/>
      <c r="MNV167" s="102"/>
      <c r="MNW167" s="102"/>
      <c r="MNX167" s="102"/>
      <c r="MNY167" s="102"/>
      <c r="MNZ167" s="102"/>
      <c r="MOA167" s="102"/>
      <c r="MOB167" s="102"/>
      <c r="MOC167" s="102"/>
      <c r="MOD167" s="102"/>
      <c r="MOE167" s="102"/>
      <c r="MOF167" s="102"/>
      <c r="MOG167" s="102"/>
      <c r="MOH167" s="102"/>
      <c r="MOI167" s="102"/>
      <c r="MOJ167" s="102"/>
      <c r="MOK167" s="102"/>
      <c r="MOL167" s="102"/>
      <c r="MOM167" s="102"/>
      <c r="MON167" s="102"/>
      <c r="MOO167" s="102"/>
      <c r="MOP167" s="102"/>
      <c r="MOQ167" s="102"/>
      <c r="MOR167" s="102"/>
      <c r="MOS167" s="102"/>
      <c r="MOT167" s="102"/>
      <c r="MOU167" s="102"/>
      <c r="MOV167" s="102"/>
      <c r="MOW167" s="102"/>
      <c r="MOX167" s="102"/>
      <c r="MOY167" s="102"/>
      <c r="MOZ167" s="102"/>
      <c r="MPA167" s="102"/>
      <c r="MPB167" s="102"/>
      <c r="MPC167" s="102"/>
      <c r="MPD167" s="102"/>
      <c r="MPE167" s="102"/>
      <c r="MPF167" s="102"/>
      <c r="MPG167" s="102"/>
      <c r="MPH167" s="102"/>
      <c r="MPI167" s="102"/>
      <c r="MPJ167" s="102"/>
      <c r="MPK167" s="102"/>
      <c r="MPL167" s="102"/>
      <c r="MPM167" s="102"/>
      <c r="MPN167" s="102"/>
      <c r="MPO167" s="102"/>
      <c r="MPP167" s="102"/>
      <c r="MPQ167" s="102"/>
      <c r="MPR167" s="102"/>
      <c r="MPS167" s="102"/>
      <c r="MPT167" s="102"/>
      <c r="MPU167" s="102"/>
      <c r="MPV167" s="102"/>
      <c r="MPW167" s="102"/>
      <c r="MPX167" s="102"/>
      <c r="MPY167" s="102"/>
      <c r="MPZ167" s="102"/>
      <c r="MQA167" s="102"/>
      <c r="MQB167" s="102"/>
      <c r="MQC167" s="102"/>
      <c r="MQD167" s="102"/>
      <c r="MQE167" s="102"/>
      <c r="MQF167" s="102"/>
      <c r="MQG167" s="102"/>
      <c r="MQH167" s="102"/>
      <c r="MQI167" s="102"/>
      <c r="MQJ167" s="102"/>
      <c r="MQK167" s="102"/>
      <c r="MQL167" s="102"/>
      <c r="MQM167" s="102"/>
      <c r="MQN167" s="102"/>
      <c r="MQO167" s="102"/>
      <c r="MQP167" s="102"/>
      <c r="MQQ167" s="102"/>
      <c r="MQR167" s="102"/>
      <c r="MQS167" s="102"/>
      <c r="MQT167" s="102"/>
      <c r="MQU167" s="102"/>
      <c r="MQV167" s="102"/>
      <c r="MQW167" s="102"/>
      <c r="MQX167" s="102"/>
      <c r="MQY167" s="102"/>
      <c r="MQZ167" s="102"/>
      <c r="MRA167" s="102"/>
      <c r="MRB167" s="102"/>
      <c r="MRC167" s="102"/>
      <c r="MRD167" s="102"/>
      <c r="MRE167" s="102"/>
      <c r="MRF167" s="102"/>
      <c r="MRG167" s="102"/>
      <c r="MRH167" s="102"/>
      <c r="MRI167" s="102"/>
      <c r="MRJ167" s="102"/>
      <c r="MRK167" s="102"/>
      <c r="MRL167" s="102"/>
      <c r="MRM167" s="102"/>
      <c r="MRN167" s="102"/>
      <c r="MRO167" s="102"/>
      <c r="MRP167" s="102"/>
      <c r="MRQ167" s="102"/>
      <c r="MRR167" s="102"/>
      <c r="MRS167" s="102"/>
      <c r="MRT167" s="102"/>
      <c r="MRU167" s="102"/>
      <c r="MRV167" s="102"/>
      <c r="MRW167" s="102"/>
      <c r="MRX167" s="102"/>
      <c r="MRY167" s="102"/>
      <c r="MRZ167" s="102"/>
      <c r="MSA167" s="102"/>
      <c r="MSB167" s="102"/>
      <c r="MSC167" s="102"/>
      <c r="MSD167" s="102"/>
      <c r="MSE167" s="102"/>
      <c r="MSF167" s="102"/>
      <c r="MSG167" s="102"/>
      <c r="MSH167" s="102"/>
      <c r="MSI167" s="102"/>
      <c r="MSJ167" s="102"/>
      <c r="MSK167" s="102"/>
      <c r="MSL167" s="102"/>
      <c r="MSM167" s="102"/>
      <c r="MSN167" s="102"/>
      <c r="MSO167" s="102"/>
      <c r="MSP167" s="102"/>
      <c r="MSQ167" s="102"/>
      <c r="MSR167" s="102"/>
      <c r="MSS167" s="102"/>
      <c r="MST167" s="102"/>
      <c r="MSU167" s="102"/>
      <c r="MSV167" s="102"/>
      <c r="MSW167" s="102"/>
      <c r="MSX167" s="102"/>
      <c r="MSY167" s="102"/>
      <c r="MSZ167" s="102"/>
      <c r="MTA167" s="102"/>
      <c r="MTB167" s="102"/>
      <c r="MTC167" s="102"/>
      <c r="MTD167" s="102"/>
      <c r="MTE167" s="102"/>
      <c r="MTF167" s="102"/>
      <c r="MTG167" s="102"/>
      <c r="MTH167" s="102"/>
      <c r="MTI167" s="102"/>
      <c r="MTJ167" s="102"/>
      <c r="MTK167" s="102"/>
      <c r="MTL167" s="102"/>
      <c r="MTM167" s="102"/>
      <c r="MTN167" s="102"/>
      <c r="MTO167" s="102"/>
      <c r="MTP167" s="102"/>
      <c r="MTQ167" s="102"/>
      <c r="MTR167" s="102"/>
      <c r="MTS167" s="102"/>
      <c r="MTT167" s="102"/>
      <c r="MTU167" s="102"/>
      <c r="MTV167" s="102"/>
      <c r="MTW167" s="102"/>
      <c r="MTX167" s="102"/>
      <c r="MTY167" s="102"/>
      <c r="MTZ167" s="102"/>
      <c r="MUA167" s="102"/>
      <c r="MUB167" s="102"/>
      <c r="MUC167" s="102"/>
      <c r="MUD167" s="102"/>
      <c r="MUE167" s="102"/>
      <c r="MUF167" s="102"/>
      <c r="MUG167" s="102"/>
      <c r="MUH167" s="102"/>
      <c r="MUI167" s="102"/>
      <c r="MUJ167" s="102"/>
      <c r="MUK167" s="102"/>
      <c r="MUL167" s="102"/>
      <c r="MUM167" s="102"/>
      <c r="MUN167" s="102"/>
      <c r="MUO167" s="102"/>
      <c r="MUP167" s="102"/>
      <c r="MUQ167" s="102"/>
      <c r="MUR167" s="102"/>
      <c r="MUS167" s="102"/>
      <c r="MUT167" s="102"/>
      <c r="MUU167" s="102"/>
      <c r="MUV167" s="102"/>
      <c r="MUW167" s="102"/>
      <c r="MUX167" s="102"/>
      <c r="MUY167" s="102"/>
      <c r="MUZ167" s="102"/>
      <c r="MVA167" s="102"/>
      <c r="MVB167" s="102"/>
      <c r="MVC167" s="102"/>
      <c r="MVD167" s="102"/>
      <c r="MVE167" s="102"/>
      <c r="MVF167" s="102"/>
      <c r="MVG167" s="102"/>
      <c r="MVH167" s="102"/>
      <c r="MVI167" s="102"/>
      <c r="MVJ167" s="102"/>
      <c r="MVK167" s="102"/>
      <c r="MVL167" s="102"/>
      <c r="MVM167" s="102"/>
      <c r="MVN167" s="102"/>
      <c r="MVO167" s="102"/>
      <c r="MVP167" s="102"/>
      <c r="MVQ167" s="102"/>
      <c r="MVR167" s="102"/>
      <c r="MVS167" s="102"/>
      <c r="MVT167" s="102"/>
      <c r="MVU167" s="102"/>
      <c r="MVV167" s="102"/>
      <c r="MVW167" s="102"/>
      <c r="MVX167" s="102"/>
      <c r="MVY167" s="102"/>
      <c r="MVZ167" s="102"/>
      <c r="MWA167" s="102"/>
      <c r="MWB167" s="102"/>
      <c r="MWC167" s="102"/>
      <c r="MWD167" s="102"/>
      <c r="MWE167" s="102"/>
      <c r="MWF167" s="102"/>
      <c r="MWG167" s="102"/>
      <c r="MWH167" s="102"/>
      <c r="MWI167" s="102"/>
      <c r="MWJ167" s="102"/>
      <c r="MWK167" s="102"/>
      <c r="MWL167" s="102"/>
      <c r="MWM167" s="102"/>
      <c r="MWN167" s="102"/>
      <c r="MWO167" s="102"/>
      <c r="MWP167" s="102"/>
      <c r="MWQ167" s="102"/>
      <c r="MWR167" s="102"/>
      <c r="MWS167" s="102"/>
      <c r="MWT167" s="102"/>
      <c r="MWU167" s="102"/>
      <c r="MWV167" s="102"/>
      <c r="MWW167" s="102"/>
      <c r="MWX167" s="102"/>
      <c r="MWY167" s="102"/>
      <c r="MWZ167" s="102"/>
      <c r="MXA167" s="102"/>
      <c r="MXB167" s="102"/>
      <c r="MXC167" s="102"/>
      <c r="MXD167" s="102"/>
      <c r="MXE167" s="102"/>
      <c r="MXF167" s="102"/>
      <c r="MXG167" s="102"/>
      <c r="MXH167" s="102"/>
      <c r="MXI167" s="102"/>
      <c r="MXJ167" s="102"/>
      <c r="MXK167" s="102"/>
      <c r="MXL167" s="102"/>
      <c r="MXM167" s="102"/>
      <c r="MXN167" s="102"/>
      <c r="MXO167" s="102"/>
      <c r="MXP167" s="102"/>
      <c r="MXQ167" s="102"/>
      <c r="MXR167" s="102"/>
      <c r="MXS167" s="102"/>
      <c r="MXT167" s="102"/>
      <c r="MXU167" s="102"/>
      <c r="MXV167" s="102"/>
      <c r="MXW167" s="102"/>
      <c r="MXX167" s="102"/>
      <c r="MXY167" s="102"/>
      <c r="MXZ167" s="102"/>
      <c r="MYA167" s="102"/>
      <c r="MYB167" s="102"/>
      <c r="MYC167" s="102"/>
      <c r="MYD167" s="102"/>
      <c r="MYE167" s="102"/>
      <c r="MYF167" s="102"/>
      <c r="MYG167" s="102"/>
      <c r="MYH167" s="102"/>
      <c r="MYI167" s="102"/>
      <c r="MYJ167" s="102"/>
      <c r="MYK167" s="102"/>
      <c r="MYL167" s="102"/>
      <c r="MYM167" s="102"/>
      <c r="MYN167" s="102"/>
      <c r="MYO167" s="102"/>
      <c r="MYP167" s="102"/>
      <c r="MYQ167" s="102"/>
      <c r="MYR167" s="102"/>
      <c r="MYS167" s="102"/>
      <c r="MYT167" s="102"/>
      <c r="MYU167" s="102"/>
      <c r="MYV167" s="102"/>
      <c r="MYW167" s="102"/>
      <c r="MYX167" s="102"/>
      <c r="MYY167" s="102"/>
      <c r="MYZ167" s="102"/>
      <c r="MZA167" s="102"/>
      <c r="MZB167" s="102"/>
      <c r="MZC167" s="102"/>
      <c r="MZD167" s="102"/>
      <c r="MZE167" s="102"/>
      <c r="MZF167" s="102"/>
      <c r="MZG167" s="102"/>
      <c r="MZH167" s="102"/>
      <c r="MZI167" s="102"/>
      <c r="MZJ167" s="102"/>
      <c r="MZK167" s="102"/>
      <c r="MZL167" s="102"/>
      <c r="MZM167" s="102"/>
      <c r="MZN167" s="102"/>
      <c r="MZO167" s="102"/>
      <c r="MZP167" s="102"/>
      <c r="MZQ167" s="102"/>
      <c r="MZR167" s="102"/>
      <c r="MZS167" s="102"/>
      <c r="MZT167" s="102"/>
      <c r="MZU167" s="102"/>
      <c r="MZV167" s="102"/>
      <c r="MZW167" s="102"/>
      <c r="MZX167" s="102"/>
      <c r="MZY167" s="102"/>
      <c r="MZZ167" s="102"/>
      <c r="NAA167" s="102"/>
      <c r="NAB167" s="102"/>
      <c r="NAC167" s="102"/>
      <c r="NAD167" s="102"/>
      <c r="NAE167" s="102"/>
      <c r="NAF167" s="102"/>
      <c r="NAG167" s="102"/>
      <c r="NAH167" s="102"/>
      <c r="NAI167" s="102"/>
      <c r="NAJ167" s="102"/>
      <c r="NAK167" s="102"/>
      <c r="NAL167" s="102"/>
      <c r="NAM167" s="102"/>
      <c r="NAN167" s="102"/>
      <c r="NAO167" s="102"/>
      <c r="NAP167" s="102"/>
      <c r="NAQ167" s="102"/>
      <c r="NAR167" s="102"/>
      <c r="NAS167" s="102"/>
      <c r="NAT167" s="102"/>
      <c r="NAU167" s="102"/>
      <c r="NAV167" s="102"/>
      <c r="NAW167" s="102"/>
      <c r="NAX167" s="102"/>
      <c r="NAY167" s="102"/>
      <c r="NAZ167" s="102"/>
      <c r="NBA167" s="102"/>
      <c r="NBB167" s="102"/>
      <c r="NBC167" s="102"/>
      <c r="NBD167" s="102"/>
      <c r="NBE167" s="102"/>
      <c r="NBF167" s="102"/>
      <c r="NBG167" s="102"/>
      <c r="NBH167" s="102"/>
      <c r="NBI167" s="102"/>
      <c r="NBJ167" s="102"/>
      <c r="NBK167" s="102"/>
      <c r="NBL167" s="102"/>
      <c r="NBM167" s="102"/>
      <c r="NBN167" s="102"/>
      <c r="NBO167" s="102"/>
      <c r="NBP167" s="102"/>
      <c r="NBQ167" s="102"/>
      <c r="NBR167" s="102"/>
      <c r="NBS167" s="102"/>
      <c r="NBT167" s="102"/>
      <c r="NBU167" s="102"/>
      <c r="NBV167" s="102"/>
      <c r="NBW167" s="102"/>
      <c r="NBX167" s="102"/>
      <c r="NBY167" s="102"/>
      <c r="NBZ167" s="102"/>
      <c r="NCA167" s="102"/>
      <c r="NCB167" s="102"/>
      <c r="NCC167" s="102"/>
      <c r="NCD167" s="102"/>
      <c r="NCE167" s="102"/>
      <c r="NCF167" s="102"/>
      <c r="NCG167" s="102"/>
      <c r="NCH167" s="102"/>
      <c r="NCI167" s="102"/>
      <c r="NCJ167" s="102"/>
      <c r="NCK167" s="102"/>
      <c r="NCL167" s="102"/>
      <c r="NCM167" s="102"/>
      <c r="NCN167" s="102"/>
      <c r="NCO167" s="102"/>
      <c r="NCP167" s="102"/>
      <c r="NCQ167" s="102"/>
      <c r="NCR167" s="102"/>
      <c r="NCS167" s="102"/>
      <c r="NCT167" s="102"/>
      <c r="NCU167" s="102"/>
      <c r="NCV167" s="102"/>
      <c r="NCW167" s="102"/>
      <c r="NCX167" s="102"/>
      <c r="NCY167" s="102"/>
      <c r="NCZ167" s="102"/>
      <c r="NDA167" s="102"/>
      <c r="NDB167" s="102"/>
      <c r="NDC167" s="102"/>
      <c r="NDD167" s="102"/>
      <c r="NDE167" s="102"/>
      <c r="NDF167" s="102"/>
      <c r="NDG167" s="102"/>
      <c r="NDH167" s="102"/>
      <c r="NDI167" s="102"/>
      <c r="NDJ167" s="102"/>
      <c r="NDK167" s="102"/>
      <c r="NDL167" s="102"/>
      <c r="NDM167" s="102"/>
      <c r="NDN167" s="102"/>
      <c r="NDO167" s="102"/>
      <c r="NDP167" s="102"/>
      <c r="NDQ167" s="102"/>
      <c r="NDR167" s="102"/>
      <c r="NDS167" s="102"/>
      <c r="NDT167" s="102"/>
      <c r="NDU167" s="102"/>
      <c r="NDV167" s="102"/>
      <c r="NDW167" s="102"/>
      <c r="NDX167" s="102"/>
      <c r="NDY167" s="102"/>
      <c r="NDZ167" s="102"/>
      <c r="NEA167" s="102"/>
      <c r="NEB167" s="102"/>
      <c r="NEC167" s="102"/>
      <c r="NED167" s="102"/>
      <c r="NEE167" s="102"/>
      <c r="NEF167" s="102"/>
      <c r="NEG167" s="102"/>
      <c r="NEH167" s="102"/>
      <c r="NEI167" s="102"/>
      <c r="NEJ167" s="102"/>
      <c r="NEK167" s="102"/>
      <c r="NEL167" s="102"/>
      <c r="NEM167" s="102"/>
      <c r="NEN167" s="102"/>
      <c r="NEO167" s="102"/>
      <c r="NEP167" s="102"/>
      <c r="NEQ167" s="102"/>
      <c r="NER167" s="102"/>
      <c r="NES167" s="102"/>
      <c r="NET167" s="102"/>
      <c r="NEU167" s="102"/>
      <c r="NEV167" s="102"/>
      <c r="NEW167" s="102"/>
      <c r="NEX167" s="102"/>
      <c r="NEY167" s="102"/>
      <c r="NEZ167" s="102"/>
      <c r="NFA167" s="102"/>
      <c r="NFB167" s="102"/>
      <c r="NFC167" s="102"/>
      <c r="NFD167" s="102"/>
      <c r="NFE167" s="102"/>
      <c r="NFF167" s="102"/>
      <c r="NFG167" s="102"/>
      <c r="NFH167" s="102"/>
      <c r="NFI167" s="102"/>
      <c r="NFJ167" s="102"/>
      <c r="NFK167" s="102"/>
      <c r="NFL167" s="102"/>
      <c r="NFM167" s="102"/>
      <c r="NFN167" s="102"/>
      <c r="NFO167" s="102"/>
      <c r="NFP167" s="102"/>
      <c r="NFQ167" s="102"/>
      <c r="NFR167" s="102"/>
      <c r="NFS167" s="102"/>
      <c r="NFT167" s="102"/>
      <c r="NFU167" s="102"/>
      <c r="NFV167" s="102"/>
      <c r="NFW167" s="102"/>
      <c r="NFX167" s="102"/>
      <c r="NFY167" s="102"/>
      <c r="NFZ167" s="102"/>
      <c r="NGA167" s="102"/>
      <c r="NGB167" s="102"/>
      <c r="NGC167" s="102"/>
      <c r="NGD167" s="102"/>
      <c r="NGE167" s="102"/>
      <c r="NGF167" s="102"/>
      <c r="NGG167" s="102"/>
      <c r="NGH167" s="102"/>
      <c r="NGI167" s="102"/>
      <c r="NGJ167" s="102"/>
      <c r="NGK167" s="102"/>
      <c r="NGL167" s="102"/>
      <c r="NGM167" s="102"/>
      <c r="NGN167" s="102"/>
      <c r="NGO167" s="102"/>
      <c r="NGP167" s="102"/>
      <c r="NGQ167" s="102"/>
      <c r="NGR167" s="102"/>
      <c r="NGS167" s="102"/>
      <c r="NGT167" s="102"/>
      <c r="NGU167" s="102"/>
      <c r="NGV167" s="102"/>
      <c r="NGW167" s="102"/>
      <c r="NGX167" s="102"/>
      <c r="NGY167" s="102"/>
      <c r="NGZ167" s="102"/>
      <c r="NHA167" s="102"/>
      <c r="NHB167" s="102"/>
      <c r="NHC167" s="102"/>
      <c r="NHD167" s="102"/>
      <c r="NHE167" s="102"/>
      <c r="NHF167" s="102"/>
      <c r="NHG167" s="102"/>
      <c r="NHH167" s="102"/>
      <c r="NHI167" s="102"/>
      <c r="NHJ167" s="102"/>
      <c r="NHK167" s="102"/>
      <c r="NHL167" s="102"/>
      <c r="NHM167" s="102"/>
      <c r="NHN167" s="102"/>
      <c r="NHO167" s="102"/>
      <c r="NHP167" s="102"/>
      <c r="NHQ167" s="102"/>
      <c r="NHR167" s="102"/>
      <c r="NHS167" s="102"/>
      <c r="NHT167" s="102"/>
      <c r="NHU167" s="102"/>
      <c r="NHV167" s="102"/>
      <c r="NHW167" s="102"/>
      <c r="NHX167" s="102"/>
      <c r="NHY167" s="102"/>
      <c r="NHZ167" s="102"/>
      <c r="NIA167" s="102"/>
      <c r="NIB167" s="102"/>
      <c r="NIC167" s="102"/>
      <c r="NID167" s="102"/>
      <c r="NIE167" s="102"/>
      <c r="NIF167" s="102"/>
      <c r="NIG167" s="102"/>
      <c r="NIH167" s="102"/>
      <c r="NII167" s="102"/>
      <c r="NIJ167" s="102"/>
      <c r="NIK167" s="102"/>
      <c r="NIL167" s="102"/>
      <c r="NIM167" s="102"/>
      <c r="NIN167" s="102"/>
      <c r="NIO167" s="102"/>
      <c r="NIP167" s="102"/>
      <c r="NIQ167" s="102"/>
      <c r="NIR167" s="102"/>
      <c r="NIS167" s="102"/>
      <c r="NIT167" s="102"/>
      <c r="NIU167" s="102"/>
      <c r="NIV167" s="102"/>
      <c r="NIW167" s="102"/>
      <c r="NIX167" s="102"/>
      <c r="NIY167" s="102"/>
      <c r="NIZ167" s="102"/>
      <c r="NJA167" s="102"/>
      <c r="NJB167" s="102"/>
      <c r="NJC167" s="102"/>
      <c r="NJD167" s="102"/>
      <c r="NJE167" s="102"/>
      <c r="NJF167" s="102"/>
      <c r="NJG167" s="102"/>
      <c r="NJH167" s="102"/>
      <c r="NJI167" s="102"/>
      <c r="NJJ167" s="102"/>
      <c r="NJK167" s="102"/>
      <c r="NJL167" s="102"/>
      <c r="NJM167" s="102"/>
      <c r="NJN167" s="102"/>
      <c r="NJO167" s="102"/>
      <c r="NJP167" s="102"/>
      <c r="NJQ167" s="102"/>
      <c r="NJR167" s="102"/>
      <c r="NJS167" s="102"/>
      <c r="NJT167" s="102"/>
      <c r="NJU167" s="102"/>
      <c r="NJV167" s="102"/>
      <c r="NJW167" s="102"/>
      <c r="NJX167" s="102"/>
      <c r="NJY167" s="102"/>
      <c r="NJZ167" s="102"/>
      <c r="NKA167" s="102"/>
      <c r="NKB167" s="102"/>
      <c r="NKC167" s="102"/>
      <c r="NKD167" s="102"/>
      <c r="NKE167" s="102"/>
      <c r="NKF167" s="102"/>
      <c r="NKG167" s="102"/>
      <c r="NKH167" s="102"/>
      <c r="NKI167" s="102"/>
      <c r="NKJ167" s="102"/>
      <c r="NKK167" s="102"/>
      <c r="NKL167" s="102"/>
      <c r="NKM167" s="102"/>
      <c r="NKN167" s="102"/>
      <c r="NKO167" s="102"/>
      <c r="NKP167" s="102"/>
      <c r="NKQ167" s="102"/>
      <c r="NKR167" s="102"/>
      <c r="NKS167" s="102"/>
      <c r="NKT167" s="102"/>
      <c r="NKU167" s="102"/>
      <c r="NKV167" s="102"/>
      <c r="NKW167" s="102"/>
      <c r="NKX167" s="102"/>
      <c r="NKY167" s="102"/>
      <c r="NKZ167" s="102"/>
      <c r="NLA167" s="102"/>
      <c r="NLB167" s="102"/>
      <c r="NLC167" s="102"/>
      <c r="NLD167" s="102"/>
      <c r="NLE167" s="102"/>
      <c r="NLF167" s="102"/>
      <c r="NLG167" s="102"/>
      <c r="NLH167" s="102"/>
      <c r="NLI167" s="102"/>
      <c r="NLJ167" s="102"/>
      <c r="NLK167" s="102"/>
      <c r="NLL167" s="102"/>
      <c r="NLM167" s="102"/>
      <c r="NLN167" s="102"/>
      <c r="NLO167" s="102"/>
      <c r="NLP167" s="102"/>
      <c r="NLQ167" s="102"/>
      <c r="NLR167" s="102"/>
      <c r="NLS167" s="102"/>
      <c r="NLT167" s="102"/>
      <c r="NLU167" s="102"/>
      <c r="NLV167" s="102"/>
      <c r="NLW167" s="102"/>
      <c r="NLX167" s="102"/>
      <c r="NLY167" s="102"/>
      <c r="NLZ167" s="102"/>
      <c r="NMA167" s="102"/>
      <c r="NMB167" s="102"/>
      <c r="NMC167" s="102"/>
      <c r="NMD167" s="102"/>
      <c r="NME167" s="102"/>
      <c r="NMF167" s="102"/>
      <c r="NMG167" s="102"/>
      <c r="NMH167" s="102"/>
      <c r="NMI167" s="102"/>
      <c r="NMJ167" s="102"/>
      <c r="NMK167" s="102"/>
      <c r="NML167" s="102"/>
      <c r="NMM167" s="102"/>
      <c r="NMN167" s="102"/>
      <c r="NMO167" s="102"/>
      <c r="NMP167" s="102"/>
      <c r="NMQ167" s="102"/>
      <c r="NMR167" s="102"/>
      <c r="NMS167" s="102"/>
      <c r="NMT167" s="102"/>
      <c r="NMU167" s="102"/>
      <c r="NMV167" s="102"/>
      <c r="NMW167" s="102"/>
      <c r="NMX167" s="102"/>
      <c r="NMY167" s="102"/>
      <c r="NMZ167" s="102"/>
      <c r="NNA167" s="102"/>
      <c r="NNB167" s="102"/>
      <c r="NNC167" s="102"/>
      <c r="NND167" s="102"/>
      <c r="NNE167" s="102"/>
      <c r="NNF167" s="102"/>
      <c r="NNG167" s="102"/>
      <c r="NNH167" s="102"/>
      <c r="NNI167" s="102"/>
      <c r="NNJ167" s="102"/>
      <c r="NNK167" s="102"/>
      <c r="NNL167" s="102"/>
      <c r="NNM167" s="102"/>
      <c r="NNN167" s="102"/>
      <c r="NNO167" s="102"/>
      <c r="NNP167" s="102"/>
      <c r="NNQ167" s="102"/>
      <c r="NNR167" s="102"/>
      <c r="NNS167" s="102"/>
      <c r="NNT167" s="102"/>
      <c r="NNU167" s="102"/>
      <c r="NNV167" s="102"/>
      <c r="NNW167" s="102"/>
      <c r="NNX167" s="102"/>
      <c r="NNY167" s="102"/>
      <c r="NNZ167" s="102"/>
      <c r="NOA167" s="102"/>
      <c r="NOB167" s="102"/>
      <c r="NOC167" s="102"/>
      <c r="NOD167" s="102"/>
      <c r="NOE167" s="102"/>
      <c r="NOF167" s="102"/>
      <c r="NOG167" s="102"/>
      <c r="NOH167" s="102"/>
      <c r="NOI167" s="102"/>
      <c r="NOJ167" s="102"/>
      <c r="NOK167" s="102"/>
      <c r="NOL167" s="102"/>
      <c r="NOM167" s="102"/>
      <c r="NON167" s="102"/>
      <c r="NOO167" s="102"/>
      <c r="NOP167" s="102"/>
      <c r="NOQ167" s="102"/>
      <c r="NOR167" s="102"/>
      <c r="NOS167" s="102"/>
      <c r="NOT167" s="102"/>
      <c r="NOU167" s="102"/>
      <c r="NOV167" s="102"/>
      <c r="NOW167" s="102"/>
      <c r="NOX167" s="102"/>
      <c r="NOY167" s="102"/>
      <c r="NOZ167" s="102"/>
      <c r="NPA167" s="102"/>
      <c r="NPB167" s="102"/>
      <c r="NPC167" s="102"/>
      <c r="NPD167" s="102"/>
      <c r="NPE167" s="102"/>
      <c r="NPF167" s="102"/>
      <c r="NPG167" s="102"/>
      <c r="NPH167" s="102"/>
      <c r="NPI167" s="102"/>
      <c r="NPJ167" s="102"/>
      <c r="NPK167" s="102"/>
      <c r="NPL167" s="102"/>
      <c r="NPM167" s="102"/>
      <c r="NPN167" s="102"/>
      <c r="NPO167" s="102"/>
      <c r="NPP167" s="102"/>
      <c r="NPQ167" s="102"/>
      <c r="NPR167" s="102"/>
      <c r="NPS167" s="102"/>
      <c r="NPT167" s="102"/>
      <c r="NPU167" s="102"/>
      <c r="NPV167" s="102"/>
      <c r="NPW167" s="102"/>
      <c r="NPX167" s="102"/>
      <c r="NPY167" s="102"/>
      <c r="NPZ167" s="102"/>
      <c r="NQA167" s="102"/>
      <c r="NQB167" s="102"/>
      <c r="NQC167" s="102"/>
      <c r="NQD167" s="102"/>
      <c r="NQE167" s="102"/>
      <c r="NQF167" s="102"/>
      <c r="NQG167" s="102"/>
      <c r="NQH167" s="102"/>
      <c r="NQI167" s="102"/>
      <c r="NQJ167" s="102"/>
      <c r="NQK167" s="102"/>
      <c r="NQL167" s="102"/>
      <c r="NQM167" s="102"/>
      <c r="NQN167" s="102"/>
      <c r="NQO167" s="102"/>
      <c r="NQP167" s="102"/>
      <c r="NQQ167" s="102"/>
      <c r="NQR167" s="102"/>
      <c r="NQS167" s="102"/>
      <c r="NQT167" s="102"/>
      <c r="NQU167" s="102"/>
      <c r="NQV167" s="102"/>
      <c r="NQW167" s="102"/>
      <c r="NQX167" s="102"/>
      <c r="NQY167" s="102"/>
      <c r="NQZ167" s="102"/>
      <c r="NRA167" s="102"/>
      <c r="NRB167" s="102"/>
      <c r="NRC167" s="102"/>
      <c r="NRD167" s="102"/>
      <c r="NRE167" s="102"/>
      <c r="NRF167" s="102"/>
      <c r="NRG167" s="102"/>
      <c r="NRH167" s="102"/>
      <c r="NRI167" s="102"/>
      <c r="NRJ167" s="102"/>
      <c r="NRK167" s="102"/>
      <c r="NRL167" s="102"/>
      <c r="NRM167" s="102"/>
      <c r="NRN167" s="102"/>
      <c r="NRO167" s="102"/>
      <c r="NRP167" s="102"/>
      <c r="NRQ167" s="102"/>
      <c r="NRR167" s="102"/>
      <c r="NRS167" s="102"/>
      <c r="NRT167" s="102"/>
      <c r="NRU167" s="102"/>
      <c r="NRV167" s="102"/>
      <c r="NRW167" s="102"/>
      <c r="NRX167" s="102"/>
      <c r="NRY167" s="102"/>
      <c r="NRZ167" s="102"/>
      <c r="NSA167" s="102"/>
      <c r="NSB167" s="102"/>
      <c r="NSC167" s="102"/>
      <c r="NSD167" s="102"/>
      <c r="NSE167" s="102"/>
      <c r="NSF167" s="102"/>
      <c r="NSG167" s="102"/>
      <c r="NSH167" s="102"/>
      <c r="NSI167" s="102"/>
      <c r="NSJ167" s="102"/>
      <c r="NSK167" s="102"/>
      <c r="NSL167" s="102"/>
      <c r="NSM167" s="102"/>
      <c r="NSN167" s="102"/>
      <c r="NSO167" s="102"/>
      <c r="NSP167" s="102"/>
      <c r="NSQ167" s="102"/>
      <c r="NSR167" s="102"/>
      <c r="NSS167" s="102"/>
      <c r="NST167" s="102"/>
      <c r="NSU167" s="102"/>
      <c r="NSV167" s="102"/>
      <c r="NSW167" s="102"/>
      <c r="NSX167" s="102"/>
      <c r="NSY167" s="102"/>
      <c r="NSZ167" s="102"/>
      <c r="NTA167" s="102"/>
      <c r="NTB167" s="102"/>
      <c r="NTC167" s="102"/>
      <c r="NTD167" s="102"/>
      <c r="NTE167" s="102"/>
      <c r="NTF167" s="102"/>
      <c r="NTG167" s="102"/>
      <c r="NTH167" s="102"/>
      <c r="NTI167" s="102"/>
      <c r="NTJ167" s="102"/>
      <c r="NTK167" s="102"/>
      <c r="NTL167" s="102"/>
      <c r="NTM167" s="102"/>
      <c r="NTN167" s="102"/>
      <c r="NTO167" s="102"/>
      <c r="NTP167" s="102"/>
      <c r="NTQ167" s="102"/>
      <c r="NTR167" s="102"/>
      <c r="NTS167" s="102"/>
      <c r="NTT167" s="102"/>
      <c r="NTU167" s="102"/>
      <c r="NTV167" s="102"/>
      <c r="NTW167" s="102"/>
      <c r="NTX167" s="102"/>
      <c r="NTY167" s="102"/>
      <c r="NTZ167" s="102"/>
      <c r="NUA167" s="102"/>
      <c r="NUB167" s="102"/>
      <c r="NUC167" s="102"/>
      <c r="NUD167" s="102"/>
      <c r="NUE167" s="102"/>
      <c r="NUF167" s="102"/>
      <c r="NUG167" s="102"/>
      <c r="NUH167" s="102"/>
      <c r="NUI167" s="102"/>
      <c r="NUJ167" s="102"/>
      <c r="NUK167" s="102"/>
      <c r="NUL167" s="102"/>
      <c r="NUM167" s="102"/>
      <c r="NUN167" s="102"/>
      <c r="NUO167" s="102"/>
      <c r="NUP167" s="102"/>
      <c r="NUQ167" s="102"/>
      <c r="NUR167" s="102"/>
      <c r="NUS167" s="102"/>
      <c r="NUT167" s="102"/>
      <c r="NUU167" s="102"/>
      <c r="NUV167" s="102"/>
      <c r="NUW167" s="102"/>
      <c r="NUX167" s="102"/>
      <c r="NUY167" s="102"/>
      <c r="NUZ167" s="102"/>
      <c r="NVA167" s="102"/>
      <c r="NVB167" s="102"/>
      <c r="NVC167" s="102"/>
      <c r="NVD167" s="102"/>
      <c r="NVE167" s="102"/>
      <c r="NVF167" s="102"/>
      <c r="NVG167" s="102"/>
      <c r="NVH167" s="102"/>
      <c r="NVI167" s="102"/>
      <c r="NVJ167" s="102"/>
      <c r="NVK167" s="102"/>
      <c r="NVL167" s="102"/>
      <c r="NVM167" s="102"/>
      <c r="NVN167" s="102"/>
      <c r="NVO167" s="102"/>
      <c r="NVP167" s="102"/>
      <c r="NVQ167" s="102"/>
      <c r="NVR167" s="102"/>
      <c r="NVS167" s="102"/>
      <c r="NVT167" s="102"/>
      <c r="NVU167" s="102"/>
      <c r="NVV167" s="102"/>
      <c r="NVW167" s="102"/>
      <c r="NVX167" s="102"/>
      <c r="NVY167" s="102"/>
      <c r="NVZ167" s="102"/>
      <c r="NWA167" s="102"/>
      <c r="NWB167" s="102"/>
      <c r="NWC167" s="102"/>
      <c r="NWD167" s="102"/>
      <c r="NWE167" s="102"/>
      <c r="NWF167" s="102"/>
      <c r="NWG167" s="102"/>
      <c r="NWH167" s="102"/>
      <c r="NWI167" s="102"/>
      <c r="NWJ167" s="102"/>
      <c r="NWK167" s="102"/>
      <c r="NWL167" s="102"/>
      <c r="NWM167" s="102"/>
      <c r="NWN167" s="102"/>
      <c r="NWO167" s="102"/>
      <c r="NWP167" s="102"/>
      <c r="NWQ167" s="102"/>
      <c r="NWR167" s="102"/>
      <c r="NWS167" s="102"/>
      <c r="NWT167" s="102"/>
      <c r="NWU167" s="102"/>
      <c r="NWV167" s="102"/>
      <c r="NWW167" s="102"/>
      <c r="NWX167" s="102"/>
      <c r="NWY167" s="102"/>
      <c r="NWZ167" s="102"/>
      <c r="NXA167" s="102"/>
      <c r="NXB167" s="102"/>
      <c r="NXC167" s="102"/>
      <c r="NXD167" s="102"/>
      <c r="NXE167" s="102"/>
      <c r="NXF167" s="102"/>
      <c r="NXG167" s="102"/>
      <c r="NXH167" s="102"/>
      <c r="NXI167" s="102"/>
      <c r="NXJ167" s="102"/>
      <c r="NXK167" s="102"/>
      <c r="NXL167" s="102"/>
      <c r="NXM167" s="102"/>
      <c r="NXN167" s="102"/>
      <c r="NXO167" s="102"/>
      <c r="NXP167" s="102"/>
      <c r="NXQ167" s="102"/>
      <c r="NXR167" s="102"/>
      <c r="NXS167" s="102"/>
      <c r="NXT167" s="102"/>
      <c r="NXU167" s="102"/>
      <c r="NXV167" s="102"/>
      <c r="NXW167" s="102"/>
      <c r="NXX167" s="102"/>
      <c r="NXY167" s="102"/>
      <c r="NXZ167" s="102"/>
      <c r="NYA167" s="102"/>
      <c r="NYB167" s="102"/>
      <c r="NYC167" s="102"/>
      <c r="NYD167" s="102"/>
      <c r="NYE167" s="102"/>
      <c r="NYF167" s="102"/>
      <c r="NYG167" s="102"/>
      <c r="NYH167" s="102"/>
      <c r="NYI167" s="102"/>
      <c r="NYJ167" s="102"/>
      <c r="NYK167" s="102"/>
      <c r="NYL167" s="102"/>
      <c r="NYM167" s="102"/>
      <c r="NYN167" s="102"/>
      <c r="NYO167" s="102"/>
      <c r="NYP167" s="102"/>
      <c r="NYQ167" s="102"/>
      <c r="NYR167" s="102"/>
      <c r="NYS167" s="102"/>
      <c r="NYT167" s="102"/>
      <c r="NYU167" s="102"/>
      <c r="NYV167" s="102"/>
      <c r="NYW167" s="102"/>
      <c r="NYX167" s="102"/>
      <c r="NYY167" s="102"/>
      <c r="NYZ167" s="102"/>
      <c r="NZA167" s="102"/>
      <c r="NZB167" s="102"/>
      <c r="NZC167" s="102"/>
      <c r="NZD167" s="102"/>
      <c r="NZE167" s="102"/>
      <c r="NZF167" s="102"/>
      <c r="NZG167" s="102"/>
      <c r="NZH167" s="102"/>
      <c r="NZI167" s="102"/>
      <c r="NZJ167" s="102"/>
      <c r="NZK167" s="102"/>
      <c r="NZL167" s="102"/>
      <c r="NZM167" s="102"/>
      <c r="NZN167" s="102"/>
      <c r="NZO167" s="102"/>
      <c r="NZP167" s="102"/>
      <c r="NZQ167" s="102"/>
      <c r="NZR167" s="102"/>
      <c r="NZS167" s="102"/>
      <c r="NZT167" s="102"/>
      <c r="NZU167" s="102"/>
      <c r="NZV167" s="102"/>
      <c r="NZW167" s="102"/>
      <c r="NZX167" s="102"/>
      <c r="NZY167" s="102"/>
      <c r="NZZ167" s="102"/>
      <c r="OAA167" s="102"/>
      <c r="OAB167" s="102"/>
      <c r="OAC167" s="102"/>
      <c r="OAD167" s="102"/>
      <c r="OAE167" s="102"/>
      <c r="OAF167" s="102"/>
      <c r="OAG167" s="102"/>
      <c r="OAH167" s="102"/>
      <c r="OAI167" s="102"/>
      <c r="OAJ167" s="102"/>
      <c r="OAK167" s="102"/>
      <c r="OAL167" s="102"/>
      <c r="OAM167" s="102"/>
      <c r="OAN167" s="102"/>
      <c r="OAO167" s="102"/>
      <c r="OAP167" s="102"/>
      <c r="OAQ167" s="102"/>
      <c r="OAR167" s="102"/>
      <c r="OAS167" s="102"/>
      <c r="OAT167" s="102"/>
      <c r="OAU167" s="102"/>
      <c r="OAV167" s="102"/>
      <c r="OAW167" s="102"/>
      <c r="OAX167" s="102"/>
      <c r="OAY167" s="102"/>
      <c r="OAZ167" s="102"/>
      <c r="OBA167" s="102"/>
      <c r="OBB167" s="102"/>
      <c r="OBC167" s="102"/>
      <c r="OBD167" s="102"/>
      <c r="OBE167" s="102"/>
      <c r="OBF167" s="102"/>
      <c r="OBG167" s="102"/>
      <c r="OBH167" s="102"/>
      <c r="OBI167" s="102"/>
      <c r="OBJ167" s="102"/>
      <c r="OBK167" s="102"/>
      <c r="OBL167" s="102"/>
      <c r="OBM167" s="102"/>
      <c r="OBN167" s="102"/>
      <c r="OBO167" s="102"/>
      <c r="OBP167" s="102"/>
      <c r="OBQ167" s="102"/>
      <c r="OBR167" s="102"/>
      <c r="OBS167" s="102"/>
      <c r="OBT167" s="102"/>
      <c r="OBU167" s="102"/>
      <c r="OBV167" s="102"/>
      <c r="OBW167" s="102"/>
      <c r="OBX167" s="102"/>
      <c r="OBY167" s="102"/>
      <c r="OBZ167" s="102"/>
      <c r="OCA167" s="102"/>
      <c r="OCB167" s="102"/>
      <c r="OCC167" s="102"/>
      <c r="OCD167" s="102"/>
      <c r="OCE167" s="102"/>
      <c r="OCF167" s="102"/>
      <c r="OCG167" s="102"/>
      <c r="OCH167" s="102"/>
      <c r="OCI167" s="102"/>
      <c r="OCJ167" s="102"/>
      <c r="OCK167" s="102"/>
      <c r="OCL167" s="102"/>
      <c r="OCM167" s="102"/>
      <c r="OCN167" s="102"/>
      <c r="OCO167" s="102"/>
      <c r="OCP167" s="102"/>
      <c r="OCQ167" s="102"/>
      <c r="OCR167" s="102"/>
      <c r="OCS167" s="102"/>
      <c r="OCT167" s="102"/>
      <c r="OCU167" s="102"/>
      <c r="OCV167" s="102"/>
      <c r="OCW167" s="102"/>
      <c r="OCX167" s="102"/>
      <c r="OCY167" s="102"/>
      <c r="OCZ167" s="102"/>
      <c r="ODA167" s="102"/>
      <c r="ODB167" s="102"/>
      <c r="ODC167" s="102"/>
      <c r="ODD167" s="102"/>
      <c r="ODE167" s="102"/>
      <c r="ODF167" s="102"/>
      <c r="ODG167" s="102"/>
      <c r="ODH167" s="102"/>
      <c r="ODI167" s="102"/>
      <c r="ODJ167" s="102"/>
      <c r="ODK167" s="102"/>
      <c r="ODL167" s="102"/>
      <c r="ODM167" s="102"/>
      <c r="ODN167" s="102"/>
      <c r="ODO167" s="102"/>
      <c r="ODP167" s="102"/>
      <c r="ODQ167" s="102"/>
      <c r="ODR167" s="102"/>
      <c r="ODS167" s="102"/>
      <c r="ODT167" s="102"/>
      <c r="ODU167" s="102"/>
      <c r="ODV167" s="102"/>
      <c r="ODW167" s="102"/>
      <c r="ODX167" s="102"/>
      <c r="ODY167" s="102"/>
      <c r="ODZ167" s="102"/>
      <c r="OEA167" s="102"/>
      <c r="OEB167" s="102"/>
      <c r="OEC167" s="102"/>
      <c r="OED167" s="102"/>
      <c r="OEE167" s="102"/>
      <c r="OEF167" s="102"/>
      <c r="OEG167" s="102"/>
      <c r="OEH167" s="102"/>
      <c r="OEI167" s="102"/>
      <c r="OEJ167" s="102"/>
      <c r="OEK167" s="102"/>
      <c r="OEL167" s="102"/>
      <c r="OEM167" s="102"/>
      <c r="OEN167" s="102"/>
      <c r="OEO167" s="102"/>
      <c r="OEP167" s="102"/>
      <c r="OEQ167" s="102"/>
      <c r="OER167" s="102"/>
      <c r="OES167" s="102"/>
      <c r="OET167" s="102"/>
      <c r="OEU167" s="102"/>
      <c r="OEV167" s="102"/>
      <c r="OEW167" s="102"/>
      <c r="OEX167" s="102"/>
      <c r="OEY167" s="102"/>
      <c r="OEZ167" s="102"/>
      <c r="OFA167" s="102"/>
      <c r="OFB167" s="102"/>
      <c r="OFC167" s="102"/>
      <c r="OFD167" s="102"/>
      <c r="OFE167" s="102"/>
      <c r="OFF167" s="102"/>
      <c r="OFG167" s="102"/>
      <c r="OFH167" s="102"/>
      <c r="OFI167" s="102"/>
      <c r="OFJ167" s="102"/>
      <c r="OFK167" s="102"/>
      <c r="OFL167" s="102"/>
      <c r="OFM167" s="102"/>
      <c r="OFN167" s="102"/>
      <c r="OFO167" s="102"/>
      <c r="OFP167" s="102"/>
      <c r="OFQ167" s="102"/>
      <c r="OFR167" s="102"/>
      <c r="OFS167" s="102"/>
      <c r="OFT167" s="102"/>
      <c r="OFU167" s="102"/>
      <c r="OFV167" s="102"/>
      <c r="OFW167" s="102"/>
      <c r="OFX167" s="102"/>
      <c r="OFY167" s="102"/>
      <c r="OFZ167" s="102"/>
      <c r="OGA167" s="102"/>
      <c r="OGB167" s="102"/>
      <c r="OGC167" s="102"/>
      <c r="OGD167" s="102"/>
      <c r="OGE167" s="102"/>
      <c r="OGF167" s="102"/>
      <c r="OGG167" s="102"/>
      <c r="OGH167" s="102"/>
      <c r="OGI167" s="102"/>
      <c r="OGJ167" s="102"/>
      <c r="OGK167" s="102"/>
      <c r="OGL167" s="102"/>
      <c r="OGM167" s="102"/>
      <c r="OGN167" s="102"/>
      <c r="OGO167" s="102"/>
      <c r="OGP167" s="102"/>
      <c r="OGQ167" s="102"/>
      <c r="OGR167" s="102"/>
      <c r="OGS167" s="102"/>
      <c r="OGT167" s="102"/>
      <c r="OGU167" s="102"/>
      <c r="OGV167" s="102"/>
      <c r="OGW167" s="102"/>
      <c r="OGX167" s="102"/>
      <c r="OGY167" s="102"/>
      <c r="OGZ167" s="102"/>
      <c r="OHA167" s="102"/>
      <c r="OHB167" s="102"/>
      <c r="OHC167" s="102"/>
      <c r="OHD167" s="102"/>
      <c r="OHE167" s="102"/>
      <c r="OHF167" s="102"/>
      <c r="OHG167" s="102"/>
      <c r="OHH167" s="102"/>
      <c r="OHI167" s="102"/>
      <c r="OHJ167" s="102"/>
      <c r="OHK167" s="102"/>
      <c r="OHL167" s="102"/>
      <c r="OHM167" s="102"/>
      <c r="OHN167" s="102"/>
      <c r="OHO167" s="102"/>
      <c r="OHP167" s="102"/>
      <c r="OHQ167" s="102"/>
      <c r="OHR167" s="102"/>
      <c r="OHS167" s="102"/>
      <c r="OHT167" s="102"/>
      <c r="OHU167" s="102"/>
      <c r="OHV167" s="102"/>
      <c r="OHW167" s="102"/>
      <c r="OHX167" s="102"/>
      <c r="OHY167" s="102"/>
      <c r="OHZ167" s="102"/>
      <c r="OIA167" s="102"/>
      <c r="OIB167" s="102"/>
      <c r="OIC167" s="102"/>
      <c r="OID167" s="102"/>
      <c r="OIE167" s="102"/>
      <c r="OIF167" s="102"/>
      <c r="OIG167" s="102"/>
      <c r="OIH167" s="102"/>
      <c r="OII167" s="102"/>
      <c r="OIJ167" s="102"/>
      <c r="OIK167" s="102"/>
      <c r="OIL167" s="102"/>
      <c r="OIM167" s="102"/>
      <c r="OIN167" s="102"/>
      <c r="OIO167" s="102"/>
      <c r="OIP167" s="102"/>
      <c r="OIQ167" s="102"/>
      <c r="OIR167" s="102"/>
      <c r="OIS167" s="102"/>
      <c r="OIT167" s="102"/>
      <c r="OIU167" s="102"/>
      <c r="OIV167" s="102"/>
      <c r="OIW167" s="102"/>
      <c r="OIX167" s="102"/>
      <c r="OIY167" s="102"/>
      <c r="OIZ167" s="102"/>
      <c r="OJA167" s="102"/>
      <c r="OJB167" s="102"/>
      <c r="OJC167" s="102"/>
      <c r="OJD167" s="102"/>
      <c r="OJE167" s="102"/>
      <c r="OJF167" s="102"/>
      <c r="OJG167" s="102"/>
      <c r="OJH167" s="102"/>
      <c r="OJI167" s="102"/>
      <c r="OJJ167" s="102"/>
      <c r="OJK167" s="102"/>
      <c r="OJL167" s="102"/>
      <c r="OJM167" s="102"/>
      <c r="OJN167" s="102"/>
      <c r="OJO167" s="102"/>
      <c r="OJP167" s="102"/>
      <c r="OJQ167" s="102"/>
      <c r="OJR167" s="102"/>
      <c r="OJS167" s="102"/>
      <c r="OJT167" s="102"/>
      <c r="OJU167" s="102"/>
      <c r="OJV167" s="102"/>
      <c r="OJW167" s="102"/>
      <c r="OJX167" s="102"/>
      <c r="OJY167" s="102"/>
      <c r="OJZ167" s="102"/>
      <c r="OKA167" s="102"/>
      <c r="OKB167" s="102"/>
      <c r="OKC167" s="102"/>
      <c r="OKD167" s="102"/>
      <c r="OKE167" s="102"/>
      <c r="OKF167" s="102"/>
      <c r="OKG167" s="102"/>
      <c r="OKH167" s="102"/>
      <c r="OKI167" s="102"/>
      <c r="OKJ167" s="102"/>
      <c r="OKK167" s="102"/>
      <c r="OKL167" s="102"/>
      <c r="OKM167" s="102"/>
      <c r="OKN167" s="102"/>
      <c r="OKO167" s="102"/>
      <c r="OKP167" s="102"/>
      <c r="OKQ167" s="102"/>
      <c r="OKR167" s="102"/>
      <c r="OKS167" s="102"/>
      <c r="OKT167" s="102"/>
      <c r="OKU167" s="102"/>
      <c r="OKV167" s="102"/>
      <c r="OKW167" s="102"/>
      <c r="OKX167" s="102"/>
      <c r="OKY167" s="102"/>
      <c r="OKZ167" s="102"/>
      <c r="OLA167" s="102"/>
      <c r="OLB167" s="102"/>
      <c r="OLC167" s="102"/>
      <c r="OLD167" s="102"/>
      <c r="OLE167" s="102"/>
      <c r="OLF167" s="102"/>
      <c r="OLG167" s="102"/>
      <c r="OLH167" s="102"/>
      <c r="OLI167" s="102"/>
      <c r="OLJ167" s="102"/>
      <c r="OLK167" s="102"/>
      <c r="OLL167" s="102"/>
      <c r="OLM167" s="102"/>
      <c r="OLN167" s="102"/>
      <c r="OLO167" s="102"/>
      <c r="OLP167" s="102"/>
      <c r="OLQ167" s="102"/>
      <c r="OLR167" s="102"/>
      <c r="OLS167" s="102"/>
      <c r="OLT167" s="102"/>
      <c r="OLU167" s="102"/>
      <c r="OLV167" s="102"/>
      <c r="OLW167" s="102"/>
      <c r="OLX167" s="102"/>
      <c r="OLY167" s="102"/>
      <c r="OLZ167" s="102"/>
      <c r="OMA167" s="102"/>
      <c r="OMB167" s="102"/>
      <c r="OMC167" s="102"/>
      <c r="OMD167" s="102"/>
      <c r="OME167" s="102"/>
      <c r="OMF167" s="102"/>
      <c r="OMG167" s="102"/>
      <c r="OMH167" s="102"/>
      <c r="OMI167" s="102"/>
      <c r="OMJ167" s="102"/>
      <c r="OMK167" s="102"/>
      <c r="OML167" s="102"/>
      <c r="OMM167" s="102"/>
      <c r="OMN167" s="102"/>
      <c r="OMO167" s="102"/>
      <c r="OMP167" s="102"/>
      <c r="OMQ167" s="102"/>
      <c r="OMR167" s="102"/>
      <c r="OMS167" s="102"/>
      <c r="OMT167" s="102"/>
      <c r="OMU167" s="102"/>
      <c r="OMV167" s="102"/>
      <c r="OMW167" s="102"/>
      <c r="OMX167" s="102"/>
      <c r="OMY167" s="102"/>
      <c r="OMZ167" s="102"/>
      <c r="ONA167" s="102"/>
      <c r="ONB167" s="102"/>
      <c r="ONC167" s="102"/>
      <c r="OND167" s="102"/>
      <c r="ONE167" s="102"/>
      <c r="ONF167" s="102"/>
      <c r="ONG167" s="102"/>
      <c r="ONH167" s="102"/>
      <c r="ONI167" s="102"/>
      <c r="ONJ167" s="102"/>
      <c r="ONK167" s="102"/>
      <c r="ONL167" s="102"/>
      <c r="ONM167" s="102"/>
      <c r="ONN167" s="102"/>
      <c r="ONO167" s="102"/>
      <c r="ONP167" s="102"/>
      <c r="ONQ167" s="102"/>
      <c r="ONR167" s="102"/>
      <c r="ONS167" s="102"/>
      <c r="ONT167" s="102"/>
      <c r="ONU167" s="102"/>
      <c r="ONV167" s="102"/>
      <c r="ONW167" s="102"/>
      <c r="ONX167" s="102"/>
      <c r="ONY167" s="102"/>
      <c r="ONZ167" s="102"/>
      <c r="OOA167" s="102"/>
      <c r="OOB167" s="102"/>
      <c r="OOC167" s="102"/>
      <c r="OOD167" s="102"/>
      <c r="OOE167" s="102"/>
      <c r="OOF167" s="102"/>
      <c r="OOG167" s="102"/>
      <c r="OOH167" s="102"/>
      <c r="OOI167" s="102"/>
      <c r="OOJ167" s="102"/>
      <c r="OOK167" s="102"/>
      <c r="OOL167" s="102"/>
      <c r="OOM167" s="102"/>
      <c r="OON167" s="102"/>
      <c r="OOO167" s="102"/>
      <c r="OOP167" s="102"/>
      <c r="OOQ167" s="102"/>
      <c r="OOR167" s="102"/>
      <c r="OOS167" s="102"/>
      <c r="OOT167" s="102"/>
      <c r="OOU167" s="102"/>
      <c r="OOV167" s="102"/>
      <c r="OOW167" s="102"/>
      <c r="OOX167" s="102"/>
      <c r="OOY167" s="102"/>
      <c r="OOZ167" s="102"/>
      <c r="OPA167" s="102"/>
      <c r="OPB167" s="102"/>
      <c r="OPC167" s="102"/>
      <c r="OPD167" s="102"/>
      <c r="OPE167" s="102"/>
      <c r="OPF167" s="102"/>
      <c r="OPG167" s="102"/>
      <c r="OPH167" s="102"/>
      <c r="OPI167" s="102"/>
      <c r="OPJ167" s="102"/>
      <c r="OPK167" s="102"/>
      <c r="OPL167" s="102"/>
      <c r="OPM167" s="102"/>
      <c r="OPN167" s="102"/>
      <c r="OPO167" s="102"/>
      <c r="OPP167" s="102"/>
      <c r="OPQ167" s="102"/>
      <c r="OPR167" s="102"/>
      <c r="OPS167" s="102"/>
      <c r="OPT167" s="102"/>
      <c r="OPU167" s="102"/>
      <c r="OPV167" s="102"/>
      <c r="OPW167" s="102"/>
      <c r="OPX167" s="102"/>
      <c r="OPY167" s="102"/>
      <c r="OPZ167" s="102"/>
      <c r="OQA167" s="102"/>
      <c r="OQB167" s="102"/>
      <c r="OQC167" s="102"/>
      <c r="OQD167" s="102"/>
      <c r="OQE167" s="102"/>
      <c r="OQF167" s="102"/>
      <c r="OQG167" s="102"/>
      <c r="OQH167" s="102"/>
      <c r="OQI167" s="102"/>
      <c r="OQJ167" s="102"/>
      <c r="OQK167" s="102"/>
      <c r="OQL167" s="102"/>
      <c r="OQM167" s="102"/>
      <c r="OQN167" s="102"/>
      <c r="OQO167" s="102"/>
      <c r="OQP167" s="102"/>
      <c r="OQQ167" s="102"/>
      <c r="OQR167" s="102"/>
      <c r="OQS167" s="102"/>
      <c r="OQT167" s="102"/>
      <c r="OQU167" s="102"/>
      <c r="OQV167" s="102"/>
      <c r="OQW167" s="102"/>
      <c r="OQX167" s="102"/>
      <c r="OQY167" s="102"/>
      <c r="OQZ167" s="102"/>
      <c r="ORA167" s="102"/>
      <c r="ORB167" s="102"/>
      <c r="ORC167" s="102"/>
      <c r="ORD167" s="102"/>
      <c r="ORE167" s="102"/>
      <c r="ORF167" s="102"/>
      <c r="ORG167" s="102"/>
      <c r="ORH167" s="102"/>
      <c r="ORI167" s="102"/>
      <c r="ORJ167" s="102"/>
      <c r="ORK167" s="102"/>
      <c r="ORL167" s="102"/>
      <c r="ORM167" s="102"/>
      <c r="ORN167" s="102"/>
      <c r="ORO167" s="102"/>
      <c r="ORP167" s="102"/>
      <c r="ORQ167" s="102"/>
      <c r="ORR167" s="102"/>
      <c r="ORS167" s="102"/>
      <c r="ORT167" s="102"/>
      <c r="ORU167" s="102"/>
      <c r="ORV167" s="102"/>
      <c r="ORW167" s="102"/>
      <c r="ORX167" s="102"/>
      <c r="ORY167" s="102"/>
      <c r="ORZ167" s="102"/>
      <c r="OSA167" s="102"/>
      <c r="OSB167" s="102"/>
      <c r="OSC167" s="102"/>
      <c r="OSD167" s="102"/>
      <c r="OSE167" s="102"/>
      <c r="OSF167" s="102"/>
      <c r="OSG167" s="102"/>
      <c r="OSH167" s="102"/>
      <c r="OSI167" s="102"/>
      <c r="OSJ167" s="102"/>
      <c r="OSK167" s="102"/>
      <c r="OSL167" s="102"/>
      <c r="OSM167" s="102"/>
      <c r="OSN167" s="102"/>
      <c r="OSO167" s="102"/>
      <c r="OSP167" s="102"/>
      <c r="OSQ167" s="102"/>
      <c r="OSR167" s="102"/>
      <c r="OSS167" s="102"/>
      <c r="OST167" s="102"/>
      <c r="OSU167" s="102"/>
      <c r="OSV167" s="102"/>
      <c r="OSW167" s="102"/>
      <c r="OSX167" s="102"/>
      <c r="OSY167" s="102"/>
      <c r="OSZ167" s="102"/>
      <c r="OTA167" s="102"/>
      <c r="OTB167" s="102"/>
      <c r="OTC167" s="102"/>
      <c r="OTD167" s="102"/>
      <c r="OTE167" s="102"/>
      <c r="OTF167" s="102"/>
      <c r="OTG167" s="102"/>
      <c r="OTH167" s="102"/>
      <c r="OTI167" s="102"/>
      <c r="OTJ167" s="102"/>
      <c r="OTK167" s="102"/>
      <c r="OTL167" s="102"/>
      <c r="OTM167" s="102"/>
      <c r="OTN167" s="102"/>
      <c r="OTO167" s="102"/>
      <c r="OTP167" s="102"/>
      <c r="OTQ167" s="102"/>
      <c r="OTR167" s="102"/>
      <c r="OTS167" s="102"/>
      <c r="OTT167" s="102"/>
      <c r="OTU167" s="102"/>
      <c r="OTV167" s="102"/>
      <c r="OTW167" s="102"/>
      <c r="OTX167" s="102"/>
      <c r="OTY167" s="102"/>
      <c r="OTZ167" s="102"/>
      <c r="OUA167" s="102"/>
      <c r="OUB167" s="102"/>
      <c r="OUC167" s="102"/>
      <c r="OUD167" s="102"/>
      <c r="OUE167" s="102"/>
      <c r="OUF167" s="102"/>
      <c r="OUG167" s="102"/>
      <c r="OUH167" s="102"/>
      <c r="OUI167" s="102"/>
      <c r="OUJ167" s="102"/>
      <c r="OUK167" s="102"/>
      <c r="OUL167" s="102"/>
      <c r="OUM167" s="102"/>
      <c r="OUN167" s="102"/>
      <c r="OUO167" s="102"/>
      <c r="OUP167" s="102"/>
      <c r="OUQ167" s="102"/>
      <c r="OUR167" s="102"/>
      <c r="OUS167" s="102"/>
      <c r="OUT167" s="102"/>
      <c r="OUU167" s="102"/>
      <c r="OUV167" s="102"/>
      <c r="OUW167" s="102"/>
      <c r="OUX167" s="102"/>
      <c r="OUY167" s="102"/>
      <c r="OUZ167" s="102"/>
      <c r="OVA167" s="102"/>
      <c r="OVB167" s="102"/>
      <c r="OVC167" s="102"/>
      <c r="OVD167" s="102"/>
      <c r="OVE167" s="102"/>
      <c r="OVF167" s="102"/>
      <c r="OVG167" s="102"/>
      <c r="OVH167" s="102"/>
      <c r="OVI167" s="102"/>
      <c r="OVJ167" s="102"/>
      <c r="OVK167" s="102"/>
      <c r="OVL167" s="102"/>
      <c r="OVM167" s="102"/>
      <c r="OVN167" s="102"/>
      <c r="OVO167" s="102"/>
      <c r="OVP167" s="102"/>
      <c r="OVQ167" s="102"/>
      <c r="OVR167" s="102"/>
      <c r="OVS167" s="102"/>
      <c r="OVT167" s="102"/>
      <c r="OVU167" s="102"/>
      <c r="OVV167" s="102"/>
      <c r="OVW167" s="102"/>
      <c r="OVX167" s="102"/>
      <c r="OVY167" s="102"/>
      <c r="OVZ167" s="102"/>
      <c r="OWA167" s="102"/>
      <c r="OWB167" s="102"/>
      <c r="OWC167" s="102"/>
      <c r="OWD167" s="102"/>
      <c r="OWE167" s="102"/>
      <c r="OWF167" s="102"/>
      <c r="OWG167" s="102"/>
      <c r="OWH167" s="102"/>
      <c r="OWI167" s="102"/>
      <c r="OWJ167" s="102"/>
      <c r="OWK167" s="102"/>
      <c r="OWL167" s="102"/>
      <c r="OWM167" s="102"/>
      <c r="OWN167" s="102"/>
      <c r="OWO167" s="102"/>
      <c r="OWP167" s="102"/>
      <c r="OWQ167" s="102"/>
      <c r="OWR167" s="102"/>
      <c r="OWS167" s="102"/>
      <c r="OWT167" s="102"/>
      <c r="OWU167" s="102"/>
      <c r="OWV167" s="102"/>
      <c r="OWW167" s="102"/>
      <c r="OWX167" s="102"/>
      <c r="OWY167" s="102"/>
      <c r="OWZ167" s="102"/>
      <c r="OXA167" s="102"/>
      <c r="OXB167" s="102"/>
      <c r="OXC167" s="102"/>
      <c r="OXD167" s="102"/>
      <c r="OXE167" s="102"/>
      <c r="OXF167" s="102"/>
      <c r="OXG167" s="102"/>
      <c r="OXH167" s="102"/>
      <c r="OXI167" s="102"/>
      <c r="OXJ167" s="102"/>
      <c r="OXK167" s="102"/>
      <c r="OXL167" s="102"/>
      <c r="OXM167" s="102"/>
      <c r="OXN167" s="102"/>
      <c r="OXO167" s="102"/>
      <c r="OXP167" s="102"/>
      <c r="OXQ167" s="102"/>
      <c r="OXR167" s="102"/>
      <c r="OXS167" s="102"/>
      <c r="OXT167" s="102"/>
      <c r="OXU167" s="102"/>
      <c r="OXV167" s="102"/>
      <c r="OXW167" s="102"/>
      <c r="OXX167" s="102"/>
      <c r="OXY167" s="102"/>
      <c r="OXZ167" s="102"/>
      <c r="OYA167" s="102"/>
      <c r="OYB167" s="102"/>
      <c r="OYC167" s="102"/>
      <c r="OYD167" s="102"/>
      <c r="OYE167" s="102"/>
      <c r="OYF167" s="102"/>
      <c r="OYG167" s="102"/>
      <c r="OYH167" s="102"/>
      <c r="OYI167" s="102"/>
      <c r="OYJ167" s="102"/>
      <c r="OYK167" s="102"/>
      <c r="OYL167" s="102"/>
      <c r="OYM167" s="102"/>
      <c r="OYN167" s="102"/>
      <c r="OYO167" s="102"/>
      <c r="OYP167" s="102"/>
      <c r="OYQ167" s="102"/>
      <c r="OYR167" s="102"/>
      <c r="OYS167" s="102"/>
      <c r="OYT167" s="102"/>
      <c r="OYU167" s="102"/>
      <c r="OYV167" s="102"/>
      <c r="OYW167" s="102"/>
      <c r="OYX167" s="102"/>
      <c r="OYY167" s="102"/>
      <c r="OYZ167" s="102"/>
      <c r="OZA167" s="102"/>
      <c r="OZB167" s="102"/>
      <c r="OZC167" s="102"/>
      <c r="OZD167" s="102"/>
      <c r="OZE167" s="102"/>
      <c r="OZF167" s="102"/>
      <c r="OZG167" s="102"/>
      <c r="OZH167" s="102"/>
      <c r="OZI167" s="102"/>
      <c r="OZJ167" s="102"/>
      <c r="OZK167" s="102"/>
      <c r="OZL167" s="102"/>
      <c r="OZM167" s="102"/>
      <c r="OZN167" s="102"/>
      <c r="OZO167" s="102"/>
      <c r="OZP167" s="102"/>
      <c r="OZQ167" s="102"/>
      <c r="OZR167" s="102"/>
      <c r="OZS167" s="102"/>
      <c r="OZT167" s="102"/>
      <c r="OZU167" s="102"/>
      <c r="OZV167" s="102"/>
      <c r="OZW167" s="102"/>
      <c r="OZX167" s="102"/>
      <c r="OZY167" s="102"/>
      <c r="OZZ167" s="102"/>
      <c r="PAA167" s="102"/>
      <c r="PAB167" s="102"/>
      <c r="PAC167" s="102"/>
      <c r="PAD167" s="102"/>
      <c r="PAE167" s="102"/>
      <c r="PAF167" s="102"/>
      <c r="PAG167" s="102"/>
      <c r="PAH167" s="102"/>
      <c r="PAI167" s="102"/>
      <c r="PAJ167" s="102"/>
      <c r="PAK167" s="102"/>
      <c r="PAL167" s="102"/>
      <c r="PAM167" s="102"/>
      <c r="PAN167" s="102"/>
      <c r="PAO167" s="102"/>
      <c r="PAP167" s="102"/>
      <c r="PAQ167" s="102"/>
      <c r="PAR167" s="102"/>
      <c r="PAS167" s="102"/>
      <c r="PAT167" s="102"/>
      <c r="PAU167" s="102"/>
      <c r="PAV167" s="102"/>
      <c r="PAW167" s="102"/>
      <c r="PAX167" s="102"/>
      <c r="PAY167" s="102"/>
      <c r="PAZ167" s="102"/>
      <c r="PBA167" s="102"/>
      <c r="PBB167" s="102"/>
      <c r="PBC167" s="102"/>
      <c r="PBD167" s="102"/>
      <c r="PBE167" s="102"/>
      <c r="PBF167" s="102"/>
      <c r="PBG167" s="102"/>
      <c r="PBH167" s="102"/>
      <c r="PBI167" s="102"/>
      <c r="PBJ167" s="102"/>
      <c r="PBK167" s="102"/>
      <c r="PBL167" s="102"/>
      <c r="PBM167" s="102"/>
      <c r="PBN167" s="102"/>
      <c r="PBO167" s="102"/>
      <c r="PBP167" s="102"/>
      <c r="PBQ167" s="102"/>
      <c r="PBR167" s="102"/>
      <c r="PBS167" s="102"/>
      <c r="PBT167" s="102"/>
      <c r="PBU167" s="102"/>
      <c r="PBV167" s="102"/>
      <c r="PBW167" s="102"/>
      <c r="PBX167" s="102"/>
      <c r="PBY167" s="102"/>
      <c r="PBZ167" s="102"/>
      <c r="PCA167" s="102"/>
      <c r="PCB167" s="102"/>
      <c r="PCC167" s="102"/>
      <c r="PCD167" s="102"/>
      <c r="PCE167" s="102"/>
      <c r="PCF167" s="102"/>
      <c r="PCG167" s="102"/>
      <c r="PCH167" s="102"/>
      <c r="PCI167" s="102"/>
      <c r="PCJ167" s="102"/>
      <c r="PCK167" s="102"/>
      <c r="PCL167" s="102"/>
      <c r="PCM167" s="102"/>
      <c r="PCN167" s="102"/>
      <c r="PCO167" s="102"/>
      <c r="PCP167" s="102"/>
      <c r="PCQ167" s="102"/>
      <c r="PCR167" s="102"/>
      <c r="PCS167" s="102"/>
      <c r="PCT167" s="102"/>
      <c r="PCU167" s="102"/>
      <c r="PCV167" s="102"/>
      <c r="PCW167" s="102"/>
      <c r="PCX167" s="102"/>
      <c r="PCY167" s="102"/>
      <c r="PCZ167" s="102"/>
      <c r="PDA167" s="102"/>
      <c r="PDB167" s="102"/>
      <c r="PDC167" s="102"/>
      <c r="PDD167" s="102"/>
      <c r="PDE167" s="102"/>
      <c r="PDF167" s="102"/>
      <c r="PDG167" s="102"/>
      <c r="PDH167" s="102"/>
      <c r="PDI167" s="102"/>
      <c r="PDJ167" s="102"/>
      <c r="PDK167" s="102"/>
      <c r="PDL167" s="102"/>
      <c r="PDM167" s="102"/>
      <c r="PDN167" s="102"/>
      <c r="PDO167" s="102"/>
      <c r="PDP167" s="102"/>
      <c r="PDQ167" s="102"/>
      <c r="PDR167" s="102"/>
      <c r="PDS167" s="102"/>
      <c r="PDT167" s="102"/>
      <c r="PDU167" s="102"/>
      <c r="PDV167" s="102"/>
      <c r="PDW167" s="102"/>
      <c r="PDX167" s="102"/>
      <c r="PDY167" s="102"/>
      <c r="PDZ167" s="102"/>
      <c r="PEA167" s="102"/>
      <c r="PEB167" s="102"/>
      <c r="PEC167" s="102"/>
      <c r="PED167" s="102"/>
      <c r="PEE167" s="102"/>
      <c r="PEF167" s="102"/>
      <c r="PEG167" s="102"/>
      <c r="PEH167" s="102"/>
      <c r="PEI167" s="102"/>
      <c r="PEJ167" s="102"/>
      <c r="PEK167" s="102"/>
      <c r="PEL167" s="102"/>
      <c r="PEM167" s="102"/>
      <c r="PEN167" s="102"/>
      <c r="PEO167" s="102"/>
      <c r="PEP167" s="102"/>
      <c r="PEQ167" s="102"/>
      <c r="PER167" s="102"/>
      <c r="PES167" s="102"/>
      <c r="PET167" s="102"/>
      <c r="PEU167" s="102"/>
      <c r="PEV167" s="102"/>
      <c r="PEW167" s="102"/>
      <c r="PEX167" s="102"/>
      <c r="PEY167" s="102"/>
      <c r="PEZ167" s="102"/>
      <c r="PFA167" s="102"/>
      <c r="PFB167" s="102"/>
      <c r="PFC167" s="102"/>
      <c r="PFD167" s="102"/>
      <c r="PFE167" s="102"/>
      <c r="PFF167" s="102"/>
      <c r="PFG167" s="102"/>
      <c r="PFH167" s="102"/>
      <c r="PFI167" s="102"/>
      <c r="PFJ167" s="102"/>
      <c r="PFK167" s="102"/>
      <c r="PFL167" s="102"/>
      <c r="PFM167" s="102"/>
      <c r="PFN167" s="102"/>
      <c r="PFO167" s="102"/>
      <c r="PFP167" s="102"/>
      <c r="PFQ167" s="102"/>
      <c r="PFR167" s="102"/>
      <c r="PFS167" s="102"/>
      <c r="PFT167" s="102"/>
      <c r="PFU167" s="102"/>
      <c r="PFV167" s="102"/>
      <c r="PFW167" s="102"/>
      <c r="PFX167" s="102"/>
      <c r="PFY167" s="102"/>
      <c r="PFZ167" s="102"/>
      <c r="PGA167" s="102"/>
      <c r="PGB167" s="102"/>
      <c r="PGC167" s="102"/>
      <c r="PGD167" s="102"/>
      <c r="PGE167" s="102"/>
      <c r="PGF167" s="102"/>
      <c r="PGG167" s="102"/>
      <c r="PGH167" s="102"/>
      <c r="PGI167" s="102"/>
      <c r="PGJ167" s="102"/>
      <c r="PGK167" s="102"/>
      <c r="PGL167" s="102"/>
      <c r="PGM167" s="102"/>
      <c r="PGN167" s="102"/>
      <c r="PGO167" s="102"/>
      <c r="PGP167" s="102"/>
      <c r="PGQ167" s="102"/>
      <c r="PGR167" s="102"/>
      <c r="PGS167" s="102"/>
      <c r="PGT167" s="102"/>
      <c r="PGU167" s="102"/>
      <c r="PGV167" s="102"/>
      <c r="PGW167" s="102"/>
      <c r="PGX167" s="102"/>
      <c r="PGY167" s="102"/>
      <c r="PGZ167" s="102"/>
      <c r="PHA167" s="102"/>
      <c r="PHB167" s="102"/>
      <c r="PHC167" s="102"/>
      <c r="PHD167" s="102"/>
      <c r="PHE167" s="102"/>
      <c r="PHF167" s="102"/>
      <c r="PHG167" s="102"/>
      <c r="PHH167" s="102"/>
      <c r="PHI167" s="102"/>
      <c r="PHJ167" s="102"/>
      <c r="PHK167" s="102"/>
      <c r="PHL167" s="102"/>
      <c r="PHM167" s="102"/>
      <c r="PHN167" s="102"/>
      <c r="PHO167" s="102"/>
      <c r="PHP167" s="102"/>
      <c r="PHQ167" s="102"/>
      <c r="PHR167" s="102"/>
      <c r="PHS167" s="102"/>
      <c r="PHT167" s="102"/>
      <c r="PHU167" s="102"/>
      <c r="PHV167" s="102"/>
      <c r="PHW167" s="102"/>
      <c r="PHX167" s="102"/>
      <c r="PHY167" s="102"/>
      <c r="PHZ167" s="102"/>
      <c r="PIA167" s="102"/>
      <c r="PIB167" s="102"/>
      <c r="PIC167" s="102"/>
      <c r="PID167" s="102"/>
      <c r="PIE167" s="102"/>
      <c r="PIF167" s="102"/>
      <c r="PIG167" s="102"/>
      <c r="PIH167" s="102"/>
      <c r="PII167" s="102"/>
      <c r="PIJ167" s="102"/>
      <c r="PIK167" s="102"/>
      <c r="PIL167" s="102"/>
      <c r="PIM167" s="102"/>
      <c r="PIN167" s="102"/>
      <c r="PIO167" s="102"/>
      <c r="PIP167" s="102"/>
      <c r="PIQ167" s="102"/>
      <c r="PIR167" s="102"/>
      <c r="PIS167" s="102"/>
      <c r="PIT167" s="102"/>
      <c r="PIU167" s="102"/>
      <c r="PIV167" s="102"/>
      <c r="PIW167" s="102"/>
      <c r="PIX167" s="102"/>
      <c r="PIY167" s="102"/>
      <c r="PIZ167" s="102"/>
      <c r="PJA167" s="102"/>
      <c r="PJB167" s="102"/>
      <c r="PJC167" s="102"/>
      <c r="PJD167" s="102"/>
      <c r="PJE167" s="102"/>
      <c r="PJF167" s="102"/>
      <c r="PJG167" s="102"/>
      <c r="PJH167" s="102"/>
      <c r="PJI167" s="102"/>
      <c r="PJJ167" s="102"/>
      <c r="PJK167" s="102"/>
      <c r="PJL167" s="102"/>
      <c r="PJM167" s="102"/>
      <c r="PJN167" s="102"/>
      <c r="PJO167" s="102"/>
      <c r="PJP167" s="102"/>
      <c r="PJQ167" s="102"/>
      <c r="PJR167" s="102"/>
      <c r="PJS167" s="102"/>
      <c r="PJT167" s="102"/>
      <c r="PJU167" s="102"/>
      <c r="PJV167" s="102"/>
      <c r="PJW167" s="102"/>
      <c r="PJX167" s="102"/>
      <c r="PJY167" s="102"/>
      <c r="PJZ167" s="102"/>
      <c r="PKA167" s="102"/>
      <c r="PKB167" s="102"/>
      <c r="PKC167" s="102"/>
      <c r="PKD167" s="102"/>
      <c r="PKE167" s="102"/>
      <c r="PKF167" s="102"/>
      <c r="PKG167" s="102"/>
      <c r="PKH167" s="102"/>
      <c r="PKI167" s="102"/>
      <c r="PKJ167" s="102"/>
      <c r="PKK167" s="102"/>
      <c r="PKL167" s="102"/>
      <c r="PKM167" s="102"/>
      <c r="PKN167" s="102"/>
      <c r="PKO167" s="102"/>
      <c r="PKP167" s="102"/>
      <c r="PKQ167" s="102"/>
      <c r="PKR167" s="102"/>
      <c r="PKS167" s="102"/>
      <c r="PKT167" s="102"/>
      <c r="PKU167" s="102"/>
      <c r="PKV167" s="102"/>
      <c r="PKW167" s="102"/>
      <c r="PKX167" s="102"/>
      <c r="PKY167" s="102"/>
      <c r="PKZ167" s="102"/>
      <c r="PLA167" s="102"/>
      <c r="PLB167" s="102"/>
      <c r="PLC167" s="102"/>
      <c r="PLD167" s="102"/>
      <c r="PLE167" s="102"/>
      <c r="PLF167" s="102"/>
      <c r="PLG167" s="102"/>
      <c r="PLH167" s="102"/>
      <c r="PLI167" s="102"/>
      <c r="PLJ167" s="102"/>
      <c r="PLK167" s="102"/>
      <c r="PLL167" s="102"/>
      <c r="PLM167" s="102"/>
      <c r="PLN167" s="102"/>
      <c r="PLO167" s="102"/>
      <c r="PLP167" s="102"/>
      <c r="PLQ167" s="102"/>
      <c r="PLR167" s="102"/>
      <c r="PLS167" s="102"/>
      <c r="PLT167" s="102"/>
      <c r="PLU167" s="102"/>
      <c r="PLV167" s="102"/>
      <c r="PLW167" s="102"/>
      <c r="PLX167" s="102"/>
      <c r="PLY167" s="102"/>
      <c r="PLZ167" s="102"/>
      <c r="PMA167" s="102"/>
      <c r="PMB167" s="102"/>
      <c r="PMC167" s="102"/>
      <c r="PMD167" s="102"/>
      <c r="PME167" s="102"/>
      <c r="PMF167" s="102"/>
      <c r="PMG167" s="102"/>
      <c r="PMH167" s="102"/>
      <c r="PMI167" s="102"/>
      <c r="PMJ167" s="102"/>
      <c r="PMK167" s="102"/>
      <c r="PML167" s="102"/>
      <c r="PMM167" s="102"/>
      <c r="PMN167" s="102"/>
      <c r="PMO167" s="102"/>
      <c r="PMP167" s="102"/>
      <c r="PMQ167" s="102"/>
      <c r="PMR167" s="102"/>
      <c r="PMS167" s="102"/>
      <c r="PMT167" s="102"/>
      <c r="PMU167" s="102"/>
      <c r="PMV167" s="102"/>
      <c r="PMW167" s="102"/>
      <c r="PMX167" s="102"/>
      <c r="PMY167" s="102"/>
      <c r="PMZ167" s="102"/>
      <c r="PNA167" s="102"/>
      <c r="PNB167" s="102"/>
      <c r="PNC167" s="102"/>
      <c r="PND167" s="102"/>
      <c r="PNE167" s="102"/>
      <c r="PNF167" s="102"/>
      <c r="PNG167" s="102"/>
      <c r="PNH167" s="102"/>
      <c r="PNI167" s="102"/>
      <c r="PNJ167" s="102"/>
      <c r="PNK167" s="102"/>
      <c r="PNL167" s="102"/>
      <c r="PNM167" s="102"/>
      <c r="PNN167" s="102"/>
      <c r="PNO167" s="102"/>
      <c r="PNP167" s="102"/>
      <c r="PNQ167" s="102"/>
      <c r="PNR167" s="102"/>
      <c r="PNS167" s="102"/>
      <c r="PNT167" s="102"/>
      <c r="PNU167" s="102"/>
      <c r="PNV167" s="102"/>
      <c r="PNW167" s="102"/>
      <c r="PNX167" s="102"/>
      <c r="PNY167" s="102"/>
      <c r="PNZ167" s="102"/>
      <c r="POA167" s="102"/>
      <c r="POB167" s="102"/>
      <c r="POC167" s="102"/>
      <c r="POD167" s="102"/>
      <c r="POE167" s="102"/>
      <c r="POF167" s="102"/>
      <c r="POG167" s="102"/>
      <c r="POH167" s="102"/>
      <c r="POI167" s="102"/>
      <c r="POJ167" s="102"/>
      <c r="POK167" s="102"/>
      <c r="POL167" s="102"/>
      <c r="POM167" s="102"/>
      <c r="PON167" s="102"/>
      <c r="POO167" s="102"/>
      <c r="POP167" s="102"/>
      <c r="POQ167" s="102"/>
      <c r="POR167" s="102"/>
      <c r="POS167" s="102"/>
      <c r="POT167" s="102"/>
      <c r="POU167" s="102"/>
      <c r="POV167" s="102"/>
      <c r="POW167" s="102"/>
      <c r="POX167" s="102"/>
      <c r="POY167" s="102"/>
      <c r="POZ167" s="102"/>
      <c r="PPA167" s="102"/>
      <c r="PPB167" s="102"/>
      <c r="PPC167" s="102"/>
      <c r="PPD167" s="102"/>
      <c r="PPE167" s="102"/>
      <c r="PPF167" s="102"/>
      <c r="PPG167" s="102"/>
      <c r="PPH167" s="102"/>
      <c r="PPI167" s="102"/>
      <c r="PPJ167" s="102"/>
      <c r="PPK167" s="102"/>
      <c r="PPL167" s="102"/>
      <c r="PPM167" s="102"/>
      <c r="PPN167" s="102"/>
      <c r="PPO167" s="102"/>
      <c r="PPP167" s="102"/>
      <c r="PPQ167" s="102"/>
      <c r="PPR167" s="102"/>
      <c r="PPS167" s="102"/>
      <c r="PPT167" s="102"/>
      <c r="PPU167" s="102"/>
      <c r="PPV167" s="102"/>
      <c r="PPW167" s="102"/>
      <c r="PPX167" s="102"/>
      <c r="PPY167" s="102"/>
      <c r="PPZ167" s="102"/>
      <c r="PQA167" s="102"/>
      <c r="PQB167" s="102"/>
      <c r="PQC167" s="102"/>
      <c r="PQD167" s="102"/>
      <c r="PQE167" s="102"/>
      <c r="PQF167" s="102"/>
      <c r="PQG167" s="102"/>
      <c r="PQH167" s="102"/>
      <c r="PQI167" s="102"/>
      <c r="PQJ167" s="102"/>
      <c r="PQK167" s="102"/>
      <c r="PQL167" s="102"/>
      <c r="PQM167" s="102"/>
      <c r="PQN167" s="102"/>
      <c r="PQO167" s="102"/>
      <c r="PQP167" s="102"/>
      <c r="PQQ167" s="102"/>
      <c r="PQR167" s="102"/>
      <c r="PQS167" s="102"/>
      <c r="PQT167" s="102"/>
      <c r="PQU167" s="102"/>
      <c r="PQV167" s="102"/>
      <c r="PQW167" s="102"/>
      <c r="PQX167" s="102"/>
      <c r="PQY167" s="102"/>
      <c r="PQZ167" s="102"/>
      <c r="PRA167" s="102"/>
      <c r="PRB167" s="102"/>
      <c r="PRC167" s="102"/>
      <c r="PRD167" s="102"/>
      <c r="PRE167" s="102"/>
      <c r="PRF167" s="102"/>
      <c r="PRG167" s="102"/>
      <c r="PRH167" s="102"/>
      <c r="PRI167" s="102"/>
      <c r="PRJ167" s="102"/>
      <c r="PRK167" s="102"/>
      <c r="PRL167" s="102"/>
      <c r="PRM167" s="102"/>
      <c r="PRN167" s="102"/>
      <c r="PRO167" s="102"/>
      <c r="PRP167" s="102"/>
      <c r="PRQ167" s="102"/>
      <c r="PRR167" s="102"/>
      <c r="PRS167" s="102"/>
      <c r="PRT167" s="102"/>
      <c r="PRU167" s="102"/>
      <c r="PRV167" s="102"/>
      <c r="PRW167" s="102"/>
      <c r="PRX167" s="102"/>
      <c r="PRY167" s="102"/>
      <c r="PRZ167" s="102"/>
      <c r="PSA167" s="102"/>
      <c r="PSB167" s="102"/>
      <c r="PSC167" s="102"/>
      <c r="PSD167" s="102"/>
      <c r="PSE167" s="102"/>
      <c r="PSF167" s="102"/>
      <c r="PSG167" s="102"/>
      <c r="PSH167" s="102"/>
      <c r="PSI167" s="102"/>
      <c r="PSJ167" s="102"/>
      <c r="PSK167" s="102"/>
      <c r="PSL167" s="102"/>
      <c r="PSM167" s="102"/>
      <c r="PSN167" s="102"/>
      <c r="PSO167" s="102"/>
      <c r="PSP167" s="102"/>
      <c r="PSQ167" s="102"/>
      <c r="PSR167" s="102"/>
      <c r="PSS167" s="102"/>
      <c r="PST167" s="102"/>
      <c r="PSU167" s="102"/>
      <c r="PSV167" s="102"/>
      <c r="PSW167" s="102"/>
      <c r="PSX167" s="102"/>
      <c r="PSY167" s="102"/>
      <c r="PSZ167" s="102"/>
      <c r="PTA167" s="102"/>
      <c r="PTB167" s="102"/>
      <c r="PTC167" s="102"/>
      <c r="PTD167" s="102"/>
      <c r="PTE167" s="102"/>
      <c r="PTF167" s="102"/>
      <c r="PTG167" s="102"/>
      <c r="PTH167" s="102"/>
      <c r="PTI167" s="102"/>
      <c r="PTJ167" s="102"/>
      <c r="PTK167" s="102"/>
      <c r="PTL167" s="102"/>
      <c r="PTM167" s="102"/>
      <c r="PTN167" s="102"/>
      <c r="PTO167" s="102"/>
      <c r="PTP167" s="102"/>
      <c r="PTQ167" s="102"/>
      <c r="PTR167" s="102"/>
      <c r="PTS167" s="102"/>
      <c r="PTT167" s="102"/>
      <c r="PTU167" s="102"/>
      <c r="PTV167" s="102"/>
      <c r="PTW167" s="102"/>
      <c r="PTX167" s="102"/>
      <c r="PTY167" s="102"/>
      <c r="PTZ167" s="102"/>
      <c r="PUA167" s="102"/>
      <c r="PUB167" s="102"/>
      <c r="PUC167" s="102"/>
      <c r="PUD167" s="102"/>
      <c r="PUE167" s="102"/>
      <c r="PUF167" s="102"/>
      <c r="PUG167" s="102"/>
      <c r="PUH167" s="102"/>
      <c r="PUI167" s="102"/>
      <c r="PUJ167" s="102"/>
      <c r="PUK167" s="102"/>
      <c r="PUL167" s="102"/>
      <c r="PUM167" s="102"/>
      <c r="PUN167" s="102"/>
      <c r="PUO167" s="102"/>
      <c r="PUP167" s="102"/>
      <c r="PUQ167" s="102"/>
      <c r="PUR167" s="102"/>
      <c r="PUS167" s="102"/>
      <c r="PUT167" s="102"/>
      <c r="PUU167" s="102"/>
      <c r="PUV167" s="102"/>
      <c r="PUW167" s="102"/>
      <c r="PUX167" s="102"/>
      <c r="PUY167" s="102"/>
      <c r="PUZ167" s="102"/>
      <c r="PVA167" s="102"/>
      <c r="PVB167" s="102"/>
      <c r="PVC167" s="102"/>
      <c r="PVD167" s="102"/>
      <c r="PVE167" s="102"/>
      <c r="PVF167" s="102"/>
      <c r="PVG167" s="102"/>
      <c r="PVH167" s="102"/>
      <c r="PVI167" s="102"/>
      <c r="PVJ167" s="102"/>
      <c r="PVK167" s="102"/>
      <c r="PVL167" s="102"/>
      <c r="PVM167" s="102"/>
      <c r="PVN167" s="102"/>
      <c r="PVO167" s="102"/>
      <c r="PVP167" s="102"/>
      <c r="PVQ167" s="102"/>
      <c r="PVR167" s="102"/>
      <c r="PVS167" s="102"/>
      <c r="PVT167" s="102"/>
      <c r="PVU167" s="102"/>
      <c r="PVV167" s="102"/>
      <c r="PVW167" s="102"/>
      <c r="PVX167" s="102"/>
      <c r="PVY167" s="102"/>
      <c r="PVZ167" s="102"/>
      <c r="PWA167" s="102"/>
      <c r="PWB167" s="102"/>
      <c r="PWC167" s="102"/>
      <c r="PWD167" s="102"/>
      <c r="PWE167" s="102"/>
      <c r="PWF167" s="102"/>
      <c r="PWG167" s="102"/>
      <c r="PWH167" s="102"/>
      <c r="PWI167" s="102"/>
      <c r="PWJ167" s="102"/>
      <c r="PWK167" s="102"/>
      <c r="PWL167" s="102"/>
      <c r="PWM167" s="102"/>
      <c r="PWN167" s="102"/>
      <c r="PWO167" s="102"/>
      <c r="PWP167" s="102"/>
      <c r="PWQ167" s="102"/>
      <c r="PWR167" s="102"/>
      <c r="PWS167" s="102"/>
      <c r="PWT167" s="102"/>
      <c r="PWU167" s="102"/>
      <c r="PWV167" s="102"/>
      <c r="PWW167" s="102"/>
      <c r="PWX167" s="102"/>
      <c r="PWY167" s="102"/>
      <c r="PWZ167" s="102"/>
      <c r="PXA167" s="102"/>
      <c r="PXB167" s="102"/>
      <c r="PXC167" s="102"/>
      <c r="PXD167" s="102"/>
      <c r="PXE167" s="102"/>
      <c r="PXF167" s="102"/>
      <c r="PXG167" s="102"/>
      <c r="PXH167" s="102"/>
      <c r="PXI167" s="102"/>
      <c r="PXJ167" s="102"/>
      <c r="PXK167" s="102"/>
      <c r="PXL167" s="102"/>
      <c r="PXM167" s="102"/>
      <c r="PXN167" s="102"/>
      <c r="PXO167" s="102"/>
      <c r="PXP167" s="102"/>
      <c r="PXQ167" s="102"/>
      <c r="PXR167" s="102"/>
      <c r="PXS167" s="102"/>
      <c r="PXT167" s="102"/>
      <c r="PXU167" s="102"/>
      <c r="PXV167" s="102"/>
      <c r="PXW167" s="102"/>
      <c r="PXX167" s="102"/>
      <c r="PXY167" s="102"/>
      <c r="PXZ167" s="102"/>
      <c r="PYA167" s="102"/>
      <c r="PYB167" s="102"/>
      <c r="PYC167" s="102"/>
      <c r="PYD167" s="102"/>
      <c r="PYE167" s="102"/>
      <c r="PYF167" s="102"/>
      <c r="PYG167" s="102"/>
      <c r="PYH167" s="102"/>
      <c r="PYI167" s="102"/>
      <c r="PYJ167" s="102"/>
      <c r="PYK167" s="102"/>
      <c r="PYL167" s="102"/>
      <c r="PYM167" s="102"/>
      <c r="PYN167" s="102"/>
      <c r="PYO167" s="102"/>
      <c r="PYP167" s="102"/>
      <c r="PYQ167" s="102"/>
      <c r="PYR167" s="102"/>
      <c r="PYS167" s="102"/>
      <c r="PYT167" s="102"/>
      <c r="PYU167" s="102"/>
      <c r="PYV167" s="102"/>
      <c r="PYW167" s="102"/>
      <c r="PYX167" s="102"/>
      <c r="PYY167" s="102"/>
      <c r="PYZ167" s="102"/>
      <c r="PZA167" s="102"/>
      <c r="PZB167" s="102"/>
      <c r="PZC167" s="102"/>
      <c r="PZD167" s="102"/>
      <c r="PZE167" s="102"/>
      <c r="PZF167" s="102"/>
      <c r="PZG167" s="102"/>
      <c r="PZH167" s="102"/>
      <c r="PZI167" s="102"/>
      <c r="PZJ167" s="102"/>
      <c r="PZK167" s="102"/>
      <c r="PZL167" s="102"/>
      <c r="PZM167" s="102"/>
      <c r="PZN167" s="102"/>
      <c r="PZO167" s="102"/>
      <c r="PZP167" s="102"/>
      <c r="PZQ167" s="102"/>
      <c r="PZR167" s="102"/>
      <c r="PZS167" s="102"/>
      <c r="PZT167" s="102"/>
      <c r="PZU167" s="102"/>
      <c r="PZV167" s="102"/>
      <c r="PZW167" s="102"/>
      <c r="PZX167" s="102"/>
      <c r="PZY167" s="102"/>
      <c r="PZZ167" s="102"/>
      <c r="QAA167" s="102"/>
      <c r="QAB167" s="102"/>
      <c r="QAC167" s="102"/>
      <c r="QAD167" s="102"/>
      <c r="QAE167" s="102"/>
      <c r="QAF167" s="102"/>
      <c r="QAG167" s="102"/>
      <c r="QAH167" s="102"/>
      <c r="QAI167" s="102"/>
      <c r="QAJ167" s="102"/>
      <c r="QAK167" s="102"/>
      <c r="QAL167" s="102"/>
      <c r="QAM167" s="102"/>
      <c r="QAN167" s="102"/>
      <c r="QAO167" s="102"/>
      <c r="QAP167" s="102"/>
      <c r="QAQ167" s="102"/>
      <c r="QAR167" s="102"/>
      <c r="QAS167" s="102"/>
      <c r="QAT167" s="102"/>
      <c r="QAU167" s="102"/>
      <c r="QAV167" s="102"/>
      <c r="QAW167" s="102"/>
      <c r="QAX167" s="102"/>
      <c r="QAY167" s="102"/>
      <c r="QAZ167" s="102"/>
      <c r="QBA167" s="102"/>
      <c r="QBB167" s="102"/>
      <c r="QBC167" s="102"/>
      <c r="QBD167" s="102"/>
      <c r="QBE167" s="102"/>
      <c r="QBF167" s="102"/>
      <c r="QBG167" s="102"/>
      <c r="QBH167" s="102"/>
      <c r="QBI167" s="102"/>
      <c r="QBJ167" s="102"/>
      <c r="QBK167" s="102"/>
      <c r="QBL167" s="102"/>
      <c r="QBM167" s="102"/>
      <c r="QBN167" s="102"/>
      <c r="QBO167" s="102"/>
      <c r="QBP167" s="102"/>
      <c r="QBQ167" s="102"/>
      <c r="QBR167" s="102"/>
      <c r="QBS167" s="102"/>
      <c r="QBT167" s="102"/>
      <c r="QBU167" s="102"/>
      <c r="QBV167" s="102"/>
      <c r="QBW167" s="102"/>
      <c r="QBX167" s="102"/>
      <c r="QBY167" s="102"/>
      <c r="QBZ167" s="102"/>
      <c r="QCA167" s="102"/>
      <c r="QCB167" s="102"/>
      <c r="QCC167" s="102"/>
      <c r="QCD167" s="102"/>
      <c r="QCE167" s="102"/>
      <c r="QCF167" s="102"/>
      <c r="QCG167" s="102"/>
      <c r="QCH167" s="102"/>
      <c r="QCI167" s="102"/>
      <c r="QCJ167" s="102"/>
      <c r="QCK167" s="102"/>
      <c r="QCL167" s="102"/>
      <c r="QCM167" s="102"/>
      <c r="QCN167" s="102"/>
      <c r="QCO167" s="102"/>
      <c r="QCP167" s="102"/>
      <c r="QCQ167" s="102"/>
      <c r="QCR167" s="102"/>
      <c r="QCS167" s="102"/>
      <c r="QCT167" s="102"/>
      <c r="QCU167" s="102"/>
      <c r="QCV167" s="102"/>
      <c r="QCW167" s="102"/>
      <c r="QCX167" s="102"/>
      <c r="QCY167" s="102"/>
      <c r="QCZ167" s="102"/>
      <c r="QDA167" s="102"/>
      <c r="QDB167" s="102"/>
      <c r="QDC167" s="102"/>
      <c r="QDD167" s="102"/>
      <c r="QDE167" s="102"/>
      <c r="QDF167" s="102"/>
      <c r="QDG167" s="102"/>
      <c r="QDH167" s="102"/>
      <c r="QDI167" s="102"/>
      <c r="QDJ167" s="102"/>
      <c r="QDK167" s="102"/>
      <c r="QDL167" s="102"/>
      <c r="QDM167" s="102"/>
      <c r="QDN167" s="102"/>
      <c r="QDO167" s="102"/>
      <c r="QDP167" s="102"/>
      <c r="QDQ167" s="102"/>
      <c r="QDR167" s="102"/>
      <c r="QDS167" s="102"/>
      <c r="QDT167" s="102"/>
      <c r="QDU167" s="102"/>
      <c r="QDV167" s="102"/>
      <c r="QDW167" s="102"/>
      <c r="QDX167" s="102"/>
      <c r="QDY167" s="102"/>
      <c r="QDZ167" s="102"/>
      <c r="QEA167" s="102"/>
      <c r="QEB167" s="102"/>
      <c r="QEC167" s="102"/>
      <c r="QED167" s="102"/>
      <c r="QEE167" s="102"/>
      <c r="QEF167" s="102"/>
      <c r="QEG167" s="102"/>
      <c r="QEH167" s="102"/>
      <c r="QEI167" s="102"/>
      <c r="QEJ167" s="102"/>
      <c r="QEK167" s="102"/>
      <c r="QEL167" s="102"/>
      <c r="QEM167" s="102"/>
      <c r="QEN167" s="102"/>
      <c r="QEO167" s="102"/>
      <c r="QEP167" s="102"/>
      <c r="QEQ167" s="102"/>
      <c r="QER167" s="102"/>
      <c r="QES167" s="102"/>
      <c r="QET167" s="102"/>
      <c r="QEU167" s="102"/>
      <c r="QEV167" s="102"/>
      <c r="QEW167" s="102"/>
      <c r="QEX167" s="102"/>
      <c r="QEY167" s="102"/>
      <c r="QEZ167" s="102"/>
      <c r="QFA167" s="102"/>
      <c r="QFB167" s="102"/>
      <c r="QFC167" s="102"/>
      <c r="QFD167" s="102"/>
      <c r="QFE167" s="102"/>
      <c r="QFF167" s="102"/>
      <c r="QFG167" s="102"/>
      <c r="QFH167" s="102"/>
      <c r="QFI167" s="102"/>
      <c r="QFJ167" s="102"/>
      <c r="QFK167" s="102"/>
      <c r="QFL167" s="102"/>
      <c r="QFM167" s="102"/>
      <c r="QFN167" s="102"/>
      <c r="QFO167" s="102"/>
      <c r="QFP167" s="102"/>
      <c r="QFQ167" s="102"/>
      <c r="QFR167" s="102"/>
      <c r="QFS167" s="102"/>
      <c r="QFT167" s="102"/>
      <c r="QFU167" s="102"/>
      <c r="QFV167" s="102"/>
      <c r="QFW167" s="102"/>
      <c r="QFX167" s="102"/>
      <c r="QFY167" s="102"/>
      <c r="QFZ167" s="102"/>
      <c r="QGA167" s="102"/>
      <c r="QGB167" s="102"/>
      <c r="QGC167" s="102"/>
      <c r="QGD167" s="102"/>
      <c r="QGE167" s="102"/>
      <c r="QGF167" s="102"/>
      <c r="QGG167" s="102"/>
      <c r="QGH167" s="102"/>
      <c r="QGI167" s="102"/>
      <c r="QGJ167" s="102"/>
      <c r="QGK167" s="102"/>
      <c r="QGL167" s="102"/>
      <c r="QGM167" s="102"/>
      <c r="QGN167" s="102"/>
      <c r="QGO167" s="102"/>
      <c r="QGP167" s="102"/>
      <c r="QGQ167" s="102"/>
      <c r="QGR167" s="102"/>
      <c r="QGS167" s="102"/>
      <c r="QGT167" s="102"/>
      <c r="QGU167" s="102"/>
      <c r="QGV167" s="102"/>
      <c r="QGW167" s="102"/>
      <c r="QGX167" s="102"/>
      <c r="QGY167" s="102"/>
      <c r="QGZ167" s="102"/>
      <c r="QHA167" s="102"/>
      <c r="QHB167" s="102"/>
      <c r="QHC167" s="102"/>
      <c r="QHD167" s="102"/>
      <c r="QHE167" s="102"/>
      <c r="QHF167" s="102"/>
      <c r="QHG167" s="102"/>
      <c r="QHH167" s="102"/>
      <c r="QHI167" s="102"/>
      <c r="QHJ167" s="102"/>
      <c r="QHK167" s="102"/>
      <c r="QHL167" s="102"/>
      <c r="QHM167" s="102"/>
      <c r="QHN167" s="102"/>
      <c r="QHO167" s="102"/>
      <c r="QHP167" s="102"/>
      <c r="QHQ167" s="102"/>
      <c r="QHR167" s="102"/>
      <c r="QHS167" s="102"/>
      <c r="QHT167" s="102"/>
      <c r="QHU167" s="102"/>
      <c r="QHV167" s="102"/>
      <c r="QHW167" s="102"/>
      <c r="QHX167" s="102"/>
      <c r="QHY167" s="102"/>
      <c r="QHZ167" s="102"/>
      <c r="QIA167" s="102"/>
      <c r="QIB167" s="102"/>
      <c r="QIC167" s="102"/>
      <c r="QID167" s="102"/>
      <c r="QIE167" s="102"/>
      <c r="QIF167" s="102"/>
      <c r="QIG167" s="102"/>
      <c r="QIH167" s="102"/>
      <c r="QII167" s="102"/>
      <c r="QIJ167" s="102"/>
      <c r="QIK167" s="102"/>
      <c r="QIL167" s="102"/>
      <c r="QIM167" s="102"/>
      <c r="QIN167" s="102"/>
      <c r="QIO167" s="102"/>
      <c r="QIP167" s="102"/>
      <c r="QIQ167" s="102"/>
      <c r="QIR167" s="102"/>
      <c r="QIS167" s="102"/>
      <c r="QIT167" s="102"/>
      <c r="QIU167" s="102"/>
      <c r="QIV167" s="102"/>
      <c r="QIW167" s="102"/>
      <c r="QIX167" s="102"/>
      <c r="QIY167" s="102"/>
      <c r="QIZ167" s="102"/>
      <c r="QJA167" s="102"/>
      <c r="QJB167" s="102"/>
      <c r="QJC167" s="102"/>
      <c r="QJD167" s="102"/>
      <c r="QJE167" s="102"/>
      <c r="QJF167" s="102"/>
      <c r="QJG167" s="102"/>
      <c r="QJH167" s="102"/>
      <c r="QJI167" s="102"/>
      <c r="QJJ167" s="102"/>
      <c r="QJK167" s="102"/>
      <c r="QJL167" s="102"/>
      <c r="QJM167" s="102"/>
      <c r="QJN167" s="102"/>
      <c r="QJO167" s="102"/>
      <c r="QJP167" s="102"/>
      <c r="QJQ167" s="102"/>
      <c r="QJR167" s="102"/>
      <c r="QJS167" s="102"/>
      <c r="QJT167" s="102"/>
      <c r="QJU167" s="102"/>
      <c r="QJV167" s="102"/>
      <c r="QJW167" s="102"/>
      <c r="QJX167" s="102"/>
      <c r="QJY167" s="102"/>
      <c r="QJZ167" s="102"/>
      <c r="QKA167" s="102"/>
      <c r="QKB167" s="102"/>
      <c r="QKC167" s="102"/>
      <c r="QKD167" s="102"/>
      <c r="QKE167" s="102"/>
      <c r="QKF167" s="102"/>
      <c r="QKG167" s="102"/>
      <c r="QKH167" s="102"/>
      <c r="QKI167" s="102"/>
      <c r="QKJ167" s="102"/>
      <c r="QKK167" s="102"/>
      <c r="QKL167" s="102"/>
      <c r="QKM167" s="102"/>
      <c r="QKN167" s="102"/>
      <c r="QKO167" s="102"/>
      <c r="QKP167" s="102"/>
      <c r="QKQ167" s="102"/>
      <c r="QKR167" s="102"/>
      <c r="QKS167" s="102"/>
      <c r="QKT167" s="102"/>
      <c r="QKU167" s="102"/>
      <c r="QKV167" s="102"/>
      <c r="QKW167" s="102"/>
      <c r="QKX167" s="102"/>
      <c r="QKY167" s="102"/>
      <c r="QKZ167" s="102"/>
      <c r="QLA167" s="102"/>
      <c r="QLB167" s="102"/>
      <c r="QLC167" s="102"/>
      <c r="QLD167" s="102"/>
      <c r="QLE167" s="102"/>
      <c r="QLF167" s="102"/>
      <c r="QLG167" s="102"/>
      <c r="QLH167" s="102"/>
      <c r="QLI167" s="102"/>
      <c r="QLJ167" s="102"/>
      <c r="QLK167" s="102"/>
      <c r="QLL167" s="102"/>
      <c r="QLM167" s="102"/>
      <c r="QLN167" s="102"/>
      <c r="QLO167" s="102"/>
      <c r="QLP167" s="102"/>
      <c r="QLQ167" s="102"/>
      <c r="QLR167" s="102"/>
      <c r="QLS167" s="102"/>
      <c r="QLT167" s="102"/>
      <c r="QLU167" s="102"/>
      <c r="QLV167" s="102"/>
      <c r="QLW167" s="102"/>
      <c r="QLX167" s="102"/>
      <c r="QLY167" s="102"/>
      <c r="QLZ167" s="102"/>
      <c r="QMA167" s="102"/>
      <c r="QMB167" s="102"/>
      <c r="QMC167" s="102"/>
      <c r="QMD167" s="102"/>
      <c r="QME167" s="102"/>
      <c r="QMF167" s="102"/>
      <c r="QMG167" s="102"/>
      <c r="QMH167" s="102"/>
      <c r="QMI167" s="102"/>
      <c r="QMJ167" s="102"/>
      <c r="QMK167" s="102"/>
      <c r="QML167" s="102"/>
      <c r="QMM167" s="102"/>
      <c r="QMN167" s="102"/>
      <c r="QMO167" s="102"/>
      <c r="QMP167" s="102"/>
      <c r="QMQ167" s="102"/>
      <c r="QMR167" s="102"/>
      <c r="QMS167" s="102"/>
      <c r="QMT167" s="102"/>
      <c r="QMU167" s="102"/>
      <c r="QMV167" s="102"/>
      <c r="QMW167" s="102"/>
      <c r="QMX167" s="102"/>
      <c r="QMY167" s="102"/>
      <c r="QMZ167" s="102"/>
      <c r="QNA167" s="102"/>
      <c r="QNB167" s="102"/>
      <c r="QNC167" s="102"/>
      <c r="QND167" s="102"/>
      <c r="QNE167" s="102"/>
      <c r="QNF167" s="102"/>
      <c r="QNG167" s="102"/>
      <c r="QNH167" s="102"/>
      <c r="QNI167" s="102"/>
      <c r="QNJ167" s="102"/>
      <c r="QNK167" s="102"/>
      <c r="QNL167" s="102"/>
      <c r="QNM167" s="102"/>
      <c r="QNN167" s="102"/>
      <c r="QNO167" s="102"/>
      <c r="QNP167" s="102"/>
      <c r="QNQ167" s="102"/>
      <c r="QNR167" s="102"/>
      <c r="QNS167" s="102"/>
      <c r="QNT167" s="102"/>
      <c r="QNU167" s="102"/>
      <c r="QNV167" s="102"/>
      <c r="QNW167" s="102"/>
      <c r="QNX167" s="102"/>
      <c r="QNY167" s="102"/>
      <c r="QNZ167" s="102"/>
      <c r="QOA167" s="102"/>
      <c r="QOB167" s="102"/>
      <c r="QOC167" s="102"/>
      <c r="QOD167" s="102"/>
      <c r="QOE167" s="102"/>
      <c r="QOF167" s="102"/>
      <c r="QOG167" s="102"/>
      <c r="QOH167" s="102"/>
      <c r="QOI167" s="102"/>
      <c r="QOJ167" s="102"/>
      <c r="QOK167" s="102"/>
      <c r="QOL167" s="102"/>
      <c r="QOM167" s="102"/>
      <c r="QON167" s="102"/>
      <c r="QOO167" s="102"/>
      <c r="QOP167" s="102"/>
      <c r="QOQ167" s="102"/>
      <c r="QOR167" s="102"/>
      <c r="QOS167" s="102"/>
      <c r="QOT167" s="102"/>
      <c r="QOU167" s="102"/>
      <c r="QOV167" s="102"/>
      <c r="QOW167" s="102"/>
      <c r="QOX167" s="102"/>
      <c r="QOY167" s="102"/>
      <c r="QOZ167" s="102"/>
      <c r="QPA167" s="102"/>
      <c r="QPB167" s="102"/>
      <c r="QPC167" s="102"/>
      <c r="QPD167" s="102"/>
      <c r="QPE167" s="102"/>
      <c r="QPF167" s="102"/>
      <c r="QPG167" s="102"/>
      <c r="QPH167" s="102"/>
      <c r="QPI167" s="102"/>
      <c r="QPJ167" s="102"/>
      <c r="QPK167" s="102"/>
      <c r="QPL167" s="102"/>
      <c r="QPM167" s="102"/>
      <c r="QPN167" s="102"/>
      <c r="QPO167" s="102"/>
      <c r="QPP167" s="102"/>
      <c r="QPQ167" s="102"/>
      <c r="QPR167" s="102"/>
      <c r="QPS167" s="102"/>
      <c r="QPT167" s="102"/>
      <c r="QPU167" s="102"/>
      <c r="QPV167" s="102"/>
      <c r="QPW167" s="102"/>
      <c r="QPX167" s="102"/>
      <c r="QPY167" s="102"/>
      <c r="QPZ167" s="102"/>
      <c r="QQA167" s="102"/>
      <c r="QQB167" s="102"/>
      <c r="QQC167" s="102"/>
      <c r="QQD167" s="102"/>
      <c r="QQE167" s="102"/>
      <c r="QQF167" s="102"/>
      <c r="QQG167" s="102"/>
      <c r="QQH167" s="102"/>
      <c r="QQI167" s="102"/>
      <c r="QQJ167" s="102"/>
      <c r="QQK167" s="102"/>
      <c r="QQL167" s="102"/>
      <c r="QQM167" s="102"/>
      <c r="QQN167" s="102"/>
      <c r="QQO167" s="102"/>
      <c r="QQP167" s="102"/>
      <c r="QQQ167" s="102"/>
      <c r="QQR167" s="102"/>
      <c r="QQS167" s="102"/>
      <c r="QQT167" s="102"/>
      <c r="QQU167" s="102"/>
      <c r="QQV167" s="102"/>
      <c r="QQW167" s="102"/>
      <c r="QQX167" s="102"/>
      <c r="QQY167" s="102"/>
      <c r="QQZ167" s="102"/>
      <c r="QRA167" s="102"/>
      <c r="QRB167" s="102"/>
      <c r="QRC167" s="102"/>
      <c r="QRD167" s="102"/>
      <c r="QRE167" s="102"/>
      <c r="QRF167" s="102"/>
      <c r="QRG167" s="102"/>
      <c r="QRH167" s="102"/>
      <c r="QRI167" s="102"/>
      <c r="QRJ167" s="102"/>
      <c r="QRK167" s="102"/>
      <c r="QRL167" s="102"/>
      <c r="QRM167" s="102"/>
      <c r="QRN167" s="102"/>
      <c r="QRO167" s="102"/>
      <c r="QRP167" s="102"/>
      <c r="QRQ167" s="102"/>
      <c r="QRR167" s="102"/>
      <c r="QRS167" s="102"/>
      <c r="QRT167" s="102"/>
      <c r="QRU167" s="102"/>
      <c r="QRV167" s="102"/>
      <c r="QRW167" s="102"/>
      <c r="QRX167" s="102"/>
      <c r="QRY167" s="102"/>
      <c r="QRZ167" s="102"/>
      <c r="QSA167" s="102"/>
      <c r="QSB167" s="102"/>
      <c r="QSC167" s="102"/>
      <c r="QSD167" s="102"/>
      <c r="QSE167" s="102"/>
      <c r="QSF167" s="102"/>
      <c r="QSG167" s="102"/>
      <c r="QSH167" s="102"/>
      <c r="QSI167" s="102"/>
      <c r="QSJ167" s="102"/>
      <c r="QSK167" s="102"/>
      <c r="QSL167" s="102"/>
      <c r="QSM167" s="102"/>
      <c r="QSN167" s="102"/>
      <c r="QSO167" s="102"/>
      <c r="QSP167" s="102"/>
      <c r="QSQ167" s="102"/>
      <c r="QSR167" s="102"/>
      <c r="QSS167" s="102"/>
      <c r="QST167" s="102"/>
      <c r="QSU167" s="102"/>
      <c r="QSV167" s="102"/>
      <c r="QSW167" s="102"/>
      <c r="QSX167" s="102"/>
      <c r="QSY167" s="102"/>
      <c r="QSZ167" s="102"/>
      <c r="QTA167" s="102"/>
      <c r="QTB167" s="102"/>
      <c r="QTC167" s="102"/>
      <c r="QTD167" s="102"/>
      <c r="QTE167" s="102"/>
      <c r="QTF167" s="102"/>
      <c r="QTG167" s="102"/>
      <c r="QTH167" s="102"/>
      <c r="QTI167" s="102"/>
      <c r="QTJ167" s="102"/>
      <c r="QTK167" s="102"/>
      <c r="QTL167" s="102"/>
      <c r="QTM167" s="102"/>
      <c r="QTN167" s="102"/>
      <c r="QTO167" s="102"/>
      <c r="QTP167" s="102"/>
      <c r="QTQ167" s="102"/>
      <c r="QTR167" s="102"/>
      <c r="QTS167" s="102"/>
      <c r="QTT167" s="102"/>
      <c r="QTU167" s="102"/>
      <c r="QTV167" s="102"/>
      <c r="QTW167" s="102"/>
      <c r="QTX167" s="102"/>
      <c r="QTY167" s="102"/>
      <c r="QTZ167" s="102"/>
      <c r="QUA167" s="102"/>
      <c r="QUB167" s="102"/>
      <c r="QUC167" s="102"/>
      <c r="QUD167" s="102"/>
      <c r="QUE167" s="102"/>
      <c r="QUF167" s="102"/>
      <c r="QUG167" s="102"/>
      <c r="QUH167" s="102"/>
      <c r="QUI167" s="102"/>
      <c r="QUJ167" s="102"/>
      <c r="QUK167" s="102"/>
      <c r="QUL167" s="102"/>
      <c r="QUM167" s="102"/>
      <c r="QUN167" s="102"/>
      <c r="QUO167" s="102"/>
      <c r="QUP167" s="102"/>
      <c r="QUQ167" s="102"/>
      <c r="QUR167" s="102"/>
      <c r="QUS167" s="102"/>
      <c r="QUT167" s="102"/>
      <c r="QUU167" s="102"/>
      <c r="QUV167" s="102"/>
      <c r="QUW167" s="102"/>
      <c r="QUX167" s="102"/>
      <c r="QUY167" s="102"/>
      <c r="QUZ167" s="102"/>
      <c r="QVA167" s="102"/>
      <c r="QVB167" s="102"/>
      <c r="QVC167" s="102"/>
      <c r="QVD167" s="102"/>
      <c r="QVE167" s="102"/>
      <c r="QVF167" s="102"/>
      <c r="QVG167" s="102"/>
      <c r="QVH167" s="102"/>
      <c r="QVI167" s="102"/>
      <c r="QVJ167" s="102"/>
      <c r="QVK167" s="102"/>
      <c r="QVL167" s="102"/>
      <c r="QVM167" s="102"/>
      <c r="QVN167" s="102"/>
      <c r="QVO167" s="102"/>
      <c r="QVP167" s="102"/>
      <c r="QVQ167" s="102"/>
      <c r="QVR167" s="102"/>
      <c r="QVS167" s="102"/>
      <c r="QVT167" s="102"/>
      <c r="QVU167" s="102"/>
      <c r="QVV167" s="102"/>
      <c r="QVW167" s="102"/>
      <c r="QVX167" s="102"/>
      <c r="QVY167" s="102"/>
      <c r="QVZ167" s="102"/>
      <c r="QWA167" s="102"/>
      <c r="QWB167" s="102"/>
      <c r="QWC167" s="102"/>
      <c r="QWD167" s="102"/>
      <c r="QWE167" s="102"/>
      <c r="QWF167" s="102"/>
      <c r="QWG167" s="102"/>
      <c r="QWH167" s="102"/>
      <c r="QWI167" s="102"/>
      <c r="QWJ167" s="102"/>
      <c r="QWK167" s="102"/>
      <c r="QWL167" s="102"/>
      <c r="QWM167" s="102"/>
      <c r="QWN167" s="102"/>
      <c r="QWO167" s="102"/>
      <c r="QWP167" s="102"/>
      <c r="QWQ167" s="102"/>
      <c r="QWR167" s="102"/>
      <c r="QWS167" s="102"/>
      <c r="QWT167" s="102"/>
      <c r="QWU167" s="102"/>
      <c r="QWV167" s="102"/>
      <c r="QWW167" s="102"/>
      <c r="QWX167" s="102"/>
      <c r="QWY167" s="102"/>
      <c r="QWZ167" s="102"/>
      <c r="QXA167" s="102"/>
      <c r="QXB167" s="102"/>
      <c r="QXC167" s="102"/>
      <c r="QXD167" s="102"/>
      <c r="QXE167" s="102"/>
      <c r="QXF167" s="102"/>
      <c r="QXG167" s="102"/>
      <c r="QXH167" s="102"/>
      <c r="QXI167" s="102"/>
      <c r="QXJ167" s="102"/>
      <c r="QXK167" s="102"/>
      <c r="QXL167" s="102"/>
      <c r="QXM167" s="102"/>
      <c r="QXN167" s="102"/>
      <c r="QXO167" s="102"/>
      <c r="QXP167" s="102"/>
      <c r="QXQ167" s="102"/>
      <c r="QXR167" s="102"/>
      <c r="QXS167" s="102"/>
      <c r="QXT167" s="102"/>
      <c r="QXU167" s="102"/>
      <c r="QXV167" s="102"/>
      <c r="QXW167" s="102"/>
      <c r="QXX167" s="102"/>
      <c r="QXY167" s="102"/>
      <c r="QXZ167" s="102"/>
      <c r="QYA167" s="102"/>
      <c r="QYB167" s="102"/>
      <c r="QYC167" s="102"/>
      <c r="QYD167" s="102"/>
      <c r="QYE167" s="102"/>
      <c r="QYF167" s="102"/>
      <c r="QYG167" s="102"/>
      <c r="QYH167" s="102"/>
      <c r="QYI167" s="102"/>
      <c r="QYJ167" s="102"/>
      <c r="QYK167" s="102"/>
      <c r="QYL167" s="102"/>
      <c r="QYM167" s="102"/>
      <c r="QYN167" s="102"/>
      <c r="QYO167" s="102"/>
      <c r="QYP167" s="102"/>
      <c r="QYQ167" s="102"/>
      <c r="QYR167" s="102"/>
      <c r="QYS167" s="102"/>
      <c r="QYT167" s="102"/>
      <c r="QYU167" s="102"/>
      <c r="QYV167" s="102"/>
      <c r="QYW167" s="102"/>
      <c r="QYX167" s="102"/>
      <c r="QYY167" s="102"/>
      <c r="QYZ167" s="102"/>
      <c r="QZA167" s="102"/>
      <c r="QZB167" s="102"/>
      <c r="QZC167" s="102"/>
      <c r="QZD167" s="102"/>
      <c r="QZE167" s="102"/>
      <c r="QZF167" s="102"/>
      <c r="QZG167" s="102"/>
      <c r="QZH167" s="102"/>
      <c r="QZI167" s="102"/>
      <c r="QZJ167" s="102"/>
      <c r="QZK167" s="102"/>
      <c r="QZL167" s="102"/>
      <c r="QZM167" s="102"/>
      <c r="QZN167" s="102"/>
      <c r="QZO167" s="102"/>
      <c r="QZP167" s="102"/>
      <c r="QZQ167" s="102"/>
      <c r="QZR167" s="102"/>
      <c r="QZS167" s="102"/>
      <c r="QZT167" s="102"/>
      <c r="QZU167" s="102"/>
      <c r="QZV167" s="102"/>
      <c r="QZW167" s="102"/>
      <c r="QZX167" s="102"/>
      <c r="QZY167" s="102"/>
      <c r="QZZ167" s="102"/>
      <c r="RAA167" s="102"/>
      <c r="RAB167" s="102"/>
      <c r="RAC167" s="102"/>
      <c r="RAD167" s="102"/>
      <c r="RAE167" s="102"/>
      <c r="RAF167" s="102"/>
      <c r="RAG167" s="102"/>
      <c r="RAH167" s="102"/>
      <c r="RAI167" s="102"/>
      <c r="RAJ167" s="102"/>
      <c r="RAK167" s="102"/>
      <c r="RAL167" s="102"/>
      <c r="RAM167" s="102"/>
      <c r="RAN167" s="102"/>
      <c r="RAO167" s="102"/>
      <c r="RAP167" s="102"/>
      <c r="RAQ167" s="102"/>
      <c r="RAR167" s="102"/>
      <c r="RAS167" s="102"/>
      <c r="RAT167" s="102"/>
      <c r="RAU167" s="102"/>
      <c r="RAV167" s="102"/>
      <c r="RAW167" s="102"/>
      <c r="RAX167" s="102"/>
      <c r="RAY167" s="102"/>
      <c r="RAZ167" s="102"/>
      <c r="RBA167" s="102"/>
      <c r="RBB167" s="102"/>
      <c r="RBC167" s="102"/>
      <c r="RBD167" s="102"/>
      <c r="RBE167" s="102"/>
      <c r="RBF167" s="102"/>
      <c r="RBG167" s="102"/>
      <c r="RBH167" s="102"/>
      <c r="RBI167" s="102"/>
      <c r="RBJ167" s="102"/>
      <c r="RBK167" s="102"/>
      <c r="RBL167" s="102"/>
      <c r="RBM167" s="102"/>
      <c r="RBN167" s="102"/>
      <c r="RBO167" s="102"/>
      <c r="RBP167" s="102"/>
      <c r="RBQ167" s="102"/>
      <c r="RBR167" s="102"/>
      <c r="RBS167" s="102"/>
      <c r="RBT167" s="102"/>
      <c r="RBU167" s="102"/>
      <c r="RBV167" s="102"/>
      <c r="RBW167" s="102"/>
      <c r="RBX167" s="102"/>
      <c r="RBY167" s="102"/>
      <c r="RBZ167" s="102"/>
      <c r="RCA167" s="102"/>
      <c r="RCB167" s="102"/>
      <c r="RCC167" s="102"/>
      <c r="RCD167" s="102"/>
      <c r="RCE167" s="102"/>
      <c r="RCF167" s="102"/>
      <c r="RCG167" s="102"/>
      <c r="RCH167" s="102"/>
      <c r="RCI167" s="102"/>
      <c r="RCJ167" s="102"/>
      <c r="RCK167" s="102"/>
      <c r="RCL167" s="102"/>
      <c r="RCM167" s="102"/>
      <c r="RCN167" s="102"/>
      <c r="RCO167" s="102"/>
      <c r="RCP167" s="102"/>
      <c r="RCQ167" s="102"/>
      <c r="RCR167" s="102"/>
      <c r="RCS167" s="102"/>
      <c r="RCT167" s="102"/>
      <c r="RCU167" s="102"/>
      <c r="RCV167" s="102"/>
      <c r="RCW167" s="102"/>
      <c r="RCX167" s="102"/>
      <c r="RCY167" s="102"/>
      <c r="RCZ167" s="102"/>
      <c r="RDA167" s="102"/>
      <c r="RDB167" s="102"/>
      <c r="RDC167" s="102"/>
      <c r="RDD167" s="102"/>
      <c r="RDE167" s="102"/>
      <c r="RDF167" s="102"/>
      <c r="RDG167" s="102"/>
      <c r="RDH167" s="102"/>
      <c r="RDI167" s="102"/>
      <c r="RDJ167" s="102"/>
      <c r="RDK167" s="102"/>
      <c r="RDL167" s="102"/>
      <c r="RDM167" s="102"/>
      <c r="RDN167" s="102"/>
      <c r="RDO167" s="102"/>
      <c r="RDP167" s="102"/>
      <c r="RDQ167" s="102"/>
      <c r="RDR167" s="102"/>
      <c r="RDS167" s="102"/>
      <c r="RDT167" s="102"/>
      <c r="RDU167" s="102"/>
      <c r="RDV167" s="102"/>
      <c r="RDW167" s="102"/>
      <c r="RDX167" s="102"/>
      <c r="RDY167" s="102"/>
      <c r="RDZ167" s="102"/>
      <c r="REA167" s="102"/>
      <c r="REB167" s="102"/>
      <c r="REC167" s="102"/>
      <c r="RED167" s="102"/>
      <c r="REE167" s="102"/>
      <c r="REF167" s="102"/>
      <c r="REG167" s="102"/>
      <c r="REH167" s="102"/>
      <c r="REI167" s="102"/>
      <c r="REJ167" s="102"/>
      <c r="REK167" s="102"/>
      <c r="REL167" s="102"/>
      <c r="REM167" s="102"/>
      <c r="REN167" s="102"/>
      <c r="REO167" s="102"/>
      <c r="REP167" s="102"/>
      <c r="REQ167" s="102"/>
      <c r="RER167" s="102"/>
      <c r="RES167" s="102"/>
      <c r="RET167" s="102"/>
      <c r="REU167" s="102"/>
      <c r="REV167" s="102"/>
      <c r="REW167" s="102"/>
      <c r="REX167" s="102"/>
      <c r="REY167" s="102"/>
      <c r="REZ167" s="102"/>
      <c r="RFA167" s="102"/>
      <c r="RFB167" s="102"/>
      <c r="RFC167" s="102"/>
      <c r="RFD167" s="102"/>
      <c r="RFE167" s="102"/>
      <c r="RFF167" s="102"/>
      <c r="RFG167" s="102"/>
      <c r="RFH167" s="102"/>
      <c r="RFI167" s="102"/>
      <c r="RFJ167" s="102"/>
      <c r="RFK167" s="102"/>
      <c r="RFL167" s="102"/>
      <c r="RFM167" s="102"/>
      <c r="RFN167" s="102"/>
      <c r="RFO167" s="102"/>
      <c r="RFP167" s="102"/>
      <c r="RFQ167" s="102"/>
      <c r="RFR167" s="102"/>
      <c r="RFS167" s="102"/>
      <c r="RFT167" s="102"/>
      <c r="RFU167" s="102"/>
      <c r="RFV167" s="102"/>
      <c r="RFW167" s="102"/>
      <c r="RFX167" s="102"/>
      <c r="RFY167" s="102"/>
      <c r="RFZ167" s="102"/>
      <c r="RGA167" s="102"/>
      <c r="RGB167" s="102"/>
      <c r="RGC167" s="102"/>
      <c r="RGD167" s="102"/>
      <c r="RGE167" s="102"/>
      <c r="RGF167" s="102"/>
      <c r="RGG167" s="102"/>
      <c r="RGH167" s="102"/>
      <c r="RGI167" s="102"/>
      <c r="RGJ167" s="102"/>
      <c r="RGK167" s="102"/>
      <c r="RGL167" s="102"/>
      <c r="RGM167" s="102"/>
      <c r="RGN167" s="102"/>
      <c r="RGO167" s="102"/>
      <c r="RGP167" s="102"/>
      <c r="RGQ167" s="102"/>
      <c r="RGR167" s="102"/>
      <c r="RGS167" s="102"/>
      <c r="RGT167" s="102"/>
      <c r="RGU167" s="102"/>
      <c r="RGV167" s="102"/>
      <c r="RGW167" s="102"/>
      <c r="RGX167" s="102"/>
      <c r="RGY167" s="102"/>
      <c r="RGZ167" s="102"/>
      <c r="RHA167" s="102"/>
      <c r="RHB167" s="102"/>
      <c r="RHC167" s="102"/>
      <c r="RHD167" s="102"/>
      <c r="RHE167" s="102"/>
      <c r="RHF167" s="102"/>
      <c r="RHG167" s="102"/>
      <c r="RHH167" s="102"/>
      <c r="RHI167" s="102"/>
      <c r="RHJ167" s="102"/>
      <c r="RHK167" s="102"/>
      <c r="RHL167" s="102"/>
      <c r="RHM167" s="102"/>
      <c r="RHN167" s="102"/>
      <c r="RHO167" s="102"/>
      <c r="RHP167" s="102"/>
      <c r="RHQ167" s="102"/>
      <c r="RHR167" s="102"/>
      <c r="RHS167" s="102"/>
      <c r="RHT167" s="102"/>
      <c r="RHU167" s="102"/>
      <c r="RHV167" s="102"/>
      <c r="RHW167" s="102"/>
      <c r="RHX167" s="102"/>
      <c r="RHY167" s="102"/>
      <c r="RHZ167" s="102"/>
      <c r="RIA167" s="102"/>
      <c r="RIB167" s="102"/>
      <c r="RIC167" s="102"/>
      <c r="RID167" s="102"/>
      <c r="RIE167" s="102"/>
      <c r="RIF167" s="102"/>
      <c r="RIG167" s="102"/>
      <c r="RIH167" s="102"/>
      <c r="RII167" s="102"/>
      <c r="RIJ167" s="102"/>
      <c r="RIK167" s="102"/>
      <c r="RIL167" s="102"/>
      <c r="RIM167" s="102"/>
      <c r="RIN167" s="102"/>
      <c r="RIO167" s="102"/>
      <c r="RIP167" s="102"/>
      <c r="RIQ167" s="102"/>
      <c r="RIR167" s="102"/>
      <c r="RIS167" s="102"/>
      <c r="RIT167" s="102"/>
      <c r="RIU167" s="102"/>
      <c r="RIV167" s="102"/>
      <c r="RIW167" s="102"/>
      <c r="RIX167" s="102"/>
      <c r="RIY167" s="102"/>
      <c r="RIZ167" s="102"/>
      <c r="RJA167" s="102"/>
      <c r="RJB167" s="102"/>
      <c r="RJC167" s="102"/>
      <c r="RJD167" s="102"/>
      <c r="RJE167" s="102"/>
      <c r="RJF167" s="102"/>
      <c r="RJG167" s="102"/>
      <c r="RJH167" s="102"/>
      <c r="RJI167" s="102"/>
      <c r="RJJ167" s="102"/>
      <c r="RJK167" s="102"/>
      <c r="RJL167" s="102"/>
      <c r="RJM167" s="102"/>
      <c r="RJN167" s="102"/>
      <c r="RJO167" s="102"/>
      <c r="RJP167" s="102"/>
      <c r="RJQ167" s="102"/>
      <c r="RJR167" s="102"/>
      <c r="RJS167" s="102"/>
      <c r="RJT167" s="102"/>
      <c r="RJU167" s="102"/>
      <c r="RJV167" s="102"/>
      <c r="RJW167" s="102"/>
      <c r="RJX167" s="102"/>
      <c r="RJY167" s="102"/>
      <c r="RJZ167" s="102"/>
      <c r="RKA167" s="102"/>
      <c r="RKB167" s="102"/>
      <c r="RKC167" s="102"/>
      <c r="RKD167" s="102"/>
      <c r="RKE167" s="102"/>
      <c r="RKF167" s="102"/>
      <c r="RKG167" s="102"/>
      <c r="RKH167" s="102"/>
      <c r="RKI167" s="102"/>
      <c r="RKJ167" s="102"/>
      <c r="RKK167" s="102"/>
      <c r="RKL167" s="102"/>
      <c r="RKM167" s="102"/>
      <c r="RKN167" s="102"/>
      <c r="RKO167" s="102"/>
      <c r="RKP167" s="102"/>
      <c r="RKQ167" s="102"/>
      <c r="RKR167" s="102"/>
      <c r="RKS167" s="102"/>
      <c r="RKT167" s="102"/>
      <c r="RKU167" s="102"/>
      <c r="RKV167" s="102"/>
      <c r="RKW167" s="102"/>
      <c r="RKX167" s="102"/>
      <c r="RKY167" s="102"/>
      <c r="RKZ167" s="102"/>
      <c r="RLA167" s="102"/>
      <c r="RLB167" s="102"/>
      <c r="RLC167" s="102"/>
      <c r="RLD167" s="102"/>
      <c r="RLE167" s="102"/>
      <c r="RLF167" s="102"/>
      <c r="RLG167" s="102"/>
      <c r="RLH167" s="102"/>
      <c r="RLI167" s="102"/>
      <c r="RLJ167" s="102"/>
      <c r="RLK167" s="102"/>
      <c r="RLL167" s="102"/>
      <c r="RLM167" s="102"/>
      <c r="RLN167" s="102"/>
      <c r="RLO167" s="102"/>
      <c r="RLP167" s="102"/>
      <c r="RLQ167" s="102"/>
      <c r="RLR167" s="102"/>
      <c r="RLS167" s="102"/>
      <c r="RLT167" s="102"/>
      <c r="RLU167" s="102"/>
      <c r="RLV167" s="102"/>
      <c r="RLW167" s="102"/>
      <c r="RLX167" s="102"/>
      <c r="RLY167" s="102"/>
      <c r="RLZ167" s="102"/>
      <c r="RMA167" s="102"/>
      <c r="RMB167" s="102"/>
      <c r="RMC167" s="102"/>
      <c r="RMD167" s="102"/>
      <c r="RME167" s="102"/>
      <c r="RMF167" s="102"/>
      <c r="RMG167" s="102"/>
      <c r="RMH167" s="102"/>
      <c r="RMI167" s="102"/>
      <c r="RMJ167" s="102"/>
      <c r="RMK167" s="102"/>
      <c r="RML167" s="102"/>
      <c r="RMM167" s="102"/>
      <c r="RMN167" s="102"/>
      <c r="RMO167" s="102"/>
      <c r="RMP167" s="102"/>
      <c r="RMQ167" s="102"/>
      <c r="RMR167" s="102"/>
      <c r="RMS167" s="102"/>
      <c r="RMT167" s="102"/>
      <c r="RMU167" s="102"/>
      <c r="RMV167" s="102"/>
      <c r="RMW167" s="102"/>
      <c r="RMX167" s="102"/>
      <c r="RMY167" s="102"/>
      <c r="RMZ167" s="102"/>
      <c r="RNA167" s="102"/>
      <c r="RNB167" s="102"/>
      <c r="RNC167" s="102"/>
      <c r="RND167" s="102"/>
      <c r="RNE167" s="102"/>
      <c r="RNF167" s="102"/>
      <c r="RNG167" s="102"/>
      <c r="RNH167" s="102"/>
      <c r="RNI167" s="102"/>
      <c r="RNJ167" s="102"/>
      <c r="RNK167" s="102"/>
      <c r="RNL167" s="102"/>
      <c r="RNM167" s="102"/>
      <c r="RNN167" s="102"/>
      <c r="RNO167" s="102"/>
      <c r="RNP167" s="102"/>
      <c r="RNQ167" s="102"/>
      <c r="RNR167" s="102"/>
      <c r="RNS167" s="102"/>
      <c r="RNT167" s="102"/>
      <c r="RNU167" s="102"/>
      <c r="RNV167" s="102"/>
      <c r="RNW167" s="102"/>
      <c r="RNX167" s="102"/>
      <c r="RNY167" s="102"/>
      <c r="RNZ167" s="102"/>
      <c r="ROA167" s="102"/>
      <c r="ROB167" s="102"/>
      <c r="ROC167" s="102"/>
      <c r="ROD167" s="102"/>
      <c r="ROE167" s="102"/>
      <c r="ROF167" s="102"/>
      <c r="ROG167" s="102"/>
      <c r="ROH167" s="102"/>
      <c r="ROI167" s="102"/>
      <c r="ROJ167" s="102"/>
      <c r="ROK167" s="102"/>
      <c r="ROL167" s="102"/>
      <c r="ROM167" s="102"/>
      <c r="RON167" s="102"/>
      <c r="ROO167" s="102"/>
      <c r="ROP167" s="102"/>
      <c r="ROQ167" s="102"/>
      <c r="ROR167" s="102"/>
      <c r="ROS167" s="102"/>
      <c r="ROT167" s="102"/>
      <c r="ROU167" s="102"/>
      <c r="ROV167" s="102"/>
      <c r="ROW167" s="102"/>
      <c r="ROX167" s="102"/>
      <c r="ROY167" s="102"/>
      <c r="ROZ167" s="102"/>
      <c r="RPA167" s="102"/>
      <c r="RPB167" s="102"/>
      <c r="RPC167" s="102"/>
      <c r="RPD167" s="102"/>
      <c r="RPE167" s="102"/>
      <c r="RPF167" s="102"/>
      <c r="RPG167" s="102"/>
      <c r="RPH167" s="102"/>
      <c r="RPI167" s="102"/>
      <c r="RPJ167" s="102"/>
      <c r="RPK167" s="102"/>
      <c r="RPL167" s="102"/>
      <c r="RPM167" s="102"/>
      <c r="RPN167" s="102"/>
      <c r="RPO167" s="102"/>
      <c r="RPP167" s="102"/>
      <c r="RPQ167" s="102"/>
      <c r="RPR167" s="102"/>
      <c r="RPS167" s="102"/>
      <c r="RPT167" s="102"/>
      <c r="RPU167" s="102"/>
      <c r="RPV167" s="102"/>
      <c r="RPW167" s="102"/>
      <c r="RPX167" s="102"/>
      <c r="RPY167" s="102"/>
      <c r="RPZ167" s="102"/>
      <c r="RQA167" s="102"/>
      <c r="RQB167" s="102"/>
      <c r="RQC167" s="102"/>
      <c r="RQD167" s="102"/>
      <c r="RQE167" s="102"/>
      <c r="RQF167" s="102"/>
      <c r="RQG167" s="102"/>
      <c r="RQH167" s="102"/>
      <c r="RQI167" s="102"/>
      <c r="RQJ167" s="102"/>
      <c r="RQK167" s="102"/>
      <c r="RQL167" s="102"/>
      <c r="RQM167" s="102"/>
      <c r="RQN167" s="102"/>
      <c r="RQO167" s="102"/>
      <c r="RQP167" s="102"/>
      <c r="RQQ167" s="102"/>
      <c r="RQR167" s="102"/>
      <c r="RQS167" s="102"/>
      <c r="RQT167" s="102"/>
      <c r="RQU167" s="102"/>
      <c r="RQV167" s="102"/>
      <c r="RQW167" s="102"/>
      <c r="RQX167" s="102"/>
      <c r="RQY167" s="102"/>
      <c r="RQZ167" s="102"/>
      <c r="RRA167" s="102"/>
      <c r="RRB167" s="102"/>
      <c r="RRC167" s="102"/>
      <c r="RRD167" s="102"/>
      <c r="RRE167" s="102"/>
      <c r="RRF167" s="102"/>
      <c r="RRG167" s="102"/>
      <c r="RRH167" s="102"/>
      <c r="RRI167" s="102"/>
      <c r="RRJ167" s="102"/>
      <c r="RRK167" s="102"/>
      <c r="RRL167" s="102"/>
      <c r="RRM167" s="102"/>
      <c r="RRN167" s="102"/>
      <c r="RRO167" s="102"/>
      <c r="RRP167" s="102"/>
      <c r="RRQ167" s="102"/>
      <c r="RRR167" s="102"/>
      <c r="RRS167" s="102"/>
      <c r="RRT167" s="102"/>
      <c r="RRU167" s="102"/>
      <c r="RRV167" s="102"/>
      <c r="RRW167" s="102"/>
      <c r="RRX167" s="102"/>
      <c r="RRY167" s="102"/>
      <c r="RRZ167" s="102"/>
      <c r="RSA167" s="102"/>
      <c r="RSB167" s="102"/>
      <c r="RSC167" s="102"/>
      <c r="RSD167" s="102"/>
      <c r="RSE167" s="102"/>
      <c r="RSF167" s="102"/>
      <c r="RSG167" s="102"/>
      <c r="RSH167" s="102"/>
      <c r="RSI167" s="102"/>
      <c r="RSJ167" s="102"/>
      <c r="RSK167" s="102"/>
      <c r="RSL167" s="102"/>
      <c r="RSM167" s="102"/>
      <c r="RSN167" s="102"/>
      <c r="RSO167" s="102"/>
      <c r="RSP167" s="102"/>
      <c r="RSQ167" s="102"/>
      <c r="RSR167" s="102"/>
      <c r="RSS167" s="102"/>
      <c r="RST167" s="102"/>
      <c r="RSU167" s="102"/>
      <c r="RSV167" s="102"/>
      <c r="RSW167" s="102"/>
      <c r="RSX167" s="102"/>
      <c r="RSY167" s="102"/>
      <c r="RSZ167" s="102"/>
      <c r="RTA167" s="102"/>
      <c r="RTB167" s="102"/>
      <c r="RTC167" s="102"/>
      <c r="RTD167" s="102"/>
      <c r="RTE167" s="102"/>
      <c r="RTF167" s="102"/>
      <c r="RTG167" s="102"/>
      <c r="RTH167" s="102"/>
      <c r="RTI167" s="102"/>
      <c r="RTJ167" s="102"/>
      <c r="RTK167" s="102"/>
      <c r="RTL167" s="102"/>
      <c r="RTM167" s="102"/>
      <c r="RTN167" s="102"/>
      <c r="RTO167" s="102"/>
      <c r="RTP167" s="102"/>
      <c r="RTQ167" s="102"/>
      <c r="RTR167" s="102"/>
      <c r="RTS167" s="102"/>
      <c r="RTT167" s="102"/>
      <c r="RTU167" s="102"/>
      <c r="RTV167" s="102"/>
      <c r="RTW167" s="102"/>
      <c r="RTX167" s="102"/>
      <c r="RTY167" s="102"/>
      <c r="RTZ167" s="102"/>
      <c r="RUA167" s="102"/>
      <c r="RUB167" s="102"/>
      <c r="RUC167" s="102"/>
      <c r="RUD167" s="102"/>
      <c r="RUE167" s="102"/>
      <c r="RUF167" s="102"/>
      <c r="RUG167" s="102"/>
      <c r="RUH167" s="102"/>
      <c r="RUI167" s="102"/>
      <c r="RUJ167" s="102"/>
      <c r="RUK167" s="102"/>
      <c r="RUL167" s="102"/>
      <c r="RUM167" s="102"/>
      <c r="RUN167" s="102"/>
      <c r="RUO167" s="102"/>
      <c r="RUP167" s="102"/>
      <c r="RUQ167" s="102"/>
      <c r="RUR167" s="102"/>
      <c r="RUS167" s="102"/>
      <c r="RUT167" s="102"/>
      <c r="RUU167" s="102"/>
      <c r="RUV167" s="102"/>
      <c r="RUW167" s="102"/>
      <c r="RUX167" s="102"/>
      <c r="RUY167" s="102"/>
      <c r="RUZ167" s="102"/>
      <c r="RVA167" s="102"/>
      <c r="RVB167" s="102"/>
      <c r="RVC167" s="102"/>
      <c r="RVD167" s="102"/>
      <c r="RVE167" s="102"/>
      <c r="RVF167" s="102"/>
      <c r="RVG167" s="102"/>
      <c r="RVH167" s="102"/>
      <c r="RVI167" s="102"/>
      <c r="RVJ167" s="102"/>
      <c r="RVK167" s="102"/>
      <c r="RVL167" s="102"/>
      <c r="RVM167" s="102"/>
      <c r="RVN167" s="102"/>
      <c r="RVO167" s="102"/>
      <c r="RVP167" s="102"/>
      <c r="RVQ167" s="102"/>
      <c r="RVR167" s="102"/>
      <c r="RVS167" s="102"/>
      <c r="RVT167" s="102"/>
      <c r="RVU167" s="102"/>
      <c r="RVV167" s="102"/>
      <c r="RVW167" s="102"/>
      <c r="RVX167" s="102"/>
      <c r="RVY167" s="102"/>
      <c r="RVZ167" s="102"/>
      <c r="RWA167" s="102"/>
      <c r="RWB167" s="102"/>
      <c r="RWC167" s="102"/>
      <c r="RWD167" s="102"/>
      <c r="RWE167" s="102"/>
      <c r="RWF167" s="102"/>
      <c r="RWG167" s="102"/>
      <c r="RWH167" s="102"/>
      <c r="RWI167" s="102"/>
      <c r="RWJ167" s="102"/>
      <c r="RWK167" s="102"/>
      <c r="RWL167" s="102"/>
      <c r="RWM167" s="102"/>
      <c r="RWN167" s="102"/>
      <c r="RWO167" s="102"/>
      <c r="RWP167" s="102"/>
      <c r="RWQ167" s="102"/>
      <c r="RWR167" s="102"/>
      <c r="RWS167" s="102"/>
      <c r="RWT167" s="102"/>
      <c r="RWU167" s="102"/>
      <c r="RWV167" s="102"/>
      <c r="RWW167" s="102"/>
      <c r="RWX167" s="102"/>
      <c r="RWY167" s="102"/>
      <c r="RWZ167" s="102"/>
      <c r="RXA167" s="102"/>
      <c r="RXB167" s="102"/>
      <c r="RXC167" s="102"/>
      <c r="RXD167" s="102"/>
      <c r="RXE167" s="102"/>
      <c r="RXF167" s="102"/>
      <c r="RXG167" s="102"/>
      <c r="RXH167" s="102"/>
      <c r="RXI167" s="102"/>
      <c r="RXJ167" s="102"/>
      <c r="RXK167" s="102"/>
      <c r="RXL167" s="102"/>
      <c r="RXM167" s="102"/>
      <c r="RXN167" s="102"/>
      <c r="RXO167" s="102"/>
      <c r="RXP167" s="102"/>
      <c r="RXQ167" s="102"/>
      <c r="RXR167" s="102"/>
      <c r="RXS167" s="102"/>
      <c r="RXT167" s="102"/>
      <c r="RXU167" s="102"/>
      <c r="RXV167" s="102"/>
      <c r="RXW167" s="102"/>
      <c r="RXX167" s="102"/>
      <c r="RXY167" s="102"/>
      <c r="RXZ167" s="102"/>
      <c r="RYA167" s="102"/>
      <c r="RYB167" s="102"/>
      <c r="RYC167" s="102"/>
      <c r="RYD167" s="102"/>
      <c r="RYE167" s="102"/>
      <c r="RYF167" s="102"/>
      <c r="RYG167" s="102"/>
      <c r="RYH167" s="102"/>
      <c r="RYI167" s="102"/>
      <c r="RYJ167" s="102"/>
      <c r="RYK167" s="102"/>
      <c r="RYL167" s="102"/>
      <c r="RYM167" s="102"/>
      <c r="RYN167" s="102"/>
      <c r="RYO167" s="102"/>
      <c r="RYP167" s="102"/>
      <c r="RYQ167" s="102"/>
      <c r="RYR167" s="102"/>
      <c r="RYS167" s="102"/>
      <c r="RYT167" s="102"/>
      <c r="RYU167" s="102"/>
      <c r="RYV167" s="102"/>
      <c r="RYW167" s="102"/>
      <c r="RYX167" s="102"/>
      <c r="RYY167" s="102"/>
      <c r="RYZ167" s="102"/>
      <c r="RZA167" s="102"/>
      <c r="RZB167" s="102"/>
      <c r="RZC167" s="102"/>
      <c r="RZD167" s="102"/>
      <c r="RZE167" s="102"/>
      <c r="RZF167" s="102"/>
      <c r="RZG167" s="102"/>
      <c r="RZH167" s="102"/>
      <c r="RZI167" s="102"/>
      <c r="RZJ167" s="102"/>
      <c r="RZK167" s="102"/>
      <c r="RZL167" s="102"/>
      <c r="RZM167" s="102"/>
      <c r="RZN167" s="102"/>
      <c r="RZO167" s="102"/>
      <c r="RZP167" s="102"/>
      <c r="RZQ167" s="102"/>
      <c r="RZR167" s="102"/>
      <c r="RZS167" s="102"/>
      <c r="RZT167" s="102"/>
      <c r="RZU167" s="102"/>
      <c r="RZV167" s="102"/>
      <c r="RZW167" s="102"/>
      <c r="RZX167" s="102"/>
      <c r="RZY167" s="102"/>
      <c r="RZZ167" s="102"/>
      <c r="SAA167" s="102"/>
      <c r="SAB167" s="102"/>
      <c r="SAC167" s="102"/>
      <c r="SAD167" s="102"/>
      <c r="SAE167" s="102"/>
      <c r="SAF167" s="102"/>
      <c r="SAG167" s="102"/>
      <c r="SAH167" s="102"/>
      <c r="SAI167" s="102"/>
      <c r="SAJ167" s="102"/>
      <c r="SAK167" s="102"/>
      <c r="SAL167" s="102"/>
      <c r="SAM167" s="102"/>
      <c r="SAN167" s="102"/>
      <c r="SAO167" s="102"/>
      <c r="SAP167" s="102"/>
      <c r="SAQ167" s="102"/>
      <c r="SAR167" s="102"/>
      <c r="SAS167" s="102"/>
      <c r="SAT167" s="102"/>
      <c r="SAU167" s="102"/>
      <c r="SAV167" s="102"/>
      <c r="SAW167" s="102"/>
      <c r="SAX167" s="102"/>
      <c r="SAY167" s="102"/>
      <c r="SAZ167" s="102"/>
      <c r="SBA167" s="102"/>
      <c r="SBB167" s="102"/>
      <c r="SBC167" s="102"/>
      <c r="SBD167" s="102"/>
      <c r="SBE167" s="102"/>
      <c r="SBF167" s="102"/>
      <c r="SBG167" s="102"/>
      <c r="SBH167" s="102"/>
      <c r="SBI167" s="102"/>
      <c r="SBJ167" s="102"/>
      <c r="SBK167" s="102"/>
      <c r="SBL167" s="102"/>
      <c r="SBM167" s="102"/>
      <c r="SBN167" s="102"/>
      <c r="SBO167" s="102"/>
      <c r="SBP167" s="102"/>
      <c r="SBQ167" s="102"/>
      <c r="SBR167" s="102"/>
      <c r="SBS167" s="102"/>
      <c r="SBT167" s="102"/>
      <c r="SBU167" s="102"/>
      <c r="SBV167" s="102"/>
      <c r="SBW167" s="102"/>
      <c r="SBX167" s="102"/>
      <c r="SBY167" s="102"/>
      <c r="SBZ167" s="102"/>
      <c r="SCA167" s="102"/>
      <c r="SCB167" s="102"/>
      <c r="SCC167" s="102"/>
      <c r="SCD167" s="102"/>
      <c r="SCE167" s="102"/>
      <c r="SCF167" s="102"/>
      <c r="SCG167" s="102"/>
      <c r="SCH167" s="102"/>
      <c r="SCI167" s="102"/>
      <c r="SCJ167" s="102"/>
      <c r="SCK167" s="102"/>
      <c r="SCL167" s="102"/>
      <c r="SCM167" s="102"/>
      <c r="SCN167" s="102"/>
      <c r="SCO167" s="102"/>
      <c r="SCP167" s="102"/>
      <c r="SCQ167" s="102"/>
      <c r="SCR167" s="102"/>
      <c r="SCS167" s="102"/>
      <c r="SCT167" s="102"/>
      <c r="SCU167" s="102"/>
      <c r="SCV167" s="102"/>
      <c r="SCW167" s="102"/>
      <c r="SCX167" s="102"/>
      <c r="SCY167" s="102"/>
      <c r="SCZ167" s="102"/>
      <c r="SDA167" s="102"/>
      <c r="SDB167" s="102"/>
      <c r="SDC167" s="102"/>
      <c r="SDD167" s="102"/>
      <c r="SDE167" s="102"/>
      <c r="SDF167" s="102"/>
      <c r="SDG167" s="102"/>
      <c r="SDH167" s="102"/>
      <c r="SDI167" s="102"/>
      <c r="SDJ167" s="102"/>
      <c r="SDK167" s="102"/>
      <c r="SDL167" s="102"/>
      <c r="SDM167" s="102"/>
      <c r="SDN167" s="102"/>
      <c r="SDO167" s="102"/>
      <c r="SDP167" s="102"/>
      <c r="SDQ167" s="102"/>
      <c r="SDR167" s="102"/>
      <c r="SDS167" s="102"/>
      <c r="SDT167" s="102"/>
      <c r="SDU167" s="102"/>
      <c r="SDV167" s="102"/>
      <c r="SDW167" s="102"/>
      <c r="SDX167" s="102"/>
      <c r="SDY167" s="102"/>
      <c r="SDZ167" s="102"/>
      <c r="SEA167" s="102"/>
      <c r="SEB167" s="102"/>
      <c r="SEC167" s="102"/>
      <c r="SED167" s="102"/>
      <c r="SEE167" s="102"/>
      <c r="SEF167" s="102"/>
      <c r="SEG167" s="102"/>
      <c r="SEH167" s="102"/>
      <c r="SEI167" s="102"/>
      <c r="SEJ167" s="102"/>
      <c r="SEK167" s="102"/>
      <c r="SEL167" s="102"/>
      <c r="SEM167" s="102"/>
      <c r="SEN167" s="102"/>
      <c r="SEO167" s="102"/>
      <c r="SEP167" s="102"/>
      <c r="SEQ167" s="102"/>
      <c r="SER167" s="102"/>
      <c r="SES167" s="102"/>
      <c r="SET167" s="102"/>
      <c r="SEU167" s="102"/>
      <c r="SEV167" s="102"/>
      <c r="SEW167" s="102"/>
      <c r="SEX167" s="102"/>
      <c r="SEY167" s="102"/>
      <c r="SEZ167" s="102"/>
      <c r="SFA167" s="102"/>
      <c r="SFB167" s="102"/>
      <c r="SFC167" s="102"/>
      <c r="SFD167" s="102"/>
      <c r="SFE167" s="102"/>
      <c r="SFF167" s="102"/>
      <c r="SFG167" s="102"/>
      <c r="SFH167" s="102"/>
      <c r="SFI167" s="102"/>
      <c r="SFJ167" s="102"/>
      <c r="SFK167" s="102"/>
      <c r="SFL167" s="102"/>
      <c r="SFM167" s="102"/>
      <c r="SFN167" s="102"/>
      <c r="SFO167" s="102"/>
      <c r="SFP167" s="102"/>
      <c r="SFQ167" s="102"/>
      <c r="SFR167" s="102"/>
      <c r="SFS167" s="102"/>
      <c r="SFT167" s="102"/>
      <c r="SFU167" s="102"/>
      <c r="SFV167" s="102"/>
      <c r="SFW167" s="102"/>
      <c r="SFX167" s="102"/>
      <c r="SFY167" s="102"/>
      <c r="SFZ167" s="102"/>
      <c r="SGA167" s="102"/>
      <c r="SGB167" s="102"/>
      <c r="SGC167" s="102"/>
      <c r="SGD167" s="102"/>
      <c r="SGE167" s="102"/>
      <c r="SGF167" s="102"/>
      <c r="SGG167" s="102"/>
      <c r="SGH167" s="102"/>
      <c r="SGI167" s="102"/>
      <c r="SGJ167" s="102"/>
      <c r="SGK167" s="102"/>
      <c r="SGL167" s="102"/>
      <c r="SGM167" s="102"/>
      <c r="SGN167" s="102"/>
      <c r="SGO167" s="102"/>
      <c r="SGP167" s="102"/>
      <c r="SGQ167" s="102"/>
      <c r="SGR167" s="102"/>
      <c r="SGS167" s="102"/>
      <c r="SGT167" s="102"/>
      <c r="SGU167" s="102"/>
      <c r="SGV167" s="102"/>
      <c r="SGW167" s="102"/>
      <c r="SGX167" s="102"/>
      <c r="SGY167" s="102"/>
      <c r="SGZ167" s="102"/>
      <c r="SHA167" s="102"/>
      <c r="SHB167" s="102"/>
      <c r="SHC167" s="102"/>
      <c r="SHD167" s="102"/>
      <c r="SHE167" s="102"/>
      <c r="SHF167" s="102"/>
      <c r="SHG167" s="102"/>
      <c r="SHH167" s="102"/>
      <c r="SHI167" s="102"/>
      <c r="SHJ167" s="102"/>
      <c r="SHK167" s="102"/>
      <c r="SHL167" s="102"/>
      <c r="SHM167" s="102"/>
      <c r="SHN167" s="102"/>
      <c r="SHO167" s="102"/>
      <c r="SHP167" s="102"/>
      <c r="SHQ167" s="102"/>
      <c r="SHR167" s="102"/>
      <c r="SHS167" s="102"/>
      <c r="SHT167" s="102"/>
      <c r="SHU167" s="102"/>
      <c r="SHV167" s="102"/>
      <c r="SHW167" s="102"/>
      <c r="SHX167" s="102"/>
      <c r="SHY167" s="102"/>
      <c r="SHZ167" s="102"/>
      <c r="SIA167" s="102"/>
      <c r="SIB167" s="102"/>
      <c r="SIC167" s="102"/>
      <c r="SID167" s="102"/>
      <c r="SIE167" s="102"/>
      <c r="SIF167" s="102"/>
      <c r="SIG167" s="102"/>
      <c r="SIH167" s="102"/>
      <c r="SII167" s="102"/>
      <c r="SIJ167" s="102"/>
      <c r="SIK167" s="102"/>
      <c r="SIL167" s="102"/>
      <c r="SIM167" s="102"/>
      <c r="SIN167" s="102"/>
      <c r="SIO167" s="102"/>
      <c r="SIP167" s="102"/>
      <c r="SIQ167" s="102"/>
      <c r="SIR167" s="102"/>
      <c r="SIS167" s="102"/>
      <c r="SIT167" s="102"/>
      <c r="SIU167" s="102"/>
      <c r="SIV167" s="102"/>
      <c r="SIW167" s="102"/>
      <c r="SIX167" s="102"/>
      <c r="SIY167" s="102"/>
      <c r="SIZ167" s="102"/>
      <c r="SJA167" s="102"/>
      <c r="SJB167" s="102"/>
      <c r="SJC167" s="102"/>
      <c r="SJD167" s="102"/>
      <c r="SJE167" s="102"/>
      <c r="SJF167" s="102"/>
      <c r="SJG167" s="102"/>
      <c r="SJH167" s="102"/>
      <c r="SJI167" s="102"/>
      <c r="SJJ167" s="102"/>
      <c r="SJK167" s="102"/>
      <c r="SJL167" s="102"/>
      <c r="SJM167" s="102"/>
      <c r="SJN167" s="102"/>
      <c r="SJO167" s="102"/>
      <c r="SJP167" s="102"/>
      <c r="SJQ167" s="102"/>
      <c r="SJR167" s="102"/>
      <c r="SJS167" s="102"/>
      <c r="SJT167" s="102"/>
      <c r="SJU167" s="102"/>
      <c r="SJV167" s="102"/>
      <c r="SJW167" s="102"/>
      <c r="SJX167" s="102"/>
      <c r="SJY167" s="102"/>
      <c r="SJZ167" s="102"/>
      <c r="SKA167" s="102"/>
      <c r="SKB167" s="102"/>
      <c r="SKC167" s="102"/>
      <c r="SKD167" s="102"/>
      <c r="SKE167" s="102"/>
      <c r="SKF167" s="102"/>
      <c r="SKG167" s="102"/>
      <c r="SKH167" s="102"/>
      <c r="SKI167" s="102"/>
      <c r="SKJ167" s="102"/>
      <c r="SKK167" s="102"/>
      <c r="SKL167" s="102"/>
      <c r="SKM167" s="102"/>
      <c r="SKN167" s="102"/>
      <c r="SKO167" s="102"/>
      <c r="SKP167" s="102"/>
      <c r="SKQ167" s="102"/>
      <c r="SKR167" s="102"/>
      <c r="SKS167" s="102"/>
      <c r="SKT167" s="102"/>
      <c r="SKU167" s="102"/>
      <c r="SKV167" s="102"/>
      <c r="SKW167" s="102"/>
      <c r="SKX167" s="102"/>
      <c r="SKY167" s="102"/>
      <c r="SKZ167" s="102"/>
      <c r="SLA167" s="102"/>
      <c r="SLB167" s="102"/>
      <c r="SLC167" s="102"/>
      <c r="SLD167" s="102"/>
      <c r="SLE167" s="102"/>
      <c r="SLF167" s="102"/>
      <c r="SLG167" s="102"/>
      <c r="SLH167" s="102"/>
      <c r="SLI167" s="102"/>
      <c r="SLJ167" s="102"/>
      <c r="SLK167" s="102"/>
      <c r="SLL167" s="102"/>
      <c r="SLM167" s="102"/>
      <c r="SLN167" s="102"/>
      <c r="SLO167" s="102"/>
      <c r="SLP167" s="102"/>
      <c r="SLQ167" s="102"/>
      <c r="SLR167" s="102"/>
      <c r="SLS167" s="102"/>
      <c r="SLT167" s="102"/>
      <c r="SLU167" s="102"/>
      <c r="SLV167" s="102"/>
      <c r="SLW167" s="102"/>
      <c r="SLX167" s="102"/>
      <c r="SLY167" s="102"/>
      <c r="SLZ167" s="102"/>
      <c r="SMA167" s="102"/>
      <c r="SMB167" s="102"/>
      <c r="SMC167" s="102"/>
      <c r="SMD167" s="102"/>
      <c r="SME167" s="102"/>
      <c r="SMF167" s="102"/>
      <c r="SMG167" s="102"/>
      <c r="SMH167" s="102"/>
      <c r="SMI167" s="102"/>
      <c r="SMJ167" s="102"/>
      <c r="SMK167" s="102"/>
      <c r="SML167" s="102"/>
      <c r="SMM167" s="102"/>
      <c r="SMN167" s="102"/>
      <c r="SMO167" s="102"/>
      <c r="SMP167" s="102"/>
      <c r="SMQ167" s="102"/>
      <c r="SMR167" s="102"/>
      <c r="SMS167" s="102"/>
      <c r="SMT167" s="102"/>
      <c r="SMU167" s="102"/>
      <c r="SMV167" s="102"/>
      <c r="SMW167" s="102"/>
      <c r="SMX167" s="102"/>
      <c r="SMY167" s="102"/>
      <c r="SMZ167" s="102"/>
      <c r="SNA167" s="102"/>
      <c r="SNB167" s="102"/>
      <c r="SNC167" s="102"/>
      <c r="SND167" s="102"/>
      <c r="SNE167" s="102"/>
      <c r="SNF167" s="102"/>
      <c r="SNG167" s="102"/>
      <c r="SNH167" s="102"/>
      <c r="SNI167" s="102"/>
      <c r="SNJ167" s="102"/>
      <c r="SNK167" s="102"/>
      <c r="SNL167" s="102"/>
      <c r="SNM167" s="102"/>
      <c r="SNN167" s="102"/>
      <c r="SNO167" s="102"/>
      <c r="SNP167" s="102"/>
      <c r="SNQ167" s="102"/>
      <c r="SNR167" s="102"/>
      <c r="SNS167" s="102"/>
      <c r="SNT167" s="102"/>
      <c r="SNU167" s="102"/>
      <c r="SNV167" s="102"/>
      <c r="SNW167" s="102"/>
      <c r="SNX167" s="102"/>
      <c r="SNY167" s="102"/>
      <c r="SNZ167" s="102"/>
      <c r="SOA167" s="102"/>
      <c r="SOB167" s="102"/>
      <c r="SOC167" s="102"/>
      <c r="SOD167" s="102"/>
      <c r="SOE167" s="102"/>
      <c r="SOF167" s="102"/>
      <c r="SOG167" s="102"/>
      <c r="SOH167" s="102"/>
      <c r="SOI167" s="102"/>
      <c r="SOJ167" s="102"/>
      <c r="SOK167" s="102"/>
      <c r="SOL167" s="102"/>
      <c r="SOM167" s="102"/>
      <c r="SON167" s="102"/>
      <c r="SOO167" s="102"/>
      <c r="SOP167" s="102"/>
      <c r="SOQ167" s="102"/>
      <c r="SOR167" s="102"/>
      <c r="SOS167" s="102"/>
      <c r="SOT167" s="102"/>
      <c r="SOU167" s="102"/>
      <c r="SOV167" s="102"/>
      <c r="SOW167" s="102"/>
      <c r="SOX167" s="102"/>
      <c r="SOY167" s="102"/>
      <c r="SOZ167" s="102"/>
      <c r="SPA167" s="102"/>
      <c r="SPB167" s="102"/>
      <c r="SPC167" s="102"/>
      <c r="SPD167" s="102"/>
      <c r="SPE167" s="102"/>
      <c r="SPF167" s="102"/>
      <c r="SPG167" s="102"/>
      <c r="SPH167" s="102"/>
      <c r="SPI167" s="102"/>
      <c r="SPJ167" s="102"/>
      <c r="SPK167" s="102"/>
      <c r="SPL167" s="102"/>
      <c r="SPM167" s="102"/>
      <c r="SPN167" s="102"/>
      <c r="SPO167" s="102"/>
      <c r="SPP167" s="102"/>
      <c r="SPQ167" s="102"/>
      <c r="SPR167" s="102"/>
      <c r="SPS167" s="102"/>
      <c r="SPT167" s="102"/>
      <c r="SPU167" s="102"/>
      <c r="SPV167" s="102"/>
      <c r="SPW167" s="102"/>
      <c r="SPX167" s="102"/>
      <c r="SPY167" s="102"/>
      <c r="SPZ167" s="102"/>
      <c r="SQA167" s="102"/>
      <c r="SQB167" s="102"/>
      <c r="SQC167" s="102"/>
      <c r="SQD167" s="102"/>
      <c r="SQE167" s="102"/>
      <c r="SQF167" s="102"/>
      <c r="SQG167" s="102"/>
      <c r="SQH167" s="102"/>
      <c r="SQI167" s="102"/>
      <c r="SQJ167" s="102"/>
      <c r="SQK167" s="102"/>
      <c r="SQL167" s="102"/>
      <c r="SQM167" s="102"/>
      <c r="SQN167" s="102"/>
      <c r="SQO167" s="102"/>
      <c r="SQP167" s="102"/>
      <c r="SQQ167" s="102"/>
      <c r="SQR167" s="102"/>
      <c r="SQS167" s="102"/>
      <c r="SQT167" s="102"/>
      <c r="SQU167" s="102"/>
      <c r="SQV167" s="102"/>
      <c r="SQW167" s="102"/>
      <c r="SQX167" s="102"/>
      <c r="SQY167" s="102"/>
      <c r="SQZ167" s="102"/>
      <c r="SRA167" s="102"/>
      <c r="SRB167" s="102"/>
      <c r="SRC167" s="102"/>
      <c r="SRD167" s="102"/>
      <c r="SRE167" s="102"/>
      <c r="SRF167" s="102"/>
      <c r="SRG167" s="102"/>
      <c r="SRH167" s="102"/>
      <c r="SRI167" s="102"/>
      <c r="SRJ167" s="102"/>
      <c r="SRK167" s="102"/>
      <c r="SRL167" s="102"/>
      <c r="SRM167" s="102"/>
      <c r="SRN167" s="102"/>
      <c r="SRO167" s="102"/>
      <c r="SRP167" s="102"/>
      <c r="SRQ167" s="102"/>
      <c r="SRR167" s="102"/>
      <c r="SRS167" s="102"/>
      <c r="SRT167" s="102"/>
      <c r="SRU167" s="102"/>
      <c r="SRV167" s="102"/>
      <c r="SRW167" s="102"/>
      <c r="SRX167" s="102"/>
      <c r="SRY167" s="102"/>
      <c r="SRZ167" s="102"/>
      <c r="SSA167" s="102"/>
      <c r="SSB167" s="102"/>
      <c r="SSC167" s="102"/>
      <c r="SSD167" s="102"/>
      <c r="SSE167" s="102"/>
      <c r="SSF167" s="102"/>
      <c r="SSG167" s="102"/>
      <c r="SSH167" s="102"/>
      <c r="SSI167" s="102"/>
      <c r="SSJ167" s="102"/>
      <c r="SSK167" s="102"/>
      <c r="SSL167" s="102"/>
      <c r="SSM167" s="102"/>
      <c r="SSN167" s="102"/>
      <c r="SSO167" s="102"/>
      <c r="SSP167" s="102"/>
      <c r="SSQ167" s="102"/>
      <c r="SSR167" s="102"/>
      <c r="SSS167" s="102"/>
      <c r="SST167" s="102"/>
      <c r="SSU167" s="102"/>
      <c r="SSV167" s="102"/>
      <c r="SSW167" s="102"/>
      <c r="SSX167" s="102"/>
      <c r="SSY167" s="102"/>
      <c r="SSZ167" s="102"/>
      <c r="STA167" s="102"/>
      <c r="STB167" s="102"/>
      <c r="STC167" s="102"/>
      <c r="STD167" s="102"/>
      <c r="STE167" s="102"/>
      <c r="STF167" s="102"/>
      <c r="STG167" s="102"/>
      <c r="STH167" s="102"/>
      <c r="STI167" s="102"/>
      <c r="STJ167" s="102"/>
      <c r="STK167" s="102"/>
      <c r="STL167" s="102"/>
      <c r="STM167" s="102"/>
      <c r="STN167" s="102"/>
      <c r="STO167" s="102"/>
      <c r="STP167" s="102"/>
      <c r="STQ167" s="102"/>
      <c r="STR167" s="102"/>
      <c r="STS167" s="102"/>
      <c r="STT167" s="102"/>
      <c r="STU167" s="102"/>
      <c r="STV167" s="102"/>
      <c r="STW167" s="102"/>
      <c r="STX167" s="102"/>
      <c r="STY167" s="102"/>
      <c r="STZ167" s="102"/>
      <c r="SUA167" s="102"/>
      <c r="SUB167" s="102"/>
      <c r="SUC167" s="102"/>
      <c r="SUD167" s="102"/>
      <c r="SUE167" s="102"/>
      <c r="SUF167" s="102"/>
      <c r="SUG167" s="102"/>
      <c r="SUH167" s="102"/>
      <c r="SUI167" s="102"/>
      <c r="SUJ167" s="102"/>
      <c r="SUK167" s="102"/>
      <c r="SUL167" s="102"/>
      <c r="SUM167" s="102"/>
      <c r="SUN167" s="102"/>
      <c r="SUO167" s="102"/>
      <c r="SUP167" s="102"/>
      <c r="SUQ167" s="102"/>
      <c r="SUR167" s="102"/>
      <c r="SUS167" s="102"/>
      <c r="SUT167" s="102"/>
      <c r="SUU167" s="102"/>
      <c r="SUV167" s="102"/>
      <c r="SUW167" s="102"/>
      <c r="SUX167" s="102"/>
      <c r="SUY167" s="102"/>
      <c r="SUZ167" s="102"/>
      <c r="SVA167" s="102"/>
      <c r="SVB167" s="102"/>
      <c r="SVC167" s="102"/>
      <c r="SVD167" s="102"/>
      <c r="SVE167" s="102"/>
      <c r="SVF167" s="102"/>
      <c r="SVG167" s="102"/>
      <c r="SVH167" s="102"/>
      <c r="SVI167" s="102"/>
      <c r="SVJ167" s="102"/>
      <c r="SVK167" s="102"/>
      <c r="SVL167" s="102"/>
      <c r="SVM167" s="102"/>
      <c r="SVN167" s="102"/>
      <c r="SVO167" s="102"/>
      <c r="SVP167" s="102"/>
      <c r="SVQ167" s="102"/>
      <c r="SVR167" s="102"/>
      <c r="SVS167" s="102"/>
      <c r="SVT167" s="102"/>
      <c r="SVU167" s="102"/>
      <c r="SVV167" s="102"/>
      <c r="SVW167" s="102"/>
      <c r="SVX167" s="102"/>
      <c r="SVY167" s="102"/>
      <c r="SVZ167" s="102"/>
      <c r="SWA167" s="102"/>
      <c r="SWB167" s="102"/>
      <c r="SWC167" s="102"/>
      <c r="SWD167" s="102"/>
      <c r="SWE167" s="102"/>
      <c r="SWF167" s="102"/>
      <c r="SWG167" s="102"/>
      <c r="SWH167" s="102"/>
      <c r="SWI167" s="102"/>
      <c r="SWJ167" s="102"/>
      <c r="SWK167" s="102"/>
      <c r="SWL167" s="102"/>
      <c r="SWM167" s="102"/>
      <c r="SWN167" s="102"/>
      <c r="SWO167" s="102"/>
      <c r="SWP167" s="102"/>
      <c r="SWQ167" s="102"/>
      <c r="SWR167" s="102"/>
      <c r="SWS167" s="102"/>
      <c r="SWT167" s="102"/>
      <c r="SWU167" s="102"/>
      <c r="SWV167" s="102"/>
      <c r="SWW167" s="102"/>
      <c r="SWX167" s="102"/>
      <c r="SWY167" s="102"/>
      <c r="SWZ167" s="102"/>
      <c r="SXA167" s="102"/>
      <c r="SXB167" s="102"/>
      <c r="SXC167" s="102"/>
      <c r="SXD167" s="102"/>
      <c r="SXE167" s="102"/>
      <c r="SXF167" s="102"/>
      <c r="SXG167" s="102"/>
      <c r="SXH167" s="102"/>
      <c r="SXI167" s="102"/>
      <c r="SXJ167" s="102"/>
      <c r="SXK167" s="102"/>
      <c r="SXL167" s="102"/>
      <c r="SXM167" s="102"/>
      <c r="SXN167" s="102"/>
      <c r="SXO167" s="102"/>
      <c r="SXP167" s="102"/>
      <c r="SXQ167" s="102"/>
      <c r="SXR167" s="102"/>
      <c r="SXS167" s="102"/>
      <c r="SXT167" s="102"/>
      <c r="SXU167" s="102"/>
      <c r="SXV167" s="102"/>
      <c r="SXW167" s="102"/>
      <c r="SXX167" s="102"/>
      <c r="SXY167" s="102"/>
      <c r="SXZ167" s="102"/>
      <c r="SYA167" s="102"/>
      <c r="SYB167" s="102"/>
      <c r="SYC167" s="102"/>
      <c r="SYD167" s="102"/>
      <c r="SYE167" s="102"/>
      <c r="SYF167" s="102"/>
      <c r="SYG167" s="102"/>
      <c r="SYH167" s="102"/>
      <c r="SYI167" s="102"/>
      <c r="SYJ167" s="102"/>
      <c r="SYK167" s="102"/>
      <c r="SYL167" s="102"/>
      <c r="SYM167" s="102"/>
      <c r="SYN167" s="102"/>
      <c r="SYO167" s="102"/>
      <c r="SYP167" s="102"/>
      <c r="SYQ167" s="102"/>
      <c r="SYR167" s="102"/>
      <c r="SYS167" s="102"/>
      <c r="SYT167" s="102"/>
      <c r="SYU167" s="102"/>
      <c r="SYV167" s="102"/>
      <c r="SYW167" s="102"/>
      <c r="SYX167" s="102"/>
      <c r="SYY167" s="102"/>
      <c r="SYZ167" s="102"/>
      <c r="SZA167" s="102"/>
      <c r="SZB167" s="102"/>
      <c r="SZC167" s="102"/>
      <c r="SZD167" s="102"/>
      <c r="SZE167" s="102"/>
      <c r="SZF167" s="102"/>
      <c r="SZG167" s="102"/>
      <c r="SZH167" s="102"/>
      <c r="SZI167" s="102"/>
      <c r="SZJ167" s="102"/>
      <c r="SZK167" s="102"/>
      <c r="SZL167" s="102"/>
      <c r="SZM167" s="102"/>
      <c r="SZN167" s="102"/>
      <c r="SZO167" s="102"/>
      <c r="SZP167" s="102"/>
      <c r="SZQ167" s="102"/>
      <c r="SZR167" s="102"/>
      <c r="SZS167" s="102"/>
      <c r="SZT167" s="102"/>
      <c r="SZU167" s="102"/>
      <c r="SZV167" s="102"/>
      <c r="SZW167" s="102"/>
      <c r="SZX167" s="102"/>
      <c r="SZY167" s="102"/>
      <c r="SZZ167" s="102"/>
      <c r="TAA167" s="102"/>
      <c r="TAB167" s="102"/>
      <c r="TAC167" s="102"/>
      <c r="TAD167" s="102"/>
      <c r="TAE167" s="102"/>
      <c r="TAF167" s="102"/>
      <c r="TAG167" s="102"/>
      <c r="TAH167" s="102"/>
      <c r="TAI167" s="102"/>
      <c r="TAJ167" s="102"/>
      <c r="TAK167" s="102"/>
      <c r="TAL167" s="102"/>
      <c r="TAM167" s="102"/>
      <c r="TAN167" s="102"/>
      <c r="TAO167" s="102"/>
      <c r="TAP167" s="102"/>
      <c r="TAQ167" s="102"/>
      <c r="TAR167" s="102"/>
      <c r="TAS167" s="102"/>
      <c r="TAT167" s="102"/>
      <c r="TAU167" s="102"/>
      <c r="TAV167" s="102"/>
      <c r="TAW167" s="102"/>
      <c r="TAX167" s="102"/>
      <c r="TAY167" s="102"/>
      <c r="TAZ167" s="102"/>
      <c r="TBA167" s="102"/>
      <c r="TBB167" s="102"/>
      <c r="TBC167" s="102"/>
      <c r="TBD167" s="102"/>
      <c r="TBE167" s="102"/>
      <c r="TBF167" s="102"/>
      <c r="TBG167" s="102"/>
      <c r="TBH167" s="102"/>
      <c r="TBI167" s="102"/>
      <c r="TBJ167" s="102"/>
      <c r="TBK167" s="102"/>
      <c r="TBL167" s="102"/>
      <c r="TBM167" s="102"/>
      <c r="TBN167" s="102"/>
      <c r="TBO167" s="102"/>
      <c r="TBP167" s="102"/>
      <c r="TBQ167" s="102"/>
      <c r="TBR167" s="102"/>
      <c r="TBS167" s="102"/>
      <c r="TBT167" s="102"/>
      <c r="TBU167" s="102"/>
      <c r="TBV167" s="102"/>
      <c r="TBW167" s="102"/>
      <c r="TBX167" s="102"/>
      <c r="TBY167" s="102"/>
      <c r="TBZ167" s="102"/>
      <c r="TCA167" s="102"/>
      <c r="TCB167" s="102"/>
      <c r="TCC167" s="102"/>
      <c r="TCD167" s="102"/>
      <c r="TCE167" s="102"/>
      <c r="TCF167" s="102"/>
      <c r="TCG167" s="102"/>
      <c r="TCH167" s="102"/>
      <c r="TCI167" s="102"/>
      <c r="TCJ167" s="102"/>
      <c r="TCK167" s="102"/>
      <c r="TCL167" s="102"/>
      <c r="TCM167" s="102"/>
      <c r="TCN167" s="102"/>
      <c r="TCO167" s="102"/>
      <c r="TCP167" s="102"/>
      <c r="TCQ167" s="102"/>
      <c r="TCR167" s="102"/>
      <c r="TCS167" s="102"/>
      <c r="TCT167" s="102"/>
      <c r="TCU167" s="102"/>
      <c r="TCV167" s="102"/>
      <c r="TCW167" s="102"/>
      <c r="TCX167" s="102"/>
      <c r="TCY167" s="102"/>
      <c r="TCZ167" s="102"/>
      <c r="TDA167" s="102"/>
      <c r="TDB167" s="102"/>
      <c r="TDC167" s="102"/>
      <c r="TDD167" s="102"/>
      <c r="TDE167" s="102"/>
      <c r="TDF167" s="102"/>
      <c r="TDG167" s="102"/>
      <c r="TDH167" s="102"/>
      <c r="TDI167" s="102"/>
      <c r="TDJ167" s="102"/>
      <c r="TDK167" s="102"/>
      <c r="TDL167" s="102"/>
      <c r="TDM167" s="102"/>
      <c r="TDN167" s="102"/>
      <c r="TDO167" s="102"/>
      <c r="TDP167" s="102"/>
      <c r="TDQ167" s="102"/>
      <c r="TDR167" s="102"/>
      <c r="TDS167" s="102"/>
      <c r="TDT167" s="102"/>
      <c r="TDU167" s="102"/>
      <c r="TDV167" s="102"/>
      <c r="TDW167" s="102"/>
      <c r="TDX167" s="102"/>
      <c r="TDY167" s="102"/>
      <c r="TDZ167" s="102"/>
      <c r="TEA167" s="102"/>
      <c r="TEB167" s="102"/>
      <c r="TEC167" s="102"/>
      <c r="TED167" s="102"/>
      <c r="TEE167" s="102"/>
      <c r="TEF167" s="102"/>
      <c r="TEG167" s="102"/>
      <c r="TEH167" s="102"/>
      <c r="TEI167" s="102"/>
      <c r="TEJ167" s="102"/>
      <c r="TEK167" s="102"/>
      <c r="TEL167" s="102"/>
      <c r="TEM167" s="102"/>
      <c r="TEN167" s="102"/>
      <c r="TEO167" s="102"/>
      <c r="TEP167" s="102"/>
      <c r="TEQ167" s="102"/>
      <c r="TER167" s="102"/>
      <c r="TES167" s="102"/>
      <c r="TET167" s="102"/>
      <c r="TEU167" s="102"/>
      <c r="TEV167" s="102"/>
      <c r="TEW167" s="102"/>
      <c r="TEX167" s="102"/>
      <c r="TEY167" s="102"/>
      <c r="TEZ167" s="102"/>
      <c r="TFA167" s="102"/>
      <c r="TFB167" s="102"/>
      <c r="TFC167" s="102"/>
      <c r="TFD167" s="102"/>
      <c r="TFE167" s="102"/>
      <c r="TFF167" s="102"/>
      <c r="TFG167" s="102"/>
      <c r="TFH167" s="102"/>
      <c r="TFI167" s="102"/>
      <c r="TFJ167" s="102"/>
      <c r="TFK167" s="102"/>
      <c r="TFL167" s="102"/>
      <c r="TFM167" s="102"/>
      <c r="TFN167" s="102"/>
      <c r="TFO167" s="102"/>
      <c r="TFP167" s="102"/>
      <c r="TFQ167" s="102"/>
      <c r="TFR167" s="102"/>
      <c r="TFS167" s="102"/>
      <c r="TFT167" s="102"/>
      <c r="TFU167" s="102"/>
      <c r="TFV167" s="102"/>
      <c r="TFW167" s="102"/>
      <c r="TFX167" s="102"/>
      <c r="TFY167" s="102"/>
      <c r="TFZ167" s="102"/>
      <c r="TGA167" s="102"/>
      <c r="TGB167" s="102"/>
      <c r="TGC167" s="102"/>
      <c r="TGD167" s="102"/>
      <c r="TGE167" s="102"/>
      <c r="TGF167" s="102"/>
      <c r="TGG167" s="102"/>
      <c r="TGH167" s="102"/>
      <c r="TGI167" s="102"/>
      <c r="TGJ167" s="102"/>
      <c r="TGK167" s="102"/>
      <c r="TGL167" s="102"/>
      <c r="TGM167" s="102"/>
      <c r="TGN167" s="102"/>
      <c r="TGO167" s="102"/>
      <c r="TGP167" s="102"/>
      <c r="TGQ167" s="102"/>
      <c r="TGR167" s="102"/>
      <c r="TGS167" s="102"/>
      <c r="TGT167" s="102"/>
      <c r="TGU167" s="102"/>
      <c r="TGV167" s="102"/>
      <c r="TGW167" s="102"/>
      <c r="TGX167" s="102"/>
      <c r="TGY167" s="102"/>
      <c r="TGZ167" s="102"/>
      <c r="THA167" s="102"/>
      <c r="THB167" s="102"/>
      <c r="THC167" s="102"/>
      <c r="THD167" s="102"/>
      <c r="THE167" s="102"/>
      <c r="THF167" s="102"/>
      <c r="THG167" s="102"/>
      <c r="THH167" s="102"/>
      <c r="THI167" s="102"/>
      <c r="THJ167" s="102"/>
      <c r="THK167" s="102"/>
      <c r="THL167" s="102"/>
      <c r="THM167" s="102"/>
      <c r="THN167" s="102"/>
      <c r="THO167" s="102"/>
      <c r="THP167" s="102"/>
      <c r="THQ167" s="102"/>
      <c r="THR167" s="102"/>
      <c r="THS167" s="102"/>
      <c r="THT167" s="102"/>
      <c r="THU167" s="102"/>
      <c r="THV167" s="102"/>
      <c r="THW167" s="102"/>
      <c r="THX167" s="102"/>
      <c r="THY167" s="102"/>
      <c r="THZ167" s="102"/>
      <c r="TIA167" s="102"/>
      <c r="TIB167" s="102"/>
      <c r="TIC167" s="102"/>
      <c r="TID167" s="102"/>
      <c r="TIE167" s="102"/>
      <c r="TIF167" s="102"/>
      <c r="TIG167" s="102"/>
      <c r="TIH167" s="102"/>
      <c r="TII167" s="102"/>
      <c r="TIJ167" s="102"/>
      <c r="TIK167" s="102"/>
      <c r="TIL167" s="102"/>
      <c r="TIM167" s="102"/>
      <c r="TIN167" s="102"/>
      <c r="TIO167" s="102"/>
      <c r="TIP167" s="102"/>
      <c r="TIQ167" s="102"/>
      <c r="TIR167" s="102"/>
      <c r="TIS167" s="102"/>
      <c r="TIT167" s="102"/>
      <c r="TIU167" s="102"/>
      <c r="TIV167" s="102"/>
      <c r="TIW167" s="102"/>
      <c r="TIX167" s="102"/>
      <c r="TIY167" s="102"/>
      <c r="TIZ167" s="102"/>
      <c r="TJA167" s="102"/>
      <c r="TJB167" s="102"/>
      <c r="TJC167" s="102"/>
      <c r="TJD167" s="102"/>
      <c r="TJE167" s="102"/>
      <c r="TJF167" s="102"/>
      <c r="TJG167" s="102"/>
      <c r="TJH167" s="102"/>
      <c r="TJI167" s="102"/>
      <c r="TJJ167" s="102"/>
      <c r="TJK167" s="102"/>
      <c r="TJL167" s="102"/>
      <c r="TJM167" s="102"/>
      <c r="TJN167" s="102"/>
      <c r="TJO167" s="102"/>
      <c r="TJP167" s="102"/>
      <c r="TJQ167" s="102"/>
      <c r="TJR167" s="102"/>
      <c r="TJS167" s="102"/>
      <c r="TJT167" s="102"/>
      <c r="TJU167" s="102"/>
      <c r="TJV167" s="102"/>
      <c r="TJW167" s="102"/>
      <c r="TJX167" s="102"/>
      <c r="TJY167" s="102"/>
      <c r="TJZ167" s="102"/>
      <c r="TKA167" s="102"/>
      <c r="TKB167" s="102"/>
      <c r="TKC167" s="102"/>
      <c r="TKD167" s="102"/>
      <c r="TKE167" s="102"/>
      <c r="TKF167" s="102"/>
      <c r="TKG167" s="102"/>
      <c r="TKH167" s="102"/>
      <c r="TKI167" s="102"/>
      <c r="TKJ167" s="102"/>
      <c r="TKK167" s="102"/>
      <c r="TKL167" s="102"/>
      <c r="TKM167" s="102"/>
      <c r="TKN167" s="102"/>
      <c r="TKO167" s="102"/>
      <c r="TKP167" s="102"/>
      <c r="TKQ167" s="102"/>
      <c r="TKR167" s="102"/>
      <c r="TKS167" s="102"/>
      <c r="TKT167" s="102"/>
      <c r="TKU167" s="102"/>
      <c r="TKV167" s="102"/>
      <c r="TKW167" s="102"/>
      <c r="TKX167" s="102"/>
      <c r="TKY167" s="102"/>
      <c r="TKZ167" s="102"/>
      <c r="TLA167" s="102"/>
      <c r="TLB167" s="102"/>
      <c r="TLC167" s="102"/>
      <c r="TLD167" s="102"/>
      <c r="TLE167" s="102"/>
      <c r="TLF167" s="102"/>
      <c r="TLG167" s="102"/>
      <c r="TLH167" s="102"/>
      <c r="TLI167" s="102"/>
      <c r="TLJ167" s="102"/>
      <c r="TLK167" s="102"/>
      <c r="TLL167" s="102"/>
      <c r="TLM167" s="102"/>
      <c r="TLN167" s="102"/>
      <c r="TLO167" s="102"/>
      <c r="TLP167" s="102"/>
      <c r="TLQ167" s="102"/>
      <c r="TLR167" s="102"/>
      <c r="TLS167" s="102"/>
      <c r="TLT167" s="102"/>
      <c r="TLU167" s="102"/>
      <c r="TLV167" s="102"/>
      <c r="TLW167" s="102"/>
      <c r="TLX167" s="102"/>
      <c r="TLY167" s="102"/>
      <c r="TLZ167" s="102"/>
      <c r="TMA167" s="102"/>
      <c r="TMB167" s="102"/>
      <c r="TMC167" s="102"/>
      <c r="TMD167" s="102"/>
      <c r="TME167" s="102"/>
      <c r="TMF167" s="102"/>
      <c r="TMG167" s="102"/>
      <c r="TMH167" s="102"/>
      <c r="TMI167" s="102"/>
      <c r="TMJ167" s="102"/>
      <c r="TMK167" s="102"/>
      <c r="TML167" s="102"/>
      <c r="TMM167" s="102"/>
      <c r="TMN167" s="102"/>
      <c r="TMO167" s="102"/>
      <c r="TMP167" s="102"/>
      <c r="TMQ167" s="102"/>
      <c r="TMR167" s="102"/>
      <c r="TMS167" s="102"/>
      <c r="TMT167" s="102"/>
      <c r="TMU167" s="102"/>
      <c r="TMV167" s="102"/>
      <c r="TMW167" s="102"/>
      <c r="TMX167" s="102"/>
      <c r="TMY167" s="102"/>
      <c r="TMZ167" s="102"/>
      <c r="TNA167" s="102"/>
      <c r="TNB167" s="102"/>
      <c r="TNC167" s="102"/>
      <c r="TND167" s="102"/>
      <c r="TNE167" s="102"/>
      <c r="TNF167" s="102"/>
      <c r="TNG167" s="102"/>
      <c r="TNH167" s="102"/>
      <c r="TNI167" s="102"/>
      <c r="TNJ167" s="102"/>
      <c r="TNK167" s="102"/>
      <c r="TNL167" s="102"/>
      <c r="TNM167" s="102"/>
      <c r="TNN167" s="102"/>
      <c r="TNO167" s="102"/>
      <c r="TNP167" s="102"/>
      <c r="TNQ167" s="102"/>
      <c r="TNR167" s="102"/>
      <c r="TNS167" s="102"/>
      <c r="TNT167" s="102"/>
      <c r="TNU167" s="102"/>
      <c r="TNV167" s="102"/>
      <c r="TNW167" s="102"/>
      <c r="TNX167" s="102"/>
      <c r="TNY167" s="102"/>
      <c r="TNZ167" s="102"/>
      <c r="TOA167" s="102"/>
      <c r="TOB167" s="102"/>
      <c r="TOC167" s="102"/>
      <c r="TOD167" s="102"/>
      <c r="TOE167" s="102"/>
      <c r="TOF167" s="102"/>
      <c r="TOG167" s="102"/>
      <c r="TOH167" s="102"/>
      <c r="TOI167" s="102"/>
      <c r="TOJ167" s="102"/>
      <c r="TOK167" s="102"/>
      <c r="TOL167" s="102"/>
      <c r="TOM167" s="102"/>
      <c r="TON167" s="102"/>
      <c r="TOO167" s="102"/>
      <c r="TOP167" s="102"/>
      <c r="TOQ167" s="102"/>
      <c r="TOR167" s="102"/>
      <c r="TOS167" s="102"/>
      <c r="TOT167" s="102"/>
      <c r="TOU167" s="102"/>
      <c r="TOV167" s="102"/>
      <c r="TOW167" s="102"/>
      <c r="TOX167" s="102"/>
      <c r="TOY167" s="102"/>
      <c r="TOZ167" s="102"/>
      <c r="TPA167" s="102"/>
      <c r="TPB167" s="102"/>
      <c r="TPC167" s="102"/>
      <c r="TPD167" s="102"/>
      <c r="TPE167" s="102"/>
      <c r="TPF167" s="102"/>
      <c r="TPG167" s="102"/>
      <c r="TPH167" s="102"/>
      <c r="TPI167" s="102"/>
      <c r="TPJ167" s="102"/>
      <c r="TPK167" s="102"/>
      <c r="TPL167" s="102"/>
      <c r="TPM167" s="102"/>
      <c r="TPN167" s="102"/>
      <c r="TPO167" s="102"/>
      <c r="TPP167" s="102"/>
      <c r="TPQ167" s="102"/>
      <c r="TPR167" s="102"/>
      <c r="TPS167" s="102"/>
      <c r="TPT167" s="102"/>
      <c r="TPU167" s="102"/>
      <c r="TPV167" s="102"/>
      <c r="TPW167" s="102"/>
      <c r="TPX167" s="102"/>
      <c r="TPY167" s="102"/>
      <c r="TPZ167" s="102"/>
      <c r="TQA167" s="102"/>
      <c r="TQB167" s="102"/>
      <c r="TQC167" s="102"/>
      <c r="TQD167" s="102"/>
      <c r="TQE167" s="102"/>
      <c r="TQF167" s="102"/>
      <c r="TQG167" s="102"/>
      <c r="TQH167" s="102"/>
      <c r="TQI167" s="102"/>
      <c r="TQJ167" s="102"/>
      <c r="TQK167" s="102"/>
      <c r="TQL167" s="102"/>
      <c r="TQM167" s="102"/>
      <c r="TQN167" s="102"/>
      <c r="TQO167" s="102"/>
      <c r="TQP167" s="102"/>
      <c r="TQQ167" s="102"/>
      <c r="TQR167" s="102"/>
      <c r="TQS167" s="102"/>
      <c r="TQT167" s="102"/>
      <c r="TQU167" s="102"/>
      <c r="TQV167" s="102"/>
      <c r="TQW167" s="102"/>
      <c r="TQX167" s="102"/>
      <c r="TQY167" s="102"/>
      <c r="TQZ167" s="102"/>
      <c r="TRA167" s="102"/>
      <c r="TRB167" s="102"/>
      <c r="TRC167" s="102"/>
      <c r="TRD167" s="102"/>
      <c r="TRE167" s="102"/>
      <c r="TRF167" s="102"/>
      <c r="TRG167" s="102"/>
      <c r="TRH167" s="102"/>
      <c r="TRI167" s="102"/>
      <c r="TRJ167" s="102"/>
      <c r="TRK167" s="102"/>
      <c r="TRL167" s="102"/>
      <c r="TRM167" s="102"/>
      <c r="TRN167" s="102"/>
      <c r="TRO167" s="102"/>
      <c r="TRP167" s="102"/>
      <c r="TRQ167" s="102"/>
      <c r="TRR167" s="102"/>
      <c r="TRS167" s="102"/>
      <c r="TRT167" s="102"/>
      <c r="TRU167" s="102"/>
      <c r="TRV167" s="102"/>
      <c r="TRW167" s="102"/>
      <c r="TRX167" s="102"/>
      <c r="TRY167" s="102"/>
      <c r="TRZ167" s="102"/>
      <c r="TSA167" s="102"/>
      <c r="TSB167" s="102"/>
      <c r="TSC167" s="102"/>
      <c r="TSD167" s="102"/>
      <c r="TSE167" s="102"/>
      <c r="TSF167" s="102"/>
      <c r="TSG167" s="102"/>
      <c r="TSH167" s="102"/>
      <c r="TSI167" s="102"/>
      <c r="TSJ167" s="102"/>
      <c r="TSK167" s="102"/>
      <c r="TSL167" s="102"/>
      <c r="TSM167" s="102"/>
      <c r="TSN167" s="102"/>
      <c r="TSO167" s="102"/>
      <c r="TSP167" s="102"/>
      <c r="TSQ167" s="102"/>
      <c r="TSR167" s="102"/>
      <c r="TSS167" s="102"/>
      <c r="TST167" s="102"/>
      <c r="TSU167" s="102"/>
      <c r="TSV167" s="102"/>
      <c r="TSW167" s="102"/>
      <c r="TSX167" s="102"/>
      <c r="TSY167" s="102"/>
      <c r="TSZ167" s="102"/>
      <c r="TTA167" s="102"/>
      <c r="TTB167" s="102"/>
      <c r="TTC167" s="102"/>
      <c r="TTD167" s="102"/>
      <c r="TTE167" s="102"/>
      <c r="TTF167" s="102"/>
      <c r="TTG167" s="102"/>
      <c r="TTH167" s="102"/>
      <c r="TTI167" s="102"/>
      <c r="TTJ167" s="102"/>
      <c r="TTK167" s="102"/>
      <c r="TTL167" s="102"/>
      <c r="TTM167" s="102"/>
      <c r="TTN167" s="102"/>
      <c r="TTO167" s="102"/>
      <c r="TTP167" s="102"/>
      <c r="TTQ167" s="102"/>
      <c r="TTR167" s="102"/>
      <c r="TTS167" s="102"/>
      <c r="TTT167" s="102"/>
      <c r="TTU167" s="102"/>
      <c r="TTV167" s="102"/>
      <c r="TTW167" s="102"/>
      <c r="TTX167" s="102"/>
      <c r="TTY167" s="102"/>
      <c r="TTZ167" s="102"/>
      <c r="TUA167" s="102"/>
      <c r="TUB167" s="102"/>
      <c r="TUC167" s="102"/>
      <c r="TUD167" s="102"/>
      <c r="TUE167" s="102"/>
      <c r="TUF167" s="102"/>
      <c r="TUG167" s="102"/>
      <c r="TUH167" s="102"/>
      <c r="TUI167" s="102"/>
      <c r="TUJ167" s="102"/>
      <c r="TUK167" s="102"/>
      <c r="TUL167" s="102"/>
      <c r="TUM167" s="102"/>
      <c r="TUN167" s="102"/>
      <c r="TUO167" s="102"/>
      <c r="TUP167" s="102"/>
      <c r="TUQ167" s="102"/>
      <c r="TUR167" s="102"/>
      <c r="TUS167" s="102"/>
      <c r="TUT167" s="102"/>
      <c r="TUU167" s="102"/>
      <c r="TUV167" s="102"/>
      <c r="TUW167" s="102"/>
      <c r="TUX167" s="102"/>
      <c r="TUY167" s="102"/>
      <c r="TUZ167" s="102"/>
      <c r="TVA167" s="102"/>
      <c r="TVB167" s="102"/>
      <c r="TVC167" s="102"/>
      <c r="TVD167" s="102"/>
      <c r="TVE167" s="102"/>
      <c r="TVF167" s="102"/>
      <c r="TVG167" s="102"/>
      <c r="TVH167" s="102"/>
      <c r="TVI167" s="102"/>
      <c r="TVJ167" s="102"/>
      <c r="TVK167" s="102"/>
      <c r="TVL167" s="102"/>
      <c r="TVM167" s="102"/>
      <c r="TVN167" s="102"/>
      <c r="TVO167" s="102"/>
      <c r="TVP167" s="102"/>
      <c r="TVQ167" s="102"/>
      <c r="TVR167" s="102"/>
      <c r="TVS167" s="102"/>
      <c r="TVT167" s="102"/>
      <c r="TVU167" s="102"/>
      <c r="TVV167" s="102"/>
      <c r="TVW167" s="102"/>
      <c r="TVX167" s="102"/>
      <c r="TVY167" s="102"/>
      <c r="TVZ167" s="102"/>
      <c r="TWA167" s="102"/>
      <c r="TWB167" s="102"/>
      <c r="TWC167" s="102"/>
      <c r="TWD167" s="102"/>
      <c r="TWE167" s="102"/>
      <c r="TWF167" s="102"/>
      <c r="TWG167" s="102"/>
      <c r="TWH167" s="102"/>
      <c r="TWI167" s="102"/>
      <c r="TWJ167" s="102"/>
      <c r="TWK167" s="102"/>
      <c r="TWL167" s="102"/>
      <c r="TWM167" s="102"/>
      <c r="TWN167" s="102"/>
      <c r="TWO167" s="102"/>
      <c r="TWP167" s="102"/>
      <c r="TWQ167" s="102"/>
      <c r="TWR167" s="102"/>
      <c r="TWS167" s="102"/>
      <c r="TWT167" s="102"/>
      <c r="TWU167" s="102"/>
      <c r="TWV167" s="102"/>
      <c r="TWW167" s="102"/>
      <c r="TWX167" s="102"/>
      <c r="TWY167" s="102"/>
      <c r="TWZ167" s="102"/>
      <c r="TXA167" s="102"/>
      <c r="TXB167" s="102"/>
      <c r="TXC167" s="102"/>
      <c r="TXD167" s="102"/>
      <c r="TXE167" s="102"/>
      <c r="TXF167" s="102"/>
      <c r="TXG167" s="102"/>
      <c r="TXH167" s="102"/>
      <c r="TXI167" s="102"/>
      <c r="TXJ167" s="102"/>
      <c r="TXK167" s="102"/>
      <c r="TXL167" s="102"/>
      <c r="TXM167" s="102"/>
      <c r="TXN167" s="102"/>
      <c r="TXO167" s="102"/>
      <c r="TXP167" s="102"/>
      <c r="TXQ167" s="102"/>
      <c r="TXR167" s="102"/>
      <c r="TXS167" s="102"/>
      <c r="TXT167" s="102"/>
      <c r="TXU167" s="102"/>
      <c r="TXV167" s="102"/>
      <c r="TXW167" s="102"/>
      <c r="TXX167" s="102"/>
      <c r="TXY167" s="102"/>
      <c r="TXZ167" s="102"/>
      <c r="TYA167" s="102"/>
      <c r="TYB167" s="102"/>
      <c r="TYC167" s="102"/>
      <c r="TYD167" s="102"/>
      <c r="TYE167" s="102"/>
      <c r="TYF167" s="102"/>
      <c r="TYG167" s="102"/>
      <c r="TYH167" s="102"/>
      <c r="TYI167" s="102"/>
      <c r="TYJ167" s="102"/>
      <c r="TYK167" s="102"/>
      <c r="TYL167" s="102"/>
      <c r="TYM167" s="102"/>
      <c r="TYN167" s="102"/>
      <c r="TYO167" s="102"/>
      <c r="TYP167" s="102"/>
      <c r="TYQ167" s="102"/>
      <c r="TYR167" s="102"/>
      <c r="TYS167" s="102"/>
      <c r="TYT167" s="102"/>
      <c r="TYU167" s="102"/>
      <c r="TYV167" s="102"/>
      <c r="TYW167" s="102"/>
      <c r="TYX167" s="102"/>
      <c r="TYY167" s="102"/>
      <c r="TYZ167" s="102"/>
      <c r="TZA167" s="102"/>
      <c r="TZB167" s="102"/>
      <c r="TZC167" s="102"/>
      <c r="TZD167" s="102"/>
      <c r="TZE167" s="102"/>
      <c r="TZF167" s="102"/>
      <c r="TZG167" s="102"/>
      <c r="TZH167" s="102"/>
      <c r="TZI167" s="102"/>
      <c r="TZJ167" s="102"/>
      <c r="TZK167" s="102"/>
      <c r="TZL167" s="102"/>
      <c r="TZM167" s="102"/>
      <c r="TZN167" s="102"/>
      <c r="TZO167" s="102"/>
      <c r="TZP167" s="102"/>
      <c r="TZQ167" s="102"/>
      <c r="TZR167" s="102"/>
      <c r="TZS167" s="102"/>
      <c r="TZT167" s="102"/>
      <c r="TZU167" s="102"/>
      <c r="TZV167" s="102"/>
      <c r="TZW167" s="102"/>
      <c r="TZX167" s="102"/>
      <c r="TZY167" s="102"/>
      <c r="TZZ167" s="102"/>
      <c r="UAA167" s="102"/>
      <c r="UAB167" s="102"/>
      <c r="UAC167" s="102"/>
      <c r="UAD167" s="102"/>
      <c r="UAE167" s="102"/>
      <c r="UAF167" s="102"/>
      <c r="UAG167" s="102"/>
      <c r="UAH167" s="102"/>
      <c r="UAI167" s="102"/>
      <c r="UAJ167" s="102"/>
      <c r="UAK167" s="102"/>
      <c r="UAL167" s="102"/>
      <c r="UAM167" s="102"/>
      <c r="UAN167" s="102"/>
      <c r="UAO167" s="102"/>
      <c r="UAP167" s="102"/>
      <c r="UAQ167" s="102"/>
      <c r="UAR167" s="102"/>
      <c r="UAS167" s="102"/>
      <c r="UAT167" s="102"/>
      <c r="UAU167" s="102"/>
      <c r="UAV167" s="102"/>
      <c r="UAW167" s="102"/>
      <c r="UAX167" s="102"/>
      <c r="UAY167" s="102"/>
      <c r="UAZ167" s="102"/>
      <c r="UBA167" s="102"/>
      <c r="UBB167" s="102"/>
      <c r="UBC167" s="102"/>
      <c r="UBD167" s="102"/>
      <c r="UBE167" s="102"/>
      <c r="UBF167" s="102"/>
      <c r="UBG167" s="102"/>
      <c r="UBH167" s="102"/>
      <c r="UBI167" s="102"/>
      <c r="UBJ167" s="102"/>
      <c r="UBK167" s="102"/>
      <c r="UBL167" s="102"/>
      <c r="UBM167" s="102"/>
      <c r="UBN167" s="102"/>
      <c r="UBO167" s="102"/>
      <c r="UBP167" s="102"/>
      <c r="UBQ167" s="102"/>
      <c r="UBR167" s="102"/>
      <c r="UBS167" s="102"/>
      <c r="UBT167" s="102"/>
      <c r="UBU167" s="102"/>
      <c r="UBV167" s="102"/>
      <c r="UBW167" s="102"/>
      <c r="UBX167" s="102"/>
      <c r="UBY167" s="102"/>
      <c r="UBZ167" s="102"/>
      <c r="UCA167" s="102"/>
      <c r="UCB167" s="102"/>
      <c r="UCC167" s="102"/>
      <c r="UCD167" s="102"/>
      <c r="UCE167" s="102"/>
      <c r="UCF167" s="102"/>
      <c r="UCG167" s="102"/>
      <c r="UCH167" s="102"/>
      <c r="UCI167" s="102"/>
      <c r="UCJ167" s="102"/>
      <c r="UCK167" s="102"/>
      <c r="UCL167" s="102"/>
      <c r="UCM167" s="102"/>
      <c r="UCN167" s="102"/>
      <c r="UCO167" s="102"/>
      <c r="UCP167" s="102"/>
      <c r="UCQ167" s="102"/>
      <c r="UCR167" s="102"/>
      <c r="UCS167" s="102"/>
      <c r="UCT167" s="102"/>
      <c r="UCU167" s="102"/>
      <c r="UCV167" s="102"/>
      <c r="UCW167" s="102"/>
      <c r="UCX167" s="102"/>
      <c r="UCY167" s="102"/>
      <c r="UCZ167" s="102"/>
      <c r="UDA167" s="102"/>
      <c r="UDB167" s="102"/>
      <c r="UDC167" s="102"/>
      <c r="UDD167" s="102"/>
      <c r="UDE167" s="102"/>
      <c r="UDF167" s="102"/>
      <c r="UDG167" s="102"/>
      <c r="UDH167" s="102"/>
      <c r="UDI167" s="102"/>
      <c r="UDJ167" s="102"/>
      <c r="UDK167" s="102"/>
      <c r="UDL167" s="102"/>
      <c r="UDM167" s="102"/>
      <c r="UDN167" s="102"/>
      <c r="UDO167" s="102"/>
      <c r="UDP167" s="102"/>
      <c r="UDQ167" s="102"/>
      <c r="UDR167" s="102"/>
      <c r="UDS167" s="102"/>
      <c r="UDT167" s="102"/>
      <c r="UDU167" s="102"/>
      <c r="UDV167" s="102"/>
      <c r="UDW167" s="102"/>
      <c r="UDX167" s="102"/>
      <c r="UDY167" s="102"/>
      <c r="UDZ167" s="102"/>
      <c r="UEA167" s="102"/>
      <c r="UEB167" s="102"/>
      <c r="UEC167" s="102"/>
      <c r="UED167" s="102"/>
      <c r="UEE167" s="102"/>
      <c r="UEF167" s="102"/>
      <c r="UEG167" s="102"/>
      <c r="UEH167" s="102"/>
      <c r="UEI167" s="102"/>
      <c r="UEJ167" s="102"/>
      <c r="UEK167" s="102"/>
      <c r="UEL167" s="102"/>
      <c r="UEM167" s="102"/>
      <c r="UEN167" s="102"/>
      <c r="UEO167" s="102"/>
      <c r="UEP167" s="102"/>
      <c r="UEQ167" s="102"/>
      <c r="UER167" s="102"/>
      <c r="UES167" s="102"/>
      <c r="UET167" s="102"/>
      <c r="UEU167" s="102"/>
      <c r="UEV167" s="102"/>
      <c r="UEW167" s="102"/>
      <c r="UEX167" s="102"/>
      <c r="UEY167" s="102"/>
      <c r="UEZ167" s="102"/>
      <c r="UFA167" s="102"/>
      <c r="UFB167" s="102"/>
      <c r="UFC167" s="102"/>
      <c r="UFD167" s="102"/>
      <c r="UFE167" s="102"/>
      <c r="UFF167" s="102"/>
      <c r="UFG167" s="102"/>
      <c r="UFH167" s="102"/>
      <c r="UFI167" s="102"/>
      <c r="UFJ167" s="102"/>
      <c r="UFK167" s="102"/>
      <c r="UFL167" s="102"/>
      <c r="UFM167" s="102"/>
      <c r="UFN167" s="102"/>
      <c r="UFO167" s="102"/>
      <c r="UFP167" s="102"/>
      <c r="UFQ167" s="102"/>
      <c r="UFR167" s="102"/>
      <c r="UFS167" s="102"/>
      <c r="UFT167" s="102"/>
      <c r="UFU167" s="102"/>
      <c r="UFV167" s="102"/>
      <c r="UFW167" s="102"/>
      <c r="UFX167" s="102"/>
      <c r="UFY167" s="102"/>
      <c r="UFZ167" s="102"/>
      <c r="UGA167" s="102"/>
      <c r="UGB167" s="102"/>
      <c r="UGC167" s="102"/>
      <c r="UGD167" s="102"/>
      <c r="UGE167" s="102"/>
      <c r="UGF167" s="102"/>
      <c r="UGG167" s="102"/>
      <c r="UGH167" s="102"/>
      <c r="UGI167" s="102"/>
      <c r="UGJ167" s="102"/>
      <c r="UGK167" s="102"/>
      <c r="UGL167" s="102"/>
      <c r="UGM167" s="102"/>
      <c r="UGN167" s="102"/>
      <c r="UGO167" s="102"/>
      <c r="UGP167" s="102"/>
      <c r="UGQ167" s="102"/>
      <c r="UGR167" s="102"/>
      <c r="UGS167" s="102"/>
      <c r="UGT167" s="102"/>
      <c r="UGU167" s="102"/>
      <c r="UGV167" s="102"/>
      <c r="UGW167" s="102"/>
      <c r="UGX167" s="102"/>
      <c r="UGY167" s="102"/>
      <c r="UGZ167" s="102"/>
      <c r="UHA167" s="102"/>
      <c r="UHB167" s="102"/>
      <c r="UHC167" s="102"/>
      <c r="UHD167" s="102"/>
      <c r="UHE167" s="102"/>
      <c r="UHF167" s="102"/>
      <c r="UHG167" s="102"/>
      <c r="UHH167" s="102"/>
      <c r="UHI167" s="102"/>
      <c r="UHJ167" s="102"/>
      <c r="UHK167" s="102"/>
      <c r="UHL167" s="102"/>
      <c r="UHM167" s="102"/>
      <c r="UHN167" s="102"/>
      <c r="UHO167" s="102"/>
      <c r="UHP167" s="102"/>
      <c r="UHQ167" s="102"/>
      <c r="UHR167" s="102"/>
      <c r="UHS167" s="102"/>
      <c r="UHT167" s="102"/>
      <c r="UHU167" s="102"/>
      <c r="UHV167" s="102"/>
      <c r="UHW167" s="102"/>
      <c r="UHX167" s="102"/>
      <c r="UHY167" s="102"/>
      <c r="UHZ167" s="102"/>
      <c r="UIA167" s="102"/>
      <c r="UIB167" s="102"/>
      <c r="UIC167" s="102"/>
      <c r="UID167" s="102"/>
      <c r="UIE167" s="102"/>
      <c r="UIF167" s="102"/>
      <c r="UIG167" s="102"/>
      <c r="UIH167" s="102"/>
      <c r="UII167" s="102"/>
      <c r="UIJ167" s="102"/>
      <c r="UIK167" s="102"/>
      <c r="UIL167" s="102"/>
      <c r="UIM167" s="102"/>
      <c r="UIN167" s="102"/>
      <c r="UIO167" s="102"/>
      <c r="UIP167" s="102"/>
      <c r="UIQ167" s="102"/>
      <c r="UIR167" s="102"/>
      <c r="UIS167" s="102"/>
      <c r="UIT167" s="102"/>
      <c r="UIU167" s="102"/>
      <c r="UIV167" s="102"/>
      <c r="UIW167" s="102"/>
      <c r="UIX167" s="102"/>
      <c r="UIY167" s="102"/>
      <c r="UIZ167" s="102"/>
      <c r="UJA167" s="102"/>
      <c r="UJB167" s="102"/>
      <c r="UJC167" s="102"/>
      <c r="UJD167" s="102"/>
      <c r="UJE167" s="102"/>
      <c r="UJF167" s="102"/>
      <c r="UJG167" s="102"/>
      <c r="UJH167" s="102"/>
      <c r="UJI167" s="102"/>
      <c r="UJJ167" s="102"/>
      <c r="UJK167" s="102"/>
      <c r="UJL167" s="102"/>
      <c r="UJM167" s="102"/>
      <c r="UJN167" s="102"/>
      <c r="UJO167" s="102"/>
      <c r="UJP167" s="102"/>
      <c r="UJQ167" s="102"/>
      <c r="UJR167" s="102"/>
      <c r="UJS167" s="102"/>
      <c r="UJT167" s="102"/>
      <c r="UJU167" s="102"/>
      <c r="UJV167" s="102"/>
      <c r="UJW167" s="102"/>
      <c r="UJX167" s="102"/>
      <c r="UJY167" s="102"/>
      <c r="UJZ167" s="102"/>
      <c r="UKA167" s="102"/>
      <c r="UKB167" s="102"/>
      <c r="UKC167" s="102"/>
      <c r="UKD167" s="102"/>
      <c r="UKE167" s="102"/>
      <c r="UKF167" s="102"/>
      <c r="UKG167" s="102"/>
      <c r="UKH167" s="102"/>
      <c r="UKI167" s="102"/>
      <c r="UKJ167" s="102"/>
      <c r="UKK167" s="102"/>
      <c r="UKL167" s="102"/>
      <c r="UKM167" s="102"/>
      <c r="UKN167" s="102"/>
      <c r="UKO167" s="102"/>
      <c r="UKP167" s="102"/>
      <c r="UKQ167" s="102"/>
      <c r="UKR167" s="102"/>
      <c r="UKS167" s="102"/>
      <c r="UKT167" s="102"/>
      <c r="UKU167" s="102"/>
      <c r="UKV167" s="102"/>
      <c r="UKW167" s="102"/>
      <c r="UKX167" s="102"/>
      <c r="UKY167" s="102"/>
      <c r="UKZ167" s="102"/>
      <c r="ULA167" s="102"/>
      <c r="ULB167" s="102"/>
      <c r="ULC167" s="102"/>
      <c r="ULD167" s="102"/>
      <c r="ULE167" s="102"/>
      <c r="ULF167" s="102"/>
      <c r="ULG167" s="102"/>
      <c r="ULH167" s="102"/>
      <c r="ULI167" s="102"/>
      <c r="ULJ167" s="102"/>
      <c r="ULK167" s="102"/>
      <c r="ULL167" s="102"/>
      <c r="ULM167" s="102"/>
      <c r="ULN167" s="102"/>
      <c r="ULO167" s="102"/>
      <c r="ULP167" s="102"/>
      <c r="ULQ167" s="102"/>
      <c r="ULR167" s="102"/>
      <c r="ULS167" s="102"/>
      <c r="ULT167" s="102"/>
      <c r="ULU167" s="102"/>
      <c r="ULV167" s="102"/>
      <c r="ULW167" s="102"/>
      <c r="ULX167" s="102"/>
      <c r="ULY167" s="102"/>
      <c r="ULZ167" s="102"/>
      <c r="UMA167" s="102"/>
      <c r="UMB167" s="102"/>
      <c r="UMC167" s="102"/>
      <c r="UMD167" s="102"/>
      <c r="UME167" s="102"/>
      <c r="UMF167" s="102"/>
      <c r="UMG167" s="102"/>
      <c r="UMH167" s="102"/>
      <c r="UMI167" s="102"/>
      <c r="UMJ167" s="102"/>
      <c r="UMK167" s="102"/>
      <c r="UML167" s="102"/>
      <c r="UMM167" s="102"/>
      <c r="UMN167" s="102"/>
      <c r="UMO167" s="102"/>
      <c r="UMP167" s="102"/>
      <c r="UMQ167" s="102"/>
      <c r="UMR167" s="102"/>
      <c r="UMS167" s="102"/>
      <c r="UMT167" s="102"/>
      <c r="UMU167" s="102"/>
      <c r="UMV167" s="102"/>
      <c r="UMW167" s="102"/>
      <c r="UMX167" s="102"/>
      <c r="UMY167" s="102"/>
      <c r="UMZ167" s="102"/>
      <c r="UNA167" s="102"/>
      <c r="UNB167" s="102"/>
      <c r="UNC167" s="102"/>
      <c r="UND167" s="102"/>
      <c r="UNE167" s="102"/>
      <c r="UNF167" s="102"/>
      <c r="UNG167" s="102"/>
      <c r="UNH167" s="102"/>
      <c r="UNI167" s="102"/>
      <c r="UNJ167" s="102"/>
      <c r="UNK167" s="102"/>
      <c r="UNL167" s="102"/>
      <c r="UNM167" s="102"/>
      <c r="UNN167" s="102"/>
      <c r="UNO167" s="102"/>
      <c r="UNP167" s="102"/>
      <c r="UNQ167" s="102"/>
      <c r="UNR167" s="102"/>
      <c r="UNS167" s="102"/>
      <c r="UNT167" s="102"/>
      <c r="UNU167" s="102"/>
      <c r="UNV167" s="102"/>
      <c r="UNW167" s="102"/>
      <c r="UNX167" s="102"/>
      <c r="UNY167" s="102"/>
      <c r="UNZ167" s="102"/>
      <c r="UOA167" s="102"/>
      <c r="UOB167" s="102"/>
      <c r="UOC167" s="102"/>
      <c r="UOD167" s="102"/>
      <c r="UOE167" s="102"/>
      <c r="UOF167" s="102"/>
      <c r="UOG167" s="102"/>
      <c r="UOH167" s="102"/>
      <c r="UOI167" s="102"/>
      <c r="UOJ167" s="102"/>
      <c r="UOK167" s="102"/>
      <c r="UOL167" s="102"/>
      <c r="UOM167" s="102"/>
      <c r="UON167" s="102"/>
      <c r="UOO167" s="102"/>
      <c r="UOP167" s="102"/>
      <c r="UOQ167" s="102"/>
      <c r="UOR167" s="102"/>
      <c r="UOS167" s="102"/>
      <c r="UOT167" s="102"/>
      <c r="UOU167" s="102"/>
      <c r="UOV167" s="102"/>
      <c r="UOW167" s="102"/>
      <c r="UOX167" s="102"/>
      <c r="UOY167" s="102"/>
      <c r="UOZ167" s="102"/>
      <c r="UPA167" s="102"/>
      <c r="UPB167" s="102"/>
      <c r="UPC167" s="102"/>
      <c r="UPD167" s="102"/>
      <c r="UPE167" s="102"/>
      <c r="UPF167" s="102"/>
      <c r="UPG167" s="102"/>
      <c r="UPH167" s="102"/>
      <c r="UPI167" s="102"/>
      <c r="UPJ167" s="102"/>
      <c r="UPK167" s="102"/>
      <c r="UPL167" s="102"/>
      <c r="UPM167" s="102"/>
      <c r="UPN167" s="102"/>
      <c r="UPO167" s="102"/>
      <c r="UPP167" s="102"/>
      <c r="UPQ167" s="102"/>
      <c r="UPR167" s="102"/>
      <c r="UPS167" s="102"/>
      <c r="UPT167" s="102"/>
      <c r="UPU167" s="102"/>
      <c r="UPV167" s="102"/>
      <c r="UPW167" s="102"/>
      <c r="UPX167" s="102"/>
      <c r="UPY167" s="102"/>
      <c r="UPZ167" s="102"/>
      <c r="UQA167" s="102"/>
      <c r="UQB167" s="102"/>
      <c r="UQC167" s="102"/>
      <c r="UQD167" s="102"/>
      <c r="UQE167" s="102"/>
      <c r="UQF167" s="102"/>
      <c r="UQG167" s="102"/>
      <c r="UQH167" s="102"/>
      <c r="UQI167" s="102"/>
      <c r="UQJ167" s="102"/>
      <c r="UQK167" s="102"/>
      <c r="UQL167" s="102"/>
      <c r="UQM167" s="102"/>
      <c r="UQN167" s="102"/>
      <c r="UQO167" s="102"/>
      <c r="UQP167" s="102"/>
      <c r="UQQ167" s="102"/>
      <c r="UQR167" s="102"/>
      <c r="UQS167" s="102"/>
      <c r="UQT167" s="102"/>
      <c r="UQU167" s="102"/>
      <c r="UQV167" s="102"/>
      <c r="UQW167" s="102"/>
      <c r="UQX167" s="102"/>
      <c r="UQY167" s="102"/>
      <c r="UQZ167" s="102"/>
      <c r="URA167" s="102"/>
      <c r="URB167" s="102"/>
      <c r="URC167" s="102"/>
      <c r="URD167" s="102"/>
      <c r="URE167" s="102"/>
      <c r="URF167" s="102"/>
      <c r="URG167" s="102"/>
      <c r="URH167" s="102"/>
      <c r="URI167" s="102"/>
      <c r="URJ167" s="102"/>
      <c r="URK167" s="102"/>
      <c r="URL167" s="102"/>
      <c r="URM167" s="102"/>
      <c r="URN167" s="102"/>
      <c r="URO167" s="102"/>
      <c r="URP167" s="102"/>
      <c r="URQ167" s="102"/>
      <c r="URR167" s="102"/>
      <c r="URS167" s="102"/>
      <c r="URT167" s="102"/>
      <c r="URU167" s="102"/>
      <c r="URV167" s="102"/>
      <c r="URW167" s="102"/>
      <c r="URX167" s="102"/>
      <c r="URY167" s="102"/>
      <c r="URZ167" s="102"/>
      <c r="USA167" s="102"/>
      <c r="USB167" s="102"/>
      <c r="USC167" s="102"/>
      <c r="USD167" s="102"/>
      <c r="USE167" s="102"/>
      <c r="USF167" s="102"/>
      <c r="USG167" s="102"/>
      <c r="USH167" s="102"/>
      <c r="USI167" s="102"/>
      <c r="USJ167" s="102"/>
      <c r="USK167" s="102"/>
      <c r="USL167" s="102"/>
      <c r="USM167" s="102"/>
      <c r="USN167" s="102"/>
      <c r="USO167" s="102"/>
      <c r="USP167" s="102"/>
      <c r="USQ167" s="102"/>
      <c r="USR167" s="102"/>
      <c r="USS167" s="102"/>
      <c r="UST167" s="102"/>
      <c r="USU167" s="102"/>
      <c r="USV167" s="102"/>
      <c r="USW167" s="102"/>
      <c r="USX167" s="102"/>
      <c r="USY167" s="102"/>
      <c r="USZ167" s="102"/>
      <c r="UTA167" s="102"/>
      <c r="UTB167" s="102"/>
      <c r="UTC167" s="102"/>
      <c r="UTD167" s="102"/>
      <c r="UTE167" s="102"/>
      <c r="UTF167" s="102"/>
      <c r="UTG167" s="102"/>
      <c r="UTH167" s="102"/>
      <c r="UTI167" s="102"/>
      <c r="UTJ167" s="102"/>
      <c r="UTK167" s="102"/>
      <c r="UTL167" s="102"/>
      <c r="UTM167" s="102"/>
      <c r="UTN167" s="102"/>
      <c r="UTO167" s="102"/>
      <c r="UTP167" s="102"/>
      <c r="UTQ167" s="102"/>
      <c r="UTR167" s="102"/>
      <c r="UTS167" s="102"/>
      <c r="UTT167" s="102"/>
      <c r="UTU167" s="102"/>
      <c r="UTV167" s="102"/>
      <c r="UTW167" s="102"/>
      <c r="UTX167" s="102"/>
      <c r="UTY167" s="102"/>
      <c r="UTZ167" s="102"/>
      <c r="UUA167" s="102"/>
      <c r="UUB167" s="102"/>
      <c r="UUC167" s="102"/>
      <c r="UUD167" s="102"/>
      <c r="UUE167" s="102"/>
      <c r="UUF167" s="102"/>
      <c r="UUG167" s="102"/>
      <c r="UUH167" s="102"/>
      <c r="UUI167" s="102"/>
      <c r="UUJ167" s="102"/>
      <c r="UUK167" s="102"/>
      <c r="UUL167" s="102"/>
      <c r="UUM167" s="102"/>
      <c r="UUN167" s="102"/>
      <c r="UUO167" s="102"/>
      <c r="UUP167" s="102"/>
      <c r="UUQ167" s="102"/>
      <c r="UUR167" s="102"/>
      <c r="UUS167" s="102"/>
      <c r="UUT167" s="102"/>
      <c r="UUU167" s="102"/>
      <c r="UUV167" s="102"/>
      <c r="UUW167" s="102"/>
      <c r="UUX167" s="102"/>
      <c r="UUY167" s="102"/>
      <c r="UUZ167" s="102"/>
      <c r="UVA167" s="102"/>
      <c r="UVB167" s="102"/>
      <c r="UVC167" s="102"/>
      <c r="UVD167" s="102"/>
      <c r="UVE167" s="102"/>
      <c r="UVF167" s="102"/>
      <c r="UVG167" s="102"/>
      <c r="UVH167" s="102"/>
      <c r="UVI167" s="102"/>
      <c r="UVJ167" s="102"/>
      <c r="UVK167" s="102"/>
      <c r="UVL167" s="102"/>
      <c r="UVM167" s="102"/>
      <c r="UVN167" s="102"/>
      <c r="UVO167" s="102"/>
      <c r="UVP167" s="102"/>
      <c r="UVQ167" s="102"/>
      <c r="UVR167" s="102"/>
      <c r="UVS167" s="102"/>
      <c r="UVT167" s="102"/>
      <c r="UVU167" s="102"/>
      <c r="UVV167" s="102"/>
      <c r="UVW167" s="102"/>
      <c r="UVX167" s="102"/>
      <c r="UVY167" s="102"/>
      <c r="UVZ167" s="102"/>
      <c r="UWA167" s="102"/>
      <c r="UWB167" s="102"/>
      <c r="UWC167" s="102"/>
      <c r="UWD167" s="102"/>
      <c r="UWE167" s="102"/>
      <c r="UWF167" s="102"/>
      <c r="UWG167" s="102"/>
      <c r="UWH167" s="102"/>
      <c r="UWI167" s="102"/>
      <c r="UWJ167" s="102"/>
      <c r="UWK167" s="102"/>
      <c r="UWL167" s="102"/>
      <c r="UWM167" s="102"/>
      <c r="UWN167" s="102"/>
      <c r="UWO167" s="102"/>
      <c r="UWP167" s="102"/>
      <c r="UWQ167" s="102"/>
      <c r="UWR167" s="102"/>
      <c r="UWS167" s="102"/>
      <c r="UWT167" s="102"/>
      <c r="UWU167" s="102"/>
      <c r="UWV167" s="102"/>
      <c r="UWW167" s="102"/>
      <c r="UWX167" s="102"/>
      <c r="UWY167" s="102"/>
      <c r="UWZ167" s="102"/>
      <c r="UXA167" s="102"/>
      <c r="UXB167" s="102"/>
      <c r="UXC167" s="102"/>
      <c r="UXD167" s="102"/>
      <c r="UXE167" s="102"/>
      <c r="UXF167" s="102"/>
      <c r="UXG167" s="102"/>
      <c r="UXH167" s="102"/>
      <c r="UXI167" s="102"/>
      <c r="UXJ167" s="102"/>
      <c r="UXK167" s="102"/>
      <c r="UXL167" s="102"/>
      <c r="UXM167" s="102"/>
      <c r="UXN167" s="102"/>
      <c r="UXO167" s="102"/>
      <c r="UXP167" s="102"/>
      <c r="UXQ167" s="102"/>
      <c r="UXR167" s="102"/>
      <c r="UXS167" s="102"/>
      <c r="UXT167" s="102"/>
      <c r="UXU167" s="102"/>
      <c r="UXV167" s="102"/>
      <c r="UXW167" s="102"/>
      <c r="UXX167" s="102"/>
      <c r="UXY167" s="102"/>
      <c r="UXZ167" s="102"/>
      <c r="UYA167" s="102"/>
      <c r="UYB167" s="102"/>
      <c r="UYC167" s="102"/>
      <c r="UYD167" s="102"/>
      <c r="UYE167" s="102"/>
      <c r="UYF167" s="102"/>
      <c r="UYG167" s="102"/>
      <c r="UYH167" s="102"/>
      <c r="UYI167" s="102"/>
      <c r="UYJ167" s="102"/>
      <c r="UYK167" s="102"/>
      <c r="UYL167" s="102"/>
      <c r="UYM167" s="102"/>
      <c r="UYN167" s="102"/>
      <c r="UYO167" s="102"/>
      <c r="UYP167" s="102"/>
      <c r="UYQ167" s="102"/>
      <c r="UYR167" s="102"/>
      <c r="UYS167" s="102"/>
      <c r="UYT167" s="102"/>
      <c r="UYU167" s="102"/>
      <c r="UYV167" s="102"/>
      <c r="UYW167" s="102"/>
      <c r="UYX167" s="102"/>
      <c r="UYY167" s="102"/>
      <c r="UYZ167" s="102"/>
      <c r="UZA167" s="102"/>
      <c r="UZB167" s="102"/>
      <c r="UZC167" s="102"/>
      <c r="UZD167" s="102"/>
      <c r="UZE167" s="102"/>
      <c r="UZF167" s="102"/>
      <c r="UZG167" s="102"/>
      <c r="UZH167" s="102"/>
      <c r="UZI167" s="102"/>
      <c r="UZJ167" s="102"/>
      <c r="UZK167" s="102"/>
      <c r="UZL167" s="102"/>
      <c r="UZM167" s="102"/>
      <c r="UZN167" s="102"/>
      <c r="UZO167" s="102"/>
      <c r="UZP167" s="102"/>
      <c r="UZQ167" s="102"/>
      <c r="UZR167" s="102"/>
      <c r="UZS167" s="102"/>
      <c r="UZT167" s="102"/>
      <c r="UZU167" s="102"/>
      <c r="UZV167" s="102"/>
      <c r="UZW167" s="102"/>
      <c r="UZX167" s="102"/>
      <c r="UZY167" s="102"/>
      <c r="UZZ167" s="102"/>
      <c r="VAA167" s="102"/>
      <c r="VAB167" s="102"/>
      <c r="VAC167" s="102"/>
      <c r="VAD167" s="102"/>
      <c r="VAE167" s="102"/>
      <c r="VAF167" s="102"/>
      <c r="VAG167" s="102"/>
      <c r="VAH167" s="102"/>
      <c r="VAI167" s="102"/>
      <c r="VAJ167" s="102"/>
      <c r="VAK167" s="102"/>
      <c r="VAL167" s="102"/>
      <c r="VAM167" s="102"/>
      <c r="VAN167" s="102"/>
      <c r="VAO167" s="102"/>
      <c r="VAP167" s="102"/>
      <c r="VAQ167" s="102"/>
      <c r="VAR167" s="102"/>
      <c r="VAS167" s="102"/>
      <c r="VAT167" s="102"/>
      <c r="VAU167" s="102"/>
      <c r="VAV167" s="102"/>
      <c r="VAW167" s="102"/>
      <c r="VAX167" s="102"/>
      <c r="VAY167" s="102"/>
      <c r="VAZ167" s="102"/>
      <c r="VBA167" s="102"/>
      <c r="VBB167" s="102"/>
      <c r="VBC167" s="102"/>
      <c r="VBD167" s="102"/>
      <c r="VBE167" s="102"/>
      <c r="VBF167" s="102"/>
      <c r="VBG167" s="102"/>
      <c r="VBH167" s="102"/>
      <c r="VBI167" s="102"/>
      <c r="VBJ167" s="102"/>
      <c r="VBK167" s="102"/>
      <c r="VBL167" s="102"/>
      <c r="VBM167" s="102"/>
      <c r="VBN167" s="102"/>
      <c r="VBO167" s="102"/>
      <c r="VBP167" s="102"/>
      <c r="VBQ167" s="102"/>
      <c r="VBR167" s="102"/>
      <c r="VBS167" s="102"/>
      <c r="VBT167" s="102"/>
      <c r="VBU167" s="102"/>
      <c r="VBV167" s="102"/>
      <c r="VBW167" s="102"/>
      <c r="VBX167" s="102"/>
      <c r="VBY167" s="102"/>
      <c r="VBZ167" s="102"/>
      <c r="VCA167" s="102"/>
      <c r="VCB167" s="102"/>
      <c r="VCC167" s="102"/>
      <c r="VCD167" s="102"/>
      <c r="VCE167" s="102"/>
      <c r="VCF167" s="102"/>
      <c r="VCG167" s="102"/>
      <c r="VCH167" s="102"/>
      <c r="VCI167" s="102"/>
      <c r="VCJ167" s="102"/>
      <c r="VCK167" s="102"/>
      <c r="VCL167" s="102"/>
      <c r="VCM167" s="102"/>
      <c r="VCN167" s="102"/>
      <c r="VCO167" s="102"/>
      <c r="VCP167" s="102"/>
      <c r="VCQ167" s="102"/>
      <c r="VCR167" s="102"/>
      <c r="VCS167" s="102"/>
      <c r="VCT167" s="102"/>
      <c r="VCU167" s="102"/>
      <c r="VCV167" s="102"/>
      <c r="VCW167" s="102"/>
      <c r="VCX167" s="102"/>
      <c r="VCY167" s="102"/>
      <c r="VCZ167" s="102"/>
      <c r="VDA167" s="102"/>
      <c r="VDB167" s="102"/>
      <c r="VDC167" s="102"/>
      <c r="VDD167" s="102"/>
      <c r="VDE167" s="102"/>
      <c r="VDF167" s="102"/>
      <c r="VDG167" s="102"/>
      <c r="VDH167" s="102"/>
      <c r="VDI167" s="102"/>
      <c r="VDJ167" s="102"/>
      <c r="VDK167" s="102"/>
      <c r="VDL167" s="102"/>
      <c r="VDM167" s="102"/>
      <c r="VDN167" s="102"/>
      <c r="VDO167" s="102"/>
      <c r="VDP167" s="102"/>
      <c r="VDQ167" s="102"/>
      <c r="VDR167" s="102"/>
      <c r="VDS167" s="102"/>
      <c r="VDT167" s="102"/>
      <c r="VDU167" s="102"/>
      <c r="VDV167" s="102"/>
      <c r="VDW167" s="102"/>
      <c r="VDX167" s="102"/>
      <c r="VDY167" s="102"/>
      <c r="VDZ167" s="102"/>
      <c r="VEA167" s="102"/>
      <c r="VEB167" s="102"/>
      <c r="VEC167" s="102"/>
      <c r="VED167" s="102"/>
      <c r="VEE167" s="102"/>
      <c r="VEF167" s="102"/>
      <c r="VEG167" s="102"/>
      <c r="VEH167" s="102"/>
      <c r="VEI167" s="102"/>
      <c r="VEJ167" s="102"/>
      <c r="VEK167" s="102"/>
      <c r="VEL167" s="102"/>
      <c r="VEM167" s="102"/>
      <c r="VEN167" s="102"/>
      <c r="VEO167" s="102"/>
      <c r="VEP167" s="102"/>
      <c r="VEQ167" s="102"/>
      <c r="VER167" s="102"/>
      <c r="VES167" s="102"/>
      <c r="VET167" s="102"/>
      <c r="VEU167" s="102"/>
      <c r="VEV167" s="102"/>
      <c r="VEW167" s="102"/>
      <c r="VEX167" s="102"/>
      <c r="VEY167" s="102"/>
      <c r="VEZ167" s="102"/>
      <c r="VFA167" s="102"/>
      <c r="VFB167" s="102"/>
      <c r="VFC167" s="102"/>
      <c r="VFD167" s="102"/>
      <c r="VFE167" s="102"/>
      <c r="VFF167" s="102"/>
      <c r="VFG167" s="102"/>
      <c r="VFH167" s="102"/>
      <c r="VFI167" s="102"/>
      <c r="VFJ167" s="102"/>
      <c r="VFK167" s="102"/>
      <c r="VFL167" s="102"/>
      <c r="VFM167" s="102"/>
      <c r="VFN167" s="102"/>
      <c r="VFO167" s="102"/>
      <c r="VFP167" s="102"/>
      <c r="VFQ167" s="102"/>
      <c r="VFR167" s="102"/>
      <c r="VFS167" s="102"/>
      <c r="VFT167" s="102"/>
      <c r="VFU167" s="102"/>
      <c r="VFV167" s="102"/>
      <c r="VFW167" s="102"/>
      <c r="VFX167" s="102"/>
      <c r="VFY167" s="102"/>
      <c r="VFZ167" s="102"/>
      <c r="VGA167" s="102"/>
      <c r="VGB167" s="102"/>
      <c r="VGC167" s="102"/>
      <c r="VGD167" s="102"/>
      <c r="VGE167" s="102"/>
      <c r="VGF167" s="102"/>
      <c r="VGG167" s="102"/>
      <c r="VGH167" s="102"/>
      <c r="VGI167" s="102"/>
      <c r="VGJ167" s="102"/>
      <c r="VGK167" s="102"/>
      <c r="VGL167" s="102"/>
      <c r="VGM167" s="102"/>
      <c r="VGN167" s="102"/>
      <c r="VGO167" s="102"/>
      <c r="VGP167" s="102"/>
      <c r="VGQ167" s="102"/>
      <c r="VGR167" s="102"/>
      <c r="VGS167" s="102"/>
      <c r="VGT167" s="102"/>
      <c r="VGU167" s="102"/>
      <c r="VGV167" s="102"/>
      <c r="VGW167" s="102"/>
      <c r="VGX167" s="102"/>
      <c r="VGY167" s="102"/>
      <c r="VGZ167" s="102"/>
      <c r="VHA167" s="102"/>
      <c r="VHB167" s="102"/>
      <c r="VHC167" s="102"/>
      <c r="VHD167" s="102"/>
      <c r="VHE167" s="102"/>
      <c r="VHF167" s="102"/>
      <c r="VHG167" s="102"/>
      <c r="VHH167" s="102"/>
      <c r="VHI167" s="102"/>
      <c r="VHJ167" s="102"/>
      <c r="VHK167" s="102"/>
      <c r="VHL167" s="102"/>
      <c r="VHM167" s="102"/>
      <c r="VHN167" s="102"/>
      <c r="VHO167" s="102"/>
      <c r="VHP167" s="102"/>
      <c r="VHQ167" s="102"/>
      <c r="VHR167" s="102"/>
      <c r="VHS167" s="102"/>
      <c r="VHT167" s="102"/>
      <c r="VHU167" s="102"/>
      <c r="VHV167" s="102"/>
      <c r="VHW167" s="102"/>
      <c r="VHX167" s="102"/>
      <c r="VHY167" s="102"/>
      <c r="VHZ167" s="102"/>
      <c r="VIA167" s="102"/>
      <c r="VIB167" s="102"/>
      <c r="VIC167" s="102"/>
      <c r="VID167" s="102"/>
      <c r="VIE167" s="102"/>
      <c r="VIF167" s="102"/>
      <c r="VIG167" s="102"/>
      <c r="VIH167" s="102"/>
      <c r="VII167" s="102"/>
      <c r="VIJ167" s="102"/>
      <c r="VIK167" s="102"/>
      <c r="VIL167" s="102"/>
      <c r="VIM167" s="102"/>
      <c r="VIN167" s="102"/>
      <c r="VIO167" s="102"/>
      <c r="VIP167" s="102"/>
      <c r="VIQ167" s="102"/>
      <c r="VIR167" s="102"/>
      <c r="VIS167" s="102"/>
      <c r="VIT167" s="102"/>
      <c r="VIU167" s="102"/>
      <c r="VIV167" s="102"/>
      <c r="VIW167" s="102"/>
      <c r="VIX167" s="102"/>
      <c r="VIY167" s="102"/>
      <c r="VIZ167" s="102"/>
      <c r="VJA167" s="102"/>
      <c r="VJB167" s="102"/>
      <c r="VJC167" s="102"/>
      <c r="VJD167" s="102"/>
      <c r="VJE167" s="102"/>
      <c r="VJF167" s="102"/>
      <c r="VJG167" s="102"/>
      <c r="VJH167" s="102"/>
      <c r="VJI167" s="102"/>
      <c r="VJJ167" s="102"/>
      <c r="VJK167" s="102"/>
      <c r="VJL167" s="102"/>
      <c r="VJM167" s="102"/>
      <c r="VJN167" s="102"/>
      <c r="VJO167" s="102"/>
      <c r="VJP167" s="102"/>
      <c r="VJQ167" s="102"/>
      <c r="VJR167" s="102"/>
      <c r="VJS167" s="102"/>
      <c r="VJT167" s="102"/>
      <c r="VJU167" s="102"/>
      <c r="VJV167" s="102"/>
      <c r="VJW167" s="102"/>
      <c r="VJX167" s="102"/>
      <c r="VJY167" s="102"/>
      <c r="VJZ167" s="102"/>
      <c r="VKA167" s="102"/>
      <c r="VKB167" s="102"/>
      <c r="VKC167" s="102"/>
      <c r="VKD167" s="102"/>
      <c r="VKE167" s="102"/>
      <c r="VKF167" s="102"/>
      <c r="VKG167" s="102"/>
      <c r="VKH167" s="102"/>
      <c r="VKI167" s="102"/>
      <c r="VKJ167" s="102"/>
      <c r="VKK167" s="102"/>
      <c r="VKL167" s="102"/>
      <c r="VKM167" s="102"/>
      <c r="VKN167" s="102"/>
      <c r="VKO167" s="102"/>
      <c r="VKP167" s="102"/>
      <c r="VKQ167" s="102"/>
      <c r="VKR167" s="102"/>
      <c r="VKS167" s="102"/>
      <c r="VKT167" s="102"/>
      <c r="VKU167" s="102"/>
      <c r="VKV167" s="102"/>
      <c r="VKW167" s="102"/>
      <c r="VKX167" s="102"/>
      <c r="VKY167" s="102"/>
      <c r="VKZ167" s="102"/>
      <c r="VLA167" s="102"/>
      <c r="VLB167" s="102"/>
      <c r="VLC167" s="102"/>
      <c r="VLD167" s="102"/>
      <c r="VLE167" s="102"/>
      <c r="VLF167" s="102"/>
      <c r="VLG167" s="102"/>
      <c r="VLH167" s="102"/>
      <c r="VLI167" s="102"/>
      <c r="VLJ167" s="102"/>
      <c r="VLK167" s="102"/>
      <c r="VLL167" s="102"/>
      <c r="VLM167" s="102"/>
      <c r="VLN167" s="102"/>
      <c r="VLO167" s="102"/>
      <c r="VLP167" s="102"/>
      <c r="VLQ167" s="102"/>
      <c r="VLR167" s="102"/>
      <c r="VLS167" s="102"/>
      <c r="VLT167" s="102"/>
      <c r="VLU167" s="102"/>
      <c r="VLV167" s="102"/>
      <c r="VLW167" s="102"/>
      <c r="VLX167" s="102"/>
      <c r="VLY167" s="102"/>
      <c r="VLZ167" s="102"/>
      <c r="VMA167" s="102"/>
      <c r="VMB167" s="102"/>
      <c r="VMC167" s="102"/>
      <c r="VMD167" s="102"/>
      <c r="VME167" s="102"/>
      <c r="VMF167" s="102"/>
      <c r="VMG167" s="102"/>
      <c r="VMH167" s="102"/>
      <c r="VMI167" s="102"/>
      <c r="VMJ167" s="102"/>
      <c r="VMK167" s="102"/>
      <c r="VML167" s="102"/>
      <c r="VMM167" s="102"/>
      <c r="VMN167" s="102"/>
      <c r="VMO167" s="102"/>
      <c r="VMP167" s="102"/>
      <c r="VMQ167" s="102"/>
      <c r="VMR167" s="102"/>
      <c r="VMS167" s="102"/>
      <c r="VMT167" s="102"/>
      <c r="VMU167" s="102"/>
      <c r="VMV167" s="102"/>
      <c r="VMW167" s="102"/>
      <c r="VMX167" s="102"/>
      <c r="VMY167" s="102"/>
      <c r="VMZ167" s="102"/>
      <c r="VNA167" s="102"/>
      <c r="VNB167" s="102"/>
      <c r="VNC167" s="102"/>
      <c r="VND167" s="102"/>
      <c r="VNE167" s="102"/>
      <c r="VNF167" s="102"/>
      <c r="VNG167" s="102"/>
      <c r="VNH167" s="102"/>
      <c r="VNI167" s="102"/>
      <c r="VNJ167" s="102"/>
      <c r="VNK167" s="102"/>
      <c r="VNL167" s="102"/>
      <c r="VNM167" s="102"/>
      <c r="VNN167" s="102"/>
      <c r="VNO167" s="102"/>
      <c r="VNP167" s="102"/>
      <c r="VNQ167" s="102"/>
      <c r="VNR167" s="102"/>
      <c r="VNS167" s="102"/>
      <c r="VNT167" s="102"/>
      <c r="VNU167" s="102"/>
      <c r="VNV167" s="102"/>
      <c r="VNW167" s="102"/>
      <c r="VNX167" s="102"/>
      <c r="VNY167" s="102"/>
      <c r="VNZ167" s="102"/>
      <c r="VOA167" s="102"/>
      <c r="VOB167" s="102"/>
      <c r="VOC167" s="102"/>
      <c r="VOD167" s="102"/>
      <c r="VOE167" s="102"/>
      <c r="VOF167" s="102"/>
      <c r="VOG167" s="102"/>
      <c r="VOH167" s="102"/>
      <c r="VOI167" s="102"/>
      <c r="VOJ167" s="102"/>
      <c r="VOK167" s="102"/>
      <c r="VOL167" s="102"/>
      <c r="VOM167" s="102"/>
      <c r="VON167" s="102"/>
      <c r="VOO167" s="102"/>
      <c r="VOP167" s="102"/>
      <c r="VOQ167" s="102"/>
      <c r="VOR167" s="102"/>
      <c r="VOS167" s="102"/>
      <c r="VOT167" s="102"/>
      <c r="VOU167" s="102"/>
      <c r="VOV167" s="102"/>
      <c r="VOW167" s="102"/>
      <c r="VOX167" s="102"/>
      <c r="VOY167" s="102"/>
      <c r="VOZ167" s="102"/>
      <c r="VPA167" s="102"/>
      <c r="VPB167" s="102"/>
      <c r="VPC167" s="102"/>
      <c r="VPD167" s="102"/>
      <c r="VPE167" s="102"/>
      <c r="VPF167" s="102"/>
      <c r="VPG167" s="102"/>
      <c r="VPH167" s="102"/>
      <c r="VPI167" s="102"/>
      <c r="VPJ167" s="102"/>
      <c r="VPK167" s="102"/>
      <c r="VPL167" s="102"/>
      <c r="VPM167" s="102"/>
      <c r="VPN167" s="102"/>
      <c r="VPO167" s="102"/>
      <c r="VPP167" s="102"/>
      <c r="VPQ167" s="102"/>
      <c r="VPR167" s="102"/>
      <c r="VPS167" s="102"/>
      <c r="VPT167" s="102"/>
      <c r="VPU167" s="102"/>
      <c r="VPV167" s="102"/>
      <c r="VPW167" s="102"/>
      <c r="VPX167" s="102"/>
      <c r="VPY167" s="102"/>
      <c r="VPZ167" s="102"/>
      <c r="VQA167" s="102"/>
      <c r="VQB167" s="102"/>
      <c r="VQC167" s="102"/>
      <c r="VQD167" s="102"/>
      <c r="VQE167" s="102"/>
      <c r="VQF167" s="102"/>
      <c r="VQG167" s="102"/>
      <c r="VQH167" s="102"/>
      <c r="VQI167" s="102"/>
      <c r="VQJ167" s="102"/>
      <c r="VQK167" s="102"/>
      <c r="VQL167" s="102"/>
      <c r="VQM167" s="102"/>
      <c r="VQN167" s="102"/>
      <c r="VQO167" s="102"/>
      <c r="VQP167" s="102"/>
      <c r="VQQ167" s="102"/>
      <c r="VQR167" s="102"/>
      <c r="VQS167" s="102"/>
      <c r="VQT167" s="102"/>
      <c r="VQU167" s="102"/>
      <c r="VQV167" s="102"/>
      <c r="VQW167" s="102"/>
      <c r="VQX167" s="102"/>
      <c r="VQY167" s="102"/>
      <c r="VQZ167" s="102"/>
      <c r="VRA167" s="102"/>
      <c r="VRB167" s="102"/>
      <c r="VRC167" s="102"/>
      <c r="VRD167" s="102"/>
      <c r="VRE167" s="102"/>
      <c r="VRF167" s="102"/>
      <c r="VRG167" s="102"/>
      <c r="VRH167" s="102"/>
      <c r="VRI167" s="102"/>
      <c r="VRJ167" s="102"/>
      <c r="VRK167" s="102"/>
      <c r="VRL167" s="102"/>
      <c r="VRM167" s="102"/>
      <c r="VRN167" s="102"/>
      <c r="VRO167" s="102"/>
      <c r="VRP167" s="102"/>
      <c r="VRQ167" s="102"/>
      <c r="VRR167" s="102"/>
      <c r="VRS167" s="102"/>
      <c r="VRT167" s="102"/>
      <c r="VRU167" s="102"/>
      <c r="VRV167" s="102"/>
      <c r="VRW167" s="102"/>
      <c r="VRX167" s="102"/>
      <c r="VRY167" s="102"/>
      <c r="VRZ167" s="102"/>
      <c r="VSA167" s="102"/>
      <c r="VSB167" s="102"/>
      <c r="VSC167" s="102"/>
      <c r="VSD167" s="102"/>
      <c r="VSE167" s="102"/>
      <c r="VSF167" s="102"/>
      <c r="VSG167" s="102"/>
      <c r="VSH167" s="102"/>
      <c r="VSI167" s="102"/>
      <c r="VSJ167" s="102"/>
      <c r="VSK167" s="102"/>
      <c r="VSL167" s="102"/>
      <c r="VSM167" s="102"/>
      <c r="VSN167" s="102"/>
      <c r="VSO167" s="102"/>
      <c r="VSP167" s="102"/>
      <c r="VSQ167" s="102"/>
      <c r="VSR167" s="102"/>
      <c r="VSS167" s="102"/>
      <c r="VST167" s="102"/>
      <c r="VSU167" s="102"/>
      <c r="VSV167" s="102"/>
      <c r="VSW167" s="102"/>
      <c r="VSX167" s="102"/>
      <c r="VSY167" s="102"/>
      <c r="VSZ167" s="102"/>
      <c r="VTA167" s="102"/>
      <c r="VTB167" s="102"/>
      <c r="VTC167" s="102"/>
      <c r="VTD167" s="102"/>
      <c r="VTE167" s="102"/>
      <c r="VTF167" s="102"/>
      <c r="VTG167" s="102"/>
      <c r="VTH167" s="102"/>
      <c r="VTI167" s="102"/>
      <c r="VTJ167" s="102"/>
      <c r="VTK167" s="102"/>
      <c r="VTL167" s="102"/>
      <c r="VTM167" s="102"/>
      <c r="VTN167" s="102"/>
      <c r="VTO167" s="102"/>
      <c r="VTP167" s="102"/>
      <c r="VTQ167" s="102"/>
      <c r="VTR167" s="102"/>
      <c r="VTS167" s="102"/>
      <c r="VTT167" s="102"/>
      <c r="VTU167" s="102"/>
      <c r="VTV167" s="102"/>
      <c r="VTW167" s="102"/>
      <c r="VTX167" s="102"/>
      <c r="VTY167" s="102"/>
      <c r="VTZ167" s="102"/>
      <c r="VUA167" s="102"/>
      <c r="VUB167" s="102"/>
      <c r="VUC167" s="102"/>
      <c r="VUD167" s="102"/>
      <c r="VUE167" s="102"/>
      <c r="VUF167" s="102"/>
      <c r="VUG167" s="102"/>
      <c r="VUH167" s="102"/>
      <c r="VUI167" s="102"/>
      <c r="VUJ167" s="102"/>
      <c r="VUK167" s="102"/>
      <c r="VUL167" s="102"/>
      <c r="VUM167" s="102"/>
      <c r="VUN167" s="102"/>
      <c r="VUO167" s="102"/>
      <c r="VUP167" s="102"/>
      <c r="VUQ167" s="102"/>
      <c r="VUR167" s="102"/>
      <c r="VUS167" s="102"/>
      <c r="VUT167" s="102"/>
      <c r="VUU167" s="102"/>
      <c r="VUV167" s="102"/>
      <c r="VUW167" s="102"/>
      <c r="VUX167" s="102"/>
      <c r="VUY167" s="102"/>
      <c r="VUZ167" s="102"/>
      <c r="VVA167" s="102"/>
      <c r="VVB167" s="102"/>
      <c r="VVC167" s="102"/>
      <c r="VVD167" s="102"/>
      <c r="VVE167" s="102"/>
      <c r="VVF167" s="102"/>
      <c r="VVG167" s="102"/>
      <c r="VVH167" s="102"/>
      <c r="VVI167" s="102"/>
      <c r="VVJ167" s="102"/>
      <c r="VVK167" s="102"/>
      <c r="VVL167" s="102"/>
      <c r="VVM167" s="102"/>
      <c r="VVN167" s="102"/>
      <c r="VVO167" s="102"/>
      <c r="VVP167" s="102"/>
      <c r="VVQ167" s="102"/>
      <c r="VVR167" s="102"/>
      <c r="VVS167" s="102"/>
      <c r="VVT167" s="102"/>
      <c r="VVU167" s="102"/>
      <c r="VVV167" s="102"/>
      <c r="VVW167" s="102"/>
      <c r="VVX167" s="102"/>
      <c r="VVY167" s="102"/>
      <c r="VVZ167" s="102"/>
      <c r="VWA167" s="102"/>
      <c r="VWB167" s="102"/>
      <c r="VWC167" s="102"/>
      <c r="VWD167" s="102"/>
      <c r="VWE167" s="102"/>
      <c r="VWF167" s="102"/>
      <c r="VWG167" s="102"/>
      <c r="VWH167" s="102"/>
      <c r="VWI167" s="102"/>
      <c r="VWJ167" s="102"/>
      <c r="VWK167" s="102"/>
      <c r="VWL167" s="102"/>
      <c r="VWM167" s="102"/>
      <c r="VWN167" s="102"/>
      <c r="VWO167" s="102"/>
      <c r="VWP167" s="102"/>
      <c r="VWQ167" s="102"/>
      <c r="VWR167" s="102"/>
      <c r="VWS167" s="102"/>
      <c r="VWT167" s="102"/>
      <c r="VWU167" s="102"/>
      <c r="VWV167" s="102"/>
      <c r="VWW167" s="102"/>
      <c r="VWX167" s="102"/>
      <c r="VWY167" s="102"/>
      <c r="VWZ167" s="102"/>
      <c r="VXA167" s="102"/>
      <c r="VXB167" s="102"/>
      <c r="VXC167" s="102"/>
      <c r="VXD167" s="102"/>
      <c r="VXE167" s="102"/>
      <c r="VXF167" s="102"/>
      <c r="VXG167" s="102"/>
      <c r="VXH167" s="102"/>
      <c r="VXI167" s="102"/>
      <c r="VXJ167" s="102"/>
      <c r="VXK167" s="102"/>
      <c r="VXL167" s="102"/>
      <c r="VXM167" s="102"/>
      <c r="VXN167" s="102"/>
      <c r="VXO167" s="102"/>
      <c r="VXP167" s="102"/>
      <c r="VXQ167" s="102"/>
      <c r="VXR167" s="102"/>
      <c r="VXS167" s="102"/>
      <c r="VXT167" s="102"/>
      <c r="VXU167" s="102"/>
      <c r="VXV167" s="102"/>
      <c r="VXW167" s="102"/>
      <c r="VXX167" s="102"/>
      <c r="VXY167" s="102"/>
      <c r="VXZ167" s="102"/>
      <c r="VYA167" s="102"/>
      <c r="VYB167" s="102"/>
      <c r="VYC167" s="102"/>
      <c r="VYD167" s="102"/>
      <c r="VYE167" s="102"/>
      <c r="VYF167" s="102"/>
      <c r="VYG167" s="102"/>
      <c r="VYH167" s="102"/>
      <c r="VYI167" s="102"/>
      <c r="VYJ167" s="102"/>
      <c r="VYK167" s="102"/>
      <c r="VYL167" s="102"/>
      <c r="VYM167" s="102"/>
      <c r="VYN167" s="102"/>
      <c r="VYO167" s="102"/>
      <c r="VYP167" s="102"/>
      <c r="VYQ167" s="102"/>
      <c r="VYR167" s="102"/>
      <c r="VYS167" s="102"/>
      <c r="VYT167" s="102"/>
      <c r="VYU167" s="102"/>
      <c r="VYV167" s="102"/>
      <c r="VYW167" s="102"/>
      <c r="VYX167" s="102"/>
      <c r="VYY167" s="102"/>
      <c r="VYZ167" s="102"/>
      <c r="VZA167" s="102"/>
      <c r="VZB167" s="102"/>
      <c r="VZC167" s="102"/>
      <c r="VZD167" s="102"/>
      <c r="VZE167" s="102"/>
      <c r="VZF167" s="102"/>
      <c r="VZG167" s="102"/>
      <c r="VZH167" s="102"/>
      <c r="VZI167" s="102"/>
      <c r="VZJ167" s="102"/>
      <c r="VZK167" s="102"/>
      <c r="VZL167" s="102"/>
      <c r="VZM167" s="102"/>
      <c r="VZN167" s="102"/>
      <c r="VZO167" s="102"/>
      <c r="VZP167" s="102"/>
      <c r="VZQ167" s="102"/>
      <c r="VZR167" s="102"/>
      <c r="VZS167" s="102"/>
      <c r="VZT167" s="102"/>
      <c r="VZU167" s="102"/>
      <c r="VZV167" s="102"/>
      <c r="VZW167" s="102"/>
      <c r="VZX167" s="102"/>
      <c r="VZY167" s="102"/>
      <c r="VZZ167" s="102"/>
      <c r="WAA167" s="102"/>
      <c r="WAB167" s="102"/>
      <c r="WAC167" s="102"/>
      <c r="WAD167" s="102"/>
      <c r="WAE167" s="102"/>
      <c r="WAF167" s="102"/>
      <c r="WAG167" s="102"/>
      <c r="WAH167" s="102"/>
      <c r="WAI167" s="102"/>
      <c r="WAJ167" s="102"/>
      <c r="WAK167" s="102"/>
      <c r="WAL167" s="102"/>
      <c r="WAM167" s="102"/>
      <c r="WAN167" s="102"/>
      <c r="WAO167" s="102"/>
      <c r="WAP167" s="102"/>
      <c r="WAQ167" s="102"/>
      <c r="WAR167" s="102"/>
      <c r="WAS167" s="102"/>
      <c r="WAT167" s="102"/>
      <c r="WAU167" s="102"/>
      <c r="WAV167" s="102"/>
      <c r="WAW167" s="102"/>
      <c r="WAX167" s="102"/>
      <c r="WAY167" s="102"/>
      <c r="WAZ167" s="102"/>
      <c r="WBA167" s="102"/>
      <c r="WBB167" s="102"/>
      <c r="WBC167" s="102"/>
      <c r="WBD167" s="102"/>
      <c r="WBE167" s="102"/>
      <c r="WBF167" s="102"/>
      <c r="WBG167" s="102"/>
      <c r="WBH167" s="102"/>
      <c r="WBI167" s="102"/>
      <c r="WBJ167" s="102"/>
      <c r="WBK167" s="102"/>
      <c r="WBL167" s="102"/>
      <c r="WBM167" s="102"/>
      <c r="WBN167" s="102"/>
      <c r="WBO167" s="102"/>
      <c r="WBP167" s="102"/>
      <c r="WBQ167" s="102"/>
      <c r="WBR167" s="102"/>
      <c r="WBS167" s="102"/>
      <c r="WBT167" s="102"/>
      <c r="WBU167" s="102"/>
      <c r="WBV167" s="102"/>
      <c r="WBW167" s="102"/>
      <c r="WBX167" s="102"/>
      <c r="WBY167" s="102"/>
      <c r="WBZ167" s="102"/>
      <c r="WCA167" s="102"/>
      <c r="WCB167" s="102"/>
      <c r="WCC167" s="102"/>
      <c r="WCD167" s="102"/>
      <c r="WCE167" s="102"/>
      <c r="WCF167" s="102"/>
      <c r="WCG167" s="102"/>
      <c r="WCH167" s="102"/>
      <c r="WCI167" s="102"/>
      <c r="WCJ167" s="102"/>
      <c r="WCK167" s="102"/>
      <c r="WCL167" s="102"/>
      <c r="WCM167" s="102"/>
      <c r="WCN167" s="102"/>
      <c r="WCO167" s="102"/>
      <c r="WCP167" s="102"/>
      <c r="WCQ167" s="102"/>
      <c r="WCR167" s="102"/>
      <c r="WCS167" s="102"/>
      <c r="WCT167" s="102"/>
      <c r="WCU167" s="102"/>
      <c r="WCV167" s="102"/>
      <c r="WCW167" s="102"/>
      <c r="WCX167" s="102"/>
      <c r="WCY167" s="102"/>
      <c r="WCZ167" s="102"/>
      <c r="WDA167" s="102"/>
      <c r="WDB167" s="102"/>
      <c r="WDC167" s="102"/>
      <c r="WDD167" s="102"/>
      <c r="WDE167" s="102"/>
      <c r="WDF167" s="102"/>
      <c r="WDG167" s="102"/>
      <c r="WDH167" s="102"/>
      <c r="WDI167" s="102"/>
      <c r="WDJ167" s="102"/>
      <c r="WDK167" s="102"/>
      <c r="WDL167" s="102"/>
      <c r="WDM167" s="102"/>
      <c r="WDN167" s="102"/>
      <c r="WDO167" s="102"/>
      <c r="WDP167" s="102"/>
      <c r="WDQ167" s="102"/>
      <c r="WDR167" s="102"/>
      <c r="WDS167" s="102"/>
      <c r="WDT167" s="102"/>
      <c r="WDU167" s="102"/>
      <c r="WDV167" s="102"/>
      <c r="WDW167" s="102"/>
      <c r="WDX167" s="102"/>
      <c r="WDY167" s="102"/>
      <c r="WDZ167" s="102"/>
      <c r="WEA167" s="102"/>
      <c r="WEB167" s="102"/>
      <c r="WEC167" s="102"/>
      <c r="WED167" s="102"/>
      <c r="WEE167" s="102"/>
      <c r="WEF167" s="102"/>
      <c r="WEG167" s="102"/>
      <c r="WEH167" s="102"/>
      <c r="WEI167" s="102"/>
      <c r="WEJ167" s="102"/>
      <c r="WEK167" s="102"/>
      <c r="WEL167" s="102"/>
      <c r="WEM167" s="102"/>
      <c r="WEN167" s="102"/>
      <c r="WEO167" s="102"/>
      <c r="WEP167" s="102"/>
      <c r="WEQ167" s="102"/>
      <c r="WER167" s="102"/>
      <c r="WES167" s="102"/>
      <c r="WET167" s="102"/>
      <c r="WEU167" s="102"/>
      <c r="WEV167" s="102"/>
      <c r="WEW167" s="102"/>
      <c r="WEX167" s="102"/>
      <c r="WEY167" s="102"/>
      <c r="WEZ167" s="102"/>
      <c r="WFA167" s="102"/>
      <c r="WFB167" s="102"/>
      <c r="WFC167" s="102"/>
      <c r="WFD167" s="102"/>
      <c r="WFE167" s="102"/>
      <c r="WFF167" s="102"/>
      <c r="WFG167" s="102"/>
      <c r="WFH167" s="102"/>
      <c r="WFI167" s="102"/>
      <c r="WFJ167" s="102"/>
      <c r="WFK167" s="102"/>
      <c r="WFL167" s="102"/>
      <c r="WFM167" s="102"/>
      <c r="WFN167" s="102"/>
      <c r="WFO167" s="102"/>
      <c r="WFP167" s="102"/>
      <c r="WFQ167" s="102"/>
      <c r="WFR167" s="102"/>
      <c r="WFS167" s="102"/>
      <c r="WFT167" s="102"/>
      <c r="WFU167" s="102"/>
      <c r="WFV167" s="102"/>
      <c r="WFW167" s="102"/>
      <c r="WFX167" s="102"/>
      <c r="WFY167" s="102"/>
      <c r="WFZ167" s="102"/>
      <c r="WGA167" s="102"/>
      <c r="WGB167" s="102"/>
      <c r="WGC167" s="102"/>
      <c r="WGD167" s="102"/>
      <c r="WGE167" s="102"/>
      <c r="WGF167" s="102"/>
      <c r="WGG167" s="102"/>
      <c r="WGH167" s="102"/>
      <c r="WGI167" s="102"/>
      <c r="WGJ167" s="102"/>
      <c r="WGK167" s="102"/>
      <c r="WGL167" s="102"/>
      <c r="WGM167" s="102"/>
      <c r="WGN167" s="102"/>
      <c r="WGO167" s="102"/>
      <c r="WGP167" s="102"/>
      <c r="WGQ167" s="102"/>
      <c r="WGR167" s="102"/>
      <c r="WGS167" s="102"/>
      <c r="WGT167" s="102"/>
      <c r="WGU167" s="102"/>
      <c r="WGV167" s="102"/>
      <c r="WGW167" s="102"/>
      <c r="WGX167" s="102"/>
      <c r="WGY167" s="102"/>
      <c r="WGZ167" s="102"/>
      <c r="WHA167" s="102"/>
      <c r="WHB167" s="102"/>
      <c r="WHC167" s="102"/>
      <c r="WHD167" s="102"/>
      <c r="WHE167" s="102"/>
      <c r="WHF167" s="102"/>
      <c r="WHG167" s="102"/>
      <c r="WHH167" s="102"/>
      <c r="WHI167" s="102"/>
      <c r="WHJ167" s="102"/>
      <c r="WHK167" s="102"/>
      <c r="WHL167" s="102"/>
      <c r="WHM167" s="102"/>
      <c r="WHN167" s="102"/>
      <c r="WHO167" s="102"/>
      <c r="WHP167" s="102"/>
      <c r="WHQ167" s="102"/>
      <c r="WHR167" s="102"/>
      <c r="WHS167" s="102"/>
      <c r="WHT167" s="102"/>
      <c r="WHU167" s="102"/>
      <c r="WHV167" s="102"/>
      <c r="WHW167" s="102"/>
      <c r="WHX167" s="102"/>
      <c r="WHY167" s="102"/>
      <c r="WHZ167" s="102"/>
      <c r="WIA167" s="102"/>
      <c r="WIB167" s="102"/>
      <c r="WIC167" s="102"/>
      <c r="WID167" s="102"/>
      <c r="WIE167" s="102"/>
      <c r="WIF167" s="102"/>
      <c r="WIG167" s="102"/>
      <c r="WIH167" s="102"/>
      <c r="WII167" s="102"/>
      <c r="WIJ167" s="102"/>
      <c r="WIK167" s="102"/>
      <c r="WIL167" s="102"/>
      <c r="WIM167" s="102"/>
      <c r="WIN167" s="102"/>
      <c r="WIO167" s="102"/>
      <c r="WIP167" s="102"/>
      <c r="WIQ167" s="102"/>
      <c r="WIR167" s="102"/>
      <c r="WIS167" s="102"/>
      <c r="WIT167" s="102"/>
      <c r="WIU167" s="102"/>
      <c r="WIV167" s="102"/>
      <c r="WIW167" s="102"/>
      <c r="WIX167" s="102"/>
      <c r="WIY167" s="102"/>
      <c r="WIZ167" s="102"/>
      <c r="WJA167" s="102"/>
      <c r="WJB167" s="102"/>
      <c r="WJC167" s="102"/>
      <c r="WJD167" s="102"/>
      <c r="WJE167" s="102"/>
      <c r="WJF167" s="102"/>
      <c r="WJG167" s="102"/>
      <c r="WJH167" s="102"/>
      <c r="WJI167" s="102"/>
      <c r="WJJ167" s="102"/>
      <c r="WJK167" s="102"/>
      <c r="WJL167" s="102"/>
      <c r="WJM167" s="102"/>
      <c r="WJN167" s="102"/>
      <c r="WJO167" s="102"/>
      <c r="WJP167" s="102"/>
      <c r="WJQ167" s="102"/>
      <c r="WJR167" s="102"/>
      <c r="WJS167" s="102"/>
      <c r="WJT167" s="102"/>
      <c r="WJU167" s="102"/>
      <c r="WJV167" s="102"/>
      <c r="WJW167" s="102"/>
      <c r="WJX167" s="102"/>
      <c r="WJY167" s="102"/>
      <c r="WJZ167" s="102"/>
      <c r="WKA167" s="102"/>
      <c r="WKB167" s="102"/>
      <c r="WKC167" s="102"/>
      <c r="WKD167" s="102"/>
      <c r="WKE167" s="102"/>
      <c r="WKF167" s="102"/>
      <c r="WKG167" s="102"/>
      <c r="WKH167" s="102"/>
      <c r="WKI167" s="102"/>
      <c r="WKJ167" s="102"/>
      <c r="WKK167" s="102"/>
      <c r="WKL167" s="102"/>
      <c r="WKM167" s="102"/>
      <c r="WKN167" s="102"/>
      <c r="WKO167" s="102"/>
      <c r="WKP167" s="102"/>
      <c r="WKQ167" s="102"/>
      <c r="WKR167" s="102"/>
      <c r="WKS167" s="102"/>
      <c r="WKT167" s="102"/>
      <c r="WKU167" s="102"/>
      <c r="WKV167" s="102"/>
      <c r="WKW167" s="102"/>
      <c r="WKX167" s="102"/>
      <c r="WKY167" s="102"/>
      <c r="WKZ167" s="102"/>
      <c r="WLA167" s="102"/>
      <c r="WLB167" s="102"/>
      <c r="WLC167" s="102"/>
      <c r="WLD167" s="102"/>
      <c r="WLE167" s="102"/>
      <c r="WLF167" s="102"/>
      <c r="WLG167" s="102"/>
      <c r="WLH167" s="102"/>
      <c r="WLI167" s="102"/>
      <c r="WLJ167" s="102"/>
      <c r="WLK167" s="102"/>
      <c r="WLL167" s="102"/>
      <c r="WLM167" s="102"/>
      <c r="WLN167" s="102"/>
      <c r="WLO167" s="102"/>
      <c r="WLP167" s="102"/>
      <c r="WLQ167" s="102"/>
      <c r="WLR167" s="102"/>
      <c r="WLS167" s="102"/>
      <c r="WLT167" s="102"/>
      <c r="WLU167" s="102"/>
      <c r="WLV167" s="102"/>
      <c r="WLW167" s="102"/>
      <c r="WLX167" s="102"/>
      <c r="WLY167" s="102"/>
      <c r="WLZ167" s="102"/>
      <c r="WMA167" s="102"/>
      <c r="WMB167" s="102"/>
      <c r="WMC167" s="102"/>
      <c r="WMD167" s="102"/>
      <c r="WME167" s="102"/>
      <c r="WMF167" s="102"/>
      <c r="WMG167" s="102"/>
      <c r="WMH167" s="102"/>
      <c r="WMI167" s="102"/>
      <c r="WMJ167" s="102"/>
      <c r="WMK167" s="102"/>
      <c r="WML167" s="102"/>
      <c r="WMM167" s="102"/>
      <c r="WMN167" s="102"/>
      <c r="WMO167" s="102"/>
      <c r="WMP167" s="102"/>
      <c r="WMQ167" s="102"/>
      <c r="WMR167" s="102"/>
      <c r="WMS167" s="102"/>
      <c r="WMT167" s="102"/>
      <c r="WMU167" s="102"/>
      <c r="WMV167" s="102"/>
      <c r="WMW167" s="102"/>
      <c r="WMX167" s="102"/>
      <c r="WMY167" s="102"/>
      <c r="WMZ167" s="102"/>
      <c r="WNA167" s="102"/>
      <c r="WNB167" s="102"/>
      <c r="WNC167" s="102"/>
      <c r="WND167" s="102"/>
      <c r="WNE167" s="102"/>
      <c r="WNF167" s="102"/>
      <c r="WNG167" s="102"/>
      <c r="WNH167" s="102"/>
      <c r="WNI167" s="102"/>
      <c r="WNJ167" s="102"/>
      <c r="WNK167" s="102"/>
      <c r="WNL167" s="102"/>
      <c r="WNM167" s="102"/>
      <c r="WNN167" s="102"/>
      <c r="WNO167" s="102"/>
      <c r="WNP167" s="102"/>
      <c r="WNQ167" s="102"/>
      <c r="WNR167" s="102"/>
      <c r="WNS167" s="102"/>
      <c r="WNT167" s="102"/>
      <c r="WNU167" s="102"/>
      <c r="WNV167" s="102"/>
      <c r="WNW167" s="102"/>
      <c r="WNX167" s="102"/>
      <c r="WNY167" s="102"/>
      <c r="WNZ167" s="102"/>
      <c r="WOA167" s="102"/>
      <c r="WOB167" s="102"/>
      <c r="WOC167" s="102"/>
      <c r="WOD167" s="102"/>
      <c r="WOE167" s="102"/>
      <c r="WOF167" s="102"/>
      <c r="WOG167" s="102"/>
      <c r="WOH167" s="102"/>
      <c r="WOI167" s="102"/>
      <c r="WOJ167" s="102"/>
      <c r="WOK167" s="102"/>
      <c r="WOL167" s="102"/>
      <c r="WOM167" s="102"/>
      <c r="WON167" s="102"/>
      <c r="WOO167" s="102"/>
      <c r="WOP167" s="102"/>
      <c r="WOQ167" s="102"/>
      <c r="WOR167" s="102"/>
      <c r="WOS167" s="102"/>
      <c r="WOT167" s="102"/>
      <c r="WOU167" s="102"/>
      <c r="WOV167" s="102"/>
      <c r="WOW167" s="102"/>
      <c r="WOX167" s="102"/>
      <c r="WOY167" s="102"/>
      <c r="WOZ167" s="102"/>
      <c r="WPA167" s="102"/>
      <c r="WPB167" s="102"/>
      <c r="WPC167" s="102"/>
      <c r="WPD167" s="102"/>
      <c r="WPE167" s="102"/>
      <c r="WPF167" s="102"/>
      <c r="WPG167" s="102"/>
      <c r="WPH167" s="102"/>
      <c r="WPI167" s="102"/>
      <c r="WPJ167" s="102"/>
      <c r="WPK167" s="102"/>
      <c r="WPL167" s="102"/>
      <c r="WPM167" s="102"/>
      <c r="WPN167" s="102"/>
      <c r="WPO167" s="102"/>
      <c r="WPP167" s="102"/>
      <c r="WPQ167" s="102"/>
      <c r="WPR167" s="102"/>
      <c r="WPS167" s="102"/>
      <c r="WPT167" s="102"/>
      <c r="WPU167" s="102"/>
      <c r="WPV167" s="102"/>
      <c r="WPW167" s="102"/>
      <c r="WPX167" s="102"/>
      <c r="WPY167" s="102"/>
      <c r="WPZ167" s="102"/>
      <c r="WQA167" s="102"/>
      <c r="WQB167" s="102"/>
      <c r="WQC167" s="102"/>
      <c r="WQD167" s="102"/>
      <c r="WQE167" s="102"/>
      <c r="WQF167" s="102"/>
      <c r="WQG167" s="102"/>
      <c r="WQH167" s="102"/>
      <c r="WQI167" s="102"/>
      <c r="WQJ167" s="102"/>
      <c r="WQK167" s="102"/>
      <c r="WQL167" s="102"/>
      <c r="WQM167" s="102"/>
      <c r="WQN167" s="102"/>
      <c r="WQO167" s="102"/>
      <c r="WQP167" s="102"/>
      <c r="WQQ167" s="102"/>
      <c r="WQR167" s="102"/>
      <c r="WQS167" s="102"/>
      <c r="WQT167" s="102"/>
      <c r="WQU167" s="102"/>
      <c r="WQV167" s="102"/>
      <c r="WQW167" s="102"/>
      <c r="WQX167" s="102"/>
      <c r="WQY167" s="102"/>
      <c r="WQZ167" s="102"/>
      <c r="WRA167" s="102"/>
      <c r="WRB167" s="102"/>
      <c r="WRC167" s="102"/>
      <c r="WRD167" s="102"/>
      <c r="WRE167" s="102"/>
      <c r="WRF167" s="102"/>
      <c r="WRG167" s="102"/>
      <c r="WRH167" s="102"/>
      <c r="WRI167" s="102"/>
      <c r="WRJ167" s="102"/>
      <c r="WRK167" s="102"/>
      <c r="WRL167" s="102"/>
      <c r="WRM167" s="102"/>
      <c r="WRN167" s="102"/>
      <c r="WRO167" s="102"/>
      <c r="WRP167" s="102"/>
      <c r="WRQ167" s="102"/>
      <c r="WRR167" s="102"/>
      <c r="WRS167" s="102"/>
      <c r="WRT167" s="102"/>
      <c r="WRU167" s="102"/>
      <c r="WRV167" s="102"/>
      <c r="WRW167" s="102"/>
      <c r="WRX167" s="102"/>
      <c r="WRY167" s="102"/>
      <c r="WRZ167" s="102"/>
      <c r="WSA167" s="102"/>
      <c r="WSB167" s="102"/>
      <c r="WSC167" s="102"/>
      <c r="WSD167" s="102"/>
      <c r="WSE167" s="102"/>
      <c r="WSF167" s="102"/>
      <c r="WSG167" s="102"/>
      <c r="WSH167" s="102"/>
      <c r="WSI167" s="102"/>
      <c r="WSJ167" s="102"/>
      <c r="WSK167" s="102"/>
      <c r="WSL167" s="102"/>
      <c r="WSM167" s="102"/>
      <c r="WSN167" s="102"/>
      <c r="WSO167" s="102"/>
      <c r="WSP167" s="102"/>
      <c r="WSQ167" s="102"/>
      <c r="WSR167" s="102"/>
      <c r="WSS167" s="102"/>
      <c r="WST167" s="102"/>
      <c r="WSU167" s="102"/>
      <c r="WSV167" s="102"/>
      <c r="WSW167" s="102"/>
      <c r="WSX167" s="102"/>
      <c r="WSY167" s="102"/>
      <c r="WSZ167" s="102"/>
      <c r="WTA167" s="102"/>
      <c r="WTB167" s="102"/>
      <c r="WTC167" s="102"/>
      <c r="WTD167" s="102"/>
      <c r="WTE167" s="102"/>
      <c r="WTF167" s="102"/>
      <c r="WTG167" s="102"/>
      <c r="WTH167" s="102"/>
      <c r="WTI167" s="102"/>
      <c r="WTJ167" s="102"/>
      <c r="WTK167" s="102"/>
      <c r="WTL167" s="102"/>
      <c r="WTM167" s="102"/>
      <c r="WTN167" s="102"/>
      <c r="WTO167" s="102"/>
      <c r="WTP167" s="102"/>
      <c r="WTQ167" s="102"/>
      <c r="WTR167" s="102"/>
      <c r="WTS167" s="102"/>
      <c r="WTT167" s="102"/>
      <c r="WTU167" s="102"/>
      <c r="WTV167" s="102"/>
      <c r="WTW167" s="102"/>
      <c r="WTX167" s="102"/>
      <c r="WTY167" s="102"/>
      <c r="WTZ167" s="102"/>
      <c r="WUA167" s="102"/>
      <c r="WUB167" s="102"/>
      <c r="WUC167" s="102"/>
      <c r="WUD167" s="102"/>
      <c r="WUE167" s="102"/>
      <c r="WUF167" s="102"/>
      <c r="WUG167" s="102"/>
      <c r="WUH167" s="102"/>
      <c r="WUI167" s="102"/>
      <c r="WUJ167" s="102"/>
      <c r="WUK167" s="102"/>
      <c r="WUL167" s="102"/>
      <c r="WUM167" s="102"/>
      <c r="WUN167" s="102"/>
      <c r="WUO167" s="102"/>
      <c r="WUP167" s="102"/>
      <c r="WUQ167" s="102"/>
      <c r="WUR167" s="102"/>
      <c r="WUS167" s="102"/>
      <c r="WUT167" s="102"/>
      <c r="WUU167" s="102"/>
      <c r="WUV167" s="102"/>
      <c r="WUW167" s="102"/>
      <c r="WUX167" s="102"/>
      <c r="WUY167" s="102"/>
      <c r="WUZ167" s="102"/>
      <c r="WVA167" s="102"/>
      <c r="WVB167" s="102"/>
      <c r="WVC167" s="102"/>
      <c r="WVD167" s="102"/>
      <c r="WVE167" s="102"/>
      <c r="WVF167" s="102"/>
      <c r="WVG167" s="102"/>
      <c r="WVH167" s="102"/>
      <c r="WVI167" s="102"/>
      <c r="WVJ167" s="102"/>
      <c r="WVK167" s="102"/>
      <c r="WVL167" s="102"/>
      <c r="WVM167" s="102"/>
      <c r="WVN167" s="102"/>
      <c r="WVO167" s="102"/>
      <c r="WVP167" s="102"/>
      <c r="WVQ167" s="102"/>
      <c r="WVR167" s="102"/>
      <c r="WVS167" s="102"/>
      <c r="WVT167" s="102"/>
      <c r="WVU167" s="102"/>
      <c r="WVV167" s="102"/>
      <c r="WVW167" s="102"/>
      <c r="WVX167" s="102"/>
      <c r="WVY167" s="102"/>
      <c r="WVZ167" s="102"/>
      <c r="WWA167" s="102"/>
      <c r="WWB167" s="102"/>
      <c r="WWC167" s="102"/>
      <c r="WWD167" s="102"/>
      <c r="WWE167" s="102"/>
      <c r="WWF167" s="102"/>
      <c r="WWG167" s="102"/>
      <c r="WWH167" s="102"/>
      <c r="WWI167" s="102"/>
      <c r="WWJ167" s="102"/>
      <c r="WWK167" s="102"/>
      <c r="WWL167" s="102"/>
      <c r="WWM167" s="102"/>
      <c r="WWN167" s="102"/>
      <c r="WWO167" s="102"/>
      <c r="WWP167" s="102"/>
      <c r="WWQ167" s="102"/>
      <c r="WWR167" s="102"/>
      <c r="WWS167" s="102"/>
      <c r="WWT167" s="102"/>
      <c r="WWU167" s="102"/>
      <c r="WWV167" s="102"/>
      <c r="WWW167" s="102"/>
      <c r="WWX167" s="102"/>
      <c r="WWY167" s="102"/>
      <c r="WWZ167" s="102"/>
      <c r="WXA167" s="102"/>
      <c r="WXB167" s="102"/>
      <c r="WXC167" s="102"/>
      <c r="WXD167" s="102"/>
      <c r="WXE167" s="102"/>
      <c r="WXF167" s="102"/>
      <c r="WXG167" s="102"/>
      <c r="WXH167" s="102"/>
      <c r="WXI167" s="102"/>
      <c r="WXJ167" s="102"/>
      <c r="WXK167" s="102"/>
      <c r="WXL167" s="102"/>
      <c r="WXM167" s="102"/>
      <c r="WXN167" s="102"/>
      <c r="WXO167" s="102"/>
      <c r="WXP167" s="102"/>
      <c r="WXQ167" s="102"/>
      <c r="WXR167" s="102"/>
      <c r="WXS167" s="102"/>
      <c r="WXT167" s="102"/>
      <c r="WXU167" s="102"/>
      <c r="WXV167" s="102"/>
      <c r="WXW167" s="102"/>
      <c r="WXX167" s="102"/>
      <c r="WXY167" s="102"/>
      <c r="WXZ167" s="102"/>
      <c r="WYA167" s="102"/>
      <c r="WYB167" s="102"/>
      <c r="WYC167" s="102"/>
      <c r="WYD167" s="102"/>
      <c r="WYE167" s="102"/>
      <c r="WYF167" s="102"/>
      <c r="WYG167" s="102"/>
      <c r="WYH167" s="102"/>
      <c r="WYI167" s="102"/>
      <c r="WYJ167" s="102"/>
      <c r="WYK167" s="102"/>
      <c r="WYL167" s="102"/>
      <c r="WYM167" s="102"/>
      <c r="WYN167" s="102"/>
      <c r="WYO167" s="102"/>
      <c r="WYP167" s="102"/>
      <c r="WYQ167" s="102"/>
      <c r="WYR167" s="102"/>
      <c r="WYS167" s="102"/>
      <c r="WYT167" s="102"/>
      <c r="WYU167" s="102"/>
      <c r="WYV167" s="102"/>
      <c r="WYW167" s="102"/>
      <c r="WYX167" s="102"/>
      <c r="WYY167" s="102"/>
      <c r="WYZ167" s="102"/>
      <c r="WZA167" s="102"/>
      <c r="WZB167" s="102"/>
      <c r="WZC167" s="102"/>
      <c r="WZD167" s="102"/>
      <c r="WZE167" s="102"/>
      <c r="WZF167" s="102"/>
      <c r="WZG167" s="102"/>
      <c r="WZH167" s="102"/>
      <c r="WZI167" s="102"/>
      <c r="WZJ167" s="102"/>
      <c r="WZK167" s="102"/>
      <c r="WZL167" s="102"/>
      <c r="WZM167" s="102"/>
      <c r="WZN167" s="102"/>
      <c r="WZO167" s="102"/>
      <c r="WZP167" s="102"/>
      <c r="WZQ167" s="102"/>
      <c r="WZR167" s="102"/>
      <c r="WZS167" s="102"/>
      <c r="WZT167" s="102"/>
      <c r="WZU167" s="102"/>
      <c r="WZV167" s="102"/>
      <c r="WZW167" s="102"/>
      <c r="WZX167" s="102"/>
      <c r="WZY167" s="102"/>
      <c r="WZZ167" s="102"/>
      <c r="XAA167" s="102"/>
      <c r="XAB167" s="102"/>
      <c r="XAC167" s="102"/>
      <c r="XAD167" s="102"/>
      <c r="XAE167" s="102"/>
      <c r="XAF167" s="102"/>
      <c r="XAG167" s="102"/>
      <c r="XAH167" s="102"/>
      <c r="XAI167" s="102"/>
      <c r="XAJ167" s="102"/>
      <c r="XAK167" s="102"/>
      <c r="XAL167" s="102"/>
      <c r="XAM167" s="102"/>
      <c r="XAN167" s="102"/>
      <c r="XAO167" s="102"/>
      <c r="XAP167" s="102"/>
      <c r="XAQ167" s="102"/>
      <c r="XAR167" s="102"/>
      <c r="XAS167" s="102"/>
      <c r="XAT167" s="102"/>
      <c r="XAU167" s="102"/>
      <c r="XAV167" s="102"/>
      <c r="XAW167" s="102"/>
      <c r="XAX167" s="102"/>
      <c r="XAY167" s="102"/>
      <c r="XAZ167" s="102"/>
      <c r="XBA167" s="102"/>
      <c r="XBB167" s="102"/>
      <c r="XBC167" s="102"/>
      <c r="XBD167" s="102"/>
      <c r="XBE167" s="102"/>
      <c r="XBF167" s="102"/>
      <c r="XBG167" s="102"/>
      <c r="XBH167" s="102"/>
      <c r="XBI167" s="102"/>
      <c r="XBJ167" s="102"/>
      <c r="XBK167" s="102"/>
      <c r="XBL167" s="102"/>
      <c r="XBM167" s="102"/>
      <c r="XBN167" s="102"/>
      <c r="XBO167" s="102"/>
      <c r="XBP167" s="102"/>
      <c r="XBQ167" s="102"/>
      <c r="XBR167" s="102"/>
      <c r="XBS167" s="102"/>
      <c r="XBT167" s="102"/>
      <c r="XBU167" s="102"/>
      <c r="XBV167" s="102"/>
      <c r="XBW167" s="102"/>
      <c r="XBX167" s="102"/>
      <c r="XBY167" s="102"/>
      <c r="XBZ167" s="102"/>
      <c r="XCA167" s="102"/>
      <c r="XCB167" s="102"/>
      <c r="XCC167" s="102"/>
      <c r="XCD167" s="102"/>
      <c r="XCE167" s="102"/>
      <c r="XCF167" s="102"/>
      <c r="XCG167" s="102"/>
      <c r="XCH167" s="102"/>
      <c r="XCI167" s="102"/>
      <c r="XCJ167" s="102"/>
      <c r="XCK167" s="102"/>
      <c r="XCL167" s="102"/>
      <c r="XCM167" s="102"/>
      <c r="XCN167" s="102"/>
      <c r="XCO167" s="102"/>
      <c r="XCP167" s="102"/>
      <c r="XCQ167" s="102"/>
      <c r="XCR167" s="102"/>
      <c r="XCS167" s="102"/>
      <c r="XCT167" s="102"/>
      <c r="XCU167" s="102"/>
      <c r="XCV167" s="102"/>
      <c r="XCW167" s="102"/>
      <c r="XCX167" s="102"/>
      <c r="XCY167" s="102"/>
      <c r="XCZ167" s="102"/>
      <c r="XDA167" s="102"/>
      <c r="XDB167" s="102"/>
      <c r="XDC167" s="102"/>
      <c r="XDD167" s="102"/>
      <c r="XDE167" s="102"/>
      <c r="XDF167" s="102"/>
      <c r="XDG167" s="102"/>
      <c r="XDH167" s="102"/>
      <c r="XDI167" s="102"/>
      <c r="XDJ167" s="102"/>
      <c r="XDK167" s="102"/>
      <c r="XDL167" s="102"/>
      <c r="XDM167" s="102"/>
      <c r="XDN167" s="102"/>
      <c r="XDO167" s="102"/>
      <c r="XDP167" s="102"/>
      <c r="XDQ167" s="102"/>
      <c r="XDR167" s="102"/>
      <c r="XDS167" s="102"/>
      <c r="XDT167" s="102"/>
      <c r="XDU167" s="102"/>
      <c r="XDV167" s="102"/>
      <c r="XDW167" s="102"/>
      <c r="XDX167" s="102"/>
      <c r="XDY167" s="102"/>
      <c r="XDZ167" s="102"/>
      <c r="XEA167" s="102"/>
      <c r="XEB167" s="102"/>
      <c r="XEC167" s="102"/>
      <c r="XED167" s="102"/>
      <c r="XEE167" s="102"/>
      <c r="XEF167" s="102"/>
      <c r="XEG167" s="102"/>
      <c r="XEH167" s="102"/>
      <c r="XEI167" s="102"/>
      <c r="XEJ167" s="102"/>
      <c r="XEK167" s="35"/>
      <c r="XEL167" s="36"/>
      <c r="XEM167" s="37"/>
      <c r="XEN167" s="37"/>
      <c r="XEO167" s="37"/>
      <c r="XEP167" s="37"/>
      <c r="XEQ167" s="38"/>
      <c r="XER167" s="38"/>
      <c r="XES167" s="38"/>
      <c r="XET167" s="38"/>
      <c r="XEU167" s="38"/>
      <c r="XEV167" s="38"/>
      <c r="XEW167" s="38"/>
      <c r="XEX167" s="38"/>
    </row>
    <row r="168" spans="1:16378" s="49" customFormat="1" ht="51.75" x14ac:dyDescent="0.25">
      <c r="A168" s="43" t="s">
        <v>87</v>
      </c>
      <c r="B168" s="44" t="s">
        <v>88</v>
      </c>
      <c r="C168" s="72"/>
      <c r="D168" s="72"/>
      <c r="E168" s="72"/>
      <c r="F168" s="72"/>
      <c r="G168" s="46">
        <f>SUM(G169:G188)</f>
        <v>346955</v>
      </c>
      <c r="H168" s="46">
        <f t="shared" ref="H168:T168" si="202">SUM(H169:H188)</f>
        <v>298955</v>
      </c>
      <c r="I168" s="46">
        <f t="shared" si="202"/>
        <v>0</v>
      </c>
      <c r="J168" s="46">
        <f t="shared" si="202"/>
        <v>0</v>
      </c>
      <c r="K168" s="46">
        <f t="shared" si="202"/>
        <v>0</v>
      </c>
      <c r="L168" s="46">
        <f t="shared" si="202"/>
        <v>0</v>
      </c>
      <c r="M168" s="46">
        <f t="shared" si="202"/>
        <v>216670.4</v>
      </c>
      <c r="N168" s="46">
        <f t="shared" si="202"/>
        <v>216670.4</v>
      </c>
      <c r="O168" s="46">
        <f t="shared" si="202"/>
        <v>274900</v>
      </c>
      <c r="P168" s="46">
        <f t="shared" si="202"/>
        <v>231700</v>
      </c>
      <c r="Q168" s="46">
        <f t="shared" si="202"/>
        <v>47850</v>
      </c>
      <c r="R168" s="46">
        <f t="shared" si="202"/>
        <v>5320.4</v>
      </c>
      <c r="S168" s="46">
        <f t="shared" si="202"/>
        <v>302400</v>
      </c>
      <c r="T168" s="46">
        <f t="shared" si="202"/>
        <v>259200</v>
      </c>
      <c r="U168" s="46">
        <f t="shared" ref="U168:AH168" si="203">SUM(U169:U186)</f>
        <v>56362</v>
      </c>
      <c r="V168" s="46">
        <f t="shared" si="203"/>
        <v>56362</v>
      </c>
      <c r="W168" s="46">
        <f t="shared" si="203"/>
        <v>65550</v>
      </c>
      <c r="X168" s="46">
        <f t="shared" si="203"/>
        <v>65550</v>
      </c>
      <c r="Y168" s="46">
        <f t="shared" si="203"/>
        <v>95106</v>
      </c>
      <c r="Z168" s="46">
        <f t="shared" si="203"/>
        <v>95106</v>
      </c>
      <c r="AA168" s="46">
        <f t="shared" si="203"/>
        <v>217018</v>
      </c>
      <c r="AB168" s="46">
        <f t="shared" si="203"/>
        <v>217018</v>
      </c>
      <c r="AC168" s="46">
        <f t="shared" si="203"/>
        <v>79620</v>
      </c>
      <c r="AD168" s="46">
        <f t="shared" si="203"/>
        <v>36420</v>
      </c>
      <c r="AE168" s="46">
        <f t="shared" si="203"/>
        <v>24050</v>
      </c>
      <c r="AF168" s="46">
        <f t="shared" si="203"/>
        <v>24050</v>
      </c>
      <c r="AG168" s="46">
        <f t="shared" si="203"/>
        <v>0</v>
      </c>
      <c r="AH168" s="46">
        <f t="shared" si="203"/>
        <v>0</v>
      </c>
      <c r="AI168" s="73"/>
      <c r="AJ168" s="19">
        <f t="shared" si="175"/>
        <v>1</v>
      </c>
      <c r="AK168" s="22"/>
      <c r="AL168" s="22"/>
      <c r="AM168" s="92"/>
      <c r="AN168" s="12"/>
      <c r="AO168" s="12"/>
      <c r="AP168" s="12">
        <f t="shared" si="197"/>
        <v>0</v>
      </c>
      <c r="AQ168" s="12"/>
      <c r="AR168" s="12">
        <f t="shared" si="157"/>
        <v>0</v>
      </c>
      <c r="AS168" s="12"/>
      <c r="AT168" s="12">
        <f t="shared" si="185"/>
        <v>0</v>
      </c>
      <c r="AU168" s="12"/>
      <c r="AV168" s="12">
        <f t="shared" si="186"/>
        <v>0</v>
      </c>
    </row>
    <row r="169" spans="1:16378" ht="49.5" x14ac:dyDescent="0.25">
      <c r="A169" s="64" t="s">
        <v>414</v>
      </c>
      <c r="B169" s="9" t="s">
        <v>415</v>
      </c>
      <c r="C169" s="61" t="s">
        <v>416</v>
      </c>
      <c r="D169" s="61" t="s">
        <v>417</v>
      </c>
      <c r="E169" s="61" t="s">
        <v>91</v>
      </c>
      <c r="F169" s="61" t="s">
        <v>418</v>
      </c>
      <c r="G169" s="80">
        <v>149563</v>
      </c>
      <c r="H169" s="5">
        <f>G169</f>
        <v>149563</v>
      </c>
      <c r="I169" s="5"/>
      <c r="J169" s="5"/>
      <c r="K169" s="5"/>
      <c r="L169" s="5"/>
      <c r="M169" s="5">
        <v>122450</v>
      </c>
      <c r="N169" s="63">
        <v>122450</v>
      </c>
      <c r="O169" s="5">
        <v>122450</v>
      </c>
      <c r="P169" s="63">
        <v>122450</v>
      </c>
      <c r="Q169" s="54"/>
      <c r="R169" s="54">
        <f t="shared" ref="R169:R191" si="204">N169-T169</f>
        <v>0</v>
      </c>
      <c r="S169" s="68">
        <f t="shared" ref="S169:T184" si="205">O169</f>
        <v>122450</v>
      </c>
      <c r="T169" s="68">
        <f t="shared" si="205"/>
        <v>122450</v>
      </c>
      <c r="U169" s="5">
        <f t="shared" ref="U169:U176" si="206">V169</f>
        <v>39500</v>
      </c>
      <c r="V169" s="5">
        <v>39500</v>
      </c>
      <c r="W169" s="5">
        <f>X169</f>
        <v>36000</v>
      </c>
      <c r="X169" s="5">
        <v>36000</v>
      </c>
      <c r="Y169" s="5">
        <f>Z169</f>
        <v>70000</v>
      </c>
      <c r="Z169" s="5">
        <v>70000</v>
      </c>
      <c r="AA169" s="63">
        <f t="shared" ref="AA169:AB186" si="207">U169+W169+Y169</f>
        <v>145500</v>
      </c>
      <c r="AB169" s="63">
        <f t="shared" si="207"/>
        <v>145500</v>
      </c>
      <c r="AC169" s="63"/>
      <c r="AD169" s="63"/>
      <c r="AE169" s="63">
        <f t="shared" ref="AE169:AE192" si="208">AF169</f>
        <v>0</v>
      </c>
      <c r="AF169" s="63">
        <f t="shared" ref="AF169:AF192" si="209">IF(AB169=0,AD169,0)</f>
        <v>0</v>
      </c>
      <c r="AG169" s="5"/>
      <c r="AH169" s="5"/>
      <c r="AI169" s="27"/>
      <c r="AJ169" s="19">
        <f t="shared" si="175"/>
        <v>0</v>
      </c>
      <c r="AK169" s="22">
        <f t="shared" si="182"/>
        <v>0</v>
      </c>
      <c r="AL169" s="22"/>
      <c r="AM169" s="12">
        <f t="shared" ref="AM169:AM186" si="210">IF(AJ169=0,1,0)</f>
        <v>1</v>
      </c>
      <c r="AO169" s="12">
        <f t="shared" ref="AO169:AO186" si="211">IF(P169=0,1,0)</f>
        <v>0</v>
      </c>
      <c r="AP169" s="12">
        <f t="shared" si="197"/>
        <v>0</v>
      </c>
      <c r="AQ169" s="12">
        <f t="shared" ref="AQ169:AQ186" si="212">IF(N169=0,1,0)</f>
        <v>0</v>
      </c>
      <c r="AR169" s="12">
        <f t="shared" si="157"/>
        <v>0</v>
      </c>
      <c r="AS169" s="12">
        <f t="shared" ref="AS169:AS185" si="213">IF(Q169=0,0,1)</f>
        <v>0</v>
      </c>
      <c r="AT169" s="12">
        <f t="shared" si="185"/>
        <v>0</v>
      </c>
      <c r="AU169" s="12">
        <f t="shared" ref="AU169:AU186" si="214">IF(R169=0,0,1)</f>
        <v>0</v>
      </c>
      <c r="AV169" s="12">
        <f t="shared" si="186"/>
        <v>0</v>
      </c>
    </row>
    <row r="170" spans="1:16378" ht="66" x14ac:dyDescent="0.25">
      <c r="A170" s="64" t="s">
        <v>419</v>
      </c>
      <c r="B170" s="9" t="s">
        <v>420</v>
      </c>
      <c r="C170" s="61" t="s">
        <v>104</v>
      </c>
      <c r="D170" s="61" t="s">
        <v>421</v>
      </c>
      <c r="E170" s="61">
        <v>2016</v>
      </c>
      <c r="F170" s="61" t="s">
        <v>422</v>
      </c>
      <c r="G170" s="80">
        <v>5538</v>
      </c>
      <c r="H170" s="5">
        <f t="shared" ref="H170:H176" si="215">G170</f>
        <v>5538</v>
      </c>
      <c r="I170" s="5"/>
      <c r="J170" s="5"/>
      <c r="K170" s="5"/>
      <c r="L170" s="5"/>
      <c r="M170" s="5">
        <v>5000</v>
      </c>
      <c r="N170" s="63">
        <f>M170</f>
        <v>5000</v>
      </c>
      <c r="O170" s="5">
        <v>5000</v>
      </c>
      <c r="P170" s="63">
        <f>O170</f>
        <v>5000</v>
      </c>
      <c r="Q170" s="54"/>
      <c r="R170" s="54">
        <f t="shared" si="204"/>
        <v>0</v>
      </c>
      <c r="S170" s="68">
        <f t="shared" si="205"/>
        <v>5000</v>
      </c>
      <c r="T170" s="68">
        <f t="shared" si="205"/>
        <v>5000</v>
      </c>
      <c r="U170" s="5">
        <f t="shared" si="206"/>
        <v>5000</v>
      </c>
      <c r="V170" s="5">
        <v>5000</v>
      </c>
      <c r="W170" s="5"/>
      <c r="X170" s="5"/>
      <c r="Y170" s="5"/>
      <c r="Z170" s="5"/>
      <c r="AA170" s="63">
        <f t="shared" si="207"/>
        <v>5000</v>
      </c>
      <c r="AB170" s="63">
        <f t="shared" si="207"/>
        <v>5000</v>
      </c>
      <c r="AC170" s="63">
        <f>O170-AA170</f>
        <v>0</v>
      </c>
      <c r="AD170" s="63">
        <f>P170-AB170</f>
        <v>0</v>
      </c>
      <c r="AE170" s="63">
        <f t="shared" si="208"/>
        <v>0</v>
      </c>
      <c r="AF170" s="63">
        <f t="shared" si="209"/>
        <v>0</v>
      </c>
      <c r="AG170" s="5"/>
      <c r="AH170" s="5"/>
      <c r="AI170" s="27"/>
      <c r="AJ170" s="19">
        <f t="shared" si="175"/>
        <v>0</v>
      </c>
      <c r="AK170" s="22">
        <f t="shared" si="182"/>
        <v>0</v>
      </c>
      <c r="AL170" s="22"/>
      <c r="AM170" s="12">
        <f t="shared" si="210"/>
        <v>1</v>
      </c>
      <c r="AO170" s="12">
        <f t="shared" si="211"/>
        <v>0</v>
      </c>
      <c r="AP170" s="12">
        <f t="shared" si="197"/>
        <v>0</v>
      </c>
      <c r="AQ170" s="12">
        <f t="shared" si="212"/>
        <v>0</v>
      </c>
      <c r="AR170" s="12">
        <f t="shared" si="157"/>
        <v>0</v>
      </c>
      <c r="AS170" s="12">
        <f t="shared" si="213"/>
        <v>0</v>
      </c>
      <c r="AT170" s="12">
        <f t="shared" si="185"/>
        <v>0</v>
      </c>
      <c r="AU170" s="12">
        <f t="shared" si="214"/>
        <v>0</v>
      </c>
      <c r="AV170" s="12">
        <f t="shared" si="186"/>
        <v>0</v>
      </c>
    </row>
    <row r="171" spans="1:16378" ht="82.5" x14ac:dyDescent="0.25">
      <c r="A171" s="64" t="s">
        <v>423</v>
      </c>
      <c r="B171" s="9" t="s">
        <v>424</v>
      </c>
      <c r="C171" s="61" t="s">
        <v>95</v>
      </c>
      <c r="D171" s="9" t="s">
        <v>425</v>
      </c>
      <c r="E171" s="61">
        <v>2016</v>
      </c>
      <c r="F171" s="61" t="s">
        <v>426</v>
      </c>
      <c r="G171" s="80">
        <v>1756</v>
      </c>
      <c r="H171" s="5">
        <f t="shared" si="215"/>
        <v>1756</v>
      </c>
      <c r="I171" s="5"/>
      <c r="J171" s="5"/>
      <c r="K171" s="5"/>
      <c r="L171" s="5"/>
      <c r="M171" s="5">
        <f>G171*0.9</f>
        <v>1580.4</v>
      </c>
      <c r="N171" s="63">
        <f>M171</f>
        <v>1580.4</v>
      </c>
      <c r="O171" s="5">
        <f>P171</f>
        <v>1420</v>
      </c>
      <c r="P171" s="63">
        <v>1420</v>
      </c>
      <c r="Q171" s="54"/>
      <c r="R171" s="54">
        <f t="shared" si="204"/>
        <v>160.40000000000009</v>
      </c>
      <c r="S171" s="68">
        <f t="shared" si="205"/>
        <v>1420</v>
      </c>
      <c r="T171" s="68">
        <f t="shared" si="205"/>
        <v>1420</v>
      </c>
      <c r="U171" s="5">
        <f t="shared" si="206"/>
        <v>1630</v>
      </c>
      <c r="V171" s="5">
        <v>1630</v>
      </c>
      <c r="W171" s="5"/>
      <c r="X171" s="5"/>
      <c r="Y171" s="5"/>
      <c r="Z171" s="5"/>
      <c r="AA171" s="63">
        <f t="shared" si="207"/>
        <v>1630</v>
      </c>
      <c r="AB171" s="63">
        <f t="shared" si="207"/>
        <v>1630</v>
      </c>
      <c r="AC171" s="63"/>
      <c r="AD171" s="63"/>
      <c r="AE171" s="63">
        <f t="shared" si="208"/>
        <v>0</v>
      </c>
      <c r="AF171" s="63">
        <f t="shared" si="209"/>
        <v>0</v>
      </c>
      <c r="AG171" s="5"/>
      <c r="AH171" s="5"/>
      <c r="AI171" s="749" t="s">
        <v>404</v>
      </c>
      <c r="AJ171" s="19">
        <f t="shared" si="175"/>
        <v>1</v>
      </c>
      <c r="AK171" s="22">
        <f t="shared" si="182"/>
        <v>1</v>
      </c>
      <c r="AL171" s="22"/>
      <c r="AM171" s="12">
        <f t="shared" si="210"/>
        <v>0</v>
      </c>
      <c r="AO171" s="12">
        <f t="shared" si="211"/>
        <v>0</v>
      </c>
      <c r="AP171" s="12">
        <f t="shared" si="197"/>
        <v>0</v>
      </c>
      <c r="AQ171" s="12">
        <f t="shared" si="212"/>
        <v>0</v>
      </c>
      <c r="AR171" s="12">
        <f t="shared" si="157"/>
        <v>0</v>
      </c>
      <c r="AS171" s="12">
        <f t="shared" si="213"/>
        <v>0</v>
      </c>
      <c r="AT171" s="12">
        <f t="shared" si="185"/>
        <v>0</v>
      </c>
      <c r="AU171" s="12">
        <f t="shared" si="214"/>
        <v>1</v>
      </c>
      <c r="AV171" s="12">
        <f t="shared" si="186"/>
        <v>160.40000000000009</v>
      </c>
    </row>
    <row r="172" spans="1:16378" ht="49.5" x14ac:dyDescent="0.25">
      <c r="A172" s="64" t="s">
        <v>427</v>
      </c>
      <c r="B172" s="9" t="s">
        <v>428</v>
      </c>
      <c r="C172" s="61" t="s">
        <v>95</v>
      </c>
      <c r="D172" s="9" t="s">
        <v>429</v>
      </c>
      <c r="E172" s="61" t="s">
        <v>97</v>
      </c>
      <c r="F172" s="61" t="s">
        <v>430</v>
      </c>
      <c r="G172" s="63">
        <v>2163</v>
      </c>
      <c r="H172" s="5">
        <f t="shared" si="215"/>
        <v>2163</v>
      </c>
      <c r="I172" s="5"/>
      <c r="J172" s="5"/>
      <c r="K172" s="5"/>
      <c r="L172" s="5"/>
      <c r="M172" s="5">
        <v>1950</v>
      </c>
      <c r="N172" s="63">
        <f>M172</f>
        <v>1950</v>
      </c>
      <c r="O172" s="5">
        <v>1950</v>
      </c>
      <c r="P172" s="63">
        <f>O172</f>
        <v>1950</v>
      </c>
      <c r="Q172" s="54"/>
      <c r="R172" s="54">
        <f t="shared" si="204"/>
        <v>0</v>
      </c>
      <c r="S172" s="68">
        <f t="shared" si="205"/>
        <v>1950</v>
      </c>
      <c r="T172" s="68">
        <f t="shared" si="205"/>
        <v>1950</v>
      </c>
      <c r="U172" s="5">
        <f t="shared" si="206"/>
        <v>1000</v>
      </c>
      <c r="V172" s="5">
        <v>1000</v>
      </c>
      <c r="W172" s="5">
        <f>X172</f>
        <v>950</v>
      </c>
      <c r="X172" s="5">
        <v>950</v>
      </c>
      <c r="Y172" s="5"/>
      <c r="Z172" s="5"/>
      <c r="AA172" s="63">
        <f t="shared" si="207"/>
        <v>1950</v>
      </c>
      <c r="AB172" s="63">
        <f t="shared" si="207"/>
        <v>1950</v>
      </c>
      <c r="AC172" s="63">
        <f>O172-AA172</f>
        <v>0</v>
      </c>
      <c r="AD172" s="63">
        <f>P172-AB172</f>
        <v>0</v>
      </c>
      <c r="AE172" s="63">
        <f t="shared" si="208"/>
        <v>0</v>
      </c>
      <c r="AF172" s="63">
        <f t="shared" si="209"/>
        <v>0</v>
      </c>
      <c r="AG172" s="5"/>
      <c r="AH172" s="5"/>
      <c r="AI172" s="27"/>
      <c r="AJ172" s="19">
        <f t="shared" si="175"/>
        <v>0</v>
      </c>
      <c r="AK172" s="22">
        <f t="shared" si="182"/>
        <v>0</v>
      </c>
      <c r="AL172" s="22"/>
      <c r="AM172" s="12">
        <f t="shared" si="210"/>
        <v>1</v>
      </c>
      <c r="AO172" s="12">
        <f t="shared" si="211"/>
        <v>0</v>
      </c>
      <c r="AP172" s="12">
        <f t="shared" si="197"/>
        <v>0</v>
      </c>
      <c r="AQ172" s="12">
        <f t="shared" si="212"/>
        <v>0</v>
      </c>
      <c r="AR172" s="12">
        <f t="shared" si="157"/>
        <v>0</v>
      </c>
      <c r="AS172" s="12">
        <f t="shared" si="213"/>
        <v>0</v>
      </c>
      <c r="AT172" s="12">
        <f t="shared" si="185"/>
        <v>0</v>
      </c>
      <c r="AU172" s="12">
        <f t="shared" si="214"/>
        <v>0</v>
      </c>
      <c r="AV172" s="12">
        <f t="shared" si="186"/>
        <v>0</v>
      </c>
    </row>
    <row r="173" spans="1:16378" ht="49.5" x14ac:dyDescent="0.25">
      <c r="A173" s="64" t="s">
        <v>431</v>
      </c>
      <c r="B173" s="9" t="s">
        <v>432</v>
      </c>
      <c r="C173" s="61" t="s">
        <v>194</v>
      </c>
      <c r="D173" s="61" t="s">
        <v>433</v>
      </c>
      <c r="E173" s="61" t="s">
        <v>97</v>
      </c>
      <c r="F173" s="61" t="s">
        <v>434</v>
      </c>
      <c r="G173" s="80">
        <v>13954</v>
      </c>
      <c r="H173" s="5">
        <f t="shared" si="215"/>
        <v>13954</v>
      </c>
      <c r="I173" s="5"/>
      <c r="J173" s="5"/>
      <c r="K173" s="5"/>
      <c r="L173" s="5"/>
      <c r="M173" s="5">
        <v>12560</v>
      </c>
      <c r="N173" s="63">
        <f>M173</f>
        <v>12560</v>
      </c>
      <c r="O173" s="5">
        <v>12560</v>
      </c>
      <c r="P173" s="63">
        <f>O173</f>
        <v>12560</v>
      </c>
      <c r="Q173" s="54"/>
      <c r="R173" s="54">
        <f t="shared" si="204"/>
        <v>0</v>
      </c>
      <c r="S173" s="68">
        <f t="shared" si="205"/>
        <v>12560</v>
      </c>
      <c r="T173" s="68">
        <f t="shared" si="205"/>
        <v>12560</v>
      </c>
      <c r="U173" s="104">
        <f t="shared" si="206"/>
        <v>154</v>
      </c>
      <c r="V173" s="104">
        <v>154</v>
      </c>
      <c r="W173" s="5">
        <f>X173</f>
        <v>10200</v>
      </c>
      <c r="X173" s="5">
        <v>10200</v>
      </c>
      <c r="Y173" s="5">
        <f>Z173</f>
        <v>2206</v>
      </c>
      <c r="Z173" s="5">
        <f>P173-V173-X173</f>
        <v>2206</v>
      </c>
      <c r="AA173" s="63">
        <f t="shared" si="207"/>
        <v>12560</v>
      </c>
      <c r="AB173" s="63">
        <f t="shared" si="207"/>
        <v>12560</v>
      </c>
      <c r="AC173" s="63">
        <f>O173-AA173</f>
        <v>0</v>
      </c>
      <c r="AD173" s="63">
        <f>P173-AB173</f>
        <v>0</v>
      </c>
      <c r="AE173" s="63">
        <f t="shared" si="208"/>
        <v>0</v>
      </c>
      <c r="AF173" s="63">
        <f t="shared" si="209"/>
        <v>0</v>
      </c>
      <c r="AG173" s="5"/>
      <c r="AH173" s="5"/>
      <c r="AI173" s="27"/>
      <c r="AJ173" s="19">
        <f t="shared" si="175"/>
        <v>0</v>
      </c>
      <c r="AK173" s="22">
        <f t="shared" si="182"/>
        <v>0</v>
      </c>
      <c r="AL173" s="22"/>
      <c r="AM173" s="12">
        <f t="shared" si="210"/>
        <v>1</v>
      </c>
      <c r="AO173" s="12">
        <f t="shared" si="211"/>
        <v>0</v>
      </c>
      <c r="AP173" s="12">
        <f t="shared" si="197"/>
        <v>0</v>
      </c>
      <c r="AQ173" s="12">
        <f t="shared" si="212"/>
        <v>0</v>
      </c>
      <c r="AR173" s="12">
        <f t="shared" si="157"/>
        <v>0</v>
      </c>
      <c r="AS173" s="12">
        <f t="shared" si="213"/>
        <v>0</v>
      </c>
      <c r="AT173" s="12">
        <f t="shared" si="185"/>
        <v>0</v>
      </c>
      <c r="AU173" s="12">
        <f t="shared" si="214"/>
        <v>0</v>
      </c>
      <c r="AV173" s="12">
        <f t="shared" si="186"/>
        <v>0</v>
      </c>
    </row>
    <row r="174" spans="1:16378" ht="66" x14ac:dyDescent="0.25">
      <c r="A174" s="64" t="s">
        <v>435</v>
      </c>
      <c r="B174" s="9" t="s">
        <v>436</v>
      </c>
      <c r="C174" s="61" t="s">
        <v>437</v>
      </c>
      <c r="D174" s="61" t="s">
        <v>438</v>
      </c>
      <c r="E174" s="61">
        <v>2016</v>
      </c>
      <c r="F174" s="61" t="s">
        <v>439</v>
      </c>
      <c r="G174" s="80">
        <v>10083</v>
      </c>
      <c r="H174" s="5">
        <f t="shared" si="215"/>
        <v>10083</v>
      </c>
      <c r="I174" s="5"/>
      <c r="J174" s="5"/>
      <c r="K174" s="5"/>
      <c r="L174" s="5"/>
      <c r="M174" s="5">
        <v>9100</v>
      </c>
      <c r="N174" s="63">
        <v>9100</v>
      </c>
      <c r="O174" s="5">
        <f>P174</f>
        <v>9100</v>
      </c>
      <c r="P174" s="63">
        <f>N174</f>
        <v>9100</v>
      </c>
      <c r="Q174" s="54"/>
      <c r="R174" s="54">
        <f t="shared" si="204"/>
        <v>0</v>
      </c>
      <c r="S174" s="68">
        <f t="shared" si="205"/>
        <v>9100</v>
      </c>
      <c r="T174" s="68">
        <f t="shared" si="205"/>
        <v>9100</v>
      </c>
      <c r="U174" s="5">
        <f t="shared" si="206"/>
        <v>6934</v>
      </c>
      <c r="V174" s="5">
        <v>6934</v>
      </c>
      <c r="W174" s="5">
        <f>X174</f>
        <v>2540</v>
      </c>
      <c r="X174" s="5">
        <v>2540</v>
      </c>
      <c r="Y174" s="5"/>
      <c r="Z174" s="5"/>
      <c r="AA174" s="63">
        <f t="shared" si="207"/>
        <v>9474</v>
      </c>
      <c r="AB174" s="63">
        <f t="shared" si="207"/>
        <v>9474</v>
      </c>
      <c r="AC174" s="63"/>
      <c r="AD174" s="63"/>
      <c r="AE174" s="63">
        <f t="shared" si="208"/>
        <v>0</v>
      </c>
      <c r="AF174" s="63">
        <f t="shared" si="209"/>
        <v>0</v>
      </c>
      <c r="AG174" s="5"/>
      <c r="AH174" s="5"/>
      <c r="AI174" s="27"/>
      <c r="AJ174" s="19">
        <f t="shared" si="175"/>
        <v>0</v>
      </c>
      <c r="AK174" s="22">
        <f t="shared" si="182"/>
        <v>0</v>
      </c>
      <c r="AL174" s="22"/>
      <c r="AM174" s="12">
        <f t="shared" si="210"/>
        <v>1</v>
      </c>
      <c r="AO174" s="12">
        <f t="shared" si="211"/>
        <v>0</v>
      </c>
      <c r="AP174" s="12">
        <f t="shared" si="197"/>
        <v>0</v>
      </c>
      <c r="AQ174" s="12">
        <f t="shared" si="212"/>
        <v>0</v>
      </c>
      <c r="AR174" s="12">
        <f t="shared" si="157"/>
        <v>0</v>
      </c>
      <c r="AS174" s="12">
        <f t="shared" si="213"/>
        <v>0</v>
      </c>
      <c r="AT174" s="12">
        <f t="shared" si="185"/>
        <v>0</v>
      </c>
      <c r="AU174" s="12">
        <f t="shared" si="214"/>
        <v>0</v>
      </c>
      <c r="AV174" s="12">
        <f t="shared" si="186"/>
        <v>0</v>
      </c>
    </row>
    <row r="175" spans="1:16378" ht="115.5" x14ac:dyDescent="0.25">
      <c r="A175" s="64" t="s">
        <v>440</v>
      </c>
      <c r="B175" s="9" t="s">
        <v>441</v>
      </c>
      <c r="C175" s="61" t="s">
        <v>442</v>
      </c>
      <c r="D175" s="61" t="s">
        <v>443</v>
      </c>
      <c r="E175" s="61" t="s">
        <v>97</v>
      </c>
      <c r="F175" s="61" t="s">
        <v>444</v>
      </c>
      <c r="G175" s="63">
        <v>4900</v>
      </c>
      <c r="H175" s="5">
        <f t="shared" si="215"/>
        <v>4900</v>
      </c>
      <c r="I175" s="5"/>
      <c r="J175" s="5"/>
      <c r="K175" s="5"/>
      <c r="L175" s="5"/>
      <c r="M175" s="5">
        <v>4400</v>
      </c>
      <c r="N175" s="63">
        <f t="shared" ref="N175:N184" si="216">M175</f>
        <v>4400</v>
      </c>
      <c r="O175" s="5">
        <f>P175</f>
        <v>4400</v>
      </c>
      <c r="P175" s="63">
        <v>4400</v>
      </c>
      <c r="Q175" s="54"/>
      <c r="R175" s="54">
        <f t="shared" si="204"/>
        <v>0</v>
      </c>
      <c r="S175" s="68">
        <f t="shared" si="205"/>
        <v>4400</v>
      </c>
      <c r="T175" s="68">
        <f t="shared" si="205"/>
        <v>4400</v>
      </c>
      <c r="U175" s="5">
        <f t="shared" si="206"/>
        <v>144</v>
      </c>
      <c r="V175" s="5">
        <v>144</v>
      </c>
      <c r="W175" s="5">
        <f>X175</f>
        <v>4360</v>
      </c>
      <c r="X175" s="5">
        <v>4360</v>
      </c>
      <c r="Y175" s="5"/>
      <c r="Z175" s="5"/>
      <c r="AA175" s="63">
        <f t="shared" si="207"/>
        <v>4504</v>
      </c>
      <c r="AB175" s="63">
        <f t="shared" si="207"/>
        <v>4504</v>
      </c>
      <c r="AC175" s="63"/>
      <c r="AD175" s="63"/>
      <c r="AE175" s="63">
        <f t="shared" si="208"/>
        <v>0</v>
      </c>
      <c r="AF175" s="63">
        <f t="shared" si="209"/>
        <v>0</v>
      </c>
      <c r="AG175" s="5"/>
      <c r="AH175" s="5"/>
      <c r="AI175" s="27"/>
      <c r="AJ175" s="19">
        <f t="shared" si="175"/>
        <v>0</v>
      </c>
      <c r="AK175" s="22">
        <f t="shared" si="182"/>
        <v>0</v>
      </c>
      <c r="AL175" s="22"/>
      <c r="AM175" s="12">
        <f t="shared" si="210"/>
        <v>1</v>
      </c>
      <c r="AO175" s="12">
        <f t="shared" si="211"/>
        <v>0</v>
      </c>
      <c r="AP175" s="12">
        <f t="shared" si="197"/>
        <v>0</v>
      </c>
      <c r="AQ175" s="12">
        <f t="shared" si="212"/>
        <v>0</v>
      </c>
      <c r="AR175" s="12">
        <f t="shared" si="157"/>
        <v>0</v>
      </c>
      <c r="AS175" s="12">
        <f t="shared" si="213"/>
        <v>0</v>
      </c>
      <c r="AT175" s="12">
        <f t="shared" si="185"/>
        <v>0</v>
      </c>
      <c r="AU175" s="12">
        <f t="shared" si="214"/>
        <v>0</v>
      </c>
      <c r="AV175" s="12">
        <f t="shared" si="186"/>
        <v>0</v>
      </c>
    </row>
    <row r="176" spans="1:16378" ht="49.5" x14ac:dyDescent="0.25">
      <c r="A176" s="64" t="s">
        <v>445</v>
      </c>
      <c r="B176" s="9" t="s">
        <v>446</v>
      </c>
      <c r="C176" s="61" t="s">
        <v>447</v>
      </c>
      <c r="D176" s="61" t="s">
        <v>448</v>
      </c>
      <c r="E176" s="61" t="s">
        <v>97</v>
      </c>
      <c r="F176" s="61" t="s">
        <v>449</v>
      </c>
      <c r="G176" s="63">
        <v>2788</v>
      </c>
      <c r="H176" s="5">
        <f t="shared" si="215"/>
        <v>2788</v>
      </c>
      <c r="I176" s="5"/>
      <c r="J176" s="5"/>
      <c r="K176" s="5"/>
      <c r="L176" s="5"/>
      <c r="M176" s="5">
        <v>2500</v>
      </c>
      <c r="N176" s="63">
        <f t="shared" si="216"/>
        <v>2500</v>
      </c>
      <c r="O176" s="5">
        <v>2500</v>
      </c>
      <c r="P176" s="63">
        <f t="shared" ref="P176:P184" si="217">O176</f>
        <v>2500</v>
      </c>
      <c r="Q176" s="54"/>
      <c r="R176" s="54">
        <f t="shared" si="204"/>
        <v>0</v>
      </c>
      <c r="S176" s="68">
        <f t="shared" si="205"/>
        <v>2500</v>
      </c>
      <c r="T176" s="68">
        <f t="shared" si="205"/>
        <v>2500</v>
      </c>
      <c r="U176" s="5">
        <f t="shared" si="206"/>
        <v>2000</v>
      </c>
      <c r="V176" s="5">
        <v>2000</v>
      </c>
      <c r="W176" s="5"/>
      <c r="X176" s="5"/>
      <c r="Y176" s="5">
        <f>Z176</f>
        <v>500</v>
      </c>
      <c r="Z176" s="5">
        <f>P176-V176-X176</f>
        <v>500</v>
      </c>
      <c r="AA176" s="63">
        <f t="shared" si="207"/>
        <v>2500</v>
      </c>
      <c r="AB176" s="63">
        <f t="shared" si="207"/>
        <v>2500</v>
      </c>
      <c r="AC176" s="63">
        <f t="shared" ref="AC176:AD186" si="218">O176-AA176</f>
        <v>0</v>
      </c>
      <c r="AD176" s="63">
        <f t="shared" si="218"/>
        <v>0</v>
      </c>
      <c r="AE176" s="63">
        <f t="shared" si="208"/>
        <v>0</v>
      </c>
      <c r="AF176" s="63">
        <f t="shared" si="209"/>
        <v>0</v>
      </c>
      <c r="AG176" s="5"/>
      <c r="AH176" s="5"/>
      <c r="AI176" s="27"/>
      <c r="AJ176" s="19">
        <f t="shared" si="175"/>
        <v>0</v>
      </c>
      <c r="AK176" s="22">
        <f t="shared" si="182"/>
        <v>0</v>
      </c>
      <c r="AL176" s="22"/>
      <c r="AM176" s="12">
        <f t="shared" si="210"/>
        <v>1</v>
      </c>
      <c r="AO176" s="12">
        <f t="shared" si="211"/>
        <v>0</v>
      </c>
      <c r="AP176" s="12">
        <f t="shared" si="197"/>
        <v>0</v>
      </c>
      <c r="AQ176" s="12">
        <f t="shared" si="212"/>
        <v>0</v>
      </c>
      <c r="AR176" s="12">
        <f t="shared" si="157"/>
        <v>0</v>
      </c>
      <c r="AS176" s="12">
        <f t="shared" si="213"/>
        <v>0</v>
      </c>
      <c r="AT176" s="12">
        <f t="shared" si="185"/>
        <v>0</v>
      </c>
      <c r="AU176" s="12">
        <f t="shared" si="214"/>
        <v>0</v>
      </c>
      <c r="AV176" s="12">
        <f t="shared" si="186"/>
        <v>0</v>
      </c>
    </row>
    <row r="177" spans="1:48" ht="49.5" x14ac:dyDescent="0.25">
      <c r="A177" s="64" t="s">
        <v>450</v>
      </c>
      <c r="B177" s="9" t="s">
        <v>451</v>
      </c>
      <c r="C177" s="61" t="s">
        <v>95</v>
      </c>
      <c r="D177" s="61" t="s">
        <v>452</v>
      </c>
      <c r="E177" s="61" t="s">
        <v>97</v>
      </c>
      <c r="F177" s="61" t="s">
        <v>453</v>
      </c>
      <c r="G177" s="75">
        <f t="shared" ref="G177:G184" si="219">H177</f>
        <v>1917</v>
      </c>
      <c r="H177" s="63">
        <v>1917</v>
      </c>
      <c r="I177" s="63"/>
      <c r="J177" s="63"/>
      <c r="K177" s="63"/>
      <c r="L177" s="63"/>
      <c r="M177" s="68">
        <v>1720</v>
      </c>
      <c r="N177" s="63">
        <f t="shared" si="216"/>
        <v>1720</v>
      </c>
      <c r="O177" s="68">
        <v>1720</v>
      </c>
      <c r="P177" s="63">
        <f t="shared" si="217"/>
        <v>1720</v>
      </c>
      <c r="Q177" s="54"/>
      <c r="R177" s="54">
        <f t="shared" si="204"/>
        <v>0</v>
      </c>
      <c r="S177" s="68">
        <f t="shared" si="205"/>
        <v>1720</v>
      </c>
      <c r="T177" s="68">
        <f t="shared" si="205"/>
        <v>1720</v>
      </c>
      <c r="U177" s="63"/>
      <c r="V177" s="63"/>
      <c r="W177" s="63">
        <f>X177</f>
        <v>1500</v>
      </c>
      <c r="X177" s="63">
        <v>1500</v>
      </c>
      <c r="Y177" s="63"/>
      <c r="Z177" s="63"/>
      <c r="AA177" s="63">
        <f t="shared" si="207"/>
        <v>1500</v>
      </c>
      <c r="AB177" s="63">
        <f t="shared" si="207"/>
        <v>1500</v>
      </c>
      <c r="AC177" s="63">
        <f t="shared" si="218"/>
        <v>220</v>
      </c>
      <c r="AD177" s="63">
        <f t="shared" si="218"/>
        <v>220</v>
      </c>
      <c r="AE177" s="63">
        <f t="shared" si="208"/>
        <v>0</v>
      </c>
      <c r="AF177" s="63">
        <f t="shared" si="209"/>
        <v>0</v>
      </c>
      <c r="AG177" s="63"/>
      <c r="AH177" s="63"/>
      <c r="AI177" s="69"/>
      <c r="AJ177" s="19">
        <f t="shared" si="175"/>
        <v>0</v>
      </c>
      <c r="AK177" s="22">
        <f t="shared" si="182"/>
        <v>0</v>
      </c>
      <c r="AL177" s="22"/>
      <c r="AM177" s="12">
        <f t="shared" si="210"/>
        <v>1</v>
      </c>
      <c r="AO177" s="12">
        <f t="shared" si="211"/>
        <v>0</v>
      </c>
      <c r="AP177" s="12">
        <f t="shared" si="197"/>
        <v>0</v>
      </c>
      <c r="AQ177" s="12">
        <f t="shared" si="212"/>
        <v>0</v>
      </c>
      <c r="AR177" s="12">
        <f t="shared" si="157"/>
        <v>0</v>
      </c>
      <c r="AS177" s="12">
        <f t="shared" si="213"/>
        <v>0</v>
      </c>
      <c r="AT177" s="12">
        <f t="shared" si="185"/>
        <v>0</v>
      </c>
      <c r="AU177" s="12">
        <f t="shared" si="214"/>
        <v>0</v>
      </c>
      <c r="AV177" s="12">
        <f t="shared" si="186"/>
        <v>0</v>
      </c>
    </row>
    <row r="178" spans="1:48" ht="49.5" x14ac:dyDescent="0.25">
      <c r="A178" s="64" t="s">
        <v>454</v>
      </c>
      <c r="B178" s="9" t="s">
        <v>455</v>
      </c>
      <c r="C178" s="61" t="s">
        <v>58</v>
      </c>
      <c r="D178" s="61" t="s">
        <v>456</v>
      </c>
      <c r="E178" s="61" t="s">
        <v>109</v>
      </c>
      <c r="F178" s="61" t="s">
        <v>457</v>
      </c>
      <c r="G178" s="75">
        <f t="shared" si="219"/>
        <v>18026</v>
      </c>
      <c r="H178" s="80">
        <v>18026</v>
      </c>
      <c r="I178" s="63"/>
      <c r="J178" s="63"/>
      <c r="K178" s="63"/>
      <c r="L178" s="63"/>
      <c r="M178" s="68">
        <v>16200</v>
      </c>
      <c r="N178" s="63">
        <f t="shared" si="216"/>
        <v>16200</v>
      </c>
      <c r="O178" s="68">
        <v>16200</v>
      </c>
      <c r="P178" s="63">
        <f t="shared" si="217"/>
        <v>16200</v>
      </c>
      <c r="Q178" s="54"/>
      <c r="R178" s="54">
        <f t="shared" si="204"/>
        <v>0</v>
      </c>
      <c r="S178" s="68">
        <f t="shared" si="205"/>
        <v>16200</v>
      </c>
      <c r="T178" s="68">
        <f t="shared" si="205"/>
        <v>16200</v>
      </c>
      <c r="U178" s="63"/>
      <c r="V178" s="63"/>
      <c r="W178" s="63">
        <f>X178</f>
        <v>10000</v>
      </c>
      <c r="X178" s="63">
        <v>10000</v>
      </c>
      <c r="Y178" s="63">
        <f t="shared" ref="Y178:Y184" si="220">Z178</f>
        <v>5500</v>
      </c>
      <c r="Z178" s="63">
        <v>5500</v>
      </c>
      <c r="AA178" s="63">
        <f t="shared" si="207"/>
        <v>15500</v>
      </c>
      <c r="AB178" s="63">
        <f t="shared" si="207"/>
        <v>15500</v>
      </c>
      <c r="AC178" s="63">
        <f t="shared" si="218"/>
        <v>700</v>
      </c>
      <c r="AD178" s="63">
        <f t="shared" si="218"/>
        <v>700</v>
      </c>
      <c r="AE178" s="63">
        <f t="shared" si="208"/>
        <v>0</v>
      </c>
      <c r="AF178" s="63">
        <f t="shared" si="209"/>
        <v>0</v>
      </c>
      <c r="AG178" s="63"/>
      <c r="AH178" s="63"/>
      <c r="AI178" s="69"/>
      <c r="AJ178" s="19">
        <f t="shared" si="175"/>
        <v>0</v>
      </c>
      <c r="AK178" s="22">
        <f t="shared" si="182"/>
        <v>0</v>
      </c>
      <c r="AL178" s="22"/>
      <c r="AM178" s="12">
        <f t="shared" si="210"/>
        <v>1</v>
      </c>
      <c r="AO178" s="12">
        <f t="shared" si="211"/>
        <v>0</v>
      </c>
      <c r="AP178" s="12">
        <f t="shared" si="197"/>
        <v>0</v>
      </c>
      <c r="AQ178" s="12">
        <f t="shared" si="212"/>
        <v>0</v>
      </c>
      <c r="AR178" s="12">
        <f t="shared" si="157"/>
        <v>0</v>
      </c>
      <c r="AS178" s="12">
        <f t="shared" si="213"/>
        <v>0</v>
      </c>
      <c r="AT178" s="12">
        <f t="shared" si="185"/>
        <v>0</v>
      </c>
      <c r="AU178" s="12">
        <f t="shared" si="214"/>
        <v>0</v>
      </c>
      <c r="AV178" s="12">
        <f t="shared" si="186"/>
        <v>0</v>
      </c>
    </row>
    <row r="179" spans="1:48" ht="105" x14ac:dyDescent="0.25">
      <c r="A179" s="64" t="s">
        <v>458</v>
      </c>
      <c r="B179" s="9" t="s">
        <v>459</v>
      </c>
      <c r="C179" s="61" t="s">
        <v>460</v>
      </c>
      <c r="D179" s="61" t="s">
        <v>892</v>
      </c>
      <c r="E179" s="70" t="s">
        <v>461</v>
      </c>
      <c r="F179" s="61" t="s">
        <v>462</v>
      </c>
      <c r="G179" s="75">
        <f t="shared" si="219"/>
        <v>3949</v>
      </c>
      <c r="H179" s="80">
        <v>3949</v>
      </c>
      <c r="I179" s="63"/>
      <c r="J179" s="63"/>
      <c r="K179" s="63"/>
      <c r="L179" s="63"/>
      <c r="M179" s="68">
        <v>4200</v>
      </c>
      <c r="N179" s="63">
        <f t="shared" si="216"/>
        <v>4200</v>
      </c>
      <c r="O179" s="68">
        <f>P179</f>
        <v>3550</v>
      </c>
      <c r="P179" s="63">
        <v>3550</v>
      </c>
      <c r="Q179" s="54"/>
      <c r="R179" s="54">
        <f t="shared" si="204"/>
        <v>650</v>
      </c>
      <c r="S179" s="68">
        <f t="shared" si="205"/>
        <v>3550</v>
      </c>
      <c r="T179" s="68">
        <f t="shared" si="205"/>
        <v>3550</v>
      </c>
      <c r="U179" s="58"/>
      <c r="V179" s="58"/>
      <c r="W179" s="58"/>
      <c r="X179" s="58"/>
      <c r="Y179" s="54">
        <f t="shared" si="220"/>
        <v>3000</v>
      </c>
      <c r="Z179" s="54">
        <v>3000</v>
      </c>
      <c r="AA179" s="63">
        <f t="shared" si="207"/>
        <v>3000</v>
      </c>
      <c r="AB179" s="63">
        <f t="shared" si="207"/>
        <v>3000</v>
      </c>
      <c r="AC179" s="63">
        <f t="shared" si="218"/>
        <v>550</v>
      </c>
      <c r="AD179" s="63">
        <f t="shared" si="218"/>
        <v>550</v>
      </c>
      <c r="AE179" s="63">
        <f t="shared" si="208"/>
        <v>0</v>
      </c>
      <c r="AF179" s="63">
        <f t="shared" si="209"/>
        <v>0</v>
      </c>
      <c r="AG179" s="58"/>
      <c r="AH179" s="58"/>
      <c r="AI179" s="749" t="s">
        <v>404</v>
      </c>
      <c r="AJ179" s="19">
        <f t="shared" si="175"/>
        <v>1</v>
      </c>
      <c r="AK179" s="22">
        <f t="shared" si="182"/>
        <v>1</v>
      </c>
      <c r="AL179" s="22"/>
      <c r="AM179" s="12">
        <f t="shared" si="210"/>
        <v>0</v>
      </c>
      <c r="AO179" s="12">
        <f t="shared" si="211"/>
        <v>0</v>
      </c>
      <c r="AP179" s="12">
        <f t="shared" si="197"/>
        <v>0</v>
      </c>
      <c r="AQ179" s="12">
        <f t="shared" si="212"/>
        <v>0</v>
      </c>
      <c r="AR179" s="12">
        <f t="shared" si="157"/>
        <v>0</v>
      </c>
      <c r="AS179" s="12">
        <f t="shared" si="213"/>
        <v>0</v>
      </c>
      <c r="AT179" s="12">
        <f t="shared" si="185"/>
        <v>0</v>
      </c>
      <c r="AU179" s="12">
        <f t="shared" si="214"/>
        <v>1</v>
      </c>
      <c r="AV179" s="12">
        <f t="shared" si="186"/>
        <v>650</v>
      </c>
    </row>
    <row r="180" spans="1:48" ht="247.5" x14ac:dyDescent="0.25">
      <c r="A180" s="64" t="s">
        <v>463</v>
      </c>
      <c r="B180" s="9" t="s">
        <v>464</v>
      </c>
      <c r="C180" s="61" t="s">
        <v>465</v>
      </c>
      <c r="D180" s="61" t="s">
        <v>466</v>
      </c>
      <c r="E180" s="70" t="s">
        <v>461</v>
      </c>
      <c r="F180" s="61" t="s">
        <v>467</v>
      </c>
      <c r="G180" s="75">
        <f t="shared" si="219"/>
        <v>3390</v>
      </c>
      <c r="H180" s="80">
        <v>3390</v>
      </c>
      <c r="I180" s="63"/>
      <c r="J180" s="63"/>
      <c r="K180" s="63"/>
      <c r="L180" s="63"/>
      <c r="M180" s="68">
        <v>2700</v>
      </c>
      <c r="N180" s="63">
        <f t="shared" si="216"/>
        <v>2700</v>
      </c>
      <c r="O180" s="63">
        <f>P180</f>
        <v>3050</v>
      </c>
      <c r="P180" s="63">
        <v>3050</v>
      </c>
      <c r="Q180" s="54">
        <f>T180-N180</f>
        <v>350</v>
      </c>
      <c r="R180" s="54"/>
      <c r="S180" s="68">
        <f t="shared" si="205"/>
        <v>3050</v>
      </c>
      <c r="T180" s="68">
        <f t="shared" si="205"/>
        <v>3050</v>
      </c>
      <c r="U180" s="53"/>
      <c r="V180" s="53"/>
      <c r="W180" s="53"/>
      <c r="X180" s="53"/>
      <c r="Y180" s="54">
        <f t="shared" si="220"/>
        <v>2700</v>
      </c>
      <c r="Z180" s="54">
        <v>2700</v>
      </c>
      <c r="AA180" s="63">
        <f t="shared" si="207"/>
        <v>2700</v>
      </c>
      <c r="AB180" s="63">
        <f t="shared" si="207"/>
        <v>2700</v>
      </c>
      <c r="AC180" s="63">
        <f t="shared" si="218"/>
        <v>350</v>
      </c>
      <c r="AD180" s="63">
        <f t="shared" si="218"/>
        <v>350</v>
      </c>
      <c r="AE180" s="63">
        <f t="shared" si="208"/>
        <v>0</v>
      </c>
      <c r="AF180" s="63">
        <f t="shared" si="209"/>
        <v>0</v>
      </c>
      <c r="AG180" s="53"/>
      <c r="AH180" s="53"/>
      <c r="AI180" s="749" t="s">
        <v>404</v>
      </c>
      <c r="AJ180" s="19">
        <f t="shared" si="175"/>
        <v>1</v>
      </c>
      <c r="AK180" s="22">
        <f t="shared" si="182"/>
        <v>1</v>
      </c>
      <c r="AL180" s="22"/>
      <c r="AM180" s="12">
        <f t="shared" si="210"/>
        <v>0</v>
      </c>
      <c r="AO180" s="12">
        <f t="shared" si="211"/>
        <v>0</v>
      </c>
      <c r="AP180" s="12">
        <f t="shared" si="197"/>
        <v>0</v>
      </c>
      <c r="AQ180" s="12">
        <f t="shared" si="212"/>
        <v>0</v>
      </c>
      <c r="AR180" s="12">
        <f t="shared" si="157"/>
        <v>0</v>
      </c>
      <c r="AS180" s="12">
        <f t="shared" si="213"/>
        <v>1</v>
      </c>
      <c r="AT180" s="12">
        <f t="shared" si="185"/>
        <v>350</v>
      </c>
      <c r="AU180" s="12">
        <f t="shared" si="214"/>
        <v>0</v>
      </c>
      <c r="AV180" s="12">
        <f t="shared" si="186"/>
        <v>0</v>
      </c>
    </row>
    <row r="181" spans="1:48" ht="82.5" x14ac:dyDescent="0.25">
      <c r="A181" s="64" t="s">
        <v>468</v>
      </c>
      <c r="B181" s="9" t="s">
        <v>469</v>
      </c>
      <c r="C181" s="61"/>
      <c r="D181" s="61" t="s">
        <v>470</v>
      </c>
      <c r="E181" s="70" t="s">
        <v>461</v>
      </c>
      <c r="F181" s="61" t="s">
        <v>471</v>
      </c>
      <c r="G181" s="75">
        <f t="shared" si="219"/>
        <v>2233</v>
      </c>
      <c r="H181" s="80">
        <v>2233</v>
      </c>
      <c r="I181" s="63"/>
      <c r="J181" s="63"/>
      <c r="K181" s="63"/>
      <c r="L181" s="63"/>
      <c r="M181" s="68">
        <f>N181</f>
        <v>4950</v>
      </c>
      <c r="N181" s="63">
        <v>4950</v>
      </c>
      <c r="O181" s="68">
        <f>P181</f>
        <v>2000</v>
      </c>
      <c r="P181" s="63">
        <v>2000</v>
      </c>
      <c r="Q181" s="54"/>
      <c r="R181" s="54">
        <f t="shared" si="204"/>
        <v>2950</v>
      </c>
      <c r="S181" s="68">
        <f t="shared" si="205"/>
        <v>2000</v>
      </c>
      <c r="T181" s="68">
        <f t="shared" si="205"/>
        <v>2000</v>
      </c>
      <c r="U181" s="58"/>
      <c r="V181" s="58"/>
      <c r="W181" s="58"/>
      <c r="X181" s="58"/>
      <c r="Y181" s="54">
        <f t="shared" si="220"/>
        <v>1800</v>
      </c>
      <c r="Z181" s="54">
        <v>1800</v>
      </c>
      <c r="AA181" s="63">
        <f t="shared" si="207"/>
        <v>1800</v>
      </c>
      <c r="AB181" s="63">
        <f t="shared" si="207"/>
        <v>1800</v>
      </c>
      <c r="AC181" s="63">
        <f t="shared" si="218"/>
        <v>200</v>
      </c>
      <c r="AD181" s="63">
        <f t="shared" si="218"/>
        <v>200</v>
      </c>
      <c r="AE181" s="63">
        <f t="shared" si="208"/>
        <v>0</v>
      </c>
      <c r="AF181" s="63">
        <f t="shared" si="209"/>
        <v>0</v>
      </c>
      <c r="AG181" s="58"/>
      <c r="AH181" s="58"/>
      <c r="AI181" s="749" t="s">
        <v>404</v>
      </c>
      <c r="AJ181" s="19">
        <f t="shared" si="175"/>
        <v>1</v>
      </c>
      <c r="AK181" s="22">
        <f t="shared" si="182"/>
        <v>1</v>
      </c>
      <c r="AL181" s="22"/>
      <c r="AM181" s="12">
        <f t="shared" si="210"/>
        <v>0</v>
      </c>
      <c r="AO181" s="12">
        <f t="shared" si="211"/>
        <v>0</v>
      </c>
      <c r="AP181" s="12">
        <f t="shared" si="197"/>
        <v>0</v>
      </c>
      <c r="AQ181" s="12">
        <f t="shared" si="212"/>
        <v>0</v>
      </c>
      <c r="AR181" s="12">
        <f t="shared" si="157"/>
        <v>0</v>
      </c>
      <c r="AS181" s="12">
        <f t="shared" si="213"/>
        <v>0</v>
      </c>
      <c r="AT181" s="12">
        <f t="shared" si="185"/>
        <v>0</v>
      </c>
      <c r="AU181" s="12">
        <f t="shared" si="214"/>
        <v>1</v>
      </c>
      <c r="AV181" s="12">
        <f t="shared" si="186"/>
        <v>2950</v>
      </c>
    </row>
    <row r="182" spans="1:48" ht="49.5" x14ac:dyDescent="0.25">
      <c r="A182" s="64" t="s">
        <v>472</v>
      </c>
      <c r="B182" s="9" t="s">
        <v>473</v>
      </c>
      <c r="C182" s="61"/>
      <c r="D182" s="61" t="s">
        <v>474</v>
      </c>
      <c r="E182" s="70" t="s">
        <v>461</v>
      </c>
      <c r="F182" s="61" t="s">
        <v>475</v>
      </c>
      <c r="G182" s="75">
        <f t="shared" si="219"/>
        <v>3149</v>
      </c>
      <c r="H182" s="80">
        <v>3149</v>
      </c>
      <c r="I182" s="63"/>
      <c r="J182" s="63"/>
      <c r="K182" s="63"/>
      <c r="L182" s="63"/>
      <c r="M182" s="68">
        <f>N182</f>
        <v>3960</v>
      </c>
      <c r="N182" s="63">
        <v>3960</v>
      </c>
      <c r="O182" s="68">
        <f>P182</f>
        <v>2850</v>
      </c>
      <c r="P182" s="63">
        <v>2850</v>
      </c>
      <c r="Q182" s="54"/>
      <c r="R182" s="54">
        <f t="shared" si="204"/>
        <v>1110</v>
      </c>
      <c r="S182" s="68">
        <f t="shared" si="205"/>
        <v>2850</v>
      </c>
      <c r="T182" s="68">
        <f t="shared" si="205"/>
        <v>2850</v>
      </c>
      <c r="U182" s="63"/>
      <c r="V182" s="63"/>
      <c r="W182" s="63"/>
      <c r="X182" s="63"/>
      <c r="Y182" s="105">
        <f t="shared" si="220"/>
        <v>2400</v>
      </c>
      <c r="Z182" s="105">
        <v>2400</v>
      </c>
      <c r="AA182" s="63">
        <f t="shared" si="207"/>
        <v>2400</v>
      </c>
      <c r="AB182" s="63">
        <f t="shared" si="207"/>
        <v>2400</v>
      </c>
      <c r="AC182" s="63">
        <f t="shared" si="218"/>
        <v>450</v>
      </c>
      <c r="AD182" s="63">
        <f t="shared" si="218"/>
        <v>450</v>
      </c>
      <c r="AE182" s="63">
        <f t="shared" si="208"/>
        <v>0</v>
      </c>
      <c r="AF182" s="63">
        <f t="shared" si="209"/>
        <v>0</v>
      </c>
      <c r="AG182" s="63"/>
      <c r="AH182" s="63"/>
      <c r="AI182" s="749" t="s">
        <v>404</v>
      </c>
      <c r="AJ182" s="19">
        <f t="shared" si="175"/>
        <v>1</v>
      </c>
      <c r="AK182" s="22">
        <f t="shared" si="182"/>
        <v>1</v>
      </c>
      <c r="AL182" s="22"/>
      <c r="AM182" s="12">
        <f t="shared" si="210"/>
        <v>0</v>
      </c>
      <c r="AO182" s="12">
        <f t="shared" si="211"/>
        <v>0</v>
      </c>
      <c r="AP182" s="12">
        <f t="shared" si="197"/>
        <v>0</v>
      </c>
      <c r="AQ182" s="12">
        <f t="shared" si="212"/>
        <v>0</v>
      </c>
      <c r="AR182" s="12">
        <f t="shared" si="157"/>
        <v>0</v>
      </c>
      <c r="AS182" s="12">
        <f t="shared" si="213"/>
        <v>0</v>
      </c>
      <c r="AT182" s="12">
        <f t="shared" si="185"/>
        <v>0</v>
      </c>
      <c r="AU182" s="12">
        <f t="shared" si="214"/>
        <v>1</v>
      </c>
      <c r="AV182" s="12">
        <f t="shared" si="186"/>
        <v>1110</v>
      </c>
    </row>
    <row r="183" spans="1:48" ht="49.5" x14ac:dyDescent="0.25">
      <c r="A183" s="64" t="s">
        <v>476</v>
      </c>
      <c r="B183" s="91" t="s">
        <v>477</v>
      </c>
      <c r="C183" s="61" t="s">
        <v>478</v>
      </c>
      <c r="D183" s="61" t="s">
        <v>479</v>
      </c>
      <c r="E183" s="70" t="s">
        <v>461</v>
      </c>
      <c r="F183" s="61" t="s">
        <v>480</v>
      </c>
      <c r="G183" s="74">
        <f t="shared" si="219"/>
        <v>5920</v>
      </c>
      <c r="H183" s="80">
        <v>5920</v>
      </c>
      <c r="I183" s="63"/>
      <c r="J183" s="63"/>
      <c r="K183" s="63"/>
      <c r="L183" s="63"/>
      <c r="M183" s="68">
        <f>N183</f>
        <v>5400</v>
      </c>
      <c r="N183" s="63">
        <v>5400</v>
      </c>
      <c r="O183" s="68">
        <f>M183</f>
        <v>5400</v>
      </c>
      <c r="P183" s="63">
        <f>N183</f>
        <v>5400</v>
      </c>
      <c r="Q183" s="54"/>
      <c r="R183" s="54">
        <f t="shared" si="204"/>
        <v>0</v>
      </c>
      <c r="S183" s="68">
        <f t="shared" si="205"/>
        <v>5400</v>
      </c>
      <c r="T183" s="68">
        <f t="shared" si="205"/>
        <v>5400</v>
      </c>
      <c r="U183" s="63"/>
      <c r="V183" s="63"/>
      <c r="W183" s="63"/>
      <c r="X183" s="63"/>
      <c r="Y183" s="105">
        <f t="shared" si="220"/>
        <v>3500</v>
      </c>
      <c r="Z183" s="105">
        <v>3500</v>
      </c>
      <c r="AA183" s="63">
        <f t="shared" si="207"/>
        <v>3500</v>
      </c>
      <c r="AB183" s="63">
        <f t="shared" si="207"/>
        <v>3500</v>
      </c>
      <c r="AC183" s="63">
        <f t="shared" si="218"/>
        <v>1900</v>
      </c>
      <c r="AD183" s="63">
        <f t="shared" si="218"/>
        <v>1900</v>
      </c>
      <c r="AE183" s="63">
        <f t="shared" si="208"/>
        <v>0</v>
      </c>
      <c r="AF183" s="63">
        <f t="shared" si="209"/>
        <v>0</v>
      </c>
      <c r="AG183" s="63"/>
      <c r="AH183" s="63"/>
      <c r="AI183" s="69"/>
      <c r="AJ183" s="19">
        <f t="shared" si="175"/>
        <v>0</v>
      </c>
      <c r="AK183" s="22">
        <f t="shared" si="182"/>
        <v>0</v>
      </c>
      <c r="AL183" s="22"/>
      <c r="AM183" s="12">
        <f t="shared" si="210"/>
        <v>1</v>
      </c>
      <c r="AO183" s="12">
        <f t="shared" si="211"/>
        <v>0</v>
      </c>
      <c r="AP183" s="12">
        <f t="shared" si="197"/>
        <v>0</v>
      </c>
      <c r="AQ183" s="12">
        <f t="shared" si="212"/>
        <v>0</v>
      </c>
      <c r="AR183" s="12">
        <f t="shared" si="157"/>
        <v>0</v>
      </c>
      <c r="AS183" s="12">
        <f t="shared" si="213"/>
        <v>0</v>
      </c>
      <c r="AT183" s="12">
        <f t="shared" si="185"/>
        <v>0</v>
      </c>
      <c r="AU183" s="12">
        <f t="shared" si="214"/>
        <v>0</v>
      </c>
      <c r="AV183" s="12">
        <f t="shared" si="186"/>
        <v>0</v>
      </c>
    </row>
    <row r="184" spans="1:48" ht="49.5" x14ac:dyDescent="0.25">
      <c r="A184" s="64" t="s">
        <v>481</v>
      </c>
      <c r="B184" s="9" t="s">
        <v>482</v>
      </c>
      <c r="C184" s="61" t="s">
        <v>95</v>
      </c>
      <c r="D184" s="61" t="s">
        <v>479</v>
      </c>
      <c r="E184" s="70" t="s">
        <v>116</v>
      </c>
      <c r="F184" s="61" t="s">
        <v>483</v>
      </c>
      <c r="G184" s="75">
        <f t="shared" si="219"/>
        <v>12821</v>
      </c>
      <c r="H184" s="80">
        <v>12821</v>
      </c>
      <c r="I184" s="63"/>
      <c r="J184" s="63"/>
      <c r="K184" s="63"/>
      <c r="L184" s="63"/>
      <c r="M184" s="68">
        <v>11500</v>
      </c>
      <c r="N184" s="63">
        <f t="shared" si="216"/>
        <v>11500</v>
      </c>
      <c r="O184" s="68">
        <v>11500</v>
      </c>
      <c r="P184" s="63">
        <f t="shared" si="217"/>
        <v>11500</v>
      </c>
      <c r="Q184" s="54"/>
      <c r="R184" s="54">
        <f t="shared" si="204"/>
        <v>0</v>
      </c>
      <c r="S184" s="68">
        <f t="shared" si="205"/>
        <v>11500</v>
      </c>
      <c r="T184" s="68">
        <f t="shared" si="205"/>
        <v>11500</v>
      </c>
      <c r="U184" s="58"/>
      <c r="V184" s="58"/>
      <c r="W184" s="58"/>
      <c r="X184" s="58"/>
      <c r="Y184" s="54">
        <f t="shared" si="220"/>
        <v>3500</v>
      </c>
      <c r="Z184" s="54">
        <v>3500</v>
      </c>
      <c r="AA184" s="63">
        <f t="shared" si="207"/>
        <v>3500</v>
      </c>
      <c r="AB184" s="63">
        <f t="shared" si="207"/>
        <v>3500</v>
      </c>
      <c r="AC184" s="63">
        <f t="shared" si="218"/>
        <v>8000</v>
      </c>
      <c r="AD184" s="63">
        <f t="shared" si="218"/>
        <v>8000</v>
      </c>
      <c r="AE184" s="63">
        <f t="shared" si="208"/>
        <v>0</v>
      </c>
      <c r="AF184" s="63">
        <f t="shared" si="209"/>
        <v>0</v>
      </c>
      <c r="AG184" s="58"/>
      <c r="AH184" s="58"/>
      <c r="AI184" s="69"/>
      <c r="AJ184" s="19">
        <f t="shared" si="175"/>
        <v>0</v>
      </c>
      <c r="AK184" s="22">
        <f t="shared" si="182"/>
        <v>0</v>
      </c>
      <c r="AL184" s="22"/>
      <c r="AM184" s="12">
        <f t="shared" si="210"/>
        <v>1</v>
      </c>
      <c r="AO184" s="12">
        <f t="shared" si="211"/>
        <v>0</v>
      </c>
      <c r="AP184" s="12">
        <f t="shared" si="197"/>
        <v>0</v>
      </c>
      <c r="AQ184" s="12">
        <f t="shared" si="212"/>
        <v>0</v>
      </c>
      <c r="AR184" s="12">
        <f t="shared" si="157"/>
        <v>0</v>
      </c>
      <c r="AS184" s="12">
        <f t="shared" si="213"/>
        <v>0</v>
      </c>
      <c r="AT184" s="12">
        <f t="shared" si="185"/>
        <v>0</v>
      </c>
      <c r="AU184" s="12">
        <f t="shared" si="214"/>
        <v>0</v>
      </c>
      <c r="AV184" s="12">
        <f t="shared" si="186"/>
        <v>0</v>
      </c>
    </row>
    <row r="185" spans="1:48" ht="44.25" customHeight="1" x14ac:dyDescent="0.25">
      <c r="A185" s="64" t="s">
        <v>484</v>
      </c>
      <c r="B185" s="9" t="s">
        <v>485</v>
      </c>
      <c r="C185" s="61" t="s">
        <v>146</v>
      </c>
      <c r="D185" s="61" t="s">
        <v>479</v>
      </c>
      <c r="E185" s="61" t="s">
        <v>290</v>
      </c>
      <c r="F185" s="61"/>
      <c r="G185" s="80">
        <v>5000</v>
      </c>
      <c r="H185" s="80">
        <f t="shared" ref="H185" si="221">G185</f>
        <v>5000</v>
      </c>
      <c r="I185" s="63"/>
      <c r="J185" s="63"/>
      <c r="K185" s="63"/>
      <c r="L185" s="63"/>
      <c r="M185" s="68">
        <f>G185*0.9</f>
        <v>4500</v>
      </c>
      <c r="N185" s="68">
        <f>H185*0.9</f>
        <v>4500</v>
      </c>
      <c r="O185" s="68">
        <f>M185*0.9</f>
        <v>4050</v>
      </c>
      <c r="P185" s="68">
        <f>N185*0.9</f>
        <v>4050</v>
      </c>
      <c r="Q185" s="54"/>
      <c r="R185" s="54">
        <f t="shared" si="204"/>
        <v>450</v>
      </c>
      <c r="S185" s="68">
        <f>O185</f>
        <v>4050</v>
      </c>
      <c r="T185" s="68">
        <f>P185</f>
        <v>4050</v>
      </c>
      <c r="U185" s="58"/>
      <c r="V185" s="58"/>
      <c r="W185" s="58"/>
      <c r="X185" s="58"/>
      <c r="Y185" s="58"/>
      <c r="Z185" s="58"/>
      <c r="AA185" s="63">
        <f t="shared" si="207"/>
        <v>0</v>
      </c>
      <c r="AB185" s="63">
        <f t="shared" si="207"/>
        <v>0</v>
      </c>
      <c r="AC185" s="63">
        <f t="shared" si="218"/>
        <v>4050</v>
      </c>
      <c r="AD185" s="63">
        <f t="shared" si="218"/>
        <v>4050</v>
      </c>
      <c r="AE185" s="63">
        <f t="shared" si="208"/>
        <v>4050</v>
      </c>
      <c r="AF185" s="63">
        <f t="shared" si="209"/>
        <v>4050</v>
      </c>
      <c r="AG185" s="58"/>
      <c r="AH185" s="58"/>
      <c r="AI185" s="749"/>
      <c r="AJ185" s="19">
        <f t="shared" si="175"/>
        <v>1</v>
      </c>
      <c r="AK185" s="22">
        <f t="shared" si="182"/>
        <v>1</v>
      </c>
      <c r="AL185" s="22"/>
      <c r="AM185" s="12">
        <f t="shared" si="210"/>
        <v>0</v>
      </c>
      <c r="AO185" s="12">
        <f t="shared" si="211"/>
        <v>0</v>
      </c>
      <c r="AP185" s="12">
        <f t="shared" si="197"/>
        <v>0</v>
      </c>
      <c r="AQ185" s="12">
        <f t="shared" si="212"/>
        <v>0</v>
      </c>
      <c r="AR185" s="12">
        <f t="shared" si="157"/>
        <v>0</v>
      </c>
      <c r="AS185" s="12">
        <f t="shared" si="213"/>
        <v>0</v>
      </c>
      <c r="AT185" s="12">
        <f t="shared" si="185"/>
        <v>0</v>
      </c>
      <c r="AU185" s="12">
        <f t="shared" si="214"/>
        <v>1</v>
      </c>
      <c r="AV185" s="12">
        <f t="shared" si="186"/>
        <v>450</v>
      </c>
    </row>
    <row r="186" spans="1:48" ht="115.5" x14ac:dyDescent="0.25">
      <c r="A186" s="60">
        <v>22</v>
      </c>
      <c r="B186" s="91" t="s">
        <v>486</v>
      </c>
      <c r="C186" s="746" t="s">
        <v>487</v>
      </c>
      <c r="D186" s="65" t="s">
        <v>488</v>
      </c>
      <c r="E186" s="65" t="s">
        <v>101</v>
      </c>
      <c r="F186" s="61"/>
      <c r="G186" s="5">
        <v>68000</v>
      </c>
      <c r="H186" s="5">
        <v>20000</v>
      </c>
      <c r="I186" s="63"/>
      <c r="J186" s="63"/>
      <c r="K186" s="63"/>
      <c r="L186" s="63"/>
      <c r="M186" s="68"/>
      <c r="N186" s="63"/>
      <c r="O186" s="68">
        <f>48000*0.9+P186</f>
        <v>63200</v>
      </c>
      <c r="P186" s="63">
        <f>H186</f>
        <v>20000</v>
      </c>
      <c r="Q186" s="54">
        <f>T186</f>
        <v>20000</v>
      </c>
      <c r="R186" s="54"/>
      <c r="S186" s="68">
        <f>48000*0.9+T186</f>
        <v>63200</v>
      </c>
      <c r="T186" s="63">
        <v>20000</v>
      </c>
      <c r="U186" s="63"/>
      <c r="V186" s="63"/>
      <c r="W186" s="63"/>
      <c r="X186" s="63"/>
      <c r="Y186" s="63"/>
      <c r="Z186" s="63"/>
      <c r="AA186" s="63">
        <f t="shared" si="207"/>
        <v>0</v>
      </c>
      <c r="AB186" s="63">
        <f t="shared" si="207"/>
        <v>0</v>
      </c>
      <c r="AC186" s="63">
        <f t="shared" si="218"/>
        <v>63200</v>
      </c>
      <c r="AD186" s="63">
        <f t="shared" si="218"/>
        <v>20000</v>
      </c>
      <c r="AE186" s="63">
        <f t="shared" si="208"/>
        <v>20000</v>
      </c>
      <c r="AF186" s="63">
        <f t="shared" si="209"/>
        <v>20000</v>
      </c>
      <c r="AG186" s="63"/>
      <c r="AH186" s="63"/>
      <c r="AI186" s="25" t="s">
        <v>489</v>
      </c>
      <c r="AJ186" s="19">
        <f t="shared" si="175"/>
        <v>1</v>
      </c>
      <c r="AK186" s="22">
        <f t="shared" si="182"/>
        <v>1</v>
      </c>
      <c r="AL186" s="22"/>
      <c r="AM186" s="12">
        <f t="shared" si="210"/>
        <v>0</v>
      </c>
      <c r="AO186" s="12">
        <f t="shared" si="211"/>
        <v>0</v>
      </c>
      <c r="AP186" s="12">
        <f t="shared" si="197"/>
        <v>0</v>
      </c>
      <c r="AQ186" s="12">
        <f t="shared" si="212"/>
        <v>1</v>
      </c>
      <c r="AR186" s="12">
        <f t="shared" si="157"/>
        <v>20000</v>
      </c>
      <c r="AU186" s="12">
        <f t="shared" si="214"/>
        <v>0</v>
      </c>
      <c r="AV186" s="12">
        <f t="shared" si="186"/>
        <v>0</v>
      </c>
    </row>
    <row r="187" spans="1:48" ht="56.25" customHeight="1" x14ac:dyDescent="0.25">
      <c r="A187" s="64" t="s">
        <v>490</v>
      </c>
      <c r="B187" s="9" t="s">
        <v>496</v>
      </c>
      <c r="C187" s="61" t="s">
        <v>104</v>
      </c>
      <c r="D187" s="61"/>
      <c r="E187" s="61" t="s">
        <v>290</v>
      </c>
      <c r="F187" s="61"/>
      <c r="G187" s="7">
        <f>H187</f>
        <v>24354</v>
      </c>
      <c r="H187" s="7">
        <v>24354</v>
      </c>
      <c r="I187" s="63"/>
      <c r="J187" s="63"/>
      <c r="K187" s="63"/>
      <c r="L187" s="63"/>
      <c r="M187" s="68">
        <v>1000</v>
      </c>
      <c r="N187" s="63">
        <f>M187</f>
        <v>1000</v>
      </c>
      <c r="O187" s="68">
        <v>1000</v>
      </c>
      <c r="P187" s="63">
        <f>O187</f>
        <v>1000</v>
      </c>
      <c r="Q187" s="8">
        <v>21500</v>
      </c>
      <c r="R187" s="54"/>
      <c r="S187" s="4">
        <f>T187</f>
        <v>22500</v>
      </c>
      <c r="T187" s="3">
        <f>Q187+P187</f>
        <v>22500</v>
      </c>
      <c r="U187" s="63"/>
      <c r="V187" s="63"/>
      <c r="W187" s="63"/>
      <c r="X187" s="63"/>
      <c r="Y187" s="63"/>
      <c r="Z187" s="63"/>
      <c r="AA187" s="63">
        <f>U187+W187+Y187</f>
        <v>0</v>
      </c>
      <c r="AB187" s="63">
        <f>V187+X187+Z187</f>
        <v>0</v>
      </c>
      <c r="AC187" s="63">
        <f>O187-AA187</f>
        <v>1000</v>
      </c>
      <c r="AD187" s="63">
        <f>P187-AB187</f>
        <v>1000</v>
      </c>
      <c r="AE187" s="63">
        <f>AF187</f>
        <v>1000</v>
      </c>
      <c r="AF187" s="63">
        <f>IF(AB187=0,AD187,0)</f>
        <v>1000</v>
      </c>
      <c r="AG187" s="54">
        <f>G187*0.9-O187</f>
        <v>20918.600000000002</v>
      </c>
      <c r="AH187" s="54">
        <f>H187*0.9-P187</f>
        <v>20918.600000000002</v>
      </c>
      <c r="AI187" s="25" t="s">
        <v>912</v>
      </c>
      <c r="AJ187" s="19">
        <f>IF(N187-T187=0,0,1)</f>
        <v>1</v>
      </c>
      <c r="AK187" s="22">
        <f>AJ187</f>
        <v>1</v>
      </c>
      <c r="AL187" s="22"/>
      <c r="AM187" s="12">
        <f>IF(AJ187=0,1,0)</f>
        <v>0</v>
      </c>
      <c r="AO187" s="12">
        <f>IF(P187=0,1,0)</f>
        <v>0</v>
      </c>
      <c r="AP187" s="12">
        <f>IF(AO187=1,N187,0)</f>
        <v>0</v>
      </c>
      <c r="AQ187" s="12">
        <f>IF(N187=0,1,0)</f>
        <v>0</v>
      </c>
      <c r="AR187" s="12">
        <f>IF(AQ187=1,P187,0)</f>
        <v>0</v>
      </c>
      <c r="AS187" s="12">
        <f>IF(Q187=0,0,1)</f>
        <v>1</v>
      </c>
      <c r="AT187" s="12">
        <f>IF(AS187=1,Q187,0)</f>
        <v>21500</v>
      </c>
      <c r="AU187" s="12">
        <f>IF(R187=0,0,1)</f>
        <v>0</v>
      </c>
      <c r="AV187" s="12">
        <f>IF(AU187=1,R187,0)</f>
        <v>0</v>
      </c>
    </row>
    <row r="188" spans="1:48" ht="49.5" x14ac:dyDescent="0.25">
      <c r="A188" s="64" t="s">
        <v>492</v>
      </c>
      <c r="B188" s="91" t="s">
        <v>499</v>
      </c>
      <c r="C188" s="61" t="s">
        <v>230</v>
      </c>
      <c r="D188" s="61" t="s">
        <v>479</v>
      </c>
      <c r="E188" s="61" t="s">
        <v>290</v>
      </c>
      <c r="F188" s="61"/>
      <c r="G188" s="74">
        <f>H188</f>
        <v>7451</v>
      </c>
      <c r="H188" s="80">
        <v>7451</v>
      </c>
      <c r="I188" s="63"/>
      <c r="J188" s="63"/>
      <c r="K188" s="63"/>
      <c r="L188" s="63"/>
      <c r="M188" s="68">
        <v>1000</v>
      </c>
      <c r="N188" s="63">
        <f>M188</f>
        <v>1000</v>
      </c>
      <c r="O188" s="68">
        <v>1000</v>
      </c>
      <c r="P188" s="63">
        <f>O188</f>
        <v>1000</v>
      </c>
      <c r="Q188" s="8">
        <v>6000</v>
      </c>
      <c r="R188" s="54"/>
      <c r="S188" s="4">
        <f t="shared" ref="S188" si="222">T188</f>
        <v>7000</v>
      </c>
      <c r="T188" s="3">
        <f t="shared" ref="T188" si="223">Q188+P188</f>
        <v>7000</v>
      </c>
      <c r="U188" s="58"/>
      <c r="V188" s="58"/>
      <c r="W188" s="58"/>
      <c r="X188" s="58"/>
      <c r="Y188" s="58"/>
      <c r="Z188" s="58"/>
      <c r="AA188" s="63">
        <f>U188+W188+Y188</f>
        <v>0</v>
      </c>
      <c r="AB188" s="63">
        <f>V188+X188+Z188</f>
        <v>0</v>
      </c>
      <c r="AC188" s="63">
        <f>O188-AA188</f>
        <v>1000</v>
      </c>
      <c r="AD188" s="63">
        <f>P188-AB188</f>
        <v>1000</v>
      </c>
      <c r="AE188" s="63">
        <f>AF188</f>
        <v>1000</v>
      </c>
      <c r="AF188" s="63">
        <f>IF(AB188=0,AD188,0)</f>
        <v>1000</v>
      </c>
      <c r="AG188" s="54">
        <f>G188*0.9-O188</f>
        <v>5705.9000000000005</v>
      </c>
      <c r="AH188" s="54">
        <f>H188*0.9-P188</f>
        <v>5705.9000000000005</v>
      </c>
      <c r="AI188" s="25" t="s">
        <v>912</v>
      </c>
      <c r="AJ188" s="19">
        <f>IF(N188-T188=0,0,1)</f>
        <v>1</v>
      </c>
      <c r="AK188" s="22">
        <f>AJ188</f>
        <v>1</v>
      </c>
      <c r="AL188" s="22"/>
      <c r="AM188" s="12">
        <f>IF(AJ188=0,1,0)</f>
        <v>0</v>
      </c>
      <c r="AO188" s="12">
        <f>IF(P188=0,1,0)</f>
        <v>0</v>
      </c>
      <c r="AP188" s="12">
        <f>IF(AO188=1,N188,0)</f>
        <v>0</v>
      </c>
      <c r="AQ188" s="12">
        <f>IF(N188=0,1,0)</f>
        <v>0</v>
      </c>
      <c r="AR188" s="12">
        <f>IF(AQ188=1,P188,0)</f>
        <v>0</v>
      </c>
      <c r="AS188" s="12">
        <f>IF(Q188=0,0,1)</f>
        <v>1</v>
      </c>
      <c r="AT188" s="12">
        <f>IF(AS188=1,Q188,0)</f>
        <v>6000</v>
      </c>
      <c r="AU188" s="12">
        <f>IF(R188=0,0,1)</f>
        <v>0</v>
      </c>
      <c r="AV188" s="12">
        <f>IF(AU188=1,R188,0)</f>
        <v>0</v>
      </c>
    </row>
    <row r="189" spans="1:48" s="49" customFormat="1" ht="34.5" x14ac:dyDescent="0.25">
      <c r="A189" s="93" t="s">
        <v>47</v>
      </c>
      <c r="B189" s="44" t="s">
        <v>138</v>
      </c>
      <c r="C189" s="77"/>
      <c r="D189" s="77"/>
      <c r="E189" s="77"/>
      <c r="F189" s="77"/>
      <c r="G189" s="97">
        <f t="shared" ref="G189:S189" si="224">SUM(G190:G193)</f>
        <v>64165</v>
      </c>
      <c r="H189" s="97">
        <f t="shared" si="224"/>
        <v>64165</v>
      </c>
      <c r="I189" s="97">
        <f t="shared" si="224"/>
        <v>0</v>
      </c>
      <c r="J189" s="97">
        <f t="shared" si="224"/>
        <v>0</v>
      </c>
      <c r="K189" s="97">
        <f t="shared" si="224"/>
        <v>0</v>
      </c>
      <c r="L189" s="97">
        <f t="shared" si="224"/>
        <v>0</v>
      </c>
      <c r="M189" s="97">
        <f t="shared" si="224"/>
        <v>10880</v>
      </c>
      <c r="N189" s="97">
        <f t="shared" si="224"/>
        <v>10880</v>
      </c>
      <c r="O189" s="97">
        <f t="shared" si="224"/>
        <v>24880</v>
      </c>
      <c r="P189" s="97">
        <f t="shared" si="224"/>
        <v>24880</v>
      </c>
      <c r="Q189" s="97">
        <f t="shared" si="224"/>
        <v>14000</v>
      </c>
      <c r="R189" s="97">
        <f t="shared" si="224"/>
        <v>0</v>
      </c>
      <c r="S189" s="97">
        <f t="shared" si="224"/>
        <v>24880</v>
      </c>
      <c r="T189" s="97">
        <f>SUM(T190:T193)</f>
        <v>24880</v>
      </c>
      <c r="U189" s="97">
        <f t="shared" ref="U189:AH189" si="225">SUM(U192:U192)</f>
        <v>0</v>
      </c>
      <c r="V189" s="97">
        <f t="shared" si="225"/>
        <v>0</v>
      </c>
      <c r="W189" s="97">
        <f t="shared" si="225"/>
        <v>0</v>
      </c>
      <c r="X189" s="97">
        <f t="shared" si="225"/>
        <v>0</v>
      </c>
      <c r="Y189" s="97">
        <f t="shared" si="225"/>
        <v>0</v>
      </c>
      <c r="Z189" s="97">
        <f t="shared" si="225"/>
        <v>0</v>
      </c>
      <c r="AA189" s="97">
        <f t="shared" si="225"/>
        <v>0</v>
      </c>
      <c r="AB189" s="97">
        <f t="shared" si="225"/>
        <v>0</v>
      </c>
      <c r="AC189" s="97">
        <f t="shared" si="225"/>
        <v>1000</v>
      </c>
      <c r="AD189" s="97">
        <f t="shared" si="225"/>
        <v>1000</v>
      </c>
      <c r="AE189" s="97">
        <f t="shared" si="225"/>
        <v>1000</v>
      </c>
      <c r="AF189" s="97">
        <f t="shared" si="225"/>
        <v>1000</v>
      </c>
      <c r="AG189" s="97">
        <f t="shared" si="225"/>
        <v>9800</v>
      </c>
      <c r="AH189" s="97">
        <f t="shared" si="225"/>
        <v>9800</v>
      </c>
      <c r="AI189" s="79"/>
      <c r="AJ189" s="19">
        <f t="shared" si="175"/>
        <v>1</v>
      </c>
      <c r="AK189" s="22"/>
      <c r="AL189" s="22"/>
      <c r="AM189" s="12"/>
      <c r="AN189" s="12"/>
      <c r="AO189" s="12"/>
      <c r="AP189" s="12">
        <f t="shared" si="197"/>
        <v>0</v>
      </c>
      <c r="AQ189" s="12"/>
      <c r="AR189" s="12">
        <f t="shared" si="157"/>
        <v>0</v>
      </c>
      <c r="AS189" s="12"/>
      <c r="AT189" s="12">
        <f t="shared" si="185"/>
        <v>0</v>
      </c>
      <c r="AU189" s="12"/>
      <c r="AV189" s="12">
        <f t="shared" si="186"/>
        <v>0</v>
      </c>
    </row>
    <row r="190" spans="1:48" ht="32.25" customHeight="1" x14ac:dyDescent="0.25">
      <c r="A190" s="64" t="s">
        <v>495</v>
      </c>
      <c r="B190" s="91" t="s">
        <v>491</v>
      </c>
      <c r="C190" s="61" t="s">
        <v>194</v>
      </c>
      <c r="D190" s="61" t="s">
        <v>479</v>
      </c>
      <c r="E190" s="70" t="s">
        <v>168</v>
      </c>
      <c r="F190" s="61"/>
      <c r="G190" s="74">
        <v>10000</v>
      </c>
      <c r="H190" s="80">
        <v>10000</v>
      </c>
      <c r="I190" s="63"/>
      <c r="J190" s="63"/>
      <c r="K190" s="63"/>
      <c r="L190" s="63"/>
      <c r="M190" s="68">
        <v>5000</v>
      </c>
      <c r="N190" s="63">
        <f>M190</f>
        <v>5000</v>
      </c>
      <c r="O190" s="68">
        <v>5000</v>
      </c>
      <c r="P190" s="63">
        <f>O190</f>
        <v>5000</v>
      </c>
      <c r="Q190" s="54"/>
      <c r="R190" s="54">
        <f t="shared" si="204"/>
        <v>0</v>
      </c>
      <c r="S190" s="68">
        <v>5000</v>
      </c>
      <c r="T190" s="63">
        <f>S190</f>
        <v>5000</v>
      </c>
      <c r="U190" s="58"/>
      <c r="V190" s="58"/>
      <c r="W190" s="58"/>
      <c r="X190" s="58"/>
      <c r="Y190" s="58"/>
      <c r="Z190" s="58"/>
      <c r="AA190" s="63">
        <f t="shared" ref="AA190:AB192" si="226">U190+W190+Y190</f>
        <v>0</v>
      </c>
      <c r="AB190" s="63">
        <f t="shared" si="226"/>
        <v>0</v>
      </c>
      <c r="AC190" s="63">
        <f t="shared" ref="AC190:AD192" si="227">O190-AA190</f>
        <v>5000</v>
      </c>
      <c r="AD190" s="63">
        <f t="shared" si="227"/>
        <v>5000</v>
      </c>
      <c r="AE190" s="63">
        <f t="shared" si="208"/>
        <v>5000</v>
      </c>
      <c r="AF190" s="63">
        <f t="shared" si="209"/>
        <v>5000</v>
      </c>
      <c r="AG190" s="54">
        <f t="shared" ref="AG190:AH192" si="228">G190*0.9-O190</f>
        <v>4000</v>
      </c>
      <c r="AH190" s="54">
        <f t="shared" si="228"/>
        <v>4000</v>
      </c>
      <c r="AI190" s="69"/>
      <c r="AJ190" s="19">
        <f t="shared" si="175"/>
        <v>0</v>
      </c>
      <c r="AK190" s="22">
        <f t="shared" ref="AK190:AK242" si="229">AJ190</f>
        <v>0</v>
      </c>
      <c r="AL190" s="22"/>
      <c r="AM190" s="12">
        <f t="shared" ref="AM190:AM192" si="230">IF(AJ190=0,1,0)</f>
        <v>1</v>
      </c>
      <c r="AO190" s="12">
        <f t="shared" ref="AO190:AO192" si="231">IF(P190=0,1,0)</f>
        <v>0</v>
      </c>
      <c r="AP190" s="12">
        <f t="shared" si="197"/>
        <v>0</v>
      </c>
      <c r="AQ190" s="12">
        <f t="shared" ref="AQ190:AQ192" si="232">IF(N190=0,1,0)</f>
        <v>0</v>
      </c>
      <c r="AR190" s="12">
        <f t="shared" si="157"/>
        <v>0</v>
      </c>
      <c r="AS190" s="12">
        <f>IF(Q190=0,0,1)</f>
        <v>0</v>
      </c>
      <c r="AT190" s="12">
        <f t="shared" si="185"/>
        <v>0</v>
      </c>
      <c r="AU190" s="12">
        <f t="shared" ref="AU190:AU192" si="233">IF(R190=0,0,1)</f>
        <v>0</v>
      </c>
      <c r="AV190" s="12">
        <f t="shared" si="186"/>
        <v>0</v>
      </c>
    </row>
    <row r="191" spans="1:48" ht="49.5" x14ac:dyDescent="0.25">
      <c r="A191" s="64" t="s">
        <v>497</v>
      </c>
      <c r="B191" s="91" t="s">
        <v>493</v>
      </c>
      <c r="C191" s="61" t="s">
        <v>494</v>
      </c>
      <c r="D191" s="61" t="s">
        <v>479</v>
      </c>
      <c r="E191" s="70" t="s">
        <v>168</v>
      </c>
      <c r="F191" s="61"/>
      <c r="G191" s="74">
        <v>9000</v>
      </c>
      <c r="H191" s="80">
        <v>9000</v>
      </c>
      <c r="I191" s="63"/>
      <c r="J191" s="63"/>
      <c r="K191" s="63"/>
      <c r="L191" s="63"/>
      <c r="M191" s="68">
        <v>4880</v>
      </c>
      <c r="N191" s="63">
        <f>M191</f>
        <v>4880</v>
      </c>
      <c r="O191" s="68">
        <v>4880</v>
      </c>
      <c r="P191" s="63">
        <f>O191</f>
        <v>4880</v>
      </c>
      <c r="Q191" s="54"/>
      <c r="R191" s="54">
        <f t="shared" si="204"/>
        <v>0</v>
      </c>
      <c r="S191" s="68">
        <v>4880</v>
      </c>
      <c r="T191" s="63">
        <f>S191</f>
        <v>4880</v>
      </c>
      <c r="U191" s="63"/>
      <c r="V191" s="63"/>
      <c r="W191" s="63"/>
      <c r="X191" s="63"/>
      <c r="Y191" s="63"/>
      <c r="Z191" s="63"/>
      <c r="AA191" s="63">
        <f t="shared" si="226"/>
        <v>0</v>
      </c>
      <c r="AB191" s="63">
        <f t="shared" si="226"/>
        <v>0</v>
      </c>
      <c r="AC191" s="63">
        <f t="shared" si="227"/>
        <v>4880</v>
      </c>
      <c r="AD191" s="63">
        <f t="shared" si="227"/>
        <v>4880</v>
      </c>
      <c r="AE191" s="63">
        <f t="shared" si="208"/>
        <v>4880</v>
      </c>
      <c r="AF191" s="63">
        <f t="shared" si="209"/>
        <v>4880</v>
      </c>
      <c r="AG191" s="54">
        <f t="shared" si="228"/>
        <v>3220</v>
      </c>
      <c r="AH191" s="54">
        <f t="shared" si="228"/>
        <v>3220</v>
      </c>
      <c r="AI191" s="69"/>
      <c r="AJ191" s="19">
        <f t="shared" si="175"/>
        <v>0</v>
      </c>
      <c r="AK191" s="22">
        <f t="shared" si="229"/>
        <v>0</v>
      </c>
      <c r="AL191" s="22"/>
      <c r="AM191" s="12">
        <f t="shared" si="230"/>
        <v>1</v>
      </c>
      <c r="AO191" s="12">
        <f t="shared" si="231"/>
        <v>0</v>
      </c>
      <c r="AP191" s="12">
        <f t="shared" si="197"/>
        <v>0</v>
      </c>
      <c r="AQ191" s="12">
        <f t="shared" si="232"/>
        <v>0</v>
      </c>
      <c r="AR191" s="12">
        <f t="shared" si="157"/>
        <v>0</v>
      </c>
      <c r="AS191" s="12">
        <f>IF(Q191=0,0,1)</f>
        <v>0</v>
      </c>
      <c r="AT191" s="12">
        <f t="shared" si="185"/>
        <v>0</v>
      </c>
      <c r="AU191" s="12">
        <f t="shared" si="233"/>
        <v>0</v>
      </c>
      <c r="AV191" s="12">
        <f t="shared" si="186"/>
        <v>0</v>
      </c>
    </row>
    <row r="192" spans="1:48" ht="50.25" customHeight="1" x14ac:dyDescent="0.25">
      <c r="A192" s="64" t="s">
        <v>498</v>
      </c>
      <c r="B192" s="9" t="s">
        <v>2081</v>
      </c>
      <c r="C192" s="61" t="s">
        <v>95</v>
      </c>
      <c r="D192" s="61" t="s">
        <v>398</v>
      </c>
      <c r="E192" s="61" t="s">
        <v>162</v>
      </c>
      <c r="F192" s="61"/>
      <c r="G192" s="7">
        <f>H192</f>
        <v>12000</v>
      </c>
      <c r="H192" s="7">
        <v>12000</v>
      </c>
      <c r="I192" s="63"/>
      <c r="J192" s="63"/>
      <c r="K192" s="63"/>
      <c r="L192" s="63"/>
      <c r="M192" s="68">
        <f>N192</f>
        <v>1000</v>
      </c>
      <c r="N192" s="68">
        <v>1000</v>
      </c>
      <c r="O192" s="80">
        <f>P192</f>
        <v>1000</v>
      </c>
      <c r="P192" s="80">
        <v>1000</v>
      </c>
      <c r="Q192" s="54"/>
      <c r="R192" s="54"/>
      <c r="S192" s="80">
        <f>T192</f>
        <v>1000</v>
      </c>
      <c r="T192" s="80">
        <v>1000</v>
      </c>
      <c r="U192" s="63"/>
      <c r="V192" s="63"/>
      <c r="W192" s="63"/>
      <c r="X192" s="63"/>
      <c r="Y192" s="63"/>
      <c r="Z192" s="63"/>
      <c r="AA192" s="63">
        <f t="shared" si="226"/>
        <v>0</v>
      </c>
      <c r="AB192" s="63">
        <f t="shared" si="226"/>
        <v>0</v>
      </c>
      <c r="AC192" s="63">
        <f t="shared" si="227"/>
        <v>1000</v>
      </c>
      <c r="AD192" s="63">
        <f t="shared" si="227"/>
        <v>1000</v>
      </c>
      <c r="AE192" s="63">
        <f t="shared" si="208"/>
        <v>1000</v>
      </c>
      <c r="AF192" s="63">
        <f t="shared" si="209"/>
        <v>1000</v>
      </c>
      <c r="AG192" s="54">
        <f t="shared" si="228"/>
        <v>9800</v>
      </c>
      <c r="AH192" s="54">
        <f t="shared" si="228"/>
        <v>9800</v>
      </c>
      <c r="AI192" s="25"/>
      <c r="AJ192" s="19">
        <f t="shared" si="175"/>
        <v>0</v>
      </c>
      <c r="AK192" s="22">
        <f t="shared" si="229"/>
        <v>0</v>
      </c>
      <c r="AL192" s="22"/>
      <c r="AM192" s="12">
        <f t="shared" si="230"/>
        <v>1</v>
      </c>
      <c r="AO192" s="12">
        <f t="shared" si="231"/>
        <v>0</v>
      </c>
      <c r="AP192" s="12">
        <f t="shared" si="197"/>
        <v>0</v>
      </c>
      <c r="AQ192" s="12">
        <f t="shared" si="232"/>
        <v>0</v>
      </c>
      <c r="AR192" s="12">
        <f t="shared" si="157"/>
        <v>0</v>
      </c>
      <c r="AU192" s="12">
        <f t="shared" si="233"/>
        <v>0</v>
      </c>
      <c r="AV192" s="12">
        <f t="shared" si="186"/>
        <v>0</v>
      </c>
    </row>
    <row r="193" spans="1:48" ht="50.25" customHeight="1" x14ac:dyDescent="0.25">
      <c r="A193" s="64" t="s">
        <v>1298</v>
      </c>
      <c r="B193" s="153" t="s">
        <v>910</v>
      </c>
      <c r="C193" s="61" t="s">
        <v>95</v>
      </c>
      <c r="D193" s="61" t="s">
        <v>398</v>
      </c>
      <c r="E193" s="61" t="s">
        <v>168</v>
      </c>
      <c r="F193" s="61"/>
      <c r="G193" s="7">
        <f>H193</f>
        <v>33165</v>
      </c>
      <c r="H193" s="7">
        <v>33165</v>
      </c>
      <c r="I193" s="63"/>
      <c r="J193" s="63"/>
      <c r="K193" s="63"/>
      <c r="L193" s="63"/>
      <c r="M193" s="68"/>
      <c r="N193" s="68"/>
      <c r="O193" s="80">
        <f>P193</f>
        <v>14000</v>
      </c>
      <c r="P193" s="80">
        <v>14000</v>
      </c>
      <c r="Q193" s="54">
        <f>T193-N193</f>
        <v>14000</v>
      </c>
      <c r="R193" s="54"/>
      <c r="S193" s="80">
        <f>T193</f>
        <v>14000</v>
      </c>
      <c r="T193" s="80">
        <v>14000</v>
      </c>
      <c r="U193" s="63"/>
      <c r="V193" s="63"/>
      <c r="W193" s="63"/>
      <c r="X193" s="63"/>
      <c r="Y193" s="63"/>
      <c r="Z193" s="63"/>
      <c r="AA193" s="63">
        <f t="shared" ref="AA193" si="234">U193+W193+Y193</f>
        <v>0</v>
      </c>
      <c r="AB193" s="63">
        <f t="shared" ref="AB193" si="235">V193+X193+Z193</f>
        <v>0</v>
      </c>
      <c r="AC193" s="63">
        <f t="shared" ref="AC193" si="236">O193-AA193</f>
        <v>14000</v>
      </c>
      <c r="AD193" s="63">
        <f t="shared" ref="AD193" si="237">P193-AB193</f>
        <v>14000</v>
      </c>
      <c r="AE193" s="63">
        <f t="shared" ref="AE193" si="238">AF193</f>
        <v>14000</v>
      </c>
      <c r="AF193" s="63">
        <f t="shared" ref="AF193" si="239">IF(AB193=0,AD193,0)</f>
        <v>14000</v>
      </c>
      <c r="AG193" s="54">
        <f t="shared" ref="AG193" si="240">G193*0.9-O193</f>
        <v>15848.5</v>
      </c>
      <c r="AH193" s="54">
        <f t="shared" ref="AH193" si="241">H193*0.9-P193</f>
        <v>15848.5</v>
      </c>
      <c r="AI193" s="25" t="s">
        <v>1967</v>
      </c>
      <c r="AJ193" s="19">
        <f t="shared" ref="AJ193" si="242">IF(N193-T193=0,0,1)</f>
        <v>1</v>
      </c>
      <c r="AK193" s="22">
        <f t="shared" ref="AK193" si="243">AJ193</f>
        <v>1</v>
      </c>
      <c r="AL193" s="22"/>
      <c r="AM193" s="12">
        <f t="shared" ref="AM193" si="244">IF(AJ193=0,1,0)</f>
        <v>0</v>
      </c>
      <c r="AO193" s="12">
        <f t="shared" ref="AO193" si="245">IF(P193=0,1,0)</f>
        <v>0</v>
      </c>
      <c r="AP193" s="12">
        <f t="shared" ref="AP193" si="246">IF(AO193=1,N193,0)</f>
        <v>0</v>
      </c>
      <c r="AQ193" s="12">
        <f t="shared" ref="AQ193" si="247">IF(N193=0,1,0)</f>
        <v>1</v>
      </c>
      <c r="AR193" s="12">
        <f t="shared" ref="AR193" si="248">IF(AQ193=1,P193,0)</f>
        <v>14000</v>
      </c>
      <c r="AU193" s="12">
        <f t="shared" ref="AU193" si="249">IF(R193=0,0,1)</f>
        <v>0</v>
      </c>
      <c r="AV193" s="12">
        <f t="shared" ref="AV193" si="250">IF(AU193=1,R193,0)</f>
        <v>0</v>
      </c>
    </row>
    <row r="194" spans="1:48" s="34" customFormat="1" ht="33" x14ac:dyDescent="0.25">
      <c r="A194" s="28" t="s">
        <v>500</v>
      </c>
      <c r="B194" s="29" t="s">
        <v>501</v>
      </c>
      <c r="C194" s="30"/>
      <c r="D194" s="30"/>
      <c r="E194" s="30"/>
      <c r="F194" s="30"/>
      <c r="G194" s="31">
        <f>G195+G201</f>
        <v>272055</v>
      </c>
      <c r="H194" s="31">
        <f t="shared" ref="H194:T194" si="251">H195+H201</f>
        <v>272055</v>
      </c>
      <c r="I194" s="31">
        <f t="shared" si="251"/>
        <v>26250</v>
      </c>
      <c r="J194" s="31">
        <f t="shared" si="251"/>
        <v>26250</v>
      </c>
      <c r="K194" s="31">
        <f t="shared" si="251"/>
        <v>26250</v>
      </c>
      <c r="L194" s="31">
        <f t="shared" si="251"/>
        <v>26250</v>
      </c>
      <c r="M194" s="31">
        <f t="shared" si="251"/>
        <v>220000</v>
      </c>
      <c r="N194" s="31">
        <f t="shared" si="251"/>
        <v>220000</v>
      </c>
      <c r="O194" s="31">
        <f t="shared" si="251"/>
        <v>149100</v>
      </c>
      <c r="P194" s="31">
        <f t="shared" si="251"/>
        <v>149100</v>
      </c>
      <c r="Q194" s="31">
        <f t="shared" si="251"/>
        <v>0</v>
      </c>
      <c r="R194" s="31">
        <f t="shared" si="251"/>
        <v>70900</v>
      </c>
      <c r="S194" s="31">
        <f t="shared" si="251"/>
        <v>149100</v>
      </c>
      <c r="T194" s="31">
        <f t="shared" si="251"/>
        <v>149100</v>
      </c>
      <c r="U194" s="31">
        <f t="shared" ref="U194:AH194" si="252">U195+U201</f>
        <v>43810</v>
      </c>
      <c r="V194" s="31">
        <f t="shared" si="252"/>
        <v>43810</v>
      </c>
      <c r="W194" s="31">
        <f t="shared" si="252"/>
        <v>27496</v>
      </c>
      <c r="X194" s="31">
        <f t="shared" si="252"/>
        <v>27496</v>
      </c>
      <c r="Y194" s="31">
        <f t="shared" si="252"/>
        <v>31700</v>
      </c>
      <c r="Z194" s="31">
        <f t="shared" si="252"/>
        <v>31700</v>
      </c>
      <c r="AA194" s="31">
        <f t="shared" si="252"/>
        <v>103006</v>
      </c>
      <c r="AB194" s="31">
        <f t="shared" si="252"/>
        <v>103006</v>
      </c>
      <c r="AC194" s="31">
        <f t="shared" si="252"/>
        <v>47176</v>
      </c>
      <c r="AD194" s="31">
        <f t="shared" si="252"/>
        <v>47176</v>
      </c>
      <c r="AE194" s="31">
        <f t="shared" si="252"/>
        <v>22000</v>
      </c>
      <c r="AF194" s="31">
        <f t="shared" si="252"/>
        <v>22000</v>
      </c>
      <c r="AG194" s="31">
        <f t="shared" si="252"/>
        <v>0</v>
      </c>
      <c r="AH194" s="31">
        <f t="shared" si="252"/>
        <v>0</v>
      </c>
      <c r="AI194" s="32"/>
      <c r="AJ194" s="19">
        <f t="shared" si="175"/>
        <v>1</v>
      </c>
      <c r="AK194" s="22"/>
      <c r="AL194" s="22"/>
      <c r="AM194" s="12"/>
      <c r="AN194" s="12"/>
      <c r="AO194" s="12"/>
      <c r="AP194" s="12">
        <f t="shared" si="197"/>
        <v>0</v>
      </c>
      <c r="AQ194" s="12"/>
      <c r="AR194" s="12">
        <f t="shared" si="157"/>
        <v>0</v>
      </c>
      <c r="AS194" s="12"/>
      <c r="AT194" s="12">
        <f t="shared" si="185"/>
        <v>0</v>
      </c>
      <c r="AU194" s="12"/>
      <c r="AV194" s="12">
        <f t="shared" si="186"/>
        <v>0</v>
      </c>
    </row>
    <row r="195" spans="1:48" s="42" customFormat="1" ht="51.75" x14ac:dyDescent="0.25">
      <c r="A195" s="35" t="s">
        <v>45</v>
      </c>
      <c r="B195" s="36" t="s">
        <v>46</v>
      </c>
      <c r="C195" s="37"/>
      <c r="D195" s="37"/>
      <c r="E195" s="37"/>
      <c r="F195" s="37"/>
      <c r="G195" s="38">
        <f t="shared" ref="G195:P195" si="253">G196</f>
        <v>47735</v>
      </c>
      <c r="H195" s="38">
        <f t="shared" si="253"/>
        <v>47735</v>
      </c>
      <c r="I195" s="38">
        <f t="shared" si="253"/>
        <v>26250</v>
      </c>
      <c r="J195" s="38">
        <f t="shared" si="253"/>
        <v>26250</v>
      </c>
      <c r="K195" s="38">
        <f t="shared" si="253"/>
        <v>26250</v>
      </c>
      <c r="L195" s="38">
        <f t="shared" si="253"/>
        <v>26250</v>
      </c>
      <c r="M195" s="38">
        <f t="shared" si="253"/>
        <v>13700</v>
      </c>
      <c r="N195" s="38">
        <f t="shared" si="253"/>
        <v>13700</v>
      </c>
      <c r="O195" s="38">
        <f t="shared" si="253"/>
        <v>13700</v>
      </c>
      <c r="P195" s="38">
        <f t="shared" si="253"/>
        <v>13700</v>
      </c>
      <c r="Q195" s="39"/>
      <c r="R195" s="39"/>
      <c r="S195" s="38">
        <f t="shared" ref="S195:AH195" si="254">S196</f>
        <v>13700</v>
      </c>
      <c r="T195" s="38">
        <f t="shared" si="254"/>
        <v>13700</v>
      </c>
      <c r="U195" s="38">
        <f t="shared" si="254"/>
        <v>13000</v>
      </c>
      <c r="V195" s="38">
        <f t="shared" si="254"/>
        <v>13000</v>
      </c>
      <c r="W195" s="39">
        <f t="shared" si="254"/>
        <v>0</v>
      </c>
      <c r="X195" s="39">
        <f t="shared" si="254"/>
        <v>0</v>
      </c>
      <c r="Y195" s="39">
        <f t="shared" si="254"/>
        <v>0</v>
      </c>
      <c r="Z195" s="39">
        <f t="shared" si="254"/>
        <v>0</v>
      </c>
      <c r="AA195" s="39">
        <f t="shared" si="254"/>
        <v>13000</v>
      </c>
      <c r="AB195" s="39">
        <f t="shared" si="254"/>
        <v>13000</v>
      </c>
      <c r="AC195" s="39">
        <f t="shared" si="254"/>
        <v>700</v>
      </c>
      <c r="AD195" s="39">
        <f t="shared" si="254"/>
        <v>700</v>
      </c>
      <c r="AE195" s="39">
        <f t="shared" si="254"/>
        <v>0</v>
      </c>
      <c r="AF195" s="39">
        <f t="shared" si="254"/>
        <v>0</v>
      </c>
      <c r="AG195" s="39">
        <f t="shared" si="254"/>
        <v>0</v>
      </c>
      <c r="AH195" s="39">
        <f t="shared" si="254"/>
        <v>0</v>
      </c>
      <c r="AI195" s="40"/>
      <c r="AJ195" s="19">
        <f t="shared" si="175"/>
        <v>0</v>
      </c>
      <c r="AK195" s="22"/>
      <c r="AL195" s="22"/>
      <c r="AM195" s="12"/>
      <c r="AN195" s="12"/>
      <c r="AO195" s="12"/>
      <c r="AP195" s="12">
        <f t="shared" si="197"/>
        <v>0</v>
      </c>
      <c r="AQ195" s="12"/>
      <c r="AR195" s="12">
        <f t="shared" si="157"/>
        <v>0</v>
      </c>
      <c r="AS195" s="12"/>
      <c r="AT195" s="12">
        <f t="shared" si="185"/>
        <v>0</v>
      </c>
      <c r="AU195" s="12"/>
      <c r="AV195" s="12">
        <f t="shared" si="186"/>
        <v>0</v>
      </c>
    </row>
    <row r="196" spans="1:48" s="49" customFormat="1" ht="34.5" x14ac:dyDescent="0.25">
      <c r="A196" s="43" t="s">
        <v>47</v>
      </c>
      <c r="B196" s="44" t="s">
        <v>48</v>
      </c>
      <c r="C196" s="45"/>
      <c r="D196" s="45"/>
      <c r="E196" s="45"/>
      <c r="F196" s="45"/>
      <c r="G196" s="46">
        <f>G199+G200</f>
        <v>47735</v>
      </c>
      <c r="H196" s="46">
        <f t="shared" ref="H196:T196" si="255">H199+H200</f>
        <v>47735</v>
      </c>
      <c r="I196" s="46">
        <f t="shared" si="255"/>
        <v>26250</v>
      </c>
      <c r="J196" s="46">
        <f t="shared" si="255"/>
        <v>26250</v>
      </c>
      <c r="K196" s="46">
        <f t="shared" si="255"/>
        <v>26250</v>
      </c>
      <c r="L196" s="46">
        <f t="shared" si="255"/>
        <v>26250</v>
      </c>
      <c r="M196" s="46">
        <f t="shared" si="255"/>
        <v>13700</v>
      </c>
      <c r="N196" s="46">
        <f t="shared" si="255"/>
        <v>13700</v>
      </c>
      <c r="O196" s="46">
        <f t="shared" si="255"/>
        <v>13700</v>
      </c>
      <c r="P196" s="46">
        <f t="shared" si="255"/>
        <v>13700</v>
      </c>
      <c r="Q196" s="46">
        <f t="shared" si="255"/>
        <v>0</v>
      </c>
      <c r="R196" s="46">
        <f t="shared" si="255"/>
        <v>0</v>
      </c>
      <c r="S196" s="46">
        <f t="shared" si="255"/>
        <v>13700</v>
      </c>
      <c r="T196" s="46">
        <f t="shared" si="255"/>
        <v>13700</v>
      </c>
      <c r="U196" s="46">
        <f t="shared" ref="U196:AH196" si="256">SUM(U198:U200)</f>
        <v>13000</v>
      </c>
      <c r="V196" s="46">
        <f t="shared" si="256"/>
        <v>13000</v>
      </c>
      <c r="W196" s="94">
        <f t="shared" si="256"/>
        <v>0</v>
      </c>
      <c r="X196" s="94">
        <f t="shared" si="256"/>
        <v>0</v>
      </c>
      <c r="Y196" s="94">
        <f t="shared" si="256"/>
        <v>0</v>
      </c>
      <c r="Z196" s="94">
        <f t="shared" si="256"/>
        <v>0</v>
      </c>
      <c r="AA196" s="94">
        <f t="shared" si="256"/>
        <v>13000</v>
      </c>
      <c r="AB196" s="94">
        <f t="shared" si="256"/>
        <v>13000</v>
      </c>
      <c r="AC196" s="94">
        <f t="shared" si="256"/>
        <v>700</v>
      </c>
      <c r="AD196" s="94">
        <f t="shared" si="256"/>
        <v>700</v>
      </c>
      <c r="AE196" s="94">
        <f t="shared" si="256"/>
        <v>0</v>
      </c>
      <c r="AF196" s="94">
        <f t="shared" si="256"/>
        <v>0</v>
      </c>
      <c r="AG196" s="94">
        <f t="shared" si="256"/>
        <v>0</v>
      </c>
      <c r="AH196" s="94">
        <f t="shared" si="256"/>
        <v>0</v>
      </c>
      <c r="AI196" s="47"/>
      <c r="AJ196" s="19">
        <f t="shared" si="175"/>
        <v>0</v>
      </c>
      <c r="AK196" s="22"/>
      <c r="AL196" s="22"/>
      <c r="AM196" s="12"/>
      <c r="AN196" s="12"/>
      <c r="AO196" s="12"/>
      <c r="AP196" s="12">
        <f t="shared" si="197"/>
        <v>0</v>
      </c>
      <c r="AQ196" s="12"/>
      <c r="AR196" s="12">
        <f t="shared" si="157"/>
        <v>0</v>
      </c>
      <c r="AS196" s="12"/>
      <c r="AT196" s="12">
        <f t="shared" si="185"/>
        <v>0</v>
      </c>
      <c r="AU196" s="12"/>
      <c r="AV196" s="12">
        <f t="shared" si="186"/>
        <v>0</v>
      </c>
    </row>
    <row r="197" spans="1:48" ht="17.25" x14ac:dyDescent="0.25">
      <c r="A197" s="50"/>
      <c r="B197" s="51" t="s">
        <v>49</v>
      </c>
      <c r="C197" s="52"/>
      <c r="D197" s="52"/>
      <c r="E197" s="52"/>
      <c r="F197" s="52"/>
      <c r="G197" s="53"/>
      <c r="H197" s="53"/>
      <c r="I197" s="53"/>
      <c r="J197" s="53"/>
      <c r="K197" s="53"/>
      <c r="L197" s="53"/>
      <c r="M197" s="53"/>
      <c r="N197" s="53"/>
      <c r="O197" s="53"/>
      <c r="P197" s="53"/>
      <c r="Q197" s="54"/>
      <c r="R197" s="54"/>
      <c r="S197" s="53"/>
      <c r="T197" s="53"/>
      <c r="U197" s="63"/>
      <c r="V197" s="63"/>
      <c r="W197" s="63"/>
      <c r="X197" s="63"/>
      <c r="Y197" s="63"/>
      <c r="Z197" s="63"/>
      <c r="AA197" s="63"/>
      <c r="AB197" s="63"/>
      <c r="AC197" s="63"/>
      <c r="AD197" s="63"/>
      <c r="AE197" s="63"/>
      <c r="AF197" s="63"/>
      <c r="AG197" s="63"/>
      <c r="AH197" s="63"/>
      <c r="AI197" s="55"/>
      <c r="AJ197" s="19">
        <f t="shared" si="175"/>
        <v>0</v>
      </c>
      <c r="AK197" s="22"/>
      <c r="AL197" s="22"/>
    </row>
    <row r="198" spans="1:48" ht="51.75" x14ac:dyDescent="0.25">
      <c r="A198" s="50"/>
      <c r="B198" s="56" t="s">
        <v>50</v>
      </c>
      <c r="C198" s="57"/>
      <c r="D198" s="57"/>
      <c r="E198" s="57"/>
      <c r="F198" s="57"/>
      <c r="G198" s="58"/>
      <c r="H198" s="58"/>
      <c r="I198" s="58"/>
      <c r="J198" s="58"/>
      <c r="K198" s="58"/>
      <c r="L198" s="58"/>
      <c r="M198" s="58"/>
      <c r="N198" s="58"/>
      <c r="O198" s="58"/>
      <c r="P198" s="58"/>
      <c r="Q198" s="54"/>
      <c r="R198" s="54"/>
      <c r="S198" s="58"/>
      <c r="T198" s="58"/>
      <c r="U198" s="63"/>
      <c r="V198" s="63"/>
      <c r="W198" s="63"/>
      <c r="X198" s="63"/>
      <c r="Y198" s="63"/>
      <c r="Z198" s="63"/>
      <c r="AA198" s="63"/>
      <c r="AB198" s="63"/>
      <c r="AC198" s="63"/>
      <c r="AD198" s="63"/>
      <c r="AE198" s="63"/>
      <c r="AF198" s="63"/>
      <c r="AG198" s="63"/>
      <c r="AH198" s="63"/>
      <c r="AI198" s="59"/>
      <c r="AJ198" s="19">
        <f t="shared" si="175"/>
        <v>0</v>
      </c>
      <c r="AK198" s="22"/>
      <c r="AL198" s="22"/>
    </row>
    <row r="199" spans="1:48" ht="66" x14ac:dyDescent="0.25">
      <c r="A199" s="60">
        <v>1</v>
      </c>
      <c r="B199" s="107" t="s">
        <v>502</v>
      </c>
      <c r="C199" s="9" t="s">
        <v>336</v>
      </c>
      <c r="D199" s="61"/>
      <c r="E199" s="61" t="s">
        <v>72</v>
      </c>
      <c r="F199" s="61" t="s">
        <v>503</v>
      </c>
      <c r="G199" s="108">
        <v>13071</v>
      </c>
      <c r="H199" s="80">
        <f>G199</f>
        <v>13071</v>
      </c>
      <c r="I199" s="63">
        <f>J199</f>
        <v>2000</v>
      </c>
      <c r="J199" s="63">
        <v>2000</v>
      </c>
      <c r="K199" s="63">
        <f>L199</f>
        <v>2000</v>
      </c>
      <c r="L199" s="63">
        <f>J199</f>
        <v>2000</v>
      </c>
      <c r="M199" s="68">
        <f>N199</f>
        <v>9700</v>
      </c>
      <c r="N199" s="63">
        <v>9700</v>
      </c>
      <c r="O199" s="68">
        <f>P199</f>
        <v>9700</v>
      </c>
      <c r="P199" s="63">
        <v>9700</v>
      </c>
      <c r="Q199" s="54"/>
      <c r="R199" s="54">
        <f>N199-T199</f>
        <v>0</v>
      </c>
      <c r="S199" s="68">
        <f>T199</f>
        <v>9700</v>
      </c>
      <c r="T199" s="63">
        <v>9700</v>
      </c>
      <c r="U199" s="63">
        <f>V199</f>
        <v>9000</v>
      </c>
      <c r="V199" s="63">
        <v>9000</v>
      </c>
      <c r="W199" s="63"/>
      <c r="X199" s="63"/>
      <c r="Y199" s="63"/>
      <c r="Z199" s="63"/>
      <c r="AA199" s="63">
        <f t="shared" ref="AA199:AB200" si="257">U199+W199+Y199</f>
        <v>9000</v>
      </c>
      <c r="AB199" s="63">
        <f t="shared" si="257"/>
        <v>9000</v>
      </c>
      <c r="AC199" s="63">
        <f>O199-AA199</f>
        <v>700</v>
      </c>
      <c r="AD199" s="63">
        <f>P199-AB199</f>
        <v>700</v>
      </c>
      <c r="AE199" s="63">
        <f t="shared" ref="AE199:AE200" si="258">AF199</f>
        <v>0</v>
      </c>
      <c r="AF199" s="63">
        <f t="shared" ref="AF199:AF200" si="259">IF(AB199=0,AD199,0)</f>
        <v>0</v>
      </c>
      <c r="AG199" s="63"/>
      <c r="AH199" s="63"/>
      <c r="AI199" s="69"/>
      <c r="AJ199" s="19">
        <f t="shared" si="175"/>
        <v>0</v>
      </c>
      <c r="AK199" s="22">
        <f t="shared" si="229"/>
        <v>0</v>
      </c>
      <c r="AL199" s="22"/>
      <c r="AM199" s="12">
        <f>IF(AJ199=0,1,0)</f>
        <v>1</v>
      </c>
      <c r="AO199" s="12">
        <f>IF(P199=0,1,0)</f>
        <v>0</v>
      </c>
      <c r="AP199" s="12">
        <f>IF(AO199=1,N199,0)</f>
        <v>0</v>
      </c>
      <c r="AQ199" s="12">
        <f>IF(N199=0,1,0)</f>
        <v>0</v>
      </c>
      <c r="AR199" s="12">
        <f>IF(AQ199=1,P199,0)</f>
        <v>0</v>
      </c>
      <c r="AS199" s="12">
        <f>IF(Q199=0,0,1)</f>
        <v>0</v>
      </c>
      <c r="AT199" s="12">
        <f t="shared" si="185"/>
        <v>0</v>
      </c>
      <c r="AU199" s="12">
        <f>IF(R199=0,0,1)</f>
        <v>0</v>
      </c>
      <c r="AV199" s="12">
        <f t="shared" si="186"/>
        <v>0</v>
      </c>
    </row>
    <row r="200" spans="1:48" ht="82.5" x14ac:dyDescent="0.25">
      <c r="A200" s="60">
        <v>2</v>
      </c>
      <c r="B200" s="107" t="s">
        <v>504</v>
      </c>
      <c r="C200" s="61" t="s">
        <v>99</v>
      </c>
      <c r="D200" s="61"/>
      <c r="E200" s="61" t="s">
        <v>72</v>
      </c>
      <c r="F200" s="61" t="s">
        <v>505</v>
      </c>
      <c r="G200" s="68">
        <v>34664</v>
      </c>
      <c r="H200" s="80">
        <f>G200</f>
        <v>34664</v>
      </c>
      <c r="I200" s="63">
        <f>J200</f>
        <v>24250</v>
      </c>
      <c r="J200" s="63">
        <v>24250</v>
      </c>
      <c r="K200" s="63">
        <f>L200</f>
        <v>24250</v>
      </c>
      <c r="L200" s="63">
        <f>J200</f>
        <v>24250</v>
      </c>
      <c r="M200" s="68">
        <f>N200</f>
        <v>4000</v>
      </c>
      <c r="N200" s="63">
        <v>4000</v>
      </c>
      <c r="O200" s="68">
        <f>P200</f>
        <v>4000</v>
      </c>
      <c r="P200" s="63">
        <v>4000</v>
      </c>
      <c r="Q200" s="54"/>
      <c r="R200" s="54">
        <f>N200-T200</f>
        <v>0</v>
      </c>
      <c r="S200" s="68">
        <f>T200</f>
        <v>4000</v>
      </c>
      <c r="T200" s="63">
        <v>4000</v>
      </c>
      <c r="U200" s="63">
        <f>V200</f>
        <v>4000</v>
      </c>
      <c r="V200" s="63">
        <v>4000</v>
      </c>
      <c r="W200" s="63"/>
      <c r="X200" s="63"/>
      <c r="Y200" s="63"/>
      <c r="Z200" s="63"/>
      <c r="AA200" s="63">
        <f t="shared" si="257"/>
        <v>4000</v>
      </c>
      <c r="AB200" s="63">
        <f t="shared" si="257"/>
        <v>4000</v>
      </c>
      <c r="AC200" s="63">
        <f>O200-AA200</f>
        <v>0</v>
      </c>
      <c r="AD200" s="63">
        <f>P200-AB200</f>
        <v>0</v>
      </c>
      <c r="AE200" s="63">
        <f t="shared" si="258"/>
        <v>0</v>
      </c>
      <c r="AF200" s="63">
        <f t="shared" si="259"/>
        <v>0</v>
      </c>
      <c r="AG200" s="63"/>
      <c r="AH200" s="63"/>
      <c r="AI200" s="69"/>
      <c r="AJ200" s="19">
        <f t="shared" si="175"/>
        <v>0</v>
      </c>
      <c r="AK200" s="22">
        <f t="shared" si="229"/>
        <v>0</v>
      </c>
      <c r="AL200" s="22"/>
      <c r="AM200" s="12">
        <f>IF(AJ200=0,1,0)</f>
        <v>1</v>
      </c>
      <c r="AO200" s="12">
        <f>IF(P200=0,1,0)</f>
        <v>0</v>
      </c>
      <c r="AP200" s="12">
        <f>IF(AO200=1,N200,0)</f>
        <v>0</v>
      </c>
      <c r="AQ200" s="12">
        <f>IF(N200=0,1,0)</f>
        <v>0</v>
      </c>
      <c r="AR200" s="12">
        <f>IF(AQ200=1,P200,0)</f>
        <v>0</v>
      </c>
      <c r="AS200" s="12">
        <f>IF(Q200=0,0,1)</f>
        <v>0</v>
      </c>
      <c r="AT200" s="12">
        <f t="shared" si="185"/>
        <v>0</v>
      </c>
      <c r="AU200" s="12">
        <f>IF(R200=0,0,1)</f>
        <v>0</v>
      </c>
      <c r="AV200" s="12">
        <f t="shared" si="186"/>
        <v>0</v>
      </c>
    </row>
    <row r="201" spans="1:48" s="42" customFormat="1" ht="34.5" x14ac:dyDescent="0.25">
      <c r="A201" s="35" t="s">
        <v>85</v>
      </c>
      <c r="B201" s="36" t="s">
        <v>86</v>
      </c>
      <c r="C201" s="37"/>
      <c r="D201" s="37"/>
      <c r="E201" s="37"/>
      <c r="F201" s="37"/>
      <c r="G201" s="38">
        <f>G202</f>
        <v>224320</v>
      </c>
      <c r="H201" s="38">
        <f>H202</f>
        <v>224320</v>
      </c>
      <c r="I201" s="38"/>
      <c r="J201" s="38"/>
      <c r="K201" s="38"/>
      <c r="L201" s="38"/>
      <c r="M201" s="38">
        <f t="shared" ref="M201:AH201" si="260">M202</f>
        <v>206300</v>
      </c>
      <c r="N201" s="38">
        <f t="shared" si="260"/>
        <v>206300</v>
      </c>
      <c r="O201" s="38">
        <f t="shared" si="260"/>
        <v>135400</v>
      </c>
      <c r="P201" s="38">
        <f t="shared" si="260"/>
        <v>135400</v>
      </c>
      <c r="Q201" s="38">
        <f t="shared" si="260"/>
        <v>0</v>
      </c>
      <c r="R201" s="38">
        <f t="shared" si="260"/>
        <v>70900</v>
      </c>
      <c r="S201" s="38">
        <f t="shared" si="260"/>
        <v>135400</v>
      </c>
      <c r="T201" s="38">
        <f t="shared" si="260"/>
        <v>135400</v>
      </c>
      <c r="U201" s="38">
        <f t="shared" si="260"/>
        <v>30810</v>
      </c>
      <c r="V201" s="38">
        <f t="shared" si="260"/>
        <v>30810</v>
      </c>
      <c r="W201" s="38">
        <f t="shared" si="260"/>
        <v>27496</v>
      </c>
      <c r="X201" s="38">
        <f t="shared" si="260"/>
        <v>27496</v>
      </c>
      <c r="Y201" s="38">
        <f t="shared" si="260"/>
        <v>31700</v>
      </c>
      <c r="Z201" s="38">
        <f t="shared" si="260"/>
        <v>31700</v>
      </c>
      <c r="AA201" s="38">
        <f t="shared" si="260"/>
        <v>90006</v>
      </c>
      <c r="AB201" s="38">
        <f t="shared" si="260"/>
        <v>90006</v>
      </c>
      <c r="AC201" s="38">
        <f t="shared" si="260"/>
        <v>46476</v>
      </c>
      <c r="AD201" s="38">
        <f t="shared" si="260"/>
        <v>46476</v>
      </c>
      <c r="AE201" s="38">
        <f t="shared" si="260"/>
        <v>22000</v>
      </c>
      <c r="AF201" s="38">
        <f t="shared" si="260"/>
        <v>22000</v>
      </c>
      <c r="AG201" s="38">
        <f t="shared" si="260"/>
        <v>0</v>
      </c>
      <c r="AH201" s="38">
        <f t="shared" si="260"/>
        <v>0</v>
      </c>
      <c r="AI201" s="40"/>
      <c r="AJ201" s="19">
        <f t="shared" si="175"/>
        <v>1</v>
      </c>
      <c r="AK201" s="109"/>
      <c r="AL201" s="109"/>
      <c r="AM201" s="41"/>
      <c r="AN201" s="41"/>
      <c r="AO201" s="41"/>
      <c r="AP201" s="41"/>
      <c r="AQ201" s="41"/>
      <c r="AR201" s="41"/>
      <c r="AS201" s="41"/>
      <c r="AT201" s="41"/>
      <c r="AU201" s="41"/>
      <c r="AV201" s="41"/>
    </row>
    <row r="202" spans="1:48" s="49" customFormat="1" ht="51.75" x14ac:dyDescent="0.25">
      <c r="A202" s="43" t="s">
        <v>87</v>
      </c>
      <c r="B202" s="44" t="s">
        <v>88</v>
      </c>
      <c r="C202" s="72"/>
      <c r="D202" s="72"/>
      <c r="E202" s="72"/>
      <c r="F202" s="72"/>
      <c r="G202" s="46">
        <f>SUM(G203:G218)</f>
        <v>224320</v>
      </c>
      <c r="H202" s="46">
        <f t="shared" ref="H202:T202" si="261">SUM(H203:H218)</f>
        <v>224320</v>
      </c>
      <c r="I202" s="46">
        <f t="shared" si="261"/>
        <v>0</v>
      </c>
      <c r="J202" s="46">
        <f t="shared" si="261"/>
        <v>0</v>
      </c>
      <c r="K202" s="46">
        <f t="shared" si="261"/>
        <v>0</v>
      </c>
      <c r="L202" s="46">
        <f t="shared" si="261"/>
        <v>0</v>
      </c>
      <c r="M202" s="46">
        <f t="shared" si="261"/>
        <v>206300</v>
      </c>
      <c r="N202" s="46">
        <f t="shared" si="261"/>
        <v>206300</v>
      </c>
      <c r="O202" s="46">
        <f t="shared" si="261"/>
        <v>135400</v>
      </c>
      <c r="P202" s="46">
        <f t="shared" si="261"/>
        <v>135400</v>
      </c>
      <c r="Q202" s="46">
        <f t="shared" si="261"/>
        <v>0</v>
      </c>
      <c r="R202" s="46">
        <f t="shared" si="261"/>
        <v>70900</v>
      </c>
      <c r="S202" s="46">
        <f t="shared" si="261"/>
        <v>135400</v>
      </c>
      <c r="T202" s="46">
        <f t="shared" si="261"/>
        <v>135400</v>
      </c>
      <c r="U202" s="46">
        <f t="shared" ref="U202:AH202" si="262">SUM(U203:U218)</f>
        <v>30810</v>
      </c>
      <c r="V202" s="46">
        <f t="shared" si="262"/>
        <v>30810</v>
      </c>
      <c r="W202" s="46">
        <f t="shared" si="262"/>
        <v>27496</v>
      </c>
      <c r="X202" s="46">
        <f t="shared" si="262"/>
        <v>27496</v>
      </c>
      <c r="Y202" s="46">
        <f t="shared" si="262"/>
        <v>31700</v>
      </c>
      <c r="Z202" s="46">
        <f t="shared" si="262"/>
        <v>31700</v>
      </c>
      <c r="AA202" s="46">
        <f t="shared" si="262"/>
        <v>90006</v>
      </c>
      <c r="AB202" s="46">
        <f t="shared" si="262"/>
        <v>90006</v>
      </c>
      <c r="AC202" s="46">
        <f t="shared" si="262"/>
        <v>46476</v>
      </c>
      <c r="AD202" s="46">
        <f t="shared" si="262"/>
        <v>46476</v>
      </c>
      <c r="AE202" s="46">
        <f t="shared" si="262"/>
        <v>22000</v>
      </c>
      <c r="AF202" s="46">
        <f t="shared" si="262"/>
        <v>22000</v>
      </c>
      <c r="AG202" s="46">
        <f t="shared" si="262"/>
        <v>0</v>
      </c>
      <c r="AH202" s="46">
        <f t="shared" si="262"/>
        <v>0</v>
      </c>
      <c r="AI202" s="73"/>
      <c r="AJ202" s="19">
        <f t="shared" si="175"/>
        <v>1</v>
      </c>
      <c r="AK202" s="110"/>
      <c r="AL202" s="110"/>
      <c r="AM202" s="48"/>
      <c r="AN202" s="48"/>
      <c r="AO202" s="48"/>
      <c r="AP202" s="48"/>
      <c r="AQ202" s="48"/>
      <c r="AR202" s="48"/>
      <c r="AS202" s="48"/>
      <c r="AT202" s="48"/>
      <c r="AU202" s="48"/>
      <c r="AV202" s="48"/>
    </row>
    <row r="203" spans="1:48" ht="99" x14ac:dyDescent="0.25">
      <c r="A203" s="60">
        <v>3</v>
      </c>
      <c r="B203" s="107" t="s">
        <v>506</v>
      </c>
      <c r="C203" s="61" t="s">
        <v>507</v>
      </c>
      <c r="D203" s="61" t="s">
        <v>508</v>
      </c>
      <c r="E203" s="61">
        <v>2016</v>
      </c>
      <c r="F203" s="61" t="s">
        <v>509</v>
      </c>
      <c r="G203" s="68">
        <v>16701</v>
      </c>
      <c r="H203" s="80">
        <f t="shared" ref="H203:H210" si="263">G203</f>
        <v>16701</v>
      </c>
      <c r="I203" s="63"/>
      <c r="J203" s="63"/>
      <c r="K203" s="63"/>
      <c r="L203" s="63"/>
      <c r="M203" s="68">
        <f t="shared" ref="M203:M218" si="264">N203</f>
        <v>15270</v>
      </c>
      <c r="N203" s="63">
        <v>15270</v>
      </c>
      <c r="O203" s="68">
        <f t="shared" ref="O203:O218" si="265">P203</f>
        <v>15270</v>
      </c>
      <c r="P203" s="63">
        <f>N203</f>
        <v>15270</v>
      </c>
      <c r="Q203" s="54"/>
      <c r="R203" s="54">
        <f t="shared" ref="R203:R218" si="266">N203-T203</f>
        <v>0</v>
      </c>
      <c r="S203" s="68">
        <f t="shared" ref="S203:S212" si="267">T203</f>
        <v>15270</v>
      </c>
      <c r="T203" s="63">
        <f>P203</f>
        <v>15270</v>
      </c>
      <c r="U203" s="63">
        <f>V203</f>
        <v>10000</v>
      </c>
      <c r="V203" s="63">
        <v>10000</v>
      </c>
      <c r="W203" s="63">
        <f>X203</f>
        <v>6352</v>
      </c>
      <c r="X203" s="63">
        <v>6352</v>
      </c>
      <c r="Y203" s="63"/>
      <c r="Z203" s="63"/>
      <c r="AA203" s="63">
        <f t="shared" ref="AA203:AB218" si="268">U203+W203+Y203</f>
        <v>16352</v>
      </c>
      <c r="AB203" s="63">
        <f t="shared" si="268"/>
        <v>16352</v>
      </c>
      <c r="AC203" s="63"/>
      <c r="AD203" s="63"/>
      <c r="AE203" s="63">
        <f t="shared" ref="AE203:AE218" si="269">AF203</f>
        <v>0</v>
      </c>
      <c r="AF203" s="63">
        <f t="shared" ref="AF203:AF218" si="270">IF(AB203=0,AD203,0)</f>
        <v>0</v>
      </c>
      <c r="AG203" s="63"/>
      <c r="AH203" s="63"/>
      <c r="AI203" s="69"/>
      <c r="AJ203" s="19">
        <f t="shared" si="175"/>
        <v>0</v>
      </c>
      <c r="AK203" s="22">
        <f t="shared" si="229"/>
        <v>0</v>
      </c>
      <c r="AL203" s="22"/>
      <c r="AM203" s="12">
        <f t="shared" ref="AM203:AM218" si="271">IF(AJ203=0,1,0)</f>
        <v>1</v>
      </c>
      <c r="AO203" s="12">
        <f t="shared" ref="AO203:AO218" si="272">IF(P203=0,1,0)</f>
        <v>0</v>
      </c>
      <c r="AP203" s="12">
        <f t="shared" ref="AP203:AP251" si="273">IF(AO203=1,N203,0)</f>
        <v>0</v>
      </c>
      <c r="AQ203" s="12">
        <f t="shared" ref="AQ203:AQ218" si="274">IF(N203=0,1,0)</f>
        <v>0</v>
      </c>
      <c r="AR203" s="12">
        <f t="shared" ref="AR203:AR266" si="275">IF(AQ203=1,P203,0)</f>
        <v>0</v>
      </c>
      <c r="AS203" s="12">
        <f t="shared" ref="AS203:AS218" si="276">IF(Q203=0,0,1)</f>
        <v>0</v>
      </c>
      <c r="AT203" s="12">
        <f t="shared" si="185"/>
        <v>0</v>
      </c>
      <c r="AU203" s="12">
        <f t="shared" ref="AU203:AU212" si="277">IF(R203=0,0,1)</f>
        <v>0</v>
      </c>
      <c r="AV203" s="12">
        <f t="shared" si="186"/>
        <v>0</v>
      </c>
    </row>
    <row r="204" spans="1:48" ht="99" x14ac:dyDescent="0.25">
      <c r="A204" s="60">
        <v>4</v>
      </c>
      <c r="B204" s="9" t="s">
        <v>510</v>
      </c>
      <c r="C204" s="61" t="s">
        <v>511</v>
      </c>
      <c r="D204" s="61" t="s">
        <v>512</v>
      </c>
      <c r="E204" s="61">
        <v>2016</v>
      </c>
      <c r="F204" s="61" t="s">
        <v>513</v>
      </c>
      <c r="G204" s="80">
        <v>8080</v>
      </c>
      <c r="H204" s="80">
        <f t="shared" si="263"/>
        <v>8080</v>
      </c>
      <c r="I204" s="63"/>
      <c r="J204" s="63"/>
      <c r="K204" s="63"/>
      <c r="L204" s="63"/>
      <c r="M204" s="68">
        <f t="shared" si="264"/>
        <v>7700</v>
      </c>
      <c r="N204" s="63">
        <v>7700</v>
      </c>
      <c r="O204" s="68">
        <f t="shared" si="265"/>
        <v>7700</v>
      </c>
      <c r="P204" s="63">
        <v>7700</v>
      </c>
      <c r="Q204" s="54"/>
      <c r="R204" s="54">
        <f t="shared" si="266"/>
        <v>0</v>
      </c>
      <c r="S204" s="68">
        <f t="shared" si="267"/>
        <v>7700</v>
      </c>
      <c r="T204" s="63">
        <v>7700</v>
      </c>
      <c r="U204" s="63">
        <f>V204</f>
        <v>5000</v>
      </c>
      <c r="V204" s="63">
        <v>5000</v>
      </c>
      <c r="W204" s="63"/>
      <c r="X204" s="63"/>
      <c r="Y204" s="63"/>
      <c r="Z204" s="63"/>
      <c r="AA204" s="63">
        <f t="shared" si="268"/>
        <v>5000</v>
      </c>
      <c r="AB204" s="63">
        <f t="shared" si="268"/>
        <v>5000</v>
      </c>
      <c r="AC204" s="63">
        <f t="shared" ref="AC204:AD218" si="278">O204-AA204</f>
        <v>2700</v>
      </c>
      <c r="AD204" s="63">
        <f t="shared" si="278"/>
        <v>2700</v>
      </c>
      <c r="AE204" s="63">
        <f t="shared" si="269"/>
        <v>0</v>
      </c>
      <c r="AF204" s="63">
        <f t="shared" si="270"/>
        <v>0</v>
      </c>
      <c r="AG204" s="63"/>
      <c r="AH204" s="63"/>
      <c r="AI204" s="69"/>
      <c r="AJ204" s="19">
        <f t="shared" si="175"/>
        <v>0</v>
      </c>
      <c r="AK204" s="22">
        <f t="shared" si="229"/>
        <v>0</v>
      </c>
      <c r="AL204" s="22"/>
      <c r="AM204" s="12">
        <f t="shared" si="271"/>
        <v>1</v>
      </c>
      <c r="AO204" s="12">
        <f t="shared" si="272"/>
        <v>0</v>
      </c>
      <c r="AP204" s="12">
        <f t="shared" si="273"/>
        <v>0</v>
      </c>
      <c r="AQ204" s="12">
        <f t="shared" si="274"/>
        <v>0</v>
      </c>
      <c r="AR204" s="12">
        <f t="shared" si="275"/>
        <v>0</v>
      </c>
      <c r="AS204" s="12">
        <f t="shared" si="276"/>
        <v>0</v>
      </c>
      <c r="AT204" s="12">
        <f t="shared" si="185"/>
        <v>0</v>
      </c>
      <c r="AU204" s="12">
        <f t="shared" si="277"/>
        <v>0</v>
      </c>
      <c r="AV204" s="12">
        <f t="shared" si="186"/>
        <v>0</v>
      </c>
    </row>
    <row r="205" spans="1:48" ht="82.5" x14ac:dyDescent="0.25">
      <c r="A205" s="60">
        <v>5</v>
      </c>
      <c r="B205" s="9" t="s">
        <v>514</v>
      </c>
      <c r="C205" s="61" t="s">
        <v>515</v>
      </c>
      <c r="D205" s="61" t="s">
        <v>516</v>
      </c>
      <c r="E205" s="61">
        <v>2016</v>
      </c>
      <c r="F205" s="61" t="s">
        <v>517</v>
      </c>
      <c r="G205" s="80">
        <v>15084</v>
      </c>
      <c r="H205" s="80">
        <f t="shared" si="263"/>
        <v>15084</v>
      </c>
      <c r="I205" s="63"/>
      <c r="J205" s="63"/>
      <c r="K205" s="63"/>
      <c r="L205" s="63"/>
      <c r="M205" s="68">
        <f t="shared" si="264"/>
        <v>13710</v>
      </c>
      <c r="N205" s="63">
        <v>13710</v>
      </c>
      <c r="O205" s="68">
        <f t="shared" si="265"/>
        <v>13710</v>
      </c>
      <c r="P205" s="63">
        <v>13710</v>
      </c>
      <c r="Q205" s="54"/>
      <c r="R205" s="54">
        <f t="shared" si="266"/>
        <v>0</v>
      </c>
      <c r="S205" s="68">
        <f t="shared" si="267"/>
        <v>13710</v>
      </c>
      <c r="T205" s="63">
        <v>13710</v>
      </c>
      <c r="U205" s="63">
        <f>V205</f>
        <v>12800</v>
      </c>
      <c r="V205" s="63">
        <v>12800</v>
      </c>
      <c r="W205" s="63"/>
      <c r="X205" s="63"/>
      <c r="Y205" s="63"/>
      <c r="Z205" s="63"/>
      <c r="AA205" s="63">
        <f t="shared" si="268"/>
        <v>12800</v>
      </c>
      <c r="AB205" s="63">
        <f t="shared" si="268"/>
        <v>12800</v>
      </c>
      <c r="AC205" s="63">
        <f t="shared" si="278"/>
        <v>910</v>
      </c>
      <c r="AD205" s="63">
        <f t="shared" si="278"/>
        <v>910</v>
      </c>
      <c r="AE205" s="63">
        <f t="shared" si="269"/>
        <v>0</v>
      </c>
      <c r="AF205" s="63">
        <f t="shared" si="270"/>
        <v>0</v>
      </c>
      <c r="AG205" s="63"/>
      <c r="AH205" s="63"/>
      <c r="AI205" s="69"/>
      <c r="AJ205" s="19">
        <f t="shared" si="175"/>
        <v>0</v>
      </c>
      <c r="AK205" s="22">
        <f t="shared" si="229"/>
        <v>0</v>
      </c>
      <c r="AL205" s="22"/>
      <c r="AM205" s="12">
        <f t="shared" si="271"/>
        <v>1</v>
      </c>
      <c r="AO205" s="12">
        <f t="shared" si="272"/>
        <v>0</v>
      </c>
      <c r="AP205" s="12">
        <f t="shared" si="273"/>
        <v>0</v>
      </c>
      <c r="AQ205" s="12">
        <f t="shared" si="274"/>
        <v>0</v>
      </c>
      <c r="AR205" s="12">
        <f t="shared" si="275"/>
        <v>0</v>
      </c>
      <c r="AS205" s="12">
        <f t="shared" si="276"/>
        <v>0</v>
      </c>
      <c r="AT205" s="12">
        <f t="shared" si="185"/>
        <v>0</v>
      </c>
      <c r="AU205" s="12">
        <f t="shared" si="277"/>
        <v>0</v>
      </c>
      <c r="AV205" s="12">
        <f t="shared" si="186"/>
        <v>0</v>
      </c>
    </row>
    <row r="206" spans="1:48" ht="49.5" x14ac:dyDescent="0.25">
      <c r="A206" s="60">
        <v>6</v>
      </c>
      <c r="B206" s="91" t="s">
        <v>518</v>
      </c>
      <c r="C206" s="61" t="s">
        <v>519</v>
      </c>
      <c r="D206" s="61" t="s">
        <v>520</v>
      </c>
      <c r="E206" s="61">
        <v>2016</v>
      </c>
      <c r="F206" s="61" t="s">
        <v>521</v>
      </c>
      <c r="G206" s="80">
        <v>1992</v>
      </c>
      <c r="H206" s="80">
        <f t="shared" si="263"/>
        <v>1992</v>
      </c>
      <c r="I206" s="63"/>
      <c r="J206" s="63"/>
      <c r="K206" s="63"/>
      <c r="L206" s="63"/>
      <c r="M206" s="68">
        <f t="shared" si="264"/>
        <v>1720</v>
      </c>
      <c r="N206" s="63">
        <v>1720</v>
      </c>
      <c r="O206" s="68">
        <f t="shared" si="265"/>
        <v>1720</v>
      </c>
      <c r="P206" s="63">
        <v>1720</v>
      </c>
      <c r="Q206" s="54"/>
      <c r="R206" s="54">
        <f t="shared" si="266"/>
        <v>0</v>
      </c>
      <c r="S206" s="68">
        <f t="shared" si="267"/>
        <v>1720</v>
      </c>
      <c r="T206" s="63">
        <v>1720</v>
      </c>
      <c r="U206" s="63">
        <f>V206</f>
        <v>10</v>
      </c>
      <c r="V206" s="63">
        <v>10</v>
      </c>
      <c r="W206" s="63">
        <f>X206</f>
        <v>1700</v>
      </c>
      <c r="X206" s="63">
        <v>1700</v>
      </c>
      <c r="Y206" s="63"/>
      <c r="Z206" s="63"/>
      <c r="AA206" s="63">
        <f t="shared" si="268"/>
        <v>1710</v>
      </c>
      <c r="AB206" s="63">
        <f t="shared" si="268"/>
        <v>1710</v>
      </c>
      <c r="AC206" s="63">
        <f t="shared" si="278"/>
        <v>10</v>
      </c>
      <c r="AD206" s="63">
        <f t="shared" si="278"/>
        <v>10</v>
      </c>
      <c r="AE206" s="63">
        <f t="shared" si="269"/>
        <v>0</v>
      </c>
      <c r="AF206" s="63">
        <f t="shared" si="270"/>
        <v>0</v>
      </c>
      <c r="AG206" s="63"/>
      <c r="AH206" s="63"/>
      <c r="AI206" s="69"/>
      <c r="AJ206" s="19">
        <f t="shared" si="175"/>
        <v>0</v>
      </c>
      <c r="AK206" s="22">
        <f t="shared" si="229"/>
        <v>0</v>
      </c>
      <c r="AL206" s="22"/>
      <c r="AM206" s="12">
        <f t="shared" si="271"/>
        <v>1</v>
      </c>
      <c r="AO206" s="12">
        <f t="shared" si="272"/>
        <v>0</v>
      </c>
      <c r="AP206" s="12">
        <f t="shared" si="273"/>
        <v>0</v>
      </c>
      <c r="AQ206" s="12">
        <f t="shared" si="274"/>
        <v>0</v>
      </c>
      <c r="AR206" s="12">
        <f t="shared" si="275"/>
        <v>0</v>
      </c>
      <c r="AS206" s="12">
        <f t="shared" si="276"/>
        <v>0</v>
      </c>
      <c r="AT206" s="12">
        <f t="shared" si="185"/>
        <v>0</v>
      </c>
      <c r="AU206" s="12">
        <f t="shared" si="277"/>
        <v>0</v>
      </c>
      <c r="AV206" s="12">
        <f t="shared" si="186"/>
        <v>0</v>
      </c>
    </row>
    <row r="207" spans="1:48" ht="66" x14ac:dyDescent="0.25">
      <c r="A207" s="60">
        <v>7</v>
      </c>
      <c r="B207" s="9" t="s">
        <v>522</v>
      </c>
      <c r="C207" s="61" t="s">
        <v>519</v>
      </c>
      <c r="D207" s="61" t="s">
        <v>523</v>
      </c>
      <c r="E207" s="61">
        <v>2016</v>
      </c>
      <c r="F207" s="61" t="s">
        <v>524</v>
      </c>
      <c r="G207" s="80">
        <v>3500</v>
      </c>
      <c r="H207" s="80">
        <f t="shared" si="263"/>
        <v>3500</v>
      </c>
      <c r="I207" s="63"/>
      <c r="J207" s="63"/>
      <c r="K207" s="63"/>
      <c r="L207" s="63"/>
      <c r="M207" s="68">
        <f t="shared" si="264"/>
        <v>3440</v>
      </c>
      <c r="N207" s="63">
        <v>3440</v>
      </c>
      <c r="O207" s="68">
        <f t="shared" si="265"/>
        <v>3440</v>
      </c>
      <c r="P207" s="63">
        <v>3440</v>
      </c>
      <c r="Q207" s="54"/>
      <c r="R207" s="54">
        <f t="shared" si="266"/>
        <v>0</v>
      </c>
      <c r="S207" s="68">
        <f t="shared" si="267"/>
        <v>3440</v>
      </c>
      <c r="T207" s="63">
        <v>3440</v>
      </c>
      <c r="U207" s="63">
        <f>V207</f>
        <v>3000</v>
      </c>
      <c r="V207" s="63">
        <v>3000</v>
      </c>
      <c r="W207" s="63"/>
      <c r="X207" s="63"/>
      <c r="Y207" s="63"/>
      <c r="Z207" s="63"/>
      <c r="AA207" s="63">
        <f t="shared" si="268"/>
        <v>3000</v>
      </c>
      <c r="AB207" s="63">
        <f t="shared" si="268"/>
        <v>3000</v>
      </c>
      <c r="AC207" s="63">
        <f t="shared" si="278"/>
        <v>440</v>
      </c>
      <c r="AD207" s="63">
        <f t="shared" si="278"/>
        <v>440</v>
      </c>
      <c r="AE207" s="63">
        <f t="shared" si="269"/>
        <v>0</v>
      </c>
      <c r="AF207" s="63">
        <f t="shared" si="270"/>
        <v>0</v>
      </c>
      <c r="AG207" s="63"/>
      <c r="AH207" s="63"/>
      <c r="AI207" s="69"/>
      <c r="AJ207" s="19">
        <f t="shared" si="175"/>
        <v>0</v>
      </c>
      <c r="AK207" s="22">
        <f t="shared" si="229"/>
        <v>0</v>
      </c>
      <c r="AL207" s="22"/>
      <c r="AM207" s="12">
        <f t="shared" si="271"/>
        <v>1</v>
      </c>
      <c r="AO207" s="12">
        <f t="shared" si="272"/>
        <v>0</v>
      </c>
      <c r="AP207" s="12">
        <f t="shared" si="273"/>
        <v>0</v>
      </c>
      <c r="AQ207" s="12">
        <f t="shared" si="274"/>
        <v>0</v>
      </c>
      <c r="AR207" s="12">
        <f t="shared" si="275"/>
        <v>0</v>
      </c>
      <c r="AS207" s="12">
        <f t="shared" si="276"/>
        <v>0</v>
      </c>
      <c r="AT207" s="12">
        <f t="shared" si="185"/>
        <v>0</v>
      </c>
      <c r="AU207" s="12">
        <f t="shared" si="277"/>
        <v>0</v>
      </c>
      <c r="AV207" s="12">
        <f t="shared" si="186"/>
        <v>0</v>
      </c>
    </row>
    <row r="208" spans="1:48" ht="99" x14ac:dyDescent="0.25">
      <c r="A208" s="60">
        <v>8</v>
      </c>
      <c r="B208" s="91" t="s">
        <v>525</v>
      </c>
      <c r="C208" s="61" t="s">
        <v>526</v>
      </c>
      <c r="D208" s="61" t="s">
        <v>527</v>
      </c>
      <c r="E208" s="61">
        <v>2017</v>
      </c>
      <c r="F208" s="61" t="s">
        <v>528</v>
      </c>
      <c r="G208" s="74">
        <v>4905</v>
      </c>
      <c r="H208" s="80">
        <f t="shared" si="263"/>
        <v>4905</v>
      </c>
      <c r="I208" s="63"/>
      <c r="J208" s="63"/>
      <c r="K208" s="63"/>
      <c r="L208" s="63"/>
      <c r="M208" s="68">
        <f t="shared" si="264"/>
        <v>4660</v>
      </c>
      <c r="N208" s="63">
        <v>4660</v>
      </c>
      <c r="O208" s="68">
        <f t="shared" si="265"/>
        <v>4660</v>
      </c>
      <c r="P208" s="63">
        <v>4660</v>
      </c>
      <c r="Q208" s="54"/>
      <c r="R208" s="54">
        <f t="shared" si="266"/>
        <v>0</v>
      </c>
      <c r="S208" s="68">
        <f t="shared" si="267"/>
        <v>4660</v>
      </c>
      <c r="T208" s="63">
        <v>4660</v>
      </c>
      <c r="U208" s="63"/>
      <c r="V208" s="63"/>
      <c r="W208" s="63">
        <f>X208</f>
        <v>4281</v>
      </c>
      <c r="X208" s="63">
        <v>4281</v>
      </c>
      <c r="Y208" s="63"/>
      <c r="Z208" s="63"/>
      <c r="AA208" s="63">
        <f t="shared" si="268"/>
        <v>4281</v>
      </c>
      <c r="AB208" s="63">
        <f t="shared" si="268"/>
        <v>4281</v>
      </c>
      <c r="AC208" s="63">
        <f t="shared" si="278"/>
        <v>379</v>
      </c>
      <c r="AD208" s="63">
        <f t="shared" si="278"/>
        <v>379</v>
      </c>
      <c r="AE208" s="63">
        <f t="shared" si="269"/>
        <v>0</v>
      </c>
      <c r="AF208" s="63">
        <f t="shared" si="270"/>
        <v>0</v>
      </c>
      <c r="AG208" s="63"/>
      <c r="AH208" s="63"/>
      <c r="AI208" s="69"/>
      <c r="AJ208" s="19">
        <f t="shared" si="175"/>
        <v>0</v>
      </c>
      <c r="AK208" s="22">
        <f t="shared" si="229"/>
        <v>0</v>
      </c>
      <c r="AL208" s="22"/>
      <c r="AM208" s="12">
        <f t="shared" si="271"/>
        <v>1</v>
      </c>
      <c r="AO208" s="12">
        <f t="shared" si="272"/>
        <v>0</v>
      </c>
      <c r="AP208" s="12">
        <f t="shared" si="273"/>
        <v>0</v>
      </c>
      <c r="AQ208" s="12">
        <f t="shared" si="274"/>
        <v>0</v>
      </c>
      <c r="AR208" s="12">
        <f t="shared" si="275"/>
        <v>0</v>
      </c>
      <c r="AS208" s="12">
        <f t="shared" si="276"/>
        <v>0</v>
      </c>
      <c r="AT208" s="12">
        <f t="shared" si="185"/>
        <v>0</v>
      </c>
      <c r="AU208" s="12">
        <f t="shared" si="277"/>
        <v>0</v>
      </c>
      <c r="AV208" s="12">
        <f t="shared" si="186"/>
        <v>0</v>
      </c>
    </row>
    <row r="209" spans="1:48" ht="99" x14ac:dyDescent="0.25">
      <c r="A209" s="60">
        <v>9</v>
      </c>
      <c r="B209" s="91" t="s">
        <v>529</v>
      </c>
      <c r="C209" s="61" t="s">
        <v>530</v>
      </c>
      <c r="D209" s="61" t="s">
        <v>531</v>
      </c>
      <c r="E209" s="61" t="s">
        <v>109</v>
      </c>
      <c r="F209" s="61" t="s">
        <v>532</v>
      </c>
      <c r="G209" s="74">
        <v>9852</v>
      </c>
      <c r="H209" s="80">
        <f t="shared" si="263"/>
        <v>9852</v>
      </c>
      <c r="I209" s="63" t="s">
        <v>533</v>
      </c>
      <c r="J209" s="63"/>
      <c r="K209" s="63"/>
      <c r="L209" s="63"/>
      <c r="M209" s="68">
        <f t="shared" si="264"/>
        <v>8960</v>
      </c>
      <c r="N209" s="63">
        <v>8960</v>
      </c>
      <c r="O209" s="68">
        <f t="shared" si="265"/>
        <v>8960</v>
      </c>
      <c r="P209" s="63">
        <v>8960</v>
      </c>
      <c r="Q209" s="54"/>
      <c r="R209" s="54">
        <f t="shared" si="266"/>
        <v>0</v>
      </c>
      <c r="S209" s="68">
        <f t="shared" si="267"/>
        <v>8960</v>
      </c>
      <c r="T209" s="63">
        <v>8960</v>
      </c>
      <c r="U209" s="63"/>
      <c r="V209" s="63"/>
      <c r="W209" s="63">
        <f>X209</f>
        <v>8000</v>
      </c>
      <c r="X209" s="63">
        <v>8000</v>
      </c>
      <c r="Y209" s="63"/>
      <c r="Z209" s="63"/>
      <c r="AA209" s="63">
        <f t="shared" si="268"/>
        <v>8000</v>
      </c>
      <c r="AB209" s="63">
        <f t="shared" si="268"/>
        <v>8000</v>
      </c>
      <c r="AC209" s="63">
        <f t="shared" si="278"/>
        <v>960</v>
      </c>
      <c r="AD209" s="63">
        <f t="shared" si="278"/>
        <v>960</v>
      </c>
      <c r="AE209" s="63">
        <f t="shared" si="269"/>
        <v>0</v>
      </c>
      <c r="AF209" s="63">
        <f t="shared" si="270"/>
        <v>0</v>
      </c>
      <c r="AG209" s="63"/>
      <c r="AH209" s="63"/>
      <c r="AI209" s="69"/>
      <c r="AJ209" s="19">
        <f t="shared" si="175"/>
        <v>0</v>
      </c>
      <c r="AK209" s="22">
        <f t="shared" si="229"/>
        <v>0</v>
      </c>
      <c r="AL209" s="22"/>
      <c r="AM209" s="12">
        <f t="shared" si="271"/>
        <v>1</v>
      </c>
      <c r="AO209" s="12">
        <f t="shared" si="272"/>
        <v>0</v>
      </c>
      <c r="AP209" s="12">
        <f t="shared" si="273"/>
        <v>0</v>
      </c>
      <c r="AQ209" s="12">
        <f t="shared" si="274"/>
        <v>0</v>
      </c>
      <c r="AR209" s="12">
        <f t="shared" si="275"/>
        <v>0</v>
      </c>
      <c r="AS209" s="12">
        <f t="shared" si="276"/>
        <v>0</v>
      </c>
      <c r="AT209" s="12">
        <f t="shared" si="185"/>
        <v>0</v>
      </c>
      <c r="AU209" s="12">
        <f t="shared" si="277"/>
        <v>0</v>
      </c>
      <c r="AV209" s="12">
        <f t="shared" si="186"/>
        <v>0</v>
      </c>
    </row>
    <row r="210" spans="1:48" ht="165" x14ac:dyDescent="0.25">
      <c r="A210" s="60">
        <v>10</v>
      </c>
      <c r="B210" s="91" t="s">
        <v>534</v>
      </c>
      <c r="C210" s="61" t="s">
        <v>535</v>
      </c>
      <c r="D210" s="61" t="s">
        <v>536</v>
      </c>
      <c r="E210" s="61" t="s">
        <v>109</v>
      </c>
      <c r="F210" s="61" t="s">
        <v>537</v>
      </c>
      <c r="G210" s="74">
        <v>10021</v>
      </c>
      <c r="H210" s="80">
        <f t="shared" si="263"/>
        <v>10021</v>
      </c>
      <c r="I210" s="63"/>
      <c r="J210" s="63"/>
      <c r="K210" s="63"/>
      <c r="L210" s="63"/>
      <c r="M210" s="68">
        <f t="shared" si="264"/>
        <v>9110</v>
      </c>
      <c r="N210" s="63">
        <v>9110</v>
      </c>
      <c r="O210" s="68">
        <f t="shared" si="265"/>
        <v>9110</v>
      </c>
      <c r="P210" s="63">
        <v>9110</v>
      </c>
      <c r="Q210" s="54"/>
      <c r="R210" s="54">
        <f t="shared" si="266"/>
        <v>0</v>
      </c>
      <c r="S210" s="68">
        <f t="shared" si="267"/>
        <v>9110</v>
      </c>
      <c r="T210" s="63">
        <v>9110</v>
      </c>
      <c r="U210" s="63"/>
      <c r="V210" s="63"/>
      <c r="W210" s="63">
        <f>X210</f>
        <v>7163</v>
      </c>
      <c r="X210" s="63">
        <v>7163</v>
      </c>
      <c r="Y210" s="63"/>
      <c r="Z210" s="63"/>
      <c r="AA210" s="63">
        <f t="shared" si="268"/>
        <v>7163</v>
      </c>
      <c r="AB210" s="63">
        <f t="shared" si="268"/>
        <v>7163</v>
      </c>
      <c r="AC210" s="63">
        <f t="shared" si="278"/>
        <v>1947</v>
      </c>
      <c r="AD210" s="63">
        <f t="shared" si="278"/>
        <v>1947</v>
      </c>
      <c r="AE210" s="63">
        <f t="shared" si="269"/>
        <v>0</v>
      </c>
      <c r="AF210" s="63">
        <f t="shared" si="270"/>
        <v>0</v>
      </c>
      <c r="AG210" s="63"/>
      <c r="AH210" s="63"/>
      <c r="AI210" s="69"/>
      <c r="AJ210" s="19">
        <f t="shared" si="175"/>
        <v>0</v>
      </c>
      <c r="AK210" s="22">
        <f t="shared" si="229"/>
        <v>0</v>
      </c>
      <c r="AL210" s="22"/>
      <c r="AM210" s="12">
        <f t="shared" si="271"/>
        <v>1</v>
      </c>
      <c r="AO210" s="12">
        <f t="shared" si="272"/>
        <v>0</v>
      </c>
      <c r="AP210" s="12">
        <f t="shared" si="273"/>
        <v>0</v>
      </c>
      <c r="AQ210" s="12">
        <f t="shared" si="274"/>
        <v>0</v>
      </c>
      <c r="AR210" s="12">
        <f t="shared" si="275"/>
        <v>0</v>
      </c>
      <c r="AS210" s="12">
        <f t="shared" si="276"/>
        <v>0</v>
      </c>
      <c r="AT210" s="12">
        <f t="shared" si="185"/>
        <v>0</v>
      </c>
      <c r="AU210" s="12">
        <f t="shared" si="277"/>
        <v>0</v>
      </c>
      <c r="AV210" s="12">
        <f t="shared" si="186"/>
        <v>0</v>
      </c>
    </row>
    <row r="211" spans="1:48" ht="115.5" x14ac:dyDescent="0.25">
      <c r="A211" s="60">
        <v>11</v>
      </c>
      <c r="B211" s="91" t="s">
        <v>538</v>
      </c>
      <c r="C211" s="61" t="s">
        <v>176</v>
      </c>
      <c r="D211" s="61" t="s">
        <v>539</v>
      </c>
      <c r="E211" s="61" t="s">
        <v>116</v>
      </c>
      <c r="F211" s="61"/>
      <c r="G211" s="74">
        <f>H211</f>
        <v>14850</v>
      </c>
      <c r="H211" s="80">
        <v>14850</v>
      </c>
      <c r="I211" s="63"/>
      <c r="J211" s="63"/>
      <c r="K211" s="63"/>
      <c r="L211" s="63"/>
      <c r="M211" s="63">
        <f t="shared" si="264"/>
        <v>13500</v>
      </c>
      <c r="N211" s="63">
        <v>13500</v>
      </c>
      <c r="O211" s="63">
        <f t="shared" si="265"/>
        <v>13500</v>
      </c>
      <c r="P211" s="63">
        <v>13500</v>
      </c>
      <c r="Q211" s="54"/>
      <c r="R211" s="54">
        <f t="shared" si="266"/>
        <v>0</v>
      </c>
      <c r="S211" s="63">
        <f t="shared" si="267"/>
        <v>13500</v>
      </c>
      <c r="T211" s="63">
        <v>13500</v>
      </c>
      <c r="U211" s="63"/>
      <c r="V211" s="63"/>
      <c r="W211" s="63"/>
      <c r="X211" s="63"/>
      <c r="Y211" s="63">
        <v>5000</v>
      </c>
      <c r="Z211" s="63">
        <v>5000</v>
      </c>
      <c r="AA211" s="63">
        <f t="shared" si="268"/>
        <v>5000</v>
      </c>
      <c r="AB211" s="63">
        <f t="shared" si="268"/>
        <v>5000</v>
      </c>
      <c r="AC211" s="63">
        <f t="shared" si="278"/>
        <v>8500</v>
      </c>
      <c r="AD211" s="63">
        <f t="shared" si="278"/>
        <v>8500</v>
      </c>
      <c r="AE211" s="63">
        <f t="shared" si="269"/>
        <v>0</v>
      </c>
      <c r="AF211" s="63">
        <f t="shared" si="270"/>
        <v>0</v>
      </c>
      <c r="AG211" s="63"/>
      <c r="AH211" s="63"/>
      <c r="AI211" s="25"/>
      <c r="AJ211" s="19">
        <f t="shared" si="175"/>
        <v>0</v>
      </c>
      <c r="AK211" s="22">
        <f t="shared" si="229"/>
        <v>0</v>
      </c>
      <c r="AL211" s="22"/>
      <c r="AM211" s="12">
        <f t="shared" si="271"/>
        <v>1</v>
      </c>
      <c r="AO211" s="12">
        <f t="shared" si="272"/>
        <v>0</v>
      </c>
      <c r="AP211" s="12">
        <f t="shared" si="273"/>
        <v>0</v>
      </c>
      <c r="AQ211" s="12">
        <f t="shared" si="274"/>
        <v>0</v>
      </c>
      <c r="AR211" s="12">
        <f t="shared" si="275"/>
        <v>0</v>
      </c>
      <c r="AS211" s="12">
        <f t="shared" si="276"/>
        <v>0</v>
      </c>
      <c r="AT211" s="12">
        <f t="shared" si="185"/>
        <v>0</v>
      </c>
      <c r="AU211" s="12">
        <f t="shared" si="277"/>
        <v>0</v>
      </c>
      <c r="AV211" s="12">
        <f t="shared" si="186"/>
        <v>0</v>
      </c>
    </row>
    <row r="212" spans="1:48" ht="66" x14ac:dyDescent="0.25">
      <c r="A212" s="60">
        <v>12</v>
      </c>
      <c r="B212" s="9" t="s">
        <v>540</v>
      </c>
      <c r="C212" s="61" t="s">
        <v>541</v>
      </c>
      <c r="D212" s="61" t="s">
        <v>542</v>
      </c>
      <c r="E212" s="61" t="s">
        <v>461</v>
      </c>
      <c r="F212" s="61"/>
      <c r="G212" s="80">
        <v>12000</v>
      </c>
      <c r="H212" s="80">
        <f>G212</f>
        <v>12000</v>
      </c>
      <c r="I212" s="63"/>
      <c r="J212" s="63"/>
      <c r="K212" s="63"/>
      <c r="L212" s="63"/>
      <c r="M212" s="68">
        <f t="shared" si="264"/>
        <v>12000</v>
      </c>
      <c r="N212" s="63">
        <v>12000</v>
      </c>
      <c r="O212" s="68">
        <f t="shared" si="265"/>
        <v>12000</v>
      </c>
      <c r="P212" s="63">
        <v>12000</v>
      </c>
      <c r="Q212" s="54"/>
      <c r="R212" s="54">
        <f t="shared" si="266"/>
        <v>0</v>
      </c>
      <c r="S212" s="68">
        <f t="shared" si="267"/>
        <v>12000</v>
      </c>
      <c r="T212" s="63">
        <v>12000</v>
      </c>
      <c r="U212" s="63"/>
      <c r="V212" s="63"/>
      <c r="W212" s="63"/>
      <c r="X212" s="63"/>
      <c r="Y212" s="63"/>
      <c r="Z212" s="63"/>
      <c r="AA212" s="63">
        <f t="shared" si="268"/>
        <v>0</v>
      </c>
      <c r="AB212" s="63">
        <f t="shared" si="268"/>
        <v>0</v>
      </c>
      <c r="AC212" s="63">
        <f t="shared" si="278"/>
        <v>12000</v>
      </c>
      <c r="AD212" s="63">
        <f t="shared" si="278"/>
        <v>12000</v>
      </c>
      <c r="AE212" s="63">
        <f t="shared" si="269"/>
        <v>12000</v>
      </c>
      <c r="AF212" s="63">
        <f t="shared" si="270"/>
        <v>12000</v>
      </c>
      <c r="AG212" s="63"/>
      <c r="AH212" s="63"/>
      <c r="AI212" s="69"/>
      <c r="AJ212" s="19">
        <f t="shared" ref="AJ212:AJ275" si="279">IF(N212-T212=0,0,1)</f>
        <v>0</v>
      </c>
      <c r="AK212" s="22">
        <f t="shared" si="229"/>
        <v>0</v>
      </c>
      <c r="AL212" s="22"/>
      <c r="AM212" s="12">
        <f t="shared" si="271"/>
        <v>1</v>
      </c>
      <c r="AO212" s="12">
        <f t="shared" si="272"/>
        <v>0</v>
      </c>
      <c r="AP212" s="12">
        <f t="shared" si="273"/>
        <v>0</v>
      </c>
      <c r="AQ212" s="12">
        <f t="shared" si="274"/>
        <v>0</v>
      </c>
      <c r="AR212" s="12">
        <f t="shared" si="275"/>
        <v>0</v>
      </c>
      <c r="AS212" s="12">
        <f t="shared" si="276"/>
        <v>0</v>
      </c>
      <c r="AT212" s="12">
        <f t="shared" si="185"/>
        <v>0</v>
      </c>
      <c r="AU212" s="12">
        <f t="shared" si="277"/>
        <v>0</v>
      </c>
      <c r="AV212" s="12">
        <f t="shared" si="186"/>
        <v>0</v>
      </c>
    </row>
    <row r="213" spans="1:48" ht="40.5" customHeight="1" x14ac:dyDescent="0.25">
      <c r="A213" s="60">
        <v>13</v>
      </c>
      <c r="B213" s="9" t="s">
        <v>543</v>
      </c>
      <c r="C213" s="61"/>
      <c r="D213" s="61"/>
      <c r="E213" s="61" t="s">
        <v>116</v>
      </c>
      <c r="F213" s="61"/>
      <c r="G213" s="74">
        <f t="shared" ref="G213:G218" si="280">H213</f>
        <v>60000</v>
      </c>
      <c r="H213" s="80">
        <v>60000</v>
      </c>
      <c r="I213" s="63"/>
      <c r="J213" s="63"/>
      <c r="K213" s="63"/>
      <c r="L213" s="63"/>
      <c r="M213" s="68">
        <f t="shared" si="264"/>
        <v>53700</v>
      </c>
      <c r="N213" s="63">
        <f>54500-800</f>
        <v>53700</v>
      </c>
      <c r="O213" s="68"/>
      <c r="P213" s="63"/>
      <c r="Q213" s="54"/>
      <c r="R213" s="54">
        <f t="shared" si="266"/>
        <v>53700</v>
      </c>
      <c r="S213" s="68"/>
      <c r="T213" s="63"/>
      <c r="U213" s="63"/>
      <c r="V213" s="63"/>
      <c r="W213" s="63"/>
      <c r="X213" s="63"/>
      <c r="Y213" s="63"/>
      <c r="Z213" s="63"/>
      <c r="AA213" s="63">
        <f t="shared" si="268"/>
        <v>0</v>
      </c>
      <c r="AB213" s="63">
        <f t="shared" si="268"/>
        <v>0</v>
      </c>
      <c r="AC213" s="63">
        <f t="shared" si="278"/>
        <v>0</v>
      </c>
      <c r="AD213" s="63">
        <f t="shared" si="278"/>
        <v>0</v>
      </c>
      <c r="AE213" s="63">
        <f t="shared" si="269"/>
        <v>0</v>
      </c>
      <c r="AF213" s="63">
        <f t="shared" si="270"/>
        <v>0</v>
      </c>
      <c r="AG213" s="63"/>
      <c r="AH213" s="63"/>
      <c r="AI213" s="25" t="s">
        <v>284</v>
      </c>
      <c r="AJ213" s="19">
        <f t="shared" si="279"/>
        <v>1</v>
      </c>
      <c r="AK213" s="22">
        <f t="shared" si="229"/>
        <v>1</v>
      </c>
      <c r="AL213" s="22"/>
      <c r="AM213" s="12">
        <f t="shared" si="271"/>
        <v>0</v>
      </c>
      <c r="AO213" s="12">
        <f t="shared" si="272"/>
        <v>1</v>
      </c>
      <c r="AP213" s="12">
        <f t="shared" si="273"/>
        <v>53700</v>
      </c>
      <c r="AQ213" s="12">
        <f t="shared" si="274"/>
        <v>0</v>
      </c>
      <c r="AR213" s="12">
        <f t="shared" si="275"/>
        <v>0</v>
      </c>
      <c r="AS213" s="12">
        <f t="shared" si="276"/>
        <v>0</v>
      </c>
      <c r="AT213" s="12">
        <f t="shared" si="185"/>
        <v>0</v>
      </c>
    </row>
    <row r="214" spans="1:48" ht="109.5" customHeight="1" x14ac:dyDescent="0.25">
      <c r="A214" s="60">
        <v>14</v>
      </c>
      <c r="B214" s="9" t="s">
        <v>544</v>
      </c>
      <c r="C214" s="61"/>
      <c r="D214" s="61"/>
      <c r="E214" s="61" t="s">
        <v>116</v>
      </c>
      <c r="F214" s="61"/>
      <c r="G214" s="74">
        <f t="shared" si="280"/>
        <v>30000</v>
      </c>
      <c r="H214" s="80">
        <v>30000</v>
      </c>
      <c r="I214" s="63"/>
      <c r="J214" s="63"/>
      <c r="K214" s="63"/>
      <c r="L214" s="63"/>
      <c r="M214" s="68">
        <f t="shared" si="264"/>
        <v>27200</v>
      </c>
      <c r="N214" s="63">
        <v>27200</v>
      </c>
      <c r="O214" s="68">
        <f t="shared" si="265"/>
        <v>10000</v>
      </c>
      <c r="P214" s="63">
        <v>10000</v>
      </c>
      <c r="Q214" s="54"/>
      <c r="R214" s="54">
        <f t="shared" si="266"/>
        <v>17200</v>
      </c>
      <c r="S214" s="68">
        <f t="shared" ref="S214:S218" si="281">T214</f>
        <v>10000</v>
      </c>
      <c r="T214" s="63">
        <v>10000</v>
      </c>
      <c r="U214" s="63"/>
      <c r="V214" s="63"/>
      <c r="W214" s="63"/>
      <c r="X214" s="63"/>
      <c r="Y214" s="63"/>
      <c r="Z214" s="63"/>
      <c r="AA214" s="63">
        <f t="shared" si="268"/>
        <v>0</v>
      </c>
      <c r="AB214" s="63">
        <f t="shared" si="268"/>
        <v>0</v>
      </c>
      <c r="AC214" s="63">
        <f t="shared" si="278"/>
        <v>10000</v>
      </c>
      <c r="AD214" s="63">
        <f t="shared" si="278"/>
        <v>10000</v>
      </c>
      <c r="AE214" s="63">
        <f t="shared" si="269"/>
        <v>10000</v>
      </c>
      <c r="AF214" s="63">
        <f t="shared" si="270"/>
        <v>10000</v>
      </c>
      <c r="AG214" s="63"/>
      <c r="AH214" s="63"/>
      <c r="AI214" s="25" t="s">
        <v>2083</v>
      </c>
      <c r="AJ214" s="19">
        <f t="shared" si="279"/>
        <v>1</v>
      </c>
      <c r="AK214" s="22">
        <f t="shared" si="229"/>
        <v>1</v>
      </c>
      <c r="AL214" s="22"/>
      <c r="AM214" s="12">
        <f t="shared" si="271"/>
        <v>0</v>
      </c>
      <c r="AO214" s="12">
        <f t="shared" si="272"/>
        <v>0</v>
      </c>
      <c r="AP214" s="12">
        <f t="shared" si="273"/>
        <v>0</v>
      </c>
      <c r="AQ214" s="12">
        <f t="shared" si="274"/>
        <v>0</v>
      </c>
      <c r="AR214" s="12">
        <f t="shared" si="275"/>
        <v>0</v>
      </c>
      <c r="AS214" s="12">
        <f t="shared" si="276"/>
        <v>0</v>
      </c>
      <c r="AT214" s="12">
        <f t="shared" si="185"/>
        <v>0</v>
      </c>
      <c r="AU214" s="12">
        <f>IF(R214=0,0,1)</f>
        <v>1</v>
      </c>
      <c r="AV214" s="12">
        <f t="shared" si="186"/>
        <v>17200</v>
      </c>
    </row>
    <row r="215" spans="1:48" ht="115.5" x14ac:dyDescent="0.25">
      <c r="A215" s="60">
        <v>15</v>
      </c>
      <c r="B215" s="9" t="s">
        <v>546</v>
      </c>
      <c r="C215" s="61"/>
      <c r="D215" s="61" t="s">
        <v>547</v>
      </c>
      <c r="E215" s="61" t="s">
        <v>116</v>
      </c>
      <c r="F215" s="61"/>
      <c r="G215" s="74">
        <f t="shared" si="280"/>
        <v>2039</v>
      </c>
      <c r="H215" s="80">
        <v>2039</v>
      </c>
      <c r="I215" s="63"/>
      <c r="J215" s="63"/>
      <c r="K215" s="63"/>
      <c r="L215" s="63"/>
      <c r="M215" s="68">
        <f t="shared" si="264"/>
        <v>1950</v>
      </c>
      <c r="N215" s="63">
        <v>1950</v>
      </c>
      <c r="O215" s="68">
        <f t="shared" si="265"/>
        <v>1950</v>
      </c>
      <c r="P215" s="63">
        <v>1950</v>
      </c>
      <c r="Q215" s="54"/>
      <c r="R215" s="54">
        <f t="shared" si="266"/>
        <v>0</v>
      </c>
      <c r="S215" s="68">
        <f t="shared" si="281"/>
        <v>1950</v>
      </c>
      <c r="T215" s="63">
        <v>1950</v>
      </c>
      <c r="U215" s="111"/>
      <c r="V215" s="111"/>
      <c r="W215" s="112"/>
      <c r="X215" s="112"/>
      <c r="Y215" s="112">
        <v>1500</v>
      </c>
      <c r="Z215" s="112">
        <v>1500</v>
      </c>
      <c r="AA215" s="63">
        <f t="shared" si="268"/>
        <v>1500</v>
      </c>
      <c r="AB215" s="63">
        <f t="shared" si="268"/>
        <v>1500</v>
      </c>
      <c r="AC215" s="63">
        <f t="shared" si="278"/>
        <v>450</v>
      </c>
      <c r="AD215" s="63">
        <f t="shared" si="278"/>
        <v>450</v>
      </c>
      <c r="AE215" s="63">
        <f t="shared" si="269"/>
        <v>0</v>
      </c>
      <c r="AF215" s="63">
        <f t="shared" si="270"/>
        <v>0</v>
      </c>
      <c r="AG215" s="112"/>
      <c r="AH215" s="112"/>
      <c r="AI215" s="69"/>
      <c r="AJ215" s="19">
        <f t="shared" si="279"/>
        <v>0</v>
      </c>
      <c r="AK215" s="22">
        <f t="shared" si="229"/>
        <v>0</v>
      </c>
      <c r="AL215" s="22"/>
      <c r="AM215" s="12">
        <f t="shared" si="271"/>
        <v>1</v>
      </c>
      <c r="AO215" s="12">
        <f t="shared" si="272"/>
        <v>0</v>
      </c>
      <c r="AP215" s="12">
        <f t="shared" si="273"/>
        <v>0</v>
      </c>
      <c r="AQ215" s="12">
        <f t="shared" si="274"/>
        <v>0</v>
      </c>
      <c r="AR215" s="12">
        <f t="shared" si="275"/>
        <v>0</v>
      </c>
      <c r="AS215" s="12">
        <f t="shared" si="276"/>
        <v>0</v>
      </c>
      <c r="AT215" s="12">
        <f t="shared" si="185"/>
        <v>0</v>
      </c>
      <c r="AU215" s="12">
        <f>IF(R215=0,0,1)</f>
        <v>0</v>
      </c>
      <c r="AV215" s="12">
        <f t="shared" si="186"/>
        <v>0</v>
      </c>
    </row>
    <row r="216" spans="1:48" ht="115.5" x14ac:dyDescent="0.25">
      <c r="A216" s="60">
        <v>16</v>
      </c>
      <c r="B216" s="9" t="s">
        <v>548</v>
      </c>
      <c r="C216" s="61"/>
      <c r="D216" s="61" t="s">
        <v>549</v>
      </c>
      <c r="E216" s="61" t="s">
        <v>116</v>
      </c>
      <c r="F216" s="61"/>
      <c r="G216" s="74">
        <f t="shared" si="280"/>
        <v>1500</v>
      </c>
      <c r="H216" s="80">
        <v>1500</v>
      </c>
      <c r="I216" s="63"/>
      <c r="J216" s="63"/>
      <c r="K216" s="63"/>
      <c r="L216" s="63"/>
      <c r="M216" s="68">
        <f t="shared" si="264"/>
        <v>1420</v>
      </c>
      <c r="N216" s="63">
        <v>1420</v>
      </c>
      <c r="O216" s="68">
        <f t="shared" si="265"/>
        <v>1420</v>
      </c>
      <c r="P216" s="63">
        <v>1420</v>
      </c>
      <c r="Q216" s="54"/>
      <c r="R216" s="54">
        <f t="shared" si="266"/>
        <v>0</v>
      </c>
      <c r="S216" s="68">
        <f t="shared" si="281"/>
        <v>1420</v>
      </c>
      <c r="T216" s="63">
        <v>1420</v>
      </c>
      <c r="U216" s="63"/>
      <c r="V216" s="63"/>
      <c r="W216" s="63"/>
      <c r="X216" s="63"/>
      <c r="Y216" s="63">
        <v>1200</v>
      </c>
      <c r="Z216" s="63">
        <v>1200</v>
      </c>
      <c r="AA216" s="63">
        <f t="shared" si="268"/>
        <v>1200</v>
      </c>
      <c r="AB216" s="63">
        <f t="shared" si="268"/>
        <v>1200</v>
      </c>
      <c r="AC216" s="63">
        <f t="shared" si="278"/>
        <v>220</v>
      </c>
      <c r="AD216" s="63">
        <f t="shared" si="278"/>
        <v>220</v>
      </c>
      <c r="AE216" s="63">
        <f t="shared" si="269"/>
        <v>0</v>
      </c>
      <c r="AF216" s="63">
        <f t="shared" si="270"/>
        <v>0</v>
      </c>
      <c r="AG216" s="63"/>
      <c r="AH216" s="63"/>
      <c r="AI216" s="69"/>
      <c r="AJ216" s="19">
        <f t="shared" si="279"/>
        <v>0</v>
      </c>
      <c r="AK216" s="22">
        <f t="shared" si="229"/>
        <v>0</v>
      </c>
      <c r="AL216" s="22"/>
      <c r="AM216" s="12">
        <f t="shared" si="271"/>
        <v>1</v>
      </c>
      <c r="AO216" s="12">
        <f t="shared" si="272"/>
        <v>0</v>
      </c>
      <c r="AP216" s="12">
        <f t="shared" si="273"/>
        <v>0</v>
      </c>
      <c r="AQ216" s="12">
        <f t="shared" si="274"/>
        <v>0</v>
      </c>
      <c r="AR216" s="12">
        <f t="shared" si="275"/>
        <v>0</v>
      </c>
      <c r="AS216" s="12">
        <f t="shared" si="276"/>
        <v>0</v>
      </c>
      <c r="AT216" s="12">
        <f t="shared" si="185"/>
        <v>0</v>
      </c>
      <c r="AU216" s="12">
        <f>IF(R216=0,0,1)</f>
        <v>0</v>
      </c>
      <c r="AV216" s="12">
        <f t="shared" si="186"/>
        <v>0</v>
      </c>
    </row>
    <row r="217" spans="1:48" ht="99" x14ac:dyDescent="0.25">
      <c r="A217" s="60">
        <v>17</v>
      </c>
      <c r="B217" s="9" t="s">
        <v>550</v>
      </c>
      <c r="C217" s="61"/>
      <c r="D217" s="61" t="s">
        <v>551</v>
      </c>
      <c r="E217" s="61" t="s">
        <v>116</v>
      </c>
      <c r="F217" s="61"/>
      <c r="G217" s="74">
        <f t="shared" si="280"/>
        <v>5000</v>
      </c>
      <c r="H217" s="80">
        <v>5000</v>
      </c>
      <c r="I217" s="63"/>
      <c r="J217" s="63"/>
      <c r="K217" s="63"/>
      <c r="L217" s="63"/>
      <c r="M217" s="68">
        <f t="shared" si="264"/>
        <v>4760</v>
      </c>
      <c r="N217" s="63">
        <v>4760</v>
      </c>
      <c r="O217" s="68">
        <f t="shared" si="265"/>
        <v>4760</v>
      </c>
      <c r="P217" s="63">
        <v>4760</v>
      </c>
      <c r="Q217" s="54"/>
      <c r="R217" s="54">
        <f t="shared" si="266"/>
        <v>0</v>
      </c>
      <c r="S217" s="68">
        <f t="shared" si="281"/>
        <v>4760</v>
      </c>
      <c r="T217" s="63">
        <v>4760</v>
      </c>
      <c r="U217" s="63"/>
      <c r="V217" s="63"/>
      <c r="W217" s="63"/>
      <c r="X217" s="63"/>
      <c r="Y217" s="63">
        <v>4000</v>
      </c>
      <c r="Z217" s="63">
        <v>4000</v>
      </c>
      <c r="AA217" s="63">
        <f t="shared" si="268"/>
        <v>4000</v>
      </c>
      <c r="AB217" s="63">
        <f t="shared" si="268"/>
        <v>4000</v>
      </c>
      <c r="AC217" s="63">
        <f t="shared" si="278"/>
        <v>760</v>
      </c>
      <c r="AD217" s="63">
        <f t="shared" si="278"/>
        <v>760</v>
      </c>
      <c r="AE217" s="63">
        <f t="shared" si="269"/>
        <v>0</v>
      </c>
      <c r="AF217" s="63">
        <f t="shared" si="270"/>
        <v>0</v>
      </c>
      <c r="AG217" s="63"/>
      <c r="AH217" s="63"/>
      <c r="AI217" s="69"/>
      <c r="AJ217" s="19">
        <f t="shared" si="279"/>
        <v>0</v>
      </c>
      <c r="AK217" s="22">
        <f t="shared" si="229"/>
        <v>0</v>
      </c>
      <c r="AL217" s="22"/>
      <c r="AM217" s="12">
        <f t="shared" si="271"/>
        <v>1</v>
      </c>
      <c r="AO217" s="12">
        <f t="shared" si="272"/>
        <v>0</v>
      </c>
      <c r="AP217" s="12">
        <f t="shared" si="273"/>
        <v>0</v>
      </c>
      <c r="AQ217" s="12">
        <f t="shared" si="274"/>
        <v>0</v>
      </c>
      <c r="AR217" s="12">
        <f t="shared" si="275"/>
        <v>0</v>
      </c>
      <c r="AS217" s="12">
        <f t="shared" si="276"/>
        <v>0</v>
      </c>
      <c r="AT217" s="12">
        <f t="shared" si="185"/>
        <v>0</v>
      </c>
      <c r="AU217" s="12">
        <f>IF(R217=0,0,1)</f>
        <v>0</v>
      </c>
      <c r="AV217" s="12">
        <f t="shared" si="186"/>
        <v>0</v>
      </c>
    </row>
    <row r="218" spans="1:48" ht="66" x14ac:dyDescent="0.25">
      <c r="A218" s="60">
        <v>18</v>
      </c>
      <c r="B218" s="9" t="s">
        <v>552</v>
      </c>
      <c r="C218" s="61"/>
      <c r="D218" s="61"/>
      <c r="E218" s="61" t="s">
        <v>101</v>
      </c>
      <c r="F218" s="61" t="s">
        <v>553</v>
      </c>
      <c r="G218" s="74">
        <f t="shared" si="280"/>
        <v>28796</v>
      </c>
      <c r="H218" s="80">
        <v>28796</v>
      </c>
      <c r="I218" s="63"/>
      <c r="J218" s="63"/>
      <c r="K218" s="63"/>
      <c r="L218" s="63"/>
      <c r="M218" s="68">
        <f t="shared" si="264"/>
        <v>27200</v>
      </c>
      <c r="N218" s="63">
        <v>27200</v>
      </c>
      <c r="O218" s="68">
        <f t="shared" si="265"/>
        <v>27200</v>
      </c>
      <c r="P218" s="63">
        <v>27200</v>
      </c>
      <c r="Q218" s="54"/>
      <c r="R218" s="54">
        <f t="shared" si="266"/>
        <v>0</v>
      </c>
      <c r="S218" s="68">
        <f t="shared" si="281"/>
        <v>27200</v>
      </c>
      <c r="T218" s="63">
        <v>27200</v>
      </c>
      <c r="U218" s="63"/>
      <c r="V218" s="63"/>
      <c r="W218" s="63"/>
      <c r="X218" s="63"/>
      <c r="Y218" s="63">
        <v>20000</v>
      </c>
      <c r="Z218" s="63">
        <v>20000</v>
      </c>
      <c r="AA218" s="63">
        <f t="shared" si="268"/>
        <v>20000</v>
      </c>
      <c r="AB218" s="63">
        <f t="shared" si="268"/>
        <v>20000</v>
      </c>
      <c r="AC218" s="63">
        <f t="shared" si="278"/>
        <v>7200</v>
      </c>
      <c r="AD218" s="63">
        <f t="shared" si="278"/>
        <v>7200</v>
      </c>
      <c r="AE218" s="63">
        <f t="shared" si="269"/>
        <v>0</v>
      </c>
      <c r="AF218" s="63">
        <f t="shared" si="270"/>
        <v>0</v>
      </c>
      <c r="AG218" s="63"/>
      <c r="AH218" s="63"/>
      <c r="AI218" s="69"/>
      <c r="AJ218" s="19">
        <f t="shared" si="279"/>
        <v>0</v>
      </c>
      <c r="AK218" s="22">
        <f t="shared" si="229"/>
        <v>0</v>
      </c>
      <c r="AL218" s="22"/>
      <c r="AM218" s="12">
        <f t="shared" si="271"/>
        <v>1</v>
      </c>
      <c r="AO218" s="12">
        <f t="shared" si="272"/>
        <v>0</v>
      </c>
      <c r="AP218" s="12">
        <f t="shared" si="273"/>
        <v>0</v>
      </c>
      <c r="AQ218" s="12">
        <f t="shared" si="274"/>
        <v>0</v>
      </c>
      <c r="AR218" s="12">
        <f t="shared" si="275"/>
        <v>0</v>
      </c>
      <c r="AS218" s="12">
        <f t="shared" si="276"/>
        <v>0</v>
      </c>
      <c r="AT218" s="12">
        <f t="shared" si="185"/>
        <v>0</v>
      </c>
      <c r="AU218" s="12">
        <f>IF(R218=0,0,1)</f>
        <v>0</v>
      </c>
      <c r="AV218" s="12">
        <f t="shared" si="186"/>
        <v>0</v>
      </c>
    </row>
    <row r="219" spans="1:48" s="34" customFormat="1" ht="33" x14ac:dyDescent="0.25">
      <c r="A219" s="28" t="s">
        <v>554</v>
      </c>
      <c r="B219" s="29" t="s">
        <v>555</v>
      </c>
      <c r="C219" s="30"/>
      <c r="D219" s="30"/>
      <c r="E219" s="30"/>
      <c r="F219" s="30"/>
      <c r="G219" s="31">
        <f t="shared" ref="G219:H219" si="282">G220+G228</f>
        <v>462133</v>
      </c>
      <c r="H219" s="31">
        <f t="shared" si="282"/>
        <v>427133</v>
      </c>
      <c r="I219" s="31">
        <f t="shared" ref="I219:U219" si="283">I220+I228</f>
        <v>121703</v>
      </c>
      <c r="J219" s="31">
        <f t="shared" si="283"/>
        <v>91682</v>
      </c>
      <c r="K219" s="31">
        <f t="shared" si="283"/>
        <v>121703</v>
      </c>
      <c r="L219" s="31">
        <f t="shared" si="283"/>
        <v>91682</v>
      </c>
      <c r="M219" s="31">
        <f>M220+M228</f>
        <v>150000</v>
      </c>
      <c r="N219" s="31">
        <f t="shared" ref="N219:T219" si="284">N220+N228</f>
        <v>150000</v>
      </c>
      <c r="O219" s="31">
        <f t="shared" si="284"/>
        <v>75000</v>
      </c>
      <c r="P219" s="31">
        <f t="shared" si="284"/>
        <v>75000</v>
      </c>
      <c r="Q219" s="31">
        <f t="shared" si="284"/>
        <v>0</v>
      </c>
      <c r="R219" s="31">
        <f t="shared" si="284"/>
        <v>75000</v>
      </c>
      <c r="S219" s="31">
        <f t="shared" si="284"/>
        <v>75000</v>
      </c>
      <c r="T219" s="31">
        <f t="shared" si="284"/>
        <v>75000</v>
      </c>
      <c r="U219" s="31">
        <f t="shared" si="283"/>
        <v>8139</v>
      </c>
      <c r="V219" s="31">
        <f>V220+V228</f>
        <v>8139</v>
      </c>
      <c r="W219" s="31">
        <f t="shared" ref="W219:AA219" si="285">W220+W228</f>
        <v>4150</v>
      </c>
      <c r="X219" s="31">
        <f>X220+X228</f>
        <v>4150</v>
      </c>
      <c r="Y219" s="31">
        <f t="shared" ref="Y219" si="286">Y220+Y228</f>
        <v>12000</v>
      </c>
      <c r="Z219" s="31">
        <f>Z220+Z228</f>
        <v>12000</v>
      </c>
      <c r="AA219" s="31">
        <f t="shared" si="285"/>
        <v>23410</v>
      </c>
      <c r="AB219" s="31">
        <f>AB220+AB228</f>
        <v>23410</v>
      </c>
      <c r="AC219" s="31">
        <f t="shared" ref="AC219:AG219" si="287">AC220+AC228</f>
        <v>21590</v>
      </c>
      <c r="AD219" s="31">
        <f>AD220+AD228</f>
        <v>21590</v>
      </c>
      <c r="AE219" s="31">
        <f t="shared" ref="AE219" si="288">AE220+AE228</f>
        <v>0</v>
      </c>
      <c r="AF219" s="31">
        <f>AF220+AF228</f>
        <v>0</v>
      </c>
      <c r="AG219" s="31">
        <f t="shared" si="287"/>
        <v>0</v>
      </c>
      <c r="AH219" s="31">
        <f>AH220+AH228</f>
        <v>0</v>
      </c>
      <c r="AI219" s="32"/>
      <c r="AJ219" s="19">
        <f t="shared" si="279"/>
        <v>1</v>
      </c>
      <c r="AK219" s="22"/>
      <c r="AL219" s="22"/>
      <c r="AM219" s="12"/>
      <c r="AN219" s="12"/>
      <c r="AO219" s="12"/>
      <c r="AP219" s="12">
        <f t="shared" si="273"/>
        <v>0</v>
      </c>
      <c r="AQ219" s="12"/>
      <c r="AR219" s="12">
        <f t="shared" si="275"/>
        <v>0</v>
      </c>
      <c r="AS219" s="12"/>
      <c r="AT219" s="12">
        <f t="shared" si="185"/>
        <v>0</v>
      </c>
      <c r="AU219" s="12"/>
      <c r="AV219" s="12">
        <f t="shared" si="186"/>
        <v>0</v>
      </c>
    </row>
    <row r="220" spans="1:48" s="42" customFormat="1" ht="51.75" x14ac:dyDescent="0.25">
      <c r="A220" s="35" t="s">
        <v>45</v>
      </c>
      <c r="B220" s="36" t="s">
        <v>46</v>
      </c>
      <c r="C220" s="37"/>
      <c r="D220" s="37"/>
      <c r="E220" s="37"/>
      <c r="F220" s="37"/>
      <c r="G220" s="38">
        <f>G221</f>
        <v>285000</v>
      </c>
      <c r="H220" s="38">
        <f t="shared" ref="H220:R220" si="289">H221</f>
        <v>250000</v>
      </c>
      <c r="I220" s="38">
        <f t="shared" si="289"/>
        <v>121703</v>
      </c>
      <c r="J220" s="38">
        <f t="shared" si="289"/>
        <v>91682</v>
      </c>
      <c r="K220" s="38">
        <f t="shared" si="289"/>
        <v>121703</v>
      </c>
      <c r="L220" s="38">
        <f t="shared" si="289"/>
        <v>91682</v>
      </c>
      <c r="M220" s="38">
        <f t="shared" si="289"/>
        <v>25000</v>
      </c>
      <c r="N220" s="38">
        <f t="shared" si="289"/>
        <v>25000</v>
      </c>
      <c r="O220" s="38">
        <f t="shared" si="289"/>
        <v>25000</v>
      </c>
      <c r="P220" s="38">
        <f t="shared" si="289"/>
        <v>25000</v>
      </c>
      <c r="Q220" s="38">
        <f t="shared" si="289"/>
        <v>0</v>
      </c>
      <c r="R220" s="38">
        <f t="shared" si="289"/>
        <v>0</v>
      </c>
      <c r="S220" s="38">
        <f t="shared" ref="S220:AH220" si="290">S221</f>
        <v>25000</v>
      </c>
      <c r="T220" s="38">
        <f t="shared" si="290"/>
        <v>25000</v>
      </c>
      <c r="U220" s="38">
        <f t="shared" si="290"/>
        <v>7260</v>
      </c>
      <c r="V220" s="38">
        <f t="shared" si="290"/>
        <v>7260</v>
      </c>
      <c r="W220" s="38">
        <f t="shared" si="290"/>
        <v>4150</v>
      </c>
      <c r="X220" s="38">
        <f t="shared" si="290"/>
        <v>4150</v>
      </c>
      <c r="Y220" s="38">
        <f t="shared" si="290"/>
        <v>6000</v>
      </c>
      <c r="Z220" s="38">
        <f t="shared" si="290"/>
        <v>6000</v>
      </c>
      <c r="AA220" s="38">
        <f t="shared" si="290"/>
        <v>17410</v>
      </c>
      <c r="AB220" s="38">
        <f t="shared" si="290"/>
        <v>17410</v>
      </c>
      <c r="AC220" s="38">
        <f t="shared" si="290"/>
        <v>7590</v>
      </c>
      <c r="AD220" s="38">
        <f t="shared" si="290"/>
        <v>7590</v>
      </c>
      <c r="AE220" s="38">
        <f t="shared" si="290"/>
        <v>0</v>
      </c>
      <c r="AF220" s="38">
        <f t="shared" si="290"/>
        <v>0</v>
      </c>
      <c r="AG220" s="38">
        <f t="shared" si="290"/>
        <v>0</v>
      </c>
      <c r="AH220" s="38">
        <f t="shared" si="290"/>
        <v>0</v>
      </c>
      <c r="AI220" s="40"/>
      <c r="AJ220" s="19">
        <f t="shared" si="279"/>
        <v>0</v>
      </c>
      <c r="AK220" s="22"/>
      <c r="AL220" s="22"/>
      <c r="AM220" s="12"/>
      <c r="AN220" s="12"/>
      <c r="AO220" s="12"/>
      <c r="AP220" s="12">
        <f t="shared" si="273"/>
        <v>0</v>
      </c>
      <c r="AQ220" s="12"/>
      <c r="AR220" s="12">
        <f t="shared" si="275"/>
        <v>0</v>
      </c>
      <c r="AS220" s="12"/>
      <c r="AT220" s="12">
        <f t="shared" si="185"/>
        <v>0</v>
      </c>
      <c r="AU220" s="12"/>
      <c r="AV220" s="12">
        <f t="shared" si="186"/>
        <v>0</v>
      </c>
    </row>
    <row r="221" spans="1:48" s="49" customFormat="1" ht="34.5" x14ac:dyDescent="0.25">
      <c r="A221" s="43" t="s">
        <v>47</v>
      </c>
      <c r="B221" s="44" t="s">
        <v>48</v>
      </c>
      <c r="C221" s="45"/>
      <c r="D221" s="45"/>
      <c r="E221" s="45"/>
      <c r="F221" s="45"/>
      <c r="G221" s="46">
        <f>G224</f>
        <v>285000</v>
      </c>
      <c r="H221" s="46">
        <f t="shared" ref="H221:M221" si="291">H224</f>
        <v>250000</v>
      </c>
      <c r="I221" s="46">
        <f t="shared" si="291"/>
        <v>121703</v>
      </c>
      <c r="J221" s="46">
        <f t="shared" si="291"/>
        <v>91682</v>
      </c>
      <c r="K221" s="46">
        <f t="shared" si="291"/>
        <v>121703</v>
      </c>
      <c r="L221" s="46">
        <f t="shared" si="291"/>
        <v>91682</v>
      </c>
      <c r="M221" s="46">
        <f t="shared" si="291"/>
        <v>25000</v>
      </c>
      <c r="N221" s="46">
        <f>N224</f>
        <v>25000</v>
      </c>
      <c r="O221" s="46">
        <f t="shared" ref="O221" si="292">O224</f>
        <v>25000</v>
      </c>
      <c r="P221" s="46">
        <f>P224</f>
        <v>25000</v>
      </c>
      <c r="Q221" s="46">
        <f t="shared" ref="Q221:R221" si="293">Q224</f>
        <v>0</v>
      </c>
      <c r="R221" s="46">
        <f t="shared" si="293"/>
        <v>0</v>
      </c>
      <c r="S221" s="46">
        <f t="shared" ref="S221" si="294">S224</f>
        <v>25000</v>
      </c>
      <c r="T221" s="46">
        <f>T224</f>
        <v>25000</v>
      </c>
      <c r="U221" s="46">
        <f t="shared" ref="U221" si="295">U224</f>
        <v>7260</v>
      </c>
      <c r="V221" s="46">
        <f>V224</f>
        <v>7260</v>
      </c>
      <c r="W221" s="46">
        <f t="shared" ref="W221:AA221" si="296">W224</f>
        <v>4150</v>
      </c>
      <c r="X221" s="46">
        <f>X224</f>
        <v>4150</v>
      </c>
      <c r="Y221" s="46">
        <f t="shared" ref="Y221" si="297">Y224</f>
        <v>6000</v>
      </c>
      <c r="Z221" s="46">
        <f>Z224</f>
        <v>6000</v>
      </c>
      <c r="AA221" s="46">
        <f t="shared" si="296"/>
        <v>17410</v>
      </c>
      <c r="AB221" s="46">
        <f>AB224</f>
        <v>17410</v>
      </c>
      <c r="AC221" s="46">
        <f t="shared" ref="AC221:AG221" si="298">AC224</f>
        <v>7590</v>
      </c>
      <c r="AD221" s="46">
        <f>AD224</f>
        <v>7590</v>
      </c>
      <c r="AE221" s="46">
        <f t="shared" ref="AE221" si="299">AE224</f>
        <v>0</v>
      </c>
      <c r="AF221" s="46">
        <f>AF224</f>
        <v>0</v>
      </c>
      <c r="AG221" s="46">
        <f t="shared" si="298"/>
        <v>0</v>
      </c>
      <c r="AH221" s="46">
        <f>AH224</f>
        <v>0</v>
      </c>
      <c r="AI221" s="47"/>
      <c r="AJ221" s="19">
        <f t="shared" si="279"/>
        <v>0</v>
      </c>
      <c r="AK221" s="22"/>
      <c r="AL221" s="22"/>
      <c r="AM221" s="12"/>
      <c r="AN221" s="12"/>
      <c r="AO221" s="12"/>
      <c r="AP221" s="12">
        <f t="shared" si="273"/>
        <v>0</v>
      </c>
      <c r="AQ221" s="12"/>
      <c r="AR221" s="12">
        <f t="shared" si="275"/>
        <v>0</v>
      </c>
      <c r="AS221" s="12"/>
      <c r="AT221" s="12">
        <f t="shared" si="185"/>
        <v>0</v>
      </c>
      <c r="AU221" s="12"/>
      <c r="AV221" s="12">
        <f t="shared" si="186"/>
        <v>0</v>
      </c>
    </row>
    <row r="222" spans="1:48" ht="17.25" x14ac:dyDescent="0.25">
      <c r="A222" s="50"/>
      <c r="B222" s="51" t="s">
        <v>49</v>
      </c>
      <c r="C222" s="52"/>
      <c r="D222" s="52"/>
      <c r="E222" s="52"/>
      <c r="F222" s="52"/>
      <c r="G222" s="53"/>
      <c r="H222" s="53"/>
      <c r="I222" s="53"/>
      <c r="J222" s="53"/>
      <c r="K222" s="53"/>
      <c r="L222" s="53"/>
      <c r="M222" s="53"/>
      <c r="N222" s="53"/>
      <c r="O222" s="53"/>
      <c r="P222" s="53"/>
      <c r="Q222" s="54"/>
      <c r="R222" s="54"/>
      <c r="S222" s="53"/>
      <c r="T222" s="53"/>
      <c r="U222" s="63"/>
      <c r="V222" s="63"/>
      <c r="W222" s="63"/>
      <c r="X222" s="63"/>
      <c r="Y222" s="63"/>
      <c r="Z222" s="63"/>
      <c r="AA222" s="63"/>
      <c r="AB222" s="63"/>
      <c r="AC222" s="63"/>
      <c r="AD222" s="63"/>
      <c r="AE222" s="63"/>
      <c r="AF222" s="63"/>
      <c r="AG222" s="63"/>
      <c r="AH222" s="63"/>
      <c r="AI222" s="55"/>
      <c r="AJ222" s="19">
        <f t="shared" si="279"/>
        <v>0</v>
      </c>
      <c r="AK222" s="22"/>
      <c r="AL222" s="22"/>
      <c r="AP222" s="12">
        <f t="shared" si="273"/>
        <v>0</v>
      </c>
      <c r="AR222" s="12">
        <f t="shared" si="275"/>
        <v>0</v>
      </c>
      <c r="AT222" s="12">
        <f t="shared" si="185"/>
        <v>0</v>
      </c>
      <c r="AV222" s="12">
        <f t="shared" si="186"/>
        <v>0</v>
      </c>
    </row>
    <row r="223" spans="1:48" ht="51.75" x14ac:dyDescent="0.25">
      <c r="A223" s="50"/>
      <c r="B223" s="56" t="s">
        <v>50</v>
      </c>
      <c r="C223" s="57"/>
      <c r="D223" s="57"/>
      <c r="E223" s="57"/>
      <c r="F223" s="57"/>
      <c r="G223" s="58"/>
      <c r="H223" s="58"/>
      <c r="I223" s="58"/>
      <c r="J223" s="58"/>
      <c r="K223" s="58"/>
      <c r="L223" s="58"/>
      <c r="M223" s="58"/>
      <c r="N223" s="58"/>
      <c r="O223" s="58"/>
      <c r="P223" s="58"/>
      <c r="Q223" s="54"/>
      <c r="R223" s="54"/>
      <c r="S223" s="58"/>
      <c r="T223" s="58"/>
      <c r="U223" s="63"/>
      <c r="V223" s="63"/>
      <c r="W223" s="63"/>
      <c r="X223" s="63"/>
      <c r="Y223" s="63"/>
      <c r="Z223" s="63"/>
      <c r="AA223" s="63"/>
      <c r="AB223" s="63"/>
      <c r="AC223" s="63"/>
      <c r="AD223" s="63"/>
      <c r="AE223" s="63"/>
      <c r="AF223" s="63"/>
      <c r="AG223" s="63"/>
      <c r="AH223" s="63"/>
      <c r="AI223" s="59"/>
      <c r="AJ223" s="19">
        <f t="shared" si="279"/>
        <v>0</v>
      </c>
      <c r="AK223" s="22"/>
      <c r="AL223" s="22"/>
      <c r="AP223" s="12">
        <f t="shared" si="273"/>
        <v>0</v>
      </c>
      <c r="AR223" s="12">
        <f t="shared" si="275"/>
        <v>0</v>
      </c>
      <c r="AT223" s="12">
        <f t="shared" ref="AT223:AT286" si="300">IF(AS223=1,Q223,0)</f>
        <v>0</v>
      </c>
      <c r="AV223" s="12">
        <f t="shared" ref="AV223:AV251" si="301">IF(AU223=1,R223,0)</f>
        <v>0</v>
      </c>
    </row>
    <row r="224" spans="1:48" ht="115.5" x14ac:dyDescent="0.25">
      <c r="A224" s="60">
        <v>1</v>
      </c>
      <c r="B224" s="9" t="s">
        <v>556</v>
      </c>
      <c r="C224" s="61" t="s">
        <v>557</v>
      </c>
      <c r="D224" s="61"/>
      <c r="E224" s="61" t="s">
        <v>558</v>
      </c>
      <c r="F224" s="61" t="s">
        <v>559</v>
      </c>
      <c r="G224" s="80">
        <v>285000</v>
      </c>
      <c r="H224" s="80">
        <v>250000</v>
      </c>
      <c r="I224" s="63">
        <f>84521+18538+13290+5003+351</f>
        <v>121703</v>
      </c>
      <c r="J224" s="63">
        <f>84521-30021+18538+13290+5003+351</f>
        <v>91682</v>
      </c>
      <c r="K224" s="63">
        <f>I224</f>
        <v>121703</v>
      </c>
      <c r="L224" s="63">
        <f>J224</f>
        <v>91682</v>
      </c>
      <c r="M224" s="68">
        <f>N224</f>
        <v>25000</v>
      </c>
      <c r="N224" s="63">
        <v>25000</v>
      </c>
      <c r="O224" s="68">
        <f>P224</f>
        <v>25000</v>
      </c>
      <c r="P224" s="63">
        <v>25000</v>
      </c>
      <c r="Q224" s="54"/>
      <c r="R224" s="54">
        <f t="shared" ref="R224" si="302">N224-T224</f>
        <v>0</v>
      </c>
      <c r="S224" s="68">
        <f>T224</f>
        <v>25000</v>
      </c>
      <c r="T224" s="63">
        <v>25000</v>
      </c>
      <c r="U224" s="63">
        <v>7260</v>
      </c>
      <c r="V224" s="63">
        <v>7260</v>
      </c>
      <c r="W224" s="63">
        <f>X224</f>
        <v>4150</v>
      </c>
      <c r="X224" s="63">
        <v>4150</v>
      </c>
      <c r="Y224" s="63">
        <f>Z224</f>
        <v>6000</v>
      </c>
      <c r="Z224" s="63">
        <v>6000</v>
      </c>
      <c r="AA224" s="63">
        <f t="shared" ref="AA224:AB224" si="303">U224+W224+Y224</f>
        <v>17410</v>
      </c>
      <c r="AB224" s="63">
        <f t="shared" si="303"/>
        <v>17410</v>
      </c>
      <c r="AC224" s="63">
        <f>O224-AA224</f>
        <v>7590</v>
      </c>
      <c r="AD224" s="63">
        <f>P224-AB224</f>
        <v>7590</v>
      </c>
      <c r="AE224" s="63">
        <f t="shared" ref="AE224" si="304">AF224</f>
        <v>0</v>
      </c>
      <c r="AF224" s="63">
        <f t="shared" ref="AF224" si="305">IF(AB224=0,AD224,0)</f>
        <v>0</v>
      </c>
      <c r="AG224" s="63"/>
      <c r="AH224" s="63"/>
      <c r="AI224" s="69"/>
      <c r="AJ224" s="19">
        <f t="shared" si="279"/>
        <v>0</v>
      </c>
      <c r="AK224" s="22">
        <f t="shared" si="229"/>
        <v>0</v>
      </c>
      <c r="AL224" s="22"/>
      <c r="AM224" s="12">
        <f>IF(AJ224=0,1,0)</f>
        <v>1</v>
      </c>
      <c r="AO224" s="12">
        <f>IF(P224=0,1,0)</f>
        <v>0</v>
      </c>
      <c r="AP224" s="12">
        <f t="shared" si="273"/>
        <v>0</v>
      </c>
      <c r="AQ224" s="12">
        <f>IF(N224=0,1,0)</f>
        <v>0</v>
      </c>
      <c r="AR224" s="12">
        <f t="shared" si="275"/>
        <v>0</v>
      </c>
      <c r="AS224" s="12">
        <f>IF(Q224=0,0,1)</f>
        <v>0</v>
      </c>
      <c r="AT224" s="12">
        <f t="shared" si="300"/>
        <v>0</v>
      </c>
      <c r="AU224" s="12">
        <f>IF(R224=0,0,1)</f>
        <v>0</v>
      </c>
      <c r="AV224" s="12">
        <f t="shared" si="301"/>
        <v>0</v>
      </c>
    </row>
    <row r="225" spans="1:48" ht="47.25" x14ac:dyDescent="0.25">
      <c r="A225" s="60"/>
      <c r="B225" s="113" t="s">
        <v>560</v>
      </c>
      <c r="C225" s="114" t="s">
        <v>52</v>
      </c>
      <c r="D225" s="115" t="s">
        <v>561</v>
      </c>
      <c r="E225" s="83">
        <v>2016</v>
      </c>
      <c r="F225" s="114" t="s">
        <v>562</v>
      </c>
      <c r="G225" s="116">
        <v>1360</v>
      </c>
      <c r="H225" s="80"/>
      <c r="I225" s="63">
        <f t="shared" ref="I225:K226" si="306">J225</f>
        <v>300</v>
      </c>
      <c r="J225" s="86">
        <v>300</v>
      </c>
      <c r="K225" s="63">
        <f t="shared" si="306"/>
        <v>300</v>
      </c>
      <c r="L225" s="86">
        <v>300</v>
      </c>
      <c r="M225" s="68">
        <f>N225</f>
        <v>300</v>
      </c>
      <c r="N225" s="86">
        <f>I225</f>
        <v>300</v>
      </c>
      <c r="O225" s="68">
        <f>P225</f>
        <v>1049</v>
      </c>
      <c r="P225" s="86">
        <v>1049</v>
      </c>
      <c r="Q225" s="54"/>
      <c r="R225" s="54"/>
      <c r="S225" s="68">
        <f>T225</f>
        <v>1049</v>
      </c>
      <c r="T225" s="86">
        <v>1049</v>
      </c>
      <c r="U225" s="63"/>
      <c r="V225" s="63"/>
      <c r="W225" s="63"/>
      <c r="X225" s="63"/>
      <c r="Y225" s="63"/>
      <c r="Z225" s="63"/>
      <c r="AA225" s="63"/>
      <c r="AB225" s="63"/>
      <c r="AC225" s="63"/>
      <c r="AD225" s="63"/>
      <c r="AE225" s="63"/>
      <c r="AF225" s="63"/>
      <c r="AG225" s="63"/>
      <c r="AH225" s="63"/>
      <c r="AI225" s="69"/>
      <c r="AJ225" s="19"/>
      <c r="AK225" s="22">
        <f t="shared" si="229"/>
        <v>0</v>
      </c>
      <c r="AL225" s="22"/>
      <c r="AM225" s="12">
        <f>IF(AJ225=0,1,0)</f>
        <v>1</v>
      </c>
      <c r="AO225" s="12">
        <f>IF(P225=0,1,0)</f>
        <v>0</v>
      </c>
      <c r="AP225" s="12">
        <f t="shared" si="273"/>
        <v>0</v>
      </c>
      <c r="AQ225" s="12">
        <f>IF(N225=0,1,0)</f>
        <v>0</v>
      </c>
      <c r="AR225" s="12">
        <f t="shared" si="275"/>
        <v>0</v>
      </c>
      <c r="AS225" s="12">
        <f>IF(Q225=0,0,1)</f>
        <v>0</v>
      </c>
      <c r="AT225" s="12">
        <f t="shared" si="300"/>
        <v>0</v>
      </c>
      <c r="AU225" s="12">
        <f>IF(R225=0,0,1)</f>
        <v>0</v>
      </c>
      <c r="AV225" s="12">
        <f t="shared" si="301"/>
        <v>0</v>
      </c>
    </row>
    <row r="226" spans="1:48" ht="110.25" x14ac:dyDescent="0.25">
      <c r="A226" s="60"/>
      <c r="B226" s="117" t="s">
        <v>563</v>
      </c>
      <c r="C226" s="114" t="s">
        <v>52</v>
      </c>
      <c r="D226" s="61"/>
      <c r="E226" s="114" t="s">
        <v>564</v>
      </c>
      <c r="F226" s="114" t="s">
        <v>565</v>
      </c>
      <c r="G226" s="116">
        <v>17941</v>
      </c>
      <c r="H226" s="80"/>
      <c r="I226" s="63">
        <f t="shared" si="306"/>
        <v>10150</v>
      </c>
      <c r="J226" s="116">
        <f>9000+1150</f>
        <v>10150</v>
      </c>
      <c r="K226" s="63">
        <f t="shared" si="306"/>
        <v>10150</v>
      </c>
      <c r="L226" s="116">
        <f>9000+1150</f>
        <v>10150</v>
      </c>
      <c r="M226" s="68">
        <f>N226</f>
        <v>7790</v>
      </c>
      <c r="N226" s="86">
        <v>7790</v>
      </c>
      <c r="O226" s="68">
        <f>P226</f>
        <v>5246</v>
      </c>
      <c r="P226" s="86">
        <v>5246</v>
      </c>
      <c r="Q226" s="54"/>
      <c r="R226" s="54"/>
      <c r="S226" s="68">
        <f>T226</f>
        <v>5246</v>
      </c>
      <c r="T226" s="86">
        <v>5246</v>
      </c>
      <c r="U226" s="63"/>
      <c r="V226" s="63"/>
      <c r="W226" s="63"/>
      <c r="X226" s="63"/>
      <c r="Y226" s="63"/>
      <c r="Z226" s="63"/>
      <c r="AA226" s="63"/>
      <c r="AB226" s="63"/>
      <c r="AC226" s="63"/>
      <c r="AD226" s="63"/>
      <c r="AE226" s="63"/>
      <c r="AF226" s="63"/>
      <c r="AG226" s="63"/>
      <c r="AH226" s="63"/>
      <c r="AI226" s="69"/>
      <c r="AJ226" s="19"/>
      <c r="AK226" s="22">
        <f t="shared" si="229"/>
        <v>0</v>
      </c>
      <c r="AL226" s="22"/>
      <c r="AM226" s="12">
        <f>IF(AJ226=0,1,0)</f>
        <v>1</v>
      </c>
      <c r="AO226" s="12">
        <f>IF(P226=0,1,0)</f>
        <v>0</v>
      </c>
      <c r="AP226" s="12">
        <f t="shared" si="273"/>
        <v>0</v>
      </c>
      <c r="AQ226" s="12">
        <f>IF(N226=0,1,0)</f>
        <v>0</v>
      </c>
      <c r="AR226" s="12">
        <f t="shared" si="275"/>
        <v>0</v>
      </c>
      <c r="AS226" s="12">
        <f>IF(Q226=0,0,1)</f>
        <v>0</v>
      </c>
      <c r="AT226" s="12">
        <f t="shared" si="300"/>
        <v>0</v>
      </c>
      <c r="AU226" s="12">
        <f>IF(R226=0,0,1)</f>
        <v>0</v>
      </c>
      <c r="AV226" s="12">
        <f t="shared" si="301"/>
        <v>0</v>
      </c>
    </row>
    <row r="227" spans="1:48" ht="47.25" x14ac:dyDescent="0.25">
      <c r="A227" s="60"/>
      <c r="B227" s="113" t="s">
        <v>566</v>
      </c>
      <c r="C227" s="114" t="s">
        <v>52</v>
      </c>
      <c r="D227" s="61"/>
      <c r="E227" s="83">
        <v>2016</v>
      </c>
      <c r="F227" s="114" t="s">
        <v>567</v>
      </c>
      <c r="G227" s="116">
        <v>3067</v>
      </c>
      <c r="H227" s="80"/>
      <c r="I227" s="63"/>
      <c r="J227" s="63"/>
      <c r="K227" s="63"/>
      <c r="L227" s="63"/>
      <c r="M227" s="68">
        <f>N227</f>
        <v>3100</v>
      </c>
      <c r="N227" s="86">
        <v>3100</v>
      </c>
      <c r="O227" s="68">
        <f>P227</f>
        <v>3100</v>
      </c>
      <c r="P227" s="86">
        <v>3100</v>
      </c>
      <c r="Q227" s="54"/>
      <c r="R227" s="54"/>
      <c r="S227" s="68">
        <f>T227</f>
        <v>3100</v>
      </c>
      <c r="T227" s="86">
        <v>3100</v>
      </c>
      <c r="U227" s="26"/>
      <c r="V227" s="26"/>
      <c r="W227" s="26"/>
      <c r="X227" s="26"/>
      <c r="Y227" s="26"/>
      <c r="Z227" s="26"/>
      <c r="AA227" s="26"/>
      <c r="AB227" s="26"/>
      <c r="AC227" s="26"/>
      <c r="AD227" s="26"/>
      <c r="AE227" s="26"/>
      <c r="AF227" s="26"/>
      <c r="AG227" s="26"/>
      <c r="AH227" s="26"/>
      <c r="AI227" s="69"/>
      <c r="AJ227" s="19"/>
      <c r="AK227" s="22">
        <f t="shared" si="229"/>
        <v>0</v>
      </c>
      <c r="AL227" s="22"/>
      <c r="AM227" s="12">
        <f>IF(AJ227=0,1,0)</f>
        <v>1</v>
      </c>
      <c r="AO227" s="12">
        <f>IF(P227=0,1,0)</f>
        <v>0</v>
      </c>
      <c r="AP227" s="12">
        <f t="shared" si="273"/>
        <v>0</v>
      </c>
      <c r="AQ227" s="12">
        <f>IF(N227=0,1,0)</f>
        <v>0</v>
      </c>
      <c r="AR227" s="12">
        <f t="shared" si="275"/>
        <v>0</v>
      </c>
      <c r="AS227" s="12">
        <f>IF(Q227=0,0,1)</f>
        <v>0</v>
      </c>
      <c r="AT227" s="12">
        <f t="shared" si="300"/>
        <v>0</v>
      </c>
      <c r="AU227" s="12">
        <f>IF(R227=0,0,1)</f>
        <v>0</v>
      </c>
      <c r="AV227" s="12">
        <f t="shared" si="301"/>
        <v>0</v>
      </c>
    </row>
    <row r="228" spans="1:48" s="42" customFormat="1" ht="34.5" x14ac:dyDescent="0.25">
      <c r="A228" s="35" t="s">
        <v>85</v>
      </c>
      <c r="B228" s="36" t="s">
        <v>86</v>
      </c>
      <c r="C228" s="37"/>
      <c r="D228" s="37"/>
      <c r="E228" s="37"/>
      <c r="F228" s="37"/>
      <c r="G228" s="38">
        <f>G229</f>
        <v>177133</v>
      </c>
      <c r="H228" s="38">
        <f t="shared" ref="H228:AH228" si="307">H229</f>
        <v>177133</v>
      </c>
      <c r="I228" s="38">
        <f t="shared" si="307"/>
        <v>0</v>
      </c>
      <c r="J228" s="38">
        <f t="shared" si="307"/>
        <v>0</v>
      </c>
      <c r="K228" s="38">
        <f t="shared" si="307"/>
        <v>0</v>
      </c>
      <c r="L228" s="38">
        <f t="shared" si="307"/>
        <v>0</v>
      </c>
      <c r="M228" s="38">
        <f t="shared" si="307"/>
        <v>125000</v>
      </c>
      <c r="N228" s="38">
        <f t="shared" si="307"/>
        <v>125000</v>
      </c>
      <c r="O228" s="38">
        <f t="shared" si="307"/>
        <v>50000</v>
      </c>
      <c r="P228" s="38">
        <f t="shared" si="307"/>
        <v>50000</v>
      </c>
      <c r="Q228" s="38">
        <f t="shared" si="307"/>
        <v>0</v>
      </c>
      <c r="R228" s="38">
        <f t="shared" si="307"/>
        <v>75000</v>
      </c>
      <c r="S228" s="38">
        <f t="shared" si="307"/>
        <v>50000</v>
      </c>
      <c r="T228" s="38">
        <f t="shared" si="307"/>
        <v>50000</v>
      </c>
      <c r="U228" s="38">
        <f t="shared" si="307"/>
        <v>879</v>
      </c>
      <c r="V228" s="38">
        <f t="shared" si="307"/>
        <v>879</v>
      </c>
      <c r="W228" s="38">
        <f t="shared" si="307"/>
        <v>0</v>
      </c>
      <c r="X228" s="38">
        <f t="shared" si="307"/>
        <v>0</v>
      </c>
      <c r="Y228" s="38">
        <f t="shared" si="307"/>
        <v>6000</v>
      </c>
      <c r="Z228" s="38">
        <f t="shared" si="307"/>
        <v>6000</v>
      </c>
      <c r="AA228" s="38">
        <f t="shared" si="307"/>
        <v>6000</v>
      </c>
      <c r="AB228" s="38">
        <f t="shared" si="307"/>
        <v>6000</v>
      </c>
      <c r="AC228" s="38">
        <f t="shared" si="307"/>
        <v>14000</v>
      </c>
      <c r="AD228" s="38">
        <f t="shared" si="307"/>
        <v>14000</v>
      </c>
      <c r="AE228" s="38">
        <f t="shared" si="307"/>
        <v>0</v>
      </c>
      <c r="AF228" s="38">
        <f t="shared" si="307"/>
        <v>0</v>
      </c>
      <c r="AG228" s="38">
        <f t="shared" si="307"/>
        <v>0</v>
      </c>
      <c r="AH228" s="38">
        <f t="shared" si="307"/>
        <v>0</v>
      </c>
      <c r="AI228" s="40"/>
      <c r="AJ228" s="19">
        <f t="shared" si="279"/>
        <v>1</v>
      </c>
      <c r="AK228" s="22"/>
      <c r="AL228" s="22"/>
      <c r="AM228" s="12"/>
      <c r="AN228" s="12"/>
      <c r="AO228" s="12"/>
      <c r="AP228" s="12">
        <f t="shared" si="273"/>
        <v>0</v>
      </c>
      <c r="AQ228" s="12"/>
      <c r="AR228" s="12">
        <f t="shared" si="275"/>
        <v>0</v>
      </c>
      <c r="AS228" s="12"/>
      <c r="AT228" s="12">
        <f t="shared" si="300"/>
        <v>0</v>
      </c>
      <c r="AU228" s="12"/>
      <c r="AV228" s="12">
        <f t="shared" si="301"/>
        <v>0</v>
      </c>
    </row>
    <row r="229" spans="1:48" s="49" customFormat="1" ht="51.75" x14ac:dyDescent="0.25">
      <c r="A229" s="43" t="s">
        <v>87</v>
      </c>
      <c r="B229" s="44" t="s">
        <v>88</v>
      </c>
      <c r="C229" s="72"/>
      <c r="D229" s="72"/>
      <c r="E229" s="72"/>
      <c r="F229" s="72"/>
      <c r="G229" s="46">
        <f>SUM(G230:G235)</f>
        <v>177133</v>
      </c>
      <c r="H229" s="46">
        <f t="shared" ref="H229:T229" si="308">SUM(H230:H235)</f>
        <v>177133</v>
      </c>
      <c r="I229" s="46">
        <f t="shared" si="308"/>
        <v>0</v>
      </c>
      <c r="J229" s="46">
        <f t="shared" si="308"/>
        <v>0</v>
      </c>
      <c r="K229" s="46">
        <f t="shared" si="308"/>
        <v>0</v>
      </c>
      <c r="L229" s="46">
        <f t="shared" si="308"/>
        <v>0</v>
      </c>
      <c r="M229" s="46">
        <f t="shared" si="308"/>
        <v>125000</v>
      </c>
      <c r="N229" s="46">
        <f t="shared" si="308"/>
        <v>125000</v>
      </c>
      <c r="O229" s="46">
        <f t="shared" si="308"/>
        <v>50000</v>
      </c>
      <c r="P229" s="46">
        <f t="shared" si="308"/>
        <v>50000</v>
      </c>
      <c r="Q229" s="46">
        <f t="shared" si="308"/>
        <v>0</v>
      </c>
      <c r="R229" s="46">
        <f t="shared" si="308"/>
        <v>75000</v>
      </c>
      <c r="S229" s="46">
        <f t="shared" si="308"/>
        <v>50000</v>
      </c>
      <c r="T229" s="46">
        <f t="shared" si="308"/>
        <v>50000</v>
      </c>
      <c r="U229" s="46">
        <f t="shared" ref="U229:AH229" si="309">SUM(U230:U235)</f>
        <v>879</v>
      </c>
      <c r="V229" s="46">
        <f t="shared" si="309"/>
        <v>879</v>
      </c>
      <c r="W229" s="46">
        <f t="shared" si="309"/>
        <v>0</v>
      </c>
      <c r="X229" s="46">
        <f t="shared" si="309"/>
        <v>0</v>
      </c>
      <c r="Y229" s="46">
        <f t="shared" si="309"/>
        <v>6000</v>
      </c>
      <c r="Z229" s="46">
        <f t="shared" si="309"/>
        <v>6000</v>
      </c>
      <c r="AA229" s="46">
        <f t="shared" si="309"/>
        <v>6000</v>
      </c>
      <c r="AB229" s="46">
        <f t="shared" si="309"/>
        <v>6000</v>
      </c>
      <c r="AC229" s="46">
        <f t="shared" si="309"/>
        <v>14000</v>
      </c>
      <c r="AD229" s="46">
        <f t="shared" si="309"/>
        <v>14000</v>
      </c>
      <c r="AE229" s="46">
        <f t="shared" si="309"/>
        <v>0</v>
      </c>
      <c r="AF229" s="46">
        <f t="shared" si="309"/>
        <v>0</v>
      </c>
      <c r="AG229" s="46">
        <f t="shared" si="309"/>
        <v>0</v>
      </c>
      <c r="AH229" s="46">
        <f t="shared" si="309"/>
        <v>0</v>
      </c>
      <c r="AI229" s="73"/>
      <c r="AJ229" s="19">
        <f t="shared" si="279"/>
        <v>1</v>
      </c>
      <c r="AK229" s="22"/>
      <c r="AL229" s="22"/>
      <c r="AM229" s="12"/>
      <c r="AN229" s="12"/>
      <c r="AO229" s="12"/>
      <c r="AP229" s="12">
        <f t="shared" si="273"/>
        <v>0</v>
      </c>
      <c r="AQ229" s="12"/>
      <c r="AR229" s="12">
        <f t="shared" si="275"/>
        <v>0</v>
      </c>
      <c r="AS229" s="12"/>
      <c r="AT229" s="12">
        <f t="shared" si="300"/>
        <v>0</v>
      </c>
      <c r="AU229" s="12"/>
      <c r="AV229" s="12">
        <f t="shared" si="301"/>
        <v>0</v>
      </c>
    </row>
    <row r="230" spans="1:48" ht="33" x14ac:dyDescent="0.25">
      <c r="A230" s="60">
        <v>2</v>
      </c>
      <c r="B230" s="9" t="s">
        <v>568</v>
      </c>
      <c r="C230" s="61" t="s">
        <v>569</v>
      </c>
      <c r="D230" s="61"/>
      <c r="E230" s="61" t="s">
        <v>101</v>
      </c>
      <c r="F230" s="61"/>
      <c r="G230" s="80">
        <v>22800</v>
      </c>
      <c r="H230" s="80">
        <f t="shared" ref="H230:H234" si="310">G230</f>
        <v>22800</v>
      </c>
      <c r="I230" s="63"/>
      <c r="J230" s="63"/>
      <c r="K230" s="63"/>
      <c r="L230" s="63"/>
      <c r="M230" s="68">
        <f t="shared" ref="M230:M235" si="311">N230</f>
        <v>20000</v>
      </c>
      <c r="N230" s="63">
        <v>20000</v>
      </c>
      <c r="O230" s="68">
        <f t="shared" ref="O230:O235" si="312">P230</f>
        <v>20000</v>
      </c>
      <c r="P230" s="63">
        <v>20000</v>
      </c>
      <c r="Q230" s="63"/>
      <c r="R230" s="63"/>
      <c r="S230" s="68">
        <f t="shared" ref="S230" si="313">T230</f>
        <v>20000</v>
      </c>
      <c r="T230" s="63">
        <v>20000</v>
      </c>
      <c r="U230" s="53"/>
      <c r="V230" s="53"/>
      <c r="W230" s="53"/>
      <c r="X230" s="53"/>
      <c r="Y230" s="53">
        <f>Z230</f>
        <v>6000</v>
      </c>
      <c r="Z230" s="53">
        <v>6000</v>
      </c>
      <c r="AA230" s="63">
        <f t="shared" ref="AA230:AB230" si="314">U230+W230+Y230</f>
        <v>6000</v>
      </c>
      <c r="AB230" s="63">
        <f t="shared" si="314"/>
        <v>6000</v>
      </c>
      <c r="AC230" s="63">
        <f>O230-AA230</f>
        <v>14000</v>
      </c>
      <c r="AD230" s="63">
        <f>P230-AB230</f>
        <v>14000</v>
      </c>
      <c r="AE230" s="63">
        <f t="shared" ref="AE230" si="315">AF230</f>
        <v>0</v>
      </c>
      <c r="AF230" s="63">
        <f t="shared" ref="AF230" si="316">IF(AB230=0,AD230,0)</f>
        <v>0</v>
      </c>
      <c r="AG230" s="53"/>
      <c r="AH230" s="53"/>
      <c r="AI230" s="69"/>
      <c r="AJ230" s="19">
        <f t="shared" si="279"/>
        <v>0</v>
      </c>
      <c r="AK230" s="22">
        <f t="shared" si="229"/>
        <v>0</v>
      </c>
      <c r="AL230" s="22"/>
      <c r="AM230" s="12">
        <f t="shared" ref="AM230:AM235" si="317">IF(AJ230=0,1,0)</f>
        <v>1</v>
      </c>
      <c r="AO230" s="12">
        <f t="shared" ref="AO230:AO235" si="318">IF(P230=0,1,0)</f>
        <v>0</v>
      </c>
      <c r="AP230" s="12">
        <f t="shared" si="273"/>
        <v>0</v>
      </c>
      <c r="AQ230" s="12">
        <f t="shared" ref="AQ230:AQ235" si="319">IF(N230=0,1,0)</f>
        <v>0</v>
      </c>
      <c r="AR230" s="12">
        <f t="shared" si="275"/>
        <v>0</v>
      </c>
      <c r="AS230" s="12">
        <f t="shared" ref="AS230:AS235" si="320">IF(Q230=0,0,1)</f>
        <v>0</v>
      </c>
      <c r="AT230" s="12">
        <f t="shared" si="300"/>
        <v>0</v>
      </c>
      <c r="AU230" s="12">
        <f>IF(R230=0,0,1)</f>
        <v>0</v>
      </c>
      <c r="AV230" s="12">
        <f t="shared" si="301"/>
        <v>0</v>
      </c>
    </row>
    <row r="231" spans="1:48" ht="82.5" customHeight="1" x14ac:dyDescent="0.25">
      <c r="A231" s="60">
        <v>3</v>
      </c>
      <c r="B231" s="9" t="s">
        <v>570</v>
      </c>
      <c r="C231" s="61" t="s">
        <v>571</v>
      </c>
      <c r="D231" s="61"/>
      <c r="E231" s="61" t="s">
        <v>101</v>
      </c>
      <c r="F231" s="61"/>
      <c r="G231" s="80">
        <v>27700</v>
      </c>
      <c r="H231" s="80">
        <f t="shared" si="310"/>
        <v>27700</v>
      </c>
      <c r="I231" s="63"/>
      <c r="J231" s="63"/>
      <c r="K231" s="63"/>
      <c r="L231" s="63"/>
      <c r="M231" s="68">
        <f t="shared" si="311"/>
        <v>24000</v>
      </c>
      <c r="N231" s="63">
        <v>24000</v>
      </c>
      <c r="O231" s="68"/>
      <c r="P231" s="63"/>
      <c r="Q231" s="63"/>
      <c r="R231" s="63">
        <f>N231-T231</f>
        <v>24000</v>
      </c>
      <c r="S231" s="68"/>
      <c r="T231" s="63"/>
      <c r="U231" s="58"/>
      <c r="V231" s="58"/>
      <c r="W231" s="58"/>
      <c r="X231" s="58"/>
      <c r="Y231" s="58"/>
      <c r="Z231" s="58"/>
      <c r="AA231" s="58"/>
      <c r="AB231" s="58"/>
      <c r="AC231" s="58"/>
      <c r="AD231" s="58"/>
      <c r="AE231" s="58"/>
      <c r="AF231" s="58"/>
      <c r="AG231" s="58"/>
      <c r="AH231" s="58"/>
      <c r="AI231" s="1942" t="s">
        <v>572</v>
      </c>
      <c r="AJ231" s="19">
        <f t="shared" si="279"/>
        <v>1</v>
      </c>
      <c r="AK231" s="22">
        <f t="shared" si="229"/>
        <v>1</v>
      </c>
      <c r="AL231" s="22"/>
      <c r="AM231" s="12">
        <f t="shared" si="317"/>
        <v>0</v>
      </c>
      <c r="AO231" s="12">
        <f t="shared" si="318"/>
        <v>1</v>
      </c>
      <c r="AP231" s="12">
        <f t="shared" si="273"/>
        <v>24000</v>
      </c>
      <c r="AQ231" s="12">
        <f t="shared" si="319"/>
        <v>0</v>
      </c>
      <c r="AR231" s="12">
        <f t="shared" si="275"/>
        <v>0</v>
      </c>
      <c r="AS231" s="12">
        <f t="shared" si="320"/>
        <v>0</v>
      </c>
      <c r="AT231" s="12">
        <f t="shared" si="300"/>
        <v>0</v>
      </c>
    </row>
    <row r="232" spans="1:48" ht="33" x14ac:dyDescent="0.25">
      <c r="A232" s="60">
        <v>4</v>
      </c>
      <c r="B232" s="9" t="s">
        <v>573</v>
      </c>
      <c r="C232" s="61" t="s">
        <v>574</v>
      </c>
      <c r="D232" s="61"/>
      <c r="E232" s="61" t="s">
        <v>116</v>
      </c>
      <c r="F232" s="61"/>
      <c r="G232" s="80">
        <v>20000</v>
      </c>
      <c r="H232" s="80">
        <f t="shared" si="310"/>
        <v>20000</v>
      </c>
      <c r="I232" s="63"/>
      <c r="J232" s="63"/>
      <c r="K232" s="63"/>
      <c r="L232" s="63"/>
      <c r="M232" s="68">
        <f t="shared" si="311"/>
        <v>18000</v>
      </c>
      <c r="N232" s="63">
        <v>18000</v>
      </c>
      <c r="O232" s="68"/>
      <c r="P232" s="63"/>
      <c r="Q232" s="63"/>
      <c r="R232" s="63">
        <f t="shared" ref="R232:R234" si="321">N232-T232</f>
        <v>18000</v>
      </c>
      <c r="S232" s="68"/>
      <c r="T232" s="63"/>
      <c r="U232" s="63"/>
      <c r="V232" s="63"/>
      <c r="W232" s="63"/>
      <c r="X232" s="63"/>
      <c r="Y232" s="63"/>
      <c r="Z232" s="63"/>
      <c r="AA232" s="63"/>
      <c r="AB232" s="63"/>
      <c r="AC232" s="63"/>
      <c r="AD232" s="63"/>
      <c r="AE232" s="63"/>
      <c r="AF232" s="63"/>
      <c r="AG232" s="63"/>
      <c r="AH232" s="63"/>
      <c r="AI232" s="1943"/>
      <c r="AJ232" s="19">
        <f t="shared" si="279"/>
        <v>1</v>
      </c>
      <c r="AK232" s="22">
        <f t="shared" si="229"/>
        <v>1</v>
      </c>
      <c r="AL232" s="22"/>
      <c r="AM232" s="12">
        <f t="shared" si="317"/>
        <v>0</v>
      </c>
      <c r="AO232" s="12">
        <f t="shared" si="318"/>
        <v>1</v>
      </c>
      <c r="AP232" s="12">
        <f t="shared" si="273"/>
        <v>18000</v>
      </c>
      <c r="AQ232" s="12">
        <f t="shared" si="319"/>
        <v>0</v>
      </c>
      <c r="AR232" s="12">
        <f t="shared" si="275"/>
        <v>0</v>
      </c>
      <c r="AS232" s="12">
        <f t="shared" si="320"/>
        <v>0</v>
      </c>
      <c r="AT232" s="12">
        <f t="shared" si="300"/>
        <v>0</v>
      </c>
    </row>
    <row r="233" spans="1:48" ht="33" x14ac:dyDescent="0.25">
      <c r="A233" s="60">
        <v>5</v>
      </c>
      <c r="B233" s="9" t="s">
        <v>575</v>
      </c>
      <c r="C233" s="61" t="s">
        <v>576</v>
      </c>
      <c r="D233" s="61"/>
      <c r="E233" s="61" t="s">
        <v>116</v>
      </c>
      <c r="F233" s="61"/>
      <c r="G233" s="80">
        <v>20000</v>
      </c>
      <c r="H233" s="80">
        <f t="shared" si="310"/>
        <v>20000</v>
      </c>
      <c r="I233" s="63"/>
      <c r="J233" s="63"/>
      <c r="K233" s="63"/>
      <c r="L233" s="63"/>
      <c r="M233" s="68">
        <f t="shared" si="311"/>
        <v>18000</v>
      </c>
      <c r="N233" s="63">
        <v>18000</v>
      </c>
      <c r="O233" s="68"/>
      <c r="P233" s="63"/>
      <c r="Q233" s="63"/>
      <c r="R233" s="63">
        <f t="shared" si="321"/>
        <v>18000</v>
      </c>
      <c r="S233" s="68"/>
      <c r="T233" s="63"/>
      <c r="U233" s="63"/>
      <c r="V233" s="63"/>
      <c r="W233" s="63"/>
      <c r="X233" s="63"/>
      <c r="Y233" s="63"/>
      <c r="Z233" s="63"/>
      <c r="AA233" s="63"/>
      <c r="AB233" s="63"/>
      <c r="AC233" s="63"/>
      <c r="AD233" s="63"/>
      <c r="AE233" s="63"/>
      <c r="AF233" s="63"/>
      <c r="AG233" s="63"/>
      <c r="AH233" s="63"/>
      <c r="AI233" s="1943"/>
      <c r="AJ233" s="19">
        <f t="shared" si="279"/>
        <v>1</v>
      </c>
      <c r="AK233" s="22">
        <f t="shared" si="229"/>
        <v>1</v>
      </c>
      <c r="AL233" s="22"/>
      <c r="AM233" s="12">
        <f t="shared" si="317"/>
        <v>0</v>
      </c>
      <c r="AO233" s="12">
        <f t="shared" si="318"/>
        <v>1</v>
      </c>
      <c r="AP233" s="12">
        <f t="shared" si="273"/>
        <v>18000</v>
      </c>
      <c r="AQ233" s="12">
        <f t="shared" si="319"/>
        <v>0</v>
      </c>
      <c r="AR233" s="12">
        <f t="shared" si="275"/>
        <v>0</v>
      </c>
      <c r="AS233" s="12">
        <f t="shared" si="320"/>
        <v>0</v>
      </c>
      <c r="AT233" s="12">
        <f t="shared" si="300"/>
        <v>0</v>
      </c>
    </row>
    <row r="234" spans="1:48" ht="48" customHeight="1" x14ac:dyDescent="0.25">
      <c r="A234" s="60">
        <v>6</v>
      </c>
      <c r="B234" s="9" t="s">
        <v>577</v>
      </c>
      <c r="C234" s="61" t="s">
        <v>578</v>
      </c>
      <c r="D234" s="61"/>
      <c r="E234" s="61" t="s">
        <v>116</v>
      </c>
      <c r="F234" s="61"/>
      <c r="G234" s="80">
        <v>18000</v>
      </c>
      <c r="H234" s="80">
        <f t="shared" si="310"/>
        <v>18000</v>
      </c>
      <c r="I234" s="63"/>
      <c r="J234" s="63"/>
      <c r="K234" s="63"/>
      <c r="L234" s="63"/>
      <c r="M234" s="68">
        <f t="shared" si="311"/>
        <v>15000</v>
      </c>
      <c r="N234" s="63">
        <v>15000</v>
      </c>
      <c r="O234" s="68"/>
      <c r="P234" s="63"/>
      <c r="Q234" s="63"/>
      <c r="R234" s="63">
        <f t="shared" si="321"/>
        <v>15000</v>
      </c>
      <c r="S234" s="68"/>
      <c r="T234" s="63"/>
      <c r="U234" s="63"/>
      <c r="V234" s="63"/>
      <c r="W234" s="63"/>
      <c r="X234" s="63"/>
      <c r="Y234" s="63"/>
      <c r="Z234" s="63"/>
      <c r="AA234" s="63"/>
      <c r="AB234" s="63"/>
      <c r="AC234" s="63"/>
      <c r="AD234" s="63"/>
      <c r="AE234" s="63"/>
      <c r="AF234" s="63"/>
      <c r="AG234" s="63"/>
      <c r="AH234" s="63"/>
      <c r="AI234" s="1944"/>
      <c r="AJ234" s="19">
        <f t="shared" si="279"/>
        <v>1</v>
      </c>
      <c r="AK234" s="22">
        <f t="shared" si="229"/>
        <v>1</v>
      </c>
      <c r="AL234" s="22"/>
      <c r="AM234" s="12">
        <f t="shared" si="317"/>
        <v>0</v>
      </c>
      <c r="AO234" s="12">
        <f t="shared" si="318"/>
        <v>1</v>
      </c>
      <c r="AP234" s="12">
        <f t="shared" si="273"/>
        <v>15000</v>
      </c>
      <c r="AQ234" s="12">
        <f t="shared" si="319"/>
        <v>0</v>
      </c>
      <c r="AR234" s="12">
        <f t="shared" si="275"/>
        <v>0</v>
      </c>
      <c r="AS234" s="12">
        <f t="shared" si="320"/>
        <v>0</v>
      </c>
      <c r="AT234" s="12">
        <f t="shared" si="300"/>
        <v>0</v>
      </c>
    </row>
    <row r="235" spans="1:48" ht="49.5" x14ac:dyDescent="0.25">
      <c r="A235" s="60">
        <v>7</v>
      </c>
      <c r="B235" s="9" t="s">
        <v>579</v>
      </c>
      <c r="C235" s="61" t="s">
        <v>580</v>
      </c>
      <c r="D235" s="61"/>
      <c r="E235" s="61" t="s">
        <v>101</v>
      </c>
      <c r="F235" s="118" t="s">
        <v>581</v>
      </c>
      <c r="G235" s="4">
        <f>H235</f>
        <v>68633</v>
      </c>
      <c r="H235" s="7">
        <v>68633</v>
      </c>
      <c r="I235" s="63"/>
      <c r="J235" s="63"/>
      <c r="K235" s="63"/>
      <c r="L235" s="63"/>
      <c r="M235" s="68">
        <f t="shared" si="311"/>
        <v>30000</v>
      </c>
      <c r="N235" s="63">
        <v>30000</v>
      </c>
      <c r="O235" s="68">
        <f t="shared" si="312"/>
        <v>30000</v>
      </c>
      <c r="P235" s="63">
        <v>30000</v>
      </c>
      <c r="Q235" s="63"/>
      <c r="R235" s="63">
        <f>N235-T235</f>
        <v>0</v>
      </c>
      <c r="S235" s="68">
        <f t="shared" ref="S235" si="322">T235</f>
        <v>30000</v>
      </c>
      <c r="T235" s="63">
        <v>30000</v>
      </c>
      <c r="U235" s="63">
        <f>V235</f>
        <v>879</v>
      </c>
      <c r="V235" s="63">
        <v>879</v>
      </c>
      <c r="W235" s="63"/>
      <c r="X235" s="63"/>
      <c r="Y235" s="63"/>
      <c r="Z235" s="63"/>
      <c r="AA235" s="63"/>
      <c r="AB235" s="63"/>
      <c r="AC235" s="63"/>
      <c r="AD235" s="63"/>
      <c r="AE235" s="63"/>
      <c r="AF235" s="63"/>
      <c r="AG235" s="63"/>
      <c r="AH235" s="63"/>
      <c r="AI235" s="69"/>
      <c r="AJ235" s="19">
        <f t="shared" si="279"/>
        <v>0</v>
      </c>
      <c r="AK235" s="22">
        <f t="shared" si="229"/>
        <v>0</v>
      </c>
      <c r="AL235" s="22"/>
      <c r="AM235" s="12">
        <f t="shared" si="317"/>
        <v>1</v>
      </c>
      <c r="AO235" s="12">
        <f t="shared" si="318"/>
        <v>0</v>
      </c>
      <c r="AP235" s="12">
        <f t="shared" si="273"/>
        <v>0</v>
      </c>
      <c r="AQ235" s="12">
        <f t="shared" si="319"/>
        <v>0</v>
      </c>
      <c r="AR235" s="12">
        <f t="shared" si="275"/>
        <v>0</v>
      </c>
      <c r="AS235" s="12">
        <f t="shared" si="320"/>
        <v>0</v>
      </c>
      <c r="AT235" s="12">
        <f t="shared" si="300"/>
        <v>0</v>
      </c>
      <c r="AU235" s="12">
        <f>IF(R235=0,0,1)</f>
        <v>0</v>
      </c>
      <c r="AV235" s="12">
        <f t="shared" si="301"/>
        <v>0</v>
      </c>
    </row>
    <row r="236" spans="1:48" s="34" customFormat="1" ht="33" x14ac:dyDescent="0.25">
      <c r="A236" s="28" t="s">
        <v>582</v>
      </c>
      <c r="B236" s="29" t="s">
        <v>583</v>
      </c>
      <c r="C236" s="30"/>
      <c r="D236" s="30"/>
      <c r="E236" s="30"/>
      <c r="F236" s="30"/>
      <c r="G236" s="31">
        <f>G237+G243</f>
        <v>652622</v>
      </c>
      <c r="H236" s="31">
        <f t="shared" ref="H236:T236" si="323">H237+H243</f>
        <v>417706</v>
      </c>
      <c r="I236" s="31">
        <f t="shared" si="323"/>
        <v>7445</v>
      </c>
      <c r="J236" s="31">
        <f t="shared" si="323"/>
        <v>7445</v>
      </c>
      <c r="K236" s="31">
        <f t="shared" si="323"/>
        <v>7445</v>
      </c>
      <c r="L236" s="31">
        <f t="shared" si="323"/>
        <v>7445</v>
      </c>
      <c r="M236" s="31">
        <f t="shared" si="323"/>
        <v>309000</v>
      </c>
      <c r="N236" s="31">
        <f t="shared" si="323"/>
        <v>290000</v>
      </c>
      <c r="O236" s="31">
        <f t="shared" si="323"/>
        <v>333200</v>
      </c>
      <c r="P236" s="31">
        <f t="shared" si="323"/>
        <v>282200</v>
      </c>
      <c r="Q236" s="31">
        <f t="shared" si="323"/>
        <v>26300</v>
      </c>
      <c r="R236" s="31">
        <f t="shared" si="323"/>
        <v>53930</v>
      </c>
      <c r="S236" s="31">
        <f t="shared" si="323"/>
        <v>281370</v>
      </c>
      <c r="T236" s="31">
        <f t="shared" si="323"/>
        <v>262370</v>
      </c>
      <c r="U236" s="31">
        <f>U237+U243</f>
        <v>73042</v>
      </c>
      <c r="V236" s="31">
        <f t="shared" ref="V236" si="324">V237+V243</f>
        <v>73042</v>
      </c>
      <c r="W236" s="31">
        <f>W237+W243</f>
        <v>30104</v>
      </c>
      <c r="X236" s="31">
        <f t="shared" ref="X236:AB236" si="325">X237+X243</f>
        <v>30104</v>
      </c>
      <c r="Y236" s="31">
        <f>Y237+Y243</f>
        <v>31150</v>
      </c>
      <c r="Z236" s="31">
        <f t="shared" ref="Z236" si="326">Z237+Z243</f>
        <v>31150</v>
      </c>
      <c r="AA236" s="31">
        <f>AA237+AA243</f>
        <v>134296</v>
      </c>
      <c r="AB236" s="31">
        <f t="shared" si="325"/>
        <v>134296</v>
      </c>
      <c r="AC236" s="31">
        <f>AC237+AC243</f>
        <v>77013</v>
      </c>
      <c r="AD236" s="31">
        <f t="shared" ref="AD236:AH236" si="327">AD237+AD243</f>
        <v>77013</v>
      </c>
      <c r="AE236" s="31">
        <f>AE237+AE243</f>
        <v>60000</v>
      </c>
      <c r="AF236" s="31">
        <f t="shared" ref="AF236" si="328">AF237+AF243</f>
        <v>60000</v>
      </c>
      <c r="AG236" s="31">
        <f>AG237+AG243</f>
        <v>75000</v>
      </c>
      <c r="AH236" s="31">
        <f t="shared" si="327"/>
        <v>75000</v>
      </c>
      <c r="AI236" s="32"/>
      <c r="AJ236" s="19">
        <f t="shared" si="279"/>
        <v>1</v>
      </c>
      <c r="AK236" s="22"/>
      <c r="AL236" s="22"/>
      <c r="AM236" s="92"/>
      <c r="AN236" s="12"/>
      <c r="AO236" s="12"/>
      <c r="AP236" s="12">
        <f t="shared" si="273"/>
        <v>0</v>
      </c>
      <c r="AQ236" s="12"/>
      <c r="AR236" s="12">
        <f t="shared" si="275"/>
        <v>0</v>
      </c>
      <c r="AS236" s="12"/>
      <c r="AT236" s="12">
        <f t="shared" si="300"/>
        <v>0</v>
      </c>
      <c r="AU236" s="12"/>
      <c r="AV236" s="12">
        <f t="shared" si="301"/>
        <v>0</v>
      </c>
    </row>
    <row r="237" spans="1:48" s="42" customFormat="1" ht="51.75" x14ac:dyDescent="0.25">
      <c r="A237" s="35" t="s">
        <v>45</v>
      </c>
      <c r="B237" s="36" t="s">
        <v>46</v>
      </c>
      <c r="C237" s="37"/>
      <c r="D237" s="37"/>
      <c r="E237" s="37"/>
      <c r="F237" s="37"/>
      <c r="G237" s="38">
        <f>G238</f>
        <v>98166</v>
      </c>
      <c r="H237" s="38">
        <f t="shared" ref="H237:AH237" si="329">H238</f>
        <v>86929</v>
      </c>
      <c r="I237" s="38">
        <f t="shared" si="329"/>
        <v>7445</v>
      </c>
      <c r="J237" s="38">
        <f t="shared" si="329"/>
        <v>7445</v>
      </c>
      <c r="K237" s="38">
        <f t="shared" si="329"/>
        <v>7445</v>
      </c>
      <c r="L237" s="38">
        <f t="shared" si="329"/>
        <v>7445</v>
      </c>
      <c r="M237" s="38">
        <f t="shared" si="329"/>
        <v>65930</v>
      </c>
      <c r="N237" s="38">
        <f t="shared" si="329"/>
        <v>65930</v>
      </c>
      <c r="O237" s="38">
        <f t="shared" si="329"/>
        <v>79930</v>
      </c>
      <c r="P237" s="38">
        <f t="shared" si="329"/>
        <v>79930</v>
      </c>
      <c r="Q237" s="38">
        <f t="shared" si="329"/>
        <v>17000</v>
      </c>
      <c r="R237" s="38">
        <f t="shared" si="329"/>
        <v>0</v>
      </c>
      <c r="S237" s="38">
        <f t="shared" si="329"/>
        <v>82930</v>
      </c>
      <c r="T237" s="38">
        <f t="shared" si="329"/>
        <v>82930</v>
      </c>
      <c r="U237" s="38">
        <f t="shared" si="329"/>
        <v>37617</v>
      </c>
      <c r="V237" s="38">
        <f t="shared" si="329"/>
        <v>37617</v>
      </c>
      <c r="W237" s="38">
        <f t="shared" si="329"/>
        <v>22300</v>
      </c>
      <c r="X237" s="38">
        <f t="shared" si="329"/>
        <v>22300</v>
      </c>
      <c r="Y237" s="38">
        <f t="shared" si="329"/>
        <v>3000</v>
      </c>
      <c r="Z237" s="38">
        <f t="shared" si="329"/>
        <v>3000</v>
      </c>
      <c r="AA237" s="38">
        <f t="shared" si="329"/>
        <v>62917</v>
      </c>
      <c r="AB237" s="38">
        <f t="shared" si="329"/>
        <v>62917</v>
      </c>
      <c r="AC237" s="38">
        <f t="shared" si="329"/>
        <v>17013</v>
      </c>
      <c r="AD237" s="38">
        <f t="shared" si="329"/>
        <v>17013</v>
      </c>
      <c r="AE237" s="38">
        <f t="shared" si="329"/>
        <v>0</v>
      </c>
      <c r="AF237" s="38">
        <f t="shared" si="329"/>
        <v>0</v>
      </c>
      <c r="AG237" s="38">
        <f t="shared" si="329"/>
        <v>0</v>
      </c>
      <c r="AH237" s="38">
        <f t="shared" si="329"/>
        <v>0</v>
      </c>
      <c r="AI237" s="40"/>
      <c r="AJ237" s="19">
        <f t="shared" si="279"/>
        <v>1</v>
      </c>
      <c r="AK237" s="22"/>
      <c r="AL237" s="22"/>
      <c r="AM237" s="12"/>
      <c r="AN237" s="12"/>
      <c r="AO237" s="12"/>
      <c r="AP237" s="12">
        <f t="shared" si="273"/>
        <v>0</v>
      </c>
      <c r="AQ237" s="12"/>
      <c r="AR237" s="12">
        <f t="shared" si="275"/>
        <v>0</v>
      </c>
      <c r="AS237" s="12"/>
      <c r="AT237" s="12">
        <f t="shared" si="300"/>
        <v>0</v>
      </c>
      <c r="AU237" s="12"/>
      <c r="AV237" s="12">
        <f t="shared" si="301"/>
        <v>0</v>
      </c>
    </row>
    <row r="238" spans="1:48" s="49" customFormat="1" ht="34.5" x14ac:dyDescent="0.25">
      <c r="A238" s="43" t="s">
        <v>47</v>
      </c>
      <c r="B238" s="44" t="s">
        <v>48</v>
      </c>
      <c r="C238" s="45"/>
      <c r="D238" s="45"/>
      <c r="E238" s="45"/>
      <c r="F238" s="45"/>
      <c r="G238" s="46">
        <f>SUM(G241:G242)</f>
        <v>98166</v>
      </c>
      <c r="H238" s="46">
        <f t="shared" ref="H238:T238" si="330">SUM(H241:H242)</f>
        <v>86929</v>
      </c>
      <c r="I238" s="46">
        <f t="shared" si="330"/>
        <v>7445</v>
      </c>
      <c r="J238" s="46">
        <f t="shared" si="330"/>
        <v>7445</v>
      </c>
      <c r="K238" s="46">
        <f t="shared" si="330"/>
        <v>7445</v>
      </c>
      <c r="L238" s="46">
        <f t="shared" si="330"/>
        <v>7445</v>
      </c>
      <c r="M238" s="46">
        <f t="shared" si="330"/>
        <v>65930</v>
      </c>
      <c r="N238" s="46">
        <f t="shared" si="330"/>
        <v>65930</v>
      </c>
      <c r="O238" s="46">
        <f t="shared" si="330"/>
        <v>79930</v>
      </c>
      <c r="P238" s="46">
        <f t="shared" si="330"/>
        <v>79930</v>
      </c>
      <c r="Q238" s="46">
        <f t="shared" si="330"/>
        <v>17000</v>
      </c>
      <c r="R238" s="46">
        <f t="shared" si="330"/>
        <v>0</v>
      </c>
      <c r="S238" s="46">
        <f t="shared" si="330"/>
        <v>82930</v>
      </c>
      <c r="T238" s="46">
        <f t="shared" si="330"/>
        <v>82930</v>
      </c>
      <c r="U238" s="46">
        <f t="shared" ref="U238" si="331">SUM(U241:U242)</f>
        <v>37617</v>
      </c>
      <c r="V238" s="46">
        <f>SUM(V241:V242)</f>
        <v>37617</v>
      </c>
      <c r="W238" s="46">
        <f t="shared" ref="W238:AA238" si="332">SUM(W241:W242)</f>
        <v>22300</v>
      </c>
      <c r="X238" s="46">
        <f>SUM(X241:X242)</f>
        <v>22300</v>
      </c>
      <c r="Y238" s="46">
        <f t="shared" ref="Y238" si="333">SUM(Y241:Y242)</f>
        <v>3000</v>
      </c>
      <c r="Z238" s="46">
        <f>SUM(Z241:Z242)</f>
        <v>3000</v>
      </c>
      <c r="AA238" s="46">
        <f t="shared" si="332"/>
        <v>62917</v>
      </c>
      <c r="AB238" s="46">
        <f>SUM(AB241:AB242)</f>
        <v>62917</v>
      </c>
      <c r="AC238" s="46">
        <f t="shared" ref="AC238:AG238" si="334">SUM(AC241:AC242)</f>
        <v>17013</v>
      </c>
      <c r="AD238" s="46">
        <f>SUM(AD241:AD242)</f>
        <v>17013</v>
      </c>
      <c r="AE238" s="46">
        <f t="shared" ref="AE238" si="335">SUM(AE241:AE242)</f>
        <v>0</v>
      </c>
      <c r="AF238" s="46">
        <f>SUM(AF241:AF242)</f>
        <v>0</v>
      </c>
      <c r="AG238" s="46">
        <f t="shared" si="334"/>
        <v>0</v>
      </c>
      <c r="AH238" s="46">
        <f>SUM(AH241:AH242)</f>
        <v>0</v>
      </c>
      <c r="AI238" s="47"/>
      <c r="AJ238" s="19">
        <f t="shared" si="279"/>
        <v>1</v>
      </c>
      <c r="AK238" s="22"/>
      <c r="AL238" s="22"/>
      <c r="AM238" s="12"/>
      <c r="AN238" s="12"/>
      <c r="AO238" s="12"/>
      <c r="AP238" s="12">
        <f t="shared" si="273"/>
        <v>0</v>
      </c>
      <c r="AQ238" s="12"/>
      <c r="AR238" s="12">
        <f t="shared" si="275"/>
        <v>0</v>
      </c>
      <c r="AS238" s="12"/>
      <c r="AT238" s="12">
        <f t="shared" si="300"/>
        <v>0</v>
      </c>
      <c r="AU238" s="12"/>
      <c r="AV238" s="12">
        <f t="shared" si="301"/>
        <v>0</v>
      </c>
    </row>
    <row r="239" spans="1:48" ht="17.25" x14ac:dyDescent="0.25">
      <c r="A239" s="50"/>
      <c r="B239" s="51" t="s">
        <v>49</v>
      </c>
      <c r="C239" s="52"/>
      <c r="D239" s="52"/>
      <c r="E239" s="52"/>
      <c r="F239" s="52"/>
      <c r="G239" s="53"/>
      <c r="H239" s="53"/>
      <c r="I239" s="53"/>
      <c r="J239" s="53"/>
      <c r="K239" s="53"/>
      <c r="L239" s="53"/>
      <c r="M239" s="53"/>
      <c r="N239" s="53"/>
      <c r="O239" s="53"/>
      <c r="P239" s="53"/>
      <c r="Q239" s="54"/>
      <c r="R239" s="54"/>
      <c r="S239" s="53"/>
      <c r="T239" s="53"/>
      <c r="U239" s="63"/>
      <c r="V239" s="63"/>
      <c r="W239" s="63"/>
      <c r="X239" s="63"/>
      <c r="Y239" s="63"/>
      <c r="Z239" s="63"/>
      <c r="AA239" s="63"/>
      <c r="AB239" s="63"/>
      <c r="AC239" s="63"/>
      <c r="AD239" s="63"/>
      <c r="AE239" s="63"/>
      <c r="AF239" s="63"/>
      <c r="AG239" s="63"/>
      <c r="AH239" s="63"/>
      <c r="AI239" s="55"/>
      <c r="AJ239" s="19">
        <v>1</v>
      </c>
      <c r="AK239" s="22"/>
      <c r="AL239" s="22"/>
      <c r="AP239" s="12">
        <f t="shared" si="273"/>
        <v>0</v>
      </c>
      <c r="AR239" s="12">
        <f t="shared" si="275"/>
        <v>0</v>
      </c>
      <c r="AT239" s="12">
        <f t="shared" si="300"/>
        <v>0</v>
      </c>
      <c r="AV239" s="12">
        <f t="shared" si="301"/>
        <v>0</v>
      </c>
    </row>
    <row r="240" spans="1:48" ht="51.75" x14ac:dyDescent="0.25">
      <c r="A240" s="50"/>
      <c r="B240" s="56" t="s">
        <v>50</v>
      </c>
      <c r="C240" s="57"/>
      <c r="D240" s="57"/>
      <c r="E240" s="57"/>
      <c r="F240" s="57"/>
      <c r="G240" s="58"/>
      <c r="H240" s="58"/>
      <c r="I240" s="58"/>
      <c r="J240" s="58"/>
      <c r="K240" s="58"/>
      <c r="L240" s="58"/>
      <c r="M240" s="58"/>
      <c r="N240" s="58"/>
      <c r="O240" s="58"/>
      <c r="P240" s="58"/>
      <c r="Q240" s="54"/>
      <c r="R240" s="54"/>
      <c r="S240" s="58"/>
      <c r="T240" s="58"/>
      <c r="U240" s="63"/>
      <c r="V240" s="63"/>
      <c r="W240" s="63"/>
      <c r="X240" s="63"/>
      <c r="Y240" s="63"/>
      <c r="Z240" s="63"/>
      <c r="AA240" s="63"/>
      <c r="AB240" s="63"/>
      <c r="AC240" s="63"/>
      <c r="AD240" s="63"/>
      <c r="AE240" s="63"/>
      <c r="AF240" s="63"/>
      <c r="AG240" s="63"/>
      <c r="AH240" s="63"/>
      <c r="AI240" s="59"/>
      <c r="AJ240" s="19">
        <v>1</v>
      </c>
      <c r="AK240" s="22"/>
      <c r="AL240" s="22"/>
      <c r="AP240" s="12">
        <f t="shared" si="273"/>
        <v>0</v>
      </c>
      <c r="AR240" s="12">
        <f t="shared" si="275"/>
        <v>0</v>
      </c>
      <c r="AT240" s="12">
        <f t="shared" si="300"/>
        <v>0</v>
      </c>
      <c r="AV240" s="12">
        <f t="shared" si="301"/>
        <v>0</v>
      </c>
    </row>
    <row r="241" spans="1:16378" ht="82.5" x14ac:dyDescent="0.25">
      <c r="A241" s="60">
        <v>1</v>
      </c>
      <c r="B241" s="9" t="s">
        <v>584</v>
      </c>
      <c r="C241" s="61" t="s">
        <v>99</v>
      </c>
      <c r="D241" s="61" t="s">
        <v>585</v>
      </c>
      <c r="E241" s="61" t="s">
        <v>77</v>
      </c>
      <c r="F241" s="61" t="s">
        <v>586</v>
      </c>
      <c r="G241" s="62">
        <v>79292</v>
      </c>
      <c r="H241" s="80">
        <v>71560</v>
      </c>
      <c r="I241" s="63">
        <f>J241</f>
        <v>445</v>
      </c>
      <c r="J241" s="62">
        <v>445</v>
      </c>
      <c r="K241" s="63">
        <f>I241</f>
        <v>445</v>
      </c>
      <c r="L241" s="63">
        <f>J241</f>
        <v>445</v>
      </c>
      <c r="M241" s="68">
        <f>N241</f>
        <v>57560</v>
      </c>
      <c r="N241" s="63">
        <v>57560</v>
      </c>
      <c r="O241" s="68">
        <f>P241</f>
        <v>71560</v>
      </c>
      <c r="P241" s="63">
        <f>N241+14000</f>
        <v>71560</v>
      </c>
      <c r="Q241" s="54">
        <f>T241-N241</f>
        <v>17000</v>
      </c>
      <c r="R241" s="54"/>
      <c r="S241" s="68">
        <f>T241</f>
        <v>74560</v>
      </c>
      <c r="T241" s="63">
        <f>P241+3000</f>
        <v>74560</v>
      </c>
      <c r="U241" s="63">
        <f>V241</f>
        <v>31617</v>
      </c>
      <c r="V241" s="63">
        <v>31617</v>
      </c>
      <c r="W241" s="63">
        <f>X241</f>
        <v>22300</v>
      </c>
      <c r="X241" s="63">
        <v>22300</v>
      </c>
      <c r="Y241" s="63">
        <f>Z241</f>
        <v>3000</v>
      </c>
      <c r="Z241" s="63">
        <v>3000</v>
      </c>
      <c r="AA241" s="63">
        <f t="shared" ref="AA241:AB242" si="336">U241+W241+Y241</f>
        <v>56917</v>
      </c>
      <c r="AB241" s="63">
        <f t="shared" si="336"/>
        <v>56917</v>
      </c>
      <c r="AC241" s="63">
        <f>O241-AA241</f>
        <v>14643</v>
      </c>
      <c r="AD241" s="63">
        <f>P241-AB241</f>
        <v>14643</v>
      </c>
      <c r="AE241" s="63">
        <f t="shared" ref="AE241:AE242" si="337">AF241</f>
        <v>0</v>
      </c>
      <c r="AF241" s="63">
        <f t="shared" ref="AF241:AF242" si="338">IF(AB241=0,AD241,0)</f>
        <v>0</v>
      </c>
      <c r="AG241" s="63"/>
      <c r="AH241" s="63"/>
      <c r="AI241" s="25" t="s">
        <v>587</v>
      </c>
      <c r="AJ241" s="19">
        <f t="shared" si="279"/>
        <v>1</v>
      </c>
      <c r="AK241" s="22">
        <f t="shared" si="229"/>
        <v>1</v>
      </c>
      <c r="AL241" s="22"/>
      <c r="AM241" s="12">
        <f>IF(AJ241=0,1,0)</f>
        <v>0</v>
      </c>
      <c r="AO241" s="12">
        <f>IF(P241=0,1,0)</f>
        <v>0</v>
      </c>
      <c r="AP241" s="12">
        <f t="shared" si="273"/>
        <v>0</v>
      </c>
      <c r="AQ241" s="12">
        <f>IF(N241=0,1,0)</f>
        <v>0</v>
      </c>
      <c r="AR241" s="12">
        <f t="shared" si="275"/>
        <v>0</v>
      </c>
      <c r="AS241" s="12">
        <f>IF(Q241=0,0,1)</f>
        <v>1</v>
      </c>
      <c r="AT241" s="12">
        <f t="shared" si="300"/>
        <v>17000</v>
      </c>
      <c r="AU241" s="12">
        <f>IF(R241=0,0,1)</f>
        <v>0</v>
      </c>
      <c r="AV241" s="12">
        <f t="shared" si="301"/>
        <v>0</v>
      </c>
    </row>
    <row r="242" spans="1:16378" ht="82.5" x14ac:dyDescent="0.25">
      <c r="A242" s="60">
        <v>2</v>
      </c>
      <c r="B242" s="91" t="s">
        <v>588</v>
      </c>
      <c r="C242" s="61" t="s">
        <v>52</v>
      </c>
      <c r="D242" s="61" t="s">
        <v>589</v>
      </c>
      <c r="E242" s="61" t="s">
        <v>199</v>
      </c>
      <c r="F242" s="61" t="s">
        <v>590</v>
      </c>
      <c r="G242" s="68">
        <v>18874</v>
      </c>
      <c r="H242" s="80">
        <v>15369</v>
      </c>
      <c r="I242" s="63">
        <f>J242</f>
        <v>7000</v>
      </c>
      <c r="J242" s="62">
        <v>7000</v>
      </c>
      <c r="K242" s="63">
        <f>I242</f>
        <v>7000</v>
      </c>
      <c r="L242" s="63">
        <f>J242</f>
        <v>7000</v>
      </c>
      <c r="M242" s="68">
        <f>N242</f>
        <v>8370</v>
      </c>
      <c r="N242" s="63">
        <v>8370</v>
      </c>
      <c r="O242" s="68">
        <f>P242</f>
        <v>8370</v>
      </c>
      <c r="P242" s="63">
        <v>8370</v>
      </c>
      <c r="Q242" s="54">
        <f>T242-N242</f>
        <v>0</v>
      </c>
      <c r="R242" s="54"/>
      <c r="S242" s="68">
        <f>T242</f>
        <v>8370</v>
      </c>
      <c r="T242" s="63">
        <v>8370</v>
      </c>
      <c r="U242" s="63">
        <f>V242</f>
        <v>6000</v>
      </c>
      <c r="V242" s="63">
        <v>6000</v>
      </c>
      <c r="W242" s="63"/>
      <c r="X242" s="63"/>
      <c r="Y242" s="63"/>
      <c r="Z242" s="63"/>
      <c r="AA242" s="63">
        <f t="shared" si="336"/>
        <v>6000</v>
      </c>
      <c r="AB242" s="63">
        <f t="shared" si="336"/>
        <v>6000</v>
      </c>
      <c r="AC242" s="63">
        <f>O242-AA242</f>
        <v>2370</v>
      </c>
      <c r="AD242" s="63">
        <f>P242-AB242</f>
        <v>2370</v>
      </c>
      <c r="AE242" s="63">
        <f t="shared" si="337"/>
        <v>0</v>
      </c>
      <c r="AF242" s="63">
        <f t="shared" si="338"/>
        <v>0</v>
      </c>
      <c r="AG242" s="63"/>
      <c r="AH242" s="63"/>
      <c r="AI242" s="69"/>
      <c r="AJ242" s="19">
        <f t="shared" si="279"/>
        <v>0</v>
      </c>
      <c r="AK242" s="22">
        <f t="shared" si="229"/>
        <v>0</v>
      </c>
      <c r="AL242" s="22"/>
      <c r="AM242" s="12">
        <f>IF(AJ242=0,1,0)</f>
        <v>1</v>
      </c>
      <c r="AO242" s="12">
        <f>IF(P242=0,1,0)</f>
        <v>0</v>
      </c>
      <c r="AP242" s="12">
        <f t="shared" si="273"/>
        <v>0</v>
      </c>
      <c r="AQ242" s="12">
        <f>IF(N242=0,1,0)</f>
        <v>0</v>
      </c>
      <c r="AR242" s="12">
        <f t="shared" si="275"/>
        <v>0</v>
      </c>
      <c r="AS242" s="12">
        <f>IF(Q242=0,0,1)</f>
        <v>0</v>
      </c>
      <c r="AT242" s="12">
        <f t="shared" si="300"/>
        <v>0</v>
      </c>
      <c r="AU242" s="12">
        <f>IF(R242=0,0,1)</f>
        <v>0</v>
      </c>
      <c r="AV242" s="12">
        <f t="shared" si="301"/>
        <v>0</v>
      </c>
    </row>
    <row r="243" spans="1:16378" s="34" customFormat="1" ht="34.5" x14ac:dyDescent="0.25">
      <c r="A243" s="35" t="s">
        <v>85</v>
      </c>
      <c r="B243" s="36" t="s">
        <v>86</v>
      </c>
      <c r="C243" s="37"/>
      <c r="D243" s="37"/>
      <c r="E243" s="37"/>
      <c r="F243" s="37"/>
      <c r="G243" s="38">
        <f>G244+G269</f>
        <v>554456</v>
      </c>
      <c r="H243" s="38">
        <f t="shared" ref="H243:AH243" si="339">H244+H269</f>
        <v>330777</v>
      </c>
      <c r="I243" s="38">
        <f t="shared" si="339"/>
        <v>0</v>
      </c>
      <c r="J243" s="38">
        <f t="shared" si="339"/>
        <v>0</v>
      </c>
      <c r="K243" s="38">
        <f t="shared" si="339"/>
        <v>0</v>
      </c>
      <c r="L243" s="38">
        <f t="shared" si="339"/>
        <v>0</v>
      </c>
      <c r="M243" s="38">
        <f t="shared" si="339"/>
        <v>243070</v>
      </c>
      <c r="N243" s="38">
        <f t="shared" si="339"/>
        <v>224070</v>
      </c>
      <c r="O243" s="38">
        <f t="shared" si="339"/>
        <v>253270</v>
      </c>
      <c r="P243" s="38">
        <f t="shared" si="339"/>
        <v>202270</v>
      </c>
      <c r="Q243" s="38">
        <f t="shared" si="339"/>
        <v>9300</v>
      </c>
      <c r="R243" s="38">
        <f t="shared" si="339"/>
        <v>53930</v>
      </c>
      <c r="S243" s="38">
        <f t="shared" si="339"/>
        <v>198440</v>
      </c>
      <c r="T243" s="38">
        <f t="shared" si="339"/>
        <v>179440</v>
      </c>
      <c r="U243" s="38">
        <f t="shared" si="339"/>
        <v>35425</v>
      </c>
      <c r="V243" s="38">
        <f t="shared" si="339"/>
        <v>35425</v>
      </c>
      <c r="W243" s="38">
        <f t="shared" si="339"/>
        <v>7804</v>
      </c>
      <c r="X243" s="38">
        <f t="shared" si="339"/>
        <v>7804</v>
      </c>
      <c r="Y243" s="38">
        <f t="shared" si="339"/>
        <v>28150</v>
      </c>
      <c r="Z243" s="38">
        <f t="shared" si="339"/>
        <v>28150</v>
      </c>
      <c r="AA243" s="38">
        <f t="shared" si="339"/>
        <v>71379</v>
      </c>
      <c r="AB243" s="38">
        <f t="shared" si="339"/>
        <v>71379</v>
      </c>
      <c r="AC243" s="38">
        <f t="shared" si="339"/>
        <v>60000</v>
      </c>
      <c r="AD243" s="38">
        <f t="shared" si="339"/>
        <v>60000</v>
      </c>
      <c r="AE243" s="38">
        <f t="shared" si="339"/>
        <v>60000</v>
      </c>
      <c r="AF243" s="38">
        <f t="shared" si="339"/>
        <v>60000</v>
      </c>
      <c r="AG243" s="38">
        <f t="shared" si="339"/>
        <v>75000</v>
      </c>
      <c r="AH243" s="38">
        <f t="shared" si="339"/>
        <v>75000</v>
      </c>
      <c r="AI243" s="38"/>
      <c r="AJ243" s="19">
        <f t="shared" si="279"/>
        <v>1</v>
      </c>
      <c r="AK243" s="42"/>
      <c r="AL243" s="742"/>
      <c r="AM243" s="742"/>
      <c r="AN243" s="42"/>
      <c r="AO243" s="42"/>
      <c r="AP243" s="42">
        <f t="shared" si="273"/>
        <v>0</v>
      </c>
      <c r="AQ243" s="42"/>
      <c r="AR243" s="42">
        <f t="shared" si="275"/>
        <v>0</v>
      </c>
      <c r="AS243" s="42"/>
      <c r="AT243" s="42">
        <f t="shared" si="300"/>
        <v>0</v>
      </c>
      <c r="AU243" s="42"/>
      <c r="AV243" s="42">
        <f t="shared" si="301"/>
        <v>0</v>
      </c>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c r="HY243" s="42"/>
      <c r="HZ243" s="42"/>
      <c r="IA243" s="42"/>
      <c r="IB243" s="42"/>
      <c r="IC243" s="42"/>
      <c r="ID243" s="42"/>
      <c r="IE243" s="42"/>
      <c r="IF243" s="42"/>
      <c r="IG243" s="42"/>
      <c r="IH243" s="42"/>
      <c r="II243" s="42"/>
      <c r="IJ243" s="42"/>
      <c r="IK243" s="42"/>
      <c r="IL243" s="42"/>
      <c r="IM243" s="42"/>
      <c r="IN243" s="42"/>
      <c r="IO243" s="42"/>
      <c r="IP243" s="42"/>
      <c r="IQ243" s="42"/>
      <c r="IR243" s="42"/>
      <c r="IS243" s="42"/>
      <c r="IT243" s="42"/>
      <c r="IU243" s="42"/>
      <c r="IV243" s="42"/>
      <c r="IW243" s="42"/>
      <c r="IX243" s="42"/>
      <c r="IY243" s="42"/>
      <c r="IZ243" s="42"/>
      <c r="JA243" s="42"/>
      <c r="JB243" s="42"/>
      <c r="JC243" s="42"/>
      <c r="JD243" s="42"/>
      <c r="JE243" s="42"/>
      <c r="JF243" s="42"/>
      <c r="JG243" s="42"/>
      <c r="JH243" s="42"/>
      <c r="JI243" s="42"/>
      <c r="JJ243" s="42"/>
      <c r="JK243" s="42"/>
      <c r="JL243" s="42"/>
      <c r="JM243" s="42"/>
      <c r="JN243" s="42"/>
      <c r="JO243" s="42"/>
      <c r="JP243" s="42"/>
      <c r="JQ243" s="42"/>
      <c r="JR243" s="42"/>
      <c r="JS243" s="42"/>
      <c r="JT243" s="42"/>
      <c r="JU243" s="42"/>
      <c r="JV243" s="42"/>
      <c r="JW243" s="42"/>
      <c r="JX243" s="42"/>
      <c r="JY243" s="42"/>
      <c r="JZ243" s="42"/>
      <c r="KA243" s="42"/>
      <c r="KB243" s="42"/>
      <c r="KC243" s="42"/>
      <c r="KD243" s="42"/>
      <c r="KE243" s="42"/>
      <c r="KF243" s="42"/>
      <c r="KG243" s="42"/>
      <c r="KH243" s="42"/>
      <c r="KI243" s="42"/>
      <c r="KJ243" s="42"/>
      <c r="KK243" s="42"/>
      <c r="KL243" s="42"/>
      <c r="KM243" s="42"/>
      <c r="KN243" s="42"/>
      <c r="KO243" s="42"/>
      <c r="KP243" s="42"/>
      <c r="KQ243" s="42"/>
      <c r="KR243" s="42"/>
      <c r="KS243" s="42"/>
      <c r="KT243" s="42"/>
      <c r="KU243" s="42"/>
      <c r="KV243" s="42"/>
      <c r="KW243" s="42"/>
      <c r="KX243" s="42"/>
      <c r="KY243" s="42"/>
      <c r="KZ243" s="42"/>
      <c r="LA243" s="42"/>
      <c r="LB243" s="42"/>
      <c r="LC243" s="42"/>
      <c r="LD243" s="42"/>
      <c r="LE243" s="42"/>
      <c r="LF243" s="42"/>
      <c r="LG243" s="42"/>
      <c r="LH243" s="42"/>
      <c r="LI243" s="42"/>
      <c r="LJ243" s="42"/>
      <c r="LK243" s="42"/>
      <c r="LL243" s="42"/>
      <c r="LM243" s="42"/>
      <c r="LN243" s="42"/>
      <c r="LO243" s="42"/>
      <c r="LP243" s="42"/>
      <c r="LQ243" s="42"/>
      <c r="LR243" s="42"/>
      <c r="LS243" s="42"/>
      <c r="LT243" s="42"/>
      <c r="LU243" s="42"/>
      <c r="LV243" s="42"/>
      <c r="LW243" s="42"/>
      <c r="LX243" s="42"/>
      <c r="LY243" s="42"/>
      <c r="LZ243" s="42"/>
      <c r="MA243" s="42"/>
      <c r="MB243" s="42"/>
      <c r="MC243" s="42"/>
      <c r="MD243" s="42"/>
      <c r="ME243" s="42"/>
      <c r="MF243" s="42"/>
      <c r="MG243" s="42"/>
      <c r="MH243" s="42"/>
      <c r="MI243" s="42"/>
      <c r="MJ243" s="42"/>
      <c r="MK243" s="42"/>
      <c r="ML243" s="42"/>
      <c r="MM243" s="42"/>
      <c r="MN243" s="42"/>
      <c r="MO243" s="42"/>
      <c r="MP243" s="42"/>
      <c r="MQ243" s="42"/>
      <c r="MR243" s="42"/>
      <c r="MS243" s="42"/>
      <c r="MT243" s="42"/>
      <c r="MU243" s="42"/>
      <c r="MV243" s="42"/>
      <c r="MW243" s="42"/>
      <c r="MX243" s="42"/>
      <c r="MY243" s="42"/>
      <c r="MZ243" s="42"/>
      <c r="NA243" s="42"/>
      <c r="NB243" s="42"/>
      <c r="NC243" s="42"/>
      <c r="ND243" s="42"/>
      <c r="NE243" s="42"/>
      <c r="NF243" s="42"/>
      <c r="NG243" s="42"/>
      <c r="NH243" s="42"/>
      <c r="NI243" s="42"/>
      <c r="NJ243" s="42"/>
      <c r="NK243" s="42"/>
      <c r="NL243" s="42"/>
      <c r="NM243" s="42"/>
      <c r="NN243" s="42"/>
      <c r="NO243" s="42"/>
      <c r="NP243" s="42"/>
      <c r="NQ243" s="42"/>
      <c r="NR243" s="42"/>
      <c r="NS243" s="42"/>
      <c r="NT243" s="42"/>
      <c r="NU243" s="42"/>
      <c r="NV243" s="42"/>
      <c r="NW243" s="42"/>
      <c r="NX243" s="42"/>
      <c r="NY243" s="42"/>
      <c r="NZ243" s="42"/>
      <c r="OA243" s="42"/>
      <c r="OB243" s="42"/>
      <c r="OC243" s="42"/>
      <c r="OD243" s="42"/>
      <c r="OE243" s="42"/>
      <c r="OF243" s="42"/>
      <c r="OG243" s="42"/>
      <c r="OH243" s="42"/>
      <c r="OI243" s="42"/>
      <c r="OJ243" s="42"/>
      <c r="OK243" s="42"/>
      <c r="OL243" s="42"/>
      <c r="OM243" s="42"/>
      <c r="ON243" s="42"/>
      <c r="OO243" s="42"/>
      <c r="OP243" s="42"/>
      <c r="OQ243" s="42"/>
      <c r="OR243" s="42"/>
      <c r="OS243" s="42"/>
      <c r="OT243" s="42"/>
      <c r="OU243" s="42"/>
      <c r="OV243" s="42"/>
      <c r="OW243" s="42"/>
      <c r="OX243" s="42"/>
      <c r="OY243" s="42"/>
      <c r="OZ243" s="42"/>
      <c r="PA243" s="42"/>
      <c r="PB243" s="42"/>
      <c r="PC243" s="42"/>
      <c r="PD243" s="42"/>
      <c r="PE243" s="42"/>
      <c r="PF243" s="42"/>
      <c r="PG243" s="42"/>
      <c r="PH243" s="42"/>
      <c r="PI243" s="42"/>
      <c r="PJ243" s="42"/>
      <c r="PK243" s="42"/>
      <c r="PL243" s="42"/>
      <c r="PM243" s="42"/>
      <c r="PN243" s="42"/>
      <c r="PO243" s="42"/>
      <c r="PP243" s="42"/>
      <c r="PQ243" s="42"/>
      <c r="PR243" s="42"/>
      <c r="PS243" s="42"/>
      <c r="PT243" s="42"/>
      <c r="PU243" s="42"/>
      <c r="PV243" s="42"/>
      <c r="PW243" s="42"/>
      <c r="PX243" s="42"/>
      <c r="PY243" s="42"/>
      <c r="PZ243" s="42"/>
      <c r="QA243" s="42"/>
      <c r="QB243" s="42"/>
      <c r="QC243" s="42"/>
      <c r="QD243" s="42"/>
      <c r="QE243" s="42"/>
      <c r="QF243" s="42"/>
      <c r="QG243" s="42"/>
      <c r="QH243" s="42"/>
      <c r="QI243" s="42"/>
      <c r="QJ243" s="42"/>
      <c r="QK243" s="42"/>
      <c r="QL243" s="42"/>
      <c r="QM243" s="42"/>
      <c r="QN243" s="42"/>
      <c r="QO243" s="42"/>
      <c r="QP243" s="42"/>
      <c r="QQ243" s="42"/>
      <c r="QR243" s="42"/>
      <c r="QS243" s="42"/>
      <c r="QT243" s="42"/>
      <c r="QU243" s="42"/>
      <c r="QV243" s="42"/>
      <c r="QW243" s="42"/>
      <c r="QX243" s="42"/>
      <c r="QY243" s="42"/>
      <c r="QZ243" s="42"/>
      <c r="RA243" s="42"/>
      <c r="RB243" s="42"/>
      <c r="RC243" s="42"/>
      <c r="RD243" s="42"/>
      <c r="RE243" s="42"/>
      <c r="RF243" s="42"/>
      <c r="RG243" s="42"/>
      <c r="RH243" s="42"/>
      <c r="RI243" s="42"/>
      <c r="RJ243" s="42"/>
      <c r="RK243" s="42"/>
      <c r="RL243" s="42"/>
      <c r="RM243" s="42"/>
      <c r="RN243" s="42"/>
      <c r="RO243" s="42"/>
      <c r="RP243" s="42"/>
      <c r="RQ243" s="42"/>
      <c r="RR243" s="42"/>
      <c r="RS243" s="42"/>
      <c r="RT243" s="42"/>
      <c r="RU243" s="42"/>
      <c r="RV243" s="42"/>
      <c r="RW243" s="42"/>
      <c r="RX243" s="42"/>
      <c r="RY243" s="42"/>
      <c r="RZ243" s="42"/>
      <c r="SA243" s="42"/>
      <c r="SB243" s="42"/>
      <c r="SC243" s="42"/>
      <c r="SD243" s="42"/>
      <c r="SE243" s="42"/>
      <c r="SF243" s="42"/>
      <c r="SG243" s="42"/>
      <c r="SH243" s="42"/>
      <c r="SI243" s="42"/>
      <c r="SJ243" s="42"/>
      <c r="SK243" s="42"/>
      <c r="SL243" s="42"/>
      <c r="SM243" s="42"/>
      <c r="SN243" s="42"/>
      <c r="SO243" s="42"/>
      <c r="SP243" s="42"/>
      <c r="SQ243" s="42"/>
      <c r="SR243" s="42"/>
      <c r="SS243" s="42"/>
      <c r="ST243" s="42"/>
      <c r="SU243" s="42"/>
      <c r="SV243" s="42"/>
      <c r="SW243" s="42"/>
      <c r="SX243" s="42"/>
      <c r="SY243" s="42"/>
      <c r="SZ243" s="42"/>
      <c r="TA243" s="42"/>
      <c r="TB243" s="42"/>
      <c r="TC243" s="42"/>
      <c r="TD243" s="42"/>
      <c r="TE243" s="42"/>
      <c r="TF243" s="42"/>
      <c r="TG243" s="42"/>
      <c r="TH243" s="42"/>
      <c r="TI243" s="42"/>
      <c r="TJ243" s="42"/>
      <c r="TK243" s="42"/>
      <c r="TL243" s="42"/>
      <c r="TM243" s="42"/>
      <c r="TN243" s="42"/>
      <c r="TO243" s="42"/>
      <c r="TP243" s="42"/>
      <c r="TQ243" s="42"/>
      <c r="TR243" s="42"/>
      <c r="TS243" s="42"/>
      <c r="TT243" s="42"/>
      <c r="TU243" s="42"/>
      <c r="TV243" s="42"/>
      <c r="TW243" s="42"/>
      <c r="TX243" s="42"/>
      <c r="TY243" s="42"/>
      <c r="TZ243" s="42"/>
      <c r="UA243" s="42"/>
      <c r="UB243" s="42"/>
      <c r="UC243" s="42"/>
      <c r="UD243" s="42"/>
      <c r="UE243" s="42"/>
      <c r="UF243" s="42"/>
      <c r="UG243" s="42"/>
      <c r="UH243" s="42"/>
      <c r="UI243" s="42"/>
      <c r="UJ243" s="42"/>
      <c r="UK243" s="42"/>
      <c r="UL243" s="42"/>
      <c r="UM243" s="42"/>
      <c r="UN243" s="42"/>
      <c r="UO243" s="42"/>
      <c r="UP243" s="42"/>
      <c r="UQ243" s="42"/>
      <c r="UR243" s="42"/>
      <c r="US243" s="42"/>
      <c r="UT243" s="42"/>
      <c r="UU243" s="42"/>
      <c r="UV243" s="42"/>
      <c r="UW243" s="42"/>
      <c r="UX243" s="42"/>
      <c r="UY243" s="42"/>
      <c r="UZ243" s="42"/>
      <c r="VA243" s="42"/>
      <c r="VB243" s="42"/>
      <c r="VC243" s="42"/>
      <c r="VD243" s="42"/>
      <c r="VE243" s="42"/>
      <c r="VF243" s="42"/>
      <c r="VG243" s="42"/>
      <c r="VH243" s="42"/>
      <c r="VI243" s="42"/>
      <c r="VJ243" s="42"/>
      <c r="VK243" s="42"/>
      <c r="VL243" s="42"/>
      <c r="VM243" s="42"/>
      <c r="VN243" s="42"/>
      <c r="VO243" s="42"/>
      <c r="VP243" s="42"/>
      <c r="VQ243" s="42"/>
      <c r="VR243" s="42"/>
      <c r="VS243" s="42"/>
      <c r="VT243" s="42"/>
      <c r="VU243" s="42"/>
      <c r="VV243" s="42"/>
      <c r="VW243" s="42"/>
      <c r="VX243" s="42"/>
      <c r="VY243" s="42"/>
      <c r="VZ243" s="42"/>
      <c r="WA243" s="42"/>
      <c r="WB243" s="42"/>
      <c r="WC243" s="42"/>
      <c r="WD243" s="42"/>
      <c r="WE243" s="42"/>
      <c r="WF243" s="42"/>
      <c r="WG243" s="42"/>
      <c r="WH243" s="42"/>
      <c r="WI243" s="42"/>
      <c r="WJ243" s="42"/>
      <c r="WK243" s="42"/>
      <c r="WL243" s="42"/>
      <c r="WM243" s="42"/>
      <c r="WN243" s="42"/>
      <c r="WO243" s="42"/>
      <c r="WP243" s="42"/>
      <c r="WQ243" s="42"/>
      <c r="WR243" s="42"/>
      <c r="WS243" s="42"/>
      <c r="WT243" s="42"/>
      <c r="WU243" s="42"/>
      <c r="WV243" s="42"/>
      <c r="WW243" s="42"/>
      <c r="WX243" s="42"/>
      <c r="WY243" s="42"/>
      <c r="WZ243" s="42"/>
      <c r="XA243" s="42"/>
      <c r="XB243" s="42"/>
      <c r="XC243" s="42"/>
      <c r="XD243" s="42"/>
      <c r="XE243" s="42"/>
      <c r="XF243" s="42"/>
      <c r="XG243" s="42"/>
      <c r="XH243" s="42"/>
      <c r="XI243" s="42"/>
      <c r="XJ243" s="42"/>
      <c r="XK243" s="42"/>
      <c r="XL243" s="42"/>
      <c r="XM243" s="42"/>
      <c r="XN243" s="42"/>
      <c r="XO243" s="42"/>
      <c r="XP243" s="42"/>
      <c r="XQ243" s="42"/>
      <c r="XR243" s="42"/>
      <c r="XS243" s="42"/>
      <c r="XT243" s="42"/>
      <c r="XU243" s="42"/>
      <c r="XV243" s="42"/>
      <c r="XW243" s="42"/>
      <c r="XX243" s="42"/>
      <c r="XY243" s="42"/>
      <c r="XZ243" s="42"/>
      <c r="YA243" s="42"/>
      <c r="YB243" s="42"/>
      <c r="YC243" s="42"/>
      <c r="YD243" s="42"/>
      <c r="YE243" s="42"/>
      <c r="YF243" s="42"/>
      <c r="YG243" s="42"/>
      <c r="YH243" s="42"/>
      <c r="YI243" s="42"/>
      <c r="YJ243" s="42"/>
      <c r="YK243" s="42"/>
      <c r="YL243" s="42"/>
      <c r="YM243" s="42"/>
      <c r="YN243" s="42"/>
      <c r="YO243" s="42"/>
      <c r="YP243" s="42"/>
      <c r="YQ243" s="42"/>
      <c r="YR243" s="42"/>
      <c r="YS243" s="42"/>
      <c r="YT243" s="42"/>
      <c r="YU243" s="42"/>
      <c r="YV243" s="42"/>
      <c r="YW243" s="42"/>
      <c r="YX243" s="42"/>
      <c r="YY243" s="42"/>
      <c r="YZ243" s="42"/>
      <c r="ZA243" s="42"/>
      <c r="ZB243" s="42"/>
      <c r="ZC243" s="42"/>
      <c r="ZD243" s="42"/>
      <c r="ZE243" s="42"/>
      <c r="ZF243" s="42"/>
      <c r="ZG243" s="42"/>
      <c r="ZH243" s="42"/>
      <c r="ZI243" s="42"/>
      <c r="ZJ243" s="42"/>
      <c r="ZK243" s="42"/>
      <c r="ZL243" s="42"/>
      <c r="ZM243" s="42"/>
      <c r="ZN243" s="42"/>
      <c r="ZO243" s="42"/>
      <c r="ZP243" s="42"/>
      <c r="ZQ243" s="42"/>
      <c r="ZR243" s="42"/>
      <c r="ZS243" s="42"/>
      <c r="ZT243" s="42"/>
      <c r="ZU243" s="42"/>
      <c r="ZV243" s="42"/>
      <c r="ZW243" s="42"/>
      <c r="ZX243" s="42"/>
      <c r="ZY243" s="42"/>
      <c r="ZZ243" s="42"/>
      <c r="AAA243" s="42"/>
      <c r="AAB243" s="42"/>
      <c r="AAC243" s="42"/>
      <c r="AAD243" s="42"/>
      <c r="AAE243" s="42"/>
      <c r="AAF243" s="42"/>
      <c r="AAG243" s="42"/>
      <c r="AAH243" s="42"/>
      <c r="AAI243" s="42"/>
      <c r="AAJ243" s="42"/>
      <c r="AAK243" s="42"/>
      <c r="AAL243" s="42"/>
      <c r="AAM243" s="42"/>
      <c r="AAN243" s="42"/>
      <c r="AAO243" s="42"/>
      <c r="AAP243" s="42"/>
      <c r="AAQ243" s="42"/>
      <c r="AAR243" s="42"/>
      <c r="AAS243" s="42"/>
      <c r="AAT243" s="42"/>
      <c r="AAU243" s="42"/>
      <c r="AAV243" s="42"/>
      <c r="AAW243" s="42"/>
      <c r="AAX243" s="42"/>
      <c r="AAY243" s="42"/>
      <c r="AAZ243" s="42"/>
      <c r="ABA243" s="42"/>
      <c r="ABB243" s="42"/>
      <c r="ABC243" s="42"/>
      <c r="ABD243" s="42"/>
      <c r="ABE243" s="42"/>
      <c r="ABF243" s="42"/>
      <c r="ABG243" s="42"/>
      <c r="ABH243" s="42"/>
      <c r="ABI243" s="42"/>
      <c r="ABJ243" s="42"/>
      <c r="ABK243" s="42"/>
      <c r="ABL243" s="42"/>
      <c r="ABM243" s="42"/>
      <c r="ABN243" s="42"/>
      <c r="ABO243" s="42"/>
      <c r="ABP243" s="42"/>
      <c r="ABQ243" s="42"/>
      <c r="ABR243" s="42"/>
      <c r="ABS243" s="42"/>
      <c r="ABT243" s="42"/>
      <c r="ABU243" s="42"/>
      <c r="ABV243" s="42"/>
      <c r="ABW243" s="42"/>
      <c r="ABX243" s="42"/>
      <c r="ABY243" s="42"/>
      <c r="ABZ243" s="42"/>
      <c r="ACA243" s="42"/>
      <c r="ACB243" s="42"/>
      <c r="ACC243" s="42"/>
      <c r="ACD243" s="42"/>
      <c r="ACE243" s="42"/>
      <c r="ACF243" s="42"/>
      <c r="ACG243" s="42"/>
      <c r="ACH243" s="42"/>
      <c r="ACI243" s="42"/>
      <c r="ACJ243" s="42"/>
      <c r="ACK243" s="42"/>
      <c r="ACL243" s="42"/>
      <c r="ACM243" s="42"/>
      <c r="ACN243" s="42"/>
      <c r="ACO243" s="42"/>
      <c r="ACP243" s="42"/>
      <c r="ACQ243" s="42"/>
      <c r="ACR243" s="42"/>
      <c r="ACS243" s="42"/>
      <c r="ACT243" s="42"/>
      <c r="ACU243" s="42"/>
      <c r="ACV243" s="42"/>
      <c r="ACW243" s="42"/>
      <c r="ACX243" s="42"/>
      <c r="ACY243" s="42"/>
      <c r="ACZ243" s="42"/>
      <c r="ADA243" s="42"/>
      <c r="ADB243" s="42"/>
      <c r="ADC243" s="42"/>
      <c r="ADD243" s="42"/>
      <c r="ADE243" s="42"/>
      <c r="ADF243" s="42"/>
      <c r="ADG243" s="42"/>
      <c r="ADH243" s="42"/>
      <c r="ADI243" s="42"/>
      <c r="ADJ243" s="42"/>
      <c r="ADK243" s="42"/>
      <c r="ADL243" s="42"/>
      <c r="ADM243" s="42"/>
      <c r="ADN243" s="42"/>
      <c r="ADO243" s="42"/>
      <c r="ADP243" s="42"/>
      <c r="ADQ243" s="42"/>
      <c r="ADR243" s="42"/>
      <c r="ADS243" s="42"/>
      <c r="ADT243" s="42"/>
      <c r="ADU243" s="42"/>
      <c r="ADV243" s="42"/>
      <c r="ADW243" s="42"/>
      <c r="ADX243" s="42"/>
      <c r="ADY243" s="42"/>
      <c r="ADZ243" s="42"/>
      <c r="AEA243" s="42"/>
      <c r="AEB243" s="42"/>
      <c r="AEC243" s="42"/>
      <c r="AED243" s="42"/>
      <c r="AEE243" s="42"/>
      <c r="AEF243" s="42"/>
      <c r="AEG243" s="42"/>
      <c r="AEH243" s="42"/>
      <c r="AEI243" s="42"/>
      <c r="AEJ243" s="42"/>
      <c r="AEK243" s="42"/>
      <c r="AEL243" s="42"/>
      <c r="AEM243" s="42"/>
      <c r="AEN243" s="42"/>
      <c r="AEO243" s="42"/>
      <c r="AEP243" s="42"/>
      <c r="AEQ243" s="42"/>
      <c r="AER243" s="42"/>
      <c r="AES243" s="42"/>
      <c r="AET243" s="42"/>
      <c r="AEU243" s="42"/>
      <c r="AEV243" s="42"/>
      <c r="AEW243" s="42"/>
      <c r="AEX243" s="42"/>
      <c r="AEY243" s="42"/>
      <c r="AEZ243" s="42"/>
      <c r="AFA243" s="42"/>
      <c r="AFB243" s="42"/>
      <c r="AFC243" s="42"/>
      <c r="AFD243" s="42"/>
      <c r="AFE243" s="42"/>
      <c r="AFF243" s="42"/>
      <c r="AFG243" s="42"/>
      <c r="AFH243" s="42"/>
      <c r="AFI243" s="42"/>
      <c r="AFJ243" s="42"/>
      <c r="AFK243" s="42"/>
      <c r="AFL243" s="42"/>
      <c r="AFM243" s="42"/>
      <c r="AFN243" s="42"/>
      <c r="AFO243" s="42"/>
      <c r="AFP243" s="42"/>
      <c r="AFQ243" s="42"/>
      <c r="AFR243" s="42"/>
      <c r="AFS243" s="42"/>
      <c r="AFT243" s="42"/>
      <c r="AFU243" s="42"/>
      <c r="AFV243" s="42"/>
      <c r="AFW243" s="42"/>
      <c r="AFX243" s="42"/>
      <c r="AFY243" s="42"/>
      <c r="AFZ243" s="42"/>
      <c r="AGA243" s="42"/>
      <c r="AGB243" s="42"/>
      <c r="AGC243" s="42"/>
      <c r="AGD243" s="42"/>
      <c r="AGE243" s="42"/>
      <c r="AGF243" s="42"/>
      <c r="AGG243" s="42"/>
      <c r="AGH243" s="42"/>
      <c r="AGI243" s="42"/>
      <c r="AGJ243" s="42"/>
      <c r="AGK243" s="42"/>
      <c r="AGL243" s="42"/>
      <c r="AGM243" s="42"/>
      <c r="AGN243" s="42"/>
      <c r="AGO243" s="42"/>
      <c r="AGP243" s="42"/>
      <c r="AGQ243" s="42"/>
      <c r="AGR243" s="42"/>
      <c r="AGS243" s="42"/>
      <c r="AGT243" s="42"/>
      <c r="AGU243" s="42"/>
      <c r="AGV243" s="42"/>
      <c r="AGW243" s="42"/>
      <c r="AGX243" s="42"/>
      <c r="AGY243" s="42"/>
      <c r="AGZ243" s="42"/>
      <c r="AHA243" s="42"/>
      <c r="AHB243" s="42"/>
      <c r="AHC243" s="42"/>
      <c r="AHD243" s="42"/>
      <c r="AHE243" s="42"/>
      <c r="AHF243" s="42"/>
      <c r="AHG243" s="42"/>
      <c r="AHH243" s="42"/>
      <c r="AHI243" s="42"/>
      <c r="AHJ243" s="42"/>
      <c r="AHK243" s="42"/>
      <c r="AHL243" s="42"/>
      <c r="AHM243" s="42"/>
      <c r="AHN243" s="42"/>
      <c r="AHO243" s="42"/>
      <c r="AHP243" s="42"/>
      <c r="AHQ243" s="42"/>
      <c r="AHR243" s="42"/>
      <c r="AHS243" s="42"/>
      <c r="AHT243" s="42"/>
      <c r="AHU243" s="42"/>
      <c r="AHV243" s="42"/>
      <c r="AHW243" s="42"/>
      <c r="AHX243" s="42"/>
      <c r="AHY243" s="42"/>
      <c r="AHZ243" s="42"/>
      <c r="AIA243" s="42"/>
      <c r="AIB243" s="42"/>
      <c r="AIC243" s="42"/>
      <c r="AID243" s="42"/>
      <c r="AIE243" s="42"/>
      <c r="AIF243" s="42"/>
      <c r="AIG243" s="42"/>
      <c r="AIH243" s="42"/>
      <c r="AII243" s="42"/>
      <c r="AIJ243" s="42"/>
      <c r="AIK243" s="42"/>
      <c r="AIL243" s="42"/>
      <c r="AIM243" s="42"/>
      <c r="AIN243" s="42"/>
      <c r="AIO243" s="42"/>
      <c r="AIP243" s="42"/>
      <c r="AIQ243" s="42"/>
      <c r="AIR243" s="42"/>
      <c r="AIS243" s="42"/>
      <c r="AIT243" s="42"/>
      <c r="AIU243" s="42"/>
      <c r="AIV243" s="42"/>
      <c r="AIW243" s="42"/>
      <c r="AIX243" s="42"/>
      <c r="AIY243" s="42"/>
      <c r="AIZ243" s="42"/>
      <c r="AJA243" s="42"/>
      <c r="AJB243" s="42"/>
      <c r="AJC243" s="42"/>
      <c r="AJD243" s="42"/>
      <c r="AJE243" s="42"/>
      <c r="AJF243" s="42"/>
      <c r="AJG243" s="42"/>
      <c r="AJH243" s="42"/>
      <c r="AJI243" s="42"/>
      <c r="AJJ243" s="42"/>
      <c r="AJK243" s="42"/>
      <c r="AJL243" s="42"/>
      <c r="AJM243" s="42"/>
      <c r="AJN243" s="42"/>
      <c r="AJO243" s="42"/>
      <c r="AJP243" s="42"/>
      <c r="AJQ243" s="42"/>
      <c r="AJR243" s="42"/>
      <c r="AJS243" s="42"/>
      <c r="AJT243" s="42"/>
      <c r="AJU243" s="42"/>
      <c r="AJV243" s="42"/>
      <c r="AJW243" s="42"/>
      <c r="AJX243" s="42"/>
      <c r="AJY243" s="42"/>
      <c r="AJZ243" s="42"/>
      <c r="AKA243" s="42"/>
      <c r="AKB243" s="42"/>
      <c r="AKC243" s="42"/>
      <c r="AKD243" s="42"/>
      <c r="AKE243" s="42"/>
      <c r="AKF243" s="42"/>
      <c r="AKG243" s="42"/>
      <c r="AKH243" s="42"/>
      <c r="AKI243" s="42"/>
      <c r="AKJ243" s="42"/>
      <c r="AKK243" s="42"/>
      <c r="AKL243" s="42"/>
      <c r="AKM243" s="42"/>
      <c r="AKN243" s="42"/>
      <c r="AKO243" s="42"/>
      <c r="AKP243" s="42"/>
      <c r="AKQ243" s="42"/>
      <c r="AKR243" s="42"/>
      <c r="AKS243" s="42"/>
      <c r="AKT243" s="42"/>
      <c r="AKU243" s="42"/>
      <c r="AKV243" s="42"/>
      <c r="AKW243" s="42"/>
      <c r="AKX243" s="42"/>
      <c r="AKY243" s="42"/>
      <c r="AKZ243" s="42"/>
      <c r="ALA243" s="42"/>
      <c r="ALB243" s="42"/>
      <c r="ALC243" s="42"/>
      <c r="ALD243" s="42"/>
      <c r="ALE243" s="42"/>
      <c r="ALF243" s="42"/>
      <c r="ALG243" s="42"/>
      <c r="ALH243" s="42"/>
      <c r="ALI243" s="42"/>
      <c r="ALJ243" s="42"/>
      <c r="ALK243" s="42"/>
      <c r="ALL243" s="42"/>
      <c r="ALM243" s="42"/>
      <c r="ALN243" s="42"/>
      <c r="ALO243" s="42"/>
      <c r="ALP243" s="42"/>
      <c r="ALQ243" s="42"/>
      <c r="ALR243" s="42"/>
      <c r="ALS243" s="42"/>
      <c r="ALT243" s="42"/>
      <c r="ALU243" s="42"/>
      <c r="ALV243" s="42"/>
      <c r="ALW243" s="42"/>
      <c r="ALX243" s="42"/>
      <c r="ALY243" s="42"/>
      <c r="ALZ243" s="42"/>
      <c r="AMA243" s="42"/>
      <c r="AMB243" s="42"/>
      <c r="AMC243" s="42"/>
      <c r="AMD243" s="42"/>
      <c r="AME243" s="42"/>
      <c r="AMF243" s="42"/>
      <c r="AMG243" s="42"/>
      <c r="AMH243" s="42"/>
      <c r="AMI243" s="42"/>
      <c r="AMJ243" s="42"/>
      <c r="AMK243" s="42"/>
      <c r="AML243" s="42"/>
      <c r="AMM243" s="42"/>
      <c r="AMN243" s="42"/>
      <c r="AMO243" s="42"/>
      <c r="AMP243" s="42"/>
      <c r="AMQ243" s="42"/>
      <c r="AMR243" s="42"/>
      <c r="AMS243" s="42"/>
      <c r="AMT243" s="42"/>
      <c r="AMU243" s="42"/>
      <c r="AMV243" s="42"/>
      <c r="AMW243" s="42"/>
      <c r="AMX243" s="42"/>
      <c r="AMY243" s="42"/>
      <c r="AMZ243" s="42"/>
      <c r="ANA243" s="42"/>
      <c r="ANB243" s="42"/>
      <c r="ANC243" s="42"/>
      <c r="AND243" s="42"/>
      <c r="ANE243" s="42"/>
      <c r="ANF243" s="42"/>
      <c r="ANG243" s="42"/>
      <c r="ANH243" s="42"/>
      <c r="ANI243" s="42"/>
      <c r="ANJ243" s="42"/>
      <c r="ANK243" s="42"/>
      <c r="ANL243" s="42"/>
      <c r="ANM243" s="42"/>
      <c r="ANN243" s="42"/>
      <c r="ANO243" s="42"/>
      <c r="ANP243" s="42"/>
      <c r="ANQ243" s="42"/>
      <c r="ANR243" s="42"/>
      <c r="ANS243" s="42"/>
      <c r="ANT243" s="42"/>
      <c r="ANU243" s="42"/>
      <c r="ANV243" s="42"/>
      <c r="ANW243" s="42"/>
      <c r="ANX243" s="42"/>
      <c r="ANY243" s="42"/>
      <c r="ANZ243" s="42"/>
      <c r="AOA243" s="42"/>
      <c r="AOB243" s="42"/>
      <c r="AOC243" s="42"/>
      <c r="AOD243" s="42"/>
      <c r="AOE243" s="42"/>
      <c r="AOF243" s="42"/>
      <c r="AOG243" s="42"/>
      <c r="AOH243" s="42"/>
      <c r="AOI243" s="42"/>
      <c r="AOJ243" s="42"/>
      <c r="AOK243" s="42"/>
      <c r="AOL243" s="42"/>
      <c r="AOM243" s="42"/>
      <c r="AON243" s="42"/>
      <c r="AOO243" s="42"/>
      <c r="AOP243" s="42"/>
      <c r="AOQ243" s="42"/>
      <c r="AOR243" s="42"/>
      <c r="AOS243" s="42"/>
      <c r="AOT243" s="42"/>
      <c r="AOU243" s="42"/>
      <c r="AOV243" s="42"/>
      <c r="AOW243" s="42"/>
      <c r="AOX243" s="42"/>
      <c r="AOY243" s="42"/>
      <c r="AOZ243" s="42"/>
      <c r="APA243" s="42"/>
      <c r="APB243" s="42"/>
      <c r="APC243" s="42"/>
      <c r="APD243" s="42"/>
      <c r="APE243" s="42"/>
      <c r="APF243" s="42"/>
      <c r="APG243" s="42"/>
      <c r="APH243" s="42"/>
      <c r="API243" s="42"/>
      <c r="APJ243" s="42"/>
      <c r="APK243" s="42"/>
      <c r="APL243" s="42"/>
      <c r="APM243" s="42"/>
      <c r="APN243" s="42"/>
      <c r="APO243" s="42"/>
      <c r="APP243" s="42"/>
      <c r="APQ243" s="42"/>
      <c r="APR243" s="42"/>
      <c r="APS243" s="42"/>
      <c r="APT243" s="42"/>
      <c r="APU243" s="42"/>
      <c r="APV243" s="42"/>
      <c r="APW243" s="42"/>
      <c r="APX243" s="42"/>
      <c r="APY243" s="42"/>
      <c r="APZ243" s="42"/>
      <c r="AQA243" s="42"/>
      <c r="AQB243" s="42"/>
      <c r="AQC243" s="42"/>
      <c r="AQD243" s="42"/>
      <c r="AQE243" s="42"/>
      <c r="AQF243" s="42"/>
      <c r="AQG243" s="42"/>
      <c r="AQH243" s="42"/>
      <c r="AQI243" s="42"/>
      <c r="AQJ243" s="42"/>
      <c r="AQK243" s="42"/>
      <c r="AQL243" s="42"/>
      <c r="AQM243" s="42"/>
      <c r="AQN243" s="42"/>
      <c r="AQO243" s="42"/>
      <c r="AQP243" s="42"/>
      <c r="AQQ243" s="42"/>
      <c r="AQR243" s="42"/>
      <c r="AQS243" s="42"/>
      <c r="AQT243" s="42"/>
      <c r="AQU243" s="42"/>
      <c r="AQV243" s="42"/>
      <c r="AQW243" s="42"/>
      <c r="AQX243" s="42"/>
      <c r="AQY243" s="42"/>
      <c r="AQZ243" s="42"/>
      <c r="ARA243" s="42"/>
      <c r="ARB243" s="42"/>
      <c r="ARC243" s="42"/>
      <c r="ARD243" s="42"/>
      <c r="ARE243" s="42"/>
      <c r="ARF243" s="42"/>
      <c r="ARG243" s="42"/>
      <c r="ARH243" s="42"/>
      <c r="ARI243" s="42"/>
      <c r="ARJ243" s="42"/>
      <c r="ARK243" s="42"/>
      <c r="ARL243" s="42"/>
      <c r="ARM243" s="42"/>
      <c r="ARN243" s="42"/>
      <c r="ARO243" s="42"/>
      <c r="ARP243" s="42"/>
      <c r="ARQ243" s="42"/>
      <c r="ARR243" s="42"/>
      <c r="ARS243" s="42"/>
      <c r="ART243" s="42"/>
      <c r="ARU243" s="42"/>
      <c r="ARV243" s="42"/>
      <c r="ARW243" s="42"/>
      <c r="ARX243" s="42"/>
      <c r="ARY243" s="42"/>
      <c r="ARZ243" s="42"/>
      <c r="ASA243" s="42"/>
      <c r="ASB243" s="42"/>
      <c r="ASC243" s="42"/>
      <c r="ASD243" s="42"/>
      <c r="ASE243" s="42"/>
      <c r="ASF243" s="42"/>
      <c r="ASG243" s="42"/>
      <c r="ASH243" s="42"/>
      <c r="ASI243" s="42"/>
      <c r="ASJ243" s="42"/>
      <c r="ASK243" s="42"/>
      <c r="ASL243" s="42"/>
      <c r="ASM243" s="42"/>
      <c r="ASN243" s="42"/>
      <c r="ASO243" s="42"/>
      <c r="ASP243" s="42"/>
      <c r="ASQ243" s="42"/>
      <c r="ASR243" s="42"/>
      <c r="ASS243" s="42"/>
      <c r="AST243" s="42"/>
      <c r="ASU243" s="42"/>
      <c r="ASV243" s="42"/>
      <c r="ASW243" s="42"/>
      <c r="ASX243" s="42"/>
      <c r="ASY243" s="42"/>
      <c r="ASZ243" s="42"/>
      <c r="ATA243" s="42"/>
      <c r="ATB243" s="42"/>
      <c r="ATC243" s="42"/>
      <c r="ATD243" s="42"/>
      <c r="ATE243" s="42"/>
      <c r="ATF243" s="42"/>
      <c r="ATG243" s="42"/>
      <c r="ATH243" s="42"/>
      <c r="ATI243" s="42"/>
      <c r="ATJ243" s="42"/>
      <c r="ATK243" s="42"/>
      <c r="ATL243" s="42"/>
      <c r="ATM243" s="42"/>
      <c r="ATN243" s="42"/>
      <c r="ATO243" s="42"/>
      <c r="ATP243" s="42"/>
      <c r="ATQ243" s="42"/>
      <c r="ATR243" s="42"/>
      <c r="ATS243" s="42"/>
      <c r="ATT243" s="42"/>
      <c r="ATU243" s="42"/>
      <c r="ATV243" s="42"/>
      <c r="ATW243" s="42"/>
      <c r="ATX243" s="42"/>
      <c r="ATY243" s="42"/>
      <c r="ATZ243" s="42"/>
      <c r="AUA243" s="42"/>
      <c r="AUB243" s="42"/>
      <c r="AUC243" s="42"/>
      <c r="AUD243" s="42"/>
      <c r="AUE243" s="42"/>
      <c r="AUF243" s="42"/>
      <c r="AUG243" s="42"/>
      <c r="AUH243" s="42"/>
      <c r="AUI243" s="42"/>
      <c r="AUJ243" s="42"/>
      <c r="AUK243" s="42"/>
      <c r="AUL243" s="42"/>
      <c r="AUM243" s="42"/>
      <c r="AUN243" s="42"/>
      <c r="AUO243" s="42"/>
      <c r="AUP243" s="42"/>
      <c r="AUQ243" s="42"/>
      <c r="AUR243" s="42"/>
      <c r="AUS243" s="42"/>
      <c r="AUT243" s="42"/>
      <c r="AUU243" s="42"/>
      <c r="AUV243" s="42"/>
      <c r="AUW243" s="42"/>
      <c r="AUX243" s="42"/>
      <c r="AUY243" s="42"/>
      <c r="AUZ243" s="42"/>
      <c r="AVA243" s="42"/>
      <c r="AVB243" s="42"/>
      <c r="AVC243" s="42"/>
      <c r="AVD243" s="42"/>
      <c r="AVE243" s="42"/>
      <c r="AVF243" s="42"/>
      <c r="AVG243" s="42"/>
      <c r="AVH243" s="42"/>
      <c r="AVI243" s="42"/>
      <c r="AVJ243" s="42"/>
      <c r="AVK243" s="42"/>
      <c r="AVL243" s="42"/>
      <c r="AVM243" s="42"/>
      <c r="AVN243" s="42"/>
      <c r="AVO243" s="42"/>
      <c r="AVP243" s="42"/>
      <c r="AVQ243" s="42"/>
      <c r="AVR243" s="42"/>
      <c r="AVS243" s="42"/>
      <c r="AVT243" s="42"/>
      <c r="AVU243" s="42"/>
      <c r="AVV243" s="42"/>
      <c r="AVW243" s="42"/>
      <c r="AVX243" s="42"/>
      <c r="AVY243" s="42"/>
      <c r="AVZ243" s="42"/>
      <c r="AWA243" s="42"/>
      <c r="AWB243" s="42"/>
      <c r="AWC243" s="42"/>
      <c r="AWD243" s="42"/>
      <c r="AWE243" s="42"/>
      <c r="AWF243" s="42"/>
      <c r="AWG243" s="42"/>
      <c r="AWH243" s="42"/>
      <c r="AWI243" s="42"/>
      <c r="AWJ243" s="42"/>
      <c r="AWK243" s="42"/>
      <c r="AWL243" s="42"/>
      <c r="AWM243" s="42"/>
      <c r="AWN243" s="42"/>
      <c r="AWO243" s="42"/>
      <c r="AWP243" s="42"/>
      <c r="AWQ243" s="42"/>
      <c r="AWR243" s="42"/>
      <c r="AWS243" s="42"/>
      <c r="AWT243" s="42"/>
      <c r="AWU243" s="42"/>
      <c r="AWV243" s="42"/>
      <c r="AWW243" s="42"/>
      <c r="AWX243" s="42"/>
      <c r="AWY243" s="42"/>
      <c r="AWZ243" s="42"/>
      <c r="AXA243" s="42"/>
      <c r="AXB243" s="42"/>
      <c r="AXC243" s="42"/>
      <c r="AXD243" s="42"/>
      <c r="AXE243" s="42"/>
      <c r="AXF243" s="42"/>
      <c r="AXG243" s="42"/>
      <c r="AXH243" s="42"/>
      <c r="AXI243" s="42"/>
      <c r="AXJ243" s="42"/>
      <c r="AXK243" s="42"/>
      <c r="AXL243" s="42"/>
      <c r="AXM243" s="42"/>
      <c r="AXN243" s="42"/>
      <c r="AXO243" s="42"/>
      <c r="AXP243" s="42"/>
      <c r="AXQ243" s="42"/>
      <c r="AXR243" s="42"/>
      <c r="AXS243" s="42"/>
      <c r="AXT243" s="42"/>
      <c r="AXU243" s="42"/>
      <c r="AXV243" s="42"/>
      <c r="AXW243" s="42"/>
      <c r="AXX243" s="42"/>
      <c r="AXY243" s="42"/>
      <c r="AXZ243" s="42"/>
      <c r="AYA243" s="42"/>
      <c r="AYB243" s="42"/>
      <c r="AYC243" s="42"/>
      <c r="AYD243" s="42"/>
      <c r="AYE243" s="42"/>
      <c r="AYF243" s="42"/>
      <c r="AYG243" s="42"/>
      <c r="AYH243" s="42"/>
      <c r="AYI243" s="42"/>
      <c r="AYJ243" s="42"/>
      <c r="AYK243" s="42"/>
      <c r="AYL243" s="42"/>
      <c r="AYM243" s="42"/>
      <c r="AYN243" s="42"/>
      <c r="AYO243" s="42"/>
      <c r="AYP243" s="42"/>
      <c r="AYQ243" s="42"/>
      <c r="AYR243" s="42"/>
      <c r="AYS243" s="42"/>
      <c r="AYT243" s="42"/>
      <c r="AYU243" s="42"/>
      <c r="AYV243" s="42"/>
      <c r="AYW243" s="42"/>
      <c r="AYX243" s="42"/>
      <c r="AYY243" s="42"/>
      <c r="AYZ243" s="42"/>
      <c r="AZA243" s="42"/>
      <c r="AZB243" s="42"/>
      <c r="AZC243" s="42"/>
      <c r="AZD243" s="42"/>
      <c r="AZE243" s="42"/>
      <c r="AZF243" s="42"/>
      <c r="AZG243" s="42"/>
      <c r="AZH243" s="42"/>
      <c r="AZI243" s="42"/>
      <c r="AZJ243" s="42"/>
      <c r="AZK243" s="42"/>
      <c r="AZL243" s="42"/>
      <c r="AZM243" s="42"/>
      <c r="AZN243" s="42"/>
      <c r="AZO243" s="42"/>
      <c r="AZP243" s="42"/>
      <c r="AZQ243" s="42"/>
      <c r="AZR243" s="42"/>
      <c r="AZS243" s="42"/>
      <c r="AZT243" s="42"/>
      <c r="AZU243" s="42"/>
      <c r="AZV243" s="42"/>
      <c r="AZW243" s="42"/>
      <c r="AZX243" s="42"/>
      <c r="AZY243" s="42"/>
      <c r="AZZ243" s="42"/>
      <c r="BAA243" s="42"/>
      <c r="BAB243" s="42"/>
      <c r="BAC243" s="42"/>
      <c r="BAD243" s="42"/>
      <c r="BAE243" s="42"/>
      <c r="BAF243" s="42"/>
      <c r="BAG243" s="42"/>
      <c r="BAH243" s="42"/>
      <c r="BAI243" s="42"/>
      <c r="BAJ243" s="42"/>
      <c r="BAK243" s="42"/>
      <c r="BAL243" s="42"/>
      <c r="BAM243" s="42"/>
      <c r="BAN243" s="42"/>
      <c r="BAO243" s="42"/>
      <c r="BAP243" s="42"/>
      <c r="BAQ243" s="42"/>
      <c r="BAR243" s="42"/>
      <c r="BAS243" s="42"/>
      <c r="BAT243" s="42"/>
      <c r="BAU243" s="42"/>
      <c r="BAV243" s="42"/>
      <c r="BAW243" s="42"/>
      <c r="BAX243" s="42"/>
      <c r="BAY243" s="42"/>
      <c r="BAZ243" s="42"/>
      <c r="BBA243" s="42"/>
      <c r="BBB243" s="42"/>
      <c r="BBC243" s="42"/>
      <c r="BBD243" s="42"/>
      <c r="BBE243" s="42"/>
      <c r="BBF243" s="42"/>
      <c r="BBG243" s="42"/>
      <c r="BBH243" s="42"/>
      <c r="BBI243" s="42"/>
      <c r="BBJ243" s="42"/>
      <c r="BBK243" s="42"/>
      <c r="BBL243" s="42"/>
      <c r="BBM243" s="42"/>
      <c r="BBN243" s="42"/>
      <c r="BBO243" s="42"/>
      <c r="BBP243" s="42"/>
      <c r="BBQ243" s="42"/>
      <c r="BBR243" s="42"/>
      <c r="BBS243" s="42"/>
      <c r="BBT243" s="42"/>
      <c r="BBU243" s="42"/>
      <c r="BBV243" s="42"/>
      <c r="BBW243" s="42"/>
      <c r="BBX243" s="42"/>
      <c r="BBY243" s="42"/>
      <c r="BBZ243" s="42"/>
      <c r="BCA243" s="42"/>
      <c r="BCB243" s="42"/>
      <c r="BCC243" s="42"/>
      <c r="BCD243" s="42"/>
      <c r="BCE243" s="42"/>
      <c r="BCF243" s="42"/>
      <c r="BCG243" s="42"/>
      <c r="BCH243" s="42"/>
      <c r="BCI243" s="42"/>
      <c r="BCJ243" s="42"/>
      <c r="BCK243" s="42"/>
      <c r="BCL243" s="42"/>
      <c r="BCM243" s="42"/>
      <c r="BCN243" s="42"/>
      <c r="BCO243" s="42"/>
      <c r="BCP243" s="42"/>
      <c r="BCQ243" s="42"/>
      <c r="BCR243" s="42"/>
      <c r="BCS243" s="42"/>
      <c r="BCT243" s="42"/>
      <c r="BCU243" s="42"/>
      <c r="BCV243" s="42"/>
      <c r="BCW243" s="42"/>
      <c r="BCX243" s="42"/>
      <c r="BCY243" s="42"/>
      <c r="BCZ243" s="42"/>
      <c r="BDA243" s="42"/>
      <c r="BDB243" s="42"/>
      <c r="BDC243" s="42"/>
      <c r="BDD243" s="42"/>
      <c r="BDE243" s="42"/>
      <c r="BDF243" s="42"/>
      <c r="BDG243" s="42"/>
      <c r="BDH243" s="42"/>
      <c r="BDI243" s="42"/>
      <c r="BDJ243" s="42"/>
      <c r="BDK243" s="42"/>
      <c r="BDL243" s="42"/>
      <c r="BDM243" s="42"/>
      <c r="BDN243" s="42"/>
      <c r="BDO243" s="42"/>
      <c r="BDP243" s="42"/>
      <c r="BDQ243" s="42"/>
      <c r="BDR243" s="42"/>
      <c r="BDS243" s="42"/>
      <c r="BDT243" s="42"/>
      <c r="BDU243" s="42"/>
      <c r="BDV243" s="42"/>
      <c r="BDW243" s="42"/>
      <c r="BDX243" s="42"/>
      <c r="BDY243" s="42"/>
      <c r="BDZ243" s="42"/>
      <c r="BEA243" s="42"/>
      <c r="BEB243" s="42"/>
      <c r="BEC243" s="42"/>
      <c r="BED243" s="42"/>
      <c r="BEE243" s="42"/>
      <c r="BEF243" s="42"/>
      <c r="BEG243" s="42"/>
      <c r="BEH243" s="42"/>
      <c r="BEI243" s="42"/>
      <c r="BEJ243" s="42"/>
      <c r="BEK243" s="42"/>
      <c r="BEL243" s="42"/>
      <c r="BEM243" s="42"/>
      <c r="BEN243" s="42"/>
      <c r="BEO243" s="42"/>
      <c r="BEP243" s="42"/>
      <c r="BEQ243" s="42"/>
      <c r="BER243" s="42"/>
      <c r="BES243" s="42"/>
      <c r="BET243" s="42"/>
      <c r="BEU243" s="42"/>
      <c r="BEV243" s="42"/>
      <c r="BEW243" s="42"/>
      <c r="BEX243" s="42"/>
      <c r="BEY243" s="42"/>
      <c r="BEZ243" s="42"/>
      <c r="BFA243" s="42"/>
      <c r="BFB243" s="42"/>
      <c r="BFC243" s="42"/>
      <c r="BFD243" s="42"/>
      <c r="BFE243" s="42"/>
      <c r="BFF243" s="42"/>
      <c r="BFG243" s="42"/>
      <c r="BFH243" s="42"/>
      <c r="BFI243" s="42"/>
      <c r="BFJ243" s="42"/>
      <c r="BFK243" s="42"/>
      <c r="BFL243" s="42"/>
      <c r="BFM243" s="42"/>
      <c r="BFN243" s="42"/>
      <c r="BFO243" s="42"/>
      <c r="BFP243" s="42"/>
      <c r="BFQ243" s="42"/>
      <c r="BFR243" s="42"/>
      <c r="BFS243" s="42"/>
      <c r="BFT243" s="42"/>
      <c r="BFU243" s="42"/>
      <c r="BFV243" s="42"/>
      <c r="BFW243" s="42"/>
      <c r="BFX243" s="42"/>
      <c r="BFY243" s="42"/>
      <c r="BFZ243" s="42"/>
      <c r="BGA243" s="42"/>
      <c r="BGB243" s="42"/>
      <c r="BGC243" s="42"/>
      <c r="BGD243" s="42"/>
      <c r="BGE243" s="42"/>
      <c r="BGF243" s="42"/>
      <c r="BGG243" s="42"/>
      <c r="BGH243" s="42"/>
      <c r="BGI243" s="42"/>
      <c r="BGJ243" s="42"/>
      <c r="BGK243" s="42"/>
      <c r="BGL243" s="42"/>
      <c r="BGM243" s="42"/>
      <c r="BGN243" s="42"/>
      <c r="BGO243" s="42"/>
      <c r="BGP243" s="42"/>
      <c r="BGQ243" s="42"/>
      <c r="BGR243" s="42"/>
      <c r="BGS243" s="42"/>
      <c r="BGT243" s="42"/>
      <c r="BGU243" s="42"/>
      <c r="BGV243" s="42"/>
      <c r="BGW243" s="42"/>
      <c r="BGX243" s="42"/>
      <c r="BGY243" s="42"/>
      <c r="BGZ243" s="42"/>
      <c r="BHA243" s="42"/>
      <c r="BHB243" s="42"/>
      <c r="BHC243" s="42"/>
      <c r="BHD243" s="42"/>
      <c r="BHE243" s="42"/>
      <c r="BHF243" s="42"/>
      <c r="BHG243" s="42"/>
      <c r="BHH243" s="42"/>
      <c r="BHI243" s="42"/>
      <c r="BHJ243" s="42"/>
      <c r="BHK243" s="42"/>
      <c r="BHL243" s="42"/>
      <c r="BHM243" s="42"/>
      <c r="BHN243" s="42"/>
      <c r="BHO243" s="42"/>
      <c r="BHP243" s="42"/>
      <c r="BHQ243" s="42"/>
      <c r="BHR243" s="42"/>
      <c r="BHS243" s="42"/>
      <c r="BHT243" s="42"/>
      <c r="BHU243" s="42"/>
      <c r="BHV243" s="42"/>
      <c r="BHW243" s="42"/>
      <c r="BHX243" s="42"/>
      <c r="BHY243" s="42"/>
      <c r="BHZ243" s="42"/>
      <c r="BIA243" s="42"/>
      <c r="BIB243" s="42"/>
      <c r="BIC243" s="42"/>
      <c r="BID243" s="42"/>
      <c r="BIE243" s="42"/>
      <c r="BIF243" s="42"/>
      <c r="BIG243" s="42"/>
      <c r="BIH243" s="42"/>
      <c r="BII243" s="42"/>
      <c r="BIJ243" s="42"/>
      <c r="BIK243" s="42"/>
      <c r="BIL243" s="42"/>
      <c r="BIM243" s="42"/>
      <c r="BIN243" s="42"/>
      <c r="BIO243" s="42"/>
      <c r="BIP243" s="42"/>
      <c r="BIQ243" s="42"/>
      <c r="BIR243" s="42"/>
      <c r="BIS243" s="42"/>
      <c r="BIT243" s="42"/>
      <c r="BIU243" s="42"/>
      <c r="BIV243" s="42"/>
      <c r="BIW243" s="42"/>
      <c r="BIX243" s="42"/>
      <c r="BIY243" s="42"/>
      <c r="BIZ243" s="42"/>
      <c r="BJA243" s="42"/>
      <c r="BJB243" s="42"/>
      <c r="BJC243" s="42"/>
      <c r="BJD243" s="42"/>
      <c r="BJE243" s="42"/>
      <c r="BJF243" s="42"/>
      <c r="BJG243" s="42"/>
      <c r="BJH243" s="42"/>
      <c r="BJI243" s="42"/>
      <c r="BJJ243" s="42"/>
      <c r="BJK243" s="42"/>
      <c r="BJL243" s="42"/>
      <c r="BJM243" s="42"/>
      <c r="BJN243" s="42"/>
      <c r="BJO243" s="42"/>
      <c r="BJP243" s="42"/>
      <c r="BJQ243" s="42"/>
      <c r="BJR243" s="42"/>
      <c r="BJS243" s="42"/>
      <c r="BJT243" s="42"/>
      <c r="BJU243" s="42"/>
      <c r="BJV243" s="42"/>
      <c r="BJW243" s="42"/>
      <c r="BJX243" s="42"/>
      <c r="BJY243" s="42"/>
      <c r="BJZ243" s="42"/>
      <c r="BKA243" s="42"/>
      <c r="BKB243" s="42"/>
      <c r="BKC243" s="42"/>
      <c r="BKD243" s="42"/>
      <c r="BKE243" s="42"/>
      <c r="BKF243" s="42"/>
      <c r="BKG243" s="42"/>
      <c r="BKH243" s="42"/>
      <c r="BKI243" s="42"/>
      <c r="BKJ243" s="42"/>
      <c r="BKK243" s="42"/>
      <c r="BKL243" s="42"/>
      <c r="BKM243" s="42"/>
      <c r="BKN243" s="42"/>
      <c r="BKO243" s="42"/>
      <c r="BKP243" s="42"/>
      <c r="BKQ243" s="42"/>
      <c r="BKR243" s="42"/>
      <c r="BKS243" s="42"/>
      <c r="BKT243" s="42"/>
      <c r="BKU243" s="42"/>
      <c r="BKV243" s="42"/>
      <c r="BKW243" s="42"/>
      <c r="BKX243" s="42"/>
      <c r="BKY243" s="42"/>
      <c r="BKZ243" s="42"/>
      <c r="BLA243" s="42"/>
      <c r="BLB243" s="42"/>
      <c r="BLC243" s="42"/>
      <c r="BLD243" s="42"/>
      <c r="BLE243" s="42"/>
      <c r="BLF243" s="42"/>
      <c r="BLG243" s="42"/>
      <c r="BLH243" s="42"/>
      <c r="BLI243" s="42"/>
      <c r="BLJ243" s="42"/>
      <c r="BLK243" s="42"/>
      <c r="BLL243" s="42"/>
      <c r="BLM243" s="42"/>
      <c r="BLN243" s="42"/>
      <c r="BLO243" s="42"/>
      <c r="BLP243" s="42"/>
      <c r="BLQ243" s="42"/>
      <c r="BLR243" s="42"/>
      <c r="BLS243" s="42"/>
      <c r="BLT243" s="42"/>
      <c r="BLU243" s="42"/>
      <c r="BLV243" s="42"/>
      <c r="BLW243" s="42"/>
      <c r="BLX243" s="42"/>
      <c r="BLY243" s="42"/>
      <c r="BLZ243" s="42"/>
      <c r="BMA243" s="42"/>
      <c r="BMB243" s="42"/>
      <c r="BMC243" s="42"/>
      <c r="BMD243" s="42"/>
      <c r="BME243" s="42"/>
      <c r="BMF243" s="42"/>
      <c r="BMG243" s="42"/>
      <c r="BMH243" s="42"/>
      <c r="BMI243" s="42"/>
      <c r="BMJ243" s="42"/>
      <c r="BMK243" s="42"/>
      <c r="BML243" s="42"/>
      <c r="BMM243" s="42"/>
      <c r="BMN243" s="42"/>
      <c r="BMO243" s="42"/>
      <c r="BMP243" s="42"/>
      <c r="BMQ243" s="42"/>
      <c r="BMR243" s="42"/>
      <c r="BMS243" s="42"/>
      <c r="BMT243" s="42"/>
      <c r="BMU243" s="42"/>
      <c r="BMV243" s="42"/>
      <c r="BMW243" s="42"/>
      <c r="BMX243" s="42"/>
      <c r="BMY243" s="42"/>
      <c r="BMZ243" s="42"/>
      <c r="BNA243" s="42"/>
      <c r="BNB243" s="42"/>
      <c r="BNC243" s="42"/>
      <c r="BND243" s="42"/>
      <c r="BNE243" s="42"/>
      <c r="BNF243" s="42"/>
      <c r="BNG243" s="42"/>
      <c r="BNH243" s="42"/>
      <c r="BNI243" s="42"/>
      <c r="BNJ243" s="42"/>
      <c r="BNK243" s="42"/>
      <c r="BNL243" s="42"/>
      <c r="BNM243" s="42"/>
      <c r="BNN243" s="42"/>
      <c r="BNO243" s="42"/>
      <c r="BNP243" s="42"/>
      <c r="BNQ243" s="42"/>
      <c r="BNR243" s="42"/>
      <c r="BNS243" s="42"/>
      <c r="BNT243" s="42"/>
      <c r="BNU243" s="42"/>
      <c r="BNV243" s="42"/>
      <c r="BNW243" s="42"/>
      <c r="BNX243" s="42"/>
      <c r="BNY243" s="42"/>
      <c r="BNZ243" s="42"/>
      <c r="BOA243" s="42"/>
      <c r="BOB243" s="42"/>
      <c r="BOC243" s="42"/>
      <c r="BOD243" s="42"/>
      <c r="BOE243" s="42"/>
      <c r="BOF243" s="42"/>
      <c r="BOG243" s="42"/>
      <c r="BOH243" s="42"/>
      <c r="BOI243" s="42"/>
      <c r="BOJ243" s="42"/>
      <c r="BOK243" s="42"/>
      <c r="BOL243" s="42"/>
      <c r="BOM243" s="42"/>
      <c r="BON243" s="42"/>
      <c r="BOO243" s="42"/>
      <c r="BOP243" s="42"/>
      <c r="BOQ243" s="42"/>
      <c r="BOR243" s="42"/>
      <c r="BOS243" s="42"/>
      <c r="BOT243" s="42"/>
      <c r="BOU243" s="42"/>
      <c r="BOV243" s="42"/>
      <c r="BOW243" s="42"/>
      <c r="BOX243" s="42"/>
      <c r="BOY243" s="42"/>
      <c r="BOZ243" s="42"/>
      <c r="BPA243" s="42"/>
      <c r="BPB243" s="42"/>
      <c r="BPC243" s="42"/>
      <c r="BPD243" s="42"/>
      <c r="BPE243" s="42"/>
      <c r="BPF243" s="42"/>
      <c r="BPG243" s="42"/>
      <c r="BPH243" s="42"/>
      <c r="BPI243" s="42"/>
      <c r="BPJ243" s="42"/>
      <c r="BPK243" s="42"/>
      <c r="BPL243" s="42"/>
      <c r="BPM243" s="42"/>
      <c r="BPN243" s="42"/>
      <c r="BPO243" s="42"/>
      <c r="BPP243" s="42"/>
      <c r="BPQ243" s="42"/>
      <c r="BPR243" s="42"/>
      <c r="BPS243" s="42"/>
      <c r="BPT243" s="42"/>
      <c r="BPU243" s="42"/>
      <c r="BPV243" s="42"/>
      <c r="BPW243" s="42"/>
      <c r="BPX243" s="42"/>
      <c r="BPY243" s="42"/>
      <c r="BPZ243" s="42"/>
      <c r="BQA243" s="42"/>
      <c r="BQB243" s="42"/>
      <c r="BQC243" s="42"/>
      <c r="BQD243" s="42"/>
      <c r="BQE243" s="42"/>
      <c r="BQF243" s="42"/>
      <c r="BQG243" s="42"/>
      <c r="BQH243" s="42"/>
      <c r="BQI243" s="42"/>
      <c r="BQJ243" s="42"/>
      <c r="BQK243" s="42"/>
      <c r="BQL243" s="42"/>
      <c r="BQM243" s="42"/>
      <c r="BQN243" s="42"/>
      <c r="BQO243" s="42"/>
      <c r="BQP243" s="42"/>
      <c r="BQQ243" s="42"/>
      <c r="BQR243" s="42"/>
      <c r="BQS243" s="42"/>
      <c r="BQT243" s="42"/>
      <c r="BQU243" s="42"/>
      <c r="BQV243" s="42"/>
      <c r="BQW243" s="42"/>
      <c r="BQX243" s="42"/>
      <c r="BQY243" s="42"/>
      <c r="BQZ243" s="42"/>
      <c r="BRA243" s="42"/>
      <c r="BRB243" s="42"/>
      <c r="BRC243" s="42"/>
      <c r="BRD243" s="42"/>
      <c r="BRE243" s="42"/>
      <c r="BRF243" s="42"/>
      <c r="BRG243" s="42"/>
      <c r="BRH243" s="42"/>
      <c r="BRI243" s="42"/>
      <c r="BRJ243" s="42"/>
      <c r="BRK243" s="42"/>
      <c r="BRL243" s="42"/>
      <c r="BRM243" s="42"/>
      <c r="BRN243" s="42"/>
      <c r="BRO243" s="42"/>
      <c r="BRP243" s="42"/>
      <c r="BRQ243" s="42"/>
      <c r="BRR243" s="42"/>
      <c r="BRS243" s="42"/>
      <c r="BRT243" s="42"/>
      <c r="BRU243" s="42"/>
      <c r="BRV243" s="42"/>
      <c r="BRW243" s="42"/>
      <c r="BRX243" s="42"/>
      <c r="BRY243" s="42"/>
      <c r="BRZ243" s="42"/>
      <c r="BSA243" s="42"/>
      <c r="BSB243" s="42"/>
      <c r="BSC243" s="42"/>
      <c r="BSD243" s="42"/>
      <c r="BSE243" s="42"/>
      <c r="BSF243" s="42"/>
      <c r="BSG243" s="42"/>
      <c r="BSH243" s="42"/>
      <c r="BSI243" s="42"/>
      <c r="BSJ243" s="42"/>
      <c r="BSK243" s="42"/>
      <c r="BSL243" s="42"/>
      <c r="BSM243" s="42"/>
      <c r="BSN243" s="42"/>
      <c r="BSO243" s="42"/>
      <c r="BSP243" s="42"/>
      <c r="BSQ243" s="42"/>
      <c r="BSR243" s="42"/>
      <c r="BSS243" s="42"/>
      <c r="BST243" s="42"/>
      <c r="BSU243" s="42"/>
      <c r="BSV243" s="42"/>
      <c r="BSW243" s="42"/>
      <c r="BSX243" s="42"/>
      <c r="BSY243" s="42"/>
      <c r="BSZ243" s="42"/>
      <c r="BTA243" s="42"/>
      <c r="BTB243" s="42"/>
      <c r="BTC243" s="42"/>
      <c r="BTD243" s="42"/>
      <c r="BTE243" s="42"/>
      <c r="BTF243" s="42"/>
      <c r="BTG243" s="42"/>
      <c r="BTH243" s="42"/>
      <c r="BTI243" s="42"/>
      <c r="BTJ243" s="42"/>
      <c r="BTK243" s="42"/>
      <c r="BTL243" s="42"/>
      <c r="BTM243" s="42"/>
      <c r="BTN243" s="42"/>
      <c r="BTO243" s="42"/>
      <c r="BTP243" s="42"/>
      <c r="BTQ243" s="42"/>
      <c r="BTR243" s="42"/>
      <c r="BTS243" s="42"/>
      <c r="BTT243" s="42"/>
      <c r="BTU243" s="42"/>
      <c r="BTV243" s="42"/>
      <c r="BTW243" s="42"/>
      <c r="BTX243" s="42"/>
      <c r="BTY243" s="42"/>
      <c r="BTZ243" s="42"/>
      <c r="BUA243" s="42"/>
      <c r="BUB243" s="42"/>
      <c r="BUC243" s="42"/>
      <c r="BUD243" s="42"/>
      <c r="BUE243" s="42"/>
      <c r="BUF243" s="42"/>
      <c r="BUG243" s="42"/>
      <c r="BUH243" s="42"/>
      <c r="BUI243" s="42"/>
      <c r="BUJ243" s="42"/>
      <c r="BUK243" s="42"/>
      <c r="BUL243" s="42"/>
      <c r="BUM243" s="42"/>
      <c r="BUN243" s="42"/>
      <c r="BUO243" s="42"/>
      <c r="BUP243" s="42"/>
      <c r="BUQ243" s="42"/>
      <c r="BUR243" s="42"/>
      <c r="BUS243" s="42"/>
      <c r="BUT243" s="42"/>
      <c r="BUU243" s="42"/>
      <c r="BUV243" s="42"/>
      <c r="BUW243" s="42"/>
      <c r="BUX243" s="42"/>
      <c r="BUY243" s="42"/>
      <c r="BUZ243" s="42"/>
      <c r="BVA243" s="42"/>
      <c r="BVB243" s="42"/>
      <c r="BVC243" s="42"/>
      <c r="BVD243" s="42"/>
      <c r="BVE243" s="42"/>
      <c r="BVF243" s="42"/>
      <c r="BVG243" s="42"/>
      <c r="BVH243" s="42"/>
      <c r="BVI243" s="42"/>
      <c r="BVJ243" s="42"/>
      <c r="BVK243" s="42"/>
      <c r="BVL243" s="42"/>
      <c r="BVM243" s="42"/>
      <c r="BVN243" s="42"/>
      <c r="BVO243" s="42"/>
      <c r="BVP243" s="42"/>
      <c r="BVQ243" s="42"/>
      <c r="BVR243" s="42"/>
      <c r="BVS243" s="42"/>
      <c r="BVT243" s="42"/>
      <c r="BVU243" s="42"/>
      <c r="BVV243" s="42"/>
      <c r="BVW243" s="42"/>
      <c r="BVX243" s="42"/>
      <c r="BVY243" s="42"/>
      <c r="BVZ243" s="42"/>
      <c r="BWA243" s="42"/>
      <c r="BWB243" s="42"/>
      <c r="BWC243" s="42"/>
      <c r="BWD243" s="42"/>
      <c r="BWE243" s="42"/>
      <c r="BWF243" s="42"/>
      <c r="BWG243" s="42"/>
      <c r="BWH243" s="42"/>
      <c r="BWI243" s="42"/>
      <c r="BWJ243" s="42"/>
      <c r="BWK243" s="42"/>
      <c r="BWL243" s="42"/>
      <c r="BWM243" s="42"/>
      <c r="BWN243" s="42"/>
      <c r="BWO243" s="42"/>
      <c r="BWP243" s="42"/>
      <c r="BWQ243" s="42"/>
      <c r="BWR243" s="42"/>
      <c r="BWS243" s="42"/>
      <c r="BWT243" s="42"/>
      <c r="BWU243" s="42"/>
      <c r="BWV243" s="42"/>
      <c r="BWW243" s="42"/>
      <c r="BWX243" s="42"/>
      <c r="BWY243" s="42"/>
      <c r="BWZ243" s="42"/>
      <c r="BXA243" s="42"/>
      <c r="BXB243" s="42"/>
      <c r="BXC243" s="42"/>
      <c r="BXD243" s="42"/>
      <c r="BXE243" s="42"/>
      <c r="BXF243" s="42"/>
      <c r="BXG243" s="42"/>
      <c r="BXH243" s="42"/>
      <c r="BXI243" s="42"/>
      <c r="BXJ243" s="42"/>
      <c r="BXK243" s="42"/>
      <c r="BXL243" s="42"/>
      <c r="BXM243" s="42"/>
      <c r="BXN243" s="42"/>
      <c r="BXO243" s="42"/>
      <c r="BXP243" s="42"/>
      <c r="BXQ243" s="42"/>
      <c r="BXR243" s="42"/>
      <c r="BXS243" s="42"/>
      <c r="BXT243" s="42"/>
      <c r="BXU243" s="42"/>
      <c r="BXV243" s="42"/>
      <c r="BXW243" s="42"/>
      <c r="BXX243" s="42"/>
      <c r="BXY243" s="42"/>
      <c r="BXZ243" s="42"/>
      <c r="BYA243" s="42"/>
      <c r="BYB243" s="42"/>
      <c r="BYC243" s="42"/>
      <c r="BYD243" s="42"/>
      <c r="BYE243" s="42"/>
      <c r="BYF243" s="42"/>
      <c r="BYG243" s="42"/>
      <c r="BYH243" s="42"/>
      <c r="BYI243" s="42"/>
      <c r="BYJ243" s="42"/>
      <c r="BYK243" s="42"/>
      <c r="BYL243" s="42"/>
      <c r="BYM243" s="42"/>
      <c r="BYN243" s="42"/>
      <c r="BYO243" s="42"/>
      <c r="BYP243" s="42"/>
      <c r="BYQ243" s="42"/>
      <c r="BYR243" s="42"/>
      <c r="BYS243" s="42"/>
      <c r="BYT243" s="42"/>
      <c r="BYU243" s="42"/>
      <c r="BYV243" s="42"/>
      <c r="BYW243" s="42"/>
      <c r="BYX243" s="42"/>
      <c r="BYY243" s="42"/>
      <c r="BYZ243" s="42"/>
      <c r="BZA243" s="42"/>
      <c r="BZB243" s="42"/>
      <c r="BZC243" s="42"/>
      <c r="BZD243" s="42"/>
      <c r="BZE243" s="42"/>
      <c r="BZF243" s="42"/>
      <c r="BZG243" s="42"/>
      <c r="BZH243" s="42"/>
      <c r="BZI243" s="42"/>
      <c r="BZJ243" s="42"/>
      <c r="BZK243" s="42"/>
      <c r="BZL243" s="42"/>
      <c r="BZM243" s="42"/>
      <c r="BZN243" s="42"/>
      <c r="BZO243" s="42"/>
      <c r="BZP243" s="42"/>
      <c r="BZQ243" s="42"/>
      <c r="BZR243" s="42"/>
      <c r="BZS243" s="42"/>
      <c r="BZT243" s="42"/>
      <c r="BZU243" s="42"/>
      <c r="BZV243" s="42"/>
      <c r="BZW243" s="42"/>
      <c r="BZX243" s="42"/>
      <c r="BZY243" s="42"/>
      <c r="BZZ243" s="42"/>
      <c r="CAA243" s="42"/>
      <c r="CAB243" s="42"/>
      <c r="CAC243" s="42"/>
      <c r="CAD243" s="42"/>
      <c r="CAE243" s="42"/>
      <c r="CAF243" s="42"/>
      <c r="CAG243" s="42"/>
      <c r="CAH243" s="42"/>
      <c r="CAI243" s="42"/>
      <c r="CAJ243" s="42"/>
      <c r="CAK243" s="42"/>
      <c r="CAL243" s="42"/>
      <c r="CAM243" s="42"/>
      <c r="CAN243" s="42"/>
      <c r="CAO243" s="42"/>
      <c r="CAP243" s="42"/>
      <c r="CAQ243" s="42"/>
      <c r="CAR243" s="42"/>
      <c r="CAS243" s="42"/>
      <c r="CAT243" s="42"/>
      <c r="CAU243" s="42"/>
      <c r="CAV243" s="42"/>
      <c r="CAW243" s="42"/>
      <c r="CAX243" s="42"/>
      <c r="CAY243" s="42"/>
      <c r="CAZ243" s="42"/>
      <c r="CBA243" s="42"/>
      <c r="CBB243" s="42"/>
      <c r="CBC243" s="42"/>
      <c r="CBD243" s="42"/>
      <c r="CBE243" s="42"/>
      <c r="CBF243" s="42"/>
      <c r="CBG243" s="42"/>
      <c r="CBH243" s="42"/>
      <c r="CBI243" s="42"/>
      <c r="CBJ243" s="42"/>
      <c r="CBK243" s="42"/>
      <c r="CBL243" s="42"/>
      <c r="CBM243" s="42"/>
      <c r="CBN243" s="42"/>
      <c r="CBO243" s="42"/>
      <c r="CBP243" s="42"/>
      <c r="CBQ243" s="42"/>
      <c r="CBR243" s="42"/>
      <c r="CBS243" s="42"/>
      <c r="CBT243" s="42"/>
      <c r="CBU243" s="42"/>
      <c r="CBV243" s="42"/>
      <c r="CBW243" s="42"/>
      <c r="CBX243" s="42"/>
      <c r="CBY243" s="42"/>
      <c r="CBZ243" s="42"/>
      <c r="CCA243" s="42"/>
      <c r="CCB243" s="42"/>
      <c r="CCC243" s="42"/>
      <c r="CCD243" s="42"/>
      <c r="CCE243" s="42"/>
      <c r="CCF243" s="42"/>
      <c r="CCG243" s="42"/>
      <c r="CCH243" s="42"/>
      <c r="CCI243" s="42"/>
      <c r="CCJ243" s="42"/>
      <c r="CCK243" s="42"/>
      <c r="CCL243" s="42"/>
      <c r="CCM243" s="42"/>
      <c r="CCN243" s="42"/>
      <c r="CCO243" s="42"/>
      <c r="CCP243" s="42"/>
      <c r="CCQ243" s="42"/>
      <c r="CCR243" s="42"/>
      <c r="CCS243" s="42"/>
      <c r="CCT243" s="42"/>
      <c r="CCU243" s="42"/>
      <c r="CCV243" s="42"/>
      <c r="CCW243" s="42"/>
      <c r="CCX243" s="42"/>
      <c r="CCY243" s="42"/>
      <c r="CCZ243" s="42"/>
      <c r="CDA243" s="42"/>
      <c r="CDB243" s="42"/>
      <c r="CDC243" s="42"/>
      <c r="CDD243" s="42"/>
      <c r="CDE243" s="42"/>
      <c r="CDF243" s="42"/>
      <c r="CDG243" s="42"/>
      <c r="CDH243" s="42"/>
      <c r="CDI243" s="42"/>
      <c r="CDJ243" s="42"/>
      <c r="CDK243" s="42"/>
      <c r="CDL243" s="42"/>
      <c r="CDM243" s="42"/>
      <c r="CDN243" s="42"/>
      <c r="CDO243" s="42"/>
      <c r="CDP243" s="42"/>
      <c r="CDQ243" s="42"/>
      <c r="CDR243" s="42"/>
      <c r="CDS243" s="42"/>
      <c r="CDT243" s="42"/>
      <c r="CDU243" s="42"/>
      <c r="CDV243" s="42"/>
      <c r="CDW243" s="42"/>
      <c r="CDX243" s="42"/>
      <c r="CDY243" s="42"/>
      <c r="CDZ243" s="42"/>
      <c r="CEA243" s="42"/>
      <c r="CEB243" s="42"/>
      <c r="CEC243" s="42"/>
      <c r="CED243" s="42"/>
      <c r="CEE243" s="42"/>
      <c r="CEF243" s="42"/>
      <c r="CEG243" s="42"/>
      <c r="CEH243" s="42"/>
      <c r="CEI243" s="42"/>
      <c r="CEJ243" s="42"/>
      <c r="CEK243" s="42"/>
      <c r="CEL243" s="42"/>
      <c r="CEM243" s="42"/>
      <c r="CEN243" s="42"/>
      <c r="CEO243" s="42"/>
      <c r="CEP243" s="42"/>
      <c r="CEQ243" s="42"/>
      <c r="CER243" s="42"/>
      <c r="CES243" s="42"/>
      <c r="CET243" s="42"/>
      <c r="CEU243" s="42"/>
      <c r="CEV243" s="42"/>
      <c r="CEW243" s="42"/>
      <c r="CEX243" s="42"/>
      <c r="CEY243" s="42"/>
      <c r="CEZ243" s="42"/>
      <c r="CFA243" s="42"/>
      <c r="CFB243" s="42"/>
      <c r="CFC243" s="42"/>
      <c r="CFD243" s="42"/>
      <c r="CFE243" s="42"/>
      <c r="CFF243" s="42"/>
      <c r="CFG243" s="42"/>
      <c r="CFH243" s="42"/>
      <c r="CFI243" s="42"/>
      <c r="CFJ243" s="42"/>
      <c r="CFK243" s="42"/>
      <c r="CFL243" s="42"/>
      <c r="CFM243" s="42"/>
      <c r="CFN243" s="42"/>
      <c r="CFO243" s="42"/>
      <c r="CFP243" s="42"/>
      <c r="CFQ243" s="42"/>
      <c r="CFR243" s="42"/>
      <c r="CFS243" s="42"/>
      <c r="CFT243" s="42"/>
      <c r="CFU243" s="42"/>
      <c r="CFV243" s="42"/>
      <c r="CFW243" s="42"/>
      <c r="CFX243" s="42"/>
      <c r="CFY243" s="42"/>
      <c r="CFZ243" s="42"/>
      <c r="CGA243" s="42"/>
      <c r="CGB243" s="42"/>
      <c r="CGC243" s="42"/>
      <c r="CGD243" s="42"/>
      <c r="CGE243" s="42"/>
      <c r="CGF243" s="42"/>
      <c r="CGG243" s="42"/>
      <c r="CGH243" s="42"/>
      <c r="CGI243" s="42"/>
      <c r="CGJ243" s="42"/>
      <c r="CGK243" s="42"/>
      <c r="CGL243" s="42"/>
      <c r="CGM243" s="42"/>
      <c r="CGN243" s="42"/>
      <c r="CGO243" s="42"/>
      <c r="CGP243" s="42"/>
      <c r="CGQ243" s="42"/>
      <c r="CGR243" s="42"/>
      <c r="CGS243" s="42"/>
      <c r="CGT243" s="42"/>
      <c r="CGU243" s="42"/>
      <c r="CGV243" s="42"/>
      <c r="CGW243" s="42"/>
      <c r="CGX243" s="42"/>
      <c r="CGY243" s="42"/>
      <c r="CGZ243" s="42"/>
      <c r="CHA243" s="42"/>
      <c r="CHB243" s="42"/>
      <c r="CHC243" s="42"/>
      <c r="CHD243" s="42"/>
      <c r="CHE243" s="42"/>
      <c r="CHF243" s="42"/>
      <c r="CHG243" s="42"/>
      <c r="CHH243" s="42"/>
      <c r="CHI243" s="42"/>
      <c r="CHJ243" s="42"/>
      <c r="CHK243" s="42"/>
      <c r="CHL243" s="42"/>
      <c r="CHM243" s="42"/>
      <c r="CHN243" s="42"/>
      <c r="CHO243" s="42"/>
      <c r="CHP243" s="42"/>
      <c r="CHQ243" s="42"/>
      <c r="CHR243" s="42"/>
      <c r="CHS243" s="42"/>
      <c r="CHT243" s="42"/>
      <c r="CHU243" s="42"/>
      <c r="CHV243" s="42"/>
      <c r="CHW243" s="42"/>
      <c r="CHX243" s="42"/>
      <c r="CHY243" s="42"/>
      <c r="CHZ243" s="42"/>
      <c r="CIA243" s="42"/>
      <c r="CIB243" s="42"/>
      <c r="CIC243" s="42"/>
      <c r="CID243" s="42"/>
      <c r="CIE243" s="42"/>
      <c r="CIF243" s="42"/>
      <c r="CIG243" s="42"/>
      <c r="CIH243" s="42"/>
      <c r="CII243" s="42"/>
      <c r="CIJ243" s="42"/>
      <c r="CIK243" s="42"/>
      <c r="CIL243" s="42"/>
      <c r="CIM243" s="42"/>
      <c r="CIN243" s="42"/>
      <c r="CIO243" s="42"/>
      <c r="CIP243" s="42"/>
      <c r="CIQ243" s="42"/>
      <c r="CIR243" s="42"/>
      <c r="CIS243" s="42"/>
      <c r="CIT243" s="42"/>
      <c r="CIU243" s="42"/>
      <c r="CIV243" s="42"/>
      <c r="CIW243" s="42"/>
      <c r="CIX243" s="42"/>
      <c r="CIY243" s="42"/>
      <c r="CIZ243" s="42"/>
      <c r="CJA243" s="42"/>
      <c r="CJB243" s="42"/>
      <c r="CJC243" s="42"/>
      <c r="CJD243" s="42"/>
      <c r="CJE243" s="42"/>
      <c r="CJF243" s="42"/>
      <c r="CJG243" s="42"/>
      <c r="CJH243" s="42"/>
      <c r="CJI243" s="42"/>
      <c r="CJJ243" s="42"/>
      <c r="CJK243" s="42"/>
      <c r="CJL243" s="42"/>
      <c r="CJM243" s="42"/>
      <c r="CJN243" s="42"/>
      <c r="CJO243" s="42"/>
      <c r="CJP243" s="42"/>
      <c r="CJQ243" s="42"/>
      <c r="CJR243" s="42"/>
      <c r="CJS243" s="42"/>
      <c r="CJT243" s="42"/>
      <c r="CJU243" s="42"/>
      <c r="CJV243" s="42"/>
      <c r="CJW243" s="42"/>
      <c r="CJX243" s="42"/>
      <c r="CJY243" s="42"/>
      <c r="CJZ243" s="42"/>
      <c r="CKA243" s="42"/>
      <c r="CKB243" s="42"/>
      <c r="CKC243" s="42"/>
      <c r="CKD243" s="42"/>
      <c r="CKE243" s="42"/>
      <c r="CKF243" s="42"/>
      <c r="CKG243" s="42"/>
      <c r="CKH243" s="42"/>
      <c r="CKI243" s="42"/>
      <c r="CKJ243" s="42"/>
      <c r="CKK243" s="42"/>
      <c r="CKL243" s="42"/>
      <c r="CKM243" s="42"/>
      <c r="CKN243" s="42"/>
      <c r="CKO243" s="42"/>
      <c r="CKP243" s="42"/>
      <c r="CKQ243" s="42"/>
      <c r="CKR243" s="42"/>
      <c r="CKS243" s="42"/>
      <c r="CKT243" s="42"/>
      <c r="CKU243" s="42"/>
      <c r="CKV243" s="42"/>
      <c r="CKW243" s="42"/>
      <c r="CKX243" s="42"/>
      <c r="CKY243" s="42"/>
      <c r="CKZ243" s="42"/>
      <c r="CLA243" s="42"/>
      <c r="CLB243" s="42"/>
      <c r="CLC243" s="42"/>
      <c r="CLD243" s="42"/>
      <c r="CLE243" s="42"/>
      <c r="CLF243" s="42"/>
      <c r="CLG243" s="42"/>
      <c r="CLH243" s="42"/>
      <c r="CLI243" s="42"/>
      <c r="CLJ243" s="42"/>
      <c r="CLK243" s="42"/>
      <c r="CLL243" s="42"/>
      <c r="CLM243" s="42"/>
      <c r="CLN243" s="42"/>
      <c r="CLO243" s="42"/>
      <c r="CLP243" s="42"/>
      <c r="CLQ243" s="42"/>
      <c r="CLR243" s="42"/>
      <c r="CLS243" s="42"/>
      <c r="CLT243" s="42"/>
      <c r="CLU243" s="42"/>
      <c r="CLV243" s="42"/>
      <c r="CLW243" s="42"/>
      <c r="CLX243" s="42"/>
      <c r="CLY243" s="42"/>
      <c r="CLZ243" s="42"/>
      <c r="CMA243" s="42"/>
      <c r="CMB243" s="42"/>
      <c r="CMC243" s="42"/>
      <c r="CMD243" s="42"/>
      <c r="CME243" s="42"/>
      <c r="CMF243" s="42"/>
      <c r="CMG243" s="42"/>
      <c r="CMH243" s="42"/>
      <c r="CMI243" s="42"/>
      <c r="CMJ243" s="42"/>
      <c r="CMK243" s="42"/>
      <c r="CML243" s="42"/>
      <c r="CMM243" s="42"/>
      <c r="CMN243" s="42"/>
      <c r="CMO243" s="42"/>
      <c r="CMP243" s="42"/>
      <c r="CMQ243" s="42"/>
      <c r="CMR243" s="42"/>
      <c r="CMS243" s="42"/>
      <c r="CMT243" s="42"/>
      <c r="CMU243" s="42"/>
      <c r="CMV243" s="42"/>
      <c r="CMW243" s="42"/>
      <c r="CMX243" s="42"/>
      <c r="CMY243" s="42"/>
      <c r="CMZ243" s="42"/>
      <c r="CNA243" s="42"/>
      <c r="CNB243" s="42"/>
      <c r="CNC243" s="42"/>
      <c r="CND243" s="42"/>
      <c r="CNE243" s="42"/>
      <c r="CNF243" s="42"/>
      <c r="CNG243" s="42"/>
      <c r="CNH243" s="42"/>
      <c r="CNI243" s="42"/>
      <c r="CNJ243" s="42"/>
      <c r="CNK243" s="42"/>
      <c r="CNL243" s="42"/>
      <c r="CNM243" s="42"/>
      <c r="CNN243" s="42"/>
      <c r="CNO243" s="42"/>
      <c r="CNP243" s="42"/>
      <c r="CNQ243" s="42"/>
      <c r="CNR243" s="42"/>
      <c r="CNS243" s="42"/>
      <c r="CNT243" s="42"/>
      <c r="CNU243" s="42"/>
      <c r="CNV243" s="42"/>
      <c r="CNW243" s="42"/>
      <c r="CNX243" s="42"/>
      <c r="CNY243" s="42"/>
      <c r="CNZ243" s="42"/>
      <c r="COA243" s="42"/>
      <c r="COB243" s="42"/>
      <c r="COC243" s="42"/>
      <c r="COD243" s="42"/>
      <c r="COE243" s="42"/>
      <c r="COF243" s="42"/>
      <c r="COG243" s="42"/>
      <c r="COH243" s="42"/>
      <c r="COI243" s="42"/>
      <c r="COJ243" s="42"/>
      <c r="COK243" s="42"/>
      <c r="COL243" s="42"/>
      <c r="COM243" s="42"/>
      <c r="CON243" s="42"/>
      <c r="COO243" s="42"/>
      <c r="COP243" s="42"/>
      <c r="COQ243" s="42"/>
      <c r="COR243" s="42"/>
      <c r="COS243" s="42"/>
      <c r="COT243" s="42"/>
      <c r="COU243" s="42"/>
      <c r="COV243" s="42"/>
      <c r="COW243" s="42"/>
      <c r="COX243" s="42"/>
      <c r="COY243" s="42"/>
      <c r="COZ243" s="42"/>
      <c r="CPA243" s="42"/>
      <c r="CPB243" s="42"/>
      <c r="CPC243" s="42"/>
      <c r="CPD243" s="42"/>
      <c r="CPE243" s="42"/>
      <c r="CPF243" s="42"/>
      <c r="CPG243" s="42"/>
      <c r="CPH243" s="42"/>
      <c r="CPI243" s="42"/>
      <c r="CPJ243" s="42"/>
      <c r="CPK243" s="42"/>
      <c r="CPL243" s="42"/>
      <c r="CPM243" s="42"/>
      <c r="CPN243" s="42"/>
      <c r="CPO243" s="42"/>
      <c r="CPP243" s="42"/>
      <c r="CPQ243" s="42"/>
      <c r="CPR243" s="42"/>
      <c r="CPS243" s="42"/>
      <c r="CPT243" s="42"/>
      <c r="CPU243" s="42"/>
      <c r="CPV243" s="42"/>
      <c r="CPW243" s="42"/>
      <c r="CPX243" s="42"/>
      <c r="CPY243" s="42"/>
      <c r="CPZ243" s="42"/>
      <c r="CQA243" s="42"/>
      <c r="CQB243" s="42"/>
      <c r="CQC243" s="42"/>
      <c r="CQD243" s="42"/>
      <c r="CQE243" s="42"/>
      <c r="CQF243" s="42"/>
      <c r="CQG243" s="42"/>
      <c r="CQH243" s="42"/>
      <c r="CQI243" s="42"/>
      <c r="CQJ243" s="42"/>
      <c r="CQK243" s="42"/>
      <c r="CQL243" s="42"/>
      <c r="CQM243" s="42"/>
      <c r="CQN243" s="42"/>
      <c r="CQO243" s="42"/>
      <c r="CQP243" s="42"/>
      <c r="CQQ243" s="42"/>
      <c r="CQR243" s="42"/>
      <c r="CQS243" s="42"/>
      <c r="CQT243" s="42"/>
      <c r="CQU243" s="42"/>
      <c r="CQV243" s="42"/>
      <c r="CQW243" s="42"/>
      <c r="CQX243" s="42"/>
      <c r="CQY243" s="42"/>
      <c r="CQZ243" s="42"/>
      <c r="CRA243" s="42"/>
      <c r="CRB243" s="42"/>
      <c r="CRC243" s="42"/>
      <c r="CRD243" s="42"/>
      <c r="CRE243" s="42"/>
      <c r="CRF243" s="42"/>
      <c r="CRG243" s="42"/>
      <c r="CRH243" s="42"/>
      <c r="CRI243" s="42"/>
      <c r="CRJ243" s="42"/>
      <c r="CRK243" s="42"/>
      <c r="CRL243" s="42"/>
      <c r="CRM243" s="42"/>
      <c r="CRN243" s="42"/>
      <c r="CRO243" s="42"/>
      <c r="CRP243" s="42"/>
      <c r="CRQ243" s="42"/>
      <c r="CRR243" s="42"/>
      <c r="CRS243" s="42"/>
      <c r="CRT243" s="42"/>
      <c r="CRU243" s="42"/>
      <c r="CRV243" s="42"/>
      <c r="CRW243" s="42"/>
      <c r="CRX243" s="42"/>
      <c r="CRY243" s="42"/>
      <c r="CRZ243" s="42"/>
      <c r="CSA243" s="42"/>
      <c r="CSB243" s="42"/>
      <c r="CSC243" s="42"/>
      <c r="CSD243" s="42"/>
      <c r="CSE243" s="42"/>
      <c r="CSF243" s="42"/>
      <c r="CSG243" s="42"/>
      <c r="CSH243" s="42"/>
      <c r="CSI243" s="42"/>
      <c r="CSJ243" s="42"/>
      <c r="CSK243" s="42"/>
      <c r="CSL243" s="42"/>
      <c r="CSM243" s="42"/>
      <c r="CSN243" s="42"/>
      <c r="CSO243" s="42"/>
      <c r="CSP243" s="42"/>
      <c r="CSQ243" s="42"/>
      <c r="CSR243" s="42"/>
      <c r="CSS243" s="42"/>
      <c r="CST243" s="42"/>
      <c r="CSU243" s="42"/>
      <c r="CSV243" s="42"/>
      <c r="CSW243" s="42"/>
      <c r="CSX243" s="42"/>
      <c r="CSY243" s="42"/>
      <c r="CSZ243" s="42"/>
      <c r="CTA243" s="42"/>
      <c r="CTB243" s="42"/>
      <c r="CTC243" s="42"/>
      <c r="CTD243" s="42"/>
      <c r="CTE243" s="42"/>
      <c r="CTF243" s="42"/>
      <c r="CTG243" s="42"/>
      <c r="CTH243" s="42"/>
      <c r="CTI243" s="42"/>
      <c r="CTJ243" s="42"/>
      <c r="CTK243" s="42"/>
      <c r="CTL243" s="42"/>
      <c r="CTM243" s="42"/>
      <c r="CTN243" s="42"/>
      <c r="CTO243" s="42"/>
      <c r="CTP243" s="42"/>
      <c r="CTQ243" s="42"/>
      <c r="CTR243" s="42"/>
      <c r="CTS243" s="42"/>
      <c r="CTT243" s="42"/>
      <c r="CTU243" s="42"/>
      <c r="CTV243" s="42"/>
      <c r="CTW243" s="42"/>
      <c r="CTX243" s="42"/>
      <c r="CTY243" s="42"/>
      <c r="CTZ243" s="42"/>
      <c r="CUA243" s="42"/>
      <c r="CUB243" s="42"/>
      <c r="CUC243" s="42"/>
      <c r="CUD243" s="42"/>
      <c r="CUE243" s="42"/>
      <c r="CUF243" s="42"/>
      <c r="CUG243" s="42"/>
      <c r="CUH243" s="42"/>
      <c r="CUI243" s="42"/>
      <c r="CUJ243" s="42"/>
      <c r="CUK243" s="42"/>
      <c r="CUL243" s="42"/>
      <c r="CUM243" s="42"/>
      <c r="CUN243" s="42"/>
      <c r="CUO243" s="42"/>
      <c r="CUP243" s="42"/>
      <c r="CUQ243" s="42"/>
      <c r="CUR243" s="42"/>
      <c r="CUS243" s="42"/>
      <c r="CUT243" s="42"/>
      <c r="CUU243" s="42"/>
      <c r="CUV243" s="42"/>
      <c r="CUW243" s="42"/>
      <c r="CUX243" s="42"/>
      <c r="CUY243" s="42"/>
      <c r="CUZ243" s="42"/>
      <c r="CVA243" s="42"/>
      <c r="CVB243" s="42"/>
      <c r="CVC243" s="42"/>
      <c r="CVD243" s="42"/>
      <c r="CVE243" s="42"/>
      <c r="CVF243" s="42"/>
      <c r="CVG243" s="42"/>
      <c r="CVH243" s="42"/>
      <c r="CVI243" s="42"/>
      <c r="CVJ243" s="42"/>
      <c r="CVK243" s="42"/>
      <c r="CVL243" s="42"/>
      <c r="CVM243" s="42"/>
      <c r="CVN243" s="42"/>
      <c r="CVO243" s="42"/>
      <c r="CVP243" s="42"/>
      <c r="CVQ243" s="42"/>
      <c r="CVR243" s="42"/>
      <c r="CVS243" s="42"/>
      <c r="CVT243" s="42"/>
      <c r="CVU243" s="42"/>
      <c r="CVV243" s="42"/>
      <c r="CVW243" s="42"/>
      <c r="CVX243" s="42"/>
      <c r="CVY243" s="42"/>
      <c r="CVZ243" s="42"/>
      <c r="CWA243" s="42"/>
      <c r="CWB243" s="42"/>
      <c r="CWC243" s="42"/>
      <c r="CWD243" s="42"/>
      <c r="CWE243" s="42"/>
      <c r="CWF243" s="42"/>
      <c r="CWG243" s="42"/>
      <c r="CWH243" s="42"/>
      <c r="CWI243" s="42"/>
      <c r="CWJ243" s="42"/>
      <c r="CWK243" s="42"/>
      <c r="CWL243" s="42"/>
      <c r="CWM243" s="42"/>
      <c r="CWN243" s="42"/>
      <c r="CWO243" s="42"/>
      <c r="CWP243" s="42"/>
      <c r="CWQ243" s="42"/>
      <c r="CWR243" s="42"/>
      <c r="CWS243" s="42"/>
      <c r="CWT243" s="42"/>
      <c r="CWU243" s="42"/>
      <c r="CWV243" s="42"/>
      <c r="CWW243" s="42"/>
      <c r="CWX243" s="42"/>
      <c r="CWY243" s="42"/>
      <c r="CWZ243" s="42"/>
      <c r="CXA243" s="42"/>
      <c r="CXB243" s="42"/>
      <c r="CXC243" s="42"/>
      <c r="CXD243" s="42"/>
      <c r="CXE243" s="42"/>
      <c r="CXF243" s="42"/>
      <c r="CXG243" s="42"/>
      <c r="CXH243" s="42"/>
      <c r="CXI243" s="42"/>
      <c r="CXJ243" s="42"/>
      <c r="CXK243" s="42"/>
      <c r="CXL243" s="42"/>
      <c r="CXM243" s="42"/>
      <c r="CXN243" s="42"/>
      <c r="CXO243" s="42"/>
      <c r="CXP243" s="42"/>
      <c r="CXQ243" s="42"/>
      <c r="CXR243" s="42"/>
      <c r="CXS243" s="42"/>
      <c r="CXT243" s="42"/>
      <c r="CXU243" s="42"/>
      <c r="CXV243" s="42"/>
      <c r="CXW243" s="42"/>
      <c r="CXX243" s="42"/>
      <c r="CXY243" s="42"/>
      <c r="CXZ243" s="42"/>
      <c r="CYA243" s="42"/>
      <c r="CYB243" s="42"/>
      <c r="CYC243" s="42"/>
      <c r="CYD243" s="42"/>
      <c r="CYE243" s="42"/>
      <c r="CYF243" s="42"/>
      <c r="CYG243" s="42"/>
      <c r="CYH243" s="42"/>
      <c r="CYI243" s="42"/>
      <c r="CYJ243" s="42"/>
      <c r="CYK243" s="42"/>
      <c r="CYL243" s="42"/>
      <c r="CYM243" s="42"/>
      <c r="CYN243" s="42"/>
      <c r="CYO243" s="42"/>
      <c r="CYP243" s="42"/>
      <c r="CYQ243" s="42"/>
      <c r="CYR243" s="42"/>
      <c r="CYS243" s="42"/>
      <c r="CYT243" s="42"/>
      <c r="CYU243" s="42"/>
      <c r="CYV243" s="42"/>
      <c r="CYW243" s="42"/>
      <c r="CYX243" s="42"/>
      <c r="CYY243" s="42"/>
      <c r="CYZ243" s="42"/>
      <c r="CZA243" s="42"/>
      <c r="CZB243" s="42"/>
      <c r="CZC243" s="42"/>
      <c r="CZD243" s="42"/>
      <c r="CZE243" s="42"/>
      <c r="CZF243" s="42"/>
      <c r="CZG243" s="42"/>
      <c r="CZH243" s="42"/>
      <c r="CZI243" s="42"/>
      <c r="CZJ243" s="42"/>
      <c r="CZK243" s="42"/>
      <c r="CZL243" s="42"/>
      <c r="CZM243" s="42"/>
      <c r="CZN243" s="42"/>
      <c r="CZO243" s="42"/>
      <c r="CZP243" s="42"/>
      <c r="CZQ243" s="42"/>
      <c r="CZR243" s="42"/>
      <c r="CZS243" s="42"/>
      <c r="CZT243" s="42"/>
      <c r="CZU243" s="42"/>
      <c r="CZV243" s="42"/>
      <c r="CZW243" s="42"/>
      <c r="CZX243" s="42"/>
      <c r="CZY243" s="42"/>
      <c r="CZZ243" s="42"/>
      <c r="DAA243" s="42"/>
      <c r="DAB243" s="42"/>
      <c r="DAC243" s="42"/>
      <c r="DAD243" s="42"/>
      <c r="DAE243" s="42"/>
      <c r="DAF243" s="42"/>
      <c r="DAG243" s="42"/>
      <c r="DAH243" s="42"/>
      <c r="DAI243" s="42"/>
      <c r="DAJ243" s="42"/>
      <c r="DAK243" s="42"/>
      <c r="DAL243" s="42"/>
      <c r="DAM243" s="42"/>
      <c r="DAN243" s="42"/>
      <c r="DAO243" s="42"/>
      <c r="DAP243" s="42"/>
      <c r="DAQ243" s="42"/>
      <c r="DAR243" s="42"/>
      <c r="DAS243" s="42"/>
      <c r="DAT243" s="42"/>
      <c r="DAU243" s="42"/>
      <c r="DAV243" s="42"/>
      <c r="DAW243" s="42"/>
      <c r="DAX243" s="42"/>
      <c r="DAY243" s="42"/>
      <c r="DAZ243" s="42"/>
      <c r="DBA243" s="42"/>
      <c r="DBB243" s="42"/>
      <c r="DBC243" s="42"/>
      <c r="DBD243" s="42"/>
      <c r="DBE243" s="42"/>
      <c r="DBF243" s="42"/>
      <c r="DBG243" s="42"/>
      <c r="DBH243" s="42"/>
      <c r="DBI243" s="42"/>
      <c r="DBJ243" s="42"/>
      <c r="DBK243" s="42"/>
      <c r="DBL243" s="42"/>
      <c r="DBM243" s="42"/>
      <c r="DBN243" s="42"/>
      <c r="DBO243" s="42"/>
      <c r="DBP243" s="42"/>
      <c r="DBQ243" s="42"/>
      <c r="DBR243" s="42"/>
      <c r="DBS243" s="42"/>
      <c r="DBT243" s="42"/>
      <c r="DBU243" s="42"/>
      <c r="DBV243" s="42"/>
      <c r="DBW243" s="42"/>
      <c r="DBX243" s="42"/>
      <c r="DBY243" s="42"/>
      <c r="DBZ243" s="42"/>
      <c r="DCA243" s="42"/>
      <c r="DCB243" s="42"/>
      <c r="DCC243" s="42"/>
      <c r="DCD243" s="42"/>
      <c r="DCE243" s="42"/>
      <c r="DCF243" s="42"/>
      <c r="DCG243" s="42"/>
      <c r="DCH243" s="42"/>
      <c r="DCI243" s="42"/>
      <c r="DCJ243" s="42"/>
      <c r="DCK243" s="42"/>
      <c r="DCL243" s="42"/>
      <c r="DCM243" s="42"/>
      <c r="DCN243" s="42"/>
      <c r="DCO243" s="42"/>
      <c r="DCP243" s="42"/>
      <c r="DCQ243" s="42"/>
      <c r="DCR243" s="42"/>
      <c r="DCS243" s="42"/>
      <c r="DCT243" s="42"/>
      <c r="DCU243" s="42"/>
      <c r="DCV243" s="42"/>
      <c r="DCW243" s="42"/>
      <c r="DCX243" s="42"/>
      <c r="DCY243" s="42"/>
      <c r="DCZ243" s="42"/>
      <c r="DDA243" s="42"/>
      <c r="DDB243" s="42"/>
      <c r="DDC243" s="42"/>
      <c r="DDD243" s="42"/>
      <c r="DDE243" s="42"/>
      <c r="DDF243" s="42"/>
      <c r="DDG243" s="42"/>
      <c r="DDH243" s="42"/>
      <c r="DDI243" s="42"/>
      <c r="DDJ243" s="42"/>
      <c r="DDK243" s="42"/>
      <c r="DDL243" s="42"/>
      <c r="DDM243" s="42"/>
      <c r="DDN243" s="42"/>
      <c r="DDO243" s="42"/>
      <c r="DDP243" s="42"/>
      <c r="DDQ243" s="42"/>
      <c r="DDR243" s="42"/>
      <c r="DDS243" s="42"/>
      <c r="DDT243" s="42"/>
      <c r="DDU243" s="42"/>
      <c r="DDV243" s="42"/>
      <c r="DDW243" s="42"/>
      <c r="DDX243" s="42"/>
      <c r="DDY243" s="42"/>
      <c r="DDZ243" s="42"/>
      <c r="DEA243" s="42"/>
      <c r="DEB243" s="42"/>
      <c r="DEC243" s="42"/>
      <c r="DED243" s="42"/>
      <c r="DEE243" s="42"/>
      <c r="DEF243" s="42"/>
      <c r="DEG243" s="42"/>
      <c r="DEH243" s="42"/>
      <c r="DEI243" s="42"/>
      <c r="DEJ243" s="42"/>
      <c r="DEK243" s="42"/>
      <c r="DEL243" s="42"/>
      <c r="DEM243" s="42"/>
      <c r="DEN243" s="42"/>
      <c r="DEO243" s="42"/>
      <c r="DEP243" s="42"/>
      <c r="DEQ243" s="42"/>
      <c r="DER243" s="42"/>
      <c r="DES243" s="42"/>
      <c r="DET243" s="42"/>
      <c r="DEU243" s="42"/>
      <c r="DEV243" s="42"/>
      <c r="DEW243" s="42"/>
      <c r="DEX243" s="42"/>
      <c r="DEY243" s="42"/>
      <c r="DEZ243" s="42"/>
      <c r="DFA243" s="42"/>
      <c r="DFB243" s="42"/>
      <c r="DFC243" s="42"/>
      <c r="DFD243" s="42"/>
      <c r="DFE243" s="42"/>
      <c r="DFF243" s="42"/>
      <c r="DFG243" s="42"/>
      <c r="DFH243" s="42"/>
      <c r="DFI243" s="42"/>
      <c r="DFJ243" s="42"/>
      <c r="DFK243" s="42"/>
      <c r="DFL243" s="42"/>
      <c r="DFM243" s="42"/>
      <c r="DFN243" s="42"/>
      <c r="DFO243" s="42"/>
      <c r="DFP243" s="42"/>
      <c r="DFQ243" s="42"/>
      <c r="DFR243" s="42"/>
      <c r="DFS243" s="42"/>
      <c r="DFT243" s="42"/>
      <c r="DFU243" s="42"/>
      <c r="DFV243" s="42"/>
      <c r="DFW243" s="42"/>
      <c r="DFX243" s="42"/>
      <c r="DFY243" s="42"/>
      <c r="DFZ243" s="42"/>
      <c r="DGA243" s="42"/>
      <c r="DGB243" s="42"/>
      <c r="DGC243" s="42"/>
      <c r="DGD243" s="42"/>
      <c r="DGE243" s="42"/>
      <c r="DGF243" s="42"/>
      <c r="DGG243" s="42"/>
      <c r="DGH243" s="42"/>
      <c r="DGI243" s="42"/>
      <c r="DGJ243" s="42"/>
      <c r="DGK243" s="42"/>
      <c r="DGL243" s="42"/>
      <c r="DGM243" s="42"/>
      <c r="DGN243" s="42"/>
      <c r="DGO243" s="42"/>
      <c r="DGP243" s="42"/>
      <c r="DGQ243" s="42"/>
      <c r="DGR243" s="42"/>
      <c r="DGS243" s="42"/>
      <c r="DGT243" s="42"/>
      <c r="DGU243" s="42"/>
      <c r="DGV243" s="42"/>
      <c r="DGW243" s="42"/>
      <c r="DGX243" s="42"/>
      <c r="DGY243" s="42"/>
      <c r="DGZ243" s="42"/>
      <c r="DHA243" s="42"/>
      <c r="DHB243" s="42"/>
      <c r="DHC243" s="42"/>
      <c r="DHD243" s="42"/>
      <c r="DHE243" s="42"/>
      <c r="DHF243" s="42"/>
      <c r="DHG243" s="42"/>
      <c r="DHH243" s="42"/>
      <c r="DHI243" s="42"/>
      <c r="DHJ243" s="42"/>
      <c r="DHK243" s="42"/>
      <c r="DHL243" s="42"/>
      <c r="DHM243" s="42"/>
      <c r="DHN243" s="42"/>
      <c r="DHO243" s="42"/>
      <c r="DHP243" s="42"/>
      <c r="DHQ243" s="42"/>
      <c r="DHR243" s="42"/>
      <c r="DHS243" s="42"/>
      <c r="DHT243" s="42"/>
      <c r="DHU243" s="42"/>
      <c r="DHV243" s="42"/>
      <c r="DHW243" s="42"/>
      <c r="DHX243" s="42"/>
      <c r="DHY243" s="42"/>
      <c r="DHZ243" s="42"/>
      <c r="DIA243" s="42"/>
      <c r="DIB243" s="42"/>
      <c r="DIC243" s="42"/>
      <c r="DID243" s="42"/>
      <c r="DIE243" s="42"/>
      <c r="DIF243" s="42"/>
      <c r="DIG243" s="42"/>
      <c r="DIH243" s="42"/>
      <c r="DII243" s="42"/>
      <c r="DIJ243" s="42"/>
      <c r="DIK243" s="42"/>
      <c r="DIL243" s="42"/>
      <c r="DIM243" s="42"/>
      <c r="DIN243" s="42"/>
      <c r="DIO243" s="42"/>
      <c r="DIP243" s="42"/>
      <c r="DIQ243" s="42"/>
      <c r="DIR243" s="42"/>
      <c r="DIS243" s="42"/>
      <c r="DIT243" s="42"/>
      <c r="DIU243" s="42"/>
      <c r="DIV243" s="42"/>
      <c r="DIW243" s="42"/>
      <c r="DIX243" s="42"/>
      <c r="DIY243" s="42"/>
      <c r="DIZ243" s="42"/>
      <c r="DJA243" s="42"/>
      <c r="DJB243" s="42"/>
      <c r="DJC243" s="42"/>
      <c r="DJD243" s="42"/>
      <c r="DJE243" s="42"/>
      <c r="DJF243" s="42"/>
      <c r="DJG243" s="42"/>
      <c r="DJH243" s="42"/>
      <c r="DJI243" s="42"/>
      <c r="DJJ243" s="42"/>
      <c r="DJK243" s="42"/>
      <c r="DJL243" s="42"/>
      <c r="DJM243" s="42"/>
      <c r="DJN243" s="42"/>
      <c r="DJO243" s="42"/>
      <c r="DJP243" s="42"/>
      <c r="DJQ243" s="42"/>
      <c r="DJR243" s="42"/>
      <c r="DJS243" s="42"/>
      <c r="DJT243" s="42"/>
      <c r="DJU243" s="42"/>
      <c r="DJV243" s="42"/>
      <c r="DJW243" s="42"/>
      <c r="DJX243" s="42"/>
      <c r="DJY243" s="42"/>
      <c r="DJZ243" s="42"/>
      <c r="DKA243" s="42"/>
      <c r="DKB243" s="42"/>
      <c r="DKC243" s="42"/>
      <c r="DKD243" s="42"/>
      <c r="DKE243" s="42"/>
      <c r="DKF243" s="42"/>
      <c r="DKG243" s="42"/>
      <c r="DKH243" s="42"/>
      <c r="DKI243" s="42"/>
      <c r="DKJ243" s="42"/>
      <c r="DKK243" s="42"/>
      <c r="DKL243" s="42"/>
      <c r="DKM243" s="42"/>
      <c r="DKN243" s="42"/>
      <c r="DKO243" s="42"/>
      <c r="DKP243" s="42"/>
      <c r="DKQ243" s="42"/>
      <c r="DKR243" s="42"/>
      <c r="DKS243" s="42"/>
      <c r="DKT243" s="42"/>
      <c r="DKU243" s="42"/>
      <c r="DKV243" s="42"/>
      <c r="DKW243" s="42"/>
      <c r="DKX243" s="42"/>
      <c r="DKY243" s="42"/>
      <c r="DKZ243" s="42"/>
      <c r="DLA243" s="42"/>
      <c r="DLB243" s="42"/>
      <c r="DLC243" s="42"/>
      <c r="DLD243" s="42"/>
      <c r="DLE243" s="42"/>
      <c r="DLF243" s="42"/>
      <c r="DLG243" s="42"/>
      <c r="DLH243" s="42"/>
      <c r="DLI243" s="42"/>
      <c r="DLJ243" s="42"/>
      <c r="DLK243" s="42"/>
      <c r="DLL243" s="42"/>
      <c r="DLM243" s="42"/>
      <c r="DLN243" s="42"/>
      <c r="DLO243" s="42"/>
      <c r="DLP243" s="42"/>
      <c r="DLQ243" s="42"/>
      <c r="DLR243" s="42"/>
      <c r="DLS243" s="42"/>
      <c r="DLT243" s="42"/>
      <c r="DLU243" s="42"/>
      <c r="DLV243" s="42"/>
      <c r="DLW243" s="42"/>
      <c r="DLX243" s="42"/>
      <c r="DLY243" s="42"/>
      <c r="DLZ243" s="42"/>
      <c r="DMA243" s="42"/>
      <c r="DMB243" s="42"/>
      <c r="DMC243" s="42"/>
      <c r="DMD243" s="42"/>
      <c r="DME243" s="42"/>
      <c r="DMF243" s="42"/>
      <c r="DMG243" s="42"/>
      <c r="DMH243" s="42"/>
      <c r="DMI243" s="42"/>
      <c r="DMJ243" s="42"/>
      <c r="DMK243" s="42"/>
      <c r="DML243" s="42"/>
      <c r="DMM243" s="42"/>
      <c r="DMN243" s="42"/>
      <c r="DMO243" s="42"/>
      <c r="DMP243" s="42"/>
      <c r="DMQ243" s="42"/>
      <c r="DMR243" s="42"/>
      <c r="DMS243" s="42"/>
      <c r="DMT243" s="42"/>
      <c r="DMU243" s="42"/>
      <c r="DMV243" s="42"/>
      <c r="DMW243" s="42"/>
      <c r="DMX243" s="42"/>
      <c r="DMY243" s="42"/>
      <c r="DMZ243" s="42"/>
      <c r="DNA243" s="42"/>
      <c r="DNB243" s="42"/>
      <c r="DNC243" s="42"/>
      <c r="DND243" s="42"/>
      <c r="DNE243" s="42"/>
      <c r="DNF243" s="42"/>
      <c r="DNG243" s="42"/>
      <c r="DNH243" s="42"/>
      <c r="DNI243" s="42"/>
      <c r="DNJ243" s="42"/>
      <c r="DNK243" s="42"/>
      <c r="DNL243" s="42"/>
      <c r="DNM243" s="42"/>
      <c r="DNN243" s="42"/>
      <c r="DNO243" s="42"/>
      <c r="DNP243" s="42"/>
      <c r="DNQ243" s="42"/>
      <c r="DNR243" s="42"/>
      <c r="DNS243" s="42"/>
      <c r="DNT243" s="42"/>
      <c r="DNU243" s="42"/>
      <c r="DNV243" s="42"/>
      <c r="DNW243" s="42"/>
      <c r="DNX243" s="42"/>
      <c r="DNY243" s="42"/>
      <c r="DNZ243" s="42"/>
      <c r="DOA243" s="42"/>
      <c r="DOB243" s="42"/>
      <c r="DOC243" s="42"/>
      <c r="DOD243" s="42"/>
      <c r="DOE243" s="42"/>
      <c r="DOF243" s="42"/>
      <c r="DOG243" s="42"/>
      <c r="DOH243" s="42"/>
      <c r="DOI243" s="42"/>
      <c r="DOJ243" s="42"/>
      <c r="DOK243" s="42"/>
      <c r="DOL243" s="42"/>
      <c r="DOM243" s="42"/>
      <c r="DON243" s="42"/>
      <c r="DOO243" s="42"/>
      <c r="DOP243" s="42"/>
      <c r="DOQ243" s="42"/>
      <c r="DOR243" s="42"/>
      <c r="DOS243" s="42"/>
      <c r="DOT243" s="42"/>
      <c r="DOU243" s="42"/>
      <c r="DOV243" s="42"/>
      <c r="DOW243" s="42"/>
      <c r="DOX243" s="42"/>
      <c r="DOY243" s="42"/>
      <c r="DOZ243" s="42"/>
      <c r="DPA243" s="42"/>
      <c r="DPB243" s="42"/>
      <c r="DPC243" s="42"/>
      <c r="DPD243" s="42"/>
      <c r="DPE243" s="42"/>
      <c r="DPF243" s="42"/>
      <c r="DPG243" s="42"/>
      <c r="DPH243" s="42"/>
      <c r="DPI243" s="42"/>
      <c r="DPJ243" s="42"/>
      <c r="DPK243" s="42"/>
      <c r="DPL243" s="42"/>
      <c r="DPM243" s="42"/>
      <c r="DPN243" s="42"/>
      <c r="DPO243" s="42"/>
      <c r="DPP243" s="42"/>
      <c r="DPQ243" s="42"/>
      <c r="DPR243" s="42"/>
      <c r="DPS243" s="42"/>
      <c r="DPT243" s="42"/>
      <c r="DPU243" s="42"/>
      <c r="DPV243" s="42"/>
      <c r="DPW243" s="42"/>
      <c r="DPX243" s="42"/>
      <c r="DPY243" s="42"/>
      <c r="DPZ243" s="42"/>
      <c r="DQA243" s="42"/>
      <c r="DQB243" s="42"/>
      <c r="DQC243" s="42"/>
      <c r="DQD243" s="42"/>
      <c r="DQE243" s="42"/>
      <c r="DQF243" s="42"/>
      <c r="DQG243" s="42"/>
      <c r="DQH243" s="42"/>
      <c r="DQI243" s="42"/>
      <c r="DQJ243" s="42"/>
      <c r="DQK243" s="42"/>
      <c r="DQL243" s="42"/>
      <c r="DQM243" s="42"/>
      <c r="DQN243" s="42"/>
      <c r="DQO243" s="42"/>
      <c r="DQP243" s="42"/>
      <c r="DQQ243" s="42"/>
      <c r="DQR243" s="42"/>
      <c r="DQS243" s="42"/>
      <c r="DQT243" s="42"/>
      <c r="DQU243" s="42"/>
      <c r="DQV243" s="42"/>
      <c r="DQW243" s="42"/>
      <c r="DQX243" s="42"/>
      <c r="DQY243" s="42"/>
      <c r="DQZ243" s="42"/>
      <c r="DRA243" s="42"/>
      <c r="DRB243" s="42"/>
      <c r="DRC243" s="42"/>
      <c r="DRD243" s="42"/>
      <c r="DRE243" s="42"/>
      <c r="DRF243" s="42"/>
      <c r="DRG243" s="42"/>
      <c r="DRH243" s="42"/>
      <c r="DRI243" s="42"/>
      <c r="DRJ243" s="42"/>
      <c r="DRK243" s="42"/>
      <c r="DRL243" s="42"/>
      <c r="DRM243" s="42"/>
      <c r="DRN243" s="42"/>
      <c r="DRO243" s="42"/>
      <c r="DRP243" s="42"/>
      <c r="DRQ243" s="42"/>
      <c r="DRR243" s="42"/>
      <c r="DRS243" s="42"/>
      <c r="DRT243" s="42"/>
      <c r="DRU243" s="42"/>
      <c r="DRV243" s="42"/>
      <c r="DRW243" s="42"/>
      <c r="DRX243" s="42"/>
      <c r="DRY243" s="42"/>
      <c r="DRZ243" s="42"/>
      <c r="DSA243" s="42"/>
      <c r="DSB243" s="42"/>
      <c r="DSC243" s="42"/>
      <c r="DSD243" s="42"/>
      <c r="DSE243" s="42"/>
      <c r="DSF243" s="42"/>
      <c r="DSG243" s="42"/>
      <c r="DSH243" s="42"/>
      <c r="DSI243" s="42"/>
      <c r="DSJ243" s="42"/>
      <c r="DSK243" s="42"/>
      <c r="DSL243" s="42"/>
      <c r="DSM243" s="42"/>
      <c r="DSN243" s="42"/>
      <c r="DSO243" s="42"/>
      <c r="DSP243" s="42"/>
      <c r="DSQ243" s="42"/>
      <c r="DSR243" s="42"/>
      <c r="DSS243" s="42"/>
      <c r="DST243" s="42"/>
      <c r="DSU243" s="42"/>
      <c r="DSV243" s="42"/>
      <c r="DSW243" s="42"/>
      <c r="DSX243" s="42"/>
      <c r="DSY243" s="42"/>
      <c r="DSZ243" s="42"/>
      <c r="DTA243" s="42"/>
      <c r="DTB243" s="42"/>
      <c r="DTC243" s="42"/>
      <c r="DTD243" s="42"/>
      <c r="DTE243" s="42"/>
      <c r="DTF243" s="42"/>
      <c r="DTG243" s="42"/>
      <c r="DTH243" s="42"/>
      <c r="DTI243" s="42"/>
      <c r="DTJ243" s="42"/>
      <c r="DTK243" s="42"/>
      <c r="DTL243" s="42"/>
      <c r="DTM243" s="42"/>
      <c r="DTN243" s="42"/>
      <c r="DTO243" s="42"/>
      <c r="DTP243" s="42"/>
      <c r="DTQ243" s="42"/>
      <c r="DTR243" s="42"/>
      <c r="DTS243" s="42"/>
      <c r="DTT243" s="42"/>
      <c r="DTU243" s="42"/>
      <c r="DTV243" s="42"/>
      <c r="DTW243" s="42"/>
      <c r="DTX243" s="42"/>
      <c r="DTY243" s="42"/>
      <c r="DTZ243" s="42"/>
      <c r="DUA243" s="42"/>
      <c r="DUB243" s="42"/>
      <c r="DUC243" s="42"/>
      <c r="DUD243" s="42"/>
      <c r="DUE243" s="42"/>
      <c r="DUF243" s="42"/>
      <c r="DUG243" s="42"/>
      <c r="DUH243" s="42"/>
      <c r="DUI243" s="42"/>
      <c r="DUJ243" s="42"/>
      <c r="DUK243" s="42"/>
      <c r="DUL243" s="42"/>
      <c r="DUM243" s="42"/>
      <c r="DUN243" s="42"/>
      <c r="DUO243" s="42"/>
      <c r="DUP243" s="42"/>
      <c r="DUQ243" s="42"/>
      <c r="DUR243" s="42"/>
      <c r="DUS243" s="42"/>
      <c r="DUT243" s="42"/>
      <c r="DUU243" s="42"/>
      <c r="DUV243" s="42"/>
      <c r="DUW243" s="42"/>
      <c r="DUX243" s="42"/>
      <c r="DUY243" s="42"/>
      <c r="DUZ243" s="42"/>
      <c r="DVA243" s="42"/>
      <c r="DVB243" s="42"/>
      <c r="DVC243" s="42"/>
      <c r="DVD243" s="42"/>
      <c r="DVE243" s="42"/>
      <c r="DVF243" s="42"/>
      <c r="DVG243" s="42"/>
      <c r="DVH243" s="42"/>
      <c r="DVI243" s="42"/>
      <c r="DVJ243" s="42"/>
      <c r="DVK243" s="42"/>
      <c r="DVL243" s="42"/>
      <c r="DVM243" s="42"/>
      <c r="DVN243" s="42"/>
      <c r="DVO243" s="42"/>
      <c r="DVP243" s="42"/>
      <c r="DVQ243" s="42"/>
      <c r="DVR243" s="42"/>
      <c r="DVS243" s="42"/>
      <c r="DVT243" s="42"/>
      <c r="DVU243" s="42"/>
      <c r="DVV243" s="42"/>
      <c r="DVW243" s="42"/>
      <c r="DVX243" s="42"/>
      <c r="DVY243" s="42"/>
      <c r="DVZ243" s="42"/>
      <c r="DWA243" s="42"/>
      <c r="DWB243" s="42"/>
      <c r="DWC243" s="42"/>
      <c r="DWD243" s="42"/>
      <c r="DWE243" s="42"/>
      <c r="DWF243" s="42"/>
      <c r="DWG243" s="42"/>
      <c r="DWH243" s="42"/>
      <c r="DWI243" s="42"/>
      <c r="DWJ243" s="42"/>
      <c r="DWK243" s="42"/>
      <c r="DWL243" s="42"/>
      <c r="DWM243" s="42"/>
      <c r="DWN243" s="42"/>
      <c r="DWO243" s="42"/>
      <c r="DWP243" s="42"/>
      <c r="DWQ243" s="42"/>
      <c r="DWR243" s="42"/>
      <c r="DWS243" s="42"/>
      <c r="DWT243" s="42"/>
      <c r="DWU243" s="42"/>
      <c r="DWV243" s="42"/>
      <c r="DWW243" s="42"/>
      <c r="DWX243" s="42"/>
      <c r="DWY243" s="42"/>
      <c r="DWZ243" s="42"/>
      <c r="DXA243" s="42"/>
      <c r="DXB243" s="42"/>
      <c r="DXC243" s="42"/>
      <c r="DXD243" s="42"/>
      <c r="DXE243" s="42"/>
      <c r="DXF243" s="42"/>
      <c r="DXG243" s="42"/>
      <c r="DXH243" s="42"/>
      <c r="DXI243" s="42"/>
      <c r="DXJ243" s="42"/>
      <c r="DXK243" s="42"/>
      <c r="DXL243" s="42"/>
      <c r="DXM243" s="42"/>
      <c r="DXN243" s="42"/>
      <c r="DXO243" s="42"/>
      <c r="DXP243" s="42"/>
      <c r="DXQ243" s="42"/>
      <c r="DXR243" s="42"/>
      <c r="DXS243" s="42"/>
      <c r="DXT243" s="42"/>
      <c r="DXU243" s="42"/>
      <c r="DXV243" s="42"/>
      <c r="DXW243" s="42"/>
      <c r="DXX243" s="42"/>
      <c r="DXY243" s="42"/>
      <c r="DXZ243" s="42"/>
      <c r="DYA243" s="42"/>
      <c r="DYB243" s="42"/>
      <c r="DYC243" s="42"/>
      <c r="DYD243" s="42"/>
      <c r="DYE243" s="42"/>
      <c r="DYF243" s="42"/>
      <c r="DYG243" s="42"/>
      <c r="DYH243" s="42"/>
      <c r="DYI243" s="42"/>
      <c r="DYJ243" s="42"/>
      <c r="DYK243" s="42"/>
      <c r="DYL243" s="42"/>
      <c r="DYM243" s="42"/>
      <c r="DYN243" s="42"/>
      <c r="DYO243" s="42"/>
      <c r="DYP243" s="42"/>
      <c r="DYQ243" s="42"/>
      <c r="DYR243" s="42"/>
      <c r="DYS243" s="42"/>
      <c r="DYT243" s="42"/>
      <c r="DYU243" s="42"/>
      <c r="DYV243" s="42"/>
      <c r="DYW243" s="42"/>
      <c r="DYX243" s="42"/>
      <c r="DYY243" s="42"/>
      <c r="DYZ243" s="42"/>
      <c r="DZA243" s="42"/>
      <c r="DZB243" s="42"/>
      <c r="DZC243" s="42"/>
      <c r="DZD243" s="42"/>
      <c r="DZE243" s="42"/>
      <c r="DZF243" s="42"/>
      <c r="DZG243" s="42"/>
      <c r="DZH243" s="42"/>
      <c r="DZI243" s="42"/>
      <c r="DZJ243" s="42"/>
      <c r="DZK243" s="42"/>
      <c r="DZL243" s="42"/>
      <c r="DZM243" s="42"/>
      <c r="DZN243" s="42"/>
      <c r="DZO243" s="42"/>
      <c r="DZP243" s="42"/>
      <c r="DZQ243" s="42"/>
      <c r="DZR243" s="42"/>
      <c r="DZS243" s="42"/>
      <c r="DZT243" s="42"/>
      <c r="DZU243" s="42"/>
      <c r="DZV243" s="42"/>
      <c r="DZW243" s="42"/>
      <c r="DZX243" s="42"/>
      <c r="DZY243" s="42"/>
      <c r="DZZ243" s="42"/>
      <c r="EAA243" s="42"/>
      <c r="EAB243" s="42"/>
      <c r="EAC243" s="42"/>
      <c r="EAD243" s="42"/>
      <c r="EAE243" s="42"/>
      <c r="EAF243" s="42"/>
      <c r="EAG243" s="42"/>
      <c r="EAH243" s="42"/>
      <c r="EAI243" s="42"/>
      <c r="EAJ243" s="42"/>
      <c r="EAK243" s="42"/>
      <c r="EAL243" s="42"/>
      <c r="EAM243" s="42"/>
      <c r="EAN243" s="42"/>
      <c r="EAO243" s="42"/>
      <c r="EAP243" s="42"/>
      <c r="EAQ243" s="42"/>
      <c r="EAR243" s="42"/>
      <c r="EAS243" s="42"/>
      <c r="EAT243" s="42"/>
      <c r="EAU243" s="42"/>
      <c r="EAV243" s="42"/>
      <c r="EAW243" s="42"/>
      <c r="EAX243" s="42"/>
      <c r="EAY243" s="42"/>
      <c r="EAZ243" s="42"/>
      <c r="EBA243" s="42"/>
      <c r="EBB243" s="42"/>
      <c r="EBC243" s="42"/>
      <c r="EBD243" s="42"/>
      <c r="EBE243" s="42"/>
      <c r="EBF243" s="42"/>
      <c r="EBG243" s="42"/>
      <c r="EBH243" s="42"/>
      <c r="EBI243" s="42"/>
      <c r="EBJ243" s="42"/>
      <c r="EBK243" s="42"/>
      <c r="EBL243" s="42"/>
      <c r="EBM243" s="42"/>
      <c r="EBN243" s="42"/>
      <c r="EBO243" s="42"/>
      <c r="EBP243" s="42"/>
      <c r="EBQ243" s="42"/>
      <c r="EBR243" s="42"/>
      <c r="EBS243" s="42"/>
      <c r="EBT243" s="42"/>
      <c r="EBU243" s="42"/>
      <c r="EBV243" s="42"/>
      <c r="EBW243" s="42"/>
      <c r="EBX243" s="42"/>
      <c r="EBY243" s="42"/>
      <c r="EBZ243" s="42"/>
      <c r="ECA243" s="42"/>
      <c r="ECB243" s="42"/>
      <c r="ECC243" s="42"/>
      <c r="ECD243" s="42"/>
      <c r="ECE243" s="42"/>
      <c r="ECF243" s="42"/>
      <c r="ECG243" s="42"/>
      <c r="ECH243" s="42"/>
      <c r="ECI243" s="42"/>
      <c r="ECJ243" s="42"/>
      <c r="ECK243" s="42"/>
      <c r="ECL243" s="42"/>
      <c r="ECM243" s="42"/>
      <c r="ECN243" s="42"/>
      <c r="ECO243" s="42"/>
      <c r="ECP243" s="42"/>
      <c r="ECQ243" s="42"/>
      <c r="ECR243" s="42"/>
      <c r="ECS243" s="42"/>
      <c r="ECT243" s="42"/>
      <c r="ECU243" s="42"/>
      <c r="ECV243" s="42"/>
      <c r="ECW243" s="42"/>
      <c r="ECX243" s="42"/>
      <c r="ECY243" s="42"/>
      <c r="ECZ243" s="42"/>
      <c r="EDA243" s="42"/>
      <c r="EDB243" s="42"/>
      <c r="EDC243" s="42"/>
      <c r="EDD243" s="42"/>
      <c r="EDE243" s="42"/>
      <c r="EDF243" s="42"/>
      <c r="EDG243" s="42"/>
      <c r="EDH243" s="42"/>
      <c r="EDI243" s="42"/>
      <c r="EDJ243" s="42"/>
      <c r="EDK243" s="42"/>
      <c r="EDL243" s="42"/>
      <c r="EDM243" s="42"/>
      <c r="EDN243" s="42"/>
      <c r="EDO243" s="42"/>
      <c r="EDP243" s="42"/>
      <c r="EDQ243" s="42"/>
      <c r="EDR243" s="42"/>
      <c r="EDS243" s="42"/>
      <c r="EDT243" s="42"/>
      <c r="EDU243" s="42"/>
      <c r="EDV243" s="42"/>
      <c r="EDW243" s="42"/>
      <c r="EDX243" s="42"/>
      <c r="EDY243" s="42"/>
      <c r="EDZ243" s="42"/>
      <c r="EEA243" s="42"/>
      <c r="EEB243" s="42"/>
      <c r="EEC243" s="42"/>
      <c r="EED243" s="42"/>
      <c r="EEE243" s="42"/>
      <c r="EEF243" s="42"/>
      <c r="EEG243" s="42"/>
      <c r="EEH243" s="42"/>
      <c r="EEI243" s="42"/>
      <c r="EEJ243" s="42"/>
      <c r="EEK243" s="42"/>
      <c r="EEL243" s="42"/>
      <c r="EEM243" s="42"/>
      <c r="EEN243" s="42"/>
      <c r="EEO243" s="42"/>
      <c r="EEP243" s="42"/>
      <c r="EEQ243" s="42"/>
      <c r="EER243" s="42"/>
      <c r="EES243" s="42"/>
      <c r="EET243" s="42"/>
      <c r="EEU243" s="42"/>
      <c r="EEV243" s="42"/>
      <c r="EEW243" s="42"/>
      <c r="EEX243" s="42"/>
      <c r="EEY243" s="42"/>
      <c r="EEZ243" s="42"/>
      <c r="EFA243" s="42"/>
      <c r="EFB243" s="42"/>
      <c r="EFC243" s="42"/>
      <c r="EFD243" s="42"/>
      <c r="EFE243" s="42"/>
      <c r="EFF243" s="42"/>
      <c r="EFG243" s="42"/>
      <c r="EFH243" s="42"/>
      <c r="EFI243" s="42"/>
      <c r="EFJ243" s="42"/>
      <c r="EFK243" s="42"/>
      <c r="EFL243" s="42"/>
      <c r="EFM243" s="42"/>
      <c r="EFN243" s="42"/>
      <c r="EFO243" s="42"/>
      <c r="EFP243" s="42"/>
      <c r="EFQ243" s="42"/>
      <c r="EFR243" s="42"/>
      <c r="EFS243" s="42"/>
      <c r="EFT243" s="42"/>
      <c r="EFU243" s="42"/>
      <c r="EFV243" s="42"/>
      <c r="EFW243" s="42"/>
      <c r="EFX243" s="42"/>
      <c r="EFY243" s="42"/>
      <c r="EFZ243" s="42"/>
      <c r="EGA243" s="42"/>
      <c r="EGB243" s="42"/>
      <c r="EGC243" s="42"/>
      <c r="EGD243" s="42"/>
      <c r="EGE243" s="42"/>
      <c r="EGF243" s="42"/>
      <c r="EGG243" s="42"/>
      <c r="EGH243" s="42"/>
      <c r="EGI243" s="42"/>
      <c r="EGJ243" s="42"/>
      <c r="EGK243" s="42"/>
      <c r="EGL243" s="42"/>
      <c r="EGM243" s="42"/>
      <c r="EGN243" s="42"/>
      <c r="EGO243" s="42"/>
      <c r="EGP243" s="42"/>
      <c r="EGQ243" s="42"/>
      <c r="EGR243" s="42"/>
      <c r="EGS243" s="42"/>
      <c r="EGT243" s="42"/>
      <c r="EGU243" s="42"/>
      <c r="EGV243" s="42"/>
      <c r="EGW243" s="42"/>
      <c r="EGX243" s="42"/>
      <c r="EGY243" s="42"/>
      <c r="EGZ243" s="42"/>
      <c r="EHA243" s="42"/>
      <c r="EHB243" s="42"/>
      <c r="EHC243" s="42"/>
      <c r="EHD243" s="42"/>
      <c r="EHE243" s="42"/>
      <c r="EHF243" s="42"/>
      <c r="EHG243" s="42"/>
      <c r="EHH243" s="42"/>
      <c r="EHI243" s="42"/>
      <c r="EHJ243" s="42"/>
      <c r="EHK243" s="42"/>
      <c r="EHL243" s="42"/>
      <c r="EHM243" s="42"/>
      <c r="EHN243" s="42"/>
      <c r="EHO243" s="42"/>
      <c r="EHP243" s="42"/>
      <c r="EHQ243" s="42"/>
      <c r="EHR243" s="42"/>
      <c r="EHS243" s="42"/>
      <c r="EHT243" s="42"/>
      <c r="EHU243" s="42"/>
      <c r="EHV243" s="42"/>
      <c r="EHW243" s="42"/>
      <c r="EHX243" s="42"/>
      <c r="EHY243" s="42"/>
      <c r="EHZ243" s="42"/>
      <c r="EIA243" s="42"/>
      <c r="EIB243" s="42"/>
      <c r="EIC243" s="42"/>
      <c r="EID243" s="42"/>
      <c r="EIE243" s="42"/>
      <c r="EIF243" s="42"/>
      <c r="EIG243" s="42"/>
      <c r="EIH243" s="42"/>
      <c r="EII243" s="42"/>
      <c r="EIJ243" s="42"/>
      <c r="EIK243" s="42"/>
      <c r="EIL243" s="42"/>
      <c r="EIM243" s="42"/>
      <c r="EIN243" s="42"/>
      <c r="EIO243" s="42"/>
      <c r="EIP243" s="42"/>
      <c r="EIQ243" s="42"/>
      <c r="EIR243" s="42"/>
      <c r="EIS243" s="42"/>
      <c r="EIT243" s="42"/>
      <c r="EIU243" s="42"/>
      <c r="EIV243" s="42"/>
      <c r="EIW243" s="42"/>
      <c r="EIX243" s="42"/>
      <c r="EIY243" s="42"/>
      <c r="EIZ243" s="42"/>
      <c r="EJA243" s="42"/>
      <c r="EJB243" s="42"/>
      <c r="EJC243" s="42"/>
      <c r="EJD243" s="42"/>
      <c r="EJE243" s="42"/>
      <c r="EJF243" s="42"/>
      <c r="EJG243" s="42"/>
      <c r="EJH243" s="42"/>
      <c r="EJI243" s="42"/>
      <c r="EJJ243" s="42"/>
      <c r="EJK243" s="42"/>
      <c r="EJL243" s="42"/>
      <c r="EJM243" s="42"/>
      <c r="EJN243" s="42"/>
      <c r="EJO243" s="42"/>
      <c r="EJP243" s="42"/>
      <c r="EJQ243" s="42"/>
      <c r="EJR243" s="42"/>
      <c r="EJS243" s="42"/>
      <c r="EJT243" s="42"/>
      <c r="EJU243" s="42"/>
      <c r="EJV243" s="42"/>
      <c r="EJW243" s="42"/>
      <c r="EJX243" s="42"/>
      <c r="EJY243" s="42"/>
      <c r="EJZ243" s="42"/>
      <c r="EKA243" s="42"/>
      <c r="EKB243" s="42"/>
      <c r="EKC243" s="42"/>
      <c r="EKD243" s="42"/>
      <c r="EKE243" s="42"/>
      <c r="EKF243" s="42"/>
      <c r="EKG243" s="42"/>
      <c r="EKH243" s="42"/>
      <c r="EKI243" s="42"/>
      <c r="EKJ243" s="42"/>
      <c r="EKK243" s="42"/>
      <c r="EKL243" s="42"/>
      <c r="EKM243" s="42"/>
      <c r="EKN243" s="42"/>
      <c r="EKO243" s="42"/>
      <c r="EKP243" s="42"/>
      <c r="EKQ243" s="42"/>
      <c r="EKR243" s="42"/>
      <c r="EKS243" s="42"/>
      <c r="EKT243" s="42"/>
      <c r="EKU243" s="42"/>
      <c r="EKV243" s="42"/>
      <c r="EKW243" s="42"/>
      <c r="EKX243" s="42"/>
      <c r="EKY243" s="42"/>
      <c r="EKZ243" s="42"/>
      <c r="ELA243" s="42"/>
      <c r="ELB243" s="42"/>
      <c r="ELC243" s="42"/>
      <c r="ELD243" s="42"/>
      <c r="ELE243" s="42"/>
      <c r="ELF243" s="42"/>
      <c r="ELG243" s="42"/>
      <c r="ELH243" s="42"/>
      <c r="ELI243" s="42"/>
      <c r="ELJ243" s="42"/>
      <c r="ELK243" s="42"/>
      <c r="ELL243" s="42"/>
      <c r="ELM243" s="42"/>
      <c r="ELN243" s="42"/>
      <c r="ELO243" s="42"/>
      <c r="ELP243" s="42"/>
      <c r="ELQ243" s="42"/>
      <c r="ELR243" s="42"/>
      <c r="ELS243" s="42"/>
      <c r="ELT243" s="42"/>
      <c r="ELU243" s="42"/>
      <c r="ELV243" s="42"/>
      <c r="ELW243" s="42"/>
      <c r="ELX243" s="42"/>
      <c r="ELY243" s="42"/>
      <c r="ELZ243" s="42"/>
      <c r="EMA243" s="42"/>
      <c r="EMB243" s="42"/>
      <c r="EMC243" s="42"/>
      <c r="EMD243" s="42"/>
      <c r="EME243" s="42"/>
      <c r="EMF243" s="42"/>
      <c r="EMG243" s="42"/>
      <c r="EMH243" s="42"/>
      <c r="EMI243" s="42"/>
      <c r="EMJ243" s="42"/>
      <c r="EMK243" s="42"/>
      <c r="EML243" s="42"/>
      <c r="EMM243" s="42"/>
      <c r="EMN243" s="42"/>
      <c r="EMO243" s="42"/>
      <c r="EMP243" s="42"/>
      <c r="EMQ243" s="42"/>
      <c r="EMR243" s="42"/>
      <c r="EMS243" s="42"/>
      <c r="EMT243" s="42"/>
      <c r="EMU243" s="42"/>
      <c r="EMV243" s="42"/>
      <c r="EMW243" s="42"/>
      <c r="EMX243" s="42"/>
      <c r="EMY243" s="42"/>
      <c r="EMZ243" s="42"/>
      <c r="ENA243" s="42"/>
      <c r="ENB243" s="42"/>
      <c r="ENC243" s="42"/>
      <c r="END243" s="42"/>
      <c r="ENE243" s="42"/>
      <c r="ENF243" s="42"/>
      <c r="ENG243" s="42"/>
      <c r="ENH243" s="42"/>
      <c r="ENI243" s="42"/>
      <c r="ENJ243" s="42"/>
      <c r="ENK243" s="42"/>
      <c r="ENL243" s="42"/>
      <c r="ENM243" s="42"/>
      <c r="ENN243" s="42"/>
      <c r="ENO243" s="42"/>
      <c r="ENP243" s="42"/>
      <c r="ENQ243" s="42"/>
      <c r="ENR243" s="42"/>
      <c r="ENS243" s="42"/>
      <c r="ENT243" s="42"/>
      <c r="ENU243" s="42"/>
      <c r="ENV243" s="42"/>
      <c r="ENW243" s="42"/>
      <c r="ENX243" s="42"/>
      <c r="ENY243" s="42"/>
      <c r="ENZ243" s="42"/>
      <c r="EOA243" s="42"/>
      <c r="EOB243" s="42"/>
      <c r="EOC243" s="42"/>
      <c r="EOD243" s="42"/>
      <c r="EOE243" s="42"/>
      <c r="EOF243" s="42"/>
      <c r="EOG243" s="42"/>
      <c r="EOH243" s="42"/>
      <c r="EOI243" s="42"/>
      <c r="EOJ243" s="42"/>
      <c r="EOK243" s="42"/>
      <c r="EOL243" s="42"/>
      <c r="EOM243" s="42"/>
      <c r="EON243" s="42"/>
      <c r="EOO243" s="42"/>
      <c r="EOP243" s="42"/>
      <c r="EOQ243" s="42"/>
      <c r="EOR243" s="42"/>
      <c r="EOS243" s="42"/>
      <c r="EOT243" s="42"/>
      <c r="EOU243" s="42"/>
      <c r="EOV243" s="42"/>
      <c r="EOW243" s="42"/>
      <c r="EOX243" s="42"/>
      <c r="EOY243" s="42"/>
      <c r="EOZ243" s="42"/>
      <c r="EPA243" s="42"/>
      <c r="EPB243" s="42"/>
      <c r="EPC243" s="42"/>
      <c r="EPD243" s="42"/>
      <c r="EPE243" s="42"/>
      <c r="EPF243" s="42"/>
      <c r="EPG243" s="42"/>
      <c r="EPH243" s="42"/>
      <c r="EPI243" s="42"/>
      <c r="EPJ243" s="42"/>
      <c r="EPK243" s="42"/>
      <c r="EPL243" s="42"/>
      <c r="EPM243" s="42"/>
      <c r="EPN243" s="42"/>
      <c r="EPO243" s="42"/>
      <c r="EPP243" s="42"/>
      <c r="EPQ243" s="42"/>
      <c r="EPR243" s="42"/>
      <c r="EPS243" s="42"/>
      <c r="EPT243" s="42"/>
      <c r="EPU243" s="42"/>
      <c r="EPV243" s="42"/>
      <c r="EPW243" s="42"/>
      <c r="EPX243" s="42"/>
      <c r="EPY243" s="42"/>
      <c r="EPZ243" s="42"/>
      <c r="EQA243" s="42"/>
      <c r="EQB243" s="42"/>
      <c r="EQC243" s="42"/>
      <c r="EQD243" s="42"/>
      <c r="EQE243" s="42"/>
      <c r="EQF243" s="42"/>
      <c r="EQG243" s="42"/>
      <c r="EQH243" s="42"/>
      <c r="EQI243" s="42"/>
      <c r="EQJ243" s="42"/>
      <c r="EQK243" s="42"/>
      <c r="EQL243" s="42"/>
      <c r="EQM243" s="42"/>
      <c r="EQN243" s="42"/>
      <c r="EQO243" s="42"/>
      <c r="EQP243" s="42"/>
      <c r="EQQ243" s="42"/>
      <c r="EQR243" s="42"/>
      <c r="EQS243" s="42"/>
      <c r="EQT243" s="42"/>
      <c r="EQU243" s="42"/>
      <c r="EQV243" s="42"/>
      <c r="EQW243" s="42"/>
      <c r="EQX243" s="42"/>
      <c r="EQY243" s="42"/>
      <c r="EQZ243" s="42"/>
      <c r="ERA243" s="42"/>
      <c r="ERB243" s="42"/>
      <c r="ERC243" s="42"/>
      <c r="ERD243" s="42"/>
      <c r="ERE243" s="42"/>
      <c r="ERF243" s="42"/>
      <c r="ERG243" s="42"/>
      <c r="ERH243" s="42"/>
      <c r="ERI243" s="42"/>
      <c r="ERJ243" s="42"/>
      <c r="ERK243" s="42"/>
      <c r="ERL243" s="42"/>
      <c r="ERM243" s="42"/>
      <c r="ERN243" s="42"/>
      <c r="ERO243" s="42"/>
      <c r="ERP243" s="42"/>
      <c r="ERQ243" s="42"/>
      <c r="ERR243" s="42"/>
      <c r="ERS243" s="42"/>
      <c r="ERT243" s="42"/>
      <c r="ERU243" s="42"/>
      <c r="ERV243" s="42"/>
      <c r="ERW243" s="42"/>
      <c r="ERX243" s="42"/>
      <c r="ERY243" s="42"/>
      <c r="ERZ243" s="42"/>
      <c r="ESA243" s="42"/>
      <c r="ESB243" s="42"/>
      <c r="ESC243" s="42"/>
      <c r="ESD243" s="42"/>
      <c r="ESE243" s="42"/>
      <c r="ESF243" s="42"/>
      <c r="ESG243" s="42"/>
      <c r="ESH243" s="42"/>
      <c r="ESI243" s="42"/>
      <c r="ESJ243" s="42"/>
      <c r="ESK243" s="42"/>
      <c r="ESL243" s="42"/>
      <c r="ESM243" s="42"/>
      <c r="ESN243" s="42"/>
      <c r="ESO243" s="42"/>
      <c r="ESP243" s="42"/>
      <c r="ESQ243" s="42"/>
      <c r="ESR243" s="42"/>
      <c r="ESS243" s="42"/>
      <c r="EST243" s="42"/>
      <c r="ESU243" s="42"/>
      <c r="ESV243" s="42"/>
      <c r="ESW243" s="42"/>
      <c r="ESX243" s="42"/>
      <c r="ESY243" s="42"/>
      <c r="ESZ243" s="42"/>
      <c r="ETA243" s="42"/>
      <c r="ETB243" s="42"/>
      <c r="ETC243" s="42"/>
      <c r="ETD243" s="42"/>
      <c r="ETE243" s="42"/>
      <c r="ETF243" s="42"/>
      <c r="ETG243" s="42"/>
      <c r="ETH243" s="42"/>
      <c r="ETI243" s="42"/>
      <c r="ETJ243" s="42"/>
      <c r="ETK243" s="42"/>
      <c r="ETL243" s="42"/>
      <c r="ETM243" s="42"/>
      <c r="ETN243" s="42"/>
      <c r="ETO243" s="42"/>
      <c r="ETP243" s="42"/>
      <c r="ETQ243" s="42"/>
      <c r="ETR243" s="42"/>
      <c r="ETS243" s="42"/>
      <c r="ETT243" s="42"/>
      <c r="ETU243" s="42"/>
      <c r="ETV243" s="42"/>
      <c r="ETW243" s="42"/>
      <c r="ETX243" s="42"/>
      <c r="ETY243" s="42"/>
      <c r="ETZ243" s="42"/>
      <c r="EUA243" s="42"/>
      <c r="EUB243" s="42"/>
      <c r="EUC243" s="42"/>
      <c r="EUD243" s="42"/>
      <c r="EUE243" s="42"/>
      <c r="EUF243" s="42"/>
      <c r="EUG243" s="42"/>
      <c r="EUH243" s="42"/>
      <c r="EUI243" s="42"/>
      <c r="EUJ243" s="42"/>
      <c r="EUK243" s="42"/>
      <c r="EUL243" s="42"/>
      <c r="EUM243" s="42"/>
      <c r="EUN243" s="42"/>
      <c r="EUO243" s="42"/>
      <c r="EUP243" s="42"/>
      <c r="EUQ243" s="42"/>
      <c r="EUR243" s="42"/>
      <c r="EUS243" s="42"/>
      <c r="EUT243" s="42"/>
      <c r="EUU243" s="42"/>
      <c r="EUV243" s="42"/>
      <c r="EUW243" s="42"/>
      <c r="EUX243" s="42"/>
      <c r="EUY243" s="42"/>
      <c r="EUZ243" s="42"/>
      <c r="EVA243" s="42"/>
      <c r="EVB243" s="42"/>
      <c r="EVC243" s="42"/>
      <c r="EVD243" s="42"/>
      <c r="EVE243" s="42"/>
      <c r="EVF243" s="42"/>
      <c r="EVG243" s="42"/>
      <c r="EVH243" s="42"/>
      <c r="EVI243" s="42"/>
      <c r="EVJ243" s="42"/>
      <c r="EVK243" s="42"/>
      <c r="EVL243" s="42"/>
      <c r="EVM243" s="42"/>
      <c r="EVN243" s="42"/>
      <c r="EVO243" s="42"/>
      <c r="EVP243" s="42"/>
      <c r="EVQ243" s="42"/>
      <c r="EVR243" s="42"/>
      <c r="EVS243" s="42"/>
      <c r="EVT243" s="42"/>
      <c r="EVU243" s="42"/>
      <c r="EVV243" s="42"/>
      <c r="EVW243" s="42"/>
      <c r="EVX243" s="42"/>
      <c r="EVY243" s="42"/>
      <c r="EVZ243" s="42"/>
      <c r="EWA243" s="42"/>
      <c r="EWB243" s="42"/>
      <c r="EWC243" s="42"/>
      <c r="EWD243" s="42"/>
      <c r="EWE243" s="42"/>
      <c r="EWF243" s="42"/>
      <c r="EWG243" s="42"/>
      <c r="EWH243" s="42"/>
      <c r="EWI243" s="42"/>
      <c r="EWJ243" s="42"/>
      <c r="EWK243" s="42"/>
      <c r="EWL243" s="42"/>
      <c r="EWM243" s="42"/>
      <c r="EWN243" s="42"/>
      <c r="EWO243" s="42"/>
      <c r="EWP243" s="42"/>
      <c r="EWQ243" s="42"/>
      <c r="EWR243" s="42"/>
      <c r="EWS243" s="42"/>
      <c r="EWT243" s="42"/>
      <c r="EWU243" s="42"/>
      <c r="EWV243" s="42"/>
      <c r="EWW243" s="42"/>
      <c r="EWX243" s="42"/>
      <c r="EWY243" s="42"/>
      <c r="EWZ243" s="42"/>
      <c r="EXA243" s="42"/>
      <c r="EXB243" s="42"/>
      <c r="EXC243" s="42"/>
      <c r="EXD243" s="42"/>
      <c r="EXE243" s="42"/>
      <c r="EXF243" s="42"/>
      <c r="EXG243" s="42"/>
      <c r="EXH243" s="42"/>
      <c r="EXI243" s="42"/>
      <c r="EXJ243" s="42"/>
      <c r="EXK243" s="42"/>
      <c r="EXL243" s="42"/>
      <c r="EXM243" s="42"/>
      <c r="EXN243" s="42"/>
      <c r="EXO243" s="42"/>
      <c r="EXP243" s="42"/>
      <c r="EXQ243" s="42"/>
      <c r="EXR243" s="42"/>
      <c r="EXS243" s="42"/>
      <c r="EXT243" s="42"/>
      <c r="EXU243" s="42"/>
      <c r="EXV243" s="42"/>
      <c r="EXW243" s="42"/>
      <c r="EXX243" s="42"/>
      <c r="EXY243" s="42"/>
      <c r="EXZ243" s="42"/>
      <c r="EYA243" s="42"/>
      <c r="EYB243" s="42"/>
      <c r="EYC243" s="42"/>
      <c r="EYD243" s="42"/>
      <c r="EYE243" s="42"/>
      <c r="EYF243" s="42"/>
      <c r="EYG243" s="42"/>
      <c r="EYH243" s="42"/>
      <c r="EYI243" s="42"/>
      <c r="EYJ243" s="42"/>
      <c r="EYK243" s="42"/>
      <c r="EYL243" s="42"/>
      <c r="EYM243" s="42"/>
      <c r="EYN243" s="42"/>
      <c r="EYO243" s="42"/>
      <c r="EYP243" s="42"/>
      <c r="EYQ243" s="42"/>
      <c r="EYR243" s="42"/>
      <c r="EYS243" s="42"/>
      <c r="EYT243" s="42"/>
      <c r="EYU243" s="42"/>
      <c r="EYV243" s="42"/>
      <c r="EYW243" s="42"/>
      <c r="EYX243" s="42"/>
      <c r="EYY243" s="42"/>
      <c r="EYZ243" s="42"/>
      <c r="EZA243" s="42"/>
      <c r="EZB243" s="42"/>
      <c r="EZC243" s="42"/>
      <c r="EZD243" s="42"/>
      <c r="EZE243" s="42"/>
      <c r="EZF243" s="42"/>
      <c r="EZG243" s="42"/>
      <c r="EZH243" s="42"/>
      <c r="EZI243" s="42"/>
      <c r="EZJ243" s="42"/>
      <c r="EZK243" s="42"/>
      <c r="EZL243" s="42"/>
      <c r="EZM243" s="42"/>
      <c r="EZN243" s="42"/>
      <c r="EZO243" s="42"/>
      <c r="EZP243" s="42"/>
      <c r="EZQ243" s="42"/>
      <c r="EZR243" s="42"/>
      <c r="EZS243" s="42"/>
      <c r="EZT243" s="42"/>
      <c r="EZU243" s="42"/>
      <c r="EZV243" s="42"/>
      <c r="EZW243" s="42"/>
      <c r="EZX243" s="42"/>
      <c r="EZY243" s="42"/>
      <c r="EZZ243" s="42"/>
      <c r="FAA243" s="42"/>
      <c r="FAB243" s="42"/>
      <c r="FAC243" s="42"/>
      <c r="FAD243" s="42"/>
      <c r="FAE243" s="42"/>
      <c r="FAF243" s="42"/>
      <c r="FAG243" s="42"/>
      <c r="FAH243" s="42"/>
      <c r="FAI243" s="42"/>
      <c r="FAJ243" s="42"/>
      <c r="FAK243" s="42"/>
      <c r="FAL243" s="42"/>
      <c r="FAM243" s="42"/>
      <c r="FAN243" s="42"/>
      <c r="FAO243" s="42"/>
      <c r="FAP243" s="42"/>
      <c r="FAQ243" s="42"/>
      <c r="FAR243" s="42"/>
      <c r="FAS243" s="42"/>
      <c r="FAT243" s="42"/>
      <c r="FAU243" s="42"/>
      <c r="FAV243" s="42"/>
      <c r="FAW243" s="42"/>
      <c r="FAX243" s="42"/>
      <c r="FAY243" s="42"/>
      <c r="FAZ243" s="42"/>
      <c r="FBA243" s="42"/>
      <c r="FBB243" s="42"/>
      <c r="FBC243" s="42"/>
      <c r="FBD243" s="42"/>
      <c r="FBE243" s="42"/>
      <c r="FBF243" s="42"/>
      <c r="FBG243" s="42"/>
      <c r="FBH243" s="42"/>
      <c r="FBI243" s="42"/>
      <c r="FBJ243" s="42"/>
      <c r="FBK243" s="42"/>
      <c r="FBL243" s="42"/>
      <c r="FBM243" s="42"/>
      <c r="FBN243" s="42"/>
      <c r="FBO243" s="42"/>
      <c r="FBP243" s="42"/>
      <c r="FBQ243" s="42"/>
      <c r="FBR243" s="42"/>
      <c r="FBS243" s="42"/>
      <c r="FBT243" s="42"/>
      <c r="FBU243" s="42"/>
      <c r="FBV243" s="42"/>
      <c r="FBW243" s="42"/>
      <c r="FBX243" s="42"/>
      <c r="FBY243" s="42"/>
      <c r="FBZ243" s="42"/>
      <c r="FCA243" s="42"/>
      <c r="FCB243" s="42"/>
      <c r="FCC243" s="42"/>
      <c r="FCD243" s="42"/>
      <c r="FCE243" s="42"/>
      <c r="FCF243" s="42"/>
      <c r="FCG243" s="42"/>
      <c r="FCH243" s="42"/>
      <c r="FCI243" s="42"/>
      <c r="FCJ243" s="42"/>
      <c r="FCK243" s="42"/>
      <c r="FCL243" s="42"/>
      <c r="FCM243" s="42"/>
      <c r="FCN243" s="42"/>
      <c r="FCO243" s="42"/>
      <c r="FCP243" s="42"/>
      <c r="FCQ243" s="42"/>
      <c r="FCR243" s="42"/>
      <c r="FCS243" s="42"/>
      <c r="FCT243" s="42"/>
      <c r="FCU243" s="42"/>
      <c r="FCV243" s="42"/>
      <c r="FCW243" s="42"/>
      <c r="FCX243" s="42"/>
      <c r="FCY243" s="42"/>
      <c r="FCZ243" s="42"/>
      <c r="FDA243" s="42"/>
      <c r="FDB243" s="42"/>
      <c r="FDC243" s="42"/>
      <c r="FDD243" s="42"/>
      <c r="FDE243" s="42"/>
      <c r="FDF243" s="42"/>
      <c r="FDG243" s="42"/>
      <c r="FDH243" s="42"/>
      <c r="FDI243" s="42"/>
      <c r="FDJ243" s="42"/>
      <c r="FDK243" s="42"/>
      <c r="FDL243" s="42"/>
      <c r="FDM243" s="42"/>
      <c r="FDN243" s="42"/>
      <c r="FDO243" s="42"/>
      <c r="FDP243" s="42"/>
      <c r="FDQ243" s="42"/>
      <c r="FDR243" s="42"/>
      <c r="FDS243" s="42"/>
      <c r="FDT243" s="42"/>
      <c r="FDU243" s="42"/>
      <c r="FDV243" s="42"/>
      <c r="FDW243" s="42"/>
      <c r="FDX243" s="42"/>
      <c r="FDY243" s="42"/>
      <c r="FDZ243" s="42"/>
      <c r="FEA243" s="42"/>
      <c r="FEB243" s="42"/>
      <c r="FEC243" s="42"/>
      <c r="FED243" s="42"/>
      <c r="FEE243" s="42"/>
      <c r="FEF243" s="42"/>
      <c r="FEG243" s="42"/>
      <c r="FEH243" s="42"/>
      <c r="FEI243" s="42"/>
      <c r="FEJ243" s="42"/>
      <c r="FEK243" s="42"/>
      <c r="FEL243" s="42"/>
      <c r="FEM243" s="42"/>
      <c r="FEN243" s="42"/>
      <c r="FEO243" s="42"/>
      <c r="FEP243" s="42"/>
      <c r="FEQ243" s="42"/>
      <c r="FER243" s="42"/>
      <c r="FES243" s="42"/>
      <c r="FET243" s="42"/>
      <c r="FEU243" s="42"/>
      <c r="FEV243" s="42"/>
      <c r="FEW243" s="42"/>
      <c r="FEX243" s="42"/>
      <c r="FEY243" s="42"/>
      <c r="FEZ243" s="42"/>
      <c r="FFA243" s="42"/>
      <c r="FFB243" s="42"/>
      <c r="FFC243" s="42"/>
      <c r="FFD243" s="42"/>
      <c r="FFE243" s="42"/>
      <c r="FFF243" s="42"/>
      <c r="FFG243" s="42"/>
      <c r="FFH243" s="42"/>
      <c r="FFI243" s="42"/>
      <c r="FFJ243" s="42"/>
      <c r="FFK243" s="42"/>
      <c r="FFL243" s="42"/>
      <c r="FFM243" s="42"/>
      <c r="FFN243" s="42"/>
      <c r="FFO243" s="42"/>
      <c r="FFP243" s="42"/>
      <c r="FFQ243" s="42"/>
      <c r="FFR243" s="42"/>
      <c r="FFS243" s="42"/>
      <c r="FFT243" s="42"/>
      <c r="FFU243" s="42"/>
      <c r="FFV243" s="42"/>
      <c r="FFW243" s="42"/>
      <c r="FFX243" s="42"/>
      <c r="FFY243" s="42"/>
      <c r="FFZ243" s="42"/>
      <c r="FGA243" s="42"/>
      <c r="FGB243" s="42"/>
      <c r="FGC243" s="42"/>
      <c r="FGD243" s="42"/>
      <c r="FGE243" s="42"/>
      <c r="FGF243" s="42"/>
      <c r="FGG243" s="42"/>
      <c r="FGH243" s="42"/>
      <c r="FGI243" s="42"/>
      <c r="FGJ243" s="42"/>
      <c r="FGK243" s="42"/>
      <c r="FGL243" s="42"/>
      <c r="FGM243" s="42"/>
      <c r="FGN243" s="42"/>
      <c r="FGO243" s="42"/>
      <c r="FGP243" s="42"/>
      <c r="FGQ243" s="42"/>
      <c r="FGR243" s="42"/>
      <c r="FGS243" s="42"/>
      <c r="FGT243" s="42"/>
      <c r="FGU243" s="42"/>
      <c r="FGV243" s="42"/>
      <c r="FGW243" s="42"/>
      <c r="FGX243" s="42"/>
      <c r="FGY243" s="42"/>
      <c r="FGZ243" s="42"/>
      <c r="FHA243" s="42"/>
      <c r="FHB243" s="42"/>
      <c r="FHC243" s="42"/>
      <c r="FHD243" s="42"/>
      <c r="FHE243" s="42"/>
      <c r="FHF243" s="42"/>
      <c r="FHG243" s="42"/>
      <c r="FHH243" s="42"/>
      <c r="FHI243" s="42"/>
      <c r="FHJ243" s="42"/>
      <c r="FHK243" s="42"/>
      <c r="FHL243" s="42"/>
      <c r="FHM243" s="42"/>
      <c r="FHN243" s="42"/>
      <c r="FHO243" s="42"/>
      <c r="FHP243" s="42"/>
      <c r="FHQ243" s="42"/>
      <c r="FHR243" s="42"/>
      <c r="FHS243" s="42"/>
      <c r="FHT243" s="42"/>
      <c r="FHU243" s="42"/>
      <c r="FHV243" s="42"/>
      <c r="FHW243" s="42"/>
      <c r="FHX243" s="42"/>
      <c r="FHY243" s="42"/>
      <c r="FHZ243" s="42"/>
      <c r="FIA243" s="42"/>
      <c r="FIB243" s="42"/>
      <c r="FIC243" s="42"/>
      <c r="FID243" s="42"/>
      <c r="FIE243" s="42"/>
      <c r="FIF243" s="42"/>
      <c r="FIG243" s="42"/>
      <c r="FIH243" s="42"/>
      <c r="FII243" s="42"/>
      <c r="FIJ243" s="42"/>
      <c r="FIK243" s="42"/>
      <c r="FIL243" s="42"/>
      <c r="FIM243" s="42"/>
      <c r="FIN243" s="42"/>
      <c r="FIO243" s="42"/>
      <c r="FIP243" s="42"/>
      <c r="FIQ243" s="42"/>
      <c r="FIR243" s="42"/>
      <c r="FIS243" s="42"/>
      <c r="FIT243" s="42"/>
      <c r="FIU243" s="42"/>
      <c r="FIV243" s="42"/>
      <c r="FIW243" s="42"/>
      <c r="FIX243" s="42"/>
      <c r="FIY243" s="42"/>
      <c r="FIZ243" s="42"/>
      <c r="FJA243" s="42"/>
      <c r="FJB243" s="42"/>
      <c r="FJC243" s="42"/>
      <c r="FJD243" s="42"/>
      <c r="FJE243" s="42"/>
      <c r="FJF243" s="42"/>
      <c r="FJG243" s="42"/>
      <c r="FJH243" s="42"/>
      <c r="FJI243" s="42"/>
      <c r="FJJ243" s="42"/>
      <c r="FJK243" s="42"/>
      <c r="FJL243" s="42"/>
      <c r="FJM243" s="42"/>
      <c r="FJN243" s="42"/>
      <c r="FJO243" s="42"/>
      <c r="FJP243" s="42"/>
      <c r="FJQ243" s="42"/>
      <c r="FJR243" s="42"/>
      <c r="FJS243" s="42"/>
      <c r="FJT243" s="42"/>
      <c r="FJU243" s="42"/>
      <c r="FJV243" s="42"/>
      <c r="FJW243" s="42"/>
      <c r="FJX243" s="42"/>
      <c r="FJY243" s="42"/>
      <c r="FJZ243" s="42"/>
      <c r="FKA243" s="42"/>
      <c r="FKB243" s="42"/>
      <c r="FKC243" s="42"/>
      <c r="FKD243" s="42"/>
      <c r="FKE243" s="42"/>
      <c r="FKF243" s="42"/>
      <c r="FKG243" s="42"/>
      <c r="FKH243" s="42"/>
      <c r="FKI243" s="42"/>
      <c r="FKJ243" s="42"/>
      <c r="FKK243" s="42"/>
      <c r="FKL243" s="42"/>
      <c r="FKM243" s="42"/>
      <c r="FKN243" s="42"/>
      <c r="FKO243" s="42"/>
      <c r="FKP243" s="42"/>
      <c r="FKQ243" s="42"/>
      <c r="FKR243" s="42"/>
      <c r="FKS243" s="42"/>
      <c r="FKT243" s="42"/>
      <c r="FKU243" s="42"/>
      <c r="FKV243" s="42"/>
      <c r="FKW243" s="42"/>
      <c r="FKX243" s="42"/>
      <c r="FKY243" s="42"/>
      <c r="FKZ243" s="42"/>
      <c r="FLA243" s="42"/>
      <c r="FLB243" s="42"/>
      <c r="FLC243" s="42"/>
      <c r="FLD243" s="42"/>
      <c r="FLE243" s="42"/>
      <c r="FLF243" s="42"/>
      <c r="FLG243" s="42"/>
      <c r="FLH243" s="42"/>
      <c r="FLI243" s="42"/>
      <c r="FLJ243" s="42"/>
      <c r="FLK243" s="42"/>
      <c r="FLL243" s="42"/>
      <c r="FLM243" s="42"/>
      <c r="FLN243" s="42"/>
      <c r="FLO243" s="42"/>
      <c r="FLP243" s="42"/>
      <c r="FLQ243" s="42"/>
      <c r="FLR243" s="42"/>
      <c r="FLS243" s="42"/>
      <c r="FLT243" s="42"/>
      <c r="FLU243" s="42"/>
      <c r="FLV243" s="42"/>
      <c r="FLW243" s="42"/>
      <c r="FLX243" s="42"/>
      <c r="FLY243" s="42"/>
      <c r="FLZ243" s="42"/>
      <c r="FMA243" s="42"/>
      <c r="FMB243" s="42"/>
      <c r="FMC243" s="42"/>
      <c r="FMD243" s="42"/>
      <c r="FME243" s="42"/>
      <c r="FMF243" s="42"/>
      <c r="FMG243" s="42"/>
      <c r="FMH243" s="42"/>
      <c r="FMI243" s="42"/>
      <c r="FMJ243" s="42"/>
      <c r="FMK243" s="42"/>
      <c r="FML243" s="42"/>
      <c r="FMM243" s="42"/>
      <c r="FMN243" s="42"/>
      <c r="FMO243" s="42"/>
      <c r="FMP243" s="42"/>
      <c r="FMQ243" s="42"/>
      <c r="FMR243" s="42"/>
      <c r="FMS243" s="42"/>
      <c r="FMT243" s="42"/>
      <c r="FMU243" s="42"/>
      <c r="FMV243" s="42"/>
      <c r="FMW243" s="42"/>
      <c r="FMX243" s="42"/>
      <c r="FMY243" s="42"/>
      <c r="FMZ243" s="42"/>
      <c r="FNA243" s="42"/>
      <c r="FNB243" s="42"/>
      <c r="FNC243" s="42"/>
      <c r="FND243" s="42"/>
      <c r="FNE243" s="42"/>
      <c r="FNF243" s="42"/>
      <c r="FNG243" s="42"/>
      <c r="FNH243" s="42"/>
      <c r="FNI243" s="42"/>
      <c r="FNJ243" s="42"/>
      <c r="FNK243" s="42"/>
      <c r="FNL243" s="42"/>
      <c r="FNM243" s="42"/>
      <c r="FNN243" s="42"/>
      <c r="FNO243" s="42"/>
      <c r="FNP243" s="42"/>
      <c r="FNQ243" s="42"/>
      <c r="FNR243" s="42"/>
      <c r="FNS243" s="42"/>
      <c r="FNT243" s="42"/>
      <c r="FNU243" s="42"/>
      <c r="FNV243" s="42"/>
      <c r="FNW243" s="42"/>
      <c r="FNX243" s="42"/>
      <c r="FNY243" s="42"/>
      <c r="FNZ243" s="42"/>
      <c r="FOA243" s="42"/>
      <c r="FOB243" s="42"/>
      <c r="FOC243" s="42"/>
      <c r="FOD243" s="42"/>
      <c r="FOE243" s="42"/>
      <c r="FOF243" s="42"/>
      <c r="FOG243" s="42"/>
      <c r="FOH243" s="42"/>
      <c r="FOI243" s="42"/>
      <c r="FOJ243" s="42"/>
      <c r="FOK243" s="42"/>
      <c r="FOL243" s="42"/>
      <c r="FOM243" s="42"/>
      <c r="FON243" s="42"/>
      <c r="FOO243" s="42"/>
      <c r="FOP243" s="42"/>
      <c r="FOQ243" s="42"/>
      <c r="FOR243" s="42"/>
      <c r="FOS243" s="42"/>
      <c r="FOT243" s="42"/>
      <c r="FOU243" s="42"/>
      <c r="FOV243" s="42"/>
      <c r="FOW243" s="42"/>
      <c r="FOX243" s="42"/>
      <c r="FOY243" s="42"/>
      <c r="FOZ243" s="42"/>
      <c r="FPA243" s="42"/>
      <c r="FPB243" s="42"/>
      <c r="FPC243" s="42"/>
      <c r="FPD243" s="42"/>
      <c r="FPE243" s="42"/>
      <c r="FPF243" s="42"/>
      <c r="FPG243" s="42"/>
      <c r="FPH243" s="42"/>
      <c r="FPI243" s="42"/>
      <c r="FPJ243" s="42"/>
      <c r="FPK243" s="42"/>
      <c r="FPL243" s="42"/>
      <c r="FPM243" s="42"/>
      <c r="FPN243" s="42"/>
      <c r="FPO243" s="42"/>
      <c r="FPP243" s="42"/>
      <c r="FPQ243" s="42"/>
      <c r="FPR243" s="42"/>
      <c r="FPS243" s="42"/>
      <c r="FPT243" s="42"/>
      <c r="FPU243" s="42"/>
      <c r="FPV243" s="42"/>
      <c r="FPW243" s="42"/>
      <c r="FPX243" s="42"/>
      <c r="FPY243" s="42"/>
      <c r="FPZ243" s="42"/>
      <c r="FQA243" s="42"/>
      <c r="FQB243" s="42"/>
      <c r="FQC243" s="42"/>
      <c r="FQD243" s="42"/>
      <c r="FQE243" s="42"/>
      <c r="FQF243" s="42"/>
      <c r="FQG243" s="42"/>
      <c r="FQH243" s="42"/>
      <c r="FQI243" s="42"/>
      <c r="FQJ243" s="42"/>
      <c r="FQK243" s="42"/>
      <c r="FQL243" s="42"/>
      <c r="FQM243" s="42"/>
      <c r="FQN243" s="42"/>
      <c r="FQO243" s="42"/>
      <c r="FQP243" s="42"/>
      <c r="FQQ243" s="42"/>
      <c r="FQR243" s="42"/>
      <c r="FQS243" s="42"/>
      <c r="FQT243" s="42"/>
      <c r="FQU243" s="42"/>
      <c r="FQV243" s="42"/>
      <c r="FQW243" s="42"/>
      <c r="FQX243" s="42"/>
      <c r="FQY243" s="42"/>
      <c r="FQZ243" s="42"/>
      <c r="FRA243" s="42"/>
      <c r="FRB243" s="42"/>
      <c r="FRC243" s="42"/>
      <c r="FRD243" s="42"/>
      <c r="FRE243" s="42"/>
      <c r="FRF243" s="42"/>
      <c r="FRG243" s="42"/>
      <c r="FRH243" s="42"/>
      <c r="FRI243" s="42"/>
      <c r="FRJ243" s="42"/>
      <c r="FRK243" s="42"/>
      <c r="FRL243" s="42"/>
      <c r="FRM243" s="42"/>
      <c r="FRN243" s="42"/>
      <c r="FRO243" s="42"/>
      <c r="FRP243" s="42"/>
      <c r="FRQ243" s="42"/>
      <c r="FRR243" s="42"/>
      <c r="FRS243" s="42"/>
      <c r="FRT243" s="42"/>
      <c r="FRU243" s="42"/>
      <c r="FRV243" s="42"/>
      <c r="FRW243" s="42"/>
      <c r="FRX243" s="42"/>
      <c r="FRY243" s="42"/>
      <c r="FRZ243" s="42"/>
      <c r="FSA243" s="42"/>
      <c r="FSB243" s="42"/>
      <c r="FSC243" s="42"/>
      <c r="FSD243" s="42"/>
      <c r="FSE243" s="42"/>
      <c r="FSF243" s="42"/>
      <c r="FSG243" s="42"/>
      <c r="FSH243" s="42"/>
      <c r="FSI243" s="42"/>
      <c r="FSJ243" s="42"/>
      <c r="FSK243" s="42"/>
      <c r="FSL243" s="42"/>
      <c r="FSM243" s="42"/>
      <c r="FSN243" s="42"/>
      <c r="FSO243" s="42"/>
      <c r="FSP243" s="42"/>
      <c r="FSQ243" s="42"/>
      <c r="FSR243" s="42"/>
      <c r="FSS243" s="42"/>
      <c r="FST243" s="42"/>
      <c r="FSU243" s="42"/>
      <c r="FSV243" s="42"/>
      <c r="FSW243" s="42"/>
      <c r="FSX243" s="42"/>
      <c r="FSY243" s="42"/>
      <c r="FSZ243" s="42"/>
      <c r="FTA243" s="42"/>
      <c r="FTB243" s="42"/>
      <c r="FTC243" s="42"/>
      <c r="FTD243" s="42"/>
      <c r="FTE243" s="42"/>
      <c r="FTF243" s="42"/>
      <c r="FTG243" s="42"/>
      <c r="FTH243" s="42"/>
      <c r="FTI243" s="42"/>
      <c r="FTJ243" s="42"/>
      <c r="FTK243" s="42"/>
      <c r="FTL243" s="42"/>
      <c r="FTM243" s="42"/>
      <c r="FTN243" s="42"/>
      <c r="FTO243" s="42"/>
      <c r="FTP243" s="42"/>
      <c r="FTQ243" s="42"/>
      <c r="FTR243" s="42"/>
      <c r="FTS243" s="42"/>
      <c r="FTT243" s="42"/>
      <c r="FTU243" s="42"/>
      <c r="FTV243" s="42"/>
      <c r="FTW243" s="42"/>
      <c r="FTX243" s="42"/>
      <c r="FTY243" s="42"/>
      <c r="FTZ243" s="42"/>
      <c r="FUA243" s="42"/>
      <c r="FUB243" s="42"/>
      <c r="FUC243" s="42"/>
      <c r="FUD243" s="42"/>
      <c r="FUE243" s="42"/>
      <c r="FUF243" s="42"/>
      <c r="FUG243" s="42"/>
      <c r="FUH243" s="42"/>
      <c r="FUI243" s="42"/>
      <c r="FUJ243" s="42"/>
      <c r="FUK243" s="42"/>
      <c r="FUL243" s="42"/>
      <c r="FUM243" s="42"/>
      <c r="FUN243" s="42"/>
      <c r="FUO243" s="42"/>
      <c r="FUP243" s="42"/>
      <c r="FUQ243" s="42"/>
      <c r="FUR243" s="42"/>
      <c r="FUS243" s="42"/>
      <c r="FUT243" s="42"/>
      <c r="FUU243" s="42"/>
      <c r="FUV243" s="42"/>
      <c r="FUW243" s="42"/>
      <c r="FUX243" s="42"/>
      <c r="FUY243" s="42"/>
      <c r="FUZ243" s="42"/>
      <c r="FVA243" s="42"/>
      <c r="FVB243" s="42"/>
      <c r="FVC243" s="42"/>
      <c r="FVD243" s="42"/>
      <c r="FVE243" s="42"/>
      <c r="FVF243" s="42"/>
      <c r="FVG243" s="42"/>
      <c r="FVH243" s="42"/>
      <c r="FVI243" s="42"/>
      <c r="FVJ243" s="42"/>
      <c r="FVK243" s="42"/>
      <c r="FVL243" s="42"/>
      <c r="FVM243" s="42"/>
      <c r="FVN243" s="42"/>
      <c r="FVO243" s="42"/>
      <c r="FVP243" s="42"/>
      <c r="FVQ243" s="42"/>
      <c r="FVR243" s="42"/>
      <c r="FVS243" s="42"/>
      <c r="FVT243" s="42"/>
      <c r="FVU243" s="42"/>
      <c r="FVV243" s="42"/>
      <c r="FVW243" s="42"/>
      <c r="FVX243" s="42"/>
      <c r="FVY243" s="42"/>
      <c r="FVZ243" s="42"/>
      <c r="FWA243" s="42"/>
      <c r="FWB243" s="42"/>
      <c r="FWC243" s="42"/>
      <c r="FWD243" s="42"/>
      <c r="FWE243" s="42"/>
      <c r="FWF243" s="42"/>
      <c r="FWG243" s="42"/>
      <c r="FWH243" s="42"/>
      <c r="FWI243" s="42"/>
      <c r="FWJ243" s="42"/>
      <c r="FWK243" s="42"/>
      <c r="FWL243" s="42"/>
      <c r="FWM243" s="42"/>
      <c r="FWN243" s="42"/>
      <c r="FWO243" s="42"/>
      <c r="FWP243" s="42"/>
      <c r="FWQ243" s="42"/>
      <c r="FWR243" s="42"/>
      <c r="FWS243" s="42"/>
      <c r="FWT243" s="42"/>
      <c r="FWU243" s="42"/>
      <c r="FWV243" s="42"/>
      <c r="FWW243" s="42"/>
      <c r="FWX243" s="42"/>
      <c r="FWY243" s="42"/>
      <c r="FWZ243" s="42"/>
      <c r="FXA243" s="42"/>
      <c r="FXB243" s="42"/>
      <c r="FXC243" s="42"/>
      <c r="FXD243" s="42"/>
      <c r="FXE243" s="42"/>
      <c r="FXF243" s="42"/>
      <c r="FXG243" s="42"/>
      <c r="FXH243" s="42"/>
      <c r="FXI243" s="42"/>
      <c r="FXJ243" s="42"/>
      <c r="FXK243" s="42"/>
      <c r="FXL243" s="42"/>
      <c r="FXM243" s="42"/>
      <c r="FXN243" s="42"/>
      <c r="FXO243" s="42"/>
      <c r="FXP243" s="42"/>
      <c r="FXQ243" s="42"/>
      <c r="FXR243" s="42"/>
      <c r="FXS243" s="42"/>
      <c r="FXT243" s="42"/>
      <c r="FXU243" s="42"/>
      <c r="FXV243" s="42"/>
      <c r="FXW243" s="42"/>
      <c r="FXX243" s="42"/>
      <c r="FXY243" s="42"/>
      <c r="FXZ243" s="42"/>
      <c r="FYA243" s="42"/>
      <c r="FYB243" s="42"/>
      <c r="FYC243" s="42"/>
      <c r="FYD243" s="42"/>
      <c r="FYE243" s="42"/>
      <c r="FYF243" s="42"/>
      <c r="FYG243" s="42"/>
      <c r="FYH243" s="42"/>
      <c r="FYI243" s="42"/>
      <c r="FYJ243" s="42"/>
      <c r="FYK243" s="42"/>
      <c r="FYL243" s="42"/>
      <c r="FYM243" s="42"/>
      <c r="FYN243" s="42"/>
      <c r="FYO243" s="42"/>
      <c r="FYP243" s="42"/>
      <c r="FYQ243" s="42"/>
      <c r="FYR243" s="42"/>
      <c r="FYS243" s="42"/>
      <c r="FYT243" s="42"/>
      <c r="FYU243" s="42"/>
      <c r="FYV243" s="42"/>
      <c r="FYW243" s="42"/>
      <c r="FYX243" s="42"/>
      <c r="FYY243" s="42"/>
      <c r="FYZ243" s="42"/>
      <c r="FZA243" s="42"/>
      <c r="FZB243" s="42"/>
      <c r="FZC243" s="42"/>
      <c r="FZD243" s="42"/>
      <c r="FZE243" s="42"/>
      <c r="FZF243" s="42"/>
      <c r="FZG243" s="42"/>
      <c r="FZH243" s="42"/>
      <c r="FZI243" s="42"/>
      <c r="FZJ243" s="42"/>
      <c r="FZK243" s="42"/>
      <c r="FZL243" s="42"/>
      <c r="FZM243" s="42"/>
      <c r="FZN243" s="42"/>
      <c r="FZO243" s="42"/>
      <c r="FZP243" s="42"/>
      <c r="FZQ243" s="42"/>
      <c r="FZR243" s="42"/>
      <c r="FZS243" s="42"/>
      <c r="FZT243" s="42"/>
      <c r="FZU243" s="42"/>
      <c r="FZV243" s="42"/>
      <c r="FZW243" s="42"/>
      <c r="FZX243" s="42"/>
      <c r="FZY243" s="42"/>
      <c r="FZZ243" s="42"/>
      <c r="GAA243" s="42"/>
      <c r="GAB243" s="42"/>
      <c r="GAC243" s="42"/>
      <c r="GAD243" s="42"/>
      <c r="GAE243" s="42"/>
      <c r="GAF243" s="42"/>
      <c r="GAG243" s="42"/>
      <c r="GAH243" s="42"/>
      <c r="GAI243" s="42"/>
      <c r="GAJ243" s="42"/>
      <c r="GAK243" s="42"/>
      <c r="GAL243" s="42"/>
      <c r="GAM243" s="42"/>
      <c r="GAN243" s="42"/>
      <c r="GAO243" s="42"/>
      <c r="GAP243" s="42"/>
      <c r="GAQ243" s="42"/>
      <c r="GAR243" s="42"/>
      <c r="GAS243" s="42"/>
      <c r="GAT243" s="42"/>
      <c r="GAU243" s="42"/>
      <c r="GAV243" s="42"/>
      <c r="GAW243" s="42"/>
      <c r="GAX243" s="42"/>
      <c r="GAY243" s="42"/>
      <c r="GAZ243" s="42"/>
      <c r="GBA243" s="42"/>
      <c r="GBB243" s="42"/>
      <c r="GBC243" s="42"/>
      <c r="GBD243" s="42"/>
      <c r="GBE243" s="42"/>
      <c r="GBF243" s="42"/>
      <c r="GBG243" s="42"/>
      <c r="GBH243" s="42"/>
      <c r="GBI243" s="42"/>
      <c r="GBJ243" s="42"/>
      <c r="GBK243" s="42"/>
      <c r="GBL243" s="42"/>
      <c r="GBM243" s="42"/>
      <c r="GBN243" s="42"/>
      <c r="GBO243" s="42"/>
      <c r="GBP243" s="42"/>
      <c r="GBQ243" s="42"/>
      <c r="GBR243" s="42"/>
      <c r="GBS243" s="42"/>
      <c r="GBT243" s="42"/>
      <c r="GBU243" s="42"/>
      <c r="GBV243" s="42"/>
      <c r="GBW243" s="42"/>
      <c r="GBX243" s="42"/>
      <c r="GBY243" s="42"/>
      <c r="GBZ243" s="42"/>
      <c r="GCA243" s="42"/>
      <c r="GCB243" s="42"/>
      <c r="GCC243" s="42"/>
      <c r="GCD243" s="42"/>
      <c r="GCE243" s="42"/>
      <c r="GCF243" s="42"/>
      <c r="GCG243" s="42"/>
      <c r="GCH243" s="42"/>
      <c r="GCI243" s="42"/>
      <c r="GCJ243" s="42"/>
      <c r="GCK243" s="42"/>
      <c r="GCL243" s="42"/>
      <c r="GCM243" s="42"/>
      <c r="GCN243" s="42"/>
      <c r="GCO243" s="42"/>
      <c r="GCP243" s="42"/>
      <c r="GCQ243" s="42"/>
      <c r="GCR243" s="42"/>
      <c r="GCS243" s="42"/>
      <c r="GCT243" s="42"/>
      <c r="GCU243" s="42"/>
      <c r="GCV243" s="42"/>
      <c r="GCW243" s="42"/>
      <c r="GCX243" s="42"/>
      <c r="GCY243" s="42"/>
      <c r="GCZ243" s="42"/>
      <c r="GDA243" s="42"/>
      <c r="GDB243" s="42"/>
      <c r="GDC243" s="42"/>
      <c r="GDD243" s="42"/>
      <c r="GDE243" s="42"/>
      <c r="GDF243" s="42"/>
      <c r="GDG243" s="42"/>
      <c r="GDH243" s="42"/>
      <c r="GDI243" s="42"/>
      <c r="GDJ243" s="42"/>
      <c r="GDK243" s="42"/>
      <c r="GDL243" s="42"/>
      <c r="GDM243" s="42"/>
      <c r="GDN243" s="42"/>
      <c r="GDO243" s="42"/>
      <c r="GDP243" s="42"/>
      <c r="GDQ243" s="42"/>
      <c r="GDR243" s="42"/>
      <c r="GDS243" s="42"/>
      <c r="GDT243" s="42"/>
      <c r="GDU243" s="42"/>
      <c r="GDV243" s="42"/>
      <c r="GDW243" s="42"/>
      <c r="GDX243" s="42"/>
      <c r="GDY243" s="42"/>
      <c r="GDZ243" s="42"/>
      <c r="GEA243" s="42"/>
      <c r="GEB243" s="42"/>
      <c r="GEC243" s="42"/>
      <c r="GED243" s="42"/>
      <c r="GEE243" s="42"/>
      <c r="GEF243" s="42"/>
      <c r="GEG243" s="42"/>
      <c r="GEH243" s="42"/>
      <c r="GEI243" s="42"/>
      <c r="GEJ243" s="42"/>
      <c r="GEK243" s="42"/>
      <c r="GEL243" s="42"/>
      <c r="GEM243" s="42"/>
      <c r="GEN243" s="42"/>
      <c r="GEO243" s="42"/>
      <c r="GEP243" s="42"/>
      <c r="GEQ243" s="42"/>
      <c r="GER243" s="42"/>
      <c r="GES243" s="42"/>
      <c r="GET243" s="42"/>
      <c r="GEU243" s="42"/>
      <c r="GEV243" s="42"/>
      <c r="GEW243" s="42"/>
      <c r="GEX243" s="42"/>
      <c r="GEY243" s="42"/>
      <c r="GEZ243" s="42"/>
      <c r="GFA243" s="42"/>
      <c r="GFB243" s="42"/>
      <c r="GFC243" s="42"/>
      <c r="GFD243" s="42"/>
      <c r="GFE243" s="42"/>
      <c r="GFF243" s="42"/>
      <c r="GFG243" s="42"/>
      <c r="GFH243" s="42"/>
      <c r="GFI243" s="42"/>
      <c r="GFJ243" s="42"/>
      <c r="GFK243" s="42"/>
      <c r="GFL243" s="42"/>
      <c r="GFM243" s="42"/>
      <c r="GFN243" s="42"/>
      <c r="GFO243" s="42"/>
      <c r="GFP243" s="42"/>
      <c r="GFQ243" s="42"/>
      <c r="GFR243" s="42"/>
      <c r="GFS243" s="42"/>
      <c r="GFT243" s="42"/>
      <c r="GFU243" s="42"/>
      <c r="GFV243" s="42"/>
      <c r="GFW243" s="42"/>
      <c r="GFX243" s="42"/>
      <c r="GFY243" s="42"/>
      <c r="GFZ243" s="42"/>
      <c r="GGA243" s="42"/>
      <c r="GGB243" s="42"/>
      <c r="GGC243" s="42"/>
      <c r="GGD243" s="42"/>
      <c r="GGE243" s="42"/>
      <c r="GGF243" s="42"/>
      <c r="GGG243" s="42"/>
      <c r="GGH243" s="42"/>
      <c r="GGI243" s="42"/>
      <c r="GGJ243" s="42"/>
      <c r="GGK243" s="42"/>
      <c r="GGL243" s="42"/>
      <c r="GGM243" s="42"/>
      <c r="GGN243" s="42"/>
      <c r="GGO243" s="42"/>
      <c r="GGP243" s="42"/>
      <c r="GGQ243" s="42"/>
      <c r="GGR243" s="42"/>
      <c r="GGS243" s="42"/>
      <c r="GGT243" s="42"/>
      <c r="GGU243" s="42"/>
      <c r="GGV243" s="42"/>
      <c r="GGW243" s="42"/>
      <c r="GGX243" s="42"/>
      <c r="GGY243" s="42"/>
      <c r="GGZ243" s="42"/>
      <c r="GHA243" s="42"/>
      <c r="GHB243" s="42"/>
      <c r="GHC243" s="42"/>
      <c r="GHD243" s="42"/>
      <c r="GHE243" s="42"/>
      <c r="GHF243" s="42"/>
      <c r="GHG243" s="42"/>
      <c r="GHH243" s="42"/>
      <c r="GHI243" s="42"/>
      <c r="GHJ243" s="42"/>
      <c r="GHK243" s="42"/>
      <c r="GHL243" s="42"/>
      <c r="GHM243" s="42"/>
      <c r="GHN243" s="42"/>
      <c r="GHO243" s="42"/>
      <c r="GHP243" s="42"/>
      <c r="GHQ243" s="42"/>
      <c r="GHR243" s="42"/>
      <c r="GHS243" s="42"/>
      <c r="GHT243" s="42"/>
      <c r="GHU243" s="42"/>
      <c r="GHV243" s="42"/>
      <c r="GHW243" s="42"/>
      <c r="GHX243" s="42"/>
      <c r="GHY243" s="42"/>
      <c r="GHZ243" s="42"/>
      <c r="GIA243" s="42"/>
      <c r="GIB243" s="42"/>
      <c r="GIC243" s="42"/>
      <c r="GID243" s="42"/>
      <c r="GIE243" s="42"/>
      <c r="GIF243" s="42"/>
      <c r="GIG243" s="42"/>
      <c r="GIH243" s="42"/>
      <c r="GII243" s="42"/>
      <c r="GIJ243" s="42"/>
      <c r="GIK243" s="42"/>
      <c r="GIL243" s="42"/>
      <c r="GIM243" s="42"/>
      <c r="GIN243" s="42"/>
      <c r="GIO243" s="42"/>
      <c r="GIP243" s="42"/>
      <c r="GIQ243" s="42"/>
      <c r="GIR243" s="42"/>
      <c r="GIS243" s="42"/>
      <c r="GIT243" s="42"/>
      <c r="GIU243" s="42"/>
      <c r="GIV243" s="42"/>
      <c r="GIW243" s="42"/>
      <c r="GIX243" s="42"/>
      <c r="GIY243" s="42"/>
      <c r="GIZ243" s="42"/>
      <c r="GJA243" s="42"/>
      <c r="GJB243" s="42"/>
      <c r="GJC243" s="42"/>
      <c r="GJD243" s="42"/>
      <c r="GJE243" s="42"/>
      <c r="GJF243" s="42"/>
      <c r="GJG243" s="42"/>
      <c r="GJH243" s="42"/>
      <c r="GJI243" s="42"/>
      <c r="GJJ243" s="42"/>
      <c r="GJK243" s="42"/>
      <c r="GJL243" s="42"/>
      <c r="GJM243" s="42"/>
      <c r="GJN243" s="42"/>
      <c r="GJO243" s="42"/>
      <c r="GJP243" s="42"/>
      <c r="GJQ243" s="42"/>
      <c r="GJR243" s="42"/>
      <c r="GJS243" s="42"/>
      <c r="GJT243" s="42"/>
      <c r="GJU243" s="42"/>
      <c r="GJV243" s="42"/>
      <c r="GJW243" s="42"/>
      <c r="GJX243" s="42"/>
      <c r="GJY243" s="42"/>
      <c r="GJZ243" s="42"/>
      <c r="GKA243" s="42"/>
      <c r="GKB243" s="42"/>
      <c r="GKC243" s="42"/>
      <c r="GKD243" s="42"/>
      <c r="GKE243" s="42"/>
      <c r="GKF243" s="42"/>
      <c r="GKG243" s="42"/>
      <c r="GKH243" s="42"/>
      <c r="GKI243" s="42"/>
      <c r="GKJ243" s="42"/>
      <c r="GKK243" s="42"/>
      <c r="GKL243" s="42"/>
      <c r="GKM243" s="42"/>
      <c r="GKN243" s="42"/>
      <c r="GKO243" s="42"/>
      <c r="GKP243" s="42"/>
      <c r="GKQ243" s="42"/>
      <c r="GKR243" s="42"/>
      <c r="GKS243" s="42"/>
      <c r="GKT243" s="42"/>
      <c r="GKU243" s="42"/>
      <c r="GKV243" s="42"/>
      <c r="GKW243" s="42"/>
      <c r="GKX243" s="42"/>
      <c r="GKY243" s="42"/>
      <c r="GKZ243" s="42"/>
      <c r="GLA243" s="42"/>
      <c r="GLB243" s="42"/>
      <c r="GLC243" s="42"/>
      <c r="GLD243" s="42"/>
      <c r="GLE243" s="42"/>
      <c r="GLF243" s="42"/>
      <c r="GLG243" s="42"/>
      <c r="GLH243" s="42"/>
      <c r="GLI243" s="42"/>
      <c r="GLJ243" s="42"/>
      <c r="GLK243" s="42"/>
      <c r="GLL243" s="42"/>
      <c r="GLM243" s="42"/>
      <c r="GLN243" s="42"/>
      <c r="GLO243" s="42"/>
      <c r="GLP243" s="42"/>
      <c r="GLQ243" s="42"/>
      <c r="GLR243" s="42"/>
      <c r="GLS243" s="42"/>
      <c r="GLT243" s="42"/>
      <c r="GLU243" s="42"/>
      <c r="GLV243" s="42"/>
      <c r="GLW243" s="42"/>
      <c r="GLX243" s="42"/>
      <c r="GLY243" s="42"/>
      <c r="GLZ243" s="42"/>
      <c r="GMA243" s="42"/>
      <c r="GMB243" s="42"/>
      <c r="GMC243" s="42"/>
      <c r="GMD243" s="42"/>
      <c r="GME243" s="42"/>
      <c r="GMF243" s="42"/>
      <c r="GMG243" s="42"/>
      <c r="GMH243" s="42"/>
      <c r="GMI243" s="42"/>
      <c r="GMJ243" s="42"/>
      <c r="GMK243" s="42"/>
      <c r="GML243" s="42"/>
      <c r="GMM243" s="42"/>
      <c r="GMN243" s="42"/>
      <c r="GMO243" s="42"/>
      <c r="GMP243" s="42"/>
      <c r="GMQ243" s="42"/>
      <c r="GMR243" s="42"/>
      <c r="GMS243" s="42"/>
      <c r="GMT243" s="42"/>
      <c r="GMU243" s="42"/>
      <c r="GMV243" s="42"/>
      <c r="GMW243" s="42"/>
      <c r="GMX243" s="42"/>
      <c r="GMY243" s="42"/>
      <c r="GMZ243" s="42"/>
      <c r="GNA243" s="42"/>
      <c r="GNB243" s="42"/>
      <c r="GNC243" s="42"/>
      <c r="GND243" s="42"/>
      <c r="GNE243" s="42"/>
      <c r="GNF243" s="42"/>
      <c r="GNG243" s="42"/>
      <c r="GNH243" s="42"/>
      <c r="GNI243" s="42"/>
      <c r="GNJ243" s="42"/>
      <c r="GNK243" s="42"/>
      <c r="GNL243" s="42"/>
      <c r="GNM243" s="42"/>
      <c r="GNN243" s="42"/>
      <c r="GNO243" s="42"/>
      <c r="GNP243" s="42"/>
      <c r="GNQ243" s="42"/>
      <c r="GNR243" s="42"/>
      <c r="GNS243" s="42"/>
      <c r="GNT243" s="42"/>
      <c r="GNU243" s="42"/>
      <c r="GNV243" s="42"/>
      <c r="GNW243" s="42"/>
      <c r="GNX243" s="42"/>
      <c r="GNY243" s="42"/>
      <c r="GNZ243" s="42"/>
      <c r="GOA243" s="42"/>
      <c r="GOB243" s="42"/>
      <c r="GOC243" s="42"/>
      <c r="GOD243" s="42"/>
      <c r="GOE243" s="42"/>
      <c r="GOF243" s="42"/>
      <c r="GOG243" s="42"/>
      <c r="GOH243" s="42"/>
      <c r="GOI243" s="42"/>
      <c r="GOJ243" s="42"/>
      <c r="GOK243" s="42"/>
      <c r="GOL243" s="42"/>
      <c r="GOM243" s="42"/>
      <c r="GON243" s="42"/>
      <c r="GOO243" s="42"/>
      <c r="GOP243" s="42"/>
      <c r="GOQ243" s="42"/>
      <c r="GOR243" s="42"/>
      <c r="GOS243" s="42"/>
      <c r="GOT243" s="42"/>
      <c r="GOU243" s="42"/>
      <c r="GOV243" s="42"/>
      <c r="GOW243" s="42"/>
      <c r="GOX243" s="42"/>
      <c r="GOY243" s="42"/>
      <c r="GOZ243" s="42"/>
      <c r="GPA243" s="42"/>
      <c r="GPB243" s="42"/>
      <c r="GPC243" s="42"/>
      <c r="GPD243" s="42"/>
      <c r="GPE243" s="42"/>
      <c r="GPF243" s="42"/>
      <c r="GPG243" s="42"/>
      <c r="GPH243" s="42"/>
      <c r="GPI243" s="42"/>
      <c r="GPJ243" s="42"/>
      <c r="GPK243" s="42"/>
      <c r="GPL243" s="42"/>
      <c r="GPM243" s="42"/>
      <c r="GPN243" s="42"/>
      <c r="GPO243" s="42"/>
      <c r="GPP243" s="42"/>
      <c r="GPQ243" s="42"/>
      <c r="GPR243" s="42"/>
      <c r="GPS243" s="42"/>
      <c r="GPT243" s="42"/>
      <c r="GPU243" s="42"/>
      <c r="GPV243" s="42"/>
      <c r="GPW243" s="42"/>
      <c r="GPX243" s="42"/>
      <c r="GPY243" s="42"/>
      <c r="GPZ243" s="42"/>
      <c r="GQA243" s="42"/>
      <c r="GQB243" s="42"/>
      <c r="GQC243" s="42"/>
      <c r="GQD243" s="42"/>
      <c r="GQE243" s="42"/>
      <c r="GQF243" s="42"/>
      <c r="GQG243" s="42"/>
      <c r="GQH243" s="42"/>
      <c r="GQI243" s="42"/>
      <c r="GQJ243" s="42"/>
      <c r="GQK243" s="42"/>
      <c r="GQL243" s="42"/>
      <c r="GQM243" s="42"/>
      <c r="GQN243" s="42"/>
      <c r="GQO243" s="42"/>
      <c r="GQP243" s="42"/>
      <c r="GQQ243" s="42"/>
      <c r="GQR243" s="42"/>
      <c r="GQS243" s="42"/>
      <c r="GQT243" s="42"/>
      <c r="GQU243" s="42"/>
      <c r="GQV243" s="42"/>
      <c r="GQW243" s="42"/>
      <c r="GQX243" s="42"/>
      <c r="GQY243" s="42"/>
      <c r="GQZ243" s="42"/>
      <c r="GRA243" s="42"/>
      <c r="GRB243" s="42"/>
      <c r="GRC243" s="42"/>
      <c r="GRD243" s="42"/>
      <c r="GRE243" s="42"/>
      <c r="GRF243" s="42"/>
      <c r="GRG243" s="42"/>
      <c r="GRH243" s="42"/>
      <c r="GRI243" s="42"/>
      <c r="GRJ243" s="42"/>
      <c r="GRK243" s="42"/>
      <c r="GRL243" s="42"/>
      <c r="GRM243" s="42"/>
      <c r="GRN243" s="42"/>
      <c r="GRO243" s="42"/>
      <c r="GRP243" s="42"/>
      <c r="GRQ243" s="42"/>
      <c r="GRR243" s="42"/>
      <c r="GRS243" s="42"/>
      <c r="GRT243" s="42"/>
      <c r="GRU243" s="42"/>
      <c r="GRV243" s="42"/>
      <c r="GRW243" s="42"/>
      <c r="GRX243" s="42"/>
      <c r="GRY243" s="42"/>
      <c r="GRZ243" s="42"/>
      <c r="GSA243" s="42"/>
      <c r="GSB243" s="42"/>
      <c r="GSC243" s="42"/>
      <c r="GSD243" s="42"/>
      <c r="GSE243" s="42"/>
      <c r="GSF243" s="42"/>
      <c r="GSG243" s="42"/>
      <c r="GSH243" s="42"/>
      <c r="GSI243" s="42"/>
      <c r="GSJ243" s="42"/>
      <c r="GSK243" s="42"/>
      <c r="GSL243" s="42"/>
      <c r="GSM243" s="42"/>
      <c r="GSN243" s="42"/>
      <c r="GSO243" s="42"/>
      <c r="GSP243" s="42"/>
      <c r="GSQ243" s="42"/>
      <c r="GSR243" s="42"/>
      <c r="GSS243" s="42"/>
      <c r="GST243" s="42"/>
      <c r="GSU243" s="42"/>
      <c r="GSV243" s="42"/>
      <c r="GSW243" s="42"/>
      <c r="GSX243" s="42"/>
      <c r="GSY243" s="42"/>
      <c r="GSZ243" s="42"/>
      <c r="GTA243" s="42"/>
      <c r="GTB243" s="42"/>
      <c r="GTC243" s="42"/>
      <c r="GTD243" s="42"/>
      <c r="GTE243" s="42"/>
      <c r="GTF243" s="42"/>
      <c r="GTG243" s="42"/>
      <c r="GTH243" s="42"/>
      <c r="GTI243" s="42"/>
      <c r="GTJ243" s="42"/>
      <c r="GTK243" s="42"/>
      <c r="GTL243" s="42"/>
      <c r="GTM243" s="42"/>
      <c r="GTN243" s="42"/>
      <c r="GTO243" s="42"/>
      <c r="GTP243" s="42"/>
      <c r="GTQ243" s="42"/>
      <c r="GTR243" s="42"/>
      <c r="GTS243" s="42"/>
      <c r="GTT243" s="42"/>
      <c r="GTU243" s="42"/>
      <c r="GTV243" s="42"/>
      <c r="GTW243" s="42"/>
      <c r="GTX243" s="42"/>
      <c r="GTY243" s="42"/>
      <c r="GTZ243" s="42"/>
      <c r="GUA243" s="42"/>
      <c r="GUB243" s="42"/>
      <c r="GUC243" s="42"/>
      <c r="GUD243" s="42"/>
      <c r="GUE243" s="42"/>
      <c r="GUF243" s="42"/>
      <c r="GUG243" s="42"/>
      <c r="GUH243" s="42"/>
      <c r="GUI243" s="42"/>
      <c r="GUJ243" s="42"/>
      <c r="GUK243" s="42"/>
      <c r="GUL243" s="42"/>
      <c r="GUM243" s="42"/>
      <c r="GUN243" s="42"/>
      <c r="GUO243" s="42"/>
      <c r="GUP243" s="42"/>
      <c r="GUQ243" s="42"/>
      <c r="GUR243" s="42"/>
      <c r="GUS243" s="42"/>
      <c r="GUT243" s="42"/>
      <c r="GUU243" s="42"/>
      <c r="GUV243" s="42"/>
      <c r="GUW243" s="42"/>
      <c r="GUX243" s="42"/>
      <c r="GUY243" s="42"/>
      <c r="GUZ243" s="42"/>
      <c r="GVA243" s="42"/>
      <c r="GVB243" s="42"/>
      <c r="GVC243" s="42"/>
      <c r="GVD243" s="42"/>
      <c r="GVE243" s="42"/>
      <c r="GVF243" s="42"/>
      <c r="GVG243" s="42"/>
      <c r="GVH243" s="42"/>
      <c r="GVI243" s="42"/>
      <c r="GVJ243" s="42"/>
      <c r="GVK243" s="42"/>
      <c r="GVL243" s="42"/>
      <c r="GVM243" s="42"/>
      <c r="GVN243" s="42"/>
      <c r="GVO243" s="42"/>
      <c r="GVP243" s="42"/>
      <c r="GVQ243" s="42"/>
      <c r="GVR243" s="42"/>
      <c r="GVS243" s="42"/>
      <c r="GVT243" s="42"/>
      <c r="GVU243" s="42"/>
      <c r="GVV243" s="42"/>
      <c r="GVW243" s="42"/>
      <c r="GVX243" s="42"/>
      <c r="GVY243" s="42"/>
      <c r="GVZ243" s="42"/>
      <c r="GWA243" s="42"/>
      <c r="GWB243" s="42"/>
      <c r="GWC243" s="42"/>
      <c r="GWD243" s="42"/>
      <c r="GWE243" s="42"/>
      <c r="GWF243" s="42"/>
      <c r="GWG243" s="42"/>
      <c r="GWH243" s="42"/>
      <c r="GWI243" s="42"/>
      <c r="GWJ243" s="42"/>
      <c r="GWK243" s="42"/>
      <c r="GWL243" s="42"/>
      <c r="GWM243" s="42"/>
      <c r="GWN243" s="42"/>
      <c r="GWO243" s="42"/>
      <c r="GWP243" s="42"/>
      <c r="GWQ243" s="42"/>
      <c r="GWR243" s="42"/>
      <c r="GWS243" s="42"/>
      <c r="GWT243" s="42"/>
      <c r="GWU243" s="42"/>
      <c r="GWV243" s="42"/>
      <c r="GWW243" s="42"/>
      <c r="GWX243" s="42"/>
      <c r="GWY243" s="42"/>
      <c r="GWZ243" s="42"/>
      <c r="GXA243" s="42"/>
      <c r="GXB243" s="42"/>
      <c r="GXC243" s="42"/>
      <c r="GXD243" s="42"/>
      <c r="GXE243" s="42"/>
      <c r="GXF243" s="42"/>
      <c r="GXG243" s="42"/>
      <c r="GXH243" s="42"/>
      <c r="GXI243" s="42"/>
      <c r="GXJ243" s="42"/>
      <c r="GXK243" s="42"/>
      <c r="GXL243" s="42"/>
      <c r="GXM243" s="42"/>
      <c r="GXN243" s="42"/>
      <c r="GXO243" s="42"/>
      <c r="GXP243" s="42"/>
      <c r="GXQ243" s="42"/>
      <c r="GXR243" s="42"/>
      <c r="GXS243" s="42"/>
      <c r="GXT243" s="42"/>
      <c r="GXU243" s="42"/>
      <c r="GXV243" s="42"/>
      <c r="GXW243" s="42"/>
      <c r="GXX243" s="42"/>
      <c r="GXY243" s="42"/>
      <c r="GXZ243" s="42"/>
      <c r="GYA243" s="42"/>
      <c r="GYB243" s="42"/>
      <c r="GYC243" s="42"/>
      <c r="GYD243" s="42"/>
      <c r="GYE243" s="42"/>
      <c r="GYF243" s="42"/>
      <c r="GYG243" s="42"/>
      <c r="GYH243" s="42"/>
      <c r="GYI243" s="42"/>
      <c r="GYJ243" s="42"/>
      <c r="GYK243" s="42"/>
      <c r="GYL243" s="42"/>
      <c r="GYM243" s="42"/>
      <c r="GYN243" s="42"/>
      <c r="GYO243" s="42"/>
      <c r="GYP243" s="42"/>
      <c r="GYQ243" s="42"/>
      <c r="GYR243" s="42"/>
      <c r="GYS243" s="42"/>
      <c r="GYT243" s="42"/>
      <c r="GYU243" s="42"/>
      <c r="GYV243" s="42"/>
      <c r="GYW243" s="42"/>
      <c r="GYX243" s="42"/>
      <c r="GYY243" s="42"/>
      <c r="GYZ243" s="42"/>
      <c r="GZA243" s="42"/>
      <c r="GZB243" s="42"/>
      <c r="GZC243" s="42"/>
      <c r="GZD243" s="42"/>
      <c r="GZE243" s="42"/>
      <c r="GZF243" s="42"/>
      <c r="GZG243" s="42"/>
      <c r="GZH243" s="42"/>
      <c r="GZI243" s="42"/>
      <c r="GZJ243" s="42"/>
      <c r="GZK243" s="42"/>
      <c r="GZL243" s="42"/>
      <c r="GZM243" s="42"/>
      <c r="GZN243" s="42"/>
      <c r="GZO243" s="42"/>
      <c r="GZP243" s="42"/>
      <c r="GZQ243" s="42"/>
      <c r="GZR243" s="42"/>
      <c r="GZS243" s="42"/>
      <c r="GZT243" s="42"/>
      <c r="GZU243" s="42"/>
      <c r="GZV243" s="42"/>
      <c r="GZW243" s="42"/>
      <c r="GZX243" s="42"/>
      <c r="GZY243" s="42"/>
      <c r="GZZ243" s="42"/>
      <c r="HAA243" s="42"/>
      <c r="HAB243" s="42"/>
      <c r="HAC243" s="42"/>
      <c r="HAD243" s="42"/>
      <c r="HAE243" s="42"/>
      <c r="HAF243" s="42"/>
      <c r="HAG243" s="42"/>
      <c r="HAH243" s="42"/>
      <c r="HAI243" s="42"/>
      <c r="HAJ243" s="42"/>
      <c r="HAK243" s="42"/>
      <c r="HAL243" s="42"/>
      <c r="HAM243" s="42"/>
      <c r="HAN243" s="42"/>
      <c r="HAO243" s="42"/>
      <c r="HAP243" s="42"/>
      <c r="HAQ243" s="42"/>
      <c r="HAR243" s="42"/>
      <c r="HAS243" s="42"/>
      <c r="HAT243" s="42"/>
      <c r="HAU243" s="42"/>
      <c r="HAV243" s="42"/>
      <c r="HAW243" s="42"/>
      <c r="HAX243" s="42"/>
      <c r="HAY243" s="42"/>
      <c r="HAZ243" s="42"/>
      <c r="HBA243" s="42"/>
      <c r="HBB243" s="42"/>
      <c r="HBC243" s="42"/>
      <c r="HBD243" s="42"/>
      <c r="HBE243" s="42"/>
      <c r="HBF243" s="42"/>
      <c r="HBG243" s="42"/>
      <c r="HBH243" s="42"/>
      <c r="HBI243" s="42"/>
      <c r="HBJ243" s="42"/>
      <c r="HBK243" s="42"/>
      <c r="HBL243" s="42"/>
      <c r="HBM243" s="42"/>
      <c r="HBN243" s="42"/>
      <c r="HBO243" s="42"/>
      <c r="HBP243" s="42"/>
      <c r="HBQ243" s="42"/>
      <c r="HBR243" s="42"/>
      <c r="HBS243" s="42"/>
      <c r="HBT243" s="42"/>
      <c r="HBU243" s="42"/>
      <c r="HBV243" s="42"/>
      <c r="HBW243" s="42"/>
      <c r="HBX243" s="42"/>
      <c r="HBY243" s="42"/>
      <c r="HBZ243" s="42"/>
      <c r="HCA243" s="42"/>
      <c r="HCB243" s="42"/>
      <c r="HCC243" s="42"/>
      <c r="HCD243" s="42"/>
      <c r="HCE243" s="42"/>
      <c r="HCF243" s="42"/>
      <c r="HCG243" s="42"/>
      <c r="HCH243" s="42"/>
      <c r="HCI243" s="42"/>
      <c r="HCJ243" s="42"/>
      <c r="HCK243" s="42"/>
      <c r="HCL243" s="42"/>
      <c r="HCM243" s="42"/>
      <c r="HCN243" s="42"/>
      <c r="HCO243" s="42"/>
      <c r="HCP243" s="42"/>
      <c r="HCQ243" s="42"/>
      <c r="HCR243" s="42"/>
      <c r="HCS243" s="42"/>
      <c r="HCT243" s="42"/>
      <c r="HCU243" s="42"/>
      <c r="HCV243" s="42"/>
      <c r="HCW243" s="42"/>
      <c r="HCX243" s="42"/>
      <c r="HCY243" s="42"/>
      <c r="HCZ243" s="42"/>
      <c r="HDA243" s="42"/>
      <c r="HDB243" s="42"/>
      <c r="HDC243" s="42"/>
      <c r="HDD243" s="42"/>
      <c r="HDE243" s="42"/>
      <c r="HDF243" s="42"/>
      <c r="HDG243" s="42"/>
      <c r="HDH243" s="42"/>
      <c r="HDI243" s="42"/>
      <c r="HDJ243" s="42"/>
      <c r="HDK243" s="42"/>
      <c r="HDL243" s="42"/>
      <c r="HDM243" s="42"/>
      <c r="HDN243" s="42"/>
      <c r="HDO243" s="42"/>
      <c r="HDP243" s="42"/>
      <c r="HDQ243" s="42"/>
      <c r="HDR243" s="42"/>
      <c r="HDS243" s="42"/>
      <c r="HDT243" s="42"/>
      <c r="HDU243" s="42"/>
      <c r="HDV243" s="42"/>
      <c r="HDW243" s="42"/>
      <c r="HDX243" s="42"/>
      <c r="HDY243" s="42"/>
      <c r="HDZ243" s="42"/>
      <c r="HEA243" s="42"/>
      <c r="HEB243" s="42"/>
      <c r="HEC243" s="42"/>
      <c r="HED243" s="42"/>
      <c r="HEE243" s="42"/>
      <c r="HEF243" s="42"/>
      <c r="HEG243" s="42"/>
      <c r="HEH243" s="42"/>
      <c r="HEI243" s="42"/>
      <c r="HEJ243" s="42"/>
      <c r="HEK243" s="42"/>
      <c r="HEL243" s="42"/>
      <c r="HEM243" s="42"/>
      <c r="HEN243" s="42"/>
      <c r="HEO243" s="42"/>
      <c r="HEP243" s="42"/>
      <c r="HEQ243" s="42"/>
      <c r="HER243" s="42"/>
      <c r="HES243" s="42"/>
      <c r="HET243" s="42"/>
      <c r="HEU243" s="42"/>
      <c r="HEV243" s="42"/>
      <c r="HEW243" s="42"/>
      <c r="HEX243" s="42"/>
      <c r="HEY243" s="42"/>
      <c r="HEZ243" s="42"/>
      <c r="HFA243" s="42"/>
      <c r="HFB243" s="42"/>
      <c r="HFC243" s="42"/>
      <c r="HFD243" s="42"/>
      <c r="HFE243" s="42"/>
      <c r="HFF243" s="42"/>
      <c r="HFG243" s="42"/>
      <c r="HFH243" s="42"/>
      <c r="HFI243" s="42"/>
      <c r="HFJ243" s="42"/>
      <c r="HFK243" s="42"/>
      <c r="HFL243" s="42"/>
      <c r="HFM243" s="42"/>
      <c r="HFN243" s="42"/>
      <c r="HFO243" s="42"/>
      <c r="HFP243" s="42"/>
      <c r="HFQ243" s="42"/>
      <c r="HFR243" s="42"/>
      <c r="HFS243" s="42"/>
      <c r="HFT243" s="42"/>
      <c r="HFU243" s="42"/>
      <c r="HFV243" s="42"/>
      <c r="HFW243" s="42"/>
      <c r="HFX243" s="42"/>
      <c r="HFY243" s="42"/>
      <c r="HFZ243" s="42"/>
      <c r="HGA243" s="42"/>
      <c r="HGB243" s="42"/>
      <c r="HGC243" s="42"/>
      <c r="HGD243" s="42"/>
      <c r="HGE243" s="42"/>
      <c r="HGF243" s="42"/>
      <c r="HGG243" s="42"/>
      <c r="HGH243" s="42"/>
      <c r="HGI243" s="42"/>
      <c r="HGJ243" s="42"/>
      <c r="HGK243" s="42"/>
      <c r="HGL243" s="42"/>
      <c r="HGM243" s="42"/>
      <c r="HGN243" s="42"/>
      <c r="HGO243" s="42"/>
      <c r="HGP243" s="42"/>
      <c r="HGQ243" s="42"/>
      <c r="HGR243" s="42"/>
      <c r="HGS243" s="42"/>
      <c r="HGT243" s="42"/>
      <c r="HGU243" s="42"/>
      <c r="HGV243" s="42"/>
      <c r="HGW243" s="42"/>
      <c r="HGX243" s="42"/>
      <c r="HGY243" s="42"/>
      <c r="HGZ243" s="42"/>
      <c r="HHA243" s="42"/>
      <c r="HHB243" s="42"/>
      <c r="HHC243" s="42"/>
      <c r="HHD243" s="42"/>
      <c r="HHE243" s="42"/>
      <c r="HHF243" s="42"/>
      <c r="HHG243" s="42"/>
      <c r="HHH243" s="42"/>
      <c r="HHI243" s="42"/>
      <c r="HHJ243" s="42"/>
      <c r="HHK243" s="42"/>
      <c r="HHL243" s="42"/>
      <c r="HHM243" s="42"/>
      <c r="HHN243" s="42"/>
      <c r="HHO243" s="42"/>
      <c r="HHP243" s="42"/>
      <c r="HHQ243" s="42"/>
      <c r="HHR243" s="42"/>
      <c r="HHS243" s="42"/>
      <c r="HHT243" s="42"/>
      <c r="HHU243" s="42"/>
      <c r="HHV243" s="42"/>
      <c r="HHW243" s="42"/>
      <c r="HHX243" s="42"/>
      <c r="HHY243" s="42"/>
      <c r="HHZ243" s="42"/>
      <c r="HIA243" s="42"/>
      <c r="HIB243" s="42"/>
      <c r="HIC243" s="42"/>
      <c r="HID243" s="42"/>
      <c r="HIE243" s="42"/>
      <c r="HIF243" s="42"/>
      <c r="HIG243" s="42"/>
      <c r="HIH243" s="42"/>
      <c r="HII243" s="42"/>
      <c r="HIJ243" s="42"/>
      <c r="HIK243" s="42"/>
      <c r="HIL243" s="42"/>
      <c r="HIM243" s="42"/>
      <c r="HIN243" s="42"/>
      <c r="HIO243" s="42"/>
      <c r="HIP243" s="42"/>
      <c r="HIQ243" s="42"/>
      <c r="HIR243" s="42"/>
      <c r="HIS243" s="42"/>
      <c r="HIT243" s="42"/>
      <c r="HIU243" s="42"/>
      <c r="HIV243" s="42"/>
      <c r="HIW243" s="42"/>
      <c r="HIX243" s="42"/>
      <c r="HIY243" s="42"/>
      <c r="HIZ243" s="42"/>
      <c r="HJA243" s="42"/>
      <c r="HJB243" s="42"/>
      <c r="HJC243" s="42"/>
      <c r="HJD243" s="42"/>
      <c r="HJE243" s="42"/>
      <c r="HJF243" s="42"/>
      <c r="HJG243" s="42"/>
      <c r="HJH243" s="42"/>
      <c r="HJI243" s="42"/>
      <c r="HJJ243" s="42"/>
      <c r="HJK243" s="42"/>
      <c r="HJL243" s="42"/>
      <c r="HJM243" s="42"/>
      <c r="HJN243" s="42"/>
      <c r="HJO243" s="42"/>
      <c r="HJP243" s="42"/>
      <c r="HJQ243" s="42"/>
      <c r="HJR243" s="42"/>
      <c r="HJS243" s="42"/>
      <c r="HJT243" s="42"/>
      <c r="HJU243" s="42"/>
      <c r="HJV243" s="42"/>
      <c r="HJW243" s="42"/>
      <c r="HJX243" s="42"/>
      <c r="HJY243" s="42"/>
      <c r="HJZ243" s="42"/>
      <c r="HKA243" s="42"/>
      <c r="HKB243" s="42"/>
      <c r="HKC243" s="42"/>
      <c r="HKD243" s="42"/>
      <c r="HKE243" s="42"/>
      <c r="HKF243" s="42"/>
      <c r="HKG243" s="42"/>
      <c r="HKH243" s="42"/>
      <c r="HKI243" s="42"/>
      <c r="HKJ243" s="42"/>
      <c r="HKK243" s="42"/>
      <c r="HKL243" s="42"/>
      <c r="HKM243" s="42"/>
      <c r="HKN243" s="42"/>
      <c r="HKO243" s="42"/>
      <c r="HKP243" s="42"/>
      <c r="HKQ243" s="42"/>
      <c r="HKR243" s="42"/>
      <c r="HKS243" s="42"/>
      <c r="HKT243" s="42"/>
      <c r="HKU243" s="42"/>
      <c r="HKV243" s="42"/>
      <c r="HKW243" s="42"/>
      <c r="HKX243" s="42"/>
      <c r="HKY243" s="42"/>
      <c r="HKZ243" s="42"/>
      <c r="HLA243" s="42"/>
      <c r="HLB243" s="42"/>
      <c r="HLC243" s="42"/>
      <c r="HLD243" s="42"/>
      <c r="HLE243" s="42"/>
      <c r="HLF243" s="42"/>
      <c r="HLG243" s="42"/>
      <c r="HLH243" s="42"/>
      <c r="HLI243" s="42"/>
      <c r="HLJ243" s="42"/>
      <c r="HLK243" s="42"/>
      <c r="HLL243" s="42"/>
      <c r="HLM243" s="42"/>
      <c r="HLN243" s="42"/>
      <c r="HLO243" s="42"/>
      <c r="HLP243" s="42"/>
      <c r="HLQ243" s="42"/>
      <c r="HLR243" s="42"/>
      <c r="HLS243" s="42"/>
      <c r="HLT243" s="42"/>
      <c r="HLU243" s="42"/>
      <c r="HLV243" s="42"/>
      <c r="HLW243" s="42"/>
      <c r="HLX243" s="42"/>
      <c r="HLY243" s="42"/>
      <c r="HLZ243" s="42"/>
      <c r="HMA243" s="42"/>
      <c r="HMB243" s="42"/>
      <c r="HMC243" s="42"/>
      <c r="HMD243" s="42"/>
      <c r="HME243" s="42"/>
      <c r="HMF243" s="42"/>
      <c r="HMG243" s="42"/>
      <c r="HMH243" s="42"/>
      <c r="HMI243" s="42"/>
      <c r="HMJ243" s="42"/>
      <c r="HMK243" s="42"/>
      <c r="HML243" s="42"/>
      <c r="HMM243" s="42"/>
      <c r="HMN243" s="42"/>
      <c r="HMO243" s="42"/>
      <c r="HMP243" s="42"/>
      <c r="HMQ243" s="42"/>
      <c r="HMR243" s="42"/>
      <c r="HMS243" s="42"/>
      <c r="HMT243" s="42"/>
      <c r="HMU243" s="42"/>
      <c r="HMV243" s="42"/>
      <c r="HMW243" s="42"/>
      <c r="HMX243" s="42"/>
      <c r="HMY243" s="42"/>
      <c r="HMZ243" s="42"/>
      <c r="HNA243" s="42"/>
      <c r="HNB243" s="42"/>
      <c r="HNC243" s="42"/>
      <c r="HND243" s="42"/>
      <c r="HNE243" s="42"/>
      <c r="HNF243" s="42"/>
      <c r="HNG243" s="42"/>
      <c r="HNH243" s="42"/>
      <c r="HNI243" s="42"/>
      <c r="HNJ243" s="42"/>
      <c r="HNK243" s="42"/>
      <c r="HNL243" s="42"/>
      <c r="HNM243" s="42"/>
      <c r="HNN243" s="42"/>
      <c r="HNO243" s="42"/>
      <c r="HNP243" s="42"/>
      <c r="HNQ243" s="42"/>
      <c r="HNR243" s="42"/>
      <c r="HNS243" s="42"/>
      <c r="HNT243" s="42"/>
      <c r="HNU243" s="42"/>
      <c r="HNV243" s="42"/>
      <c r="HNW243" s="42"/>
      <c r="HNX243" s="42"/>
      <c r="HNY243" s="42"/>
      <c r="HNZ243" s="42"/>
      <c r="HOA243" s="42"/>
      <c r="HOB243" s="42"/>
      <c r="HOC243" s="42"/>
      <c r="HOD243" s="42"/>
      <c r="HOE243" s="42"/>
      <c r="HOF243" s="42"/>
      <c r="HOG243" s="42"/>
      <c r="HOH243" s="42"/>
      <c r="HOI243" s="42"/>
      <c r="HOJ243" s="42"/>
      <c r="HOK243" s="42"/>
      <c r="HOL243" s="42"/>
      <c r="HOM243" s="42"/>
      <c r="HON243" s="42"/>
      <c r="HOO243" s="42"/>
      <c r="HOP243" s="42"/>
      <c r="HOQ243" s="42"/>
      <c r="HOR243" s="42"/>
      <c r="HOS243" s="42"/>
      <c r="HOT243" s="42"/>
      <c r="HOU243" s="42"/>
      <c r="HOV243" s="42"/>
      <c r="HOW243" s="42"/>
      <c r="HOX243" s="42"/>
      <c r="HOY243" s="42"/>
      <c r="HOZ243" s="42"/>
      <c r="HPA243" s="42"/>
      <c r="HPB243" s="42"/>
      <c r="HPC243" s="42"/>
      <c r="HPD243" s="42"/>
      <c r="HPE243" s="42"/>
      <c r="HPF243" s="42"/>
      <c r="HPG243" s="42"/>
      <c r="HPH243" s="42"/>
      <c r="HPI243" s="42"/>
      <c r="HPJ243" s="42"/>
      <c r="HPK243" s="42"/>
      <c r="HPL243" s="42"/>
      <c r="HPM243" s="42"/>
      <c r="HPN243" s="42"/>
      <c r="HPO243" s="42"/>
      <c r="HPP243" s="42"/>
      <c r="HPQ243" s="42"/>
      <c r="HPR243" s="42"/>
      <c r="HPS243" s="42"/>
      <c r="HPT243" s="42"/>
      <c r="HPU243" s="42"/>
      <c r="HPV243" s="42"/>
      <c r="HPW243" s="42"/>
      <c r="HPX243" s="42"/>
      <c r="HPY243" s="42"/>
      <c r="HPZ243" s="42"/>
      <c r="HQA243" s="42"/>
      <c r="HQB243" s="42"/>
      <c r="HQC243" s="42"/>
      <c r="HQD243" s="42"/>
      <c r="HQE243" s="42"/>
      <c r="HQF243" s="42"/>
      <c r="HQG243" s="42"/>
      <c r="HQH243" s="42"/>
      <c r="HQI243" s="42"/>
      <c r="HQJ243" s="42"/>
      <c r="HQK243" s="42"/>
      <c r="HQL243" s="42"/>
      <c r="HQM243" s="42"/>
      <c r="HQN243" s="42"/>
      <c r="HQO243" s="42"/>
      <c r="HQP243" s="42"/>
      <c r="HQQ243" s="42"/>
      <c r="HQR243" s="42"/>
      <c r="HQS243" s="42"/>
      <c r="HQT243" s="42"/>
      <c r="HQU243" s="42"/>
      <c r="HQV243" s="42"/>
      <c r="HQW243" s="42"/>
      <c r="HQX243" s="42"/>
      <c r="HQY243" s="42"/>
      <c r="HQZ243" s="42"/>
      <c r="HRA243" s="42"/>
      <c r="HRB243" s="42"/>
      <c r="HRC243" s="42"/>
      <c r="HRD243" s="42"/>
      <c r="HRE243" s="42"/>
      <c r="HRF243" s="42"/>
      <c r="HRG243" s="42"/>
      <c r="HRH243" s="42"/>
      <c r="HRI243" s="42"/>
      <c r="HRJ243" s="42"/>
      <c r="HRK243" s="42"/>
      <c r="HRL243" s="42"/>
      <c r="HRM243" s="42"/>
      <c r="HRN243" s="42"/>
      <c r="HRO243" s="42"/>
      <c r="HRP243" s="42"/>
      <c r="HRQ243" s="42"/>
      <c r="HRR243" s="42"/>
      <c r="HRS243" s="42"/>
      <c r="HRT243" s="42"/>
      <c r="HRU243" s="42"/>
      <c r="HRV243" s="42"/>
      <c r="HRW243" s="42"/>
      <c r="HRX243" s="42"/>
      <c r="HRY243" s="42"/>
      <c r="HRZ243" s="42"/>
      <c r="HSA243" s="42"/>
      <c r="HSB243" s="42"/>
      <c r="HSC243" s="42"/>
      <c r="HSD243" s="42"/>
      <c r="HSE243" s="42"/>
      <c r="HSF243" s="42"/>
      <c r="HSG243" s="42"/>
      <c r="HSH243" s="42"/>
      <c r="HSI243" s="42"/>
      <c r="HSJ243" s="42"/>
      <c r="HSK243" s="42"/>
      <c r="HSL243" s="42"/>
      <c r="HSM243" s="42"/>
      <c r="HSN243" s="42"/>
      <c r="HSO243" s="42"/>
      <c r="HSP243" s="42"/>
      <c r="HSQ243" s="42"/>
      <c r="HSR243" s="42"/>
      <c r="HSS243" s="42"/>
      <c r="HST243" s="42"/>
      <c r="HSU243" s="42"/>
      <c r="HSV243" s="42"/>
      <c r="HSW243" s="42"/>
      <c r="HSX243" s="42"/>
      <c r="HSY243" s="42"/>
      <c r="HSZ243" s="42"/>
      <c r="HTA243" s="42"/>
      <c r="HTB243" s="42"/>
      <c r="HTC243" s="42"/>
      <c r="HTD243" s="42"/>
      <c r="HTE243" s="42"/>
      <c r="HTF243" s="42"/>
      <c r="HTG243" s="42"/>
      <c r="HTH243" s="42"/>
      <c r="HTI243" s="42"/>
      <c r="HTJ243" s="42"/>
      <c r="HTK243" s="42"/>
      <c r="HTL243" s="42"/>
      <c r="HTM243" s="42"/>
      <c r="HTN243" s="42"/>
      <c r="HTO243" s="42"/>
      <c r="HTP243" s="42"/>
      <c r="HTQ243" s="42"/>
      <c r="HTR243" s="42"/>
      <c r="HTS243" s="42"/>
      <c r="HTT243" s="42"/>
      <c r="HTU243" s="42"/>
      <c r="HTV243" s="42"/>
      <c r="HTW243" s="42"/>
      <c r="HTX243" s="42"/>
      <c r="HTY243" s="42"/>
      <c r="HTZ243" s="42"/>
      <c r="HUA243" s="42"/>
      <c r="HUB243" s="42"/>
      <c r="HUC243" s="42"/>
      <c r="HUD243" s="42"/>
      <c r="HUE243" s="42"/>
      <c r="HUF243" s="42"/>
      <c r="HUG243" s="42"/>
      <c r="HUH243" s="42"/>
      <c r="HUI243" s="42"/>
      <c r="HUJ243" s="42"/>
      <c r="HUK243" s="42"/>
      <c r="HUL243" s="42"/>
      <c r="HUM243" s="42"/>
      <c r="HUN243" s="42"/>
      <c r="HUO243" s="42"/>
      <c r="HUP243" s="42"/>
      <c r="HUQ243" s="42"/>
      <c r="HUR243" s="42"/>
      <c r="HUS243" s="42"/>
      <c r="HUT243" s="42"/>
      <c r="HUU243" s="42"/>
      <c r="HUV243" s="42"/>
      <c r="HUW243" s="42"/>
      <c r="HUX243" s="42"/>
      <c r="HUY243" s="42"/>
      <c r="HUZ243" s="42"/>
      <c r="HVA243" s="42"/>
      <c r="HVB243" s="42"/>
      <c r="HVC243" s="42"/>
      <c r="HVD243" s="42"/>
      <c r="HVE243" s="42"/>
      <c r="HVF243" s="42"/>
      <c r="HVG243" s="42"/>
      <c r="HVH243" s="42"/>
      <c r="HVI243" s="42"/>
      <c r="HVJ243" s="42"/>
      <c r="HVK243" s="42"/>
      <c r="HVL243" s="42"/>
      <c r="HVM243" s="42"/>
      <c r="HVN243" s="42"/>
      <c r="HVO243" s="42"/>
      <c r="HVP243" s="42"/>
      <c r="HVQ243" s="42"/>
      <c r="HVR243" s="42"/>
      <c r="HVS243" s="42"/>
      <c r="HVT243" s="42"/>
      <c r="HVU243" s="42"/>
      <c r="HVV243" s="42"/>
      <c r="HVW243" s="42"/>
      <c r="HVX243" s="42"/>
      <c r="HVY243" s="42"/>
      <c r="HVZ243" s="42"/>
      <c r="HWA243" s="42"/>
      <c r="HWB243" s="42"/>
      <c r="HWC243" s="42"/>
      <c r="HWD243" s="42"/>
      <c r="HWE243" s="42"/>
      <c r="HWF243" s="42"/>
      <c r="HWG243" s="42"/>
      <c r="HWH243" s="42"/>
      <c r="HWI243" s="42"/>
      <c r="HWJ243" s="42"/>
      <c r="HWK243" s="42"/>
      <c r="HWL243" s="42"/>
      <c r="HWM243" s="42"/>
      <c r="HWN243" s="42"/>
      <c r="HWO243" s="42"/>
      <c r="HWP243" s="42"/>
      <c r="HWQ243" s="42"/>
      <c r="HWR243" s="42"/>
      <c r="HWS243" s="42"/>
      <c r="HWT243" s="42"/>
      <c r="HWU243" s="42"/>
      <c r="HWV243" s="42"/>
      <c r="HWW243" s="42"/>
      <c r="HWX243" s="42"/>
      <c r="HWY243" s="42"/>
      <c r="HWZ243" s="42"/>
      <c r="HXA243" s="42"/>
      <c r="HXB243" s="42"/>
      <c r="HXC243" s="42"/>
      <c r="HXD243" s="42"/>
      <c r="HXE243" s="42"/>
      <c r="HXF243" s="42"/>
      <c r="HXG243" s="42"/>
      <c r="HXH243" s="42"/>
      <c r="HXI243" s="42"/>
      <c r="HXJ243" s="42"/>
      <c r="HXK243" s="42"/>
      <c r="HXL243" s="42"/>
      <c r="HXM243" s="42"/>
      <c r="HXN243" s="42"/>
      <c r="HXO243" s="42"/>
      <c r="HXP243" s="42"/>
      <c r="HXQ243" s="42"/>
      <c r="HXR243" s="42"/>
      <c r="HXS243" s="42"/>
      <c r="HXT243" s="42"/>
      <c r="HXU243" s="42"/>
      <c r="HXV243" s="42"/>
      <c r="HXW243" s="42"/>
      <c r="HXX243" s="42"/>
      <c r="HXY243" s="42"/>
      <c r="HXZ243" s="42"/>
      <c r="HYA243" s="42"/>
      <c r="HYB243" s="42"/>
      <c r="HYC243" s="42"/>
      <c r="HYD243" s="42"/>
      <c r="HYE243" s="42"/>
      <c r="HYF243" s="42"/>
      <c r="HYG243" s="42"/>
      <c r="HYH243" s="42"/>
      <c r="HYI243" s="42"/>
      <c r="HYJ243" s="42"/>
      <c r="HYK243" s="42"/>
      <c r="HYL243" s="42"/>
      <c r="HYM243" s="42"/>
      <c r="HYN243" s="42"/>
      <c r="HYO243" s="42"/>
      <c r="HYP243" s="42"/>
      <c r="HYQ243" s="42"/>
      <c r="HYR243" s="42"/>
      <c r="HYS243" s="42"/>
      <c r="HYT243" s="42"/>
      <c r="HYU243" s="42"/>
      <c r="HYV243" s="42"/>
      <c r="HYW243" s="42"/>
      <c r="HYX243" s="42"/>
      <c r="HYY243" s="42"/>
      <c r="HYZ243" s="42"/>
      <c r="HZA243" s="42"/>
      <c r="HZB243" s="42"/>
      <c r="HZC243" s="42"/>
      <c r="HZD243" s="42"/>
      <c r="HZE243" s="42"/>
      <c r="HZF243" s="42"/>
      <c r="HZG243" s="42"/>
      <c r="HZH243" s="42"/>
      <c r="HZI243" s="42"/>
      <c r="HZJ243" s="42"/>
      <c r="HZK243" s="42"/>
      <c r="HZL243" s="42"/>
      <c r="HZM243" s="42"/>
      <c r="HZN243" s="42"/>
      <c r="HZO243" s="42"/>
      <c r="HZP243" s="42"/>
      <c r="HZQ243" s="42"/>
      <c r="HZR243" s="42"/>
      <c r="HZS243" s="42"/>
      <c r="HZT243" s="42"/>
      <c r="HZU243" s="42"/>
      <c r="HZV243" s="42"/>
      <c r="HZW243" s="42"/>
      <c r="HZX243" s="42"/>
      <c r="HZY243" s="42"/>
      <c r="HZZ243" s="42"/>
      <c r="IAA243" s="42"/>
      <c r="IAB243" s="42"/>
      <c r="IAC243" s="42"/>
      <c r="IAD243" s="42"/>
      <c r="IAE243" s="42"/>
      <c r="IAF243" s="42"/>
      <c r="IAG243" s="42"/>
      <c r="IAH243" s="42"/>
      <c r="IAI243" s="42"/>
      <c r="IAJ243" s="42"/>
      <c r="IAK243" s="42"/>
      <c r="IAL243" s="42"/>
      <c r="IAM243" s="42"/>
      <c r="IAN243" s="42"/>
      <c r="IAO243" s="42"/>
      <c r="IAP243" s="42"/>
      <c r="IAQ243" s="42"/>
      <c r="IAR243" s="42"/>
      <c r="IAS243" s="42"/>
      <c r="IAT243" s="42"/>
      <c r="IAU243" s="42"/>
      <c r="IAV243" s="42"/>
      <c r="IAW243" s="42"/>
      <c r="IAX243" s="42"/>
      <c r="IAY243" s="42"/>
      <c r="IAZ243" s="42"/>
      <c r="IBA243" s="42"/>
      <c r="IBB243" s="42"/>
      <c r="IBC243" s="42"/>
      <c r="IBD243" s="42"/>
      <c r="IBE243" s="42"/>
      <c r="IBF243" s="42"/>
      <c r="IBG243" s="42"/>
      <c r="IBH243" s="42"/>
      <c r="IBI243" s="42"/>
      <c r="IBJ243" s="42"/>
      <c r="IBK243" s="42"/>
      <c r="IBL243" s="42"/>
      <c r="IBM243" s="42"/>
      <c r="IBN243" s="42"/>
      <c r="IBO243" s="42"/>
      <c r="IBP243" s="42"/>
      <c r="IBQ243" s="42"/>
      <c r="IBR243" s="42"/>
      <c r="IBS243" s="42"/>
      <c r="IBT243" s="42"/>
      <c r="IBU243" s="42"/>
      <c r="IBV243" s="42"/>
      <c r="IBW243" s="42"/>
      <c r="IBX243" s="42"/>
      <c r="IBY243" s="42"/>
      <c r="IBZ243" s="42"/>
      <c r="ICA243" s="42"/>
      <c r="ICB243" s="42"/>
      <c r="ICC243" s="42"/>
      <c r="ICD243" s="42"/>
      <c r="ICE243" s="42"/>
      <c r="ICF243" s="42"/>
      <c r="ICG243" s="42"/>
      <c r="ICH243" s="42"/>
      <c r="ICI243" s="42"/>
      <c r="ICJ243" s="42"/>
      <c r="ICK243" s="42"/>
      <c r="ICL243" s="42"/>
      <c r="ICM243" s="42"/>
      <c r="ICN243" s="42"/>
      <c r="ICO243" s="42"/>
      <c r="ICP243" s="42"/>
      <c r="ICQ243" s="42"/>
      <c r="ICR243" s="42"/>
      <c r="ICS243" s="42"/>
      <c r="ICT243" s="42"/>
      <c r="ICU243" s="42"/>
      <c r="ICV243" s="42"/>
      <c r="ICW243" s="42"/>
      <c r="ICX243" s="42"/>
      <c r="ICY243" s="42"/>
      <c r="ICZ243" s="42"/>
      <c r="IDA243" s="42"/>
      <c r="IDB243" s="42"/>
      <c r="IDC243" s="42"/>
      <c r="IDD243" s="42"/>
      <c r="IDE243" s="42"/>
      <c r="IDF243" s="42"/>
      <c r="IDG243" s="42"/>
      <c r="IDH243" s="42"/>
      <c r="IDI243" s="42"/>
      <c r="IDJ243" s="42"/>
      <c r="IDK243" s="42"/>
      <c r="IDL243" s="42"/>
      <c r="IDM243" s="42"/>
      <c r="IDN243" s="42"/>
      <c r="IDO243" s="42"/>
      <c r="IDP243" s="42"/>
      <c r="IDQ243" s="42"/>
      <c r="IDR243" s="42"/>
      <c r="IDS243" s="42"/>
      <c r="IDT243" s="42"/>
      <c r="IDU243" s="42"/>
      <c r="IDV243" s="42"/>
      <c r="IDW243" s="42"/>
      <c r="IDX243" s="42"/>
      <c r="IDY243" s="42"/>
      <c r="IDZ243" s="42"/>
      <c r="IEA243" s="42"/>
      <c r="IEB243" s="42"/>
      <c r="IEC243" s="42"/>
      <c r="IED243" s="42"/>
      <c r="IEE243" s="42"/>
      <c r="IEF243" s="42"/>
      <c r="IEG243" s="42"/>
      <c r="IEH243" s="42"/>
      <c r="IEI243" s="42"/>
      <c r="IEJ243" s="42"/>
      <c r="IEK243" s="42"/>
      <c r="IEL243" s="42"/>
      <c r="IEM243" s="42"/>
      <c r="IEN243" s="42"/>
      <c r="IEO243" s="42"/>
      <c r="IEP243" s="42"/>
      <c r="IEQ243" s="42"/>
      <c r="IER243" s="42"/>
      <c r="IES243" s="42"/>
      <c r="IET243" s="42"/>
      <c r="IEU243" s="42"/>
      <c r="IEV243" s="42"/>
      <c r="IEW243" s="42"/>
      <c r="IEX243" s="42"/>
      <c r="IEY243" s="42"/>
      <c r="IEZ243" s="42"/>
      <c r="IFA243" s="42"/>
      <c r="IFB243" s="42"/>
      <c r="IFC243" s="42"/>
      <c r="IFD243" s="42"/>
      <c r="IFE243" s="42"/>
      <c r="IFF243" s="42"/>
      <c r="IFG243" s="42"/>
      <c r="IFH243" s="42"/>
      <c r="IFI243" s="42"/>
      <c r="IFJ243" s="42"/>
      <c r="IFK243" s="42"/>
      <c r="IFL243" s="42"/>
      <c r="IFM243" s="42"/>
      <c r="IFN243" s="42"/>
      <c r="IFO243" s="42"/>
      <c r="IFP243" s="42"/>
      <c r="IFQ243" s="42"/>
      <c r="IFR243" s="42"/>
      <c r="IFS243" s="42"/>
      <c r="IFT243" s="42"/>
      <c r="IFU243" s="42"/>
      <c r="IFV243" s="42"/>
      <c r="IFW243" s="42"/>
      <c r="IFX243" s="42"/>
      <c r="IFY243" s="42"/>
      <c r="IFZ243" s="42"/>
      <c r="IGA243" s="42"/>
      <c r="IGB243" s="42"/>
      <c r="IGC243" s="42"/>
      <c r="IGD243" s="42"/>
      <c r="IGE243" s="42"/>
      <c r="IGF243" s="42"/>
      <c r="IGG243" s="42"/>
      <c r="IGH243" s="42"/>
      <c r="IGI243" s="42"/>
      <c r="IGJ243" s="42"/>
      <c r="IGK243" s="42"/>
      <c r="IGL243" s="42"/>
      <c r="IGM243" s="42"/>
      <c r="IGN243" s="42"/>
      <c r="IGO243" s="42"/>
      <c r="IGP243" s="42"/>
      <c r="IGQ243" s="42"/>
      <c r="IGR243" s="42"/>
      <c r="IGS243" s="42"/>
      <c r="IGT243" s="42"/>
      <c r="IGU243" s="42"/>
      <c r="IGV243" s="42"/>
      <c r="IGW243" s="42"/>
      <c r="IGX243" s="42"/>
      <c r="IGY243" s="42"/>
      <c r="IGZ243" s="42"/>
      <c r="IHA243" s="42"/>
      <c r="IHB243" s="42"/>
      <c r="IHC243" s="42"/>
      <c r="IHD243" s="42"/>
      <c r="IHE243" s="42"/>
      <c r="IHF243" s="42"/>
      <c r="IHG243" s="42"/>
      <c r="IHH243" s="42"/>
      <c r="IHI243" s="42"/>
      <c r="IHJ243" s="42"/>
      <c r="IHK243" s="42"/>
      <c r="IHL243" s="42"/>
      <c r="IHM243" s="42"/>
      <c r="IHN243" s="42"/>
      <c r="IHO243" s="42"/>
      <c r="IHP243" s="42"/>
      <c r="IHQ243" s="42"/>
      <c r="IHR243" s="42"/>
      <c r="IHS243" s="42"/>
      <c r="IHT243" s="42"/>
      <c r="IHU243" s="42"/>
      <c r="IHV243" s="42"/>
      <c r="IHW243" s="42"/>
      <c r="IHX243" s="42"/>
      <c r="IHY243" s="42"/>
      <c r="IHZ243" s="42"/>
      <c r="IIA243" s="42"/>
      <c r="IIB243" s="42"/>
      <c r="IIC243" s="42"/>
      <c r="IID243" s="42"/>
      <c r="IIE243" s="42"/>
      <c r="IIF243" s="42"/>
      <c r="IIG243" s="42"/>
      <c r="IIH243" s="42"/>
      <c r="III243" s="42"/>
      <c r="IIJ243" s="42"/>
      <c r="IIK243" s="42"/>
      <c r="IIL243" s="42"/>
      <c r="IIM243" s="42"/>
      <c r="IIN243" s="42"/>
      <c r="IIO243" s="42"/>
      <c r="IIP243" s="42"/>
      <c r="IIQ243" s="42"/>
      <c r="IIR243" s="42"/>
      <c r="IIS243" s="42"/>
      <c r="IIT243" s="42"/>
      <c r="IIU243" s="42"/>
      <c r="IIV243" s="42"/>
      <c r="IIW243" s="42"/>
      <c r="IIX243" s="42"/>
      <c r="IIY243" s="42"/>
      <c r="IIZ243" s="42"/>
      <c r="IJA243" s="42"/>
      <c r="IJB243" s="42"/>
      <c r="IJC243" s="42"/>
      <c r="IJD243" s="42"/>
      <c r="IJE243" s="42"/>
      <c r="IJF243" s="42"/>
      <c r="IJG243" s="42"/>
      <c r="IJH243" s="42"/>
      <c r="IJI243" s="42"/>
      <c r="IJJ243" s="42"/>
      <c r="IJK243" s="42"/>
      <c r="IJL243" s="42"/>
      <c r="IJM243" s="42"/>
      <c r="IJN243" s="42"/>
      <c r="IJO243" s="42"/>
      <c r="IJP243" s="42"/>
      <c r="IJQ243" s="42"/>
      <c r="IJR243" s="42"/>
      <c r="IJS243" s="42"/>
      <c r="IJT243" s="42"/>
      <c r="IJU243" s="42"/>
      <c r="IJV243" s="42"/>
      <c r="IJW243" s="42"/>
      <c r="IJX243" s="42"/>
      <c r="IJY243" s="42"/>
      <c r="IJZ243" s="42"/>
      <c r="IKA243" s="42"/>
      <c r="IKB243" s="42"/>
      <c r="IKC243" s="42"/>
      <c r="IKD243" s="42"/>
      <c r="IKE243" s="42"/>
      <c r="IKF243" s="42"/>
      <c r="IKG243" s="42"/>
      <c r="IKH243" s="42"/>
      <c r="IKI243" s="42"/>
      <c r="IKJ243" s="42"/>
      <c r="IKK243" s="42"/>
      <c r="IKL243" s="42"/>
      <c r="IKM243" s="42"/>
      <c r="IKN243" s="42"/>
      <c r="IKO243" s="42"/>
      <c r="IKP243" s="42"/>
      <c r="IKQ243" s="42"/>
      <c r="IKR243" s="42"/>
      <c r="IKS243" s="42"/>
      <c r="IKT243" s="42"/>
      <c r="IKU243" s="42"/>
      <c r="IKV243" s="42"/>
      <c r="IKW243" s="42"/>
      <c r="IKX243" s="42"/>
      <c r="IKY243" s="42"/>
      <c r="IKZ243" s="42"/>
      <c r="ILA243" s="42"/>
      <c r="ILB243" s="42"/>
      <c r="ILC243" s="42"/>
      <c r="ILD243" s="42"/>
      <c r="ILE243" s="42"/>
      <c r="ILF243" s="42"/>
      <c r="ILG243" s="42"/>
      <c r="ILH243" s="42"/>
      <c r="ILI243" s="42"/>
      <c r="ILJ243" s="42"/>
      <c r="ILK243" s="42"/>
      <c r="ILL243" s="42"/>
      <c r="ILM243" s="42"/>
      <c r="ILN243" s="42"/>
      <c r="ILO243" s="42"/>
      <c r="ILP243" s="42"/>
      <c r="ILQ243" s="42"/>
      <c r="ILR243" s="42"/>
      <c r="ILS243" s="42"/>
      <c r="ILT243" s="42"/>
      <c r="ILU243" s="42"/>
      <c r="ILV243" s="42"/>
      <c r="ILW243" s="42"/>
      <c r="ILX243" s="42"/>
      <c r="ILY243" s="42"/>
      <c r="ILZ243" s="42"/>
      <c r="IMA243" s="42"/>
      <c r="IMB243" s="42"/>
      <c r="IMC243" s="42"/>
      <c r="IMD243" s="42"/>
      <c r="IME243" s="42"/>
      <c r="IMF243" s="42"/>
      <c r="IMG243" s="42"/>
      <c r="IMH243" s="42"/>
      <c r="IMI243" s="42"/>
      <c r="IMJ243" s="42"/>
      <c r="IMK243" s="42"/>
      <c r="IML243" s="42"/>
      <c r="IMM243" s="42"/>
      <c r="IMN243" s="42"/>
      <c r="IMO243" s="42"/>
      <c r="IMP243" s="42"/>
      <c r="IMQ243" s="42"/>
      <c r="IMR243" s="42"/>
      <c r="IMS243" s="42"/>
      <c r="IMT243" s="42"/>
      <c r="IMU243" s="42"/>
      <c r="IMV243" s="42"/>
      <c r="IMW243" s="42"/>
      <c r="IMX243" s="42"/>
      <c r="IMY243" s="42"/>
      <c r="IMZ243" s="42"/>
      <c r="INA243" s="42"/>
      <c r="INB243" s="42"/>
      <c r="INC243" s="42"/>
      <c r="IND243" s="42"/>
      <c r="INE243" s="42"/>
      <c r="INF243" s="42"/>
      <c r="ING243" s="42"/>
      <c r="INH243" s="42"/>
      <c r="INI243" s="42"/>
      <c r="INJ243" s="42"/>
      <c r="INK243" s="42"/>
      <c r="INL243" s="42"/>
      <c r="INM243" s="42"/>
      <c r="INN243" s="42"/>
      <c r="INO243" s="42"/>
      <c r="INP243" s="42"/>
      <c r="INQ243" s="42"/>
      <c r="INR243" s="42"/>
      <c r="INS243" s="42"/>
      <c r="INT243" s="42"/>
      <c r="INU243" s="42"/>
      <c r="INV243" s="42"/>
      <c r="INW243" s="42"/>
      <c r="INX243" s="42"/>
      <c r="INY243" s="42"/>
      <c r="INZ243" s="42"/>
      <c r="IOA243" s="42"/>
      <c r="IOB243" s="42"/>
      <c r="IOC243" s="42"/>
      <c r="IOD243" s="42"/>
      <c r="IOE243" s="42"/>
      <c r="IOF243" s="42"/>
      <c r="IOG243" s="42"/>
      <c r="IOH243" s="42"/>
      <c r="IOI243" s="42"/>
      <c r="IOJ243" s="42"/>
      <c r="IOK243" s="42"/>
      <c r="IOL243" s="42"/>
      <c r="IOM243" s="42"/>
      <c r="ION243" s="42"/>
      <c r="IOO243" s="42"/>
      <c r="IOP243" s="42"/>
      <c r="IOQ243" s="42"/>
      <c r="IOR243" s="42"/>
      <c r="IOS243" s="42"/>
      <c r="IOT243" s="42"/>
      <c r="IOU243" s="42"/>
      <c r="IOV243" s="42"/>
      <c r="IOW243" s="42"/>
      <c r="IOX243" s="42"/>
      <c r="IOY243" s="42"/>
      <c r="IOZ243" s="42"/>
      <c r="IPA243" s="42"/>
      <c r="IPB243" s="42"/>
      <c r="IPC243" s="42"/>
      <c r="IPD243" s="42"/>
      <c r="IPE243" s="42"/>
      <c r="IPF243" s="42"/>
      <c r="IPG243" s="42"/>
      <c r="IPH243" s="42"/>
      <c r="IPI243" s="42"/>
      <c r="IPJ243" s="42"/>
      <c r="IPK243" s="42"/>
      <c r="IPL243" s="42"/>
      <c r="IPM243" s="42"/>
      <c r="IPN243" s="42"/>
      <c r="IPO243" s="42"/>
      <c r="IPP243" s="42"/>
      <c r="IPQ243" s="42"/>
      <c r="IPR243" s="42"/>
      <c r="IPS243" s="42"/>
      <c r="IPT243" s="42"/>
      <c r="IPU243" s="42"/>
      <c r="IPV243" s="42"/>
      <c r="IPW243" s="42"/>
      <c r="IPX243" s="42"/>
      <c r="IPY243" s="42"/>
      <c r="IPZ243" s="42"/>
      <c r="IQA243" s="42"/>
      <c r="IQB243" s="42"/>
      <c r="IQC243" s="42"/>
      <c r="IQD243" s="42"/>
      <c r="IQE243" s="42"/>
      <c r="IQF243" s="42"/>
      <c r="IQG243" s="42"/>
      <c r="IQH243" s="42"/>
      <c r="IQI243" s="42"/>
      <c r="IQJ243" s="42"/>
      <c r="IQK243" s="42"/>
      <c r="IQL243" s="42"/>
      <c r="IQM243" s="42"/>
      <c r="IQN243" s="42"/>
      <c r="IQO243" s="42"/>
      <c r="IQP243" s="42"/>
      <c r="IQQ243" s="42"/>
      <c r="IQR243" s="42"/>
      <c r="IQS243" s="42"/>
      <c r="IQT243" s="42"/>
      <c r="IQU243" s="42"/>
      <c r="IQV243" s="42"/>
      <c r="IQW243" s="42"/>
      <c r="IQX243" s="42"/>
      <c r="IQY243" s="42"/>
      <c r="IQZ243" s="42"/>
      <c r="IRA243" s="42"/>
      <c r="IRB243" s="42"/>
      <c r="IRC243" s="42"/>
      <c r="IRD243" s="42"/>
      <c r="IRE243" s="42"/>
      <c r="IRF243" s="42"/>
      <c r="IRG243" s="42"/>
      <c r="IRH243" s="42"/>
      <c r="IRI243" s="42"/>
      <c r="IRJ243" s="42"/>
      <c r="IRK243" s="42"/>
      <c r="IRL243" s="42"/>
      <c r="IRM243" s="42"/>
      <c r="IRN243" s="42"/>
      <c r="IRO243" s="42"/>
      <c r="IRP243" s="42"/>
      <c r="IRQ243" s="42"/>
      <c r="IRR243" s="42"/>
      <c r="IRS243" s="42"/>
      <c r="IRT243" s="42"/>
      <c r="IRU243" s="42"/>
      <c r="IRV243" s="42"/>
      <c r="IRW243" s="42"/>
      <c r="IRX243" s="42"/>
      <c r="IRY243" s="42"/>
      <c r="IRZ243" s="42"/>
      <c r="ISA243" s="42"/>
      <c r="ISB243" s="42"/>
      <c r="ISC243" s="42"/>
      <c r="ISD243" s="42"/>
      <c r="ISE243" s="42"/>
      <c r="ISF243" s="42"/>
      <c r="ISG243" s="42"/>
      <c r="ISH243" s="42"/>
      <c r="ISI243" s="42"/>
      <c r="ISJ243" s="42"/>
      <c r="ISK243" s="42"/>
      <c r="ISL243" s="42"/>
      <c r="ISM243" s="42"/>
      <c r="ISN243" s="42"/>
      <c r="ISO243" s="42"/>
      <c r="ISP243" s="42"/>
      <c r="ISQ243" s="42"/>
      <c r="ISR243" s="42"/>
      <c r="ISS243" s="42"/>
      <c r="IST243" s="42"/>
      <c r="ISU243" s="42"/>
      <c r="ISV243" s="42"/>
      <c r="ISW243" s="42"/>
      <c r="ISX243" s="42"/>
      <c r="ISY243" s="42"/>
      <c r="ISZ243" s="42"/>
      <c r="ITA243" s="42"/>
      <c r="ITB243" s="42"/>
      <c r="ITC243" s="42"/>
      <c r="ITD243" s="42"/>
      <c r="ITE243" s="42"/>
      <c r="ITF243" s="42"/>
      <c r="ITG243" s="42"/>
      <c r="ITH243" s="42"/>
      <c r="ITI243" s="42"/>
      <c r="ITJ243" s="42"/>
      <c r="ITK243" s="42"/>
      <c r="ITL243" s="42"/>
      <c r="ITM243" s="42"/>
      <c r="ITN243" s="42"/>
      <c r="ITO243" s="42"/>
      <c r="ITP243" s="42"/>
      <c r="ITQ243" s="42"/>
      <c r="ITR243" s="42"/>
      <c r="ITS243" s="42"/>
      <c r="ITT243" s="42"/>
      <c r="ITU243" s="42"/>
      <c r="ITV243" s="42"/>
      <c r="ITW243" s="42"/>
      <c r="ITX243" s="42"/>
      <c r="ITY243" s="42"/>
      <c r="ITZ243" s="42"/>
      <c r="IUA243" s="42"/>
      <c r="IUB243" s="42"/>
      <c r="IUC243" s="42"/>
      <c r="IUD243" s="42"/>
      <c r="IUE243" s="42"/>
      <c r="IUF243" s="42"/>
      <c r="IUG243" s="42"/>
      <c r="IUH243" s="42"/>
      <c r="IUI243" s="42"/>
      <c r="IUJ243" s="42"/>
      <c r="IUK243" s="42"/>
      <c r="IUL243" s="42"/>
      <c r="IUM243" s="42"/>
      <c r="IUN243" s="42"/>
      <c r="IUO243" s="42"/>
      <c r="IUP243" s="42"/>
      <c r="IUQ243" s="42"/>
      <c r="IUR243" s="42"/>
      <c r="IUS243" s="42"/>
      <c r="IUT243" s="42"/>
      <c r="IUU243" s="42"/>
      <c r="IUV243" s="42"/>
      <c r="IUW243" s="42"/>
      <c r="IUX243" s="42"/>
      <c r="IUY243" s="42"/>
      <c r="IUZ243" s="42"/>
      <c r="IVA243" s="42"/>
      <c r="IVB243" s="42"/>
      <c r="IVC243" s="42"/>
      <c r="IVD243" s="42"/>
      <c r="IVE243" s="42"/>
      <c r="IVF243" s="42"/>
      <c r="IVG243" s="42"/>
      <c r="IVH243" s="42"/>
      <c r="IVI243" s="42"/>
      <c r="IVJ243" s="42"/>
      <c r="IVK243" s="42"/>
      <c r="IVL243" s="42"/>
      <c r="IVM243" s="42"/>
      <c r="IVN243" s="42"/>
      <c r="IVO243" s="42"/>
      <c r="IVP243" s="42"/>
      <c r="IVQ243" s="42"/>
      <c r="IVR243" s="42"/>
      <c r="IVS243" s="42"/>
      <c r="IVT243" s="42"/>
      <c r="IVU243" s="42"/>
      <c r="IVV243" s="42"/>
      <c r="IVW243" s="42"/>
      <c r="IVX243" s="42"/>
      <c r="IVY243" s="42"/>
      <c r="IVZ243" s="42"/>
      <c r="IWA243" s="42"/>
      <c r="IWB243" s="42"/>
      <c r="IWC243" s="42"/>
      <c r="IWD243" s="42"/>
      <c r="IWE243" s="42"/>
      <c r="IWF243" s="42"/>
      <c r="IWG243" s="42"/>
      <c r="IWH243" s="42"/>
      <c r="IWI243" s="42"/>
      <c r="IWJ243" s="42"/>
      <c r="IWK243" s="42"/>
      <c r="IWL243" s="42"/>
      <c r="IWM243" s="42"/>
      <c r="IWN243" s="42"/>
      <c r="IWO243" s="42"/>
      <c r="IWP243" s="42"/>
      <c r="IWQ243" s="42"/>
      <c r="IWR243" s="42"/>
      <c r="IWS243" s="42"/>
      <c r="IWT243" s="42"/>
      <c r="IWU243" s="42"/>
      <c r="IWV243" s="42"/>
      <c r="IWW243" s="42"/>
      <c r="IWX243" s="42"/>
      <c r="IWY243" s="42"/>
      <c r="IWZ243" s="42"/>
      <c r="IXA243" s="42"/>
      <c r="IXB243" s="42"/>
      <c r="IXC243" s="42"/>
      <c r="IXD243" s="42"/>
      <c r="IXE243" s="42"/>
      <c r="IXF243" s="42"/>
      <c r="IXG243" s="42"/>
      <c r="IXH243" s="42"/>
      <c r="IXI243" s="42"/>
      <c r="IXJ243" s="42"/>
      <c r="IXK243" s="42"/>
      <c r="IXL243" s="42"/>
      <c r="IXM243" s="42"/>
      <c r="IXN243" s="42"/>
      <c r="IXO243" s="42"/>
      <c r="IXP243" s="42"/>
      <c r="IXQ243" s="42"/>
      <c r="IXR243" s="42"/>
      <c r="IXS243" s="42"/>
      <c r="IXT243" s="42"/>
      <c r="IXU243" s="42"/>
      <c r="IXV243" s="42"/>
      <c r="IXW243" s="42"/>
      <c r="IXX243" s="42"/>
      <c r="IXY243" s="42"/>
      <c r="IXZ243" s="42"/>
      <c r="IYA243" s="42"/>
      <c r="IYB243" s="42"/>
      <c r="IYC243" s="42"/>
      <c r="IYD243" s="42"/>
      <c r="IYE243" s="42"/>
      <c r="IYF243" s="42"/>
      <c r="IYG243" s="42"/>
      <c r="IYH243" s="42"/>
      <c r="IYI243" s="42"/>
      <c r="IYJ243" s="42"/>
      <c r="IYK243" s="42"/>
      <c r="IYL243" s="42"/>
      <c r="IYM243" s="42"/>
      <c r="IYN243" s="42"/>
      <c r="IYO243" s="42"/>
      <c r="IYP243" s="42"/>
      <c r="IYQ243" s="42"/>
      <c r="IYR243" s="42"/>
      <c r="IYS243" s="42"/>
      <c r="IYT243" s="42"/>
      <c r="IYU243" s="42"/>
      <c r="IYV243" s="42"/>
      <c r="IYW243" s="42"/>
      <c r="IYX243" s="42"/>
      <c r="IYY243" s="42"/>
      <c r="IYZ243" s="42"/>
      <c r="IZA243" s="42"/>
      <c r="IZB243" s="42"/>
      <c r="IZC243" s="42"/>
      <c r="IZD243" s="42"/>
      <c r="IZE243" s="42"/>
      <c r="IZF243" s="42"/>
      <c r="IZG243" s="42"/>
      <c r="IZH243" s="42"/>
      <c r="IZI243" s="42"/>
      <c r="IZJ243" s="42"/>
      <c r="IZK243" s="42"/>
      <c r="IZL243" s="42"/>
      <c r="IZM243" s="42"/>
      <c r="IZN243" s="42"/>
      <c r="IZO243" s="42"/>
      <c r="IZP243" s="42"/>
      <c r="IZQ243" s="42"/>
      <c r="IZR243" s="42"/>
      <c r="IZS243" s="42"/>
      <c r="IZT243" s="42"/>
      <c r="IZU243" s="42"/>
      <c r="IZV243" s="42"/>
      <c r="IZW243" s="42"/>
      <c r="IZX243" s="42"/>
      <c r="IZY243" s="42"/>
      <c r="IZZ243" s="42"/>
      <c r="JAA243" s="42"/>
      <c r="JAB243" s="42"/>
      <c r="JAC243" s="42"/>
      <c r="JAD243" s="42"/>
      <c r="JAE243" s="42"/>
      <c r="JAF243" s="42"/>
      <c r="JAG243" s="42"/>
      <c r="JAH243" s="42"/>
      <c r="JAI243" s="42"/>
      <c r="JAJ243" s="42"/>
      <c r="JAK243" s="42"/>
      <c r="JAL243" s="42"/>
      <c r="JAM243" s="42"/>
      <c r="JAN243" s="42"/>
      <c r="JAO243" s="42"/>
      <c r="JAP243" s="42"/>
      <c r="JAQ243" s="42"/>
      <c r="JAR243" s="42"/>
      <c r="JAS243" s="42"/>
      <c r="JAT243" s="42"/>
      <c r="JAU243" s="42"/>
      <c r="JAV243" s="42"/>
      <c r="JAW243" s="42"/>
      <c r="JAX243" s="42"/>
      <c r="JAY243" s="42"/>
      <c r="JAZ243" s="42"/>
      <c r="JBA243" s="42"/>
      <c r="JBB243" s="42"/>
      <c r="JBC243" s="42"/>
      <c r="JBD243" s="42"/>
      <c r="JBE243" s="42"/>
      <c r="JBF243" s="42"/>
      <c r="JBG243" s="42"/>
      <c r="JBH243" s="42"/>
      <c r="JBI243" s="42"/>
      <c r="JBJ243" s="42"/>
      <c r="JBK243" s="42"/>
      <c r="JBL243" s="42"/>
      <c r="JBM243" s="42"/>
      <c r="JBN243" s="42"/>
      <c r="JBO243" s="42"/>
      <c r="JBP243" s="42"/>
      <c r="JBQ243" s="42"/>
      <c r="JBR243" s="42"/>
      <c r="JBS243" s="42"/>
      <c r="JBT243" s="42"/>
      <c r="JBU243" s="42"/>
      <c r="JBV243" s="42"/>
      <c r="JBW243" s="42"/>
      <c r="JBX243" s="42"/>
      <c r="JBY243" s="42"/>
      <c r="JBZ243" s="42"/>
      <c r="JCA243" s="42"/>
      <c r="JCB243" s="42"/>
      <c r="JCC243" s="42"/>
      <c r="JCD243" s="42"/>
      <c r="JCE243" s="42"/>
      <c r="JCF243" s="42"/>
      <c r="JCG243" s="42"/>
      <c r="JCH243" s="42"/>
      <c r="JCI243" s="42"/>
      <c r="JCJ243" s="42"/>
      <c r="JCK243" s="42"/>
      <c r="JCL243" s="42"/>
      <c r="JCM243" s="42"/>
      <c r="JCN243" s="42"/>
      <c r="JCO243" s="42"/>
      <c r="JCP243" s="42"/>
      <c r="JCQ243" s="42"/>
      <c r="JCR243" s="42"/>
      <c r="JCS243" s="42"/>
      <c r="JCT243" s="42"/>
      <c r="JCU243" s="42"/>
      <c r="JCV243" s="42"/>
      <c r="JCW243" s="42"/>
      <c r="JCX243" s="42"/>
      <c r="JCY243" s="42"/>
      <c r="JCZ243" s="42"/>
      <c r="JDA243" s="42"/>
      <c r="JDB243" s="42"/>
      <c r="JDC243" s="42"/>
      <c r="JDD243" s="42"/>
      <c r="JDE243" s="42"/>
      <c r="JDF243" s="42"/>
      <c r="JDG243" s="42"/>
      <c r="JDH243" s="42"/>
      <c r="JDI243" s="42"/>
      <c r="JDJ243" s="42"/>
      <c r="JDK243" s="42"/>
      <c r="JDL243" s="42"/>
      <c r="JDM243" s="42"/>
      <c r="JDN243" s="42"/>
      <c r="JDO243" s="42"/>
      <c r="JDP243" s="42"/>
      <c r="JDQ243" s="42"/>
      <c r="JDR243" s="42"/>
      <c r="JDS243" s="42"/>
      <c r="JDT243" s="42"/>
      <c r="JDU243" s="42"/>
      <c r="JDV243" s="42"/>
      <c r="JDW243" s="42"/>
      <c r="JDX243" s="42"/>
      <c r="JDY243" s="42"/>
      <c r="JDZ243" s="42"/>
      <c r="JEA243" s="42"/>
      <c r="JEB243" s="42"/>
      <c r="JEC243" s="42"/>
      <c r="JED243" s="42"/>
      <c r="JEE243" s="42"/>
      <c r="JEF243" s="42"/>
      <c r="JEG243" s="42"/>
      <c r="JEH243" s="42"/>
      <c r="JEI243" s="42"/>
      <c r="JEJ243" s="42"/>
      <c r="JEK243" s="42"/>
      <c r="JEL243" s="42"/>
      <c r="JEM243" s="42"/>
      <c r="JEN243" s="42"/>
      <c r="JEO243" s="42"/>
      <c r="JEP243" s="42"/>
      <c r="JEQ243" s="42"/>
      <c r="JER243" s="42"/>
      <c r="JES243" s="42"/>
      <c r="JET243" s="42"/>
      <c r="JEU243" s="42"/>
      <c r="JEV243" s="42"/>
      <c r="JEW243" s="42"/>
      <c r="JEX243" s="42"/>
      <c r="JEY243" s="42"/>
      <c r="JEZ243" s="42"/>
      <c r="JFA243" s="42"/>
      <c r="JFB243" s="42"/>
      <c r="JFC243" s="42"/>
      <c r="JFD243" s="42"/>
      <c r="JFE243" s="42"/>
      <c r="JFF243" s="42"/>
      <c r="JFG243" s="42"/>
      <c r="JFH243" s="42"/>
      <c r="JFI243" s="42"/>
      <c r="JFJ243" s="42"/>
      <c r="JFK243" s="42"/>
      <c r="JFL243" s="42"/>
      <c r="JFM243" s="42"/>
      <c r="JFN243" s="42"/>
      <c r="JFO243" s="42"/>
      <c r="JFP243" s="42"/>
      <c r="JFQ243" s="42"/>
      <c r="JFR243" s="42"/>
      <c r="JFS243" s="42"/>
      <c r="JFT243" s="42"/>
      <c r="JFU243" s="42"/>
      <c r="JFV243" s="42"/>
      <c r="JFW243" s="42"/>
      <c r="JFX243" s="42"/>
      <c r="JFY243" s="42"/>
      <c r="JFZ243" s="42"/>
      <c r="JGA243" s="42"/>
      <c r="JGB243" s="42"/>
      <c r="JGC243" s="42"/>
      <c r="JGD243" s="42"/>
      <c r="JGE243" s="42"/>
      <c r="JGF243" s="42"/>
      <c r="JGG243" s="42"/>
      <c r="JGH243" s="42"/>
      <c r="JGI243" s="42"/>
      <c r="JGJ243" s="42"/>
      <c r="JGK243" s="42"/>
      <c r="JGL243" s="42"/>
      <c r="JGM243" s="42"/>
      <c r="JGN243" s="42"/>
      <c r="JGO243" s="42"/>
      <c r="JGP243" s="42"/>
      <c r="JGQ243" s="42"/>
      <c r="JGR243" s="42"/>
      <c r="JGS243" s="42"/>
      <c r="JGT243" s="42"/>
      <c r="JGU243" s="42"/>
      <c r="JGV243" s="42"/>
      <c r="JGW243" s="42"/>
      <c r="JGX243" s="42"/>
      <c r="JGY243" s="42"/>
      <c r="JGZ243" s="42"/>
      <c r="JHA243" s="42"/>
      <c r="JHB243" s="42"/>
      <c r="JHC243" s="42"/>
      <c r="JHD243" s="42"/>
      <c r="JHE243" s="42"/>
      <c r="JHF243" s="42"/>
      <c r="JHG243" s="42"/>
      <c r="JHH243" s="42"/>
      <c r="JHI243" s="42"/>
      <c r="JHJ243" s="42"/>
      <c r="JHK243" s="42"/>
      <c r="JHL243" s="42"/>
      <c r="JHM243" s="42"/>
      <c r="JHN243" s="42"/>
      <c r="JHO243" s="42"/>
      <c r="JHP243" s="42"/>
      <c r="JHQ243" s="42"/>
      <c r="JHR243" s="42"/>
      <c r="JHS243" s="42"/>
      <c r="JHT243" s="42"/>
      <c r="JHU243" s="42"/>
      <c r="JHV243" s="42"/>
      <c r="JHW243" s="42"/>
      <c r="JHX243" s="42"/>
      <c r="JHY243" s="42"/>
      <c r="JHZ243" s="42"/>
      <c r="JIA243" s="42"/>
      <c r="JIB243" s="42"/>
      <c r="JIC243" s="42"/>
      <c r="JID243" s="42"/>
      <c r="JIE243" s="42"/>
      <c r="JIF243" s="42"/>
      <c r="JIG243" s="42"/>
      <c r="JIH243" s="42"/>
      <c r="JII243" s="42"/>
      <c r="JIJ243" s="42"/>
      <c r="JIK243" s="42"/>
      <c r="JIL243" s="42"/>
      <c r="JIM243" s="42"/>
      <c r="JIN243" s="42"/>
      <c r="JIO243" s="42"/>
      <c r="JIP243" s="42"/>
      <c r="JIQ243" s="42"/>
      <c r="JIR243" s="42"/>
      <c r="JIS243" s="42"/>
      <c r="JIT243" s="42"/>
      <c r="JIU243" s="42"/>
      <c r="JIV243" s="42"/>
      <c r="JIW243" s="42"/>
      <c r="JIX243" s="42"/>
      <c r="JIY243" s="42"/>
      <c r="JIZ243" s="42"/>
      <c r="JJA243" s="42"/>
      <c r="JJB243" s="42"/>
      <c r="JJC243" s="42"/>
      <c r="JJD243" s="42"/>
      <c r="JJE243" s="42"/>
      <c r="JJF243" s="42"/>
      <c r="JJG243" s="42"/>
      <c r="JJH243" s="42"/>
      <c r="JJI243" s="42"/>
      <c r="JJJ243" s="42"/>
      <c r="JJK243" s="42"/>
      <c r="JJL243" s="42"/>
      <c r="JJM243" s="42"/>
      <c r="JJN243" s="42"/>
      <c r="JJO243" s="42"/>
      <c r="JJP243" s="42"/>
      <c r="JJQ243" s="42"/>
      <c r="JJR243" s="42"/>
      <c r="JJS243" s="42"/>
      <c r="JJT243" s="42"/>
      <c r="JJU243" s="42"/>
      <c r="JJV243" s="42"/>
      <c r="JJW243" s="42"/>
      <c r="JJX243" s="42"/>
      <c r="JJY243" s="42"/>
      <c r="JJZ243" s="42"/>
      <c r="JKA243" s="42"/>
      <c r="JKB243" s="42"/>
      <c r="JKC243" s="42"/>
      <c r="JKD243" s="42"/>
      <c r="JKE243" s="42"/>
      <c r="JKF243" s="42"/>
      <c r="JKG243" s="42"/>
      <c r="JKH243" s="42"/>
      <c r="JKI243" s="42"/>
      <c r="JKJ243" s="42"/>
      <c r="JKK243" s="42"/>
      <c r="JKL243" s="42"/>
      <c r="JKM243" s="42"/>
      <c r="JKN243" s="42"/>
      <c r="JKO243" s="42"/>
      <c r="JKP243" s="42"/>
      <c r="JKQ243" s="42"/>
      <c r="JKR243" s="42"/>
      <c r="JKS243" s="42"/>
      <c r="JKT243" s="42"/>
      <c r="JKU243" s="42"/>
      <c r="JKV243" s="42"/>
      <c r="JKW243" s="42"/>
      <c r="JKX243" s="42"/>
      <c r="JKY243" s="42"/>
      <c r="JKZ243" s="42"/>
      <c r="JLA243" s="42"/>
      <c r="JLB243" s="42"/>
      <c r="JLC243" s="42"/>
      <c r="JLD243" s="42"/>
      <c r="JLE243" s="42"/>
      <c r="JLF243" s="42"/>
      <c r="JLG243" s="42"/>
      <c r="JLH243" s="42"/>
      <c r="JLI243" s="42"/>
      <c r="JLJ243" s="42"/>
      <c r="JLK243" s="42"/>
      <c r="JLL243" s="42"/>
      <c r="JLM243" s="42"/>
      <c r="JLN243" s="42"/>
      <c r="JLO243" s="42"/>
      <c r="JLP243" s="42"/>
      <c r="JLQ243" s="42"/>
      <c r="JLR243" s="42"/>
      <c r="JLS243" s="42"/>
      <c r="JLT243" s="42"/>
      <c r="JLU243" s="42"/>
      <c r="JLV243" s="42"/>
      <c r="JLW243" s="42"/>
      <c r="JLX243" s="42"/>
      <c r="JLY243" s="42"/>
      <c r="JLZ243" s="42"/>
      <c r="JMA243" s="42"/>
      <c r="JMB243" s="42"/>
      <c r="JMC243" s="42"/>
      <c r="JMD243" s="42"/>
      <c r="JME243" s="42"/>
      <c r="JMF243" s="42"/>
      <c r="JMG243" s="42"/>
      <c r="JMH243" s="42"/>
      <c r="JMI243" s="42"/>
      <c r="JMJ243" s="42"/>
      <c r="JMK243" s="42"/>
      <c r="JML243" s="42"/>
      <c r="JMM243" s="42"/>
      <c r="JMN243" s="42"/>
      <c r="JMO243" s="42"/>
      <c r="JMP243" s="42"/>
      <c r="JMQ243" s="42"/>
      <c r="JMR243" s="42"/>
      <c r="JMS243" s="42"/>
      <c r="JMT243" s="42"/>
      <c r="JMU243" s="42"/>
      <c r="JMV243" s="42"/>
      <c r="JMW243" s="42"/>
      <c r="JMX243" s="42"/>
      <c r="JMY243" s="42"/>
      <c r="JMZ243" s="42"/>
      <c r="JNA243" s="42"/>
      <c r="JNB243" s="42"/>
      <c r="JNC243" s="42"/>
      <c r="JND243" s="42"/>
      <c r="JNE243" s="42"/>
      <c r="JNF243" s="42"/>
      <c r="JNG243" s="42"/>
      <c r="JNH243" s="42"/>
      <c r="JNI243" s="42"/>
      <c r="JNJ243" s="42"/>
      <c r="JNK243" s="42"/>
      <c r="JNL243" s="42"/>
      <c r="JNM243" s="42"/>
      <c r="JNN243" s="42"/>
      <c r="JNO243" s="42"/>
      <c r="JNP243" s="42"/>
      <c r="JNQ243" s="42"/>
      <c r="JNR243" s="42"/>
      <c r="JNS243" s="42"/>
      <c r="JNT243" s="42"/>
      <c r="JNU243" s="42"/>
      <c r="JNV243" s="42"/>
      <c r="JNW243" s="42"/>
      <c r="JNX243" s="42"/>
      <c r="JNY243" s="42"/>
      <c r="JNZ243" s="42"/>
      <c r="JOA243" s="42"/>
      <c r="JOB243" s="42"/>
      <c r="JOC243" s="42"/>
      <c r="JOD243" s="42"/>
      <c r="JOE243" s="42"/>
      <c r="JOF243" s="42"/>
      <c r="JOG243" s="42"/>
      <c r="JOH243" s="42"/>
      <c r="JOI243" s="42"/>
      <c r="JOJ243" s="42"/>
      <c r="JOK243" s="42"/>
      <c r="JOL243" s="42"/>
      <c r="JOM243" s="42"/>
      <c r="JON243" s="42"/>
      <c r="JOO243" s="42"/>
      <c r="JOP243" s="42"/>
      <c r="JOQ243" s="42"/>
      <c r="JOR243" s="42"/>
      <c r="JOS243" s="42"/>
      <c r="JOT243" s="42"/>
      <c r="JOU243" s="42"/>
      <c r="JOV243" s="42"/>
      <c r="JOW243" s="42"/>
      <c r="JOX243" s="42"/>
      <c r="JOY243" s="42"/>
      <c r="JOZ243" s="42"/>
      <c r="JPA243" s="42"/>
      <c r="JPB243" s="42"/>
      <c r="JPC243" s="42"/>
      <c r="JPD243" s="42"/>
      <c r="JPE243" s="42"/>
      <c r="JPF243" s="42"/>
      <c r="JPG243" s="42"/>
      <c r="JPH243" s="42"/>
      <c r="JPI243" s="42"/>
      <c r="JPJ243" s="42"/>
      <c r="JPK243" s="42"/>
      <c r="JPL243" s="42"/>
      <c r="JPM243" s="42"/>
      <c r="JPN243" s="42"/>
      <c r="JPO243" s="42"/>
      <c r="JPP243" s="42"/>
      <c r="JPQ243" s="42"/>
      <c r="JPR243" s="42"/>
      <c r="JPS243" s="42"/>
      <c r="JPT243" s="42"/>
      <c r="JPU243" s="42"/>
      <c r="JPV243" s="42"/>
      <c r="JPW243" s="42"/>
      <c r="JPX243" s="42"/>
      <c r="JPY243" s="42"/>
      <c r="JPZ243" s="42"/>
      <c r="JQA243" s="42"/>
      <c r="JQB243" s="42"/>
      <c r="JQC243" s="42"/>
      <c r="JQD243" s="42"/>
      <c r="JQE243" s="42"/>
      <c r="JQF243" s="42"/>
      <c r="JQG243" s="42"/>
      <c r="JQH243" s="42"/>
      <c r="JQI243" s="42"/>
      <c r="JQJ243" s="42"/>
      <c r="JQK243" s="42"/>
      <c r="JQL243" s="42"/>
      <c r="JQM243" s="42"/>
      <c r="JQN243" s="42"/>
      <c r="JQO243" s="42"/>
      <c r="JQP243" s="42"/>
      <c r="JQQ243" s="42"/>
      <c r="JQR243" s="42"/>
      <c r="JQS243" s="42"/>
      <c r="JQT243" s="42"/>
      <c r="JQU243" s="42"/>
      <c r="JQV243" s="42"/>
      <c r="JQW243" s="42"/>
      <c r="JQX243" s="42"/>
      <c r="JQY243" s="42"/>
      <c r="JQZ243" s="42"/>
      <c r="JRA243" s="42"/>
      <c r="JRB243" s="42"/>
      <c r="JRC243" s="42"/>
      <c r="JRD243" s="42"/>
      <c r="JRE243" s="42"/>
      <c r="JRF243" s="42"/>
      <c r="JRG243" s="42"/>
      <c r="JRH243" s="42"/>
      <c r="JRI243" s="42"/>
      <c r="JRJ243" s="42"/>
      <c r="JRK243" s="42"/>
      <c r="JRL243" s="42"/>
      <c r="JRM243" s="42"/>
      <c r="JRN243" s="42"/>
      <c r="JRO243" s="42"/>
      <c r="JRP243" s="42"/>
      <c r="JRQ243" s="42"/>
      <c r="JRR243" s="42"/>
      <c r="JRS243" s="42"/>
      <c r="JRT243" s="42"/>
      <c r="JRU243" s="42"/>
      <c r="JRV243" s="42"/>
      <c r="JRW243" s="42"/>
      <c r="JRX243" s="42"/>
      <c r="JRY243" s="42"/>
      <c r="JRZ243" s="42"/>
      <c r="JSA243" s="42"/>
      <c r="JSB243" s="42"/>
      <c r="JSC243" s="42"/>
      <c r="JSD243" s="42"/>
      <c r="JSE243" s="42"/>
      <c r="JSF243" s="42"/>
      <c r="JSG243" s="42"/>
      <c r="JSH243" s="42"/>
      <c r="JSI243" s="42"/>
      <c r="JSJ243" s="42"/>
      <c r="JSK243" s="42"/>
      <c r="JSL243" s="42"/>
      <c r="JSM243" s="42"/>
      <c r="JSN243" s="42"/>
      <c r="JSO243" s="42"/>
      <c r="JSP243" s="42"/>
      <c r="JSQ243" s="42"/>
      <c r="JSR243" s="42"/>
      <c r="JSS243" s="42"/>
      <c r="JST243" s="42"/>
      <c r="JSU243" s="42"/>
      <c r="JSV243" s="42"/>
      <c r="JSW243" s="42"/>
      <c r="JSX243" s="42"/>
      <c r="JSY243" s="42"/>
      <c r="JSZ243" s="42"/>
      <c r="JTA243" s="42"/>
      <c r="JTB243" s="42"/>
      <c r="JTC243" s="42"/>
      <c r="JTD243" s="42"/>
      <c r="JTE243" s="42"/>
      <c r="JTF243" s="42"/>
      <c r="JTG243" s="42"/>
      <c r="JTH243" s="42"/>
      <c r="JTI243" s="42"/>
      <c r="JTJ243" s="42"/>
      <c r="JTK243" s="42"/>
      <c r="JTL243" s="42"/>
      <c r="JTM243" s="42"/>
      <c r="JTN243" s="42"/>
      <c r="JTO243" s="42"/>
      <c r="JTP243" s="42"/>
      <c r="JTQ243" s="42"/>
      <c r="JTR243" s="42"/>
      <c r="JTS243" s="42"/>
      <c r="JTT243" s="42"/>
      <c r="JTU243" s="42"/>
      <c r="JTV243" s="42"/>
      <c r="JTW243" s="42"/>
      <c r="JTX243" s="42"/>
      <c r="JTY243" s="42"/>
      <c r="JTZ243" s="42"/>
      <c r="JUA243" s="42"/>
      <c r="JUB243" s="42"/>
      <c r="JUC243" s="42"/>
      <c r="JUD243" s="42"/>
      <c r="JUE243" s="42"/>
      <c r="JUF243" s="42"/>
      <c r="JUG243" s="42"/>
      <c r="JUH243" s="42"/>
      <c r="JUI243" s="42"/>
      <c r="JUJ243" s="42"/>
      <c r="JUK243" s="42"/>
      <c r="JUL243" s="42"/>
      <c r="JUM243" s="42"/>
      <c r="JUN243" s="42"/>
      <c r="JUO243" s="42"/>
      <c r="JUP243" s="42"/>
      <c r="JUQ243" s="42"/>
      <c r="JUR243" s="42"/>
      <c r="JUS243" s="42"/>
      <c r="JUT243" s="42"/>
      <c r="JUU243" s="42"/>
      <c r="JUV243" s="42"/>
      <c r="JUW243" s="42"/>
      <c r="JUX243" s="42"/>
      <c r="JUY243" s="42"/>
      <c r="JUZ243" s="42"/>
      <c r="JVA243" s="42"/>
      <c r="JVB243" s="42"/>
      <c r="JVC243" s="42"/>
      <c r="JVD243" s="42"/>
      <c r="JVE243" s="42"/>
      <c r="JVF243" s="42"/>
      <c r="JVG243" s="42"/>
      <c r="JVH243" s="42"/>
      <c r="JVI243" s="42"/>
      <c r="JVJ243" s="42"/>
      <c r="JVK243" s="42"/>
      <c r="JVL243" s="42"/>
      <c r="JVM243" s="42"/>
      <c r="JVN243" s="42"/>
      <c r="JVO243" s="42"/>
      <c r="JVP243" s="42"/>
      <c r="JVQ243" s="42"/>
      <c r="JVR243" s="42"/>
      <c r="JVS243" s="42"/>
      <c r="JVT243" s="42"/>
      <c r="JVU243" s="42"/>
      <c r="JVV243" s="42"/>
      <c r="JVW243" s="42"/>
      <c r="JVX243" s="42"/>
      <c r="JVY243" s="42"/>
      <c r="JVZ243" s="42"/>
      <c r="JWA243" s="42"/>
      <c r="JWB243" s="42"/>
      <c r="JWC243" s="42"/>
      <c r="JWD243" s="42"/>
      <c r="JWE243" s="42"/>
      <c r="JWF243" s="42"/>
      <c r="JWG243" s="42"/>
      <c r="JWH243" s="42"/>
      <c r="JWI243" s="42"/>
      <c r="JWJ243" s="42"/>
      <c r="JWK243" s="42"/>
      <c r="JWL243" s="42"/>
      <c r="JWM243" s="42"/>
      <c r="JWN243" s="42"/>
      <c r="JWO243" s="42"/>
      <c r="JWP243" s="42"/>
      <c r="JWQ243" s="42"/>
      <c r="JWR243" s="42"/>
      <c r="JWS243" s="42"/>
      <c r="JWT243" s="42"/>
      <c r="JWU243" s="42"/>
      <c r="JWV243" s="42"/>
      <c r="JWW243" s="42"/>
      <c r="JWX243" s="42"/>
      <c r="JWY243" s="42"/>
      <c r="JWZ243" s="42"/>
      <c r="JXA243" s="42"/>
      <c r="JXB243" s="42"/>
      <c r="JXC243" s="42"/>
      <c r="JXD243" s="42"/>
      <c r="JXE243" s="42"/>
      <c r="JXF243" s="42"/>
      <c r="JXG243" s="42"/>
      <c r="JXH243" s="42"/>
      <c r="JXI243" s="42"/>
      <c r="JXJ243" s="42"/>
      <c r="JXK243" s="42"/>
      <c r="JXL243" s="42"/>
      <c r="JXM243" s="42"/>
      <c r="JXN243" s="42"/>
      <c r="JXO243" s="42"/>
      <c r="JXP243" s="42"/>
      <c r="JXQ243" s="42"/>
      <c r="JXR243" s="42"/>
      <c r="JXS243" s="42"/>
      <c r="JXT243" s="42"/>
      <c r="JXU243" s="42"/>
      <c r="JXV243" s="42"/>
      <c r="JXW243" s="42"/>
      <c r="JXX243" s="42"/>
      <c r="JXY243" s="42"/>
      <c r="JXZ243" s="42"/>
      <c r="JYA243" s="42"/>
      <c r="JYB243" s="42"/>
      <c r="JYC243" s="42"/>
      <c r="JYD243" s="42"/>
      <c r="JYE243" s="42"/>
      <c r="JYF243" s="42"/>
      <c r="JYG243" s="42"/>
      <c r="JYH243" s="42"/>
      <c r="JYI243" s="42"/>
      <c r="JYJ243" s="42"/>
      <c r="JYK243" s="42"/>
      <c r="JYL243" s="42"/>
      <c r="JYM243" s="42"/>
      <c r="JYN243" s="42"/>
      <c r="JYO243" s="42"/>
      <c r="JYP243" s="42"/>
      <c r="JYQ243" s="42"/>
      <c r="JYR243" s="42"/>
      <c r="JYS243" s="42"/>
      <c r="JYT243" s="42"/>
      <c r="JYU243" s="42"/>
      <c r="JYV243" s="42"/>
      <c r="JYW243" s="42"/>
      <c r="JYX243" s="42"/>
      <c r="JYY243" s="42"/>
      <c r="JYZ243" s="42"/>
      <c r="JZA243" s="42"/>
      <c r="JZB243" s="42"/>
      <c r="JZC243" s="42"/>
      <c r="JZD243" s="42"/>
      <c r="JZE243" s="42"/>
      <c r="JZF243" s="42"/>
      <c r="JZG243" s="42"/>
      <c r="JZH243" s="42"/>
      <c r="JZI243" s="42"/>
      <c r="JZJ243" s="42"/>
      <c r="JZK243" s="42"/>
      <c r="JZL243" s="42"/>
      <c r="JZM243" s="42"/>
      <c r="JZN243" s="42"/>
      <c r="JZO243" s="42"/>
      <c r="JZP243" s="42"/>
      <c r="JZQ243" s="42"/>
      <c r="JZR243" s="42"/>
      <c r="JZS243" s="42"/>
      <c r="JZT243" s="42"/>
      <c r="JZU243" s="42"/>
      <c r="JZV243" s="42"/>
      <c r="JZW243" s="42"/>
      <c r="JZX243" s="42"/>
      <c r="JZY243" s="42"/>
      <c r="JZZ243" s="42"/>
      <c r="KAA243" s="42"/>
      <c r="KAB243" s="42"/>
      <c r="KAC243" s="42"/>
      <c r="KAD243" s="42"/>
      <c r="KAE243" s="42"/>
      <c r="KAF243" s="42"/>
      <c r="KAG243" s="42"/>
      <c r="KAH243" s="42"/>
      <c r="KAI243" s="42"/>
      <c r="KAJ243" s="42"/>
      <c r="KAK243" s="42"/>
      <c r="KAL243" s="42"/>
      <c r="KAM243" s="42"/>
      <c r="KAN243" s="42"/>
      <c r="KAO243" s="42"/>
      <c r="KAP243" s="42"/>
      <c r="KAQ243" s="42"/>
      <c r="KAR243" s="42"/>
      <c r="KAS243" s="42"/>
      <c r="KAT243" s="42"/>
      <c r="KAU243" s="42"/>
      <c r="KAV243" s="42"/>
      <c r="KAW243" s="42"/>
      <c r="KAX243" s="42"/>
      <c r="KAY243" s="42"/>
      <c r="KAZ243" s="42"/>
      <c r="KBA243" s="42"/>
      <c r="KBB243" s="42"/>
      <c r="KBC243" s="42"/>
      <c r="KBD243" s="42"/>
      <c r="KBE243" s="42"/>
      <c r="KBF243" s="42"/>
      <c r="KBG243" s="42"/>
      <c r="KBH243" s="42"/>
      <c r="KBI243" s="42"/>
      <c r="KBJ243" s="42"/>
      <c r="KBK243" s="42"/>
      <c r="KBL243" s="42"/>
      <c r="KBM243" s="42"/>
      <c r="KBN243" s="42"/>
      <c r="KBO243" s="42"/>
      <c r="KBP243" s="42"/>
      <c r="KBQ243" s="42"/>
      <c r="KBR243" s="42"/>
      <c r="KBS243" s="42"/>
      <c r="KBT243" s="42"/>
      <c r="KBU243" s="42"/>
      <c r="KBV243" s="42"/>
      <c r="KBW243" s="42"/>
      <c r="KBX243" s="42"/>
      <c r="KBY243" s="42"/>
      <c r="KBZ243" s="42"/>
      <c r="KCA243" s="42"/>
      <c r="KCB243" s="42"/>
      <c r="KCC243" s="42"/>
      <c r="KCD243" s="42"/>
      <c r="KCE243" s="42"/>
      <c r="KCF243" s="42"/>
      <c r="KCG243" s="42"/>
      <c r="KCH243" s="42"/>
      <c r="KCI243" s="42"/>
      <c r="KCJ243" s="42"/>
      <c r="KCK243" s="42"/>
      <c r="KCL243" s="42"/>
      <c r="KCM243" s="42"/>
      <c r="KCN243" s="42"/>
      <c r="KCO243" s="42"/>
      <c r="KCP243" s="42"/>
      <c r="KCQ243" s="42"/>
      <c r="KCR243" s="42"/>
      <c r="KCS243" s="42"/>
      <c r="KCT243" s="42"/>
      <c r="KCU243" s="42"/>
      <c r="KCV243" s="42"/>
      <c r="KCW243" s="42"/>
      <c r="KCX243" s="42"/>
      <c r="KCY243" s="42"/>
      <c r="KCZ243" s="42"/>
      <c r="KDA243" s="42"/>
      <c r="KDB243" s="42"/>
      <c r="KDC243" s="42"/>
      <c r="KDD243" s="42"/>
      <c r="KDE243" s="42"/>
      <c r="KDF243" s="42"/>
      <c r="KDG243" s="42"/>
      <c r="KDH243" s="42"/>
      <c r="KDI243" s="42"/>
      <c r="KDJ243" s="42"/>
      <c r="KDK243" s="42"/>
      <c r="KDL243" s="42"/>
      <c r="KDM243" s="42"/>
      <c r="KDN243" s="42"/>
      <c r="KDO243" s="42"/>
      <c r="KDP243" s="42"/>
      <c r="KDQ243" s="42"/>
      <c r="KDR243" s="42"/>
      <c r="KDS243" s="42"/>
      <c r="KDT243" s="42"/>
      <c r="KDU243" s="42"/>
      <c r="KDV243" s="42"/>
      <c r="KDW243" s="42"/>
      <c r="KDX243" s="42"/>
      <c r="KDY243" s="42"/>
      <c r="KDZ243" s="42"/>
      <c r="KEA243" s="42"/>
      <c r="KEB243" s="42"/>
      <c r="KEC243" s="42"/>
      <c r="KED243" s="42"/>
      <c r="KEE243" s="42"/>
      <c r="KEF243" s="42"/>
      <c r="KEG243" s="42"/>
      <c r="KEH243" s="42"/>
      <c r="KEI243" s="42"/>
      <c r="KEJ243" s="42"/>
      <c r="KEK243" s="42"/>
      <c r="KEL243" s="42"/>
      <c r="KEM243" s="42"/>
      <c r="KEN243" s="42"/>
      <c r="KEO243" s="42"/>
      <c r="KEP243" s="42"/>
      <c r="KEQ243" s="42"/>
      <c r="KER243" s="42"/>
      <c r="KES243" s="42"/>
      <c r="KET243" s="42"/>
      <c r="KEU243" s="42"/>
      <c r="KEV243" s="42"/>
      <c r="KEW243" s="42"/>
      <c r="KEX243" s="42"/>
      <c r="KEY243" s="42"/>
      <c r="KEZ243" s="42"/>
      <c r="KFA243" s="42"/>
      <c r="KFB243" s="42"/>
      <c r="KFC243" s="42"/>
      <c r="KFD243" s="42"/>
      <c r="KFE243" s="42"/>
      <c r="KFF243" s="42"/>
      <c r="KFG243" s="42"/>
      <c r="KFH243" s="42"/>
      <c r="KFI243" s="42"/>
      <c r="KFJ243" s="42"/>
      <c r="KFK243" s="42"/>
      <c r="KFL243" s="42"/>
      <c r="KFM243" s="42"/>
      <c r="KFN243" s="42"/>
      <c r="KFO243" s="42"/>
      <c r="KFP243" s="42"/>
      <c r="KFQ243" s="42"/>
      <c r="KFR243" s="42"/>
      <c r="KFS243" s="42"/>
      <c r="KFT243" s="42"/>
      <c r="KFU243" s="42"/>
      <c r="KFV243" s="42"/>
      <c r="KFW243" s="42"/>
      <c r="KFX243" s="42"/>
      <c r="KFY243" s="42"/>
      <c r="KFZ243" s="42"/>
      <c r="KGA243" s="42"/>
      <c r="KGB243" s="42"/>
      <c r="KGC243" s="42"/>
      <c r="KGD243" s="42"/>
      <c r="KGE243" s="42"/>
      <c r="KGF243" s="42"/>
      <c r="KGG243" s="42"/>
      <c r="KGH243" s="42"/>
      <c r="KGI243" s="42"/>
      <c r="KGJ243" s="42"/>
      <c r="KGK243" s="42"/>
      <c r="KGL243" s="42"/>
      <c r="KGM243" s="42"/>
      <c r="KGN243" s="42"/>
      <c r="KGO243" s="42"/>
      <c r="KGP243" s="42"/>
      <c r="KGQ243" s="42"/>
      <c r="KGR243" s="42"/>
      <c r="KGS243" s="42"/>
      <c r="KGT243" s="42"/>
      <c r="KGU243" s="42"/>
      <c r="KGV243" s="42"/>
      <c r="KGW243" s="42"/>
      <c r="KGX243" s="42"/>
      <c r="KGY243" s="42"/>
      <c r="KGZ243" s="42"/>
      <c r="KHA243" s="42"/>
      <c r="KHB243" s="42"/>
      <c r="KHC243" s="42"/>
      <c r="KHD243" s="42"/>
      <c r="KHE243" s="42"/>
      <c r="KHF243" s="42"/>
      <c r="KHG243" s="42"/>
      <c r="KHH243" s="42"/>
      <c r="KHI243" s="42"/>
      <c r="KHJ243" s="42"/>
      <c r="KHK243" s="42"/>
      <c r="KHL243" s="42"/>
      <c r="KHM243" s="42"/>
      <c r="KHN243" s="42"/>
      <c r="KHO243" s="42"/>
      <c r="KHP243" s="42"/>
      <c r="KHQ243" s="42"/>
      <c r="KHR243" s="42"/>
      <c r="KHS243" s="42"/>
      <c r="KHT243" s="42"/>
      <c r="KHU243" s="42"/>
      <c r="KHV243" s="42"/>
      <c r="KHW243" s="42"/>
      <c r="KHX243" s="42"/>
      <c r="KHY243" s="42"/>
      <c r="KHZ243" s="42"/>
      <c r="KIA243" s="42"/>
      <c r="KIB243" s="42"/>
      <c r="KIC243" s="42"/>
      <c r="KID243" s="42"/>
      <c r="KIE243" s="42"/>
      <c r="KIF243" s="42"/>
      <c r="KIG243" s="42"/>
      <c r="KIH243" s="42"/>
      <c r="KII243" s="42"/>
      <c r="KIJ243" s="42"/>
      <c r="KIK243" s="42"/>
      <c r="KIL243" s="42"/>
      <c r="KIM243" s="42"/>
      <c r="KIN243" s="42"/>
      <c r="KIO243" s="42"/>
      <c r="KIP243" s="42"/>
      <c r="KIQ243" s="42"/>
      <c r="KIR243" s="42"/>
      <c r="KIS243" s="42"/>
      <c r="KIT243" s="42"/>
      <c r="KIU243" s="42"/>
      <c r="KIV243" s="42"/>
      <c r="KIW243" s="42"/>
      <c r="KIX243" s="42"/>
      <c r="KIY243" s="42"/>
      <c r="KIZ243" s="42"/>
      <c r="KJA243" s="42"/>
      <c r="KJB243" s="42"/>
      <c r="KJC243" s="42"/>
      <c r="KJD243" s="42"/>
      <c r="KJE243" s="42"/>
      <c r="KJF243" s="42"/>
      <c r="KJG243" s="42"/>
      <c r="KJH243" s="42"/>
      <c r="KJI243" s="42"/>
      <c r="KJJ243" s="42"/>
      <c r="KJK243" s="42"/>
      <c r="KJL243" s="42"/>
      <c r="KJM243" s="42"/>
      <c r="KJN243" s="42"/>
      <c r="KJO243" s="42"/>
      <c r="KJP243" s="42"/>
      <c r="KJQ243" s="42"/>
      <c r="KJR243" s="42"/>
      <c r="KJS243" s="42"/>
      <c r="KJT243" s="42"/>
      <c r="KJU243" s="42"/>
      <c r="KJV243" s="42"/>
      <c r="KJW243" s="42"/>
      <c r="KJX243" s="42"/>
      <c r="KJY243" s="42"/>
      <c r="KJZ243" s="42"/>
      <c r="KKA243" s="42"/>
      <c r="KKB243" s="42"/>
      <c r="KKC243" s="42"/>
      <c r="KKD243" s="42"/>
      <c r="KKE243" s="42"/>
      <c r="KKF243" s="42"/>
      <c r="KKG243" s="42"/>
      <c r="KKH243" s="42"/>
      <c r="KKI243" s="42"/>
      <c r="KKJ243" s="42"/>
      <c r="KKK243" s="42"/>
      <c r="KKL243" s="42"/>
      <c r="KKM243" s="42"/>
      <c r="KKN243" s="42"/>
      <c r="KKO243" s="42"/>
      <c r="KKP243" s="42"/>
      <c r="KKQ243" s="42"/>
      <c r="KKR243" s="42"/>
      <c r="KKS243" s="42"/>
      <c r="KKT243" s="42"/>
      <c r="KKU243" s="42"/>
      <c r="KKV243" s="42"/>
      <c r="KKW243" s="42"/>
      <c r="KKX243" s="42"/>
      <c r="KKY243" s="42"/>
      <c r="KKZ243" s="42"/>
      <c r="KLA243" s="42"/>
      <c r="KLB243" s="42"/>
      <c r="KLC243" s="42"/>
      <c r="KLD243" s="42"/>
      <c r="KLE243" s="42"/>
      <c r="KLF243" s="42"/>
      <c r="KLG243" s="42"/>
      <c r="KLH243" s="42"/>
      <c r="KLI243" s="42"/>
      <c r="KLJ243" s="42"/>
      <c r="KLK243" s="42"/>
      <c r="KLL243" s="42"/>
      <c r="KLM243" s="42"/>
      <c r="KLN243" s="42"/>
      <c r="KLO243" s="42"/>
      <c r="KLP243" s="42"/>
      <c r="KLQ243" s="42"/>
      <c r="KLR243" s="42"/>
      <c r="KLS243" s="42"/>
      <c r="KLT243" s="42"/>
      <c r="KLU243" s="42"/>
      <c r="KLV243" s="42"/>
      <c r="KLW243" s="42"/>
      <c r="KLX243" s="42"/>
      <c r="KLY243" s="42"/>
      <c r="KLZ243" s="42"/>
      <c r="KMA243" s="42"/>
      <c r="KMB243" s="42"/>
      <c r="KMC243" s="42"/>
      <c r="KMD243" s="42"/>
      <c r="KME243" s="42"/>
      <c r="KMF243" s="42"/>
      <c r="KMG243" s="42"/>
      <c r="KMH243" s="42"/>
      <c r="KMI243" s="42"/>
      <c r="KMJ243" s="42"/>
      <c r="KMK243" s="42"/>
      <c r="KML243" s="42"/>
      <c r="KMM243" s="42"/>
      <c r="KMN243" s="42"/>
      <c r="KMO243" s="42"/>
      <c r="KMP243" s="42"/>
      <c r="KMQ243" s="42"/>
      <c r="KMR243" s="42"/>
      <c r="KMS243" s="42"/>
      <c r="KMT243" s="42"/>
      <c r="KMU243" s="42"/>
      <c r="KMV243" s="42"/>
      <c r="KMW243" s="42"/>
      <c r="KMX243" s="42"/>
      <c r="KMY243" s="42"/>
      <c r="KMZ243" s="42"/>
      <c r="KNA243" s="42"/>
      <c r="KNB243" s="42"/>
      <c r="KNC243" s="42"/>
      <c r="KND243" s="42"/>
      <c r="KNE243" s="42"/>
      <c r="KNF243" s="42"/>
      <c r="KNG243" s="42"/>
      <c r="KNH243" s="42"/>
      <c r="KNI243" s="42"/>
      <c r="KNJ243" s="42"/>
      <c r="KNK243" s="42"/>
      <c r="KNL243" s="42"/>
      <c r="KNM243" s="42"/>
      <c r="KNN243" s="42"/>
      <c r="KNO243" s="42"/>
      <c r="KNP243" s="42"/>
      <c r="KNQ243" s="42"/>
      <c r="KNR243" s="42"/>
      <c r="KNS243" s="42"/>
      <c r="KNT243" s="42"/>
      <c r="KNU243" s="42"/>
      <c r="KNV243" s="42"/>
      <c r="KNW243" s="42"/>
      <c r="KNX243" s="42"/>
      <c r="KNY243" s="42"/>
      <c r="KNZ243" s="42"/>
      <c r="KOA243" s="42"/>
      <c r="KOB243" s="42"/>
      <c r="KOC243" s="42"/>
      <c r="KOD243" s="42"/>
      <c r="KOE243" s="42"/>
      <c r="KOF243" s="42"/>
      <c r="KOG243" s="42"/>
      <c r="KOH243" s="42"/>
      <c r="KOI243" s="42"/>
      <c r="KOJ243" s="42"/>
      <c r="KOK243" s="42"/>
      <c r="KOL243" s="42"/>
      <c r="KOM243" s="42"/>
      <c r="KON243" s="42"/>
      <c r="KOO243" s="42"/>
      <c r="KOP243" s="42"/>
      <c r="KOQ243" s="42"/>
      <c r="KOR243" s="42"/>
      <c r="KOS243" s="42"/>
      <c r="KOT243" s="42"/>
      <c r="KOU243" s="42"/>
      <c r="KOV243" s="42"/>
      <c r="KOW243" s="42"/>
      <c r="KOX243" s="42"/>
      <c r="KOY243" s="42"/>
      <c r="KOZ243" s="42"/>
      <c r="KPA243" s="42"/>
      <c r="KPB243" s="42"/>
      <c r="KPC243" s="42"/>
      <c r="KPD243" s="42"/>
      <c r="KPE243" s="42"/>
      <c r="KPF243" s="42"/>
      <c r="KPG243" s="42"/>
      <c r="KPH243" s="42"/>
      <c r="KPI243" s="42"/>
      <c r="KPJ243" s="42"/>
      <c r="KPK243" s="42"/>
      <c r="KPL243" s="42"/>
      <c r="KPM243" s="42"/>
      <c r="KPN243" s="42"/>
      <c r="KPO243" s="42"/>
      <c r="KPP243" s="42"/>
      <c r="KPQ243" s="42"/>
      <c r="KPR243" s="42"/>
      <c r="KPS243" s="42"/>
      <c r="KPT243" s="42"/>
      <c r="KPU243" s="42"/>
      <c r="KPV243" s="42"/>
      <c r="KPW243" s="42"/>
      <c r="KPX243" s="42"/>
      <c r="KPY243" s="42"/>
      <c r="KPZ243" s="42"/>
      <c r="KQA243" s="42"/>
      <c r="KQB243" s="42"/>
      <c r="KQC243" s="42"/>
      <c r="KQD243" s="42"/>
      <c r="KQE243" s="42"/>
      <c r="KQF243" s="42"/>
      <c r="KQG243" s="42"/>
      <c r="KQH243" s="42"/>
      <c r="KQI243" s="42"/>
      <c r="KQJ243" s="42"/>
      <c r="KQK243" s="42"/>
      <c r="KQL243" s="42"/>
      <c r="KQM243" s="42"/>
      <c r="KQN243" s="42"/>
      <c r="KQO243" s="42"/>
      <c r="KQP243" s="42"/>
      <c r="KQQ243" s="42"/>
      <c r="KQR243" s="42"/>
      <c r="KQS243" s="42"/>
      <c r="KQT243" s="42"/>
      <c r="KQU243" s="42"/>
      <c r="KQV243" s="42"/>
      <c r="KQW243" s="42"/>
      <c r="KQX243" s="42"/>
      <c r="KQY243" s="42"/>
      <c r="KQZ243" s="42"/>
      <c r="KRA243" s="42"/>
      <c r="KRB243" s="42"/>
      <c r="KRC243" s="42"/>
      <c r="KRD243" s="42"/>
      <c r="KRE243" s="42"/>
      <c r="KRF243" s="42"/>
      <c r="KRG243" s="42"/>
      <c r="KRH243" s="42"/>
      <c r="KRI243" s="42"/>
      <c r="KRJ243" s="42"/>
      <c r="KRK243" s="42"/>
      <c r="KRL243" s="42"/>
      <c r="KRM243" s="42"/>
      <c r="KRN243" s="42"/>
      <c r="KRO243" s="42"/>
      <c r="KRP243" s="42"/>
      <c r="KRQ243" s="42"/>
      <c r="KRR243" s="42"/>
      <c r="KRS243" s="42"/>
      <c r="KRT243" s="42"/>
      <c r="KRU243" s="42"/>
      <c r="KRV243" s="42"/>
      <c r="KRW243" s="42"/>
      <c r="KRX243" s="42"/>
      <c r="KRY243" s="42"/>
      <c r="KRZ243" s="42"/>
      <c r="KSA243" s="42"/>
      <c r="KSB243" s="42"/>
      <c r="KSC243" s="42"/>
      <c r="KSD243" s="42"/>
      <c r="KSE243" s="42"/>
      <c r="KSF243" s="42"/>
      <c r="KSG243" s="42"/>
      <c r="KSH243" s="42"/>
      <c r="KSI243" s="42"/>
      <c r="KSJ243" s="42"/>
      <c r="KSK243" s="42"/>
      <c r="KSL243" s="42"/>
      <c r="KSM243" s="42"/>
      <c r="KSN243" s="42"/>
      <c r="KSO243" s="42"/>
      <c r="KSP243" s="42"/>
      <c r="KSQ243" s="42"/>
      <c r="KSR243" s="42"/>
      <c r="KSS243" s="42"/>
      <c r="KST243" s="42"/>
      <c r="KSU243" s="42"/>
      <c r="KSV243" s="42"/>
      <c r="KSW243" s="42"/>
      <c r="KSX243" s="42"/>
      <c r="KSY243" s="42"/>
      <c r="KSZ243" s="42"/>
      <c r="KTA243" s="42"/>
      <c r="KTB243" s="42"/>
      <c r="KTC243" s="42"/>
      <c r="KTD243" s="42"/>
      <c r="KTE243" s="42"/>
      <c r="KTF243" s="42"/>
      <c r="KTG243" s="42"/>
      <c r="KTH243" s="42"/>
      <c r="KTI243" s="42"/>
      <c r="KTJ243" s="42"/>
      <c r="KTK243" s="42"/>
      <c r="KTL243" s="42"/>
      <c r="KTM243" s="42"/>
      <c r="KTN243" s="42"/>
      <c r="KTO243" s="42"/>
      <c r="KTP243" s="42"/>
      <c r="KTQ243" s="42"/>
      <c r="KTR243" s="42"/>
      <c r="KTS243" s="42"/>
      <c r="KTT243" s="42"/>
      <c r="KTU243" s="42"/>
      <c r="KTV243" s="42"/>
      <c r="KTW243" s="42"/>
      <c r="KTX243" s="42"/>
      <c r="KTY243" s="42"/>
      <c r="KTZ243" s="42"/>
      <c r="KUA243" s="42"/>
      <c r="KUB243" s="42"/>
      <c r="KUC243" s="42"/>
      <c r="KUD243" s="42"/>
      <c r="KUE243" s="42"/>
      <c r="KUF243" s="42"/>
      <c r="KUG243" s="42"/>
      <c r="KUH243" s="42"/>
      <c r="KUI243" s="42"/>
      <c r="KUJ243" s="42"/>
      <c r="KUK243" s="42"/>
      <c r="KUL243" s="42"/>
      <c r="KUM243" s="42"/>
      <c r="KUN243" s="42"/>
      <c r="KUO243" s="42"/>
      <c r="KUP243" s="42"/>
      <c r="KUQ243" s="42"/>
      <c r="KUR243" s="42"/>
      <c r="KUS243" s="42"/>
      <c r="KUT243" s="42"/>
      <c r="KUU243" s="42"/>
      <c r="KUV243" s="42"/>
      <c r="KUW243" s="42"/>
      <c r="KUX243" s="42"/>
      <c r="KUY243" s="42"/>
      <c r="KUZ243" s="42"/>
      <c r="KVA243" s="42"/>
      <c r="KVB243" s="42"/>
      <c r="KVC243" s="42"/>
      <c r="KVD243" s="42"/>
      <c r="KVE243" s="42"/>
      <c r="KVF243" s="42"/>
      <c r="KVG243" s="42"/>
      <c r="KVH243" s="42"/>
      <c r="KVI243" s="42"/>
      <c r="KVJ243" s="42"/>
      <c r="KVK243" s="42"/>
      <c r="KVL243" s="42"/>
      <c r="KVM243" s="42"/>
      <c r="KVN243" s="42"/>
      <c r="KVO243" s="42"/>
      <c r="KVP243" s="42"/>
      <c r="KVQ243" s="42"/>
      <c r="KVR243" s="42"/>
      <c r="KVS243" s="42"/>
      <c r="KVT243" s="42"/>
      <c r="KVU243" s="42"/>
      <c r="KVV243" s="42"/>
      <c r="KVW243" s="42"/>
      <c r="KVX243" s="42"/>
      <c r="KVY243" s="42"/>
      <c r="KVZ243" s="42"/>
      <c r="KWA243" s="42"/>
      <c r="KWB243" s="42"/>
      <c r="KWC243" s="42"/>
      <c r="KWD243" s="42"/>
      <c r="KWE243" s="42"/>
      <c r="KWF243" s="42"/>
      <c r="KWG243" s="42"/>
      <c r="KWH243" s="42"/>
      <c r="KWI243" s="42"/>
      <c r="KWJ243" s="42"/>
      <c r="KWK243" s="42"/>
      <c r="KWL243" s="42"/>
      <c r="KWM243" s="42"/>
      <c r="KWN243" s="42"/>
      <c r="KWO243" s="42"/>
      <c r="KWP243" s="42"/>
      <c r="KWQ243" s="42"/>
      <c r="KWR243" s="42"/>
      <c r="KWS243" s="42"/>
      <c r="KWT243" s="42"/>
      <c r="KWU243" s="42"/>
      <c r="KWV243" s="42"/>
      <c r="KWW243" s="42"/>
      <c r="KWX243" s="42"/>
      <c r="KWY243" s="42"/>
      <c r="KWZ243" s="42"/>
      <c r="KXA243" s="42"/>
      <c r="KXB243" s="42"/>
      <c r="KXC243" s="42"/>
      <c r="KXD243" s="42"/>
      <c r="KXE243" s="42"/>
      <c r="KXF243" s="42"/>
      <c r="KXG243" s="42"/>
      <c r="KXH243" s="42"/>
      <c r="KXI243" s="42"/>
      <c r="KXJ243" s="42"/>
      <c r="KXK243" s="42"/>
      <c r="KXL243" s="42"/>
      <c r="KXM243" s="42"/>
      <c r="KXN243" s="42"/>
      <c r="KXO243" s="42"/>
      <c r="KXP243" s="42"/>
      <c r="KXQ243" s="42"/>
      <c r="KXR243" s="42"/>
      <c r="KXS243" s="42"/>
      <c r="KXT243" s="42"/>
      <c r="KXU243" s="42"/>
      <c r="KXV243" s="42"/>
      <c r="KXW243" s="42"/>
      <c r="KXX243" s="42"/>
      <c r="KXY243" s="42"/>
      <c r="KXZ243" s="42"/>
      <c r="KYA243" s="42"/>
      <c r="KYB243" s="42"/>
      <c r="KYC243" s="42"/>
      <c r="KYD243" s="42"/>
      <c r="KYE243" s="42"/>
      <c r="KYF243" s="42"/>
      <c r="KYG243" s="42"/>
      <c r="KYH243" s="42"/>
      <c r="KYI243" s="42"/>
      <c r="KYJ243" s="42"/>
      <c r="KYK243" s="42"/>
      <c r="KYL243" s="42"/>
      <c r="KYM243" s="42"/>
      <c r="KYN243" s="42"/>
      <c r="KYO243" s="42"/>
      <c r="KYP243" s="42"/>
      <c r="KYQ243" s="42"/>
      <c r="KYR243" s="42"/>
      <c r="KYS243" s="42"/>
      <c r="KYT243" s="42"/>
      <c r="KYU243" s="42"/>
      <c r="KYV243" s="42"/>
      <c r="KYW243" s="42"/>
      <c r="KYX243" s="42"/>
      <c r="KYY243" s="42"/>
      <c r="KYZ243" s="42"/>
      <c r="KZA243" s="42"/>
      <c r="KZB243" s="42"/>
      <c r="KZC243" s="42"/>
      <c r="KZD243" s="42"/>
      <c r="KZE243" s="42"/>
      <c r="KZF243" s="42"/>
      <c r="KZG243" s="42"/>
      <c r="KZH243" s="42"/>
      <c r="KZI243" s="42"/>
      <c r="KZJ243" s="42"/>
      <c r="KZK243" s="42"/>
      <c r="KZL243" s="42"/>
      <c r="KZM243" s="42"/>
      <c r="KZN243" s="42"/>
      <c r="KZO243" s="42"/>
      <c r="KZP243" s="42"/>
      <c r="KZQ243" s="42"/>
      <c r="KZR243" s="42"/>
      <c r="KZS243" s="42"/>
      <c r="KZT243" s="42"/>
      <c r="KZU243" s="42"/>
      <c r="KZV243" s="42"/>
      <c r="KZW243" s="42"/>
      <c r="KZX243" s="42"/>
      <c r="KZY243" s="42"/>
      <c r="KZZ243" s="42"/>
      <c r="LAA243" s="42"/>
      <c r="LAB243" s="42"/>
      <c r="LAC243" s="42"/>
      <c r="LAD243" s="42"/>
      <c r="LAE243" s="42"/>
      <c r="LAF243" s="42"/>
      <c r="LAG243" s="42"/>
      <c r="LAH243" s="42"/>
      <c r="LAI243" s="42"/>
      <c r="LAJ243" s="42"/>
      <c r="LAK243" s="42"/>
      <c r="LAL243" s="42"/>
      <c r="LAM243" s="42"/>
      <c r="LAN243" s="42"/>
      <c r="LAO243" s="42"/>
      <c r="LAP243" s="42"/>
      <c r="LAQ243" s="42"/>
      <c r="LAR243" s="42"/>
      <c r="LAS243" s="42"/>
      <c r="LAT243" s="42"/>
      <c r="LAU243" s="42"/>
      <c r="LAV243" s="42"/>
      <c r="LAW243" s="42"/>
      <c r="LAX243" s="42"/>
      <c r="LAY243" s="42"/>
      <c r="LAZ243" s="42"/>
      <c r="LBA243" s="42"/>
      <c r="LBB243" s="42"/>
      <c r="LBC243" s="42"/>
      <c r="LBD243" s="42"/>
      <c r="LBE243" s="42"/>
      <c r="LBF243" s="42"/>
      <c r="LBG243" s="42"/>
      <c r="LBH243" s="42"/>
      <c r="LBI243" s="42"/>
      <c r="LBJ243" s="42"/>
      <c r="LBK243" s="42"/>
      <c r="LBL243" s="42"/>
      <c r="LBM243" s="42"/>
      <c r="LBN243" s="42"/>
      <c r="LBO243" s="42"/>
      <c r="LBP243" s="42"/>
      <c r="LBQ243" s="42"/>
      <c r="LBR243" s="42"/>
      <c r="LBS243" s="42"/>
      <c r="LBT243" s="42"/>
      <c r="LBU243" s="42"/>
      <c r="LBV243" s="42"/>
      <c r="LBW243" s="42"/>
      <c r="LBX243" s="42"/>
      <c r="LBY243" s="42"/>
      <c r="LBZ243" s="42"/>
      <c r="LCA243" s="42"/>
      <c r="LCB243" s="42"/>
      <c r="LCC243" s="42"/>
      <c r="LCD243" s="42"/>
      <c r="LCE243" s="42"/>
      <c r="LCF243" s="42"/>
      <c r="LCG243" s="42"/>
      <c r="LCH243" s="42"/>
      <c r="LCI243" s="42"/>
      <c r="LCJ243" s="42"/>
      <c r="LCK243" s="42"/>
      <c r="LCL243" s="42"/>
      <c r="LCM243" s="42"/>
      <c r="LCN243" s="42"/>
      <c r="LCO243" s="42"/>
      <c r="LCP243" s="42"/>
      <c r="LCQ243" s="42"/>
      <c r="LCR243" s="42"/>
      <c r="LCS243" s="42"/>
      <c r="LCT243" s="42"/>
      <c r="LCU243" s="42"/>
      <c r="LCV243" s="42"/>
      <c r="LCW243" s="42"/>
      <c r="LCX243" s="42"/>
      <c r="LCY243" s="42"/>
      <c r="LCZ243" s="42"/>
      <c r="LDA243" s="42"/>
      <c r="LDB243" s="42"/>
      <c r="LDC243" s="42"/>
      <c r="LDD243" s="42"/>
      <c r="LDE243" s="42"/>
      <c r="LDF243" s="42"/>
      <c r="LDG243" s="42"/>
      <c r="LDH243" s="42"/>
      <c r="LDI243" s="42"/>
      <c r="LDJ243" s="42"/>
      <c r="LDK243" s="42"/>
      <c r="LDL243" s="42"/>
      <c r="LDM243" s="42"/>
      <c r="LDN243" s="42"/>
      <c r="LDO243" s="42"/>
      <c r="LDP243" s="42"/>
      <c r="LDQ243" s="42"/>
      <c r="LDR243" s="42"/>
      <c r="LDS243" s="42"/>
      <c r="LDT243" s="42"/>
      <c r="LDU243" s="42"/>
      <c r="LDV243" s="42"/>
      <c r="LDW243" s="42"/>
      <c r="LDX243" s="42"/>
      <c r="LDY243" s="42"/>
      <c r="LDZ243" s="42"/>
      <c r="LEA243" s="42"/>
      <c r="LEB243" s="42"/>
      <c r="LEC243" s="42"/>
      <c r="LED243" s="42"/>
      <c r="LEE243" s="42"/>
      <c r="LEF243" s="42"/>
      <c r="LEG243" s="42"/>
      <c r="LEH243" s="42"/>
      <c r="LEI243" s="42"/>
      <c r="LEJ243" s="42"/>
      <c r="LEK243" s="42"/>
      <c r="LEL243" s="42"/>
      <c r="LEM243" s="42"/>
      <c r="LEN243" s="42"/>
      <c r="LEO243" s="42"/>
      <c r="LEP243" s="42"/>
      <c r="LEQ243" s="42"/>
      <c r="LER243" s="42"/>
      <c r="LES243" s="42"/>
      <c r="LET243" s="42"/>
      <c r="LEU243" s="42"/>
      <c r="LEV243" s="42"/>
      <c r="LEW243" s="42"/>
      <c r="LEX243" s="42"/>
      <c r="LEY243" s="42"/>
      <c r="LEZ243" s="42"/>
      <c r="LFA243" s="42"/>
      <c r="LFB243" s="42"/>
      <c r="LFC243" s="42"/>
      <c r="LFD243" s="42"/>
      <c r="LFE243" s="42"/>
      <c r="LFF243" s="42"/>
      <c r="LFG243" s="42"/>
      <c r="LFH243" s="42"/>
      <c r="LFI243" s="42"/>
      <c r="LFJ243" s="42"/>
      <c r="LFK243" s="42"/>
      <c r="LFL243" s="42"/>
      <c r="LFM243" s="42"/>
      <c r="LFN243" s="42"/>
      <c r="LFO243" s="42"/>
      <c r="LFP243" s="42"/>
      <c r="LFQ243" s="42"/>
      <c r="LFR243" s="42"/>
      <c r="LFS243" s="42"/>
      <c r="LFT243" s="42"/>
      <c r="LFU243" s="42"/>
      <c r="LFV243" s="42"/>
      <c r="LFW243" s="42"/>
      <c r="LFX243" s="42"/>
      <c r="LFY243" s="42"/>
      <c r="LFZ243" s="42"/>
      <c r="LGA243" s="42"/>
      <c r="LGB243" s="42"/>
      <c r="LGC243" s="42"/>
      <c r="LGD243" s="42"/>
      <c r="LGE243" s="42"/>
      <c r="LGF243" s="42"/>
      <c r="LGG243" s="42"/>
      <c r="LGH243" s="42"/>
      <c r="LGI243" s="42"/>
      <c r="LGJ243" s="42"/>
      <c r="LGK243" s="42"/>
      <c r="LGL243" s="42"/>
      <c r="LGM243" s="42"/>
      <c r="LGN243" s="42"/>
      <c r="LGO243" s="42"/>
      <c r="LGP243" s="42"/>
      <c r="LGQ243" s="42"/>
      <c r="LGR243" s="42"/>
      <c r="LGS243" s="42"/>
      <c r="LGT243" s="42"/>
      <c r="LGU243" s="42"/>
      <c r="LGV243" s="42"/>
      <c r="LGW243" s="42"/>
      <c r="LGX243" s="42"/>
      <c r="LGY243" s="42"/>
      <c r="LGZ243" s="42"/>
      <c r="LHA243" s="42"/>
      <c r="LHB243" s="42"/>
      <c r="LHC243" s="42"/>
      <c r="LHD243" s="42"/>
      <c r="LHE243" s="42"/>
      <c r="LHF243" s="42"/>
      <c r="LHG243" s="42"/>
      <c r="LHH243" s="42"/>
      <c r="LHI243" s="42"/>
      <c r="LHJ243" s="42"/>
      <c r="LHK243" s="42"/>
      <c r="LHL243" s="42"/>
      <c r="LHM243" s="42"/>
      <c r="LHN243" s="42"/>
      <c r="LHO243" s="42"/>
      <c r="LHP243" s="42"/>
      <c r="LHQ243" s="42"/>
      <c r="LHR243" s="42"/>
      <c r="LHS243" s="42"/>
      <c r="LHT243" s="42"/>
      <c r="LHU243" s="42"/>
      <c r="LHV243" s="42"/>
      <c r="LHW243" s="42"/>
      <c r="LHX243" s="42"/>
      <c r="LHY243" s="42"/>
      <c r="LHZ243" s="42"/>
      <c r="LIA243" s="42"/>
      <c r="LIB243" s="42"/>
      <c r="LIC243" s="42"/>
      <c r="LID243" s="42"/>
      <c r="LIE243" s="42"/>
      <c r="LIF243" s="42"/>
      <c r="LIG243" s="42"/>
      <c r="LIH243" s="42"/>
      <c r="LII243" s="42"/>
      <c r="LIJ243" s="42"/>
      <c r="LIK243" s="42"/>
      <c r="LIL243" s="42"/>
      <c r="LIM243" s="42"/>
      <c r="LIN243" s="42"/>
      <c r="LIO243" s="42"/>
      <c r="LIP243" s="42"/>
      <c r="LIQ243" s="42"/>
      <c r="LIR243" s="42"/>
      <c r="LIS243" s="42"/>
      <c r="LIT243" s="42"/>
      <c r="LIU243" s="42"/>
      <c r="LIV243" s="42"/>
      <c r="LIW243" s="42"/>
      <c r="LIX243" s="42"/>
      <c r="LIY243" s="42"/>
      <c r="LIZ243" s="42"/>
      <c r="LJA243" s="42"/>
      <c r="LJB243" s="42"/>
      <c r="LJC243" s="42"/>
      <c r="LJD243" s="42"/>
      <c r="LJE243" s="42"/>
      <c r="LJF243" s="42"/>
      <c r="LJG243" s="42"/>
      <c r="LJH243" s="42"/>
      <c r="LJI243" s="42"/>
      <c r="LJJ243" s="42"/>
      <c r="LJK243" s="42"/>
      <c r="LJL243" s="42"/>
      <c r="LJM243" s="42"/>
      <c r="LJN243" s="42"/>
      <c r="LJO243" s="42"/>
      <c r="LJP243" s="42"/>
      <c r="LJQ243" s="42"/>
      <c r="LJR243" s="42"/>
      <c r="LJS243" s="42"/>
      <c r="LJT243" s="42"/>
      <c r="LJU243" s="42"/>
      <c r="LJV243" s="42"/>
      <c r="LJW243" s="42"/>
      <c r="LJX243" s="42"/>
      <c r="LJY243" s="42"/>
      <c r="LJZ243" s="42"/>
      <c r="LKA243" s="42"/>
      <c r="LKB243" s="42"/>
      <c r="LKC243" s="42"/>
      <c r="LKD243" s="42"/>
      <c r="LKE243" s="42"/>
      <c r="LKF243" s="42"/>
      <c r="LKG243" s="42"/>
      <c r="LKH243" s="42"/>
      <c r="LKI243" s="42"/>
      <c r="LKJ243" s="42"/>
      <c r="LKK243" s="42"/>
      <c r="LKL243" s="42"/>
      <c r="LKM243" s="42"/>
      <c r="LKN243" s="42"/>
      <c r="LKO243" s="42"/>
      <c r="LKP243" s="42"/>
      <c r="LKQ243" s="42"/>
      <c r="LKR243" s="42"/>
      <c r="LKS243" s="42"/>
      <c r="LKT243" s="42"/>
      <c r="LKU243" s="42"/>
      <c r="LKV243" s="42"/>
      <c r="LKW243" s="42"/>
      <c r="LKX243" s="42"/>
      <c r="LKY243" s="42"/>
      <c r="LKZ243" s="42"/>
      <c r="LLA243" s="42"/>
      <c r="LLB243" s="42"/>
      <c r="LLC243" s="42"/>
      <c r="LLD243" s="42"/>
      <c r="LLE243" s="42"/>
      <c r="LLF243" s="42"/>
      <c r="LLG243" s="42"/>
      <c r="LLH243" s="42"/>
      <c r="LLI243" s="42"/>
      <c r="LLJ243" s="42"/>
      <c r="LLK243" s="42"/>
      <c r="LLL243" s="42"/>
      <c r="LLM243" s="42"/>
      <c r="LLN243" s="42"/>
      <c r="LLO243" s="42"/>
      <c r="LLP243" s="42"/>
      <c r="LLQ243" s="42"/>
      <c r="LLR243" s="42"/>
      <c r="LLS243" s="42"/>
      <c r="LLT243" s="42"/>
      <c r="LLU243" s="42"/>
      <c r="LLV243" s="42"/>
      <c r="LLW243" s="42"/>
      <c r="LLX243" s="42"/>
      <c r="LLY243" s="42"/>
      <c r="LLZ243" s="42"/>
      <c r="LMA243" s="42"/>
      <c r="LMB243" s="42"/>
      <c r="LMC243" s="42"/>
      <c r="LMD243" s="42"/>
      <c r="LME243" s="42"/>
      <c r="LMF243" s="42"/>
      <c r="LMG243" s="42"/>
      <c r="LMH243" s="42"/>
      <c r="LMI243" s="42"/>
      <c r="LMJ243" s="42"/>
      <c r="LMK243" s="42"/>
      <c r="LML243" s="42"/>
      <c r="LMM243" s="42"/>
      <c r="LMN243" s="42"/>
      <c r="LMO243" s="42"/>
      <c r="LMP243" s="42"/>
      <c r="LMQ243" s="42"/>
      <c r="LMR243" s="42"/>
      <c r="LMS243" s="42"/>
      <c r="LMT243" s="42"/>
      <c r="LMU243" s="42"/>
      <c r="LMV243" s="42"/>
      <c r="LMW243" s="42"/>
      <c r="LMX243" s="42"/>
      <c r="LMY243" s="42"/>
      <c r="LMZ243" s="42"/>
      <c r="LNA243" s="42"/>
      <c r="LNB243" s="42"/>
      <c r="LNC243" s="42"/>
      <c r="LND243" s="42"/>
      <c r="LNE243" s="42"/>
      <c r="LNF243" s="42"/>
      <c r="LNG243" s="42"/>
      <c r="LNH243" s="42"/>
      <c r="LNI243" s="42"/>
      <c r="LNJ243" s="42"/>
      <c r="LNK243" s="42"/>
      <c r="LNL243" s="42"/>
      <c r="LNM243" s="42"/>
      <c r="LNN243" s="42"/>
      <c r="LNO243" s="42"/>
      <c r="LNP243" s="42"/>
      <c r="LNQ243" s="42"/>
      <c r="LNR243" s="42"/>
      <c r="LNS243" s="42"/>
      <c r="LNT243" s="42"/>
      <c r="LNU243" s="42"/>
      <c r="LNV243" s="42"/>
      <c r="LNW243" s="42"/>
      <c r="LNX243" s="42"/>
      <c r="LNY243" s="42"/>
      <c r="LNZ243" s="42"/>
      <c r="LOA243" s="42"/>
      <c r="LOB243" s="42"/>
      <c r="LOC243" s="42"/>
      <c r="LOD243" s="42"/>
      <c r="LOE243" s="42"/>
      <c r="LOF243" s="42"/>
      <c r="LOG243" s="42"/>
      <c r="LOH243" s="42"/>
      <c r="LOI243" s="42"/>
      <c r="LOJ243" s="42"/>
      <c r="LOK243" s="42"/>
      <c r="LOL243" s="42"/>
      <c r="LOM243" s="42"/>
      <c r="LON243" s="42"/>
      <c r="LOO243" s="42"/>
      <c r="LOP243" s="42"/>
      <c r="LOQ243" s="42"/>
      <c r="LOR243" s="42"/>
      <c r="LOS243" s="42"/>
      <c r="LOT243" s="42"/>
      <c r="LOU243" s="42"/>
      <c r="LOV243" s="42"/>
      <c r="LOW243" s="42"/>
      <c r="LOX243" s="42"/>
      <c r="LOY243" s="42"/>
      <c r="LOZ243" s="42"/>
      <c r="LPA243" s="42"/>
      <c r="LPB243" s="42"/>
      <c r="LPC243" s="42"/>
      <c r="LPD243" s="42"/>
      <c r="LPE243" s="42"/>
      <c r="LPF243" s="42"/>
      <c r="LPG243" s="42"/>
      <c r="LPH243" s="42"/>
      <c r="LPI243" s="42"/>
      <c r="LPJ243" s="42"/>
      <c r="LPK243" s="42"/>
      <c r="LPL243" s="42"/>
      <c r="LPM243" s="42"/>
      <c r="LPN243" s="42"/>
      <c r="LPO243" s="42"/>
      <c r="LPP243" s="42"/>
      <c r="LPQ243" s="42"/>
      <c r="LPR243" s="42"/>
      <c r="LPS243" s="42"/>
      <c r="LPT243" s="42"/>
      <c r="LPU243" s="42"/>
      <c r="LPV243" s="42"/>
      <c r="LPW243" s="42"/>
      <c r="LPX243" s="42"/>
      <c r="LPY243" s="42"/>
      <c r="LPZ243" s="42"/>
      <c r="LQA243" s="42"/>
      <c r="LQB243" s="42"/>
      <c r="LQC243" s="42"/>
      <c r="LQD243" s="42"/>
      <c r="LQE243" s="42"/>
      <c r="LQF243" s="42"/>
      <c r="LQG243" s="42"/>
      <c r="LQH243" s="42"/>
      <c r="LQI243" s="42"/>
      <c r="LQJ243" s="42"/>
      <c r="LQK243" s="42"/>
      <c r="LQL243" s="42"/>
      <c r="LQM243" s="42"/>
      <c r="LQN243" s="42"/>
      <c r="LQO243" s="42"/>
      <c r="LQP243" s="42"/>
      <c r="LQQ243" s="42"/>
      <c r="LQR243" s="42"/>
      <c r="LQS243" s="42"/>
      <c r="LQT243" s="42"/>
      <c r="LQU243" s="42"/>
      <c r="LQV243" s="42"/>
      <c r="LQW243" s="42"/>
      <c r="LQX243" s="42"/>
      <c r="LQY243" s="42"/>
      <c r="LQZ243" s="42"/>
      <c r="LRA243" s="42"/>
      <c r="LRB243" s="42"/>
      <c r="LRC243" s="42"/>
      <c r="LRD243" s="42"/>
      <c r="LRE243" s="42"/>
      <c r="LRF243" s="42"/>
      <c r="LRG243" s="42"/>
      <c r="LRH243" s="42"/>
      <c r="LRI243" s="42"/>
      <c r="LRJ243" s="42"/>
      <c r="LRK243" s="42"/>
      <c r="LRL243" s="42"/>
      <c r="LRM243" s="42"/>
      <c r="LRN243" s="42"/>
      <c r="LRO243" s="42"/>
      <c r="LRP243" s="42"/>
      <c r="LRQ243" s="42"/>
      <c r="LRR243" s="42"/>
      <c r="LRS243" s="42"/>
      <c r="LRT243" s="42"/>
      <c r="LRU243" s="42"/>
      <c r="LRV243" s="42"/>
      <c r="LRW243" s="42"/>
      <c r="LRX243" s="42"/>
      <c r="LRY243" s="42"/>
      <c r="LRZ243" s="42"/>
      <c r="LSA243" s="42"/>
      <c r="LSB243" s="42"/>
      <c r="LSC243" s="42"/>
      <c r="LSD243" s="42"/>
      <c r="LSE243" s="42"/>
      <c r="LSF243" s="42"/>
      <c r="LSG243" s="42"/>
      <c r="LSH243" s="42"/>
      <c r="LSI243" s="42"/>
      <c r="LSJ243" s="42"/>
      <c r="LSK243" s="42"/>
      <c r="LSL243" s="42"/>
      <c r="LSM243" s="42"/>
      <c r="LSN243" s="42"/>
      <c r="LSO243" s="42"/>
      <c r="LSP243" s="42"/>
      <c r="LSQ243" s="42"/>
      <c r="LSR243" s="42"/>
      <c r="LSS243" s="42"/>
      <c r="LST243" s="42"/>
      <c r="LSU243" s="42"/>
      <c r="LSV243" s="42"/>
      <c r="LSW243" s="42"/>
      <c r="LSX243" s="42"/>
      <c r="LSY243" s="42"/>
      <c r="LSZ243" s="42"/>
      <c r="LTA243" s="42"/>
      <c r="LTB243" s="42"/>
      <c r="LTC243" s="42"/>
      <c r="LTD243" s="42"/>
      <c r="LTE243" s="42"/>
      <c r="LTF243" s="42"/>
      <c r="LTG243" s="42"/>
      <c r="LTH243" s="42"/>
      <c r="LTI243" s="42"/>
      <c r="LTJ243" s="42"/>
      <c r="LTK243" s="42"/>
      <c r="LTL243" s="42"/>
      <c r="LTM243" s="42"/>
      <c r="LTN243" s="42"/>
      <c r="LTO243" s="42"/>
      <c r="LTP243" s="42"/>
      <c r="LTQ243" s="42"/>
      <c r="LTR243" s="42"/>
      <c r="LTS243" s="42"/>
      <c r="LTT243" s="42"/>
      <c r="LTU243" s="42"/>
      <c r="LTV243" s="42"/>
      <c r="LTW243" s="42"/>
      <c r="LTX243" s="42"/>
      <c r="LTY243" s="42"/>
      <c r="LTZ243" s="42"/>
      <c r="LUA243" s="42"/>
      <c r="LUB243" s="42"/>
      <c r="LUC243" s="42"/>
      <c r="LUD243" s="42"/>
      <c r="LUE243" s="42"/>
      <c r="LUF243" s="42"/>
      <c r="LUG243" s="42"/>
      <c r="LUH243" s="42"/>
      <c r="LUI243" s="42"/>
      <c r="LUJ243" s="42"/>
      <c r="LUK243" s="42"/>
      <c r="LUL243" s="42"/>
      <c r="LUM243" s="42"/>
      <c r="LUN243" s="42"/>
      <c r="LUO243" s="42"/>
      <c r="LUP243" s="42"/>
      <c r="LUQ243" s="42"/>
      <c r="LUR243" s="42"/>
      <c r="LUS243" s="42"/>
      <c r="LUT243" s="42"/>
      <c r="LUU243" s="42"/>
      <c r="LUV243" s="42"/>
      <c r="LUW243" s="42"/>
      <c r="LUX243" s="42"/>
      <c r="LUY243" s="42"/>
      <c r="LUZ243" s="42"/>
      <c r="LVA243" s="42"/>
      <c r="LVB243" s="42"/>
      <c r="LVC243" s="42"/>
      <c r="LVD243" s="42"/>
      <c r="LVE243" s="42"/>
      <c r="LVF243" s="42"/>
      <c r="LVG243" s="42"/>
      <c r="LVH243" s="42"/>
      <c r="LVI243" s="42"/>
      <c r="LVJ243" s="42"/>
      <c r="LVK243" s="42"/>
      <c r="LVL243" s="42"/>
      <c r="LVM243" s="42"/>
      <c r="LVN243" s="42"/>
      <c r="LVO243" s="42"/>
      <c r="LVP243" s="42"/>
      <c r="LVQ243" s="42"/>
      <c r="LVR243" s="42"/>
      <c r="LVS243" s="42"/>
      <c r="LVT243" s="42"/>
      <c r="LVU243" s="42"/>
      <c r="LVV243" s="42"/>
      <c r="LVW243" s="42"/>
      <c r="LVX243" s="42"/>
      <c r="LVY243" s="42"/>
      <c r="LVZ243" s="42"/>
      <c r="LWA243" s="42"/>
      <c r="LWB243" s="42"/>
      <c r="LWC243" s="42"/>
      <c r="LWD243" s="42"/>
      <c r="LWE243" s="42"/>
      <c r="LWF243" s="42"/>
      <c r="LWG243" s="42"/>
      <c r="LWH243" s="42"/>
      <c r="LWI243" s="42"/>
      <c r="LWJ243" s="42"/>
      <c r="LWK243" s="42"/>
      <c r="LWL243" s="42"/>
      <c r="LWM243" s="42"/>
      <c r="LWN243" s="42"/>
      <c r="LWO243" s="42"/>
      <c r="LWP243" s="42"/>
      <c r="LWQ243" s="42"/>
      <c r="LWR243" s="42"/>
      <c r="LWS243" s="42"/>
      <c r="LWT243" s="42"/>
      <c r="LWU243" s="42"/>
      <c r="LWV243" s="42"/>
      <c r="LWW243" s="42"/>
      <c r="LWX243" s="42"/>
      <c r="LWY243" s="42"/>
      <c r="LWZ243" s="42"/>
      <c r="LXA243" s="42"/>
      <c r="LXB243" s="42"/>
      <c r="LXC243" s="42"/>
      <c r="LXD243" s="42"/>
      <c r="LXE243" s="42"/>
      <c r="LXF243" s="42"/>
      <c r="LXG243" s="42"/>
      <c r="LXH243" s="42"/>
      <c r="LXI243" s="42"/>
      <c r="LXJ243" s="42"/>
      <c r="LXK243" s="42"/>
      <c r="LXL243" s="42"/>
      <c r="LXM243" s="42"/>
      <c r="LXN243" s="42"/>
      <c r="LXO243" s="42"/>
      <c r="LXP243" s="42"/>
      <c r="LXQ243" s="42"/>
      <c r="LXR243" s="42"/>
      <c r="LXS243" s="42"/>
      <c r="LXT243" s="42"/>
      <c r="LXU243" s="42"/>
      <c r="LXV243" s="42"/>
      <c r="LXW243" s="42"/>
      <c r="LXX243" s="42"/>
      <c r="LXY243" s="42"/>
      <c r="LXZ243" s="42"/>
      <c r="LYA243" s="42"/>
      <c r="LYB243" s="42"/>
      <c r="LYC243" s="42"/>
      <c r="LYD243" s="42"/>
      <c r="LYE243" s="42"/>
      <c r="LYF243" s="42"/>
      <c r="LYG243" s="42"/>
      <c r="LYH243" s="42"/>
      <c r="LYI243" s="42"/>
      <c r="LYJ243" s="42"/>
      <c r="LYK243" s="42"/>
      <c r="LYL243" s="42"/>
      <c r="LYM243" s="42"/>
      <c r="LYN243" s="42"/>
      <c r="LYO243" s="42"/>
      <c r="LYP243" s="42"/>
      <c r="LYQ243" s="42"/>
      <c r="LYR243" s="42"/>
      <c r="LYS243" s="42"/>
      <c r="LYT243" s="42"/>
      <c r="LYU243" s="42"/>
      <c r="LYV243" s="42"/>
      <c r="LYW243" s="42"/>
      <c r="LYX243" s="42"/>
      <c r="LYY243" s="42"/>
      <c r="LYZ243" s="42"/>
      <c r="LZA243" s="42"/>
      <c r="LZB243" s="42"/>
      <c r="LZC243" s="42"/>
      <c r="LZD243" s="42"/>
      <c r="LZE243" s="42"/>
      <c r="LZF243" s="42"/>
      <c r="LZG243" s="42"/>
      <c r="LZH243" s="42"/>
      <c r="LZI243" s="42"/>
      <c r="LZJ243" s="42"/>
      <c r="LZK243" s="42"/>
      <c r="LZL243" s="42"/>
      <c r="LZM243" s="42"/>
      <c r="LZN243" s="42"/>
      <c r="LZO243" s="42"/>
      <c r="LZP243" s="42"/>
      <c r="LZQ243" s="42"/>
      <c r="LZR243" s="42"/>
      <c r="LZS243" s="42"/>
      <c r="LZT243" s="42"/>
      <c r="LZU243" s="42"/>
      <c r="LZV243" s="42"/>
      <c r="LZW243" s="42"/>
      <c r="LZX243" s="42"/>
      <c r="LZY243" s="42"/>
      <c r="LZZ243" s="42"/>
      <c r="MAA243" s="42"/>
      <c r="MAB243" s="42"/>
      <c r="MAC243" s="42"/>
      <c r="MAD243" s="42"/>
      <c r="MAE243" s="42"/>
      <c r="MAF243" s="42"/>
      <c r="MAG243" s="42"/>
      <c r="MAH243" s="42"/>
      <c r="MAI243" s="42"/>
      <c r="MAJ243" s="42"/>
      <c r="MAK243" s="42"/>
      <c r="MAL243" s="42"/>
      <c r="MAM243" s="42"/>
      <c r="MAN243" s="42"/>
      <c r="MAO243" s="42"/>
      <c r="MAP243" s="42"/>
      <c r="MAQ243" s="42"/>
      <c r="MAR243" s="42"/>
      <c r="MAS243" s="42"/>
      <c r="MAT243" s="42"/>
      <c r="MAU243" s="42"/>
      <c r="MAV243" s="42"/>
      <c r="MAW243" s="42"/>
      <c r="MAX243" s="42"/>
      <c r="MAY243" s="42"/>
      <c r="MAZ243" s="42"/>
      <c r="MBA243" s="42"/>
      <c r="MBB243" s="42"/>
      <c r="MBC243" s="42"/>
      <c r="MBD243" s="42"/>
      <c r="MBE243" s="42"/>
      <c r="MBF243" s="42"/>
      <c r="MBG243" s="42"/>
      <c r="MBH243" s="42"/>
      <c r="MBI243" s="42"/>
      <c r="MBJ243" s="42"/>
      <c r="MBK243" s="42"/>
      <c r="MBL243" s="42"/>
      <c r="MBM243" s="42"/>
      <c r="MBN243" s="42"/>
      <c r="MBO243" s="42"/>
      <c r="MBP243" s="42"/>
      <c r="MBQ243" s="42"/>
      <c r="MBR243" s="42"/>
      <c r="MBS243" s="42"/>
      <c r="MBT243" s="42"/>
      <c r="MBU243" s="42"/>
      <c r="MBV243" s="42"/>
      <c r="MBW243" s="42"/>
      <c r="MBX243" s="42"/>
      <c r="MBY243" s="42"/>
      <c r="MBZ243" s="42"/>
      <c r="MCA243" s="42"/>
      <c r="MCB243" s="42"/>
      <c r="MCC243" s="42"/>
      <c r="MCD243" s="42"/>
      <c r="MCE243" s="42"/>
      <c r="MCF243" s="42"/>
      <c r="MCG243" s="42"/>
      <c r="MCH243" s="42"/>
      <c r="MCI243" s="42"/>
      <c r="MCJ243" s="42"/>
      <c r="MCK243" s="42"/>
      <c r="MCL243" s="42"/>
      <c r="MCM243" s="42"/>
      <c r="MCN243" s="42"/>
      <c r="MCO243" s="42"/>
      <c r="MCP243" s="42"/>
      <c r="MCQ243" s="42"/>
      <c r="MCR243" s="42"/>
      <c r="MCS243" s="42"/>
      <c r="MCT243" s="42"/>
      <c r="MCU243" s="42"/>
      <c r="MCV243" s="42"/>
      <c r="MCW243" s="42"/>
      <c r="MCX243" s="42"/>
      <c r="MCY243" s="42"/>
      <c r="MCZ243" s="42"/>
      <c r="MDA243" s="42"/>
      <c r="MDB243" s="42"/>
      <c r="MDC243" s="42"/>
      <c r="MDD243" s="42"/>
      <c r="MDE243" s="42"/>
      <c r="MDF243" s="42"/>
      <c r="MDG243" s="42"/>
      <c r="MDH243" s="42"/>
      <c r="MDI243" s="42"/>
      <c r="MDJ243" s="42"/>
      <c r="MDK243" s="42"/>
      <c r="MDL243" s="42"/>
      <c r="MDM243" s="42"/>
      <c r="MDN243" s="42"/>
      <c r="MDO243" s="42"/>
      <c r="MDP243" s="42"/>
      <c r="MDQ243" s="42"/>
      <c r="MDR243" s="42"/>
      <c r="MDS243" s="42"/>
      <c r="MDT243" s="42"/>
      <c r="MDU243" s="42"/>
      <c r="MDV243" s="42"/>
      <c r="MDW243" s="42"/>
      <c r="MDX243" s="42"/>
      <c r="MDY243" s="42"/>
      <c r="MDZ243" s="42"/>
      <c r="MEA243" s="42"/>
      <c r="MEB243" s="42"/>
      <c r="MEC243" s="42"/>
      <c r="MED243" s="42"/>
      <c r="MEE243" s="42"/>
      <c r="MEF243" s="42"/>
      <c r="MEG243" s="42"/>
      <c r="MEH243" s="42"/>
      <c r="MEI243" s="42"/>
      <c r="MEJ243" s="42"/>
      <c r="MEK243" s="42"/>
      <c r="MEL243" s="42"/>
      <c r="MEM243" s="42"/>
      <c r="MEN243" s="42"/>
      <c r="MEO243" s="42"/>
      <c r="MEP243" s="42"/>
      <c r="MEQ243" s="42"/>
      <c r="MER243" s="42"/>
      <c r="MES243" s="42"/>
      <c r="MET243" s="42"/>
      <c r="MEU243" s="42"/>
      <c r="MEV243" s="42"/>
      <c r="MEW243" s="42"/>
      <c r="MEX243" s="42"/>
      <c r="MEY243" s="42"/>
      <c r="MEZ243" s="42"/>
      <c r="MFA243" s="42"/>
      <c r="MFB243" s="42"/>
      <c r="MFC243" s="42"/>
      <c r="MFD243" s="42"/>
      <c r="MFE243" s="42"/>
      <c r="MFF243" s="42"/>
      <c r="MFG243" s="42"/>
      <c r="MFH243" s="42"/>
      <c r="MFI243" s="42"/>
      <c r="MFJ243" s="42"/>
      <c r="MFK243" s="42"/>
      <c r="MFL243" s="42"/>
      <c r="MFM243" s="42"/>
      <c r="MFN243" s="42"/>
      <c r="MFO243" s="42"/>
      <c r="MFP243" s="42"/>
      <c r="MFQ243" s="42"/>
      <c r="MFR243" s="42"/>
      <c r="MFS243" s="42"/>
      <c r="MFT243" s="42"/>
      <c r="MFU243" s="42"/>
      <c r="MFV243" s="42"/>
      <c r="MFW243" s="42"/>
      <c r="MFX243" s="42"/>
      <c r="MFY243" s="42"/>
      <c r="MFZ243" s="42"/>
      <c r="MGA243" s="42"/>
      <c r="MGB243" s="42"/>
      <c r="MGC243" s="42"/>
      <c r="MGD243" s="42"/>
      <c r="MGE243" s="42"/>
      <c r="MGF243" s="42"/>
      <c r="MGG243" s="42"/>
      <c r="MGH243" s="42"/>
      <c r="MGI243" s="42"/>
      <c r="MGJ243" s="42"/>
      <c r="MGK243" s="42"/>
      <c r="MGL243" s="42"/>
      <c r="MGM243" s="42"/>
      <c r="MGN243" s="42"/>
      <c r="MGO243" s="42"/>
      <c r="MGP243" s="42"/>
      <c r="MGQ243" s="42"/>
      <c r="MGR243" s="42"/>
      <c r="MGS243" s="42"/>
      <c r="MGT243" s="42"/>
      <c r="MGU243" s="42"/>
      <c r="MGV243" s="42"/>
      <c r="MGW243" s="42"/>
      <c r="MGX243" s="42"/>
      <c r="MGY243" s="42"/>
      <c r="MGZ243" s="42"/>
      <c r="MHA243" s="42"/>
      <c r="MHB243" s="42"/>
      <c r="MHC243" s="42"/>
      <c r="MHD243" s="42"/>
      <c r="MHE243" s="42"/>
      <c r="MHF243" s="42"/>
      <c r="MHG243" s="42"/>
      <c r="MHH243" s="42"/>
      <c r="MHI243" s="42"/>
      <c r="MHJ243" s="42"/>
      <c r="MHK243" s="42"/>
      <c r="MHL243" s="42"/>
      <c r="MHM243" s="42"/>
      <c r="MHN243" s="42"/>
      <c r="MHO243" s="42"/>
      <c r="MHP243" s="42"/>
      <c r="MHQ243" s="42"/>
      <c r="MHR243" s="42"/>
      <c r="MHS243" s="42"/>
      <c r="MHT243" s="42"/>
      <c r="MHU243" s="42"/>
      <c r="MHV243" s="42"/>
      <c r="MHW243" s="42"/>
      <c r="MHX243" s="42"/>
      <c r="MHY243" s="42"/>
      <c r="MHZ243" s="42"/>
      <c r="MIA243" s="42"/>
      <c r="MIB243" s="42"/>
      <c r="MIC243" s="42"/>
      <c r="MID243" s="42"/>
      <c r="MIE243" s="42"/>
      <c r="MIF243" s="42"/>
      <c r="MIG243" s="42"/>
      <c r="MIH243" s="42"/>
      <c r="MII243" s="42"/>
      <c r="MIJ243" s="42"/>
      <c r="MIK243" s="42"/>
      <c r="MIL243" s="42"/>
      <c r="MIM243" s="42"/>
      <c r="MIN243" s="42"/>
      <c r="MIO243" s="42"/>
      <c r="MIP243" s="42"/>
      <c r="MIQ243" s="42"/>
      <c r="MIR243" s="42"/>
      <c r="MIS243" s="42"/>
      <c r="MIT243" s="42"/>
      <c r="MIU243" s="42"/>
      <c r="MIV243" s="42"/>
      <c r="MIW243" s="42"/>
      <c r="MIX243" s="42"/>
      <c r="MIY243" s="42"/>
      <c r="MIZ243" s="42"/>
      <c r="MJA243" s="42"/>
      <c r="MJB243" s="42"/>
      <c r="MJC243" s="42"/>
      <c r="MJD243" s="42"/>
      <c r="MJE243" s="42"/>
      <c r="MJF243" s="42"/>
      <c r="MJG243" s="42"/>
      <c r="MJH243" s="42"/>
      <c r="MJI243" s="42"/>
      <c r="MJJ243" s="42"/>
      <c r="MJK243" s="42"/>
      <c r="MJL243" s="42"/>
      <c r="MJM243" s="42"/>
      <c r="MJN243" s="42"/>
      <c r="MJO243" s="42"/>
      <c r="MJP243" s="42"/>
      <c r="MJQ243" s="42"/>
      <c r="MJR243" s="42"/>
      <c r="MJS243" s="42"/>
      <c r="MJT243" s="42"/>
      <c r="MJU243" s="42"/>
      <c r="MJV243" s="42"/>
      <c r="MJW243" s="42"/>
      <c r="MJX243" s="42"/>
      <c r="MJY243" s="42"/>
      <c r="MJZ243" s="42"/>
      <c r="MKA243" s="42"/>
      <c r="MKB243" s="42"/>
      <c r="MKC243" s="42"/>
      <c r="MKD243" s="42"/>
      <c r="MKE243" s="42"/>
      <c r="MKF243" s="42"/>
      <c r="MKG243" s="42"/>
      <c r="MKH243" s="42"/>
      <c r="MKI243" s="42"/>
      <c r="MKJ243" s="42"/>
      <c r="MKK243" s="42"/>
      <c r="MKL243" s="42"/>
      <c r="MKM243" s="42"/>
      <c r="MKN243" s="42"/>
      <c r="MKO243" s="42"/>
      <c r="MKP243" s="42"/>
      <c r="MKQ243" s="42"/>
      <c r="MKR243" s="42"/>
      <c r="MKS243" s="42"/>
      <c r="MKT243" s="42"/>
      <c r="MKU243" s="42"/>
      <c r="MKV243" s="42"/>
      <c r="MKW243" s="42"/>
      <c r="MKX243" s="42"/>
      <c r="MKY243" s="42"/>
      <c r="MKZ243" s="42"/>
      <c r="MLA243" s="42"/>
      <c r="MLB243" s="42"/>
      <c r="MLC243" s="42"/>
      <c r="MLD243" s="42"/>
      <c r="MLE243" s="42"/>
      <c r="MLF243" s="42"/>
      <c r="MLG243" s="42"/>
      <c r="MLH243" s="42"/>
      <c r="MLI243" s="42"/>
      <c r="MLJ243" s="42"/>
      <c r="MLK243" s="42"/>
      <c r="MLL243" s="42"/>
      <c r="MLM243" s="42"/>
      <c r="MLN243" s="42"/>
      <c r="MLO243" s="42"/>
      <c r="MLP243" s="42"/>
      <c r="MLQ243" s="42"/>
      <c r="MLR243" s="42"/>
      <c r="MLS243" s="42"/>
      <c r="MLT243" s="42"/>
      <c r="MLU243" s="42"/>
      <c r="MLV243" s="42"/>
      <c r="MLW243" s="42"/>
      <c r="MLX243" s="42"/>
      <c r="MLY243" s="42"/>
      <c r="MLZ243" s="42"/>
      <c r="MMA243" s="42"/>
      <c r="MMB243" s="42"/>
      <c r="MMC243" s="42"/>
      <c r="MMD243" s="42"/>
      <c r="MME243" s="42"/>
      <c r="MMF243" s="42"/>
      <c r="MMG243" s="42"/>
      <c r="MMH243" s="42"/>
      <c r="MMI243" s="42"/>
      <c r="MMJ243" s="42"/>
      <c r="MMK243" s="42"/>
      <c r="MML243" s="42"/>
      <c r="MMM243" s="42"/>
      <c r="MMN243" s="42"/>
      <c r="MMO243" s="42"/>
      <c r="MMP243" s="42"/>
      <c r="MMQ243" s="42"/>
      <c r="MMR243" s="42"/>
      <c r="MMS243" s="42"/>
      <c r="MMT243" s="42"/>
      <c r="MMU243" s="42"/>
      <c r="MMV243" s="42"/>
      <c r="MMW243" s="42"/>
      <c r="MMX243" s="42"/>
      <c r="MMY243" s="42"/>
      <c r="MMZ243" s="42"/>
      <c r="MNA243" s="42"/>
      <c r="MNB243" s="42"/>
      <c r="MNC243" s="42"/>
      <c r="MND243" s="42"/>
      <c r="MNE243" s="42"/>
      <c r="MNF243" s="42"/>
      <c r="MNG243" s="42"/>
      <c r="MNH243" s="42"/>
      <c r="MNI243" s="42"/>
      <c r="MNJ243" s="42"/>
      <c r="MNK243" s="42"/>
      <c r="MNL243" s="42"/>
      <c r="MNM243" s="42"/>
      <c r="MNN243" s="42"/>
      <c r="MNO243" s="42"/>
      <c r="MNP243" s="42"/>
      <c r="MNQ243" s="42"/>
      <c r="MNR243" s="42"/>
      <c r="MNS243" s="42"/>
      <c r="MNT243" s="42"/>
      <c r="MNU243" s="42"/>
      <c r="MNV243" s="42"/>
      <c r="MNW243" s="42"/>
      <c r="MNX243" s="42"/>
      <c r="MNY243" s="42"/>
      <c r="MNZ243" s="42"/>
      <c r="MOA243" s="42"/>
      <c r="MOB243" s="42"/>
      <c r="MOC243" s="42"/>
      <c r="MOD243" s="42"/>
      <c r="MOE243" s="42"/>
      <c r="MOF243" s="42"/>
      <c r="MOG243" s="42"/>
      <c r="MOH243" s="42"/>
      <c r="MOI243" s="42"/>
      <c r="MOJ243" s="42"/>
      <c r="MOK243" s="42"/>
      <c r="MOL243" s="42"/>
      <c r="MOM243" s="42"/>
      <c r="MON243" s="42"/>
      <c r="MOO243" s="42"/>
      <c r="MOP243" s="42"/>
      <c r="MOQ243" s="42"/>
      <c r="MOR243" s="42"/>
      <c r="MOS243" s="42"/>
      <c r="MOT243" s="42"/>
      <c r="MOU243" s="42"/>
      <c r="MOV243" s="42"/>
      <c r="MOW243" s="42"/>
      <c r="MOX243" s="42"/>
      <c r="MOY243" s="42"/>
      <c r="MOZ243" s="42"/>
      <c r="MPA243" s="42"/>
      <c r="MPB243" s="42"/>
      <c r="MPC243" s="42"/>
      <c r="MPD243" s="42"/>
      <c r="MPE243" s="42"/>
      <c r="MPF243" s="42"/>
      <c r="MPG243" s="42"/>
      <c r="MPH243" s="42"/>
      <c r="MPI243" s="42"/>
      <c r="MPJ243" s="42"/>
      <c r="MPK243" s="42"/>
      <c r="MPL243" s="42"/>
      <c r="MPM243" s="42"/>
      <c r="MPN243" s="42"/>
      <c r="MPO243" s="42"/>
      <c r="MPP243" s="42"/>
      <c r="MPQ243" s="42"/>
      <c r="MPR243" s="42"/>
      <c r="MPS243" s="42"/>
      <c r="MPT243" s="42"/>
      <c r="MPU243" s="42"/>
      <c r="MPV243" s="42"/>
      <c r="MPW243" s="42"/>
      <c r="MPX243" s="42"/>
      <c r="MPY243" s="42"/>
      <c r="MPZ243" s="42"/>
      <c r="MQA243" s="42"/>
      <c r="MQB243" s="42"/>
      <c r="MQC243" s="42"/>
      <c r="MQD243" s="42"/>
      <c r="MQE243" s="42"/>
      <c r="MQF243" s="42"/>
      <c r="MQG243" s="42"/>
      <c r="MQH243" s="42"/>
      <c r="MQI243" s="42"/>
      <c r="MQJ243" s="42"/>
      <c r="MQK243" s="42"/>
      <c r="MQL243" s="42"/>
      <c r="MQM243" s="42"/>
      <c r="MQN243" s="42"/>
      <c r="MQO243" s="42"/>
      <c r="MQP243" s="42"/>
      <c r="MQQ243" s="42"/>
      <c r="MQR243" s="42"/>
      <c r="MQS243" s="42"/>
      <c r="MQT243" s="42"/>
      <c r="MQU243" s="42"/>
      <c r="MQV243" s="42"/>
      <c r="MQW243" s="42"/>
      <c r="MQX243" s="42"/>
      <c r="MQY243" s="42"/>
      <c r="MQZ243" s="42"/>
      <c r="MRA243" s="42"/>
      <c r="MRB243" s="42"/>
      <c r="MRC243" s="42"/>
      <c r="MRD243" s="42"/>
      <c r="MRE243" s="42"/>
      <c r="MRF243" s="42"/>
      <c r="MRG243" s="42"/>
      <c r="MRH243" s="42"/>
      <c r="MRI243" s="42"/>
      <c r="MRJ243" s="42"/>
      <c r="MRK243" s="42"/>
      <c r="MRL243" s="42"/>
      <c r="MRM243" s="42"/>
      <c r="MRN243" s="42"/>
      <c r="MRO243" s="42"/>
      <c r="MRP243" s="42"/>
      <c r="MRQ243" s="42"/>
      <c r="MRR243" s="42"/>
      <c r="MRS243" s="42"/>
      <c r="MRT243" s="42"/>
      <c r="MRU243" s="42"/>
      <c r="MRV243" s="42"/>
      <c r="MRW243" s="42"/>
      <c r="MRX243" s="42"/>
      <c r="MRY243" s="42"/>
      <c r="MRZ243" s="42"/>
      <c r="MSA243" s="42"/>
      <c r="MSB243" s="42"/>
      <c r="MSC243" s="42"/>
      <c r="MSD243" s="42"/>
      <c r="MSE243" s="42"/>
      <c r="MSF243" s="42"/>
      <c r="MSG243" s="42"/>
      <c r="MSH243" s="42"/>
      <c r="MSI243" s="42"/>
      <c r="MSJ243" s="42"/>
      <c r="MSK243" s="42"/>
      <c r="MSL243" s="42"/>
      <c r="MSM243" s="42"/>
      <c r="MSN243" s="42"/>
      <c r="MSO243" s="42"/>
      <c r="MSP243" s="42"/>
      <c r="MSQ243" s="42"/>
      <c r="MSR243" s="42"/>
      <c r="MSS243" s="42"/>
      <c r="MST243" s="42"/>
      <c r="MSU243" s="42"/>
      <c r="MSV243" s="42"/>
      <c r="MSW243" s="42"/>
      <c r="MSX243" s="42"/>
      <c r="MSY243" s="42"/>
      <c r="MSZ243" s="42"/>
      <c r="MTA243" s="42"/>
      <c r="MTB243" s="42"/>
      <c r="MTC243" s="42"/>
      <c r="MTD243" s="42"/>
      <c r="MTE243" s="42"/>
      <c r="MTF243" s="42"/>
      <c r="MTG243" s="42"/>
      <c r="MTH243" s="42"/>
      <c r="MTI243" s="42"/>
      <c r="MTJ243" s="42"/>
      <c r="MTK243" s="42"/>
      <c r="MTL243" s="42"/>
      <c r="MTM243" s="42"/>
      <c r="MTN243" s="42"/>
      <c r="MTO243" s="42"/>
      <c r="MTP243" s="42"/>
      <c r="MTQ243" s="42"/>
      <c r="MTR243" s="42"/>
      <c r="MTS243" s="42"/>
      <c r="MTT243" s="42"/>
      <c r="MTU243" s="42"/>
      <c r="MTV243" s="42"/>
      <c r="MTW243" s="42"/>
      <c r="MTX243" s="42"/>
      <c r="MTY243" s="42"/>
      <c r="MTZ243" s="42"/>
      <c r="MUA243" s="42"/>
      <c r="MUB243" s="42"/>
      <c r="MUC243" s="42"/>
      <c r="MUD243" s="42"/>
      <c r="MUE243" s="42"/>
      <c r="MUF243" s="42"/>
      <c r="MUG243" s="42"/>
      <c r="MUH243" s="42"/>
      <c r="MUI243" s="42"/>
      <c r="MUJ243" s="42"/>
      <c r="MUK243" s="42"/>
      <c r="MUL243" s="42"/>
      <c r="MUM243" s="42"/>
      <c r="MUN243" s="42"/>
      <c r="MUO243" s="42"/>
      <c r="MUP243" s="42"/>
      <c r="MUQ243" s="42"/>
      <c r="MUR243" s="42"/>
      <c r="MUS243" s="42"/>
      <c r="MUT243" s="42"/>
      <c r="MUU243" s="42"/>
      <c r="MUV243" s="42"/>
      <c r="MUW243" s="42"/>
      <c r="MUX243" s="42"/>
      <c r="MUY243" s="42"/>
      <c r="MUZ243" s="42"/>
      <c r="MVA243" s="42"/>
      <c r="MVB243" s="42"/>
      <c r="MVC243" s="42"/>
      <c r="MVD243" s="42"/>
      <c r="MVE243" s="42"/>
      <c r="MVF243" s="42"/>
      <c r="MVG243" s="42"/>
      <c r="MVH243" s="42"/>
      <c r="MVI243" s="42"/>
      <c r="MVJ243" s="42"/>
      <c r="MVK243" s="42"/>
      <c r="MVL243" s="42"/>
      <c r="MVM243" s="42"/>
      <c r="MVN243" s="42"/>
      <c r="MVO243" s="42"/>
      <c r="MVP243" s="42"/>
      <c r="MVQ243" s="42"/>
      <c r="MVR243" s="42"/>
      <c r="MVS243" s="42"/>
      <c r="MVT243" s="42"/>
      <c r="MVU243" s="42"/>
      <c r="MVV243" s="42"/>
      <c r="MVW243" s="42"/>
      <c r="MVX243" s="42"/>
      <c r="MVY243" s="42"/>
      <c r="MVZ243" s="42"/>
      <c r="MWA243" s="42"/>
      <c r="MWB243" s="42"/>
      <c r="MWC243" s="42"/>
      <c r="MWD243" s="42"/>
      <c r="MWE243" s="42"/>
      <c r="MWF243" s="42"/>
      <c r="MWG243" s="42"/>
      <c r="MWH243" s="42"/>
      <c r="MWI243" s="42"/>
      <c r="MWJ243" s="42"/>
      <c r="MWK243" s="42"/>
      <c r="MWL243" s="42"/>
      <c r="MWM243" s="42"/>
      <c r="MWN243" s="42"/>
      <c r="MWO243" s="42"/>
      <c r="MWP243" s="42"/>
      <c r="MWQ243" s="42"/>
      <c r="MWR243" s="42"/>
      <c r="MWS243" s="42"/>
      <c r="MWT243" s="42"/>
      <c r="MWU243" s="42"/>
      <c r="MWV243" s="42"/>
      <c r="MWW243" s="42"/>
      <c r="MWX243" s="42"/>
      <c r="MWY243" s="42"/>
      <c r="MWZ243" s="42"/>
      <c r="MXA243" s="42"/>
      <c r="MXB243" s="42"/>
      <c r="MXC243" s="42"/>
      <c r="MXD243" s="42"/>
      <c r="MXE243" s="42"/>
      <c r="MXF243" s="42"/>
      <c r="MXG243" s="42"/>
      <c r="MXH243" s="42"/>
      <c r="MXI243" s="42"/>
      <c r="MXJ243" s="42"/>
      <c r="MXK243" s="42"/>
      <c r="MXL243" s="42"/>
      <c r="MXM243" s="42"/>
      <c r="MXN243" s="42"/>
      <c r="MXO243" s="42"/>
      <c r="MXP243" s="42"/>
      <c r="MXQ243" s="42"/>
      <c r="MXR243" s="42"/>
      <c r="MXS243" s="42"/>
      <c r="MXT243" s="42"/>
      <c r="MXU243" s="42"/>
      <c r="MXV243" s="42"/>
      <c r="MXW243" s="42"/>
      <c r="MXX243" s="42"/>
      <c r="MXY243" s="42"/>
      <c r="MXZ243" s="42"/>
      <c r="MYA243" s="42"/>
      <c r="MYB243" s="42"/>
      <c r="MYC243" s="42"/>
      <c r="MYD243" s="42"/>
      <c r="MYE243" s="42"/>
      <c r="MYF243" s="42"/>
      <c r="MYG243" s="42"/>
      <c r="MYH243" s="42"/>
      <c r="MYI243" s="42"/>
      <c r="MYJ243" s="42"/>
      <c r="MYK243" s="42"/>
      <c r="MYL243" s="42"/>
      <c r="MYM243" s="42"/>
      <c r="MYN243" s="42"/>
      <c r="MYO243" s="42"/>
      <c r="MYP243" s="42"/>
      <c r="MYQ243" s="42"/>
      <c r="MYR243" s="42"/>
      <c r="MYS243" s="42"/>
      <c r="MYT243" s="42"/>
      <c r="MYU243" s="42"/>
      <c r="MYV243" s="42"/>
      <c r="MYW243" s="42"/>
      <c r="MYX243" s="42"/>
      <c r="MYY243" s="42"/>
      <c r="MYZ243" s="42"/>
      <c r="MZA243" s="42"/>
      <c r="MZB243" s="42"/>
      <c r="MZC243" s="42"/>
      <c r="MZD243" s="42"/>
      <c r="MZE243" s="42"/>
      <c r="MZF243" s="42"/>
      <c r="MZG243" s="42"/>
      <c r="MZH243" s="42"/>
      <c r="MZI243" s="42"/>
      <c r="MZJ243" s="42"/>
      <c r="MZK243" s="42"/>
      <c r="MZL243" s="42"/>
      <c r="MZM243" s="42"/>
      <c r="MZN243" s="42"/>
      <c r="MZO243" s="42"/>
      <c r="MZP243" s="42"/>
      <c r="MZQ243" s="42"/>
      <c r="MZR243" s="42"/>
      <c r="MZS243" s="42"/>
      <c r="MZT243" s="42"/>
      <c r="MZU243" s="42"/>
      <c r="MZV243" s="42"/>
      <c r="MZW243" s="42"/>
      <c r="MZX243" s="42"/>
      <c r="MZY243" s="42"/>
      <c r="MZZ243" s="42"/>
      <c r="NAA243" s="42"/>
      <c r="NAB243" s="42"/>
      <c r="NAC243" s="42"/>
      <c r="NAD243" s="42"/>
      <c r="NAE243" s="42"/>
      <c r="NAF243" s="42"/>
      <c r="NAG243" s="42"/>
      <c r="NAH243" s="42"/>
      <c r="NAI243" s="42"/>
      <c r="NAJ243" s="42"/>
      <c r="NAK243" s="42"/>
      <c r="NAL243" s="42"/>
      <c r="NAM243" s="42"/>
      <c r="NAN243" s="42"/>
      <c r="NAO243" s="42"/>
      <c r="NAP243" s="42"/>
      <c r="NAQ243" s="42"/>
      <c r="NAR243" s="42"/>
      <c r="NAS243" s="42"/>
      <c r="NAT243" s="42"/>
      <c r="NAU243" s="42"/>
      <c r="NAV243" s="42"/>
      <c r="NAW243" s="42"/>
      <c r="NAX243" s="42"/>
      <c r="NAY243" s="42"/>
      <c r="NAZ243" s="42"/>
      <c r="NBA243" s="42"/>
      <c r="NBB243" s="42"/>
      <c r="NBC243" s="42"/>
      <c r="NBD243" s="42"/>
      <c r="NBE243" s="42"/>
      <c r="NBF243" s="42"/>
      <c r="NBG243" s="42"/>
      <c r="NBH243" s="42"/>
      <c r="NBI243" s="42"/>
      <c r="NBJ243" s="42"/>
      <c r="NBK243" s="42"/>
      <c r="NBL243" s="42"/>
      <c r="NBM243" s="42"/>
      <c r="NBN243" s="42"/>
      <c r="NBO243" s="42"/>
      <c r="NBP243" s="42"/>
      <c r="NBQ243" s="42"/>
      <c r="NBR243" s="42"/>
      <c r="NBS243" s="42"/>
      <c r="NBT243" s="42"/>
      <c r="NBU243" s="42"/>
      <c r="NBV243" s="42"/>
      <c r="NBW243" s="42"/>
      <c r="NBX243" s="42"/>
      <c r="NBY243" s="42"/>
      <c r="NBZ243" s="42"/>
      <c r="NCA243" s="42"/>
      <c r="NCB243" s="42"/>
      <c r="NCC243" s="42"/>
      <c r="NCD243" s="42"/>
      <c r="NCE243" s="42"/>
      <c r="NCF243" s="42"/>
      <c r="NCG243" s="42"/>
      <c r="NCH243" s="42"/>
      <c r="NCI243" s="42"/>
      <c r="NCJ243" s="42"/>
      <c r="NCK243" s="42"/>
      <c r="NCL243" s="42"/>
      <c r="NCM243" s="42"/>
      <c r="NCN243" s="42"/>
      <c r="NCO243" s="42"/>
      <c r="NCP243" s="42"/>
      <c r="NCQ243" s="42"/>
      <c r="NCR243" s="42"/>
      <c r="NCS243" s="42"/>
      <c r="NCT243" s="42"/>
      <c r="NCU243" s="42"/>
      <c r="NCV243" s="42"/>
      <c r="NCW243" s="42"/>
      <c r="NCX243" s="42"/>
      <c r="NCY243" s="42"/>
      <c r="NCZ243" s="42"/>
      <c r="NDA243" s="42"/>
      <c r="NDB243" s="42"/>
      <c r="NDC243" s="42"/>
      <c r="NDD243" s="42"/>
      <c r="NDE243" s="42"/>
      <c r="NDF243" s="42"/>
      <c r="NDG243" s="42"/>
      <c r="NDH243" s="42"/>
      <c r="NDI243" s="42"/>
      <c r="NDJ243" s="42"/>
      <c r="NDK243" s="42"/>
      <c r="NDL243" s="42"/>
      <c r="NDM243" s="42"/>
      <c r="NDN243" s="42"/>
      <c r="NDO243" s="42"/>
      <c r="NDP243" s="42"/>
      <c r="NDQ243" s="42"/>
      <c r="NDR243" s="42"/>
      <c r="NDS243" s="42"/>
      <c r="NDT243" s="42"/>
      <c r="NDU243" s="42"/>
      <c r="NDV243" s="42"/>
      <c r="NDW243" s="42"/>
      <c r="NDX243" s="42"/>
      <c r="NDY243" s="42"/>
      <c r="NDZ243" s="42"/>
      <c r="NEA243" s="42"/>
      <c r="NEB243" s="42"/>
      <c r="NEC243" s="42"/>
      <c r="NED243" s="42"/>
      <c r="NEE243" s="42"/>
      <c r="NEF243" s="42"/>
      <c r="NEG243" s="42"/>
      <c r="NEH243" s="42"/>
      <c r="NEI243" s="42"/>
      <c r="NEJ243" s="42"/>
      <c r="NEK243" s="42"/>
      <c r="NEL243" s="42"/>
      <c r="NEM243" s="42"/>
      <c r="NEN243" s="42"/>
      <c r="NEO243" s="42"/>
      <c r="NEP243" s="42"/>
      <c r="NEQ243" s="42"/>
      <c r="NER243" s="42"/>
      <c r="NES243" s="42"/>
      <c r="NET243" s="42"/>
      <c r="NEU243" s="42"/>
      <c r="NEV243" s="42"/>
      <c r="NEW243" s="42"/>
      <c r="NEX243" s="42"/>
      <c r="NEY243" s="42"/>
      <c r="NEZ243" s="42"/>
      <c r="NFA243" s="42"/>
      <c r="NFB243" s="42"/>
      <c r="NFC243" s="42"/>
      <c r="NFD243" s="42"/>
      <c r="NFE243" s="42"/>
      <c r="NFF243" s="42"/>
      <c r="NFG243" s="42"/>
      <c r="NFH243" s="42"/>
      <c r="NFI243" s="42"/>
      <c r="NFJ243" s="42"/>
      <c r="NFK243" s="42"/>
      <c r="NFL243" s="42"/>
      <c r="NFM243" s="42"/>
      <c r="NFN243" s="42"/>
      <c r="NFO243" s="42"/>
      <c r="NFP243" s="42"/>
      <c r="NFQ243" s="42"/>
      <c r="NFR243" s="42"/>
      <c r="NFS243" s="42"/>
      <c r="NFT243" s="42"/>
      <c r="NFU243" s="42"/>
      <c r="NFV243" s="42"/>
      <c r="NFW243" s="42"/>
      <c r="NFX243" s="42"/>
      <c r="NFY243" s="42"/>
      <c r="NFZ243" s="42"/>
      <c r="NGA243" s="42"/>
      <c r="NGB243" s="42"/>
      <c r="NGC243" s="42"/>
      <c r="NGD243" s="42"/>
      <c r="NGE243" s="42"/>
      <c r="NGF243" s="42"/>
      <c r="NGG243" s="42"/>
      <c r="NGH243" s="42"/>
      <c r="NGI243" s="42"/>
      <c r="NGJ243" s="42"/>
      <c r="NGK243" s="42"/>
      <c r="NGL243" s="42"/>
      <c r="NGM243" s="42"/>
      <c r="NGN243" s="42"/>
      <c r="NGO243" s="42"/>
      <c r="NGP243" s="42"/>
      <c r="NGQ243" s="42"/>
      <c r="NGR243" s="42"/>
      <c r="NGS243" s="42"/>
      <c r="NGT243" s="42"/>
      <c r="NGU243" s="42"/>
      <c r="NGV243" s="42"/>
      <c r="NGW243" s="42"/>
      <c r="NGX243" s="42"/>
      <c r="NGY243" s="42"/>
      <c r="NGZ243" s="42"/>
      <c r="NHA243" s="42"/>
      <c r="NHB243" s="42"/>
      <c r="NHC243" s="42"/>
      <c r="NHD243" s="42"/>
      <c r="NHE243" s="42"/>
      <c r="NHF243" s="42"/>
      <c r="NHG243" s="42"/>
      <c r="NHH243" s="42"/>
      <c r="NHI243" s="42"/>
      <c r="NHJ243" s="42"/>
      <c r="NHK243" s="42"/>
      <c r="NHL243" s="42"/>
      <c r="NHM243" s="42"/>
      <c r="NHN243" s="42"/>
      <c r="NHO243" s="42"/>
      <c r="NHP243" s="42"/>
      <c r="NHQ243" s="42"/>
      <c r="NHR243" s="42"/>
      <c r="NHS243" s="42"/>
      <c r="NHT243" s="42"/>
      <c r="NHU243" s="42"/>
      <c r="NHV243" s="42"/>
      <c r="NHW243" s="42"/>
      <c r="NHX243" s="42"/>
      <c r="NHY243" s="42"/>
      <c r="NHZ243" s="42"/>
      <c r="NIA243" s="42"/>
      <c r="NIB243" s="42"/>
      <c r="NIC243" s="42"/>
      <c r="NID243" s="42"/>
      <c r="NIE243" s="42"/>
      <c r="NIF243" s="42"/>
      <c r="NIG243" s="42"/>
      <c r="NIH243" s="42"/>
      <c r="NII243" s="42"/>
      <c r="NIJ243" s="42"/>
      <c r="NIK243" s="42"/>
      <c r="NIL243" s="42"/>
      <c r="NIM243" s="42"/>
      <c r="NIN243" s="42"/>
      <c r="NIO243" s="42"/>
      <c r="NIP243" s="42"/>
      <c r="NIQ243" s="42"/>
      <c r="NIR243" s="42"/>
      <c r="NIS243" s="42"/>
      <c r="NIT243" s="42"/>
      <c r="NIU243" s="42"/>
      <c r="NIV243" s="42"/>
      <c r="NIW243" s="42"/>
      <c r="NIX243" s="42"/>
      <c r="NIY243" s="42"/>
      <c r="NIZ243" s="42"/>
      <c r="NJA243" s="42"/>
      <c r="NJB243" s="42"/>
      <c r="NJC243" s="42"/>
      <c r="NJD243" s="42"/>
      <c r="NJE243" s="42"/>
      <c r="NJF243" s="42"/>
      <c r="NJG243" s="42"/>
      <c r="NJH243" s="42"/>
      <c r="NJI243" s="42"/>
      <c r="NJJ243" s="42"/>
      <c r="NJK243" s="42"/>
      <c r="NJL243" s="42"/>
      <c r="NJM243" s="42"/>
      <c r="NJN243" s="42"/>
      <c r="NJO243" s="42"/>
      <c r="NJP243" s="42"/>
      <c r="NJQ243" s="42"/>
      <c r="NJR243" s="42"/>
      <c r="NJS243" s="42"/>
      <c r="NJT243" s="42"/>
      <c r="NJU243" s="42"/>
      <c r="NJV243" s="42"/>
      <c r="NJW243" s="42"/>
      <c r="NJX243" s="42"/>
      <c r="NJY243" s="42"/>
      <c r="NJZ243" s="42"/>
      <c r="NKA243" s="42"/>
      <c r="NKB243" s="42"/>
      <c r="NKC243" s="42"/>
      <c r="NKD243" s="42"/>
      <c r="NKE243" s="42"/>
      <c r="NKF243" s="42"/>
      <c r="NKG243" s="42"/>
      <c r="NKH243" s="42"/>
      <c r="NKI243" s="42"/>
      <c r="NKJ243" s="42"/>
      <c r="NKK243" s="42"/>
      <c r="NKL243" s="42"/>
      <c r="NKM243" s="42"/>
      <c r="NKN243" s="42"/>
      <c r="NKO243" s="42"/>
      <c r="NKP243" s="42"/>
      <c r="NKQ243" s="42"/>
      <c r="NKR243" s="42"/>
      <c r="NKS243" s="42"/>
      <c r="NKT243" s="42"/>
      <c r="NKU243" s="42"/>
      <c r="NKV243" s="42"/>
      <c r="NKW243" s="42"/>
      <c r="NKX243" s="42"/>
      <c r="NKY243" s="42"/>
      <c r="NKZ243" s="42"/>
      <c r="NLA243" s="42"/>
      <c r="NLB243" s="42"/>
      <c r="NLC243" s="42"/>
      <c r="NLD243" s="42"/>
      <c r="NLE243" s="42"/>
      <c r="NLF243" s="42"/>
      <c r="NLG243" s="42"/>
      <c r="NLH243" s="42"/>
      <c r="NLI243" s="42"/>
      <c r="NLJ243" s="42"/>
      <c r="NLK243" s="42"/>
      <c r="NLL243" s="42"/>
      <c r="NLM243" s="42"/>
      <c r="NLN243" s="42"/>
      <c r="NLO243" s="42"/>
      <c r="NLP243" s="42"/>
      <c r="NLQ243" s="42"/>
      <c r="NLR243" s="42"/>
      <c r="NLS243" s="42"/>
      <c r="NLT243" s="42"/>
      <c r="NLU243" s="42"/>
      <c r="NLV243" s="42"/>
      <c r="NLW243" s="42"/>
      <c r="NLX243" s="42"/>
      <c r="NLY243" s="42"/>
      <c r="NLZ243" s="42"/>
      <c r="NMA243" s="42"/>
      <c r="NMB243" s="42"/>
      <c r="NMC243" s="42"/>
      <c r="NMD243" s="42"/>
      <c r="NME243" s="42"/>
      <c r="NMF243" s="42"/>
      <c r="NMG243" s="42"/>
      <c r="NMH243" s="42"/>
      <c r="NMI243" s="42"/>
      <c r="NMJ243" s="42"/>
      <c r="NMK243" s="42"/>
      <c r="NML243" s="42"/>
      <c r="NMM243" s="42"/>
      <c r="NMN243" s="42"/>
      <c r="NMO243" s="42"/>
      <c r="NMP243" s="42"/>
      <c r="NMQ243" s="42"/>
      <c r="NMR243" s="42"/>
      <c r="NMS243" s="42"/>
      <c r="NMT243" s="42"/>
      <c r="NMU243" s="42"/>
      <c r="NMV243" s="42"/>
      <c r="NMW243" s="42"/>
      <c r="NMX243" s="42"/>
      <c r="NMY243" s="42"/>
      <c r="NMZ243" s="42"/>
      <c r="NNA243" s="42"/>
      <c r="NNB243" s="42"/>
      <c r="NNC243" s="42"/>
      <c r="NND243" s="42"/>
      <c r="NNE243" s="42"/>
      <c r="NNF243" s="42"/>
      <c r="NNG243" s="42"/>
      <c r="NNH243" s="42"/>
      <c r="NNI243" s="42"/>
      <c r="NNJ243" s="42"/>
      <c r="NNK243" s="42"/>
      <c r="NNL243" s="42"/>
      <c r="NNM243" s="42"/>
      <c r="NNN243" s="42"/>
      <c r="NNO243" s="42"/>
      <c r="NNP243" s="42"/>
      <c r="NNQ243" s="42"/>
      <c r="NNR243" s="42"/>
      <c r="NNS243" s="42"/>
      <c r="NNT243" s="42"/>
      <c r="NNU243" s="42"/>
      <c r="NNV243" s="42"/>
      <c r="NNW243" s="42"/>
      <c r="NNX243" s="42"/>
      <c r="NNY243" s="42"/>
      <c r="NNZ243" s="42"/>
      <c r="NOA243" s="42"/>
      <c r="NOB243" s="42"/>
      <c r="NOC243" s="42"/>
      <c r="NOD243" s="42"/>
      <c r="NOE243" s="42"/>
      <c r="NOF243" s="42"/>
      <c r="NOG243" s="42"/>
      <c r="NOH243" s="42"/>
      <c r="NOI243" s="42"/>
      <c r="NOJ243" s="42"/>
      <c r="NOK243" s="42"/>
      <c r="NOL243" s="42"/>
      <c r="NOM243" s="42"/>
      <c r="NON243" s="42"/>
      <c r="NOO243" s="42"/>
      <c r="NOP243" s="42"/>
      <c r="NOQ243" s="42"/>
      <c r="NOR243" s="42"/>
      <c r="NOS243" s="42"/>
      <c r="NOT243" s="42"/>
      <c r="NOU243" s="42"/>
      <c r="NOV243" s="42"/>
      <c r="NOW243" s="42"/>
      <c r="NOX243" s="42"/>
      <c r="NOY243" s="42"/>
      <c r="NOZ243" s="42"/>
      <c r="NPA243" s="42"/>
      <c r="NPB243" s="42"/>
      <c r="NPC243" s="42"/>
      <c r="NPD243" s="42"/>
      <c r="NPE243" s="42"/>
      <c r="NPF243" s="42"/>
      <c r="NPG243" s="42"/>
      <c r="NPH243" s="42"/>
      <c r="NPI243" s="42"/>
      <c r="NPJ243" s="42"/>
      <c r="NPK243" s="42"/>
      <c r="NPL243" s="42"/>
      <c r="NPM243" s="42"/>
      <c r="NPN243" s="42"/>
      <c r="NPO243" s="42"/>
      <c r="NPP243" s="42"/>
      <c r="NPQ243" s="42"/>
      <c r="NPR243" s="42"/>
      <c r="NPS243" s="42"/>
      <c r="NPT243" s="42"/>
      <c r="NPU243" s="42"/>
      <c r="NPV243" s="42"/>
      <c r="NPW243" s="42"/>
      <c r="NPX243" s="42"/>
      <c r="NPY243" s="42"/>
      <c r="NPZ243" s="42"/>
      <c r="NQA243" s="42"/>
      <c r="NQB243" s="42"/>
      <c r="NQC243" s="42"/>
      <c r="NQD243" s="42"/>
      <c r="NQE243" s="42"/>
      <c r="NQF243" s="42"/>
      <c r="NQG243" s="42"/>
      <c r="NQH243" s="42"/>
      <c r="NQI243" s="42"/>
      <c r="NQJ243" s="42"/>
      <c r="NQK243" s="42"/>
      <c r="NQL243" s="42"/>
      <c r="NQM243" s="42"/>
      <c r="NQN243" s="42"/>
      <c r="NQO243" s="42"/>
      <c r="NQP243" s="42"/>
      <c r="NQQ243" s="42"/>
      <c r="NQR243" s="42"/>
      <c r="NQS243" s="42"/>
      <c r="NQT243" s="42"/>
      <c r="NQU243" s="42"/>
      <c r="NQV243" s="42"/>
      <c r="NQW243" s="42"/>
      <c r="NQX243" s="42"/>
      <c r="NQY243" s="42"/>
      <c r="NQZ243" s="42"/>
      <c r="NRA243" s="42"/>
      <c r="NRB243" s="42"/>
      <c r="NRC243" s="42"/>
      <c r="NRD243" s="42"/>
      <c r="NRE243" s="42"/>
      <c r="NRF243" s="42"/>
      <c r="NRG243" s="42"/>
      <c r="NRH243" s="42"/>
      <c r="NRI243" s="42"/>
      <c r="NRJ243" s="42"/>
      <c r="NRK243" s="42"/>
      <c r="NRL243" s="42"/>
      <c r="NRM243" s="42"/>
      <c r="NRN243" s="42"/>
      <c r="NRO243" s="42"/>
      <c r="NRP243" s="42"/>
      <c r="NRQ243" s="42"/>
      <c r="NRR243" s="42"/>
      <c r="NRS243" s="42"/>
      <c r="NRT243" s="42"/>
      <c r="NRU243" s="42"/>
      <c r="NRV243" s="42"/>
      <c r="NRW243" s="42"/>
      <c r="NRX243" s="42"/>
      <c r="NRY243" s="42"/>
      <c r="NRZ243" s="42"/>
      <c r="NSA243" s="42"/>
      <c r="NSB243" s="42"/>
      <c r="NSC243" s="42"/>
      <c r="NSD243" s="42"/>
      <c r="NSE243" s="42"/>
      <c r="NSF243" s="42"/>
      <c r="NSG243" s="42"/>
      <c r="NSH243" s="42"/>
      <c r="NSI243" s="42"/>
      <c r="NSJ243" s="42"/>
      <c r="NSK243" s="42"/>
      <c r="NSL243" s="42"/>
      <c r="NSM243" s="42"/>
      <c r="NSN243" s="42"/>
      <c r="NSO243" s="42"/>
      <c r="NSP243" s="42"/>
      <c r="NSQ243" s="42"/>
      <c r="NSR243" s="42"/>
      <c r="NSS243" s="42"/>
      <c r="NST243" s="42"/>
      <c r="NSU243" s="42"/>
      <c r="NSV243" s="42"/>
      <c r="NSW243" s="42"/>
      <c r="NSX243" s="42"/>
      <c r="NSY243" s="42"/>
      <c r="NSZ243" s="42"/>
      <c r="NTA243" s="42"/>
      <c r="NTB243" s="42"/>
      <c r="NTC243" s="42"/>
      <c r="NTD243" s="42"/>
      <c r="NTE243" s="42"/>
      <c r="NTF243" s="42"/>
      <c r="NTG243" s="42"/>
      <c r="NTH243" s="42"/>
      <c r="NTI243" s="42"/>
      <c r="NTJ243" s="42"/>
      <c r="NTK243" s="42"/>
      <c r="NTL243" s="42"/>
      <c r="NTM243" s="42"/>
      <c r="NTN243" s="42"/>
      <c r="NTO243" s="42"/>
      <c r="NTP243" s="42"/>
      <c r="NTQ243" s="42"/>
      <c r="NTR243" s="42"/>
      <c r="NTS243" s="42"/>
      <c r="NTT243" s="42"/>
      <c r="NTU243" s="42"/>
      <c r="NTV243" s="42"/>
      <c r="NTW243" s="42"/>
      <c r="NTX243" s="42"/>
      <c r="NTY243" s="42"/>
      <c r="NTZ243" s="42"/>
      <c r="NUA243" s="42"/>
      <c r="NUB243" s="42"/>
      <c r="NUC243" s="42"/>
      <c r="NUD243" s="42"/>
      <c r="NUE243" s="42"/>
      <c r="NUF243" s="42"/>
      <c r="NUG243" s="42"/>
      <c r="NUH243" s="42"/>
      <c r="NUI243" s="42"/>
      <c r="NUJ243" s="42"/>
      <c r="NUK243" s="42"/>
      <c r="NUL243" s="42"/>
      <c r="NUM243" s="42"/>
      <c r="NUN243" s="42"/>
      <c r="NUO243" s="42"/>
      <c r="NUP243" s="42"/>
      <c r="NUQ243" s="42"/>
      <c r="NUR243" s="42"/>
      <c r="NUS243" s="42"/>
      <c r="NUT243" s="42"/>
      <c r="NUU243" s="42"/>
      <c r="NUV243" s="42"/>
      <c r="NUW243" s="42"/>
      <c r="NUX243" s="42"/>
      <c r="NUY243" s="42"/>
      <c r="NUZ243" s="42"/>
      <c r="NVA243" s="42"/>
      <c r="NVB243" s="42"/>
      <c r="NVC243" s="42"/>
      <c r="NVD243" s="42"/>
      <c r="NVE243" s="42"/>
      <c r="NVF243" s="42"/>
      <c r="NVG243" s="42"/>
      <c r="NVH243" s="42"/>
      <c r="NVI243" s="42"/>
      <c r="NVJ243" s="42"/>
      <c r="NVK243" s="42"/>
      <c r="NVL243" s="42"/>
      <c r="NVM243" s="42"/>
      <c r="NVN243" s="42"/>
      <c r="NVO243" s="42"/>
      <c r="NVP243" s="42"/>
      <c r="NVQ243" s="42"/>
      <c r="NVR243" s="42"/>
      <c r="NVS243" s="42"/>
      <c r="NVT243" s="42"/>
      <c r="NVU243" s="42"/>
      <c r="NVV243" s="42"/>
      <c r="NVW243" s="42"/>
      <c r="NVX243" s="42"/>
      <c r="NVY243" s="42"/>
      <c r="NVZ243" s="42"/>
      <c r="NWA243" s="42"/>
      <c r="NWB243" s="42"/>
      <c r="NWC243" s="42"/>
      <c r="NWD243" s="42"/>
      <c r="NWE243" s="42"/>
      <c r="NWF243" s="42"/>
      <c r="NWG243" s="42"/>
      <c r="NWH243" s="42"/>
      <c r="NWI243" s="42"/>
      <c r="NWJ243" s="42"/>
      <c r="NWK243" s="42"/>
      <c r="NWL243" s="42"/>
      <c r="NWM243" s="42"/>
      <c r="NWN243" s="42"/>
      <c r="NWO243" s="42"/>
      <c r="NWP243" s="42"/>
      <c r="NWQ243" s="42"/>
      <c r="NWR243" s="42"/>
      <c r="NWS243" s="42"/>
      <c r="NWT243" s="42"/>
      <c r="NWU243" s="42"/>
      <c r="NWV243" s="42"/>
      <c r="NWW243" s="42"/>
      <c r="NWX243" s="42"/>
      <c r="NWY243" s="42"/>
      <c r="NWZ243" s="42"/>
      <c r="NXA243" s="42"/>
      <c r="NXB243" s="42"/>
      <c r="NXC243" s="42"/>
      <c r="NXD243" s="42"/>
      <c r="NXE243" s="42"/>
      <c r="NXF243" s="42"/>
      <c r="NXG243" s="42"/>
      <c r="NXH243" s="42"/>
      <c r="NXI243" s="42"/>
      <c r="NXJ243" s="42"/>
      <c r="NXK243" s="42"/>
      <c r="NXL243" s="42"/>
      <c r="NXM243" s="42"/>
      <c r="NXN243" s="42"/>
      <c r="NXO243" s="42"/>
      <c r="NXP243" s="42"/>
      <c r="NXQ243" s="42"/>
      <c r="NXR243" s="42"/>
      <c r="NXS243" s="42"/>
      <c r="NXT243" s="42"/>
      <c r="NXU243" s="42"/>
      <c r="NXV243" s="42"/>
      <c r="NXW243" s="42"/>
      <c r="NXX243" s="42"/>
      <c r="NXY243" s="42"/>
      <c r="NXZ243" s="42"/>
      <c r="NYA243" s="42"/>
      <c r="NYB243" s="42"/>
      <c r="NYC243" s="42"/>
      <c r="NYD243" s="42"/>
      <c r="NYE243" s="42"/>
      <c r="NYF243" s="42"/>
      <c r="NYG243" s="42"/>
      <c r="NYH243" s="42"/>
      <c r="NYI243" s="42"/>
      <c r="NYJ243" s="42"/>
      <c r="NYK243" s="42"/>
      <c r="NYL243" s="42"/>
      <c r="NYM243" s="42"/>
      <c r="NYN243" s="42"/>
      <c r="NYO243" s="42"/>
      <c r="NYP243" s="42"/>
      <c r="NYQ243" s="42"/>
      <c r="NYR243" s="42"/>
      <c r="NYS243" s="42"/>
      <c r="NYT243" s="42"/>
      <c r="NYU243" s="42"/>
      <c r="NYV243" s="42"/>
      <c r="NYW243" s="42"/>
      <c r="NYX243" s="42"/>
      <c r="NYY243" s="42"/>
      <c r="NYZ243" s="42"/>
      <c r="NZA243" s="42"/>
      <c r="NZB243" s="42"/>
      <c r="NZC243" s="42"/>
      <c r="NZD243" s="42"/>
      <c r="NZE243" s="42"/>
      <c r="NZF243" s="42"/>
      <c r="NZG243" s="42"/>
      <c r="NZH243" s="42"/>
      <c r="NZI243" s="42"/>
      <c r="NZJ243" s="42"/>
      <c r="NZK243" s="42"/>
      <c r="NZL243" s="42"/>
      <c r="NZM243" s="42"/>
      <c r="NZN243" s="42"/>
      <c r="NZO243" s="42"/>
      <c r="NZP243" s="42"/>
      <c r="NZQ243" s="42"/>
      <c r="NZR243" s="42"/>
      <c r="NZS243" s="42"/>
      <c r="NZT243" s="42"/>
      <c r="NZU243" s="42"/>
      <c r="NZV243" s="42"/>
      <c r="NZW243" s="42"/>
      <c r="NZX243" s="42"/>
      <c r="NZY243" s="42"/>
      <c r="NZZ243" s="42"/>
      <c r="OAA243" s="42"/>
      <c r="OAB243" s="42"/>
      <c r="OAC243" s="42"/>
      <c r="OAD243" s="42"/>
      <c r="OAE243" s="42"/>
      <c r="OAF243" s="42"/>
      <c r="OAG243" s="42"/>
      <c r="OAH243" s="42"/>
      <c r="OAI243" s="42"/>
      <c r="OAJ243" s="42"/>
      <c r="OAK243" s="42"/>
      <c r="OAL243" s="42"/>
      <c r="OAM243" s="42"/>
      <c r="OAN243" s="42"/>
      <c r="OAO243" s="42"/>
      <c r="OAP243" s="42"/>
      <c r="OAQ243" s="42"/>
      <c r="OAR243" s="42"/>
      <c r="OAS243" s="42"/>
      <c r="OAT243" s="42"/>
      <c r="OAU243" s="42"/>
      <c r="OAV243" s="42"/>
      <c r="OAW243" s="42"/>
      <c r="OAX243" s="42"/>
      <c r="OAY243" s="42"/>
      <c r="OAZ243" s="42"/>
      <c r="OBA243" s="42"/>
      <c r="OBB243" s="42"/>
      <c r="OBC243" s="42"/>
      <c r="OBD243" s="42"/>
      <c r="OBE243" s="42"/>
      <c r="OBF243" s="42"/>
      <c r="OBG243" s="42"/>
      <c r="OBH243" s="42"/>
      <c r="OBI243" s="42"/>
      <c r="OBJ243" s="42"/>
      <c r="OBK243" s="42"/>
      <c r="OBL243" s="42"/>
      <c r="OBM243" s="42"/>
      <c r="OBN243" s="42"/>
      <c r="OBO243" s="42"/>
      <c r="OBP243" s="42"/>
      <c r="OBQ243" s="42"/>
      <c r="OBR243" s="42"/>
      <c r="OBS243" s="42"/>
      <c r="OBT243" s="42"/>
      <c r="OBU243" s="42"/>
      <c r="OBV243" s="42"/>
      <c r="OBW243" s="42"/>
      <c r="OBX243" s="42"/>
      <c r="OBY243" s="42"/>
      <c r="OBZ243" s="42"/>
      <c r="OCA243" s="42"/>
      <c r="OCB243" s="42"/>
      <c r="OCC243" s="42"/>
      <c r="OCD243" s="42"/>
      <c r="OCE243" s="42"/>
      <c r="OCF243" s="42"/>
      <c r="OCG243" s="42"/>
      <c r="OCH243" s="42"/>
      <c r="OCI243" s="42"/>
      <c r="OCJ243" s="42"/>
      <c r="OCK243" s="42"/>
      <c r="OCL243" s="42"/>
      <c r="OCM243" s="42"/>
      <c r="OCN243" s="42"/>
      <c r="OCO243" s="42"/>
      <c r="OCP243" s="42"/>
      <c r="OCQ243" s="42"/>
      <c r="OCR243" s="42"/>
      <c r="OCS243" s="42"/>
      <c r="OCT243" s="42"/>
      <c r="OCU243" s="42"/>
      <c r="OCV243" s="42"/>
      <c r="OCW243" s="42"/>
      <c r="OCX243" s="42"/>
      <c r="OCY243" s="42"/>
      <c r="OCZ243" s="42"/>
      <c r="ODA243" s="42"/>
      <c r="ODB243" s="42"/>
      <c r="ODC243" s="42"/>
      <c r="ODD243" s="42"/>
      <c r="ODE243" s="42"/>
      <c r="ODF243" s="42"/>
      <c r="ODG243" s="42"/>
      <c r="ODH243" s="42"/>
      <c r="ODI243" s="42"/>
      <c r="ODJ243" s="42"/>
      <c r="ODK243" s="42"/>
      <c r="ODL243" s="42"/>
      <c r="ODM243" s="42"/>
      <c r="ODN243" s="42"/>
      <c r="ODO243" s="42"/>
      <c r="ODP243" s="42"/>
      <c r="ODQ243" s="42"/>
      <c r="ODR243" s="42"/>
      <c r="ODS243" s="42"/>
      <c r="ODT243" s="42"/>
      <c r="ODU243" s="42"/>
      <c r="ODV243" s="42"/>
      <c r="ODW243" s="42"/>
      <c r="ODX243" s="42"/>
      <c r="ODY243" s="42"/>
      <c r="ODZ243" s="42"/>
      <c r="OEA243" s="42"/>
      <c r="OEB243" s="42"/>
      <c r="OEC243" s="42"/>
      <c r="OED243" s="42"/>
      <c r="OEE243" s="42"/>
      <c r="OEF243" s="42"/>
      <c r="OEG243" s="42"/>
      <c r="OEH243" s="42"/>
      <c r="OEI243" s="42"/>
      <c r="OEJ243" s="42"/>
      <c r="OEK243" s="42"/>
      <c r="OEL243" s="42"/>
      <c r="OEM243" s="42"/>
      <c r="OEN243" s="42"/>
      <c r="OEO243" s="42"/>
      <c r="OEP243" s="42"/>
      <c r="OEQ243" s="42"/>
      <c r="OER243" s="42"/>
      <c r="OES243" s="42"/>
      <c r="OET243" s="42"/>
      <c r="OEU243" s="42"/>
      <c r="OEV243" s="42"/>
      <c r="OEW243" s="42"/>
      <c r="OEX243" s="42"/>
      <c r="OEY243" s="42"/>
      <c r="OEZ243" s="42"/>
      <c r="OFA243" s="42"/>
      <c r="OFB243" s="42"/>
      <c r="OFC243" s="42"/>
      <c r="OFD243" s="42"/>
      <c r="OFE243" s="42"/>
      <c r="OFF243" s="42"/>
      <c r="OFG243" s="42"/>
      <c r="OFH243" s="42"/>
      <c r="OFI243" s="42"/>
      <c r="OFJ243" s="42"/>
      <c r="OFK243" s="42"/>
      <c r="OFL243" s="42"/>
      <c r="OFM243" s="42"/>
      <c r="OFN243" s="42"/>
      <c r="OFO243" s="42"/>
      <c r="OFP243" s="42"/>
      <c r="OFQ243" s="42"/>
      <c r="OFR243" s="42"/>
      <c r="OFS243" s="42"/>
      <c r="OFT243" s="42"/>
      <c r="OFU243" s="42"/>
      <c r="OFV243" s="42"/>
      <c r="OFW243" s="42"/>
      <c r="OFX243" s="42"/>
      <c r="OFY243" s="42"/>
      <c r="OFZ243" s="42"/>
      <c r="OGA243" s="42"/>
      <c r="OGB243" s="42"/>
      <c r="OGC243" s="42"/>
      <c r="OGD243" s="42"/>
      <c r="OGE243" s="42"/>
      <c r="OGF243" s="42"/>
      <c r="OGG243" s="42"/>
      <c r="OGH243" s="42"/>
      <c r="OGI243" s="42"/>
      <c r="OGJ243" s="42"/>
      <c r="OGK243" s="42"/>
      <c r="OGL243" s="42"/>
      <c r="OGM243" s="42"/>
      <c r="OGN243" s="42"/>
      <c r="OGO243" s="42"/>
      <c r="OGP243" s="42"/>
      <c r="OGQ243" s="42"/>
      <c r="OGR243" s="42"/>
      <c r="OGS243" s="42"/>
      <c r="OGT243" s="42"/>
      <c r="OGU243" s="42"/>
      <c r="OGV243" s="42"/>
      <c r="OGW243" s="42"/>
      <c r="OGX243" s="42"/>
      <c r="OGY243" s="42"/>
      <c r="OGZ243" s="42"/>
      <c r="OHA243" s="42"/>
      <c r="OHB243" s="42"/>
      <c r="OHC243" s="42"/>
      <c r="OHD243" s="42"/>
      <c r="OHE243" s="42"/>
      <c r="OHF243" s="42"/>
      <c r="OHG243" s="42"/>
      <c r="OHH243" s="42"/>
      <c r="OHI243" s="42"/>
      <c r="OHJ243" s="42"/>
      <c r="OHK243" s="42"/>
      <c r="OHL243" s="42"/>
      <c r="OHM243" s="42"/>
      <c r="OHN243" s="42"/>
      <c r="OHO243" s="42"/>
      <c r="OHP243" s="42"/>
      <c r="OHQ243" s="42"/>
      <c r="OHR243" s="42"/>
      <c r="OHS243" s="42"/>
      <c r="OHT243" s="42"/>
      <c r="OHU243" s="42"/>
      <c r="OHV243" s="42"/>
      <c r="OHW243" s="42"/>
      <c r="OHX243" s="42"/>
      <c r="OHY243" s="42"/>
      <c r="OHZ243" s="42"/>
      <c r="OIA243" s="42"/>
      <c r="OIB243" s="42"/>
      <c r="OIC243" s="42"/>
      <c r="OID243" s="42"/>
      <c r="OIE243" s="42"/>
      <c r="OIF243" s="42"/>
      <c r="OIG243" s="42"/>
      <c r="OIH243" s="42"/>
      <c r="OII243" s="42"/>
      <c r="OIJ243" s="42"/>
      <c r="OIK243" s="42"/>
      <c r="OIL243" s="42"/>
      <c r="OIM243" s="42"/>
      <c r="OIN243" s="42"/>
      <c r="OIO243" s="42"/>
      <c r="OIP243" s="42"/>
      <c r="OIQ243" s="42"/>
      <c r="OIR243" s="42"/>
      <c r="OIS243" s="42"/>
      <c r="OIT243" s="42"/>
      <c r="OIU243" s="42"/>
      <c r="OIV243" s="42"/>
      <c r="OIW243" s="42"/>
      <c r="OIX243" s="42"/>
      <c r="OIY243" s="42"/>
      <c r="OIZ243" s="42"/>
      <c r="OJA243" s="42"/>
      <c r="OJB243" s="42"/>
      <c r="OJC243" s="42"/>
      <c r="OJD243" s="42"/>
      <c r="OJE243" s="42"/>
      <c r="OJF243" s="42"/>
      <c r="OJG243" s="42"/>
      <c r="OJH243" s="42"/>
      <c r="OJI243" s="42"/>
      <c r="OJJ243" s="42"/>
      <c r="OJK243" s="42"/>
      <c r="OJL243" s="42"/>
      <c r="OJM243" s="42"/>
      <c r="OJN243" s="42"/>
      <c r="OJO243" s="42"/>
      <c r="OJP243" s="42"/>
      <c r="OJQ243" s="42"/>
      <c r="OJR243" s="42"/>
      <c r="OJS243" s="42"/>
      <c r="OJT243" s="42"/>
      <c r="OJU243" s="42"/>
      <c r="OJV243" s="42"/>
      <c r="OJW243" s="42"/>
      <c r="OJX243" s="42"/>
      <c r="OJY243" s="42"/>
      <c r="OJZ243" s="42"/>
      <c r="OKA243" s="42"/>
      <c r="OKB243" s="42"/>
      <c r="OKC243" s="42"/>
      <c r="OKD243" s="42"/>
      <c r="OKE243" s="42"/>
      <c r="OKF243" s="42"/>
      <c r="OKG243" s="42"/>
      <c r="OKH243" s="42"/>
      <c r="OKI243" s="42"/>
      <c r="OKJ243" s="42"/>
      <c r="OKK243" s="42"/>
      <c r="OKL243" s="42"/>
      <c r="OKM243" s="42"/>
      <c r="OKN243" s="42"/>
      <c r="OKO243" s="42"/>
      <c r="OKP243" s="42"/>
      <c r="OKQ243" s="42"/>
      <c r="OKR243" s="42"/>
      <c r="OKS243" s="42"/>
      <c r="OKT243" s="42"/>
      <c r="OKU243" s="42"/>
      <c r="OKV243" s="42"/>
      <c r="OKW243" s="42"/>
      <c r="OKX243" s="42"/>
      <c r="OKY243" s="42"/>
      <c r="OKZ243" s="42"/>
      <c r="OLA243" s="42"/>
      <c r="OLB243" s="42"/>
      <c r="OLC243" s="42"/>
      <c r="OLD243" s="42"/>
      <c r="OLE243" s="42"/>
      <c r="OLF243" s="42"/>
      <c r="OLG243" s="42"/>
      <c r="OLH243" s="42"/>
      <c r="OLI243" s="42"/>
      <c r="OLJ243" s="42"/>
      <c r="OLK243" s="42"/>
      <c r="OLL243" s="42"/>
      <c r="OLM243" s="42"/>
      <c r="OLN243" s="42"/>
      <c r="OLO243" s="42"/>
      <c r="OLP243" s="42"/>
      <c r="OLQ243" s="42"/>
      <c r="OLR243" s="42"/>
      <c r="OLS243" s="42"/>
      <c r="OLT243" s="42"/>
      <c r="OLU243" s="42"/>
      <c r="OLV243" s="42"/>
      <c r="OLW243" s="42"/>
      <c r="OLX243" s="42"/>
      <c r="OLY243" s="42"/>
      <c r="OLZ243" s="42"/>
      <c r="OMA243" s="42"/>
      <c r="OMB243" s="42"/>
      <c r="OMC243" s="42"/>
      <c r="OMD243" s="42"/>
      <c r="OME243" s="42"/>
      <c r="OMF243" s="42"/>
      <c r="OMG243" s="42"/>
      <c r="OMH243" s="42"/>
      <c r="OMI243" s="42"/>
      <c r="OMJ243" s="42"/>
      <c r="OMK243" s="42"/>
      <c r="OML243" s="42"/>
      <c r="OMM243" s="42"/>
      <c r="OMN243" s="42"/>
      <c r="OMO243" s="42"/>
      <c r="OMP243" s="42"/>
      <c r="OMQ243" s="42"/>
      <c r="OMR243" s="42"/>
      <c r="OMS243" s="42"/>
      <c r="OMT243" s="42"/>
      <c r="OMU243" s="42"/>
      <c r="OMV243" s="42"/>
      <c r="OMW243" s="42"/>
      <c r="OMX243" s="42"/>
      <c r="OMY243" s="42"/>
      <c r="OMZ243" s="42"/>
      <c r="ONA243" s="42"/>
      <c r="ONB243" s="42"/>
      <c r="ONC243" s="42"/>
      <c r="OND243" s="42"/>
      <c r="ONE243" s="42"/>
      <c r="ONF243" s="42"/>
      <c r="ONG243" s="42"/>
      <c r="ONH243" s="42"/>
      <c r="ONI243" s="42"/>
      <c r="ONJ243" s="42"/>
      <c r="ONK243" s="42"/>
      <c r="ONL243" s="42"/>
      <c r="ONM243" s="42"/>
      <c r="ONN243" s="42"/>
      <c r="ONO243" s="42"/>
      <c r="ONP243" s="42"/>
      <c r="ONQ243" s="42"/>
      <c r="ONR243" s="42"/>
      <c r="ONS243" s="42"/>
      <c r="ONT243" s="42"/>
      <c r="ONU243" s="42"/>
      <c r="ONV243" s="42"/>
      <c r="ONW243" s="42"/>
      <c r="ONX243" s="42"/>
      <c r="ONY243" s="42"/>
      <c r="ONZ243" s="42"/>
      <c r="OOA243" s="42"/>
      <c r="OOB243" s="42"/>
      <c r="OOC243" s="42"/>
      <c r="OOD243" s="42"/>
      <c r="OOE243" s="42"/>
      <c r="OOF243" s="42"/>
      <c r="OOG243" s="42"/>
      <c r="OOH243" s="42"/>
      <c r="OOI243" s="42"/>
      <c r="OOJ243" s="42"/>
      <c r="OOK243" s="42"/>
      <c r="OOL243" s="42"/>
      <c r="OOM243" s="42"/>
      <c r="OON243" s="42"/>
      <c r="OOO243" s="42"/>
      <c r="OOP243" s="42"/>
      <c r="OOQ243" s="42"/>
      <c r="OOR243" s="42"/>
      <c r="OOS243" s="42"/>
      <c r="OOT243" s="42"/>
      <c r="OOU243" s="42"/>
      <c r="OOV243" s="42"/>
      <c r="OOW243" s="42"/>
      <c r="OOX243" s="42"/>
      <c r="OOY243" s="42"/>
      <c r="OOZ243" s="42"/>
      <c r="OPA243" s="42"/>
      <c r="OPB243" s="42"/>
      <c r="OPC243" s="42"/>
      <c r="OPD243" s="42"/>
      <c r="OPE243" s="42"/>
      <c r="OPF243" s="42"/>
      <c r="OPG243" s="42"/>
      <c r="OPH243" s="42"/>
      <c r="OPI243" s="42"/>
      <c r="OPJ243" s="42"/>
      <c r="OPK243" s="42"/>
      <c r="OPL243" s="42"/>
      <c r="OPM243" s="42"/>
      <c r="OPN243" s="42"/>
      <c r="OPO243" s="42"/>
      <c r="OPP243" s="42"/>
      <c r="OPQ243" s="42"/>
      <c r="OPR243" s="42"/>
      <c r="OPS243" s="42"/>
      <c r="OPT243" s="42"/>
      <c r="OPU243" s="42"/>
      <c r="OPV243" s="42"/>
      <c r="OPW243" s="42"/>
      <c r="OPX243" s="42"/>
      <c r="OPY243" s="42"/>
      <c r="OPZ243" s="42"/>
      <c r="OQA243" s="42"/>
      <c r="OQB243" s="42"/>
      <c r="OQC243" s="42"/>
      <c r="OQD243" s="42"/>
      <c r="OQE243" s="42"/>
      <c r="OQF243" s="42"/>
      <c r="OQG243" s="42"/>
      <c r="OQH243" s="42"/>
      <c r="OQI243" s="42"/>
      <c r="OQJ243" s="42"/>
      <c r="OQK243" s="42"/>
      <c r="OQL243" s="42"/>
      <c r="OQM243" s="42"/>
      <c r="OQN243" s="42"/>
      <c r="OQO243" s="42"/>
      <c r="OQP243" s="42"/>
      <c r="OQQ243" s="42"/>
      <c r="OQR243" s="42"/>
      <c r="OQS243" s="42"/>
      <c r="OQT243" s="42"/>
      <c r="OQU243" s="42"/>
      <c r="OQV243" s="42"/>
      <c r="OQW243" s="42"/>
      <c r="OQX243" s="42"/>
      <c r="OQY243" s="42"/>
      <c r="OQZ243" s="42"/>
      <c r="ORA243" s="42"/>
      <c r="ORB243" s="42"/>
      <c r="ORC243" s="42"/>
      <c r="ORD243" s="42"/>
      <c r="ORE243" s="42"/>
      <c r="ORF243" s="42"/>
      <c r="ORG243" s="42"/>
      <c r="ORH243" s="42"/>
      <c r="ORI243" s="42"/>
      <c r="ORJ243" s="42"/>
      <c r="ORK243" s="42"/>
      <c r="ORL243" s="42"/>
      <c r="ORM243" s="42"/>
      <c r="ORN243" s="42"/>
      <c r="ORO243" s="42"/>
      <c r="ORP243" s="42"/>
      <c r="ORQ243" s="42"/>
      <c r="ORR243" s="42"/>
      <c r="ORS243" s="42"/>
      <c r="ORT243" s="42"/>
      <c r="ORU243" s="42"/>
      <c r="ORV243" s="42"/>
      <c r="ORW243" s="42"/>
      <c r="ORX243" s="42"/>
      <c r="ORY243" s="42"/>
      <c r="ORZ243" s="42"/>
      <c r="OSA243" s="42"/>
      <c r="OSB243" s="42"/>
      <c r="OSC243" s="42"/>
      <c r="OSD243" s="42"/>
      <c r="OSE243" s="42"/>
      <c r="OSF243" s="42"/>
      <c r="OSG243" s="42"/>
      <c r="OSH243" s="42"/>
      <c r="OSI243" s="42"/>
      <c r="OSJ243" s="42"/>
      <c r="OSK243" s="42"/>
      <c r="OSL243" s="42"/>
      <c r="OSM243" s="42"/>
      <c r="OSN243" s="42"/>
      <c r="OSO243" s="42"/>
      <c r="OSP243" s="42"/>
      <c r="OSQ243" s="42"/>
      <c r="OSR243" s="42"/>
      <c r="OSS243" s="42"/>
      <c r="OST243" s="42"/>
      <c r="OSU243" s="42"/>
      <c r="OSV243" s="42"/>
      <c r="OSW243" s="42"/>
      <c r="OSX243" s="42"/>
      <c r="OSY243" s="42"/>
      <c r="OSZ243" s="42"/>
      <c r="OTA243" s="42"/>
      <c r="OTB243" s="42"/>
      <c r="OTC243" s="42"/>
      <c r="OTD243" s="42"/>
      <c r="OTE243" s="42"/>
      <c r="OTF243" s="42"/>
      <c r="OTG243" s="42"/>
      <c r="OTH243" s="42"/>
      <c r="OTI243" s="42"/>
      <c r="OTJ243" s="42"/>
      <c r="OTK243" s="42"/>
      <c r="OTL243" s="42"/>
      <c r="OTM243" s="42"/>
      <c r="OTN243" s="42"/>
      <c r="OTO243" s="42"/>
      <c r="OTP243" s="42"/>
      <c r="OTQ243" s="42"/>
      <c r="OTR243" s="42"/>
      <c r="OTS243" s="42"/>
      <c r="OTT243" s="42"/>
      <c r="OTU243" s="42"/>
      <c r="OTV243" s="42"/>
      <c r="OTW243" s="42"/>
      <c r="OTX243" s="42"/>
      <c r="OTY243" s="42"/>
      <c r="OTZ243" s="42"/>
      <c r="OUA243" s="42"/>
      <c r="OUB243" s="42"/>
      <c r="OUC243" s="42"/>
      <c r="OUD243" s="42"/>
      <c r="OUE243" s="42"/>
      <c r="OUF243" s="42"/>
      <c r="OUG243" s="42"/>
      <c r="OUH243" s="42"/>
      <c r="OUI243" s="42"/>
      <c r="OUJ243" s="42"/>
      <c r="OUK243" s="42"/>
      <c r="OUL243" s="42"/>
      <c r="OUM243" s="42"/>
      <c r="OUN243" s="42"/>
      <c r="OUO243" s="42"/>
      <c r="OUP243" s="42"/>
      <c r="OUQ243" s="42"/>
      <c r="OUR243" s="42"/>
      <c r="OUS243" s="42"/>
      <c r="OUT243" s="42"/>
      <c r="OUU243" s="42"/>
      <c r="OUV243" s="42"/>
      <c r="OUW243" s="42"/>
      <c r="OUX243" s="42"/>
      <c r="OUY243" s="42"/>
      <c r="OUZ243" s="42"/>
      <c r="OVA243" s="42"/>
      <c r="OVB243" s="42"/>
      <c r="OVC243" s="42"/>
      <c r="OVD243" s="42"/>
      <c r="OVE243" s="42"/>
      <c r="OVF243" s="42"/>
      <c r="OVG243" s="42"/>
      <c r="OVH243" s="42"/>
      <c r="OVI243" s="42"/>
      <c r="OVJ243" s="42"/>
      <c r="OVK243" s="42"/>
      <c r="OVL243" s="42"/>
      <c r="OVM243" s="42"/>
      <c r="OVN243" s="42"/>
      <c r="OVO243" s="42"/>
      <c r="OVP243" s="42"/>
      <c r="OVQ243" s="42"/>
      <c r="OVR243" s="42"/>
      <c r="OVS243" s="42"/>
      <c r="OVT243" s="42"/>
      <c r="OVU243" s="42"/>
      <c r="OVV243" s="42"/>
      <c r="OVW243" s="42"/>
      <c r="OVX243" s="42"/>
      <c r="OVY243" s="42"/>
      <c r="OVZ243" s="42"/>
      <c r="OWA243" s="42"/>
      <c r="OWB243" s="42"/>
      <c r="OWC243" s="42"/>
      <c r="OWD243" s="42"/>
      <c r="OWE243" s="42"/>
      <c r="OWF243" s="42"/>
      <c r="OWG243" s="42"/>
      <c r="OWH243" s="42"/>
      <c r="OWI243" s="42"/>
      <c r="OWJ243" s="42"/>
      <c r="OWK243" s="42"/>
      <c r="OWL243" s="42"/>
      <c r="OWM243" s="42"/>
      <c r="OWN243" s="42"/>
      <c r="OWO243" s="42"/>
      <c r="OWP243" s="42"/>
      <c r="OWQ243" s="42"/>
      <c r="OWR243" s="42"/>
      <c r="OWS243" s="42"/>
      <c r="OWT243" s="42"/>
      <c r="OWU243" s="42"/>
      <c r="OWV243" s="42"/>
      <c r="OWW243" s="42"/>
      <c r="OWX243" s="42"/>
      <c r="OWY243" s="42"/>
      <c r="OWZ243" s="42"/>
      <c r="OXA243" s="42"/>
      <c r="OXB243" s="42"/>
      <c r="OXC243" s="42"/>
      <c r="OXD243" s="42"/>
      <c r="OXE243" s="42"/>
      <c r="OXF243" s="42"/>
      <c r="OXG243" s="42"/>
      <c r="OXH243" s="42"/>
      <c r="OXI243" s="42"/>
      <c r="OXJ243" s="42"/>
      <c r="OXK243" s="42"/>
      <c r="OXL243" s="42"/>
      <c r="OXM243" s="42"/>
      <c r="OXN243" s="42"/>
      <c r="OXO243" s="42"/>
      <c r="OXP243" s="42"/>
      <c r="OXQ243" s="42"/>
      <c r="OXR243" s="42"/>
      <c r="OXS243" s="42"/>
      <c r="OXT243" s="42"/>
      <c r="OXU243" s="42"/>
      <c r="OXV243" s="42"/>
      <c r="OXW243" s="42"/>
      <c r="OXX243" s="42"/>
      <c r="OXY243" s="42"/>
      <c r="OXZ243" s="42"/>
      <c r="OYA243" s="42"/>
      <c r="OYB243" s="42"/>
      <c r="OYC243" s="42"/>
      <c r="OYD243" s="42"/>
      <c r="OYE243" s="42"/>
      <c r="OYF243" s="42"/>
      <c r="OYG243" s="42"/>
      <c r="OYH243" s="42"/>
      <c r="OYI243" s="42"/>
      <c r="OYJ243" s="42"/>
      <c r="OYK243" s="42"/>
      <c r="OYL243" s="42"/>
      <c r="OYM243" s="42"/>
      <c r="OYN243" s="42"/>
      <c r="OYO243" s="42"/>
      <c r="OYP243" s="42"/>
      <c r="OYQ243" s="42"/>
      <c r="OYR243" s="42"/>
      <c r="OYS243" s="42"/>
      <c r="OYT243" s="42"/>
      <c r="OYU243" s="42"/>
      <c r="OYV243" s="42"/>
      <c r="OYW243" s="42"/>
      <c r="OYX243" s="42"/>
      <c r="OYY243" s="42"/>
      <c r="OYZ243" s="42"/>
      <c r="OZA243" s="42"/>
      <c r="OZB243" s="42"/>
      <c r="OZC243" s="42"/>
      <c r="OZD243" s="42"/>
      <c r="OZE243" s="42"/>
      <c r="OZF243" s="42"/>
      <c r="OZG243" s="42"/>
      <c r="OZH243" s="42"/>
      <c r="OZI243" s="42"/>
      <c r="OZJ243" s="42"/>
      <c r="OZK243" s="42"/>
      <c r="OZL243" s="42"/>
      <c r="OZM243" s="42"/>
      <c r="OZN243" s="42"/>
      <c r="OZO243" s="42"/>
      <c r="OZP243" s="42"/>
      <c r="OZQ243" s="42"/>
      <c r="OZR243" s="42"/>
      <c r="OZS243" s="42"/>
      <c r="OZT243" s="42"/>
      <c r="OZU243" s="42"/>
      <c r="OZV243" s="42"/>
      <c r="OZW243" s="42"/>
      <c r="OZX243" s="42"/>
      <c r="OZY243" s="42"/>
      <c r="OZZ243" s="42"/>
      <c r="PAA243" s="42"/>
      <c r="PAB243" s="42"/>
      <c r="PAC243" s="42"/>
      <c r="PAD243" s="42"/>
      <c r="PAE243" s="42"/>
      <c r="PAF243" s="42"/>
      <c r="PAG243" s="42"/>
      <c r="PAH243" s="42"/>
      <c r="PAI243" s="42"/>
      <c r="PAJ243" s="42"/>
      <c r="PAK243" s="42"/>
      <c r="PAL243" s="42"/>
      <c r="PAM243" s="42"/>
      <c r="PAN243" s="42"/>
      <c r="PAO243" s="42"/>
      <c r="PAP243" s="42"/>
      <c r="PAQ243" s="42"/>
      <c r="PAR243" s="42"/>
      <c r="PAS243" s="42"/>
      <c r="PAT243" s="42"/>
      <c r="PAU243" s="42"/>
      <c r="PAV243" s="42"/>
      <c r="PAW243" s="42"/>
      <c r="PAX243" s="42"/>
      <c r="PAY243" s="42"/>
      <c r="PAZ243" s="42"/>
      <c r="PBA243" s="42"/>
      <c r="PBB243" s="42"/>
      <c r="PBC243" s="42"/>
      <c r="PBD243" s="42"/>
      <c r="PBE243" s="42"/>
      <c r="PBF243" s="42"/>
      <c r="PBG243" s="42"/>
      <c r="PBH243" s="42"/>
      <c r="PBI243" s="42"/>
      <c r="PBJ243" s="42"/>
      <c r="PBK243" s="42"/>
      <c r="PBL243" s="42"/>
      <c r="PBM243" s="42"/>
      <c r="PBN243" s="42"/>
      <c r="PBO243" s="42"/>
      <c r="PBP243" s="42"/>
      <c r="PBQ243" s="42"/>
      <c r="PBR243" s="42"/>
      <c r="PBS243" s="42"/>
      <c r="PBT243" s="42"/>
      <c r="PBU243" s="42"/>
      <c r="PBV243" s="42"/>
      <c r="PBW243" s="42"/>
      <c r="PBX243" s="42"/>
      <c r="PBY243" s="42"/>
      <c r="PBZ243" s="42"/>
      <c r="PCA243" s="42"/>
      <c r="PCB243" s="42"/>
      <c r="PCC243" s="42"/>
      <c r="PCD243" s="42"/>
      <c r="PCE243" s="42"/>
      <c r="PCF243" s="42"/>
      <c r="PCG243" s="42"/>
      <c r="PCH243" s="42"/>
      <c r="PCI243" s="42"/>
      <c r="PCJ243" s="42"/>
      <c r="PCK243" s="42"/>
      <c r="PCL243" s="42"/>
      <c r="PCM243" s="42"/>
      <c r="PCN243" s="42"/>
      <c r="PCO243" s="42"/>
      <c r="PCP243" s="42"/>
      <c r="PCQ243" s="42"/>
      <c r="PCR243" s="42"/>
      <c r="PCS243" s="42"/>
      <c r="PCT243" s="42"/>
      <c r="PCU243" s="42"/>
      <c r="PCV243" s="42"/>
      <c r="PCW243" s="42"/>
      <c r="PCX243" s="42"/>
      <c r="PCY243" s="42"/>
      <c r="PCZ243" s="42"/>
      <c r="PDA243" s="42"/>
      <c r="PDB243" s="42"/>
      <c r="PDC243" s="42"/>
      <c r="PDD243" s="42"/>
      <c r="PDE243" s="42"/>
      <c r="PDF243" s="42"/>
      <c r="PDG243" s="42"/>
      <c r="PDH243" s="42"/>
      <c r="PDI243" s="42"/>
      <c r="PDJ243" s="42"/>
      <c r="PDK243" s="42"/>
      <c r="PDL243" s="42"/>
      <c r="PDM243" s="42"/>
      <c r="PDN243" s="42"/>
      <c r="PDO243" s="42"/>
      <c r="PDP243" s="42"/>
      <c r="PDQ243" s="42"/>
      <c r="PDR243" s="42"/>
      <c r="PDS243" s="42"/>
      <c r="PDT243" s="42"/>
      <c r="PDU243" s="42"/>
      <c r="PDV243" s="42"/>
      <c r="PDW243" s="42"/>
      <c r="PDX243" s="42"/>
      <c r="PDY243" s="42"/>
      <c r="PDZ243" s="42"/>
      <c r="PEA243" s="42"/>
      <c r="PEB243" s="42"/>
      <c r="PEC243" s="42"/>
      <c r="PED243" s="42"/>
      <c r="PEE243" s="42"/>
      <c r="PEF243" s="42"/>
      <c r="PEG243" s="42"/>
      <c r="PEH243" s="42"/>
      <c r="PEI243" s="42"/>
      <c r="PEJ243" s="42"/>
      <c r="PEK243" s="42"/>
      <c r="PEL243" s="42"/>
      <c r="PEM243" s="42"/>
      <c r="PEN243" s="42"/>
      <c r="PEO243" s="42"/>
      <c r="PEP243" s="42"/>
      <c r="PEQ243" s="42"/>
      <c r="PER243" s="42"/>
      <c r="PES243" s="42"/>
      <c r="PET243" s="42"/>
      <c r="PEU243" s="42"/>
      <c r="PEV243" s="42"/>
      <c r="PEW243" s="42"/>
      <c r="PEX243" s="42"/>
      <c r="PEY243" s="42"/>
      <c r="PEZ243" s="42"/>
      <c r="PFA243" s="42"/>
      <c r="PFB243" s="42"/>
      <c r="PFC243" s="42"/>
      <c r="PFD243" s="42"/>
      <c r="PFE243" s="42"/>
      <c r="PFF243" s="42"/>
      <c r="PFG243" s="42"/>
      <c r="PFH243" s="42"/>
      <c r="PFI243" s="42"/>
      <c r="PFJ243" s="42"/>
      <c r="PFK243" s="42"/>
      <c r="PFL243" s="42"/>
      <c r="PFM243" s="42"/>
      <c r="PFN243" s="42"/>
      <c r="PFO243" s="42"/>
      <c r="PFP243" s="42"/>
      <c r="PFQ243" s="42"/>
      <c r="PFR243" s="42"/>
      <c r="PFS243" s="42"/>
      <c r="PFT243" s="42"/>
      <c r="PFU243" s="42"/>
      <c r="PFV243" s="42"/>
      <c r="PFW243" s="42"/>
      <c r="PFX243" s="42"/>
      <c r="PFY243" s="42"/>
      <c r="PFZ243" s="42"/>
      <c r="PGA243" s="42"/>
      <c r="PGB243" s="42"/>
      <c r="PGC243" s="42"/>
      <c r="PGD243" s="42"/>
      <c r="PGE243" s="42"/>
      <c r="PGF243" s="42"/>
      <c r="PGG243" s="42"/>
      <c r="PGH243" s="42"/>
      <c r="PGI243" s="42"/>
      <c r="PGJ243" s="42"/>
      <c r="PGK243" s="42"/>
      <c r="PGL243" s="42"/>
      <c r="PGM243" s="42"/>
      <c r="PGN243" s="42"/>
      <c r="PGO243" s="42"/>
      <c r="PGP243" s="42"/>
      <c r="PGQ243" s="42"/>
      <c r="PGR243" s="42"/>
      <c r="PGS243" s="42"/>
      <c r="PGT243" s="42"/>
      <c r="PGU243" s="42"/>
      <c r="PGV243" s="42"/>
      <c r="PGW243" s="42"/>
      <c r="PGX243" s="42"/>
      <c r="PGY243" s="42"/>
      <c r="PGZ243" s="42"/>
      <c r="PHA243" s="42"/>
      <c r="PHB243" s="42"/>
      <c r="PHC243" s="42"/>
      <c r="PHD243" s="42"/>
      <c r="PHE243" s="42"/>
      <c r="PHF243" s="42"/>
      <c r="PHG243" s="42"/>
      <c r="PHH243" s="42"/>
      <c r="PHI243" s="42"/>
      <c r="PHJ243" s="42"/>
      <c r="PHK243" s="42"/>
      <c r="PHL243" s="42"/>
      <c r="PHM243" s="42"/>
      <c r="PHN243" s="42"/>
      <c r="PHO243" s="42"/>
      <c r="PHP243" s="42"/>
      <c r="PHQ243" s="42"/>
      <c r="PHR243" s="42"/>
      <c r="PHS243" s="42"/>
      <c r="PHT243" s="42"/>
      <c r="PHU243" s="42"/>
      <c r="PHV243" s="42"/>
      <c r="PHW243" s="42"/>
      <c r="PHX243" s="42"/>
      <c r="PHY243" s="42"/>
      <c r="PHZ243" s="42"/>
      <c r="PIA243" s="42"/>
      <c r="PIB243" s="42"/>
      <c r="PIC243" s="42"/>
      <c r="PID243" s="42"/>
      <c r="PIE243" s="42"/>
      <c r="PIF243" s="42"/>
      <c r="PIG243" s="42"/>
      <c r="PIH243" s="42"/>
      <c r="PII243" s="42"/>
      <c r="PIJ243" s="42"/>
      <c r="PIK243" s="42"/>
      <c r="PIL243" s="42"/>
      <c r="PIM243" s="42"/>
      <c r="PIN243" s="42"/>
      <c r="PIO243" s="42"/>
      <c r="PIP243" s="42"/>
      <c r="PIQ243" s="42"/>
      <c r="PIR243" s="42"/>
      <c r="PIS243" s="42"/>
      <c r="PIT243" s="42"/>
      <c r="PIU243" s="42"/>
      <c r="PIV243" s="42"/>
      <c r="PIW243" s="42"/>
      <c r="PIX243" s="42"/>
      <c r="PIY243" s="42"/>
      <c r="PIZ243" s="42"/>
      <c r="PJA243" s="42"/>
      <c r="PJB243" s="42"/>
      <c r="PJC243" s="42"/>
      <c r="PJD243" s="42"/>
      <c r="PJE243" s="42"/>
      <c r="PJF243" s="42"/>
      <c r="PJG243" s="42"/>
      <c r="PJH243" s="42"/>
      <c r="PJI243" s="42"/>
      <c r="PJJ243" s="42"/>
      <c r="PJK243" s="42"/>
      <c r="PJL243" s="42"/>
      <c r="PJM243" s="42"/>
      <c r="PJN243" s="42"/>
      <c r="PJO243" s="42"/>
      <c r="PJP243" s="42"/>
      <c r="PJQ243" s="42"/>
      <c r="PJR243" s="42"/>
      <c r="PJS243" s="42"/>
      <c r="PJT243" s="42"/>
      <c r="PJU243" s="42"/>
      <c r="PJV243" s="42"/>
      <c r="PJW243" s="42"/>
      <c r="PJX243" s="42"/>
      <c r="PJY243" s="42"/>
      <c r="PJZ243" s="42"/>
      <c r="PKA243" s="42"/>
      <c r="PKB243" s="42"/>
      <c r="PKC243" s="42"/>
      <c r="PKD243" s="42"/>
      <c r="PKE243" s="42"/>
      <c r="PKF243" s="42"/>
      <c r="PKG243" s="42"/>
      <c r="PKH243" s="42"/>
      <c r="PKI243" s="42"/>
      <c r="PKJ243" s="42"/>
      <c r="PKK243" s="42"/>
      <c r="PKL243" s="42"/>
      <c r="PKM243" s="42"/>
      <c r="PKN243" s="42"/>
      <c r="PKO243" s="42"/>
      <c r="PKP243" s="42"/>
      <c r="PKQ243" s="42"/>
      <c r="PKR243" s="42"/>
      <c r="PKS243" s="42"/>
      <c r="PKT243" s="42"/>
      <c r="PKU243" s="42"/>
      <c r="PKV243" s="42"/>
      <c r="PKW243" s="42"/>
      <c r="PKX243" s="42"/>
      <c r="PKY243" s="42"/>
      <c r="PKZ243" s="42"/>
      <c r="PLA243" s="42"/>
      <c r="PLB243" s="42"/>
      <c r="PLC243" s="42"/>
      <c r="PLD243" s="42"/>
      <c r="PLE243" s="42"/>
      <c r="PLF243" s="42"/>
      <c r="PLG243" s="42"/>
      <c r="PLH243" s="42"/>
      <c r="PLI243" s="42"/>
      <c r="PLJ243" s="42"/>
      <c r="PLK243" s="42"/>
      <c r="PLL243" s="42"/>
      <c r="PLM243" s="42"/>
      <c r="PLN243" s="42"/>
      <c r="PLO243" s="42"/>
      <c r="PLP243" s="42"/>
      <c r="PLQ243" s="42"/>
      <c r="PLR243" s="42"/>
      <c r="PLS243" s="42"/>
      <c r="PLT243" s="42"/>
      <c r="PLU243" s="42"/>
      <c r="PLV243" s="42"/>
      <c r="PLW243" s="42"/>
      <c r="PLX243" s="42"/>
      <c r="PLY243" s="42"/>
      <c r="PLZ243" s="42"/>
      <c r="PMA243" s="42"/>
      <c r="PMB243" s="42"/>
      <c r="PMC243" s="42"/>
      <c r="PMD243" s="42"/>
      <c r="PME243" s="42"/>
      <c r="PMF243" s="42"/>
      <c r="PMG243" s="42"/>
      <c r="PMH243" s="42"/>
      <c r="PMI243" s="42"/>
      <c r="PMJ243" s="42"/>
      <c r="PMK243" s="42"/>
      <c r="PML243" s="42"/>
      <c r="PMM243" s="42"/>
      <c r="PMN243" s="42"/>
      <c r="PMO243" s="42"/>
      <c r="PMP243" s="42"/>
      <c r="PMQ243" s="42"/>
      <c r="PMR243" s="42"/>
      <c r="PMS243" s="42"/>
      <c r="PMT243" s="42"/>
      <c r="PMU243" s="42"/>
      <c r="PMV243" s="42"/>
      <c r="PMW243" s="42"/>
      <c r="PMX243" s="42"/>
      <c r="PMY243" s="42"/>
      <c r="PMZ243" s="42"/>
      <c r="PNA243" s="42"/>
      <c r="PNB243" s="42"/>
      <c r="PNC243" s="42"/>
      <c r="PND243" s="42"/>
      <c r="PNE243" s="42"/>
      <c r="PNF243" s="42"/>
      <c r="PNG243" s="42"/>
      <c r="PNH243" s="42"/>
      <c r="PNI243" s="42"/>
      <c r="PNJ243" s="42"/>
      <c r="PNK243" s="42"/>
      <c r="PNL243" s="42"/>
      <c r="PNM243" s="42"/>
      <c r="PNN243" s="42"/>
      <c r="PNO243" s="42"/>
      <c r="PNP243" s="42"/>
      <c r="PNQ243" s="42"/>
      <c r="PNR243" s="42"/>
      <c r="PNS243" s="42"/>
      <c r="PNT243" s="42"/>
      <c r="PNU243" s="42"/>
      <c r="PNV243" s="42"/>
      <c r="PNW243" s="42"/>
      <c r="PNX243" s="42"/>
      <c r="PNY243" s="42"/>
      <c r="PNZ243" s="42"/>
      <c r="POA243" s="42"/>
      <c r="POB243" s="42"/>
      <c r="POC243" s="42"/>
      <c r="POD243" s="42"/>
      <c r="POE243" s="42"/>
      <c r="POF243" s="42"/>
      <c r="POG243" s="42"/>
      <c r="POH243" s="42"/>
      <c r="POI243" s="42"/>
      <c r="POJ243" s="42"/>
      <c r="POK243" s="42"/>
      <c r="POL243" s="42"/>
      <c r="POM243" s="42"/>
      <c r="PON243" s="42"/>
      <c r="POO243" s="42"/>
      <c r="POP243" s="42"/>
      <c r="POQ243" s="42"/>
      <c r="POR243" s="42"/>
      <c r="POS243" s="42"/>
      <c r="POT243" s="42"/>
      <c r="POU243" s="42"/>
      <c r="POV243" s="42"/>
      <c r="POW243" s="42"/>
      <c r="POX243" s="42"/>
      <c r="POY243" s="42"/>
      <c r="POZ243" s="42"/>
      <c r="PPA243" s="42"/>
      <c r="PPB243" s="42"/>
      <c r="PPC243" s="42"/>
      <c r="PPD243" s="42"/>
      <c r="PPE243" s="42"/>
      <c r="PPF243" s="42"/>
      <c r="PPG243" s="42"/>
      <c r="PPH243" s="42"/>
      <c r="PPI243" s="42"/>
      <c r="PPJ243" s="42"/>
      <c r="PPK243" s="42"/>
      <c r="PPL243" s="42"/>
      <c r="PPM243" s="42"/>
      <c r="PPN243" s="42"/>
      <c r="PPO243" s="42"/>
      <c r="PPP243" s="42"/>
      <c r="PPQ243" s="42"/>
      <c r="PPR243" s="42"/>
      <c r="PPS243" s="42"/>
      <c r="PPT243" s="42"/>
      <c r="PPU243" s="42"/>
      <c r="PPV243" s="42"/>
      <c r="PPW243" s="42"/>
      <c r="PPX243" s="42"/>
      <c r="PPY243" s="42"/>
      <c r="PPZ243" s="42"/>
      <c r="PQA243" s="42"/>
      <c r="PQB243" s="42"/>
      <c r="PQC243" s="42"/>
      <c r="PQD243" s="42"/>
      <c r="PQE243" s="42"/>
      <c r="PQF243" s="42"/>
      <c r="PQG243" s="42"/>
      <c r="PQH243" s="42"/>
      <c r="PQI243" s="42"/>
      <c r="PQJ243" s="42"/>
      <c r="PQK243" s="42"/>
      <c r="PQL243" s="42"/>
      <c r="PQM243" s="42"/>
      <c r="PQN243" s="42"/>
      <c r="PQO243" s="42"/>
      <c r="PQP243" s="42"/>
      <c r="PQQ243" s="42"/>
      <c r="PQR243" s="42"/>
      <c r="PQS243" s="42"/>
      <c r="PQT243" s="42"/>
      <c r="PQU243" s="42"/>
      <c r="PQV243" s="42"/>
      <c r="PQW243" s="42"/>
      <c r="PQX243" s="42"/>
      <c r="PQY243" s="42"/>
      <c r="PQZ243" s="42"/>
      <c r="PRA243" s="42"/>
      <c r="PRB243" s="42"/>
      <c r="PRC243" s="42"/>
      <c r="PRD243" s="42"/>
      <c r="PRE243" s="42"/>
      <c r="PRF243" s="42"/>
      <c r="PRG243" s="42"/>
      <c r="PRH243" s="42"/>
      <c r="PRI243" s="42"/>
      <c r="PRJ243" s="42"/>
      <c r="PRK243" s="42"/>
      <c r="PRL243" s="42"/>
      <c r="PRM243" s="42"/>
      <c r="PRN243" s="42"/>
      <c r="PRO243" s="42"/>
      <c r="PRP243" s="42"/>
      <c r="PRQ243" s="42"/>
      <c r="PRR243" s="42"/>
      <c r="PRS243" s="42"/>
      <c r="PRT243" s="42"/>
      <c r="PRU243" s="42"/>
      <c r="PRV243" s="42"/>
      <c r="PRW243" s="42"/>
      <c r="PRX243" s="42"/>
      <c r="PRY243" s="42"/>
      <c r="PRZ243" s="42"/>
      <c r="PSA243" s="42"/>
      <c r="PSB243" s="42"/>
      <c r="PSC243" s="42"/>
      <c r="PSD243" s="42"/>
      <c r="PSE243" s="42"/>
      <c r="PSF243" s="42"/>
      <c r="PSG243" s="42"/>
      <c r="PSH243" s="42"/>
      <c r="PSI243" s="42"/>
      <c r="PSJ243" s="42"/>
      <c r="PSK243" s="42"/>
      <c r="PSL243" s="42"/>
      <c r="PSM243" s="42"/>
      <c r="PSN243" s="42"/>
      <c r="PSO243" s="42"/>
      <c r="PSP243" s="42"/>
      <c r="PSQ243" s="42"/>
      <c r="PSR243" s="42"/>
      <c r="PSS243" s="42"/>
      <c r="PST243" s="42"/>
      <c r="PSU243" s="42"/>
      <c r="PSV243" s="42"/>
      <c r="PSW243" s="42"/>
      <c r="PSX243" s="42"/>
      <c r="PSY243" s="42"/>
      <c r="PSZ243" s="42"/>
      <c r="PTA243" s="42"/>
      <c r="PTB243" s="42"/>
      <c r="PTC243" s="42"/>
      <c r="PTD243" s="42"/>
      <c r="PTE243" s="42"/>
      <c r="PTF243" s="42"/>
      <c r="PTG243" s="42"/>
      <c r="PTH243" s="42"/>
      <c r="PTI243" s="42"/>
      <c r="PTJ243" s="42"/>
      <c r="PTK243" s="42"/>
      <c r="PTL243" s="42"/>
      <c r="PTM243" s="42"/>
      <c r="PTN243" s="42"/>
      <c r="PTO243" s="42"/>
      <c r="PTP243" s="42"/>
      <c r="PTQ243" s="42"/>
      <c r="PTR243" s="42"/>
      <c r="PTS243" s="42"/>
      <c r="PTT243" s="42"/>
      <c r="PTU243" s="42"/>
      <c r="PTV243" s="42"/>
      <c r="PTW243" s="42"/>
      <c r="PTX243" s="42"/>
      <c r="PTY243" s="42"/>
      <c r="PTZ243" s="42"/>
      <c r="PUA243" s="42"/>
      <c r="PUB243" s="42"/>
      <c r="PUC243" s="42"/>
      <c r="PUD243" s="42"/>
      <c r="PUE243" s="42"/>
      <c r="PUF243" s="42"/>
      <c r="PUG243" s="42"/>
      <c r="PUH243" s="42"/>
      <c r="PUI243" s="42"/>
      <c r="PUJ243" s="42"/>
      <c r="PUK243" s="42"/>
      <c r="PUL243" s="42"/>
      <c r="PUM243" s="42"/>
      <c r="PUN243" s="42"/>
      <c r="PUO243" s="42"/>
      <c r="PUP243" s="42"/>
      <c r="PUQ243" s="42"/>
      <c r="PUR243" s="42"/>
      <c r="PUS243" s="42"/>
      <c r="PUT243" s="42"/>
      <c r="PUU243" s="42"/>
      <c r="PUV243" s="42"/>
      <c r="PUW243" s="42"/>
      <c r="PUX243" s="42"/>
      <c r="PUY243" s="42"/>
      <c r="PUZ243" s="42"/>
      <c r="PVA243" s="42"/>
      <c r="PVB243" s="42"/>
      <c r="PVC243" s="42"/>
      <c r="PVD243" s="42"/>
      <c r="PVE243" s="42"/>
      <c r="PVF243" s="42"/>
      <c r="PVG243" s="42"/>
      <c r="PVH243" s="42"/>
      <c r="PVI243" s="42"/>
      <c r="PVJ243" s="42"/>
      <c r="PVK243" s="42"/>
      <c r="PVL243" s="42"/>
      <c r="PVM243" s="42"/>
      <c r="PVN243" s="42"/>
      <c r="PVO243" s="42"/>
      <c r="PVP243" s="42"/>
      <c r="PVQ243" s="42"/>
      <c r="PVR243" s="42"/>
      <c r="PVS243" s="42"/>
      <c r="PVT243" s="42"/>
      <c r="PVU243" s="42"/>
      <c r="PVV243" s="42"/>
      <c r="PVW243" s="42"/>
      <c r="PVX243" s="42"/>
      <c r="PVY243" s="42"/>
      <c r="PVZ243" s="42"/>
      <c r="PWA243" s="42"/>
      <c r="PWB243" s="42"/>
      <c r="PWC243" s="42"/>
      <c r="PWD243" s="42"/>
      <c r="PWE243" s="42"/>
      <c r="PWF243" s="42"/>
      <c r="PWG243" s="42"/>
      <c r="PWH243" s="42"/>
      <c r="PWI243" s="42"/>
      <c r="PWJ243" s="42"/>
      <c r="PWK243" s="42"/>
      <c r="PWL243" s="42"/>
      <c r="PWM243" s="42"/>
      <c r="PWN243" s="42"/>
      <c r="PWO243" s="42"/>
      <c r="PWP243" s="42"/>
      <c r="PWQ243" s="42"/>
      <c r="PWR243" s="42"/>
      <c r="PWS243" s="42"/>
      <c r="PWT243" s="42"/>
      <c r="PWU243" s="42"/>
      <c r="PWV243" s="42"/>
      <c r="PWW243" s="42"/>
      <c r="PWX243" s="42"/>
      <c r="PWY243" s="42"/>
      <c r="PWZ243" s="42"/>
      <c r="PXA243" s="42"/>
      <c r="PXB243" s="42"/>
      <c r="PXC243" s="42"/>
      <c r="PXD243" s="42"/>
      <c r="PXE243" s="42"/>
      <c r="PXF243" s="42"/>
      <c r="PXG243" s="42"/>
      <c r="PXH243" s="42"/>
      <c r="PXI243" s="42"/>
      <c r="PXJ243" s="42"/>
      <c r="PXK243" s="42"/>
      <c r="PXL243" s="42"/>
      <c r="PXM243" s="42"/>
      <c r="PXN243" s="42"/>
      <c r="PXO243" s="42"/>
      <c r="PXP243" s="42"/>
      <c r="PXQ243" s="42"/>
      <c r="PXR243" s="42"/>
      <c r="PXS243" s="42"/>
      <c r="PXT243" s="42"/>
      <c r="PXU243" s="42"/>
      <c r="PXV243" s="42"/>
      <c r="PXW243" s="42"/>
      <c r="PXX243" s="42"/>
      <c r="PXY243" s="42"/>
      <c r="PXZ243" s="42"/>
      <c r="PYA243" s="42"/>
      <c r="PYB243" s="42"/>
      <c r="PYC243" s="42"/>
      <c r="PYD243" s="42"/>
      <c r="PYE243" s="42"/>
      <c r="PYF243" s="42"/>
      <c r="PYG243" s="42"/>
      <c r="PYH243" s="42"/>
      <c r="PYI243" s="42"/>
      <c r="PYJ243" s="42"/>
      <c r="PYK243" s="42"/>
      <c r="PYL243" s="42"/>
      <c r="PYM243" s="42"/>
      <c r="PYN243" s="42"/>
      <c r="PYO243" s="42"/>
      <c r="PYP243" s="42"/>
      <c r="PYQ243" s="42"/>
      <c r="PYR243" s="42"/>
      <c r="PYS243" s="42"/>
      <c r="PYT243" s="42"/>
      <c r="PYU243" s="42"/>
      <c r="PYV243" s="42"/>
      <c r="PYW243" s="42"/>
      <c r="PYX243" s="42"/>
      <c r="PYY243" s="42"/>
      <c r="PYZ243" s="42"/>
      <c r="PZA243" s="42"/>
      <c r="PZB243" s="42"/>
      <c r="PZC243" s="42"/>
      <c r="PZD243" s="42"/>
      <c r="PZE243" s="42"/>
      <c r="PZF243" s="42"/>
      <c r="PZG243" s="42"/>
      <c r="PZH243" s="42"/>
      <c r="PZI243" s="42"/>
      <c r="PZJ243" s="42"/>
      <c r="PZK243" s="42"/>
      <c r="PZL243" s="42"/>
      <c r="PZM243" s="42"/>
      <c r="PZN243" s="42"/>
      <c r="PZO243" s="42"/>
      <c r="PZP243" s="42"/>
      <c r="PZQ243" s="42"/>
      <c r="PZR243" s="42"/>
      <c r="PZS243" s="42"/>
      <c r="PZT243" s="42"/>
      <c r="PZU243" s="42"/>
      <c r="PZV243" s="42"/>
      <c r="PZW243" s="42"/>
      <c r="PZX243" s="42"/>
      <c r="PZY243" s="42"/>
      <c r="PZZ243" s="42"/>
      <c r="QAA243" s="42"/>
      <c r="QAB243" s="42"/>
      <c r="QAC243" s="42"/>
      <c r="QAD243" s="42"/>
      <c r="QAE243" s="42"/>
      <c r="QAF243" s="42"/>
      <c r="QAG243" s="42"/>
      <c r="QAH243" s="42"/>
      <c r="QAI243" s="42"/>
      <c r="QAJ243" s="42"/>
      <c r="QAK243" s="42"/>
      <c r="QAL243" s="42"/>
      <c r="QAM243" s="42"/>
      <c r="QAN243" s="42"/>
      <c r="QAO243" s="42"/>
      <c r="QAP243" s="42"/>
      <c r="QAQ243" s="42"/>
      <c r="QAR243" s="42"/>
      <c r="QAS243" s="42"/>
      <c r="QAT243" s="42"/>
      <c r="QAU243" s="42"/>
      <c r="QAV243" s="42"/>
      <c r="QAW243" s="42"/>
      <c r="QAX243" s="42"/>
      <c r="QAY243" s="42"/>
      <c r="QAZ243" s="42"/>
      <c r="QBA243" s="42"/>
      <c r="QBB243" s="42"/>
      <c r="QBC243" s="42"/>
      <c r="QBD243" s="42"/>
      <c r="QBE243" s="42"/>
      <c r="QBF243" s="42"/>
      <c r="QBG243" s="42"/>
      <c r="QBH243" s="42"/>
      <c r="QBI243" s="42"/>
      <c r="QBJ243" s="42"/>
      <c r="QBK243" s="42"/>
      <c r="QBL243" s="42"/>
      <c r="QBM243" s="42"/>
      <c r="QBN243" s="42"/>
      <c r="QBO243" s="42"/>
      <c r="QBP243" s="42"/>
      <c r="QBQ243" s="42"/>
      <c r="QBR243" s="42"/>
      <c r="QBS243" s="42"/>
      <c r="QBT243" s="42"/>
      <c r="QBU243" s="42"/>
      <c r="QBV243" s="42"/>
      <c r="QBW243" s="42"/>
      <c r="QBX243" s="42"/>
      <c r="QBY243" s="42"/>
      <c r="QBZ243" s="42"/>
      <c r="QCA243" s="42"/>
      <c r="QCB243" s="42"/>
      <c r="QCC243" s="42"/>
      <c r="QCD243" s="42"/>
      <c r="QCE243" s="42"/>
      <c r="QCF243" s="42"/>
      <c r="QCG243" s="42"/>
      <c r="QCH243" s="42"/>
      <c r="QCI243" s="42"/>
      <c r="QCJ243" s="42"/>
      <c r="QCK243" s="42"/>
      <c r="QCL243" s="42"/>
      <c r="QCM243" s="42"/>
      <c r="QCN243" s="42"/>
      <c r="QCO243" s="42"/>
      <c r="QCP243" s="42"/>
      <c r="QCQ243" s="42"/>
      <c r="QCR243" s="42"/>
      <c r="QCS243" s="42"/>
      <c r="QCT243" s="42"/>
      <c r="QCU243" s="42"/>
      <c r="QCV243" s="42"/>
      <c r="QCW243" s="42"/>
      <c r="QCX243" s="42"/>
      <c r="QCY243" s="42"/>
      <c r="QCZ243" s="42"/>
      <c r="QDA243" s="42"/>
      <c r="QDB243" s="42"/>
      <c r="QDC243" s="42"/>
      <c r="QDD243" s="42"/>
      <c r="QDE243" s="42"/>
      <c r="QDF243" s="42"/>
      <c r="QDG243" s="42"/>
      <c r="QDH243" s="42"/>
      <c r="QDI243" s="42"/>
      <c r="QDJ243" s="42"/>
      <c r="QDK243" s="42"/>
      <c r="QDL243" s="42"/>
      <c r="QDM243" s="42"/>
      <c r="QDN243" s="42"/>
      <c r="QDO243" s="42"/>
      <c r="QDP243" s="42"/>
      <c r="QDQ243" s="42"/>
      <c r="QDR243" s="42"/>
      <c r="QDS243" s="42"/>
      <c r="QDT243" s="42"/>
      <c r="QDU243" s="42"/>
      <c r="QDV243" s="42"/>
      <c r="QDW243" s="42"/>
      <c r="QDX243" s="42"/>
      <c r="QDY243" s="42"/>
      <c r="QDZ243" s="42"/>
      <c r="QEA243" s="42"/>
      <c r="QEB243" s="42"/>
      <c r="QEC243" s="42"/>
      <c r="QED243" s="42"/>
      <c r="QEE243" s="42"/>
      <c r="QEF243" s="42"/>
      <c r="QEG243" s="42"/>
      <c r="QEH243" s="42"/>
      <c r="QEI243" s="42"/>
      <c r="QEJ243" s="42"/>
      <c r="QEK243" s="42"/>
      <c r="QEL243" s="42"/>
      <c r="QEM243" s="42"/>
      <c r="QEN243" s="42"/>
      <c r="QEO243" s="42"/>
      <c r="QEP243" s="42"/>
      <c r="QEQ243" s="42"/>
      <c r="QER243" s="42"/>
      <c r="QES243" s="42"/>
      <c r="QET243" s="42"/>
      <c r="QEU243" s="42"/>
      <c r="QEV243" s="42"/>
      <c r="QEW243" s="42"/>
      <c r="QEX243" s="42"/>
      <c r="QEY243" s="42"/>
      <c r="QEZ243" s="42"/>
      <c r="QFA243" s="42"/>
      <c r="QFB243" s="42"/>
      <c r="QFC243" s="42"/>
      <c r="QFD243" s="42"/>
      <c r="QFE243" s="42"/>
      <c r="QFF243" s="42"/>
      <c r="QFG243" s="42"/>
      <c r="QFH243" s="42"/>
      <c r="QFI243" s="42"/>
      <c r="QFJ243" s="42"/>
      <c r="QFK243" s="42"/>
      <c r="QFL243" s="42"/>
      <c r="QFM243" s="42"/>
      <c r="QFN243" s="42"/>
      <c r="QFO243" s="42"/>
      <c r="QFP243" s="42"/>
      <c r="QFQ243" s="42"/>
      <c r="QFR243" s="42"/>
      <c r="QFS243" s="42"/>
      <c r="QFT243" s="42"/>
      <c r="QFU243" s="42"/>
      <c r="QFV243" s="42"/>
      <c r="QFW243" s="42"/>
      <c r="QFX243" s="42"/>
      <c r="QFY243" s="42"/>
      <c r="QFZ243" s="42"/>
      <c r="QGA243" s="42"/>
      <c r="QGB243" s="42"/>
      <c r="QGC243" s="42"/>
      <c r="QGD243" s="42"/>
      <c r="QGE243" s="42"/>
      <c r="QGF243" s="42"/>
      <c r="QGG243" s="42"/>
      <c r="QGH243" s="42"/>
      <c r="QGI243" s="42"/>
      <c r="QGJ243" s="42"/>
      <c r="QGK243" s="42"/>
      <c r="QGL243" s="42"/>
      <c r="QGM243" s="42"/>
      <c r="QGN243" s="42"/>
      <c r="QGO243" s="42"/>
      <c r="QGP243" s="42"/>
      <c r="QGQ243" s="42"/>
      <c r="QGR243" s="42"/>
      <c r="QGS243" s="42"/>
      <c r="QGT243" s="42"/>
      <c r="QGU243" s="42"/>
      <c r="QGV243" s="42"/>
      <c r="QGW243" s="42"/>
      <c r="QGX243" s="42"/>
      <c r="QGY243" s="42"/>
      <c r="QGZ243" s="42"/>
      <c r="QHA243" s="42"/>
      <c r="QHB243" s="42"/>
      <c r="QHC243" s="42"/>
      <c r="QHD243" s="42"/>
      <c r="QHE243" s="42"/>
      <c r="QHF243" s="42"/>
      <c r="QHG243" s="42"/>
      <c r="QHH243" s="42"/>
      <c r="QHI243" s="42"/>
      <c r="QHJ243" s="42"/>
      <c r="QHK243" s="42"/>
      <c r="QHL243" s="42"/>
      <c r="QHM243" s="42"/>
      <c r="QHN243" s="42"/>
      <c r="QHO243" s="42"/>
      <c r="QHP243" s="42"/>
      <c r="QHQ243" s="42"/>
      <c r="QHR243" s="42"/>
      <c r="QHS243" s="42"/>
      <c r="QHT243" s="42"/>
      <c r="QHU243" s="42"/>
      <c r="QHV243" s="42"/>
      <c r="QHW243" s="42"/>
      <c r="QHX243" s="42"/>
      <c r="QHY243" s="42"/>
      <c r="QHZ243" s="42"/>
      <c r="QIA243" s="42"/>
      <c r="QIB243" s="42"/>
      <c r="QIC243" s="42"/>
      <c r="QID243" s="42"/>
      <c r="QIE243" s="42"/>
      <c r="QIF243" s="42"/>
      <c r="QIG243" s="42"/>
      <c r="QIH243" s="42"/>
      <c r="QII243" s="42"/>
      <c r="QIJ243" s="42"/>
      <c r="QIK243" s="42"/>
      <c r="QIL243" s="42"/>
      <c r="QIM243" s="42"/>
      <c r="QIN243" s="42"/>
      <c r="QIO243" s="42"/>
      <c r="QIP243" s="42"/>
      <c r="QIQ243" s="42"/>
      <c r="QIR243" s="42"/>
      <c r="QIS243" s="42"/>
      <c r="QIT243" s="42"/>
      <c r="QIU243" s="42"/>
      <c r="QIV243" s="42"/>
      <c r="QIW243" s="42"/>
      <c r="QIX243" s="42"/>
      <c r="QIY243" s="42"/>
      <c r="QIZ243" s="42"/>
      <c r="QJA243" s="42"/>
      <c r="QJB243" s="42"/>
      <c r="QJC243" s="42"/>
      <c r="QJD243" s="42"/>
      <c r="QJE243" s="42"/>
      <c r="QJF243" s="42"/>
      <c r="QJG243" s="42"/>
      <c r="QJH243" s="42"/>
      <c r="QJI243" s="42"/>
      <c r="QJJ243" s="42"/>
      <c r="QJK243" s="42"/>
      <c r="QJL243" s="42"/>
      <c r="QJM243" s="42"/>
      <c r="QJN243" s="42"/>
      <c r="QJO243" s="42"/>
      <c r="QJP243" s="42"/>
      <c r="QJQ243" s="42"/>
      <c r="QJR243" s="42"/>
      <c r="QJS243" s="42"/>
      <c r="QJT243" s="42"/>
      <c r="QJU243" s="42"/>
      <c r="QJV243" s="42"/>
      <c r="QJW243" s="42"/>
      <c r="QJX243" s="42"/>
      <c r="QJY243" s="42"/>
      <c r="QJZ243" s="42"/>
      <c r="QKA243" s="42"/>
      <c r="QKB243" s="42"/>
      <c r="QKC243" s="42"/>
      <c r="QKD243" s="42"/>
      <c r="QKE243" s="42"/>
      <c r="QKF243" s="42"/>
      <c r="QKG243" s="42"/>
      <c r="QKH243" s="42"/>
      <c r="QKI243" s="42"/>
      <c r="QKJ243" s="42"/>
      <c r="QKK243" s="42"/>
      <c r="QKL243" s="42"/>
      <c r="QKM243" s="42"/>
      <c r="QKN243" s="42"/>
      <c r="QKO243" s="42"/>
      <c r="QKP243" s="42"/>
      <c r="QKQ243" s="42"/>
      <c r="QKR243" s="42"/>
      <c r="QKS243" s="42"/>
      <c r="QKT243" s="42"/>
      <c r="QKU243" s="42"/>
      <c r="QKV243" s="42"/>
      <c r="QKW243" s="42"/>
      <c r="QKX243" s="42"/>
      <c r="QKY243" s="42"/>
      <c r="QKZ243" s="42"/>
      <c r="QLA243" s="42"/>
      <c r="QLB243" s="42"/>
      <c r="QLC243" s="42"/>
      <c r="QLD243" s="42"/>
      <c r="QLE243" s="42"/>
      <c r="QLF243" s="42"/>
      <c r="QLG243" s="42"/>
      <c r="QLH243" s="42"/>
      <c r="QLI243" s="42"/>
      <c r="QLJ243" s="42"/>
      <c r="QLK243" s="42"/>
      <c r="QLL243" s="42"/>
      <c r="QLM243" s="42"/>
      <c r="QLN243" s="42"/>
      <c r="QLO243" s="42"/>
      <c r="QLP243" s="42"/>
      <c r="QLQ243" s="42"/>
      <c r="QLR243" s="42"/>
      <c r="QLS243" s="42"/>
      <c r="QLT243" s="42"/>
      <c r="QLU243" s="42"/>
      <c r="QLV243" s="42"/>
      <c r="QLW243" s="42"/>
      <c r="QLX243" s="42"/>
      <c r="QLY243" s="42"/>
      <c r="QLZ243" s="42"/>
      <c r="QMA243" s="42"/>
      <c r="QMB243" s="42"/>
      <c r="QMC243" s="42"/>
      <c r="QMD243" s="42"/>
      <c r="QME243" s="42"/>
      <c r="QMF243" s="42"/>
      <c r="QMG243" s="42"/>
      <c r="QMH243" s="42"/>
      <c r="QMI243" s="42"/>
      <c r="QMJ243" s="42"/>
      <c r="QMK243" s="42"/>
      <c r="QML243" s="42"/>
      <c r="QMM243" s="42"/>
      <c r="QMN243" s="42"/>
      <c r="QMO243" s="42"/>
      <c r="QMP243" s="42"/>
      <c r="QMQ243" s="42"/>
      <c r="QMR243" s="42"/>
      <c r="QMS243" s="42"/>
      <c r="QMT243" s="42"/>
      <c r="QMU243" s="42"/>
      <c r="QMV243" s="42"/>
      <c r="QMW243" s="42"/>
      <c r="QMX243" s="42"/>
      <c r="QMY243" s="42"/>
      <c r="QMZ243" s="42"/>
      <c r="QNA243" s="42"/>
      <c r="QNB243" s="42"/>
      <c r="QNC243" s="42"/>
      <c r="QND243" s="42"/>
      <c r="QNE243" s="42"/>
      <c r="QNF243" s="42"/>
      <c r="QNG243" s="42"/>
      <c r="QNH243" s="42"/>
      <c r="QNI243" s="42"/>
      <c r="QNJ243" s="42"/>
      <c r="QNK243" s="42"/>
      <c r="QNL243" s="42"/>
      <c r="QNM243" s="42"/>
      <c r="QNN243" s="42"/>
      <c r="QNO243" s="42"/>
      <c r="QNP243" s="42"/>
      <c r="QNQ243" s="42"/>
      <c r="QNR243" s="42"/>
      <c r="QNS243" s="42"/>
      <c r="QNT243" s="42"/>
      <c r="QNU243" s="42"/>
      <c r="QNV243" s="42"/>
      <c r="QNW243" s="42"/>
      <c r="QNX243" s="42"/>
      <c r="QNY243" s="42"/>
      <c r="QNZ243" s="42"/>
      <c r="QOA243" s="42"/>
      <c r="QOB243" s="42"/>
      <c r="QOC243" s="42"/>
      <c r="QOD243" s="42"/>
      <c r="QOE243" s="42"/>
      <c r="QOF243" s="42"/>
      <c r="QOG243" s="42"/>
      <c r="QOH243" s="42"/>
      <c r="QOI243" s="42"/>
      <c r="QOJ243" s="42"/>
      <c r="QOK243" s="42"/>
      <c r="QOL243" s="42"/>
      <c r="QOM243" s="42"/>
      <c r="QON243" s="42"/>
      <c r="QOO243" s="42"/>
      <c r="QOP243" s="42"/>
      <c r="QOQ243" s="42"/>
      <c r="QOR243" s="42"/>
      <c r="QOS243" s="42"/>
      <c r="QOT243" s="42"/>
      <c r="QOU243" s="42"/>
      <c r="QOV243" s="42"/>
      <c r="QOW243" s="42"/>
      <c r="QOX243" s="42"/>
      <c r="QOY243" s="42"/>
      <c r="QOZ243" s="42"/>
      <c r="QPA243" s="42"/>
      <c r="QPB243" s="42"/>
      <c r="QPC243" s="42"/>
      <c r="QPD243" s="42"/>
      <c r="QPE243" s="42"/>
      <c r="QPF243" s="42"/>
      <c r="QPG243" s="42"/>
      <c r="QPH243" s="42"/>
      <c r="QPI243" s="42"/>
      <c r="QPJ243" s="42"/>
      <c r="QPK243" s="42"/>
      <c r="QPL243" s="42"/>
      <c r="QPM243" s="42"/>
      <c r="QPN243" s="42"/>
      <c r="QPO243" s="42"/>
      <c r="QPP243" s="42"/>
      <c r="QPQ243" s="42"/>
      <c r="QPR243" s="42"/>
      <c r="QPS243" s="42"/>
      <c r="QPT243" s="42"/>
      <c r="QPU243" s="42"/>
      <c r="QPV243" s="42"/>
      <c r="QPW243" s="42"/>
      <c r="QPX243" s="42"/>
      <c r="QPY243" s="42"/>
      <c r="QPZ243" s="42"/>
      <c r="QQA243" s="42"/>
      <c r="QQB243" s="42"/>
      <c r="QQC243" s="42"/>
      <c r="QQD243" s="42"/>
      <c r="QQE243" s="42"/>
      <c r="QQF243" s="42"/>
      <c r="QQG243" s="42"/>
      <c r="QQH243" s="42"/>
      <c r="QQI243" s="42"/>
      <c r="QQJ243" s="42"/>
      <c r="QQK243" s="42"/>
      <c r="QQL243" s="42"/>
      <c r="QQM243" s="42"/>
      <c r="QQN243" s="42"/>
      <c r="QQO243" s="42"/>
      <c r="QQP243" s="42"/>
      <c r="QQQ243" s="42"/>
      <c r="QQR243" s="42"/>
      <c r="QQS243" s="42"/>
      <c r="QQT243" s="42"/>
      <c r="QQU243" s="42"/>
      <c r="QQV243" s="42"/>
      <c r="QQW243" s="42"/>
      <c r="QQX243" s="42"/>
      <c r="QQY243" s="42"/>
      <c r="QQZ243" s="42"/>
      <c r="QRA243" s="42"/>
      <c r="QRB243" s="42"/>
      <c r="QRC243" s="42"/>
      <c r="QRD243" s="42"/>
      <c r="QRE243" s="42"/>
      <c r="QRF243" s="42"/>
      <c r="QRG243" s="42"/>
      <c r="QRH243" s="42"/>
      <c r="QRI243" s="42"/>
      <c r="QRJ243" s="42"/>
      <c r="QRK243" s="42"/>
      <c r="QRL243" s="42"/>
      <c r="QRM243" s="42"/>
      <c r="QRN243" s="42"/>
      <c r="QRO243" s="42"/>
      <c r="QRP243" s="42"/>
      <c r="QRQ243" s="42"/>
      <c r="QRR243" s="42"/>
      <c r="QRS243" s="42"/>
      <c r="QRT243" s="42"/>
      <c r="QRU243" s="42"/>
      <c r="QRV243" s="42"/>
      <c r="QRW243" s="42"/>
      <c r="QRX243" s="42"/>
      <c r="QRY243" s="42"/>
      <c r="QRZ243" s="42"/>
      <c r="QSA243" s="42"/>
      <c r="QSB243" s="42"/>
      <c r="QSC243" s="42"/>
      <c r="QSD243" s="42"/>
      <c r="QSE243" s="42"/>
      <c r="QSF243" s="42"/>
      <c r="QSG243" s="42"/>
      <c r="QSH243" s="42"/>
      <c r="QSI243" s="42"/>
      <c r="QSJ243" s="42"/>
      <c r="QSK243" s="42"/>
      <c r="QSL243" s="42"/>
      <c r="QSM243" s="42"/>
      <c r="QSN243" s="42"/>
      <c r="QSO243" s="42"/>
      <c r="QSP243" s="42"/>
      <c r="QSQ243" s="42"/>
      <c r="QSR243" s="42"/>
      <c r="QSS243" s="42"/>
      <c r="QST243" s="42"/>
      <c r="QSU243" s="42"/>
      <c r="QSV243" s="42"/>
      <c r="QSW243" s="42"/>
      <c r="QSX243" s="42"/>
      <c r="QSY243" s="42"/>
      <c r="QSZ243" s="42"/>
      <c r="QTA243" s="42"/>
      <c r="QTB243" s="42"/>
      <c r="QTC243" s="42"/>
      <c r="QTD243" s="42"/>
      <c r="QTE243" s="42"/>
      <c r="QTF243" s="42"/>
      <c r="QTG243" s="42"/>
      <c r="QTH243" s="42"/>
      <c r="QTI243" s="42"/>
      <c r="QTJ243" s="42"/>
      <c r="QTK243" s="42"/>
      <c r="QTL243" s="42"/>
      <c r="QTM243" s="42"/>
      <c r="QTN243" s="42"/>
      <c r="QTO243" s="42"/>
      <c r="QTP243" s="42"/>
      <c r="QTQ243" s="42"/>
      <c r="QTR243" s="42"/>
      <c r="QTS243" s="42"/>
      <c r="QTT243" s="42"/>
      <c r="QTU243" s="42"/>
      <c r="QTV243" s="42"/>
      <c r="QTW243" s="42"/>
      <c r="QTX243" s="42"/>
      <c r="QTY243" s="42"/>
      <c r="QTZ243" s="42"/>
      <c r="QUA243" s="42"/>
      <c r="QUB243" s="42"/>
      <c r="QUC243" s="42"/>
      <c r="QUD243" s="42"/>
      <c r="QUE243" s="42"/>
      <c r="QUF243" s="42"/>
      <c r="QUG243" s="42"/>
      <c r="QUH243" s="42"/>
      <c r="QUI243" s="42"/>
      <c r="QUJ243" s="42"/>
      <c r="QUK243" s="42"/>
      <c r="QUL243" s="42"/>
      <c r="QUM243" s="42"/>
      <c r="QUN243" s="42"/>
      <c r="QUO243" s="42"/>
      <c r="QUP243" s="42"/>
      <c r="QUQ243" s="42"/>
      <c r="QUR243" s="42"/>
      <c r="QUS243" s="42"/>
      <c r="QUT243" s="42"/>
      <c r="QUU243" s="42"/>
      <c r="QUV243" s="42"/>
      <c r="QUW243" s="42"/>
      <c r="QUX243" s="42"/>
      <c r="QUY243" s="42"/>
      <c r="QUZ243" s="42"/>
      <c r="QVA243" s="42"/>
      <c r="QVB243" s="42"/>
      <c r="QVC243" s="42"/>
      <c r="QVD243" s="42"/>
      <c r="QVE243" s="42"/>
      <c r="QVF243" s="42"/>
      <c r="QVG243" s="42"/>
      <c r="QVH243" s="42"/>
      <c r="QVI243" s="42"/>
      <c r="QVJ243" s="42"/>
      <c r="QVK243" s="42"/>
      <c r="QVL243" s="42"/>
      <c r="QVM243" s="42"/>
      <c r="QVN243" s="42"/>
      <c r="QVO243" s="42"/>
      <c r="QVP243" s="42"/>
      <c r="QVQ243" s="42"/>
      <c r="QVR243" s="42"/>
      <c r="QVS243" s="42"/>
      <c r="QVT243" s="42"/>
      <c r="QVU243" s="42"/>
      <c r="QVV243" s="42"/>
      <c r="QVW243" s="42"/>
      <c r="QVX243" s="42"/>
      <c r="QVY243" s="42"/>
      <c r="QVZ243" s="42"/>
      <c r="QWA243" s="42"/>
      <c r="QWB243" s="42"/>
      <c r="QWC243" s="42"/>
      <c r="QWD243" s="42"/>
      <c r="QWE243" s="42"/>
      <c r="QWF243" s="42"/>
      <c r="QWG243" s="42"/>
      <c r="QWH243" s="42"/>
      <c r="QWI243" s="42"/>
      <c r="QWJ243" s="42"/>
      <c r="QWK243" s="42"/>
      <c r="QWL243" s="42"/>
      <c r="QWM243" s="42"/>
      <c r="QWN243" s="42"/>
      <c r="QWO243" s="42"/>
      <c r="QWP243" s="42"/>
      <c r="QWQ243" s="42"/>
      <c r="QWR243" s="42"/>
      <c r="QWS243" s="42"/>
      <c r="QWT243" s="42"/>
      <c r="QWU243" s="42"/>
      <c r="QWV243" s="42"/>
      <c r="QWW243" s="42"/>
      <c r="QWX243" s="42"/>
      <c r="QWY243" s="42"/>
      <c r="QWZ243" s="42"/>
      <c r="QXA243" s="42"/>
      <c r="QXB243" s="42"/>
      <c r="QXC243" s="42"/>
      <c r="QXD243" s="42"/>
      <c r="QXE243" s="42"/>
      <c r="QXF243" s="42"/>
      <c r="QXG243" s="42"/>
      <c r="QXH243" s="42"/>
      <c r="QXI243" s="42"/>
      <c r="QXJ243" s="42"/>
      <c r="QXK243" s="42"/>
      <c r="QXL243" s="42"/>
      <c r="QXM243" s="42"/>
      <c r="QXN243" s="42"/>
      <c r="QXO243" s="42"/>
      <c r="QXP243" s="42"/>
      <c r="QXQ243" s="42"/>
      <c r="QXR243" s="42"/>
      <c r="QXS243" s="42"/>
      <c r="QXT243" s="42"/>
      <c r="QXU243" s="42"/>
      <c r="QXV243" s="42"/>
      <c r="QXW243" s="42"/>
      <c r="QXX243" s="42"/>
      <c r="QXY243" s="42"/>
      <c r="QXZ243" s="42"/>
      <c r="QYA243" s="42"/>
      <c r="QYB243" s="42"/>
      <c r="QYC243" s="42"/>
      <c r="QYD243" s="42"/>
      <c r="QYE243" s="42"/>
      <c r="QYF243" s="42"/>
      <c r="QYG243" s="42"/>
      <c r="QYH243" s="42"/>
      <c r="QYI243" s="42"/>
      <c r="QYJ243" s="42"/>
      <c r="QYK243" s="42"/>
      <c r="QYL243" s="42"/>
      <c r="QYM243" s="42"/>
      <c r="QYN243" s="42"/>
      <c r="QYO243" s="42"/>
      <c r="QYP243" s="42"/>
      <c r="QYQ243" s="42"/>
      <c r="QYR243" s="42"/>
      <c r="QYS243" s="42"/>
      <c r="QYT243" s="42"/>
      <c r="QYU243" s="42"/>
      <c r="QYV243" s="42"/>
      <c r="QYW243" s="42"/>
      <c r="QYX243" s="42"/>
      <c r="QYY243" s="42"/>
      <c r="QYZ243" s="42"/>
      <c r="QZA243" s="42"/>
      <c r="QZB243" s="42"/>
      <c r="QZC243" s="42"/>
      <c r="QZD243" s="42"/>
      <c r="QZE243" s="42"/>
      <c r="QZF243" s="42"/>
      <c r="QZG243" s="42"/>
      <c r="QZH243" s="42"/>
      <c r="QZI243" s="42"/>
      <c r="QZJ243" s="42"/>
      <c r="QZK243" s="42"/>
      <c r="QZL243" s="42"/>
      <c r="QZM243" s="42"/>
      <c r="QZN243" s="42"/>
      <c r="QZO243" s="42"/>
      <c r="QZP243" s="42"/>
      <c r="QZQ243" s="42"/>
      <c r="QZR243" s="42"/>
      <c r="QZS243" s="42"/>
      <c r="QZT243" s="42"/>
      <c r="QZU243" s="42"/>
      <c r="QZV243" s="42"/>
      <c r="QZW243" s="42"/>
      <c r="QZX243" s="42"/>
      <c r="QZY243" s="42"/>
      <c r="QZZ243" s="42"/>
      <c r="RAA243" s="42"/>
      <c r="RAB243" s="42"/>
      <c r="RAC243" s="42"/>
      <c r="RAD243" s="42"/>
      <c r="RAE243" s="42"/>
      <c r="RAF243" s="42"/>
      <c r="RAG243" s="42"/>
      <c r="RAH243" s="42"/>
      <c r="RAI243" s="42"/>
      <c r="RAJ243" s="42"/>
      <c r="RAK243" s="42"/>
      <c r="RAL243" s="42"/>
      <c r="RAM243" s="42"/>
      <c r="RAN243" s="42"/>
      <c r="RAO243" s="42"/>
      <c r="RAP243" s="42"/>
      <c r="RAQ243" s="42"/>
      <c r="RAR243" s="42"/>
      <c r="RAS243" s="42"/>
      <c r="RAT243" s="42"/>
      <c r="RAU243" s="42"/>
      <c r="RAV243" s="42"/>
      <c r="RAW243" s="42"/>
      <c r="RAX243" s="42"/>
      <c r="RAY243" s="42"/>
      <c r="RAZ243" s="42"/>
      <c r="RBA243" s="42"/>
      <c r="RBB243" s="42"/>
      <c r="RBC243" s="42"/>
      <c r="RBD243" s="42"/>
      <c r="RBE243" s="42"/>
      <c r="RBF243" s="42"/>
      <c r="RBG243" s="42"/>
      <c r="RBH243" s="42"/>
      <c r="RBI243" s="42"/>
      <c r="RBJ243" s="42"/>
      <c r="RBK243" s="42"/>
      <c r="RBL243" s="42"/>
      <c r="RBM243" s="42"/>
      <c r="RBN243" s="42"/>
      <c r="RBO243" s="42"/>
      <c r="RBP243" s="42"/>
      <c r="RBQ243" s="42"/>
      <c r="RBR243" s="42"/>
      <c r="RBS243" s="42"/>
      <c r="RBT243" s="42"/>
      <c r="RBU243" s="42"/>
      <c r="RBV243" s="42"/>
      <c r="RBW243" s="42"/>
      <c r="RBX243" s="42"/>
      <c r="RBY243" s="42"/>
      <c r="RBZ243" s="42"/>
      <c r="RCA243" s="42"/>
      <c r="RCB243" s="42"/>
      <c r="RCC243" s="42"/>
      <c r="RCD243" s="42"/>
      <c r="RCE243" s="42"/>
      <c r="RCF243" s="42"/>
      <c r="RCG243" s="42"/>
      <c r="RCH243" s="42"/>
      <c r="RCI243" s="42"/>
      <c r="RCJ243" s="42"/>
      <c r="RCK243" s="42"/>
      <c r="RCL243" s="42"/>
      <c r="RCM243" s="42"/>
      <c r="RCN243" s="42"/>
      <c r="RCO243" s="42"/>
      <c r="RCP243" s="42"/>
      <c r="RCQ243" s="42"/>
      <c r="RCR243" s="42"/>
      <c r="RCS243" s="42"/>
      <c r="RCT243" s="42"/>
      <c r="RCU243" s="42"/>
      <c r="RCV243" s="42"/>
      <c r="RCW243" s="42"/>
      <c r="RCX243" s="42"/>
      <c r="RCY243" s="42"/>
      <c r="RCZ243" s="42"/>
      <c r="RDA243" s="42"/>
      <c r="RDB243" s="42"/>
      <c r="RDC243" s="42"/>
      <c r="RDD243" s="42"/>
      <c r="RDE243" s="42"/>
      <c r="RDF243" s="42"/>
      <c r="RDG243" s="42"/>
      <c r="RDH243" s="42"/>
      <c r="RDI243" s="42"/>
      <c r="RDJ243" s="42"/>
      <c r="RDK243" s="42"/>
      <c r="RDL243" s="42"/>
      <c r="RDM243" s="42"/>
      <c r="RDN243" s="42"/>
      <c r="RDO243" s="42"/>
      <c r="RDP243" s="42"/>
      <c r="RDQ243" s="42"/>
      <c r="RDR243" s="42"/>
      <c r="RDS243" s="42"/>
      <c r="RDT243" s="42"/>
      <c r="RDU243" s="42"/>
      <c r="RDV243" s="42"/>
      <c r="RDW243" s="42"/>
      <c r="RDX243" s="42"/>
      <c r="RDY243" s="42"/>
      <c r="RDZ243" s="42"/>
      <c r="REA243" s="42"/>
      <c r="REB243" s="42"/>
      <c r="REC243" s="42"/>
      <c r="RED243" s="42"/>
      <c r="REE243" s="42"/>
      <c r="REF243" s="42"/>
      <c r="REG243" s="42"/>
      <c r="REH243" s="42"/>
      <c r="REI243" s="42"/>
      <c r="REJ243" s="42"/>
      <c r="REK243" s="42"/>
      <c r="REL243" s="42"/>
      <c r="REM243" s="42"/>
      <c r="REN243" s="42"/>
      <c r="REO243" s="42"/>
      <c r="REP243" s="42"/>
      <c r="REQ243" s="42"/>
      <c r="RER243" s="42"/>
      <c r="RES243" s="42"/>
      <c r="RET243" s="42"/>
      <c r="REU243" s="42"/>
      <c r="REV243" s="42"/>
      <c r="REW243" s="42"/>
      <c r="REX243" s="42"/>
      <c r="REY243" s="42"/>
      <c r="REZ243" s="42"/>
      <c r="RFA243" s="42"/>
      <c r="RFB243" s="42"/>
      <c r="RFC243" s="42"/>
      <c r="RFD243" s="42"/>
      <c r="RFE243" s="42"/>
      <c r="RFF243" s="42"/>
      <c r="RFG243" s="42"/>
      <c r="RFH243" s="42"/>
      <c r="RFI243" s="42"/>
      <c r="RFJ243" s="42"/>
      <c r="RFK243" s="42"/>
      <c r="RFL243" s="42"/>
      <c r="RFM243" s="42"/>
      <c r="RFN243" s="42"/>
      <c r="RFO243" s="42"/>
      <c r="RFP243" s="42"/>
      <c r="RFQ243" s="42"/>
      <c r="RFR243" s="42"/>
      <c r="RFS243" s="42"/>
      <c r="RFT243" s="42"/>
      <c r="RFU243" s="42"/>
      <c r="RFV243" s="42"/>
      <c r="RFW243" s="42"/>
      <c r="RFX243" s="42"/>
      <c r="RFY243" s="42"/>
      <c r="RFZ243" s="42"/>
      <c r="RGA243" s="42"/>
      <c r="RGB243" s="42"/>
      <c r="RGC243" s="42"/>
      <c r="RGD243" s="42"/>
      <c r="RGE243" s="42"/>
      <c r="RGF243" s="42"/>
      <c r="RGG243" s="42"/>
      <c r="RGH243" s="42"/>
      <c r="RGI243" s="42"/>
      <c r="RGJ243" s="42"/>
      <c r="RGK243" s="42"/>
      <c r="RGL243" s="42"/>
      <c r="RGM243" s="42"/>
      <c r="RGN243" s="42"/>
      <c r="RGO243" s="42"/>
      <c r="RGP243" s="42"/>
      <c r="RGQ243" s="42"/>
      <c r="RGR243" s="42"/>
      <c r="RGS243" s="42"/>
      <c r="RGT243" s="42"/>
      <c r="RGU243" s="42"/>
      <c r="RGV243" s="42"/>
      <c r="RGW243" s="42"/>
      <c r="RGX243" s="42"/>
      <c r="RGY243" s="42"/>
      <c r="RGZ243" s="42"/>
      <c r="RHA243" s="42"/>
      <c r="RHB243" s="42"/>
      <c r="RHC243" s="42"/>
      <c r="RHD243" s="42"/>
      <c r="RHE243" s="42"/>
      <c r="RHF243" s="42"/>
      <c r="RHG243" s="42"/>
      <c r="RHH243" s="42"/>
      <c r="RHI243" s="42"/>
      <c r="RHJ243" s="42"/>
      <c r="RHK243" s="42"/>
      <c r="RHL243" s="42"/>
      <c r="RHM243" s="42"/>
      <c r="RHN243" s="42"/>
      <c r="RHO243" s="42"/>
      <c r="RHP243" s="42"/>
      <c r="RHQ243" s="42"/>
      <c r="RHR243" s="42"/>
      <c r="RHS243" s="42"/>
      <c r="RHT243" s="42"/>
      <c r="RHU243" s="42"/>
      <c r="RHV243" s="42"/>
      <c r="RHW243" s="42"/>
      <c r="RHX243" s="42"/>
      <c r="RHY243" s="42"/>
      <c r="RHZ243" s="42"/>
      <c r="RIA243" s="42"/>
      <c r="RIB243" s="42"/>
      <c r="RIC243" s="42"/>
      <c r="RID243" s="42"/>
      <c r="RIE243" s="42"/>
      <c r="RIF243" s="42"/>
      <c r="RIG243" s="42"/>
      <c r="RIH243" s="42"/>
      <c r="RII243" s="42"/>
      <c r="RIJ243" s="42"/>
      <c r="RIK243" s="42"/>
      <c r="RIL243" s="42"/>
      <c r="RIM243" s="42"/>
      <c r="RIN243" s="42"/>
      <c r="RIO243" s="42"/>
      <c r="RIP243" s="42"/>
      <c r="RIQ243" s="42"/>
      <c r="RIR243" s="42"/>
      <c r="RIS243" s="42"/>
      <c r="RIT243" s="42"/>
      <c r="RIU243" s="42"/>
      <c r="RIV243" s="42"/>
      <c r="RIW243" s="42"/>
      <c r="RIX243" s="42"/>
      <c r="RIY243" s="42"/>
      <c r="RIZ243" s="42"/>
      <c r="RJA243" s="42"/>
      <c r="RJB243" s="42"/>
      <c r="RJC243" s="42"/>
      <c r="RJD243" s="42"/>
      <c r="RJE243" s="42"/>
      <c r="RJF243" s="42"/>
      <c r="RJG243" s="42"/>
      <c r="RJH243" s="42"/>
      <c r="RJI243" s="42"/>
      <c r="RJJ243" s="42"/>
      <c r="RJK243" s="42"/>
      <c r="RJL243" s="42"/>
      <c r="RJM243" s="42"/>
      <c r="RJN243" s="42"/>
      <c r="RJO243" s="42"/>
      <c r="RJP243" s="42"/>
      <c r="RJQ243" s="42"/>
      <c r="RJR243" s="42"/>
      <c r="RJS243" s="42"/>
      <c r="RJT243" s="42"/>
      <c r="RJU243" s="42"/>
      <c r="RJV243" s="42"/>
      <c r="RJW243" s="42"/>
      <c r="RJX243" s="42"/>
      <c r="RJY243" s="42"/>
      <c r="RJZ243" s="42"/>
      <c r="RKA243" s="42"/>
      <c r="RKB243" s="42"/>
      <c r="RKC243" s="42"/>
      <c r="RKD243" s="42"/>
      <c r="RKE243" s="42"/>
      <c r="RKF243" s="42"/>
      <c r="RKG243" s="42"/>
      <c r="RKH243" s="42"/>
      <c r="RKI243" s="42"/>
      <c r="RKJ243" s="42"/>
      <c r="RKK243" s="42"/>
      <c r="RKL243" s="42"/>
      <c r="RKM243" s="42"/>
      <c r="RKN243" s="42"/>
      <c r="RKO243" s="42"/>
      <c r="RKP243" s="42"/>
      <c r="RKQ243" s="42"/>
      <c r="RKR243" s="42"/>
      <c r="RKS243" s="42"/>
      <c r="RKT243" s="42"/>
      <c r="RKU243" s="42"/>
      <c r="RKV243" s="42"/>
      <c r="RKW243" s="42"/>
      <c r="RKX243" s="42"/>
      <c r="RKY243" s="42"/>
      <c r="RKZ243" s="42"/>
      <c r="RLA243" s="42"/>
      <c r="RLB243" s="42"/>
      <c r="RLC243" s="42"/>
      <c r="RLD243" s="42"/>
      <c r="RLE243" s="42"/>
      <c r="RLF243" s="42"/>
      <c r="RLG243" s="42"/>
      <c r="RLH243" s="42"/>
      <c r="RLI243" s="42"/>
      <c r="RLJ243" s="42"/>
      <c r="RLK243" s="42"/>
      <c r="RLL243" s="42"/>
      <c r="RLM243" s="42"/>
      <c r="RLN243" s="42"/>
      <c r="RLO243" s="42"/>
      <c r="RLP243" s="42"/>
      <c r="RLQ243" s="42"/>
      <c r="RLR243" s="42"/>
      <c r="RLS243" s="42"/>
      <c r="RLT243" s="42"/>
      <c r="RLU243" s="42"/>
      <c r="RLV243" s="42"/>
      <c r="RLW243" s="42"/>
      <c r="RLX243" s="42"/>
      <c r="RLY243" s="42"/>
      <c r="RLZ243" s="42"/>
      <c r="RMA243" s="42"/>
      <c r="RMB243" s="42"/>
      <c r="RMC243" s="42"/>
      <c r="RMD243" s="42"/>
      <c r="RME243" s="42"/>
      <c r="RMF243" s="42"/>
      <c r="RMG243" s="42"/>
      <c r="RMH243" s="42"/>
      <c r="RMI243" s="42"/>
      <c r="RMJ243" s="42"/>
      <c r="RMK243" s="42"/>
      <c r="RML243" s="42"/>
      <c r="RMM243" s="42"/>
      <c r="RMN243" s="42"/>
      <c r="RMO243" s="42"/>
      <c r="RMP243" s="42"/>
      <c r="RMQ243" s="42"/>
      <c r="RMR243" s="42"/>
      <c r="RMS243" s="42"/>
      <c r="RMT243" s="42"/>
      <c r="RMU243" s="42"/>
      <c r="RMV243" s="42"/>
      <c r="RMW243" s="42"/>
      <c r="RMX243" s="42"/>
      <c r="RMY243" s="42"/>
      <c r="RMZ243" s="42"/>
      <c r="RNA243" s="42"/>
      <c r="RNB243" s="42"/>
      <c r="RNC243" s="42"/>
      <c r="RND243" s="42"/>
      <c r="RNE243" s="42"/>
      <c r="RNF243" s="42"/>
      <c r="RNG243" s="42"/>
      <c r="RNH243" s="42"/>
      <c r="RNI243" s="42"/>
      <c r="RNJ243" s="42"/>
      <c r="RNK243" s="42"/>
      <c r="RNL243" s="42"/>
      <c r="RNM243" s="42"/>
      <c r="RNN243" s="42"/>
      <c r="RNO243" s="42"/>
      <c r="RNP243" s="42"/>
      <c r="RNQ243" s="42"/>
      <c r="RNR243" s="42"/>
      <c r="RNS243" s="42"/>
      <c r="RNT243" s="42"/>
      <c r="RNU243" s="42"/>
      <c r="RNV243" s="42"/>
      <c r="RNW243" s="42"/>
      <c r="RNX243" s="42"/>
      <c r="RNY243" s="42"/>
      <c r="RNZ243" s="42"/>
      <c r="ROA243" s="42"/>
      <c r="ROB243" s="42"/>
      <c r="ROC243" s="42"/>
      <c r="ROD243" s="42"/>
      <c r="ROE243" s="42"/>
      <c r="ROF243" s="42"/>
      <c r="ROG243" s="42"/>
      <c r="ROH243" s="42"/>
      <c r="ROI243" s="42"/>
      <c r="ROJ243" s="42"/>
      <c r="ROK243" s="42"/>
      <c r="ROL243" s="42"/>
      <c r="ROM243" s="42"/>
      <c r="RON243" s="42"/>
      <c r="ROO243" s="42"/>
      <c r="ROP243" s="42"/>
      <c r="ROQ243" s="42"/>
      <c r="ROR243" s="42"/>
      <c r="ROS243" s="42"/>
      <c r="ROT243" s="42"/>
      <c r="ROU243" s="42"/>
      <c r="ROV243" s="42"/>
      <c r="ROW243" s="42"/>
      <c r="ROX243" s="42"/>
      <c r="ROY243" s="42"/>
      <c r="ROZ243" s="42"/>
      <c r="RPA243" s="42"/>
      <c r="RPB243" s="42"/>
      <c r="RPC243" s="42"/>
      <c r="RPD243" s="42"/>
      <c r="RPE243" s="42"/>
      <c r="RPF243" s="42"/>
      <c r="RPG243" s="42"/>
      <c r="RPH243" s="42"/>
      <c r="RPI243" s="42"/>
      <c r="RPJ243" s="42"/>
      <c r="RPK243" s="42"/>
      <c r="RPL243" s="42"/>
      <c r="RPM243" s="42"/>
      <c r="RPN243" s="42"/>
      <c r="RPO243" s="42"/>
      <c r="RPP243" s="42"/>
      <c r="RPQ243" s="42"/>
      <c r="RPR243" s="42"/>
      <c r="RPS243" s="42"/>
      <c r="RPT243" s="42"/>
      <c r="RPU243" s="42"/>
      <c r="RPV243" s="42"/>
      <c r="RPW243" s="42"/>
      <c r="RPX243" s="42"/>
      <c r="RPY243" s="42"/>
      <c r="RPZ243" s="42"/>
      <c r="RQA243" s="42"/>
      <c r="RQB243" s="42"/>
      <c r="RQC243" s="42"/>
      <c r="RQD243" s="42"/>
      <c r="RQE243" s="42"/>
      <c r="RQF243" s="42"/>
      <c r="RQG243" s="42"/>
      <c r="RQH243" s="42"/>
      <c r="RQI243" s="42"/>
      <c r="RQJ243" s="42"/>
      <c r="RQK243" s="42"/>
      <c r="RQL243" s="42"/>
      <c r="RQM243" s="42"/>
      <c r="RQN243" s="42"/>
      <c r="RQO243" s="42"/>
      <c r="RQP243" s="42"/>
      <c r="RQQ243" s="42"/>
      <c r="RQR243" s="42"/>
      <c r="RQS243" s="42"/>
      <c r="RQT243" s="42"/>
      <c r="RQU243" s="42"/>
      <c r="RQV243" s="42"/>
      <c r="RQW243" s="42"/>
      <c r="RQX243" s="42"/>
      <c r="RQY243" s="42"/>
      <c r="RQZ243" s="42"/>
      <c r="RRA243" s="42"/>
      <c r="RRB243" s="42"/>
      <c r="RRC243" s="42"/>
      <c r="RRD243" s="42"/>
      <c r="RRE243" s="42"/>
      <c r="RRF243" s="42"/>
      <c r="RRG243" s="42"/>
      <c r="RRH243" s="42"/>
      <c r="RRI243" s="42"/>
      <c r="RRJ243" s="42"/>
      <c r="RRK243" s="42"/>
      <c r="RRL243" s="42"/>
      <c r="RRM243" s="42"/>
      <c r="RRN243" s="42"/>
      <c r="RRO243" s="42"/>
      <c r="RRP243" s="42"/>
      <c r="RRQ243" s="42"/>
      <c r="RRR243" s="42"/>
      <c r="RRS243" s="42"/>
      <c r="RRT243" s="42"/>
      <c r="RRU243" s="42"/>
      <c r="RRV243" s="42"/>
      <c r="RRW243" s="42"/>
      <c r="RRX243" s="42"/>
      <c r="RRY243" s="42"/>
      <c r="RRZ243" s="42"/>
      <c r="RSA243" s="42"/>
      <c r="RSB243" s="42"/>
      <c r="RSC243" s="42"/>
      <c r="RSD243" s="42"/>
      <c r="RSE243" s="42"/>
      <c r="RSF243" s="42"/>
      <c r="RSG243" s="42"/>
      <c r="RSH243" s="42"/>
      <c r="RSI243" s="42"/>
      <c r="RSJ243" s="42"/>
      <c r="RSK243" s="42"/>
      <c r="RSL243" s="42"/>
      <c r="RSM243" s="42"/>
      <c r="RSN243" s="42"/>
      <c r="RSO243" s="42"/>
      <c r="RSP243" s="42"/>
      <c r="RSQ243" s="42"/>
      <c r="RSR243" s="42"/>
      <c r="RSS243" s="42"/>
      <c r="RST243" s="42"/>
      <c r="RSU243" s="42"/>
      <c r="RSV243" s="42"/>
      <c r="RSW243" s="42"/>
      <c r="RSX243" s="42"/>
      <c r="RSY243" s="42"/>
      <c r="RSZ243" s="42"/>
      <c r="RTA243" s="42"/>
      <c r="RTB243" s="42"/>
      <c r="RTC243" s="42"/>
      <c r="RTD243" s="42"/>
      <c r="RTE243" s="42"/>
      <c r="RTF243" s="42"/>
      <c r="RTG243" s="42"/>
      <c r="RTH243" s="42"/>
      <c r="RTI243" s="42"/>
      <c r="RTJ243" s="42"/>
      <c r="RTK243" s="42"/>
      <c r="RTL243" s="42"/>
      <c r="RTM243" s="42"/>
      <c r="RTN243" s="42"/>
      <c r="RTO243" s="42"/>
      <c r="RTP243" s="42"/>
      <c r="RTQ243" s="42"/>
      <c r="RTR243" s="42"/>
      <c r="RTS243" s="42"/>
      <c r="RTT243" s="42"/>
      <c r="RTU243" s="42"/>
      <c r="RTV243" s="42"/>
      <c r="RTW243" s="42"/>
      <c r="RTX243" s="42"/>
      <c r="RTY243" s="42"/>
      <c r="RTZ243" s="42"/>
      <c r="RUA243" s="42"/>
      <c r="RUB243" s="42"/>
      <c r="RUC243" s="42"/>
      <c r="RUD243" s="42"/>
      <c r="RUE243" s="42"/>
      <c r="RUF243" s="42"/>
      <c r="RUG243" s="42"/>
      <c r="RUH243" s="42"/>
      <c r="RUI243" s="42"/>
      <c r="RUJ243" s="42"/>
      <c r="RUK243" s="42"/>
      <c r="RUL243" s="42"/>
      <c r="RUM243" s="42"/>
      <c r="RUN243" s="42"/>
      <c r="RUO243" s="42"/>
      <c r="RUP243" s="42"/>
      <c r="RUQ243" s="42"/>
      <c r="RUR243" s="42"/>
      <c r="RUS243" s="42"/>
      <c r="RUT243" s="42"/>
      <c r="RUU243" s="42"/>
      <c r="RUV243" s="42"/>
      <c r="RUW243" s="42"/>
      <c r="RUX243" s="42"/>
      <c r="RUY243" s="42"/>
      <c r="RUZ243" s="42"/>
      <c r="RVA243" s="42"/>
      <c r="RVB243" s="42"/>
      <c r="RVC243" s="42"/>
      <c r="RVD243" s="42"/>
      <c r="RVE243" s="42"/>
      <c r="RVF243" s="42"/>
      <c r="RVG243" s="42"/>
      <c r="RVH243" s="42"/>
      <c r="RVI243" s="42"/>
      <c r="RVJ243" s="42"/>
      <c r="RVK243" s="42"/>
      <c r="RVL243" s="42"/>
      <c r="RVM243" s="42"/>
      <c r="RVN243" s="42"/>
      <c r="RVO243" s="42"/>
      <c r="RVP243" s="42"/>
      <c r="RVQ243" s="42"/>
      <c r="RVR243" s="42"/>
      <c r="RVS243" s="42"/>
      <c r="RVT243" s="42"/>
      <c r="RVU243" s="42"/>
      <c r="RVV243" s="42"/>
      <c r="RVW243" s="42"/>
      <c r="RVX243" s="42"/>
      <c r="RVY243" s="42"/>
      <c r="RVZ243" s="42"/>
      <c r="RWA243" s="42"/>
      <c r="RWB243" s="42"/>
      <c r="RWC243" s="42"/>
      <c r="RWD243" s="42"/>
      <c r="RWE243" s="42"/>
      <c r="RWF243" s="42"/>
      <c r="RWG243" s="42"/>
      <c r="RWH243" s="42"/>
      <c r="RWI243" s="42"/>
      <c r="RWJ243" s="42"/>
      <c r="RWK243" s="42"/>
      <c r="RWL243" s="42"/>
      <c r="RWM243" s="42"/>
      <c r="RWN243" s="42"/>
      <c r="RWO243" s="42"/>
      <c r="RWP243" s="42"/>
      <c r="RWQ243" s="42"/>
      <c r="RWR243" s="42"/>
      <c r="RWS243" s="42"/>
      <c r="RWT243" s="42"/>
      <c r="RWU243" s="42"/>
      <c r="RWV243" s="42"/>
      <c r="RWW243" s="42"/>
      <c r="RWX243" s="42"/>
      <c r="RWY243" s="42"/>
      <c r="RWZ243" s="42"/>
      <c r="RXA243" s="42"/>
      <c r="RXB243" s="42"/>
      <c r="RXC243" s="42"/>
      <c r="RXD243" s="42"/>
      <c r="RXE243" s="42"/>
      <c r="RXF243" s="42"/>
      <c r="RXG243" s="42"/>
      <c r="RXH243" s="42"/>
      <c r="RXI243" s="42"/>
      <c r="RXJ243" s="42"/>
      <c r="RXK243" s="42"/>
      <c r="RXL243" s="42"/>
      <c r="RXM243" s="42"/>
      <c r="RXN243" s="42"/>
      <c r="RXO243" s="42"/>
      <c r="RXP243" s="42"/>
      <c r="RXQ243" s="42"/>
      <c r="RXR243" s="42"/>
      <c r="RXS243" s="42"/>
      <c r="RXT243" s="42"/>
      <c r="RXU243" s="42"/>
      <c r="RXV243" s="42"/>
      <c r="RXW243" s="42"/>
      <c r="RXX243" s="42"/>
      <c r="RXY243" s="42"/>
      <c r="RXZ243" s="42"/>
      <c r="RYA243" s="42"/>
      <c r="RYB243" s="42"/>
      <c r="RYC243" s="42"/>
      <c r="RYD243" s="42"/>
      <c r="RYE243" s="42"/>
      <c r="RYF243" s="42"/>
      <c r="RYG243" s="42"/>
      <c r="RYH243" s="42"/>
      <c r="RYI243" s="42"/>
      <c r="RYJ243" s="42"/>
      <c r="RYK243" s="42"/>
      <c r="RYL243" s="42"/>
      <c r="RYM243" s="42"/>
      <c r="RYN243" s="42"/>
      <c r="RYO243" s="42"/>
      <c r="RYP243" s="42"/>
      <c r="RYQ243" s="42"/>
      <c r="RYR243" s="42"/>
      <c r="RYS243" s="42"/>
      <c r="RYT243" s="42"/>
      <c r="RYU243" s="42"/>
      <c r="RYV243" s="42"/>
      <c r="RYW243" s="42"/>
      <c r="RYX243" s="42"/>
      <c r="RYY243" s="42"/>
      <c r="RYZ243" s="42"/>
      <c r="RZA243" s="42"/>
      <c r="RZB243" s="42"/>
      <c r="RZC243" s="42"/>
      <c r="RZD243" s="42"/>
      <c r="RZE243" s="42"/>
      <c r="RZF243" s="42"/>
      <c r="RZG243" s="42"/>
      <c r="RZH243" s="42"/>
      <c r="RZI243" s="42"/>
      <c r="RZJ243" s="42"/>
      <c r="RZK243" s="42"/>
      <c r="RZL243" s="42"/>
      <c r="RZM243" s="42"/>
      <c r="RZN243" s="42"/>
      <c r="RZO243" s="42"/>
      <c r="RZP243" s="42"/>
      <c r="RZQ243" s="42"/>
      <c r="RZR243" s="42"/>
      <c r="RZS243" s="42"/>
      <c r="RZT243" s="42"/>
      <c r="RZU243" s="42"/>
      <c r="RZV243" s="42"/>
      <c r="RZW243" s="42"/>
      <c r="RZX243" s="42"/>
      <c r="RZY243" s="42"/>
      <c r="RZZ243" s="42"/>
      <c r="SAA243" s="42"/>
      <c r="SAB243" s="42"/>
      <c r="SAC243" s="42"/>
      <c r="SAD243" s="42"/>
      <c r="SAE243" s="42"/>
      <c r="SAF243" s="42"/>
      <c r="SAG243" s="42"/>
      <c r="SAH243" s="42"/>
      <c r="SAI243" s="42"/>
      <c r="SAJ243" s="42"/>
      <c r="SAK243" s="42"/>
      <c r="SAL243" s="42"/>
      <c r="SAM243" s="42"/>
      <c r="SAN243" s="42"/>
      <c r="SAO243" s="42"/>
      <c r="SAP243" s="42"/>
      <c r="SAQ243" s="42"/>
      <c r="SAR243" s="42"/>
      <c r="SAS243" s="42"/>
      <c r="SAT243" s="42"/>
      <c r="SAU243" s="42"/>
      <c r="SAV243" s="42"/>
      <c r="SAW243" s="42"/>
      <c r="SAX243" s="42"/>
      <c r="SAY243" s="42"/>
      <c r="SAZ243" s="42"/>
      <c r="SBA243" s="42"/>
      <c r="SBB243" s="42"/>
      <c r="SBC243" s="42"/>
      <c r="SBD243" s="42"/>
      <c r="SBE243" s="42"/>
      <c r="SBF243" s="42"/>
      <c r="SBG243" s="42"/>
      <c r="SBH243" s="42"/>
      <c r="SBI243" s="42"/>
      <c r="SBJ243" s="42"/>
      <c r="SBK243" s="42"/>
      <c r="SBL243" s="42"/>
      <c r="SBM243" s="42"/>
      <c r="SBN243" s="42"/>
      <c r="SBO243" s="42"/>
      <c r="SBP243" s="42"/>
      <c r="SBQ243" s="42"/>
      <c r="SBR243" s="42"/>
      <c r="SBS243" s="42"/>
      <c r="SBT243" s="42"/>
      <c r="SBU243" s="42"/>
      <c r="SBV243" s="42"/>
      <c r="SBW243" s="42"/>
      <c r="SBX243" s="42"/>
      <c r="SBY243" s="42"/>
      <c r="SBZ243" s="42"/>
      <c r="SCA243" s="42"/>
      <c r="SCB243" s="42"/>
      <c r="SCC243" s="42"/>
      <c r="SCD243" s="42"/>
      <c r="SCE243" s="42"/>
      <c r="SCF243" s="42"/>
      <c r="SCG243" s="42"/>
      <c r="SCH243" s="42"/>
      <c r="SCI243" s="42"/>
      <c r="SCJ243" s="42"/>
      <c r="SCK243" s="42"/>
      <c r="SCL243" s="42"/>
      <c r="SCM243" s="42"/>
      <c r="SCN243" s="42"/>
      <c r="SCO243" s="42"/>
      <c r="SCP243" s="42"/>
      <c r="SCQ243" s="42"/>
      <c r="SCR243" s="42"/>
      <c r="SCS243" s="42"/>
      <c r="SCT243" s="42"/>
      <c r="SCU243" s="42"/>
      <c r="SCV243" s="42"/>
      <c r="SCW243" s="42"/>
      <c r="SCX243" s="42"/>
      <c r="SCY243" s="42"/>
      <c r="SCZ243" s="42"/>
      <c r="SDA243" s="42"/>
      <c r="SDB243" s="42"/>
      <c r="SDC243" s="42"/>
      <c r="SDD243" s="42"/>
      <c r="SDE243" s="42"/>
      <c r="SDF243" s="42"/>
      <c r="SDG243" s="42"/>
      <c r="SDH243" s="42"/>
      <c r="SDI243" s="42"/>
      <c r="SDJ243" s="42"/>
      <c r="SDK243" s="42"/>
      <c r="SDL243" s="42"/>
      <c r="SDM243" s="42"/>
      <c r="SDN243" s="42"/>
      <c r="SDO243" s="42"/>
      <c r="SDP243" s="42"/>
      <c r="SDQ243" s="42"/>
      <c r="SDR243" s="42"/>
      <c r="SDS243" s="42"/>
      <c r="SDT243" s="42"/>
      <c r="SDU243" s="42"/>
      <c r="SDV243" s="42"/>
      <c r="SDW243" s="42"/>
      <c r="SDX243" s="42"/>
      <c r="SDY243" s="42"/>
      <c r="SDZ243" s="42"/>
      <c r="SEA243" s="42"/>
      <c r="SEB243" s="42"/>
      <c r="SEC243" s="42"/>
      <c r="SED243" s="42"/>
      <c r="SEE243" s="42"/>
      <c r="SEF243" s="42"/>
      <c r="SEG243" s="42"/>
      <c r="SEH243" s="42"/>
      <c r="SEI243" s="42"/>
      <c r="SEJ243" s="42"/>
      <c r="SEK243" s="42"/>
      <c r="SEL243" s="42"/>
      <c r="SEM243" s="42"/>
      <c r="SEN243" s="42"/>
      <c r="SEO243" s="42"/>
      <c r="SEP243" s="42"/>
      <c r="SEQ243" s="42"/>
      <c r="SER243" s="42"/>
      <c r="SES243" s="42"/>
      <c r="SET243" s="42"/>
      <c r="SEU243" s="42"/>
      <c r="SEV243" s="42"/>
      <c r="SEW243" s="42"/>
      <c r="SEX243" s="42"/>
      <c r="SEY243" s="42"/>
      <c r="SEZ243" s="42"/>
      <c r="SFA243" s="42"/>
      <c r="SFB243" s="42"/>
      <c r="SFC243" s="42"/>
      <c r="SFD243" s="42"/>
      <c r="SFE243" s="42"/>
      <c r="SFF243" s="42"/>
      <c r="SFG243" s="42"/>
      <c r="SFH243" s="42"/>
      <c r="SFI243" s="42"/>
      <c r="SFJ243" s="42"/>
      <c r="SFK243" s="42"/>
      <c r="SFL243" s="42"/>
      <c r="SFM243" s="42"/>
      <c r="SFN243" s="42"/>
      <c r="SFO243" s="42"/>
      <c r="SFP243" s="42"/>
      <c r="SFQ243" s="42"/>
      <c r="SFR243" s="42"/>
      <c r="SFS243" s="42"/>
      <c r="SFT243" s="42"/>
      <c r="SFU243" s="42"/>
      <c r="SFV243" s="42"/>
      <c r="SFW243" s="42"/>
      <c r="SFX243" s="42"/>
      <c r="SFY243" s="42"/>
      <c r="SFZ243" s="42"/>
      <c r="SGA243" s="42"/>
      <c r="SGB243" s="42"/>
      <c r="SGC243" s="42"/>
      <c r="SGD243" s="42"/>
      <c r="SGE243" s="42"/>
      <c r="SGF243" s="42"/>
      <c r="SGG243" s="42"/>
      <c r="SGH243" s="42"/>
      <c r="SGI243" s="42"/>
      <c r="SGJ243" s="42"/>
      <c r="SGK243" s="42"/>
      <c r="SGL243" s="42"/>
      <c r="SGM243" s="42"/>
      <c r="SGN243" s="42"/>
      <c r="SGO243" s="42"/>
      <c r="SGP243" s="42"/>
      <c r="SGQ243" s="42"/>
      <c r="SGR243" s="42"/>
      <c r="SGS243" s="42"/>
      <c r="SGT243" s="42"/>
      <c r="SGU243" s="42"/>
      <c r="SGV243" s="42"/>
      <c r="SGW243" s="42"/>
      <c r="SGX243" s="42"/>
      <c r="SGY243" s="42"/>
      <c r="SGZ243" s="42"/>
      <c r="SHA243" s="42"/>
      <c r="SHB243" s="42"/>
      <c r="SHC243" s="42"/>
      <c r="SHD243" s="42"/>
      <c r="SHE243" s="42"/>
      <c r="SHF243" s="42"/>
      <c r="SHG243" s="42"/>
      <c r="SHH243" s="42"/>
      <c r="SHI243" s="42"/>
      <c r="SHJ243" s="42"/>
      <c r="SHK243" s="42"/>
      <c r="SHL243" s="42"/>
      <c r="SHM243" s="42"/>
      <c r="SHN243" s="42"/>
      <c r="SHO243" s="42"/>
      <c r="SHP243" s="42"/>
      <c r="SHQ243" s="42"/>
      <c r="SHR243" s="42"/>
      <c r="SHS243" s="42"/>
      <c r="SHT243" s="42"/>
      <c r="SHU243" s="42"/>
      <c r="SHV243" s="42"/>
      <c r="SHW243" s="42"/>
      <c r="SHX243" s="42"/>
      <c r="SHY243" s="42"/>
      <c r="SHZ243" s="42"/>
      <c r="SIA243" s="42"/>
      <c r="SIB243" s="42"/>
      <c r="SIC243" s="42"/>
      <c r="SID243" s="42"/>
      <c r="SIE243" s="42"/>
      <c r="SIF243" s="42"/>
      <c r="SIG243" s="42"/>
      <c r="SIH243" s="42"/>
      <c r="SII243" s="42"/>
      <c r="SIJ243" s="42"/>
      <c r="SIK243" s="42"/>
      <c r="SIL243" s="42"/>
      <c r="SIM243" s="42"/>
      <c r="SIN243" s="42"/>
      <c r="SIO243" s="42"/>
      <c r="SIP243" s="42"/>
      <c r="SIQ243" s="42"/>
      <c r="SIR243" s="42"/>
      <c r="SIS243" s="42"/>
      <c r="SIT243" s="42"/>
      <c r="SIU243" s="42"/>
      <c r="SIV243" s="42"/>
      <c r="SIW243" s="42"/>
      <c r="SIX243" s="42"/>
      <c r="SIY243" s="42"/>
      <c r="SIZ243" s="42"/>
      <c r="SJA243" s="42"/>
      <c r="SJB243" s="42"/>
      <c r="SJC243" s="42"/>
      <c r="SJD243" s="42"/>
      <c r="SJE243" s="42"/>
      <c r="SJF243" s="42"/>
      <c r="SJG243" s="42"/>
      <c r="SJH243" s="42"/>
      <c r="SJI243" s="42"/>
      <c r="SJJ243" s="42"/>
      <c r="SJK243" s="42"/>
      <c r="SJL243" s="42"/>
      <c r="SJM243" s="42"/>
      <c r="SJN243" s="42"/>
      <c r="SJO243" s="42"/>
      <c r="SJP243" s="42"/>
      <c r="SJQ243" s="42"/>
      <c r="SJR243" s="42"/>
      <c r="SJS243" s="42"/>
      <c r="SJT243" s="42"/>
      <c r="SJU243" s="42"/>
      <c r="SJV243" s="42"/>
      <c r="SJW243" s="42"/>
      <c r="SJX243" s="42"/>
      <c r="SJY243" s="42"/>
      <c r="SJZ243" s="42"/>
      <c r="SKA243" s="42"/>
      <c r="SKB243" s="42"/>
      <c r="SKC243" s="42"/>
      <c r="SKD243" s="42"/>
      <c r="SKE243" s="42"/>
      <c r="SKF243" s="42"/>
      <c r="SKG243" s="42"/>
      <c r="SKH243" s="42"/>
      <c r="SKI243" s="42"/>
      <c r="SKJ243" s="42"/>
      <c r="SKK243" s="42"/>
      <c r="SKL243" s="42"/>
      <c r="SKM243" s="42"/>
      <c r="SKN243" s="42"/>
      <c r="SKO243" s="42"/>
      <c r="SKP243" s="42"/>
      <c r="SKQ243" s="42"/>
      <c r="SKR243" s="42"/>
      <c r="SKS243" s="42"/>
      <c r="SKT243" s="42"/>
      <c r="SKU243" s="42"/>
      <c r="SKV243" s="42"/>
      <c r="SKW243" s="42"/>
      <c r="SKX243" s="42"/>
      <c r="SKY243" s="42"/>
      <c r="SKZ243" s="42"/>
      <c r="SLA243" s="42"/>
      <c r="SLB243" s="42"/>
      <c r="SLC243" s="42"/>
      <c r="SLD243" s="42"/>
      <c r="SLE243" s="42"/>
      <c r="SLF243" s="42"/>
      <c r="SLG243" s="42"/>
      <c r="SLH243" s="42"/>
      <c r="SLI243" s="42"/>
      <c r="SLJ243" s="42"/>
      <c r="SLK243" s="42"/>
      <c r="SLL243" s="42"/>
      <c r="SLM243" s="42"/>
      <c r="SLN243" s="42"/>
      <c r="SLO243" s="42"/>
      <c r="SLP243" s="42"/>
      <c r="SLQ243" s="42"/>
      <c r="SLR243" s="42"/>
      <c r="SLS243" s="42"/>
      <c r="SLT243" s="42"/>
      <c r="SLU243" s="42"/>
      <c r="SLV243" s="42"/>
      <c r="SLW243" s="42"/>
      <c r="SLX243" s="42"/>
      <c r="SLY243" s="42"/>
      <c r="SLZ243" s="42"/>
      <c r="SMA243" s="42"/>
      <c r="SMB243" s="42"/>
      <c r="SMC243" s="42"/>
      <c r="SMD243" s="42"/>
      <c r="SME243" s="42"/>
      <c r="SMF243" s="42"/>
      <c r="SMG243" s="42"/>
      <c r="SMH243" s="42"/>
      <c r="SMI243" s="42"/>
      <c r="SMJ243" s="42"/>
      <c r="SMK243" s="42"/>
      <c r="SML243" s="42"/>
      <c r="SMM243" s="42"/>
      <c r="SMN243" s="42"/>
      <c r="SMO243" s="42"/>
      <c r="SMP243" s="42"/>
      <c r="SMQ243" s="42"/>
      <c r="SMR243" s="42"/>
      <c r="SMS243" s="42"/>
      <c r="SMT243" s="42"/>
      <c r="SMU243" s="42"/>
      <c r="SMV243" s="42"/>
      <c r="SMW243" s="42"/>
      <c r="SMX243" s="42"/>
      <c r="SMY243" s="42"/>
      <c r="SMZ243" s="42"/>
      <c r="SNA243" s="42"/>
      <c r="SNB243" s="42"/>
      <c r="SNC243" s="42"/>
      <c r="SND243" s="42"/>
      <c r="SNE243" s="42"/>
      <c r="SNF243" s="42"/>
      <c r="SNG243" s="42"/>
      <c r="SNH243" s="42"/>
      <c r="SNI243" s="42"/>
      <c r="SNJ243" s="42"/>
      <c r="SNK243" s="42"/>
      <c r="SNL243" s="42"/>
      <c r="SNM243" s="42"/>
      <c r="SNN243" s="42"/>
      <c r="SNO243" s="42"/>
      <c r="SNP243" s="42"/>
      <c r="SNQ243" s="42"/>
      <c r="SNR243" s="42"/>
      <c r="SNS243" s="42"/>
      <c r="SNT243" s="42"/>
      <c r="SNU243" s="42"/>
      <c r="SNV243" s="42"/>
      <c r="SNW243" s="42"/>
      <c r="SNX243" s="42"/>
      <c r="SNY243" s="42"/>
      <c r="SNZ243" s="42"/>
      <c r="SOA243" s="42"/>
      <c r="SOB243" s="42"/>
      <c r="SOC243" s="42"/>
      <c r="SOD243" s="42"/>
      <c r="SOE243" s="42"/>
      <c r="SOF243" s="42"/>
      <c r="SOG243" s="42"/>
      <c r="SOH243" s="42"/>
      <c r="SOI243" s="42"/>
      <c r="SOJ243" s="42"/>
      <c r="SOK243" s="42"/>
      <c r="SOL243" s="42"/>
      <c r="SOM243" s="42"/>
      <c r="SON243" s="42"/>
      <c r="SOO243" s="42"/>
      <c r="SOP243" s="42"/>
      <c r="SOQ243" s="42"/>
      <c r="SOR243" s="42"/>
      <c r="SOS243" s="42"/>
      <c r="SOT243" s="42"/>
      <c r="SOU243" s="42"/>
      <c r="SOV243" s="42"/>
      <c r="SOW243" s="42"/>
      <c r="SOX243" s="42"/>
      <c r="SOY243" s="42"/>
      <c r="SOZ243" s="42"/>
      <c r="SPA243" s="42"/>
      <c r="SPB243" s="42"/>
      <c r="SPC243" s="42"/>
      <c r="SPD243" s="42"/>
      <c r="SPE243" s="42"/>
      <c r="SPF243" s="42"/>
      <c r="SPG243" s="42"/>
      <c r="SPH243" s="42"/>
      <c r="SPI243" s="42"/>
      <c r="SPJ243" s="42"/>
      <c r="SPK243" s="42"/>
      <c r="SPL243" s="42"/>
      <c r="SPM243" s="42"/>
      <c r="SPN243" s="42"/>
      <c r="SPO243" s="42"/>
      <c r="SPP243" s="42"/>
      <c r="SPQ243" s="42"/>
      <c r="SPR243" s="42"/>
      <c r="SPS243" s="42"/>
      <c r="SPT243" s="42"/>
      <c r="SPU243" s="42"/>
      <c r="SPV243" s="42"/>
      <c r="SPW243" s="42"/>
      <c r="SPX243" s="42"/>
      <c r="SPY243" s="42"/>
      <c r="SPZ243" s="42"/>
      <c r="SQA243" s="42"/>
      <c r="SQB243" s="42"/>
      <c r="SQC243" s="42"/>
      <c r="SQD243" s="42"/>
      <c r="SQE243" s="42"/>
      <c r="SQF243" s="42"/>
      <c r="SQG243" s="42"/>
      <c r="SQH243" s="42"/>
      <c r="SQI243" s="42"/>
      <c r="SQJ243" s="42"/>
      <c r="SQK243" s="42"/>
      <c r="SQL243" s="42"/>
      <c r="SQM243" s="42"/>
      <c r="SQN243" s="42"/>
      <c r="SQO243" s="42"/>
      <c r="SQP243" s="42"/>
      <c r="SQQ243" s="42"/>
      <c r="SQR243" s="42"/>
      <c r="SQS243" s="42"/>
      <c r="SQT243" s="42"/>
      <c r="SQU243" s="42"/>
      <c r="SQV243" s="42"/>
      <c r="SQW243" s="42"/>
      <c r="SQX243" s="42"/>
      <c r="SQY243" s="42"/>
      <c r="SQZ243" s="42"/>
      <c r="SRA243" s="42"/>
      <c r="SRB243" s="42"/>
      <c r="SRC243" s="42"/>
      <c r="SRD243" s="42"/>
      <c r="SRE243" s="42"/>
      <c r="SRF243" s="42"/>
      <c r="SRG243" s="42"/>
      <c r="SRH243" s="42"/>
      <c r="SRI243" s="42"/>
      <c r="SRJ243" s="42"/>
      <c r="SRK243" s="42"/>
      <c r="SRL243" s="42"/>
      <c r="SRM243" s="42"/>
      <c r="SRN243" s="42"/>
      <c r="SRO243" s="42"/>
      <c r="SRP243" s="42"/>
      <c r="SRQ243" s="42"/>
      <c r="SRR243" s="42"/>
      <c r="SRS243" s="42"/>
      <c r="SRT243" s="42"/>
      <c r="SRU243" s="42"/>
      <c r="SRV243" s="42"/>
      <c r="SRW243" s="42"/>
      <c r="SRX243" s="42"/>
      <c r="SRY243" s="42"/>
      <c r="SRZ243" s="42"/>
      <c r="SSA243" s="42"/>
      <c r="SSB243" s="42"/>
      <c r="SSC243" s="42"/>
      <c r="SSD243" s="42"/>
      <c r="SSE243" s="42"/>
      <c r="SSF243" s="42"/>
      <c r="SSG243" s="42"/>
      <c r="SSH243" s="42"/>
      <c r="SSI243" s="42"/>
      <c r="SSJ243" s="42"/>
      <c r="SSK243" s="42"/>
      <c r="SSL243" s="42"/>
      <c r="SSM243" s="42"/>
      <c r="SSN243" s="42"/>
      <c r="SSO243" s="42"/>
      <c r="SSP243" s="42"/>
      <c r="SSQ243" s="42"/>
      <c r="SSR243" s="42"/>
      <c r="SSS243" s="42"/>
      <c r="SST243" s="42"/>
      <c r="SSU243" s="42"/>
      <c r="SSV243" s="42"/>
      <c r="SSW243" s="42"/>
      <c r="SSX243" s="42"/>
      <c r="SSY243" s="42"/>
      <c r="SSZ243" s="42"/>
      <c r="STA243" s="42"/>
      <c r="STB243" s="42"/>
      <c r="STC243" s="42"/>
      <c r="STD243" s="42"/>
      <c r="STE243" s="42"/>
      <c r="STF243" s="42"/>
      <c r="STG243" s="42"/>
      <c r="STH243" s="42"/>
      <c r="STI243" s="42"/>
      <c r="STJ243" s="42"/>
      <c r="STK243" s="42"/>
      <c r="STL243" s="42"/>
      <c r="STM243" s="42"/>
      <c r="STN243" s="42"/>
      <c r="STO243" s="42"/>
      <c r="STP243" s="42"/>
      <c r="STQ243" s="42"/>
      <c r="STR243" s="42"/>
      <c r="STS243" s="42"/>
      <c r="STT243" s="42"/>
      <c r="STU243" s="42"/>
      <c r="STV243" s="42"/>
      <c r="STW243" s="42"/>
      <c r="STX243" s="42"/>
      <c r="STY243" s="42"/>
      <c r="STZ243" s="42"/>
      <c r="SUA243" s="42"/>
      <c r="SUB243" s="42"/>
      <c r="SUC243" s="42"/>
      <c r="SUD243" s="42"/>
      <c r="SUE243" s="42"/>
      <c r="SUF243" s="42"/>
      <c r="SUG243" s="42"/>
      <c r="SUH243" s="42"/>
      <c r="SUI243" s="42"/>
      <c r="SUJ243" s="42"/>
      <c r="SUK243" s="42"/>
      <c r="SUL243" s="42"/>
      <c r="SUM243" s="42"/>
      <c r="SUN243" s="42"/>
      <c r="SUO243" s="42"/>
      <c r="SUP243" s="42"/>
      <c r="SUQ243" s="42"/>
      <c r="SUR243" s="42"/>
      <c r="SUS243" s="42"/>
      <c r="SUT243" s="42"/>
      <c r="SUU243" s="42"/>
      <c r="SUV243" s="42"/>
      <c r="SUW243" s="42"/>
      <c r="SUX243" s="42"/>
      <c r="SUY243" s="42"/>
      <c r="SUZ243" s="42"/>
      <c r="SVA243" s="42"/>
      <c r="SVB243" s="42"/>
      <c r="SVC243" s="42"/>
      <c r="SVD243" s="42"/>
      <c r="SVE243" s="42"/>
      <c r="SVF243" s="42"/>
      <c r="SVG243" s="42"/>
      <c r="SVH243" s="42"/>
      <c r="SVI243" s="42"/>
      <c r="SVJ243" s="42"/>
      <c r="SVK243" s="42"/>
      <c r="SVL243" s="42"/>
      <c r="SVM243" s="42"/>
      <c r="SVN243" s="42"/>
      <c r="SVO243" s="42"/>
      <c r="SVP243" s="42"/>
      <c r="SVQ243" s="42"/>
      <c r="SVR243" s="42"/>
      <c r="SVS243" s="42"/>
      <c r="SVT243" s="42"/>
      <c r="SVU243" s="42"/>
      <c r="SVV243" s="42"/>
      <c r="SVW243" s="42"/>
      <c r="SVX243" s="42"/>
      <c r="SVY243" s="42"/>
      <c r="SVZ243" s="42"/>
      <c r="SWA243" s="42"/>
      <c r="SWB243" s="42"/>
      <c r="SWC243" s="42"/>
      <c r="SWD243" s="42"/>
      <c r="SWE243" s="42"/>
      <c r="SWF243" s="42"/>
      <c r="SWG243" s="42"/>
      <c r="SWH243" s="42"/>
      <c r="SWI243" s="42"/>
      <c r="SWJ243" s="42"/>
      <c r="SWK243" s="42"/>
      <c r="SWL243" s="42"/>
      <c r="SWM243" s="42"/>
      <c r="SWN243" s="42"/>
      <c r="SWO243" s="42"/>
      <c r="SWP243" s="42"/>
      <c r="SWQ243" s="42"/>
      <c r="SWR243" s="42"/>
      <c r="SWS243" s="42"/>
      <c r="SWT243" s="42"/>
      <c r="SWU243" s="42"/>
      <c r="SWV243" s="42"/>
      <c r="SWW243" s="42"/>
      <c r="SWX243" s="42"/>
      <c r="SWY243" s="42"/>
      <c r="SWZ243" s="42"/>
      <c r="SXA243" s="42"/>
      <c r="SXB243" s="42"/>
      <c r="SXC243" s="42"/>
      <c r="SXD243" s="42"/>
      <c r="SXE243" s="42"/>
      <c r="SXF243" s="42"/>
      <c r="SXG243" s="42"/>
      <c r="SXH243" s="42"/>
      <c r="SXI243" s="42"/>
      <c r="SXJ243" s="42"/>
      <c r="SXK243" s="42"/>
      <c r="SXL243" s="42"/>
      <c r="SXM243" s="42"/>
      <c r="SXN243" s="42"/>
      <c r="SXO243" s="42"/>
      <c r="SXP243" s="42"/>
      <c r="SXQ243" s="42"/>
      <c r="SXR243" s="42"/>
      <c r="SXS243" s="42"/>
      <c r="SXT243" s="42"/>
      <c r="SXU243" s="42"/>
      <c r="SXV243" s="42"/>
      <c r="SXW243" s="42"/>
      <c r="SXX243" s="42"/>
      <c r="SXY243" s="42"/>
      <c r="SXZ243" s="42"/>
      <c r="SYA243" s="42"/>
      <c r="SYB243" s="42"/>
      <c r="SYC243" s="42"/>
      <c r="SYD243" s="42"/>
      <c r="SYE243" s="42"/>
      <c r="SYF243" s="42"/>
      <c r="SYG243" s="42"/>
      <c r="SYH243" s="42"/>
      <c r="SYI243" s="42"/>
      <c r="SYJ243" s="42"/>
      <c r="SYK243" s="42"/>
      <c r="SYL243" s="42"/>
      <c r="SYM243" s="42"/>
      <c r="SYN243" s="42"/>
      <c r="SYO243" s="42"/>
      <c r="SYP243" s="42"/>
      <c r="SYQ243" s="42"/>
      <c r="SYR243" s="42"/>
      <c r="SYS243" s="42"/>
      <c r="SYT243" s="42"/>
      <c r="SYU243" s="42"/>
      <c r="SYV243" s="42"/>
      <c r="SYW243" s="42"/>
      <c r="SYX243" s="42"/>
      <c r="SYY243" s="42"/>
      <c r="SYZ243" s="42"/>
      <c r="SZA243" s="42"/>
      <c r="SZB243" s="42"/>
      <c r="SZC243" s="42"/>
      <c r="SZD243" s="42"/>
      <c r="SZE243" s="42"/>
      <c r="SZF243" s="42"/>
      <c r="SZG243" s="42"/>
      <c r="SZH243" s="42"/>
      <c r="SZI243" s="42"/>
      <c r="SZJ243" s="42"/>
      <c r="SZK243" s="42"/>
      <c r="SZL243" s="42"/>
      <c r="SZM243" s="42"/>
      <c r="SZN243" s="42"/>
      <c r="SZO243" s="42"/>
      <c r="SZP243" s="42"/>
      <c r="SZQ243" s="42"/>
      <c r="SZR243" s="42"/>
      <c r="SZS243" s="42"/>
      <c r="SZT243" s="42"/>
      <c r="SZU243" s="42"/>
      <c r="SZV243" s="42"/>
      <c r="SZW243" s="42"/>
      <c r="SZX243" s="42"/>
      <c r="SZY243" s="42"/>
      <c r="SZZ243" s="42"/>
      <c r="TAA243" s="42"/>
      <c r="TAB243" s="42"/>
      <c r="TAC243" s="42"/>
      <c r="TAD243" s="42"/>
      <c r="TAE243" s="42"/>
      <c r="TAF243" s="42"/>
      <c r="TAG243" s="42"/>
      <c r="TAH243" s="42"/>
      <c r="TAI243" s="42"/>
      <c r="TAJ243" s="42"/>
      <c r="TAK243" s="42"/>
      <c r="TAL243" s="42"/>
      <c r="TAM243" s="42"/>
      <c r="TAN243" s="42"/>
      <c r="TAO243" s="42"/>
      <c r="TAP243" s="42"/>
      <c r="TAQ243" s="42"/>
      <c r="TAR243" s="42"/>
      <c r="TAS243" s="42"/>
      <c r="TAT243" s="42"/>
      <c r="TAU243" s="42"/>
      <c r="TAV243" s="42"/>
      <c r="TAW243" s="42"/>
      <c r="TAX243" s="42"/>
      <c r="TAY243" s="42"/>
      <c r="TAZ243" s="42"/>
      <c r="TBA243" s="42"/>
      <c r="TBB243" s="42"/>
      <c r="TBC243" s="42"/>
      <c r="TBD243" s="42"/>
      <c r="TBE243" s="42"/>
      <c r="TBF243" s="42"/>
      <c r="TBG243" s="42"/>
      <c r="TBH243" s="42"/>
      <c r="TBI243" s="42"/>
      <c r="TBJ243" s="42"/>
      <c r="TBK243" s="42"/>
      <c r="TBL243" s="42"/>
      <c r="TBM243" s="42"/>
      <c r="TBN243" s="42"/>
      <c r="TBO243" s="42"/>
      <c r="TBP243" s="42"/>
      <c r="TBQ243" s="42"/>
      <c r="TBR243" s="42"/>
      <c r="TBS243" s="42"/>
      <c r="TBT243" s="42"/>
      <c r="TBU243" s="42"/>
      <c r="TBV243" s="42"/>
      <c r="TBW243" s="42"/>
      <c r="TBX243" s="42"/>
      <c r="TBY243" s="42"/>
      <c r="TBZ243" s="42"/>
      <c r="TCA243" s="42"/>
      <c r="TCB243" s="42"/>
      <c r="TCC243" s="42"/>
      <c r="TCD243" s="42"/>
      <c r="TCE243" s="42"/>
      <c r="TCF243" s="42"/>
      <c r="TCG243" s="42"/>
      <c r="TCH243" s="42"/>
      <c r="TCI243" s="42"/>
      <c r="TCJ243" s="42"/>
      <c r="TCK243" s="42"/>
      <c r="TCL243" s="42"/>
      <c r="TCM243" s="42"/>
      <c r="TCN243" s="42"/>
      <c r="TCO243" s="42"/>
      <c r="TCP243" s="42"/>
      <c r="TCQ243" s="42"/>
      <c r="TCR243" s="42"/>
      <c r="TCS243" s="42"/>
      <c r="TCT243" s="42"/>
      <c r="TCU243" s="42"/>
      <c r="TCV243" s="42"/>
      <c r="TCW243" s="42"/>
      <c r="TCX243" s="42"/>
      <c r="TCY243" s="42"/>
      <c r="TCZ243" s="42"/>
      <c r="TDA243" s="42"/>
      <c r="TDB243" s="42"/>
      <c r="TDC243" s="42"/>
      <c r="TDD243" s="42"/>
      <c r="TDE243" s="42"/>
      <c r="TDF243" s="42"/>
      <c r="TDG243" s="42"/>
      <c r="TDH243" s="42"/>
      <c r="TDI243" s="42"/>
      <c r="TDJ243" s="42"/>
      <c r="TDK243" s="42"/>
      <c r="TDL243" s="42"/>
      <c r="TDM243" s="42"/>
      <c r="TDN243" s="42"/>
      <c r="TDO243" s="42"/>
      <c r="TDP243" s="42"/>
      <c r="TDQ243" s="42"/>
      <c r="TDR243" s="42"/>
      <c r="TDS243" s="42"/>
      <c r="TDT243" s="42"/>
      <c r="TDU243" s="42"/>
      <c r="TDV243" s="42"/>
      <c r="TDW243" s="42"/>
      <c r="TDX243" s="42"/>
      <c r="TDY243" s="42"/>
      <c r="TDZ243" s="42"/>
      <c r="TEA243" s="42"/>
      <c r="TEB243" s="42"/>
      <c r="TEC243" s="42"/>
      <c r="TED243" s="42"/>
      <c r="TEE243" s="42"/>
      <c r="TEF243" s="42"/>
      <c r="TEG243" s="42"/>
      <c r="TEH243" s="42"/>
      <c r="TEI243" s="42"/>
      <c r="TEJ243" s="42"/>
      <c r="TEK243" s="42"/>
      <c r="TEL243" s="42"/>
      <c r="TEM243" s="42"/>
      <c r="TEN243" s="42"/>
      <c r="TEO243" s="42"/>
      <c r="TEP243" s="42"/>
      <c r="TEQ243" s="42"/>
      <c r="TER243" s="42"/>
      <c r="TES243" s="42"/>
      <c r="TET243" s="42"/>
      <c r="TEU243" s="42"/>
      <c r="TEV243" s="42"/>
      <c r="TEW243" s="42"/>
      <c r="TEX243" s="42"/>
      <c r="TEY243" s="42"/>
      <c r="TEZ243" s="42"/>
      <c r="TFA243" s="42"/>
      <c r="TFB243" s="42"/>
      <c r="TFC243" s="42"/>
      <c r="TFD243" s="42"/>
      <c r="TFE243" s="42"/>
      <c r="TFF243" s="42"/>
      <c r="TFG243" s="42"/>
      <c r="TFH243" s="42"/>
      <c r="TFI243" s="42"/>
      <c r="TFJ243" s="42"/>
      <c r="TFK243" s="42"/>
      <c r="TFL243" s="42"/>
      <c r="TFM243" s="42"/>
      <c r="TFN243" s="42"/>
      <c r="TFO243" s="42"/>
      <c r="TFP243" s="42"/>
      <c r="TFQ243" s="42"/>
      <c r="TFR243" s="42"/>
      <c r="TFS243" s="42"/>
      <c r="TFT243" s="42"/>
      <c r="TFU243" s="42"/>
      <c r="TFV243" s="42"/>
      <c r="TFW243" s="42"/>
      <c r="TFX243" s="42"/>
      <c r="TFY243" s="42"/>
      <c r="TFZ243" s="42"/>
      <c r="TGA243" s="42"/>
      <c r="TGB243" s="42"/>
      <c r="TGC243" s="42"/>
      <c r="TGD243" s="42"/>
      <c r="TGE243" s="42"/>
      <c r="TGF243" s="42"/>
      <c r="TGG243" s="42"/>
      <c r="TGH243" s="42"/>
      <c r="TGI243" s="42"/>
      <c r="TGJ243" s="42"/>
      <c r="TGK243" s="42"/>
      <c r="TGL243" s="42"/>
      <c r="TGM243" s="42"/>
      <c r="TGN243" s="42"/>
      <c r="TGO243" s="42"/>
      <c r="TGP243" s="42"/>
      <c r="TGQ243" s="42"/>
      <c r="TGR243" s="42"/>
      <c r="TGS243" s="42"/>
      <c r="TGT243" s="42"/>
      <c r="TGU243" s="42"/>
      <c r="TGV243" s="42"/>
      <c r="TGW243" s="42"/>
      <c r="TGX243" s="42"/>
      <c r="TGY243" s="42"/>
      <c r="TGZ243" s="42"/>
      <c r="THA243" s="42"/>
      <c r="THB243" s="42"/>
      <c r="THC243" s="42"/>
      <c r="THD243" s="42"/>
      <c r="THE243" s="42"/>
      <c r="THF243" s="42"/>
      <c r="THG243" s="42"/>
      <c r="THH243" s="42"/>
      <c r="THI243" s="42"/>
      <c r="THJ243" s="42"/>
      <c r="THK243" s="42"/>
      <c r="THL243" s="42"/>
      <c r="THM243" s="42"/>
      <c r="THN243" s="42"/>
      <c r="THO243" s="42"/>
      <c r="THP243" s="42"/>
      <c r="THQ243" s="42"/>
      <c r="THR243" s="42"/>
      <c r="THS243" s="42"/>
      <c r="THT243" s="42"/>
      <c r="THU243" s="42"/>
      <c r="THV243" s="42"/>
      <c r="THW243" s="42"/>
      <c r="THX243" s="42"/>
      <c r="THY243" s="42"/>
      <c r="THZ243" s="42"/>
      <c r="TIA243" s="42"/>
      <c r="TIB243" s="42"/>
      <c r="TIC243" s="42"/>
      <c r="TID243" s="42"/>
      <c r="TIE243" s="42"/>
      <c r="TIF243" s="42"/>
      <c r="TIG243" s="42"/>
      <c r="TIH243" s="42"/>
      <c r="TII243" s="42"/>
      <c r="TIJ243" s="42"/>
      <c r="TIK243" s="42"/>
      <c r="TIL243" s="42"/>
      <c r="TIM243" s="42"/>
      <c r="TIN243" s="42"/>
      <c r="TIO243" s="42"/>
      <c r="TIP243" s="42"/>
      <c r="TIQ243" s="42"/>
      <c r="TIR243" s="42"/>
      <c r="TIS243" s="42"/>
      <c r="TIT243" s="42"/>
      <c r="TIU243" s="42"/>
      <c r="TIV243" s="42"/>
      <c r="TIW243" s="42"/>
      <c r="TIX243" s="42"/>
      <c r="TIY243" s="42"/>
      <c r="TIZ243" s="42"/>
      <c r="TJA243" s="42"/>
      <c r="TJB243" s="42"/>
      <c r="TJC243" s="42"/>
      <c r="TJD243" s="42"/>
      <c r="TJE243" s="42"/>
      <c r="TJF243" s="42"/>
      <c r="TJG243" s="42"/>
      <c r="TJH243" s="42"/>
      <c r="TJI243" s="42"/>
      <c r="TJJ243" s="42"/>
      <c r="TJK243" s="42"/>
      <c r="TJL243" s="42"/>
      <c r="TJM243" s="42"/>
      <c r="TJN243" s="42"/>
      <c r="TJO243" s="42"/>
      <c r="TJP243" s="42"/>
      <c r="TJQ243" s="42"/>
      <c r="TJR243" s="42"/>
      <c r="TJS243" s="42"/>
      <c r="TJT243" s="42"/>
      <c r="TJU243" s="42"/>
      <c r="TJV243" s="42"/>
      <c r="TJW243" s="42"/>
      <c r="TJX243" s="42"/>
      <c r="TJY243" s="42"/>
      <c r="TJZ243" s="42"/>
      <c r="TKA243" s="42"/>
      <c r="TKB243" s="42"/>
      <c r="TKC243" s="42"/>
      <c r="TKD243" s="42"/>
      <c r="TKE243" s="42"/>
      <c r="TKF243" s="42"/>
      <c r="TKG243" s="42"/>
      <c r="TKH243" s="42"/>
      <c r="TKI243" s="42"/>
      <c r="TKJ243" s="42"/>
      <c r="TKK243" s="42"/>
      <c r="TKL243" s="42"/>
      <c r="TKM243" s="42"/>
      <c r="TKN243" s="42"/>
      <c r="TKO243" s="42"/>
      <c r="TKP243" s="42"/>
      <c r="TKQ243" s="42"/>
      <c r="TKR243" s="42"/>
      <c r="TKS243" s="42"/>
      <c r="TKT243" s="42"/>
      <c r="TKU243" s="42"/>
      <c r="TKV243" s="42"/>
      <c r="TKW243" s="42"/>
      <c r="TKX243" s="42"/>
      <c r="TKY243" s="42"/>
      <c r="TKZ243" s="42"/>
      <c r="TLA243" s="42"/>
      <c r="TLB243" s="42"/>
      <c r="TLC243" s="42"/>
      <c r="TLD243" s="42"/>
      <c r="TLE243" s="42"/>
      <c r="TLF243" s="42"/>
      <c r="TLG243" s="42"/>
      <c r="TLH243" s="42"/>
      <c r="TLI243" s="42"/>
      <c r="TLJ243" s="42"/>
      <c r="TLK243" s="42"/>
      <c r="TLL243" s="42"/>
      <c r="TLM243" s="42"/>
      <c r="TLN243" s="42"/>
      <c r="TLO243" s="42"/>
      <c r="TLP243" s="42"/>
      <c r="TLQ243" s="42"/>
      <c r="TLR243" s="42"/>
      <c r="TLS243" s="42"/>
      <c r="TLT243" s="42"/>
      <c r="TLU243" s="42"/>
      <c r="TLV243" s="42"/>
      <c r="TLW243" s="42"/>
      <c r="TLX243" s="42"/>
      <c r="TLY243" s="42"/>
      <c r="TLZ243" s="42"/>
      <c r="TMA243" s="42"/>
      <c r="TMB243" s="42"/>
      <c r="TMC243" s="42"/>
      <c r="TMD243" s="42"/>
      <c r="TME243" s="42"/>
      <c r="TMF243" s="42"/>
      <c r="TMG243" s="42"/>
      <c r="TMH243" s="42"/>
      <c r="TMI243" s="42"/>
      <c r="TMJ243" s="42"/>
      <c r="TMK243" s="42"/>
      <c r="TML243" s="42"/>
      <c r="TMM243" s="42"/>
      <c r="TMN243" s="42"/>
      <c r="TMO243" s="42"/>
      <c r="TMP243" s="42"/>
      <c r="TMQ243" s="42"/>
      <c r="TMR243" s="42"/>
      <c r="TMS243" s="42"/>
      <c r="TMT243" s="42"/>
      <c r="TMU243" s="42"/>
      <c r="TMV243" s="42"/>
      <c r="TMW243" s="42"/>
      <c r="TMX243" s="42"/>
      <c r="TMY243" s="42"/>
      <c r="TMZ243" s="42"/>
      <c r="TNA243" s="42"/>
      <c r="TNB243" s="42"/>
      <c r="TNC243" s="42"/>
      <c r="TND243" s="42"/>
      <c r="TNE243" s="42"/>
      <c r="TNF243" s="42"/>
      <c r="TNG243" s="42"/>
      <c r="TNH243" s="42"/>
      <c r="TNI243" s="42"/>
      <c r="TNJ243" s="42"/>
      <c r="TNK243" s="42"/>
      <c r="TNL243" s="42"/>
      <c r="TNM243" s="42"/>
      <c r="TNN243" s="42"/>
      <c r="TNO243" s="42"/>
      <c r="TNP243" s="42"/>
      <c r="TNQ243" s="42"/>
      <c r="TNR243" s="42"/>
      <c r="TNS243" s="42"/>
      <c r="TNT243" s="42"/>
      <c r="TNU243" s="42"/>
      <c r="TNV243" s="42"/>
      <c r="TNW243" s="42"/>
      <c r="TNX243" s="42"/>
      <c r="TNY243" s="42"/>
      <c r="TNZ243" s="42"/>
      <c r="TOA243" s="42"/>
      <c r="TOB243" s="42"/>
      <c r="TOC243" s="42"/>
      <c r="TOD243" s="42"/>
      <c r="TOE243" s="42"/>
      <c r="TOF243" s="42"/>
      <c r="TOG243" s="42"/>
      <c r="TOH243" s="42"/>
      <c r="TOI243" s="42"/>
      <c r="TOJ243" s="42"/>
      <c r="TOK243" s="42"/>
      <c r="TOL243" s="42"/>
      <c r="TOM243" s="42"/>
      <c r="TON243" s="42"/>
      <c r="TOO243" s="42"/>
      <c r="TOP243" s="42"/>
      <c r="TOQ243" s="42"/>
      <c r="TOR243" s="42"/>
      <c r="TOS243" s="42"/>
      <c r="TOT243" s="42"/>
      <c r="TOU243" s="42"/>
      <c r="TOV243" s="42"/>
      <c r="TOW243" s="42"/>
      <c r="TOX243" s="42"/>
      <c r="TOY243" s="42"/>
      <c r="TOZ243" s="42"/>
      <c r="TPA243" s="42"/>
      <c r="TPB243" s="42"/>
      <c r="TPC243" s="42"/>
      <c r="TPD243" s="42"/>
      <c r="TPE243" s="42"/>
      <c r="TPF243" s="42"/>
      <c r="TPG243" s="42"/>
      <c r="TPH243" s="42"/>
      <c r="TPI243" s="42"/>
      <c r="TPJ243" s="42"/>
      <c r="TPK243" s="42"/>
      <c r="TPL243" s="42"/>
      <c r="TPM243" s="42"/>
      <c r="TPN243" s="42"/>
      <c r="TPO243" s="42"/>
      <c r="TPP243" s="42"/>
      <c r="TPQ243" s="42"/>
      <c r="TPR243" s="42"/>
      <c r="TPS243" s="42"/>
      <c r="TPT243" s="42"/>
      <c r="TPU243" s="42"/>
      <c r="TPV243" s="42"/>
      <c r="TPW243" s="42"/>
      <c r="TPX243" s="42"/>
      <c r="TPY243" s="42"/>
      <c r="TPZ243" s="42"/>
      <c r="TQA243" s="42"/>
      <c r="TQB243" s="42"/>
      <c r="TQC243" s="42"/>
      <c r="TQD243" s="42"/>
      <c r="TQE243" s="42"/>
      <c r="TQF243" s="42"/>
      <c r="TQG243" s="42"/>
      <c r="TQH243" s="42"/>
      <c r="TQI243" s="42"/>
      <c r="TQJ243" s="42"/>
      <c r="TQK243" s="42"/>
      <c r="TQL243" s="42"/>
      <c r="TQM243" s="42"/>
      <c r="TQN243" s="42"/>
      <c r="TQO243" s="42"/>
      <c r="TQP243" s="42"/>
      <c r="TQQ243" s="42"/>
      <c r="TQR243" s="42"/>
      <c r="TQS243" s="42"/>
      <c r="TQT243" s="42"/>
      <c r="TQU243" s="42"/>
      <c r="TQV243" s="42"/>
      <c r="TQW243" s="42"/>
      <c r="TQX243" s="42"/>
      <c r="TQY243" s="42"/>
      <c r="TQZ243" s="42"/>
      <c r="TRA243" s="42"/>
      <c r="TRB243" s="42"/>
      <c r="TRC243" s="42"/>
      <c r="TRD243" s="42"/>
      <c r="TRE243" s="42"/>
      <c r="TRF243" s="42"/>
      <c r="TRG243" s="42"/>
      <c r="TRH243" s="42"/>
      <c r="TRI243" s="42"/>
      <c r="TRJ243" s="42"/>
      <c r="TRK243" s="42"/>
      <c r="TRL243" s="42"/>
      <c r="TRM243" s="42"/>
      <c r="TRN243" s="42"/>
      <c r="TRO243" s="42"/>
      <c r="TRP243" s="42"/>
      <c r="TRQ243" s="42"/>
      <c r="TRR243" s="42"/>
      <c r="TRS243" s="42"/>
      <c r="TRT243" s="42"/>
      <c r="TRU243" s="42"/>
      <c r="TRV243" s="42"/>
      <c r="TRW243" s="42"/>
      <c r="TRX243" s="42"/>
      <c r="TRY243" s="42"/>
      <c r="TRZ243" s="42"/>
      <c r="TSA243" s="42"/>
      <c r="TSB243" s="42"/>
      <c r="TSC243" s="42"/>
      <c r="TSD243" s="42"/>
      <c r="TSE243" s="42"/>
      <c r="TSF243" s="42"/>
      <c r="TSG243" s="42"/>
      <c r="TSH243" s="42"/>
      <c r="TSI243" s="42"/>
      <c r="TSJ243" s="42"/>
      <c r="TSK243" s="42"/>
      <c r="TSL243" s="42"/>
      <c r="TSM243" s="42"/>
      <c r="TSN243" s="42"/>
      <c r="TSO243" s="42"/>
      <c r="TSP243" s="42"/>
      <c r="TSQ243" s="42"/>
      <c r="TSR243" s="42"/>
      <c r="TSS243" s="42"/>
      <c r="TST243" s="42"/>
      <c r="TSU243" s="42"/>
      <c r="TSV243" s="42"/>
      <c r="TSW243" s="42"/>
      <c r="TSX243" s="42"/>
      <c r="TSY243" s="42"/>
      <c r="TSZ243" s="42"/>
      <c r="TTA243" s="42"/>
      <c r="TTB243" s="42"/>
      <c r="TTC243" s="42"/>
      <c r="TTD243" s="42"/>
      <c r="TTE243" s="42"/>
      <c r="TTF243" s="42"/>
      <c r="TTG243" s="42"/>
      <c r="TTH243" s="42"/>
      <c r="TTI243" s="42"/>
      <c r="TTJ243" s="42"/>
      <c r="TTK243" s="42"/>
      <c r="TTL243" s="42"/>
      <c r="TTM243" s="42"/>
      <c r="TTN243" s="42"/>
      <c r="TTO243" s="42"/>
      <c r="TTP243" s="42"/>
      <c r="TTQ243" s="42"/>
      <c r="TTR243" s="42"/>
      <c r="TTS243" s="42"/>
      <c r="TTT243" s="42"/>
      <c r="TTU243" s="42"/>
      <c r="TTV243" s="42"/>
      <c r="TTW243" s="42"/>
      <c r="TTX243" s="42"/>
      <c r="TTY243" s="42"/>
      <c r="TTZ243" s="42"/>
      <c r="TUA243" s="42"/>
      <c r="TUB243" s="42"/>
      <c r="TUC243" s="42"/>
      <c r="TUD243" s="42"/>
      <c r="TUE243" s="42"/>
      <c r="TUF243" s="42"/>
      <c r="TUG243" s="42"/>
      <c r="TUH243" s="42"/>
      <c r="TUI243" s="42"/>
      <c r="TUJ243" s="42"/>
      <c r="TUK243" s="42"/>
      <c r="TUL243" s="42"/>
      <c r="TUM243" s="42"/>
      <c r="TUN243" s="42"/>
      <c r="TUO243" s="42"/>
      <c r="TUP243" s="42"/>
      <c r="TUQ243" s="42"/>
      <c r="TUR243" s="42"/>
      <c r="TUS243" s="42"/>
      <c r="TUT243" s="42"/>
      <c r="TUU243" s="42"/>
      <c r="TUV243" s="42"/>
      <c r="TUW243" s="42"/>
      <c r="TUX243" s="42"/>
      <c r="TUY243" s="42"/>
      <c r="TUZ243" s="42"/>
      <c r="TVA243" s="42"/>
      <c r="TVB243" s="42"/>
      <c r="TVC243" s="42"/>
      <c r="TVD243" s="42"/>
      <c r="TVE243" s="42"/>
      <c r="TVF243" s="42"/>
      <c r="TVG243" s="42"/>
      <c r="TVH243" s="42"/>
      <c r="TVI243" s="42"/>
      <c r="TVJ243" s="42"/>
      <c r="TVK243" s="42"/>
      <c r="TVL243" s="42"/>
      <c r="TVM243" s="42"/>
      <c r="TVN243" s="42"/>
      <c r="TVO243" s="42"/>
      <c r="TVP243" s="42"/>
      <c r="TVQ243" s="42"/>
      <c r="TVR243" s="42"/>
      <c r="TVS243" s="42"/>
      <c r="TVT243" s="42"/>
      <c r="TVU243" s="42"/>
      <c r="TVV243" s="42"/>
      <c r="TVW243" s="42"/>
      <c r="TVX243" s="42"/>
      <c r="TVY243" s="42"/>
      <c r="TVZ243" s="42"/>
      <c r="TWA243" s="42"/>
      <c r="TWB243" s="42"/>
      <c r="TWC243" s="42"/>
      <c r="TWD243" s="42"/>
      <c r="TWE243" s="42"/>
      <c r="TWF243" s="42"/>
      <c r="TWG243" s="42"/>
      <c r="TWH243" s="42"/>
      <c r="TWI243" s="42"/>
      <c r="TWJ243" s="42"/>
      <c r="TWK243" s="42"/>
      <c r="TWL243" s="42"/>
      <c r="TWM243" s="42"/>
      <c r="TWN243" s="42"/>
      <c r="TWO243" s="42"/>
      <c r="TWP243" s="42"/>
      <c r="TWQ243" s="42"/>
      <c r="TWR243" s="42"/>
      <c r="TWS243" s="42"/>
      <c r="TWT243" s="42"/>
      <c r="TWU243" s="42"/>
      <c r="TWV243" s="42"/>
      <c r="TWW243" s="42"/>
      <c r="TWX243" s="42"/>
      <c r="TWY243" s="42"/>
      <c r="TWZ243" s="42"/>
      <c r="TXA243" s="42"/>
      <c r="TXB243" s="42"/>
      <c r="TXC243" s="42"/>
      <c r="TXD243" s="42"/>
      <c r="TXE243" s="42"/>
      <c r="TXF243" s="42"/>
      <c r="TXG243" s="42"/>
      <c r="TXH243" s="42"/>
      <c r="TXI243" s="42"/>
      <c r="TXJ243" s="42"/>
      <c r="TXK243" s="42"/>
      <c r="TXL243" s="42"/>
      <c r="TXM243" s="42"/>
      <c r="TXN243" s="42"/>
      <c r="TXO243" s="42"/>
      <c r="TXP243" s="42"/>
      <c r="TXQ243" s="42"/>
      <c r="TXR243" s="42"/>
      <c r="TXS243" s="42"/>
      <c r="TXT243" s="42"/>
      <c r="TXU243" s="42"/>
      <c r="TXV243" s="42"/>
      <c r="TXW243" s="42"/>
      <c r="TXX243" s="42"/>
      <c r="TXY243" s="42"/>
      <c r="TXZ243" s="42"/>
      <c r="TYA243" s="42"/>
      <c r="TYB243" s="42"/>
      <c r="TYC243" s="42"/>
      <c r="TYD243" s="42"/>
      <c r="TYE243" s="42"/>
      <c r="TYF243" s="42"/>
      <c r="TYG243" s="42"/>
      <c r="TYH243" s="42"/>
      <c r="TYI243" s="42"/>
      <c r="TYJ243" s="42"/>
      <c r="TYK243" s="42"/>
      <c r="TYL243" s="42"/>
      <c r="TYM243" s="42"/>
      <c r="TYN243" s="42"/>
      <c r="TYO243" s="42"/>
      <c r="TYP243" s="42"/>
      <c r="TYQ243" s="42"/>
      <c r="TYR243" s="42"/>
      <c r="TYS243" s="42"/>
      <c r="TYT243" s="42"/>
      <c r="TYU243" s="42"/>
      <c r="TYV243" s="42"/>
      <c r="TYW243" s="42"/>
      <c r="TYX243" s="42"/>
      <c r="TYY243" s="42"/>
      <c r="TYZ243" s="42"/>
      <c r="TZA243" s="42"/>
      <c r="TZB243" s="42"/>
      <c r="TZC243" s="42"/>
      <c r="TZD243" s="42"/>
      <c r="TZE243" s="42"/>
      <c r="TZF243" s="42"/>
      <c r="TZG243" s="42"/>
      <c r="TZH243" s="42"/>
      <c r="TZI243" s="42"/>
      <c r="TZJ243" s="42"/>
      <c r="TZK243" s="42"/>
      <c r="TZL243" s="42"/>
      <c r="TZM243" s="42"/>
      <c r="TZN243" s="42"/>
      <c r="TZO243" s="42"/>
      <c r="TZP243" s="42"/>
      <c r="TZQ243" s="42"/>
      <c r="TZR243" s="42"/>
      <c r="TZS243" s="42"/>
      <c r="TZT243" s="42"/>
      <c r="TZU243" s="42"/>
      <c r="TZV243" s="42"/>
      <c r="TZW243" s="42"/>
      <c r="TZX243" s="42"/>
      <c r="TZY243" s="42"/>
      <c r="TZZ243" s="42"/>
      <c r="UAA243" s="42"/>
      <c r="UAB243" s="42"/>
      <c r="UAC243" s="42"/>
      <c r="UAD243" s="42"/>
      <c r="UAE243" s="42"/>
      <c r="UAF243" s="42"/>
      <c r="UAG243" s="42"/>
      <c r="UAH243" s="42"/>
      <c r="UAI243" s="42"/>
      <c r="UAJ243" s="42"/>
      <c r="UAK243" s="42"/>
      <c r="UAL243" s="42"/>
      <c r="UAM243" s="42"/>
      <c r="UAN243" s="42"/>
      <c r="UAO243" s="42"/>
      <c r="UAP243" s="42"/>
      <c r="UAQ243" s="42"/>
      <c r="UAR243" s="42"/>
      <c r="UAS243" s="42"/>
      <c r="UAT243" s="42"/>
      <c r="UAU243" s="42"/>
      <c r="UAV243" s="42"/>
      <c r="UAW243" s="42"/>
      <c r="UAX243" s="42"/>
      <c r="UAY243" s="42"/>
      <c r="UAZ243" s="42"/>
      <c r="UBA243" s="42"/>
      <c r="UBB243" s="42"/>
      <c r="UBC243" s="42"/>
      <c r="UBD243" s="42"/>
      <c r="UBE243" s="42"/>
      <c r="UBF243" s="42"/>
      <c r="UBG243" s="42"/>
      <c r="UBH243" s="42"/>
      <c r="UBI243" s="42"/>
      <c r="UBJ243" s="42"/>
      <c r="UBK243" s="42"/>
      <c r="UBL243" s="42"/>
      <c r="UBM243" s="42"/>
      <c r="UBN243" s="42"/>
      <c r="UBO243" s="42"/>
      <c r="UBP243" s="42"/>
      <c r="UBQ243" s="42"/>
      <c r="UBR243" s="42"/>
      <c r="UBS243" s="42"/>
      <c r="UBT243" s="42"/>
      <c r="UBU243" s="42"/>
      <c r="UBV243" s="42"/>
      <c r="UBW243" s="42"/>
      <c r="UBX243" s="42"/>
      <c r="UBY243" s="42"/>
      <c r="UBZ243" s="42"/>
      <c r="UCA243" s="42"/>
      <c r="UCB243" s="42"/>
      <c r="UCC243" s="42"/>
      <c r="UCD243" s="42"/>
      <c r="UCE243" s="42"/>
      <c r="UCF243" s="42"/>
      <c r="UCG243" s="42"/>
      <c r="UCH243" s="42"/>
      <c r="UCI243" s="42"/>
      <c r="UCJ243" s="42"/>
      <c r="UCK243" s="42"/>
      <c r="UCL243" s="42"/>
      <c r="UCM243" s="42"/>
      <c r="UCN243" s="42"/>
      <c r="UCO243" s="42"/>
      <c r="UCP243" s="42"/>
      <c r="UCQ243" s="42"/>
      <c r="UCR243" s="42"/>
      <c r="UCS243" s="42"/>
      <c r="UCT243" s="42"/>
      <c r="UCU243" s="42"/>
      <c r="UCV243" s="42"/>
      <c r="UCW243" s="42"/>
      <c r="UCX243" s="42"/>
      <c r="UCY243" s="42"/>
      <c r="UCZ243" s="42"/>
      <c r="UDA243" s="42"/>
      <c r="UDB243" s="42"/>
      <c r="UDC243" s="42"/>
      <c r="UDD243" s="42"/>
      <c r="UDE243" s="42"/>
      <c r="UDF243" s="42"/>
      <c r="UDG243" s="42"/>
      <c r="UDH243" s="42"/>
      <c r="UDI243" s="42"/>
      <c r="UDJ243" s="42"/>
      <c r="UDK243" s="42"/>
      <c r="UDL243" s="42"/>
      <c r="UDM243" s="42"/>
      <c r="UDN243" s="42"/>
      <c r="UDO243" s="42"/>
      <c r="UDP243" s="42"/>
      <c r="UDQ243" s="42"/>
      <c r="UDR243" s="42"/>
      <c r="UDS243" s="42"/>
      <c r="UDT243" s="42"/>
      <c r="UDU243" s="42"/>
      <c r="UDV243" s="42"/>
      <c r="UDW243" s="42"/>
      <c r="UDX243" s="42"/>
      <c r="UDY243" s="42"/>
      <c r="UDZ243" s="42"/>
      <c r="UEA243" s="42"/>
      <c r="UEB243" s="42"/>
      <c r="UEC243" s="42"/>
      <c r="UED243" s="42"/>
      <c r="UEE243" s="42"/>
      <c r="UEF243" s="42"/>
      <c r="UEG243" s="42"/>
      <c r="UEH243" s="42"/>
      <c r="UEI243" s="42"/>
      <c r="UEJ243" s="42"/>
      <c r="UEK243" s="42"/>
      <c r="UEL243" s="42"/>
      <c r="UEM243" s="42"/>
      <c r="UEN243" s="42"/>
      <c r="UEO243" s="42"/>
      <c r="UEP243" s="42"/>
      <c r="UEQ243" s="42"/>
      <c r="UER243" s="42"/>
      <c r="UES243" s="42"/>
      <c r="UET243" s="42"/>
      <c r="UEU243" s="42"/>
      <c r="UEV243" s="42"/>
      <c r="UEW243" s="42"/>
      <c r="UEX243" s="42"/>
      <c r="UEY243" s="42"/>
      <c r="UEZ243" s="42"/>
      <c r="UFA243" s="42"/>
      <c r="UFB243" s="42"/>
      <c r="UFC243" s="42"/>
      <c r="UFD243" s="42"/>
      <c r="UFE243" s="42"/>
      <c r="UFF243" s="42"/>
      <c r="UFG243" s="42"/>
      <c r="UFH243" s="42"/>
      <c r="UFI243" s="42"/>
      <c r="UFJ243" s="42"/>
      <c r="UFK243" s="42"/>
      <c r="UFL243" s="42"/>
      <c r="UFM243" s="42"/>
      <c r="UFN243" s="42"/>
      <c r="UFO243" s="42"/>
      <c r="UFP243" s="42"/>
      <c r="UFQ243" s="42"/>
      <c r="UFR243" s="42"/>
      <c r="UFS243" s="42"/>
      <c r="UFT243" s="42"/>
      <c r="UFU243" s="42"/>
      <c r="UFV243" s="42"/>
      <c r="UFW243" s="42"/>
      <c r="UFX243" s="42"/>
      <c r="UFY243" s="42"/>
      <c r="UFZ243" s="42"/>
      <c r="UGA243" s="42"/>
      <c r="UGB243" s="42"/>
      <c r="UGC243" s="42"/>
      <c r="UGD243" s="42"/>
      <c r="UGE243" s="42"/>
      <c r="UGF243" s="42"/>
      <c r="UGG243" s="42"/>
      <c r="UGH243" s="42"/>
      <c r="UGI243" s="42"/>
      <c r="UGJ243" s="42"/>
      <c r="UGK243" s="42"/>
      <c r="UGL243" s="42"/>
      <c r="UGM243" s="42"/>
      <c r="UGN243" s="42"/>
      <c r="UGO243" s="42"/>
      <c r="UGP243" s="42"/>
      <c r="UGQ243" s="42"/>
      <c r="UGR243" s="42"/>
      <c r="UGS243" s="42"/>
      <c r="UGT243" s="42"/>
      <c r="UGU243" s="42"/>
      <c r="UGV243" s="42"/>
      <c r="UGW243" s="42"/>
      <c r="UGX243" s="42"/>
      <c r="UGY243" s="42"/>
      <c r="UGZ243" s="42"/>
      <c r="UHA243" s="42"/>
      <c r="UHB243" s="42"/>
      <c r="UHC243" s="42"/>
      <c r="UHD243" s="42"/>
      <c r="UHE243" s="42"/>
      <c r="UHF243" s="42"/>
      <c r="UHG243" s="42"/>
      <c r="UHH243" s="42"/>
      <c r="UHI243" s="42"/>
      <c r="UHJ243" s="42"/>
      <c r="UHK243" s="42"/>
      <c r="UHL243" s="42"/>
      <c r="UHM243" s="42"/>
      <c r="UHN243" s="42"/>
      <c r="UHO243" s="42"/>
      <c r="UHP243" s="42"/>
      <c r="UHQ243" s="42"/>
      <c r="UHR243" s="42"/>
      <c r="UHS243" s="42"/>
      <c r="UHT243" s="42"/>
      <c r="UHU243" s="42"/>
      <c r="UHV243" s="42"/>
      <c r="UHW243" s="42"/>
      <c r="UHX243" s="42"/>
      <c r="UHY243" s="42"/>
      <c r="UHZ243" s="42"/>
      <c r="UIA243" s="42"/>
      <c r="UIB243" s="42"/>
      <c r="UIC243" s="42"/>
      <c r="UID243" s="42"/>
      <c r="UIE243" s="42"/>
      <c r="UIF243" s="42"/>
      <c r="UIG243" s="42"/>
      <c r="UIH243" s="42"/>
      <c r="UII243" s="42"/>
      <c r="UIJ243" s="42"/>
      <c r="UIK243" s="42"/>
      <c r="UIL243" s="42"/>
      <c r="UIM243" s="42"/>
      <c r="UIN243" s="42"/>
      <c r="UIO243" s="42"/>
      <c r="UIP243" s="42"/>
      <c r="UIQ243" s="42"/>
      <c r="UIR243" s="42"/>
      <c r="UIS243" s="42"/>
      <c r="UIT243" s="42"/>
      <c r="UIU243" s="42"/>
      <c r="UIV243" s="42"/>
      <c r="UIW243" s="42"/>
      <c r="UIX243" s="42"/>
      <c r="UIY243" s="42"/>
      <c r="UIZ243" s="42"/>
      <c r="UJA243" s="42"/>
      <c r="UJB243" s="42"/>
      <c r="UJC243" s="42"/>
      <c r="UJD243" s="42"/>
      <c r="UJE243" s="42"/>
      <c r="UJF243" s="42"/>
      <c r="UJG243" s="42"/>
      <c r="UJH243" s="42"/>
      <c r="UJI243" s="42"/>
      <c r="UJJ243" s="42"/>
      <c r="UJK243" s="42"/>
      <c r="UJL243" s="42"/>
      <c r="UJM243" s="42"/>
      <c r="UJN243" s="42"/>
      <c r="UJO243" s="42"/>
      <c r="UJP243" s="42"/>
      <c r="UJQ243" s="42"/>
      <c r="UJR243" s="42"/>
      <c r="UJS243" s="42"/>
      <c r="UJT243" s="42"/>
      <c r="UJU243" s="42"/>
      <c r="UJV243" s="42"/>
      <c r="UJW243" s="42"/>
      <c r="UJX243" s="42"/>
      <c r="UJY243" s="42"/>
      <c r="UJZ243" s="42"/>
      <c r="UKA243" s="42"/>
      <c r="UKB243" s="42"/>
      <c r="UKC243" s="42"/>
      <c r="UKD243" s="42"/>
      <c r="UKE243" s="42"/>
      <c r="UKF243" s="42"/>
      <c r="UKG243" s="42"/>
      <c r="UKH243" s="42"/>
      <c r="UKI243" s="42"/>
      <c r="UKJ243" s="42"/>
      <c r="UKK243" s="42"/>
      <c r="UKL243" s="42"/>
      <c r="UKM243" s="42"/>
      <c r="UKN243" s="42"/>
      <c r="UKO243" s="42"/>
      <c r="UKP243" s="42"/>
      <c r="UKQ243" s="42"/>
      <c r="UKR243" s="42"/>
      <c r="UKS243" s="42"/>
      <c r="UKT243" s="42"/>
      <c r="UKU243" s="42"/>
      <c r="UKV243" s="42"/>
      <c r="UKW243" s="42"/>
      <c r="UKX243" s="42"/>
      <c r="UKY243" s="42"/>
      <c r="UKZ243" s="42"/>
      <c r="ULA243" s="42"/>
      <c r="ULB243" s="42"/>
      <c r="ULC243" s="42"/>
      <c r="ULD243" s="42"/>
      <c r="ULE243" s="42"/>
      <c r="ULF243" s="42"/>
      <c r="ULG243" s="42"/>
      <c r="ULH243" s="42"/>
      <c r="ULI243" s="42"/>
      <c r="ULJ243" s="42"/>
      <c r="ULK243" s="42"/>
      <c r="ULL243" s="42"/>
      <c r="ULM243" s="42"/>
      <c r="ULN243" s="42"/>
      <c r="ULO243" s="42"/>
      <c r="ULP243" s="42"/>
      <c r="ULQ243" s="42"/>
      <c r="ULR243" s="42"/>
      <c r="ULS243" s="42"/>
      <c r="ULT243" s="42"/>
      <c r="ULU243" s="42"/>
      <c r="ULV243" s="42"/>
      <c r="ULW243" s="42"/>
      <c r="ULX243" s="42"/>
      <c r="ULY243" s="42"/>
      <c r="ULZ243" s="42"/>
      <c r="UMA243" s="42"/>
      <c r="UMB243" s="42"/>
      <c r="UMC243" s="42"/>
      <c r="UMD243" s="42"/>
      <c r="UME243" s="42"/>
      <c r="UMF243" s="42"/>
      <c r="UMG243" s="42"/>
      <c r="UMH243" s="42"/>
      <c r="UMI243" s="42"/>
      <c r="UMJ243" s="42"/>
      <c r="UMK243" s="42"/>
      <c r="UML243" s="42"/>
      <c r="UMM243" s="42"/>
      <c r="UMN243" s="42"/>
      <c r="UMO243" s="42"/>
      <c r="UMP243" s="42"/>
      <c r="UMQ243" s="42"/>
      <c r="UMR243" s="42"/>
      <c r="UMS243" s="42"/>
      <c r="UMT243" s="42"/>
      <c r="UMU243" s="42"/>
      <c r="UMV243" s="42"/>
      <c r="UMW243" s="42"/>
      <c r="UMX243" s="42"/>
      <c r="UMY243" s="42"/>
      <c r="UMZ243" s="42"/>
      <c r="UNA243" s="42"/>
      <c r="UNB243" s="42"/>
      <c r="UNC243" s="42"/>
      <c r="UND243" s="42"/>
      <c r="UNE243" s="42"/>
      <c r="UNF243" s="42"/>
      <c r="UNG243" s="42"/>
      <c r="UNH243" s="42"/>
      <c r="UNI243" s="42"/>
      <c r="UNJ243" s="42"/>
      <c r="UNK243" s="42"/>
      <c r="UNL243" s="42"/>
      <c r="UNM243" s="42"/>
      <c r="UNN243" s="42"/>
      <c r="UNO243" s="42"/>
      <c r="UNP243" s="42"/>
      <c r="UNQ243" s="42"/>
      <c r="UNR243" s="42"/>
      <c r="UNS243" s="42"/>
      <c r="UNT243" s="42"/>
      <c r="UNU243" s="42"/>
      <c r="UNV243" s="42"/>
      <c r="UNW243" s="42"/>
      <c r="UNX243" s="42"/>
      <c r="UNY243" s="42"/>
      <c r="UNZ243" s="42"/>
      <c r="UOA243" s="42"/>
      <c r="UOB243" s="42"/>
      <c r="UOC243" s="42"/>
      <c r="UOD243" s="42"/>
      <c r="UOE243" s="42"/>
      <c r="UOF243" s="42"/>
      <c r="UOG243" s="42"/>
      <c r="UOH243" s="42"/>
      <c r="UOI243" s="42"/>
      <c r="UOJ243" s="42"/>
      <c r="UOK243" s="42"/>
      <c r="UOL243" s="42"/>
      <c r="UOM243" s="42"/>
      <c r="UON243" s="42"/>
      <c r="UOO243" s="42"/>
      <c r="UOP243" s="42"/>
      <c r="UOQ243" s="42"/>
      <c r="UOR243" s="42"/>
      <c r="UOS243" s="42"/>
      <c r="UOT243" s="42"/>
      <c r="UOU243" s="42"/>
      <c r="UOV243" s="42"/>
      <c r="UOW243" s="42"/>
      <c r="UOX243" s="42"/>
      <c r="UOY243" s="42"/>
      <c r="UOZ243" s="42"/>
      <c r="UPA243" s="42"/>
      <c r="UPB243" s="42"/>
      <c r="UPC243" s="42"/>
      <c r="UPD243" s="42"/>
      <c r="UPE243" s="42"/>
      <c r="UPF243" s="42"/>
      <c r="UPG243" s="42"/>
      <c r="UPH243" s="42"/>
      <c r="UPI243" s="42"/>
      <c r="UPJ243" s="42"/>
      <c r="UPK243" s="42"/>
      <c r="UPL243" s="42"/>
      <c r="UPM243" s="42"/>
      <c r="UPN243" s="42"/>
      <c r="UPO243" s="42"/>
      <c r="UPP243" s="42"/>
      <c r="UPQ243" s="42"/>
      <c r="UPR243" s="42"/>
      <c r="UPS243" s="42"/>
      <c r="UPT243" s="42"/>
      <c r="UPU243" s="42"/>
      <c r="UPV243" s="42"/>
      <c r="UPW243" s="42"/>
      <c r="UPX243" s="42"/>
      <c r="UPY243" s="42"/>
      <c r="UPZ243" s="42"/>
      <c r="UQA243" s="42"/>
      <c r="UQB243" s="42"/>
      <c r="UQC243" s="42"/>
      <c r="UQD243" s="42"/>
      <c r="UQE243" s="42"/>
      <c r="UQF243" s="42"/>
      <c r="UQG243" s="42"/>
      <c r="UQH243" s="42"/>
      <c r="UQI243" s="42"/>
      <c r="UQJ243" s="42"/>
      <c r="UQK243" s="42"/>
      <c r="UQL243" s="42"/>
      <c r="UQM243" s="42"/>
      <c r="UQN243" s="42"/>
      <c r="UQO243" s="42"/>
      <c r="UQP243" s="42"/>
      <c r="UQQ243" s="42"/>
      <c r="UQR243" s="42"/>
      <c r="UQS243" s="42"/>
      <c r="UQT243" s="42"/>
      <c r="UQU243" s="42"/>
      <c r="UQV243" s="42"/>
      <c r="UQW243" s="42"/>
      <c r="UQX243" s="42"/>
      <c r="UQY243" s="42"/>
      <c r="UQZ243" s="42"/>
      <c r="URA243" s="42"/>
      <c r="URB243" s="42"/>
      <c r="URC243" s="42"/>
      <c r="URD243" s="42"/>
      <c r="URE243" s="42"/>
      <c r="URF243" s="42"/>
      <c r="URG243" s="42"/>
      <c r="URH243" s="42"/>
      <c r="URI243" s="42"/>
      <c r="URJ243" s="42"/>
      <c r="URK243" s="42"/>
      <c r="URL243" s="42"/>
      <c r="URM243" s="42"/>
      <c r="URN243" s="42"/>
      <c r="URO243" s="42"/>
      <c r="URP243" s="42"/>
      <c r="URQ243" s="42"/>
      <c r="URR243" s="42"/>
      <c r="URS243" s="42"/>
      <c r="URT243" s="42"/>
      <c r="URU243" s="42"/>
      <c r="URV243" s="42"/>
      <c r="URW243" s="42"/>
      <c r="URX243" s="42"/>
      <c r="URY243" s="42"/>
      <c r="URZ243" s="42"/>
      <c r="USA243" s="42"/>
      <c r="USB243" s="42"/>
      <c r="USC243" s="42"/>
      <c r="USD243" s="42"/>
      <c r="USE243" s="42"/>
      <c r="USF243" s="42"/>
      <c r="USG243" s="42"/>
      <c r="USH243" s="42"/>
      <c r="USI243" s="42"/>
      <c r="USJ243" s="42"/>
      <c r="USK243" s="42"/>
      <c r="USL243" s="42"/>
      <c r="USM243" s="42"/>
      <c r="USN243" s="42"/>
      <c r="USO243" s="42"/>
      <c r="USP243" s="42"/>
      <c r="USQ243" s="42"/>
      <c r="USR243" s="42"/>
      <c r="USS243" s="42"/>
      <c r="UST243" s="42"/>
      <c r="USU243" s="42"/>
      <c r="USV243" s="42"/>
      <c r="USW243" s="42"/>
      <c r="USX243" s="42"/>
      <c r="USY243" s="42"/>
      <c r="USZ243" s="42"/>
      <c r="UTA243" s="42"/>
      <c r="UTB243" s="42"/>
      <c r="UTC243" s="42"/>
      <c r="UTD243" s="42"/>
      <c r="UTE243" s="42"/>
      <c r="UTF243" s="42"/>
      <c r="UTG243" s="42"/>
      <c r="UTH243" s="42"/>
      <c r="UTI243" s="42"/>
      <c r="UTJ243" s="42"/>
      <c r="UTK243" s="42"/>
      <c r="UTL243" s="42"/>
      <c r="UTM243" s="42"/>
      <c r="UTN243" s="42"/>
      <c r="UTO243" s="42"/>
      <c r="UTP243" s="42"/>
      <c r="UTQ243" s="42"/>
      <c r="UTR243" s="42"/>
      <c r="UTS243" s="42"/>
      <c r="UTT243" s="42"/>
      <c r="UTU243" s="42"/>
      <c r="UTV243" s="42"/>
      <c r="UTW243" s="42"/>
      <c r="UTX243" s="42"/>
      <c r="UTY243" s="42"/>
      <c r="UTZ243" s="42"/>
      <c r="UUA243" s="42"/>
      <c r="UUB243" s="42"/>
      <c r="UUC243" s="42"/>
      <c r="UUD243" s="42"/>
      <c r="UUE243" s="42"/>
      <c r="UUF243" s="42"/>
      <c r="UUG243" s="42"/>
      <c r="UUH243" s="42"/>
      <c r="UUI243" s="42"/>
      <c r="UUJ243" s="42"/>
      <c r="UUK243" s="42"/>
      <c r="UUL243" s="42"/>
      <c r="UUM243" s="42"/>
      <c r="UUN243" s="42"/>
      <c r="UUO243" s="42"/>
      <c r="UUP243" s="42"/>
      <c r="UUQ243" s="42"/>
      <c r="UUR243" s="42"/>
      <c r="UUS243" s="42"/>
      <c r="UUT243" s="42"/>
      <c r="UUU243" s="42"/>
      <c r="UUV243" s="42"/>
      <c r="UUW243" s="42"/>
      <c r="UUX243" s="42"/>
      <c r="UUY243" s="42"/>
      <c r="UUZ243" s="42"/>
      <c r="UVA243" s="42"/>
      <c r="UVB243" s="42"/>
      <c r="UVC243" s="42"/>
      <c r="UVD243" s="42"/>
      <c r="UVE243" s="42"/>
      <c r="UVF243" s="42"/>
      <c r="UVG243" s="42"/>
      <c r="UVH243" s="42"/>
      <c r="UVI243" s="42"/>
      <c r="UVJ243" s="42"/>
      <c r="UVK243" s="42"/>
      <c r="UVL243" s="42"/>
      <c r="UVM243" s="42"/>
      <c r="UVN243" s="42"/>
      <c r="UVO243" s="42"/>
      <c r="UVP243" s="42"/>
      <c r="UVQ243" s="42"/>
      <c r="UVR243" s="42"/>
      <c r="UVS243" s="42"/>
      <c r="UVT243" s="42"/>
      <c r="UVU243" s="42"/>
      <c r="UVV243" s="42"/>
      <c r="UVW243" s="42"/>
      <c r="UVX243" s="42"/>
      <c r="UVY243" s="42"/>
      <c r="UVZ243" s="42"/>
      <c r="UWA243" s="42"/>
      <c r="UWB243" s="42"/>
      <c r="UWC243" s="42"/>
      <c r="UWD243" s="42"/>
      <c r="UWE243" s="42"/>
      <c r="UWF243" s="42"/>
      <c r="UWG243" s="42"/>
      <c r="UWH243" s="42"/>
      <c r="UWI243" s="42"/>
      <c r="UWJ243" s="42"/>
      <c r="UWK243" s="42"/>
      <c r="UWL243" s="42"/>
      <c r="UWM243" s="42"/>
      <c r="UWN243" s="42"/>
      <c r="UWO243" s="42"/>
      <c r="UWP243" s="42"/>
      <c r="UWQ243" s="42"/>
      <c r="UWR243" s="42"/>
      <c r="UWS243" s="42"/>
      <c r="UWT243" s="42"/>
      <c r="UWU243" s="42"/>
      <c r="UWV243" s="42"/>
      <c r="UWW243" s="42"/>
      <c r="UWX243" s="42"/>
      <c r="UWY243" s="42"/>
      <c r="UWZ243" s="42"/>
      <c r="UXA243" s="42"/>
      <c r="UXB243" s="42"/>
      <c r="UXC243" s="42"/>
      <c r="UXD243" s="42"/>
      <c r="UXE243" s="42"/>
      <c r="UXF243" s="42"/>
      <c r="UXG243" s="42"/>
      <c r="UXH243" s="42"/>
      <c r="UXI243" s="42"/>
      <c r="UXJ243" s="42"/>
      <c r="UXK243" s="42"/>
      <c r="UXL243" s="42"/>
      <c r="UXM243" s="42"/>
      <c r="UXN243" s="42"/>
      <c r="UXO243" s="42"/>
      <c r="UXP243" s="42"/>
      <c r="UXQ243" s="42"/>
      <c r="UXR243" s="42"/>
      <c r="UXS243" s="42"/>
      <c r="UXT243" s="42"/>
      <c r="UXU243" s="42"/>
      <c r="UXV243" s="42"/>
      <c r="UXW243" s="42"/>
      <c r="UXX243" s="42"/>
      <c r="UXY243" s="42"/>
      <c r="UXZ243" s="42"/>
      <c r="UYA243" s="42"/>
      <c r="UYB243" s="42"/>
      <c r="UYC243" s="42"/>
      <c r="UYD243" s="42"/>
      <c r="UYE243" s="42"/>
      <c r="UYF243" s="42"/>
      <c r="UYG243" s="42"/>
      <c r="UYH243" s="42"/>
      <c r="UYI243" s="42"/>
      <c r="UYJ243" s="42"/>
      <c r="UYK243" s="42"/>
      <c r="UYL243" s="42"/>
      <c r="UYM243" s="42"/>
      <c r="UYN243" s="42"/>
      <c r="UYO243" s="42"/>
      <c r="UYP243" s="42"/>
      <c r="UYQ243" s="42"/>
      <c r="UYR243" s="42"/>
      <c r="UYS243" s="42"/>
      <c r="UYT243" s="42"/>
      <c r="UYU243" s="42"/>
      <c r="UYV243" s="42"/>
      <c r="UYW243" s="42"/>
      <c r="UYX243" s="42"/>
      <c r="UYY243" s="42"/>
      <c r="UYZ243" s="42"/>
      <c r="UZA243" s="42"/>
      <c r="UZB243" s="42"/>
      <c r="UZC243" s="42"/>
      <c r="UZD243" s="42"/>
      <c r="UZE243" s="42"/>
      <c r="UZF243" s="42"/>
      <c r="UZG243" s="42"/>
      <c r="UZH243" s="42"/>
      <c r="UZI243" s="42"/>
      <c r="UZJ243" s="42"/>
      <c r="UZK243" s="42"/>
      <c r="UZL243" s="42"/>
      <c r="UZM243" s="42"/>
      <c r="UZN243" s="42"/>
      <c r="UZO243" s="42"/>
      <c r="UZP243" s="42"/>
      <c r="UZQ243" s="42"/>
      <c r="UZR243" s="42"/>
      <c r="UZS243" s="42"/>
      <c r="UZT243" s="42"/>
      <c r="UZU243" s="42"/>
      <c r="UZV243" s="42"/>
      <c r="UZW243" s="42"/>
      <c r="UZX243" s="42"/>
      <c r="UZY243" s="42"/>
      <c r="UZZ243" s="42"/>
      <c r="VAA243" s="42"/>
      <c r="VAB243" s="42"/>
      <c r="VAC243" s="42"/>
      <c r="VAD243" s="42"/>
      <c r="VAE243" s="42"/>
      <c r="VAF243" s="42"/>
      <c r="VAG243" s="42"/>
      <c r="VAH243" s="42"/>
      <c r="VAI243" s="42"/>
      <c r="VAJ243" s="42"/>
      <c r="VAK243" s="42"/>
      <c r="VAL243" s="42"/>
      <c r="VAM243" s="42"/>
      <c r="VAN243" s="42"/>
      <c r="VAO243" s="42"/>
      <c r="VAP243" s="42"/>
      <c r="VAQ243" s="42"/>
      <c r="VAR243" s="42"/>
      <c r="VAS243" s="42"/>
      <c r="VAT243" s="42"/>
      <c r="VAU243" s="42"/>
      <c r="VAV243" s="42"/>
      <c r="VAW243" s="42"/>
      <c r="VAX243" s="42"/>
      <c r="VAY243" s="42"/>
      <c r="VAZ243" s="42"/>
      <c r="VBA243" s="42"/>
      <c r="VBB243" s="42"/>
      <c r="VBC243" s="42"/>
      <c r="VBD243" s="42"/>
      <c r="VBE243" s="42"/>
      <c r="VBF243" s="42"/>
      <c r="VBG243" s="42"/>
      <c r="VBH243" s="42"/>
      <c r="VBI243" s="42"/>
      <c r="VBJ243" s="42"/>
      <c r="VBK243" s="42"/>
      <c r="VBL243" s="42"/>
      <c r="VBM243" s="42"/>
      <c r="VBN243" s="42"/>
      <c r="VBO243" s="42"/>
      <c r="VBP243" s="42"/>
      <c r="VBQ243" s="42"/>
      <c r="VBR243" s="42"/>
      <c r="VBS243" s="42"/>
      <c r="VBT243" s="42"/>
      <c r="VBU243" s="42"/>
      <c r="VBV243" s="42"/>
      <c r="VBW243" s="42"/>
      <c r="VBX243" s="42"/>
      <c r="VBY243" s="42"/>
      <c r="VBZ243" s="42"/>
      <c r="VCA243" s="42"/>
      <c r="VCB243" s="42"/>
      <c r="VCC243" s="42"/>
      <c r="VCD243" s="42"/>
      <c r="VCE243" s="42"/>
      <c r="VCF243" s="42"/>
      <c r="VCG243" s="42"/>
      <c r="VCH243" s="42"/>
      <c r="VCI243" s="42"/>
      <c r="VCJ243" s="42"/>
      <c r="VCK243" s="42"/>
      <c r="VCL243" s="42"/>
      <c r="VCM243" s="42"/>
      <c r="VCN243" s="42"/>
      <c r="VCO243" s="42"/>
      <c r="VCP243" s="42"/>
      <c r="VCQ243" s="42"/>
      <c r="VCR243" s="42"/>
      <c r="VCS243" s="42"/>
      <c r="VCT243" s="42"/>
      <c r="VCU243" s="42"/>
      <c r="VCV243" s="42"/>
      <c r="VCW243" s="42"/>
      <c r="VCX243" s="42"/>
      <c r="VCY243" s="42"/>
      <c r="VCZ243" s="42"/>
      <c r="VDA243" s="42"/>
      <c r="VDB243" s="42"/>
      <c r="VDC243" s="42"/>
      <c r="VDD243" s="42"/>
      <c r="VDE243" s="42"/>
      <c r="VDF243" s="42"/>
      <c r="VDG243" s="42"/>
      <c r="VDH243" s="42"/>
      <c r="VDI243" s="42"/>
      <c r="VDJ243" s="42"/>
      <c r="VDK243" s="42"/>
      <c r="VDL243" s="42"/>
      <c r="VDM243" s="42"/>
      <c r="VDN243" s="42"/>
      <c r="VDO243" s="42"/>
      <c r="VDP243" s="42"/>
      <c r="VDQ243" s="42"/>
      <c r="VDR243" s="42"/>
      <c r="VDS243" s="42"/>
      <c r="VDT243" s="42"/>
      <c r="VDU243" s="42"/>
      <c r="VDV243" s="42"/>
      <c r="VDW243" s="42"/>
      <c r="VDX243" s="42"/>
      <c r="VDY243" s="42"/>
      <c r="VDZ243" s="42"/>
      <c r="VEA243" s="42"/>
      <c r="VEB243" s="42"/>
      <c r="VEC243" s="42"/>
      <c r="VED243" s="42"/>
      <c r="VEE243" s="42"/>
      <c r="VEF243" s="42"/>
      <c r="VEG243" s="42"/>
      <c r="VEH243" s="42"/>
      <c r="VEI243" s="42"/>
      <c r="VEJ243" s="42"/>
      <c r="VEK243" s="42"/>
      <c r="VEL243" s="42"/>
      <c r="VEM243" s="42"/>
      <c r="VEN243" s="42"/>
      <c r="VEO243" s="42"/>
      <c r="VEP243" s="42"/>
      <c r="VEQ243" s="42"/>
      <c r="VER243" s="42"/>
      <c r="VES243" s="42"/>
      <c r="VET243" s="42"/>
      <c r="VEU243" s="42"/>
      <c r="VEV243" s="42"/>
      <c r="VEW243" s="42"/>
      <c r="VEX243" s="42"/>
      <c r="VEY243" s="42"/>
      <c r="VEZ243" s="42"/>
      <c r="VFA243" s="42"/>
      <c r="VFB243" s="42"/>
      <c r="VFC243" s="42"/>
      <c r="VFD243" s="42"/>
      <c r="VFE243" s="42"/>
      <c r="VFF243" s="42"/>
      <c r="VFG243" s="42"/>
      <c r="VFH243" s="42"/>
      <c r="VFI243" s="42"/>
      <c r="VFJ243" s="42"/>
      <c r="VFK243" s="42"/>
      <c r="VFL243" s="42"/>
      <c r="VFM243" s="42"/>
      <c r="VFN243" s="42"/>
      <c r="VFO243" s="42"/>
      <c r="VFP243" s="42"/>
      <c r="VFQ243" s="42"/>
      <c r="VFR243" s="42"/>
      <c r="VFS243" s="42"/>
      <c r="VFT243" s="42"/>
      <c r="VFU243" s="42"/>
      <c r="VFV243" s="42"/>
      <c r="VFW243" s="42"/>
      <c r="VFX243" s="42"/>
      <c r="VFY243" s="42"/>
      <c r="VFZ243" s="42"/>
      <c r="VGA243" s="42"/>
      <c r="VGB243" s="42"/>
      <c r="VGC243" s="42"/>
      <c r="VGD243" s="42"/>
      <c r="VGE243" s="42"/>
      <c r="VGF243" s="42"/>
      <c r="VGG243" s="42"/>
      <c r="VGH243" s="42"/>
      <c r="VGI243" s="42"/>
      <c r="VGJ243" s="42"/>
      <c r="VGK243" s="42"/>
      <c r="VGL243" s="42"/>
      <c r="VGM243" s="42"/>
      <c r="VGN243" s="42"/>
      <c r="VGO243" s="42"/>
      <c r="VGP243" s="42"/>
      <c r="VGQ243" s="42"/>
      <c r="VGR243" s="42"/>
      <c r="VGS243" s="42"/>
      <c r="VGT243" s="42"/>
      <c r="VGU243" s="42"/>
      <c r="VGV243" s="42"/>
      <c r="VGW243" s="42"/>
      <c r="VGX243" s="42"/>
      <c r="VGY243" s="42"/>
      <c r="VGZ243" s="42"/>
      <c r="VHA243" s="42"/>
      <c r="VHB243" s="42"/>
      <c r="VHC243" s="42"/>
      <c r="VHD243" s="42"/>
      <c r="VHE243" s="42"/>
      <c r="VHF243" s="42"/>
      <c r="VHG243" s="42"/>
      <c r="VHH243" s="42"/>
      <c r="VHI243" s="42"/>
      <c r="VHJ243" s="42"/>
      <c r="VHK243" s="42"/>
      <c r="VHL243" s="42"/>
      <c r="VHM243" s="42"/>
      <c r="VHN243" s="42"/>
      <c r="VHO243" s="42"/>
      <c r="VHP243" s="42"/>
      <c r="VHQ243" s="42"/>
      <c r="VHR243" s="42"/>
      <c r="VHS243" s="42"/>
      <c r="VHT243" s="42"/>
      <c r="VHU243" s="42"/>
      <c r="VHV243" s="42"/>
      <c r="VHW243" s="42"/>
      <c r="VHX243" s="42"/>
      <c r="VHY243" s="42"/>
      <c r="VHZ243" s="42"/>
      <c r="VIA243" s="42"/>
      <c r="VIB243" s="42"/>
      <c r="VIC243" s="42"/>
      <c r="VID243" s="42"/>
      <c r="VIE243" s="42"/>
      <c r="VIF243" s="42"/>
      <c r="VIG243" s="42"/>
      <c r="VIH243" s="42"/>
      <c r="VII243" s="42"/>
      <c r="VIJ243" s="42"/>
      <c r="VIK243" s="42"/>
      <c r="VIL243" s="42"/>
      <c r="VIM243" s="42"/>
      <c r="VIN243" s="42"/>
      <c r="VIO243" s="42"/>
      <c r="VIP243" s="42"/>
      <c r="VIQ243" s="42"/>
      <c r="VIR243" s="42"/>
      <c r="VIS243" s="42"/>
      <c r="VIT243" s="42"/>
      <c r="VIU243" s="42"/>
      <c r="VIV243" s="42"/>
      <c r="VIW243" s="42"/>
      <c r="VIX243" s="42"/>
      <c r="VIY243" s="42"/>
      <c r="VIZ243" s="42"/>
      <c r="VJA243" s="42"/>
      <c r="VJB243" s="42"/>
      <c r="VJC243" s="42"/>
      <c r="VJD243" s="42"/>
      <c r="VJE243" s="42"/>
      <c r="VJF243" s="42"/>
      <c r="VJG243" s="42"/>
      <c r="VJH243" s="42"/>
      <c r="VJI243" s="42"/>
      <c r="VJJ243" s="42"/>
      <c r="VJK243" s="42"/>
      <c r="VJL243" s="42"/>
      <c r="VJM243" s="42"/>
      <c r="VJN243" s="42"/>
      <c r="VJO243" s="42"/>
      <c r="VJP243" s="42"/>
      <c r="VJQ243" s="42"/>
      <c r="VJR243" s="42"/>
      <c r="VJS243" s="42"/>
      <c r="VJT243" s="42"/>
      <c r="VJU243" s="42"/>
      <c r="VJV243" s="42"/>
      <c r="VJW243" s="42"/>
      <c r="VJX243" s="42"/>
      <c r="VJY243" s="42"/>
      <c r="VJZ243" s="42"/>
      <c r="VKA243" s="42"/>
      <c r="VKB243" s="42"/>
      <c r="VKC243" s="42"/>
      <c r="VKD243" s="42"/>
      <c r="VKE243" s="42"/>
      <c r="VKF243" s="42"/>
      <c r="VKG243" s="42"/>
      <c r="VKH243" s="42"/>
      <c r="VKI243" s="42"/>
      <c r="VKJ243" s="42"/>
      <c r="VKK243" s="42"/>
      <c r="VKL243" s="42"/>
      <c r="VKM243" s="42"/>
      <c r="VKN243" s="42"/>
      <c r="VKO243" s="42"/>
      <c r="VKP243" s="42"/>
      <c r="VKQ243" s="42"/>
      <c r="VKR243" s="42"/>
      <c r="VKS243" s="42"/>
      <c r="VKT243" s="42"/>
      <c r="VKU243" s="42"/>
      <c r="VKV243" s="42"/>
      <c r="VKW243" s="42"/>
      <c r="VKX243" s="42"/>
      <c r="VKY243" s="42"/>
      <c r="VKZ243" s="42"/>
      <c r="VLA243" s="42"/>
      <c r="VLB243" s="42"/>
      <c r="VLC243" s="42"/>
      <c r="VLD243" s="42"/>
      <c r="VLE243" s="42"/>
      <c r="VLF243" s="42"/>
      <c r="VLG243" s="42"/>
      <c r="VLH243" s="42"/>
      <c r="VLI243" s="42"/>
      <c r="VLJ243" s="42"/>
      <c r="VLK243" s="42"/>
      <c r="VLL243" s="42"/>
      <c r="VLM243" s="42"/>
      <c r="VLN243" s="42"/>
      <c r="VLO243" s="42"/>
      <c r="VLP243" s="42"/>
      <c r="VLQ243" s="42"/>
      <c r="VLR243" s="42"/>
      <c r="VLS243" s="42"/>
      <c r="VLT243" s="42"/>
      <c r="VLU243" s="42"/>
      <c r="VLV243" s="42"/>
      <c r="VLW243" s="42"/>
      <c r="VLX243" s="42"/>
      <c r="VLY243" s="42"/>
      <c r="VLZ243" s="42"/>
      <c r="VMA243" s="42"/>
      <c r="VMB243" s="42"/>
      <c r="VMC243" s="42"/>
      <c r="VMD243" s="42"/>
      <c r="VME243" s="42"/>
      <c r="VMF243" s="42"/>
      <c r="VMG243" s="42"/>
      <c r="VMH243" s="42"/>
      <c r="VMI243" s="42"/>
      <c r="VMJ243" s="42"/>
      <c r="VMK243" s="42"/>
      <c r="VML243" s="42"/>
      <c r="VMM243" s="42"/>
      <c r="VMN243" s="42"/>
      <c r="VMO243" s="42"/>
      <c r="VMP243" s="42"/>
      <c r="VMQ243" s="42"/>
      <c r="VMR243" s="42"/>
      <c r="VMS243" s="42"/>
      <c r="VMT243" s="42"/>
      <c r="VMU243" s="42"/>
      <c r="VMV243" s="42"/>
      <c r="VMW243" s="42"/>
      <c r="VMX243" s="42"/>
      <c r="VMY243" s="42"/>
      <c r="VMZ243" s="42"/>
      <c r="VNA243" s="42"/>
      <c r="VNB243" s="42"/>
      <c r="VNC243" s="42"/>
      <c r="VND243" s="42"/>
      <c r="VNE243" s="42"/>
      <c r="VNF243" s="42"/>
      <c r="VNG243" s="42"/>
      <c r="VNH243" s="42"/>
      <c r="VNI243" s="42"/>
      <c r="VNJ243" s="42"/>
      <c r="VNK243" s="42"/>
      <c r="VNL243" s="42"/>
      <c r="VNM243" s="42"/>
      <c r="VNN243" s="42"/>
      <c r="VNO243" s="42"/>
      <c r="VNP243" s="42"/>
      <c r="VNQ243" s="42"/>
      <c r="VNR243" s="42"/>
      <c r="VNS243" s="42"/>
      <c r="VNT243" s="42"/>
      <c r="VNU243" s="42"/>
      <c r="VNV243" s="42"/>
      <c r="VNW243" s="42"/>
      <c r="VNX243" s="42"/>
      <c r="VNY243" s="42"/>
      <c r="VNZ243" s="42"/>
      <c r="VOA243" s="42"/>
      <c r="VOB243" s="42"/>
      <c r="VOC243" s="42"/>
      <c r="VOD243" s="42"/>
      <c r="VOE243" s="42"/>
      <c r="VOF243" s="42"/>
      <c r="VOG243" s="42"/>
      <c r="VOH243" s="42"/>
      <c r="VOI243" s="42"/>
      <c r="VOJ243" s="42"/>
      <c r="VOK243" s="42"/>
      <c r="VOL243" s="42"/>
      <c r="VOM243" s="42"/>
      <c r="VON243" s="42"/>
      <c r="VOO243" s="42"/>
      <c r="VOP243" s="42"/>
      <c r="VOQ243" s="42"/>
      <c r="VOR243" s="42"/>
      <c r="VOS243" s="42"/>
      <c r="VOT243" s="42"/>
      <c r="VOU243" s="42"/>
      <c r="VOV243" s="42"/>
      <c r="VOW243" s="42"/>
      <c r="VOX243" s="42"/>
      <c r="VOY243" s="42"/>
      <c r="VOZ243" s="42"/>
      <c r="VPA243" s="42"/>
      <c r="VPB243" s="42"/>
      <c r="VPC243" s="42"/>
      <c r="VPD243" s="42"/>
      <c r="VPE243" s="42"/>
      <c r="VPF243" s="42"/>
      <c r="VPG243" s="42"/>
      <c r="VPH243" s="42"/>
      <c r="VPI243" s="42"/>
      <c r="VPJ243" s="42"/>
      <c r="VPK243" s="42"/>
      <c r="VPL243" s="42"/>
      <c r="VPM243" s="42"/>
      <c r="VPN243" s="42"/>
      <c r="VPO243" s="42"/>
      <c r="VPP243" s="42"/>
      <c r="VPQ243" s="42"/>
      <c r="VPR243" s="42"/>
      <c r="VPS243" s="42"/>
      <c r="VPT243" s="42"/>
      <c r="VPU243" s="42"/>
      <c r="VPV243" s="42"/>
      <c r="VPW243" s="42"/>
      <c r="VPX243" s="42"/>
      <c r="VPY243" s="42"/>
      <c r="VPZ243" s="42"/>
      <c r="VQA243" s="42"/>
      <c r="VQB243" s="42"/>
      <c r="VQC243" s="42"/>
      <c r="VQD243" s="42"/>
      <c r="VQE243" s="42"/>
      <c r="VQF243" s="42"/>
      <c r="VQG243" s="42"/>
      <c r="VQH243" s="42"/>
      <c r="VQI243" s="42"/>
      <c r="VQJ243" s="42"/>
      <c r="VQK243" s="42"/>
      <c r="VQL243" s="42"/>
      <c r="VQM243" s="42"/>
      <c r="VQN243" s="42"/>
      <c r="VQO243" s="42"/>
      <c r="VQP243" s="42"/>
      <c r="VQQ243" s="42"/>
      <c r="VQR243" s="42"/>
      <c r="VQS243" s="42"/>
      <c r="VQT243" s="42"/>
      <c r="VQU243" s="42"/>
      <c r="VQV243" s="42"/>
      <c r="VQW243" s="42"/>
      <c r="VQX243" s="42"/>
      <c r="VQY243" s="42"/>
      <c r="VQZ243" s="42"/>
      <c r="VRA243" s="42"/>
      <c r="VRB243" s="42"/>
      <c r="VRC243" s="42"/>
      <c r="VRD243" s="42"/>
      <c r="VRE243" s="42"/>
      <c r="VRF243" s="42"/>
      <c r="VRG243" s="42"/>
      <c r="VRH243" s="42"/>
      <c r="VRI243" s="42"/>
      <c r="VRJ243" s="42"/>
      <c r="VRK243" s="42"/>
      <c r="VRL243" s="42"/>
      <c r="VRM243" s="42"/>
      <c r="VRN243" s="42"/>
      <c r="VRO243" s="42"/>
      <c r="VRP243" s="42"/>
      <c r="VRQ243" s="42"/>
      <c r="VRR243" s="42"/>
      <c r="VRS243" s="42"/>
      <c r="VRT243" s="42"/>
      <c r="VRU243" s="42"/>
      <c r="VRV243" s="42"/>
      <c r="VRW243" s="42"/>
      <c r="VRX243" s="42"/>
      <c r="VRY243" s="42"/>
      <c r="VRZ243" s="42"/>
      <c r="VSA243" s="42"/>
      <c r="VSB243" s="42"/>
      <c r="VSC243" s="42"/>
      <c r="VSD243" s="42"/>
      <c r="VSE243" s="42"/>
      <c r="VSF243" s="42"/>
      <c r="VSG243" s="42"/>
      <c r="VSH243" s="42"/>
      <c r="VSI243" s="42"/>
      <c r="VSJ243" s="42"/>
      <c r="VSK243" s="42"/>
      <c r="VSL243" s="42"/>
      <c r="VSM243" s="42"/>
      <c r="VSN243" s="42"/>
      <c r="VSO243" s="42"/>
      <c r="VSP243" s="42"/>
      <c r="VSQ243" s="42"/>
      <c r="VSR243" s="42"/>
      <c r="VSS243" s="42"/>
      <c r="VST243" s="42"/>
      <c r="VSU243" s="42"/>
      <c r="VSV243" s="42"/>
      <c r="VSW243" s="42"/>
      <c r="VSX243" s="42"/>
      <c r="VSY243" s="42"/>
      <c r="VSZ243" s="42"/>
      <c r="VTA243" s="42"/>
      <c r="VTB243" s="42"/>
      <c r="VTC243" s="42"/>
      <c r="VTD243" s="42"/>
      <c r="VTE243" s="42"/>
      <c r="VTF243" s="42"/>
      <c r="VTG243" s="42"/>
      <c r="VTH243" s="42"/>
      <c r="VTI243" s="42"/>
      <c r="VTJ243" s="42"/>
      <c r="VTK243" s="42"/>
      <c r="VTL243" s="42"/>
      <c r="VTM243" s="42"/>
      <c r="VTN243" s="42"/>
      <c r="VTO243" s="42"/>
      <c r="VTP243" s="42"/>
      <c r="VTQ243" s="42"/>
      <c r="VTR243" s="42"/>
      <c r="VTS243" s="42"/>
      <c r="VTT243" s="42"/>
      <c r="VTU243" s="42"/>
      <c r="VTV243" s="42"/>
      <c r="VTW243" s="42"/>
      <c r="VTX243" s="42"/>
      <c r="VTY243" s="42"/>
      <c r="VTZ243" s="42"/>
      <c r="VUA243" s="42"/>
      <c r="VUB243" s="42"/>
      <c r="VUC243" s="42"/>
      <c r="VUD243" s="42"/>
      <c r="VUE243" s="42"/>
      <c r="VUF243" s="42"/>
      <c r="VUG243" s="42"/>
      <c r="VUH243" s="42"/>
      <c r="VUI243" s="42"/>
      <c r="VUJ243" s="42"/>
      <c r="VUK243" s="42"/>
      <c r="VUL243" s="42"/>
      <c r="VUM243" s="42"/>
      <c r="VUN243" s="42"/>
      <c r="VUO243" s="42"/>
      <c r="VUP243" s="42"/>
      <c r="VUQ243" s="42"/>
      <c r="VUR243" s="42"/>
      <c r="VUS243" s="42"/>
      <c r="VUT243" s="42"/>
      <c r="VUU243" s="42"/>
      <c r="VUV243" s="42"/>
      <c r="VUW243" s="42"/>
      <c r="VUX243" s="42"/>
      <c r="VUY243" s="42"/>
      <c r="VUZ243" s="42"/>
      <c r="VVA243" s="42"/>
      <c r="VVB243" s="42"/>
      <c r="VVC243" s="42"/>
      <c r="VVD243" s="42"/>
      <c r="VVE243" s="42"/>
      <c r="VVF243" s="42"/>
      <c r="VVG243" s="42"/>
      <c r="VVH243" s="42"/>
      <c r="VVI243" s="42"/>
      <c r="VVJ243" s="42"/>
      <c r="VVK243" s="42"/>
      <c r="VVL243" s="42"/>
      <c r="VVM243" s="42"/>
      <c r="VVN243" s="42"/>
      <c r="VVO243" s="42"/>
      <c r="VVP243" s="42"/>
      <c r="VVQ243" s="42"/>
      <c r="VVR243" s="42"/>
      <c r="VVS243" s="42"/>
      <c r="VVT243" s="42"/>
      <c r="VVU243" s="42"/>
      <c r="VVV243" s="42"/>
      <c r="VVW243" s="42"/>
      <c r="VVX243" s="42"/>
      <c r="VVY243" s="42"/>
      <c r="VVZ243" s="42"/>
      <c r="VWA243" s="42"/>
      <c r="VWB243" s="42"/>
      <c r="VWC243" s="42"/>
      <c r="VWD243" s="42"/>
      <c r="VWE243" s="42"/>
      <c r="VWF243" s="42"/>
      <c r="VWG243" s="42"/>
      <c r="VWH243" s="42"/>
      <c r="VWI243" s="42"/>
      <c r="VWJ243" s="42"/>
      <c r="VWK243" s="42"/>
      <c r="VWL243" s="42"/>
      <c r="VWM243" s="42"/>
      <c r="VWN243" s="42"/>
      <c r="VWO243" s="42"/>
      <c r="VWP243" s="42"/>
      <c r="VWQ243" s="42"/>
      <c r="VWR243" s="42"/>
      <c r="VWS243" s="42"/>
      <c r="VWT243" s="42"/>
      <c r="VWU243" s="42"/>
      <c r="VWV243" s="42"/>
      <c r="VWW243" s="42"/>
      <c r="VWX243" s="42"/>
      <c r="VWY243" s="42"/>
      <c r="VWZ243" s="42"/>
      <c r="VXA243" s="42"/>
      <c r="VXB243" s="42"/>
      <c r="VXC243" s="42"/>
      <c r="VXD243" s="42"/>
      <c r="VXE243" s="42"/>
      <c r="VXF243" s="42"/>
      <c r="VXG243" s="42"/>
      <c r="VXH243" s="42"/>
      <c r="VXI243" s="42"/>
      <c r="VXJ243" s="42"/>
      <c r="VXK243" s="42"/>
      <c r="VXL243" s="42"/>
      <c r="VXM243" s="42"/>
      <c r="VXN243" s="42"/>
      <c r="VXO243" s="42"/>
      <c r="VXP243" s="42"/>
      <c r="VXQ243" s="42"/>
      <c r="VXR243" s="42"/>
      <c r="VXS243" s="42"/>
      <c r="VXT243" s="42"/>
      <c r="VXU243" s="42"/>
      <c r="VXV243" s="42"/>
      <c r="VXW243" s="42"/>
      <c r="VXX243" s="42"/>
      <c r="VXY243" s="42"/>
      <c r="VXZ243" s="42"/>
      <c r="VYA243" s="42"/>
      <c r="VYB243" s="42"/>
      <c r="VYC243" s="42"/>
      <c r="VYD243" s="42"/>
      <c r="VYE243" s="42"/>
      <c r="VYF243" s="42"/>
      <c r="VYG243" s="42"/>
      <c r="VYH243" s="42"/>
      <c r="VYI243" s="42"/>
      <c r="VYJ243" s="42"/>
      <c r="VYK243" s="42"/>
      <c r="VYL243" s="42"/>
      <c r="VYM243" s="42"/>
      <c r="VYN243" s="42"/>
      <c r="VYO243" s="42"/>
      <c r="VYP243" s="42"/>
      <c r="VYQ243" s="42"/>
      <c r="VYR243" s="42"/>
      <c r="VYS243" s="42"/>
      <c r="VYT243" s="42"/>
      <c r="VYU243" s="42"/>
      <c r="VYV243" s="42"/>
      <c r="VYW243" s="42"/>
      <c r="VYX243" s="42"/>
      <c r="VYY243" s="42"/>
      <c r="VYZ243" s="42"/>
      <c r="VZA243" s="42"/>
      <c r="VZB243" s="42"/>
      <c r="VZC243" s="42"/>
      <c r="VZD243" s="42"/>
      <c r="VZE243" s="42"/>
      <c r="VZF243" s="42"/>
      <c r="VZG243" s="42"/>
      <c r="VZH243" s="42"/>
      <c r="VZI243" s="42"/>
      <c r="VZJ243" s="42"/>
      <c r="VZK243" s="42"/>
      <c r="VZL243" s="42"/>
      <c r="VZM243" s="42"/>
      <c r="VZN243" s="42"/>
      <c r="VZO243" s="42"/>
      <c r="VZP243" s="42"/>
      <c r="VZQ243" s="42"/>
      <c r="VZR243" s="42"/>
      <c r="VZS243" s="42"/>
      <c r="VZT243" s="42"/>
      <c r="VZU243" s="42"/>
      <c r="VZV243" s="42"/>
      <c r="VZW243" s="42"/>
      <c r="VZX243" s="42"/>
      <c r="VZY243" s="42"/>
      <c r="VZZ243" s="42"/>
      <c r="WAA243" s="42"/>
      <c r="WAB243" s="42"/>
      <c r="WAC243" s="42"/>
      <c r="WAD243" s="42"/>
      <c r="WAE243" s="42"/>
      <c r="WAF243" s="42"/>
      <c r="WAG243" s="42"/>
      <c r="WAH243" s="42"/>
      <c r="WAI243" s="42"/>
      <c r="WAJ243" s="42"/>
      <c r="WAK243" s="42"/>
      <c r="WAL243" s="42"/>
      <c r="WAM243" s="42"/>
      <c r="WAN243" s="42"/>
      <c r="WAO243" s="42"/>
      <c r="WAP243" s="42"/>
      <c r="WAQ243" s="42"/>
      <c r="WAR243" s="42"/>
      <c r="WAS243" s="42"/>
      <c r="WAT243" s="42"/>
      <c r="WAU243" s="42"/>
      <c r="WAV243" s="42"/>
      <c r="WAW243" s="42"/>
      <c r="WAX243" s="42"/>
      <c r="WAY243" s="42"/>
      <c r="WAZ243" s="42"/>
      <c r="WBA243" s="42"/>
      <c r="WBB243" s="42"/>
      <c r="WBC243" s="42"/>
      <c r="WBD243" s="42"/>
      <c r="WBE243" s="42"/>
      <c r="WBF243" s="42"/>
      <c r="WBG243" s="42"/>
      <c r="WBH243" s="42"/>
      <c r="WBI243" s="42"/>
      <c r="WBJ243" s="42"/>
      <c r="WBK243" s="42"/>
      <c r="WBL243" s="42"/>
      <c r="WBM243" s="42"/>
      <c r="WBN243" s="42"/>
      <c r="WBO243" s="42"/>
      <c r="WBP243" s="42"/>
      <c r="WBQ243" s="42"/>
      <c r="WBR243" s="42"/>
      <c r="WBS243" s="42"/>
      <c r="WBT243" s="42"/>
      <c r="WBU243" s="42"/>
      <c r="WBV243" s="42"/>
      <c r="WBW243" s="42"/>
      <c r="WBX243" s="42"/>
      <c r="WBY243" s="42"/>
      <c r="WBZ243" s="42"/>
      <c r="WCA243" s="42"/>
      <c r="WCB243" s="42"/>
      <c r="WCC243" s="42"/>
      <c r="WCD243" s="42"/>
      <c r="WCE243" s="42"/>
      <c r="WCF243" s="42"/>
      <c r="WCG243" s="42"/>
      <c r="WCH243" s="42"/>
      <c r="WCI243" s="42"/>
      <c r="WCJ243" s="42"/>
      <c r="WCK243" s="42"/>
      <c r="WCL243" s="42"/>
      <c r="WCM243" s="42"/>
      <c r="WCN243" s="42"/>
      <c r="WCO243" s="42"/>
      <c r="WCP243" s="42"/>
      <c r="WCQ243" s="42"/>
      <c r="WCR243" s="42"/>
      <c r="WCS243" s="42"/>
      <c r="WCT243" s="42"/>
      <c r="WCU243" s="42"/>
      <c r="WCV243" s="42"/>
      <c r="WCW243" s="42"/>
      <c r="WCX243" s="42"/>
      <c r="WCY243" s="42"/>
      <c r="WCZ243" s="42"/>
      <c r="WDA243" s="42"/>
      <c r="WDB243" s="42"/>
      <c r="WDC243" s="42"/>
      <c r="WDD243" s="42"/>
      <c r="WDE243" s="42"/>
      <c r="WDF243" s="42"/>
      <c r="WDG243" s="42"/>
      <c r="WDH243" s="42"/>
      <c r="WDI243" s="42"/>
      <c r="WDJ243" s="42"/>
      <c r="WDK243" s="42"/>
      <c r="WDL243" s="42"/>
      <c r="WDM243" s="42"/>
      <c r="WDN243" s="42"/>
      <c r="WDO243" s="42"/>
      <c r="WDP243" s="42"/>
      <c r="WDQ243" s="42"/>
      <c r="WDR243" s="42"/>
      <c r="WDS243" s="42"/>
      <c r="WDT243" s="42"/>
      <c r="WDU243" s="42"/>
      <c r="WDV243" s="42"/>
      <c r="WDW243" s="42"/>
      <c r="WDX243" s="42"/>
      <c r="WDY243" s="42"/>
      <c r="WDZ243" s="42"/>
      <c r="WEA243" s="42"/>
      <c r="WEB243" s="42"/>
      <c r="WEC243" s="42"/>
      <c r="WED243" s="42"/>
      <c r="WEE243" s="42"/>
      <c r="WEF243" s="42"/>
      <c r="WEG243" s="42"/>
      <c r="WEH243" s="42"/>
      <c r="WEI243" s="42"/>
      <c r="WEJ243" s="42"/>
      <c r="WEK243" s="42"/>
      <c r="WEL243" s="42"/>
      <c r="WEM243" s="42"/>
      <c r="WEN243" s="42"/>
      <c r="WEO243" s="42"/>
      <c r="WEP243" s="42"/>
      <c r="WEQ243" s="42"/>
      <c r="WER243" s="42"/>
      <c r="WES243" s="42"/>
      <c r="WET243" s="42"/>
      <c r="WEU243" s="42"/>
      <c r="WEV243" s="42"/>
      <c r="WEW243" s="42"/>
      <c r="WEX243" s="42"/>
      <c r="WEY243" s="42"/>
      <c r="WEZ243" s="42"/>
      <c r="WFA243" s="42"/>
      <c r="WFB243" s="42"/>
      <c r="WFC243" s="42"/>
      <c r="WFD243" s="42"/>
      <c r="WFE243" s="42"/>
      <c r="WFF243" s="42"/>
      <c r="WFG243" s="42"/>
      <c r="WFH243" s="42"/>
      <c r="WFI243" s="42"/>
      <c r="WFJ243" s="42"/>
      <c r="WFK243" s="42"/>
      <c r="WFL243" s="42"/>
      <c r="WFM243" s="42"/>
      <c r="WFN243" s="42"/>
      <c r="WFO243" s="42"/>
      <c r="WFP243" s="42"/>
      <c r="WFQ243" s="42"/>
      <c r="WFR243" s="42"/>
      <c r="WFS243" s="42"/>
      <c r="WFT243" s="42"/>
      <c r="WFU243" s="42"/>
      <c r="WFV243" s="42"/>
      <c r="WFW243" s="42"/>
      <c r="WFX243" s="42"/>
      <c r="WFY243" s="42"/>
      <c r="WFZ243" s="42"/>
      <c r="WGA243" s="42"/>
      <c r="WGB243" s="42"/>
      <c r="WGC243" s="42"/>
      <c r="WGD243" s="42"/>
      <c r="WGE243" s="42"/>
      <c r="WGF243" s="42"/>
      <c r="WGG243" s="42"/>
      <c r="WGH243" s="42"/>
      <c r="WGI243" s="42"/>
      <c r="WGJ243" s="42"/>
      <c r="WGK243" s="42"/>
      <c r="WGL243" s="42"/>
      <c r="WGM243" s="42"/>
      <c r="WGN243" s="42"/>
      <c r="WGO243" s="42"/>
      <c r="WGP243" s="42"/>
      <c r="WGQ243" s="42"/>
      <c r="WGR243" s="42"/>
      <c r="WGS243" s="42"/>
      <c r="WGT243" s="42"/>
      <c r="WGU243" s="42"/>
      <c r="WGV243" s="42"/>
      <c r="WGW243" s="42"/>
      <c r="WGX243" s="42"/>
      <c r="WGY243" s="42"/>
      <c r="WGZ243" s="42"/>
      <c r="WHA243" s="42"/>
      <c r="WHB243" s="42"/>
      <c r="WHC243" s="42"/>
      <c r="WHD243" s="42"/>
      <c r="WHE243" s="42"/>
      <c r="WHF243" s="42"/>
      <c r="WHG243" s="42"/>
      <c r="WHH243" s="42"/>
      <c r="WHI243" s="42"/>
      <c r="WHJ243" s="42"/>
      <c r="WHK243" s="42"/>
      <c r="WHL243" s="42"/>
      <c r="WHM243" s="42"/>
      <c r="WHN243" s="42"/>
      <c r="WHO243" s="42"/>
      <c r="WHP243" s="42"/>
      <c r="WHQ243" s="42"/>
      <c r="WHR243" s="42"/>
      <c r="WHS243" s="42"/>
      <c r="WHT243" s="42"/>
      <c r="WHU243" s="42"/>
      <c r="WHV243" s="42"/>
      <c r="WHW243" s="42"/>
      <c r="WHX243" s="42"/>
      <c r="WHY243" s="42"/>
      <c r="WHZ243" s="42"/>
      <c r="WIA243" s="42"/>
      <c r="WIB243" s="42"/>
      <c r="WIC243" s="42"/>
      <c r="WID243" s="42"/>
      <c r="WIE243" s="42"/>
      <c r="WIF243" s="42"/>
      <c r="WIG243" s="42"/>
      <c r="WIH243" s="42"/>
      <c r="WII243" s="42"/>
      <c r="WIJ243" s="42"/>
      <c r="WIK243" s="42"/>
      <c r="WIL243" s="42"/>
      <c r="WIM243" s="42"/>
      <c r="WIN243" s="42"/>
      <c r="WIO243" s="42"/>
      <c r="WIP243" s="42"/>
      <c r="WIQ243" s="42"/>
      <c r="WIR243" s="42"/>
      <c r="WIS243" s="42"/>
      <c r="WIT243" s="42"/>
      <c r="WIU243" s="42"/>
      <c r="WIV243" s="42"/>
      <c r="WIW243" s="42"/>
      <c r="WIX243" s="42"/>
      <c r="WIY243" s="42"/>
      <c r="WIZ243" s="42"/>
      <c r="WJA243" s="42"/>
      <c r="WJB243" s="42"/>
      <c r="WJC243" s="42"/>
      <c r="WJD243" s="42"/>
      <c r="WJE243" s="42"/>
      <c r="WJF243" s="42"/>
      <c r="WJG243" s="42"/>
      <c r="WJH243" s="42"/>
      <c r="WJI243" s="42"/>
      <c r="WJJ243" s="42"/>
      <c r="WJK243" s="42"/>
      <c r="WJL243" s="42"/>
      <c r="WJM243" s="42"/>
      <c r="WJN243" s="42"/>
      <c r="WJO243" s="42"/>
      <c r="WJP243" s="42"/>
      <c r="WJQ243" s="42"/>
      <c r="WJR243" s="42"/>
      <c r="WJS243" s="42"/>
      <c r="WJT243" s="42"/>
      <c r="WJU243" s="42"/>
      <c r="WJV243" s="42"/>
      <c r="WJW243" s="42"/>
      <c r="WJX243" s="42"/>
      <c r="WJY243" s="42"/>
      <c r="WJZ243" s="42"/>
      <c r="WKA243" s="42"/>
      <c r="WKB243" s="42"/>
      <c r="WKC243" s="42"/>
      <c r="WKD243" s="42"/>
      <c r="WKE243" s="42"/>
      <c r="WKF243" s="42"/>
      <c r="WKG243" s="42"/>
      <c r="WKH243" s="42"/>
      <c r="WKI243" s="42"/>
      <c r="WKJ243" s="42"/>
      <c r="WKK243" s="42"/>
      <c r="WKL243" s="42"/>
      <c r="WKM243" s="42"/>
      <c r="WKN243" s="42"/>
      <c r="WKO243" s="42"/>
      <c r="WKP243" s="42"/>
      <c r="WKQ243" s="42"/>
      <c r="WKR243" s="42"/>
      <c r="WKS243" s="42"/>
      <c r="WKT243" s="42"/>
      <c r="WKU243" s="42"/>
      <c r="WKV243" s="42"/>
      <c r="WKW243" s="42"/>
      <c r="WKX243" s="42"/>
      <c r="WKY243" s="42"/>
      <c r="WKZ243" s="42"/>
      <c r="WLA243" s="42"/>
      <c r="WLB243" s="42"/>
      <c r="WLC243" s="42"/>
      <c r="WLD243" s="42"/>
      <c r="WLE243" s="42"/>
      <c r="WLF243" s="42"/>
      <c r="WLG243" s="42"/>
      <c r="WLH243" s="42"/>
      <c r="WLI243" s="42"/>
      <c r="WLJ243" s="42"/>
      <c r="WLK243" s="42"/>
      <c r="WLL243" s="42"/>
      <c r="WLM243" s="42"/>
      <c r="WLN243" s="42"/>
      <c r="WLO243" s="42"/>
      <c r="WLP243" s="42"/>
      <c r="WLQ243" s="42"/>
      <c r="WLR243" s="42"/>
      <c r="WLS243" s="42"/>
      <c r="WLT243" s="42"/>
      <c r="WLU243" s="42"/>
      <c r="WLV243" s="42"/>
      <c r="WLW243" s="42"/>
      <c r="WLX243" s="42"/>
      <c r="WLY243" s="42"/>
      <c r="WLZ243" s="42"/>
      <c r="WMA243" s="42"/>
      <c r="WMB243" s="42"/>
      <c r="WMC243" s="42"/>
      <c r="WMD243" s="42"/>
      <c r="WME243" s="42"/>
      <c r="WMF243" s="42"/>
      <c r="WMG243" s="42"/>
      <c r="WMH243" s="42"/>
      <c r="WMI243" s="42"/>
      <c r="WMJ243" s="42"/>
      <c r="WMK243" s="42"/>
      <c r="WML243" s="42"/>
      <c r="WMM243" s="42"/>
      <c r="WMN243" s="42"/>
      <c r="WMO243" s="42"/>
      <c r="WMP243" s="42"/>
      <c r="WMQ243" s="42"/>
      <c r="WMR243" s="42"/>
      <c r="WMS243" s="42"/>
      <c r="WMT243" s="42"/>
      <c r="WMU243" s="42"/>
      <c r="WMV243" s="42"/>
      <c r="WMW243" s="42"/>
      <c r="WMX243" s="42"/>
      <c r="WMY243" s="42"/>
      <c r="WMZ243" s="42"/>
      <c r="WNA243" s="42"/>
      <c r="WNB243" s="42"/>
      <c r="WNC243" s="42"/>
      <c r="WND243" s="42"/>
      <c r="WNE243" s="42"/>
      <c r="WNF243" s="42"/>
      <c r="WNG243" s="42"/>
      <c r="WNH243" s="42"/>
      <c r="WNI243" s="42"/>
      <c r="WNJ243" s="42"/>
      <c r="WNK243" s="42"/>
      <c r="WNL243" s="42"/>
      <c r="WNM243" s="42"/>
      <c r="WNN243" s="42"/>
      <c r="WNO243" s="42"/>
      <c r="WNP243" s="42"/>
      <c r="WNQ243" s="42"/>
      <c r="WNR243" s="42"/>
      <c r="WNS243" s="42"/>
      <c r="WNT243" s="42"/>
      <c r="WNU243" s="42"/>
      <c r="WNV243" s="42"/>
      <c r="WNW243" s="42"/>
      <c r="WNX243" s="42"/>
      <c r="WNY243" s="42"/>
      <c r="WNZ243" s="42"/>
      <c r="WOA243" s="42"/>
      <c r="WOB243" s="42"/>
      <c r="WOC243" s="42"/>
      <c r="WOD243" s="42"/>
      <c r="WOE243" s="42"/>
      <c r="WOF243" s="42"/>
      <c r="WOG243" s="42"/>
      <c r="WOH243" s="42"/>
      <c r="WOI243" s="42"/>
      <c r="WOJ243" s="42"/>
      <c r="WOK243" s="42"/>
      <c r="WOL243" s="42"/>
      <c r="WOM243" s="42"/>
      <c r="WON243" s="42"/>
      <c r="WOO243" s="42"/>
      <c r="WOP243" s="42"/>
      <c r="WOQ243" s="42"/>
      <c r="WOR243" s="42"/>
      <c r="WOS243" s="42"/>
      <c r="WOT243" s="42"/>
      <c r="WOU243" s="42"/>
      <c r="WOV243" s="42"/>
      <c r="WOW243" s="42"/>
      <c r="WOX243" s="42"/>
      <c r="WOY243" s="42"/>
      <c r="WOZ243" s="42"/>
      <c r="WPA243" s="42"/>
      <c r="WPB243" s="42"/>
      <c r="WPC243" s="42"/>
      <c r="WPD243" s="42"/>
      <c r="WPE243" s="42"/>
      <c r="WPF243" s="42"/>
      <c r="WPG243" s="42"/>
      <c r="WPH243" s="42"/>
      <c r="WPI243" s="42"/>
      <c r="WPJ243" s="42"/>
      <c r="WPK243" s="42"/>
      <c r="WPL243" s="42"/>
      <c r="WPM243" s="42"/>
      <c r="WPN243" s="42"/>
      <c r="WPO243" s="42"/>
      <c r="WPP243" s="42"/>
      <c r="WPQ243" s="42"/>
      <c r="WPR243" s="42"/>
      <c r="WPS243" s="42"/>
      <c r="WPT243" s="42"/>
      <c r="WPU243" s="42"/>
      <c r="WPV243" s="42"/>
      <c r="WPW243" s="42"/>
      <c r="WPX243" s="42"/>
      <c r="WPY243" s="42"/>
      <c r="WPZ243" s="42"/>
      <c r="WQA243" s="42"/>
      <c r="WQB243" s="42"/>
      <c r="WQC243" s="42"/>
      <c r="WQD243" s="42"/>
      <c r="WQE243" s="42"/>
      <c r="WQF243" s="42"/>
      <c r="WQG243" s="42"/>
      <c r="WQH243" s="42"/>
      <c r="WQI243" s="42"/>
      <c r="WQJ243" s="42"/>
      <c r="WQK243" s="42"/>
      <c r="WQL243" s="42"/>
      <c r="WQM243" s="42"/>
      <c r="WQN243" s="42"/>
      <c r="WQO243" s="42"/>
      <c r="WQP243" s="42"/>
      <c r="WQQ243" s="42"/>
      <c r="WQR243" s="42"/>
      <c r="WQS243" s="42"/>
      <c r="WQT243" s="42"/>
      <c r="WQU243" s="42"/>
      <c r="WQV243" s="42"/>
      <c r="WQW243" s="42"/>
      <c r="WQX243" s="42"/>
      <c r="WQY243" s="42"/>
      <c r="WQZ243" s="42"/>
      <c r="WRA243" s="42"/>
      <c r="WRB243" s="42"/>
      <c r="WRC243" s="42"/>
      <c r="WRD243" s="42"/>
      <c r="WRE243" s="42"/>
      <c r="WRF243" s="42"/>
      <c r="WRG243" s="42"/>
      <c r="WRH243" s="42"/>
      <c r="WRI243" s="42"/>
      <c r="WRJ243" s="42"/>
      <c r="WRK243" s="42"/>
      <c r="WRL243" s="42"/>
      <c r="WRM243" s="42"/>
      <c r="WRN243" s="42"/>
      <c r="WRO243" s="42"/>
      <c r="WRP243" s="42"/>
      <c r="WRQ243" s="42"/>
      <c r="WRR243" s="42"/>
      <c r="WRS243" s="42"/>
      <c r="WRT243" s="42"/>
      <c r="WRU243" s="42"/>
      <c r="WRV243" s="42"/>
      <c r="WRW243" s="42"/>
      <c r="WRX243" s="42"/>
      <c r="WRY243" s="42"/>
      <c r="WRZ243" s="42"/>
      <c r="WSA243" s="42"/>
      <c r="WSB243" s="42"/>
      <c r="WSC243" s="42"/>
      <c r="WSD243" s="42"/>
      <c r="WSE243" s="42"/>
      <c r="WSF243" s="42"/>
      <c r="WSG243" s="42"/>
      <c r="WSH243" s="42"/>
      <c r="WSI243" s="42"/>
      <c r="WSJ243" s="42"/>
      <c r="WSK243" s="42"/>
      <c r="WSL243" s="42"/>
      <c r="WSM243" s="42"/>
      <c r="WSN243" s="42"/>
      <c r="WSO243" s="42"/>
      <c r="WSP243" s="42"/>
      <c r="WSQ243" s="42"/>
      <c r="WSR243" s="42"/>
      <c r="WSS243" s="42"/>
      <c r="WST243" s="42"/>
      <c r="WSU243" s="42"/>
      <c r="WSV243" s="42"/>
      <c r="WSW243" s="42"/>
      <c r="WSX243" s="42"/>
      <c r="WSY243" s="42"/>
      <c r="WSZ243" s="42"/>
      <c r="WTA243" s="42"/>
      <c r="WTB243" s="42"/>
      <c r="WTC243" s="42"/>
      <c r="WTD243" s="42"/>
      <c r="WTE243" s="42"/>
      <c r="WTF243" s="42"/>
      <c r="WTG243" s="42"/>
      <c r="WTH243" s="42"/>
      <c r="WTI243" s="42"/>
      <c r="WTJ243" s="42"/>
      <c r="WTK243" s="42"/>
      <c r="WTL243" s="42"/>
      <c r="WTM243" s="42"/>
      <c r="WTN243" s="42"/>
      <c r="WTO243" s="42"/>
      <c r="WTP243" s="42"/>
      <c r="WTQ243" s="42"/>
      <c r="WTR243" s="42"/>
      <c r="WTS243" s="42"/>
      <c r="WTT243" s="42"/>
      <c r="WTU243" s="42"/>
      <c r="WTV243" s="42"/>
      <c r="WTW243" s="42"/>
      <c r="WTX243" s="42"/>
      <c r="WTY243" s="42"/>
      <c r="WTZ243" s="42"/>
      <c r="WUA243" s="42"/>
      <c r="WUB243" s="42"/>
      <c r="WUC243" s="42"/>
      <c r="WUD243" s="42"/>
      <c r="WUE243" s="42"/>
      <c r="WUF243" s="42"/>
      <c r="WUG243" s="42"/>
      <c r="WUH243" s="42"/>
      <c r="WUI243" s="42"/>
      <c r="WUJ243" s="42"/>
      <c r="WUK243" s="42"/>
      <c r="WUL243" s="42"/>
      <c r="WUM243" s="42"/>
      <c r="WUN243" s="42"/>
      <c r="WUO243" s="42"/>
      <c r="WUP243" s="42"/>
      <c r="WUQ243" s="42"/>
      <c r="WUR243" s="42"/>
      <c r="WUS243" s="42"/>
      <c r="WUT243" s="42"/>
      <c r="WUU243" s="42"/>
      <c r="WUV243" s="42"/>
      <c r="WUW243" s="42"/>
      <c r="WUX243" s="42"/>
      <c r="WUY243" s="42"/>
      <c r="WUZ243" s="42"/>
      <c r="WVA243" s="42"/>
      <c r="WVB243" s="42"/>
      <c r="WVC243" s="42"/>
      <c r="WVD243" s="42"/>
      <c r="WVE243" s="42"/>
      <c r="WVF243" s="42"/>
      <c r="WVG243" s="42"/>
      <c r="WVH243" s="42"/>
      <c r="WVI243" s="42"/>
      <c r="WVJ243" s="42"/>
      <c r="WVK243" s="42"/>
      <c r="WVL243" s="42"/>
      <c r="WVM243" s="42"/>
      <c r="WVN243" s="42"/>
      <c r="WVO243" s="42"/>
      <c r="WVP243" s="42"/>
      <c r="WVQ243" s="42"/>
      <c r="WVR243" s="42"/>
      <c r="WVS243" s="42"/>
      <c r="WVT243" s="42"/>
      <c r="WVU243" s="42"/>
      <c r="WVV243" s="42"/>
      <c r="WVW243" s="42"/>
      <c r="WVX243" s="42"/>
      <c r="WVY243" s="42"/>
      <c r="WVZ243" s="42"/>
      <c r="WWA243" s="42"/>
      <c r="WWB243" s="42"/>
      <c r="WWC243" s="42"/>
      <c r="WWD243" s="42"/>
      <c r="WWE243" s="42"/>
      <c r="WWF243" s="42"/>
      <c r="WWG243" s="42"/>
      <c r="WWH243" s="42"/>
      <c r="WWI243" s="42"/>
      <c r="WWJ243" s="42"/>
      <c r="WWK243" s="42"/>
      <c r="WWL243" s="42"/>
      <c r="WWM243" s="42"/>
      <c r="WWN243" s="42"/>
      <c r="WWO243" s="42"/>
      <c r="WWP243" s="42"/>
      <c r="WWQ243" s="42"/>
      <c r="WWR243" s="42"/>
      <c r="WWS243" s="42"/>
      <c r="WWT243" s="42"/>
      <c r="WWU243" s="42"/>
      <c r="WWV243" s="42"/>
      <c r="WWW243" s="42"/>
      <c r="WWX243" s="42"/>
      <c r="WWY243" s="42"/>
      <c r="WWZ243" s="42"/>
      <c r="WXA243" s="42"/>
      <c r="WXB243" s="42"/>
      <c r="WXC243" s="42"/>
      <c r="WXD243" s="42"/>
      <c r="WXE243" s="42"/>
      <c r="WXF243" s="42"/>
      <c r="WXG243" s="42"/>
      <c r="WXH243" s="42"/>
      <c r="WXI243" s="42"/>
      <c r="WXJ243" s="42"/>
      <c r="WXK243" s="42"/>
      <c r="WXL243" s="42"/>
      <c r="WXM243" s="42"/>
      <c r="WXN243" s="42"/>
      <c r="WXO243" s="42"/>
      <c r="WXP243" s="42"/>
      <c r="WXQ243" s="42"/>
      <c r="WXR243" s="42"/>
      <c r="WXS243" s="42"/>
      <c r="WXT243" s="42"/>
      <c r="WXU243" s="42"/>
      <c r="WXV243" s="42"/>
      <c r="WXW243" s="42"/>
      <c r="WXX243" s="42"/>
      <c r="WXY243" s="42"/>
      <c r="WXZ243" s="42"/>
      <c r="WYA243" s="42"/>
      <c r="WYB243" s="42"/>
      <c r="WYC243" s="42"/>
      <c r="WYD243" s="42"/>
      <c r="WYE243" s="42"/>
      <c r="WYF243" s="42"/>
      <c r="WYG243" s="42"/>
      <c r="WYH243" s="42"/>
      <c r="WYI243" s="42"/>
      <c r="WYJ243" s="42"/>
      <c r="WYK243" s="42"/>
      <c r="WYL243" s="42"/>
      <c r="WYM243" s="42"/>
      <c r="WYN243" s="42"/>
      <c r="WYO243" s="42"/>
      <c r="WYP243" s="42"/>
      <c r="WYQ243" s="42"/>
      <c r="WYR243" s="42"/>
      <c r="WYS243" s="42"/>
      <c r="WYT243" s="42"/>
      <c r="WYU243" s="42"/>
      <c r="WYV243" s="42"/>
      <c r="WYW243" s="42"/>
      <c r="WYX243" s="42"/>
      <c r="WYY243" s="42"/>
      <c r="WYZ243" s="42"/>
      <c r="WZA243" s="42"/>
      <c r="WZB243" s="42"/>
      <c r="WZC243" s="42"/>
      <c r="WZD243" s="42"/>
      <c r="WZE243" s="42"/>
      <c r="WZF243" s="42"/>
      <c r="WZG243" s="42"/>
      <c r="WZH243" s="42"/>
      <c r="WZI243" s="42"/>
      <c r="WZJ243" s="42"/>
      <c r="WZK243" s="42"/>
      <c r="WZL243" s="42"/>
      <c r="WZM243" s="42"/>
      <c r="WZN243" s="42"/>
      <c r="WZO243" s="42"/>
      <c r="WZP243" s="42"/>
      <c r="WZQ243" s="42"/>
      <c r="WZR243" s="42"/>
      <c r="WZS243" s="42"/>
      <c r="WZT243" s="42"/>
      <c r="WZU243" s="42"/>
      <c r="WZV243" s="42"/>
      <c r="WZW243" s="42"/>
      <c r="WZX243" s="42"/>
      <c r="WZY243" s="42"/>
      <c r="WZZ243" s="42"/>
      <c r="XAA243" s="42"/>
      <c r="XAB243" s="42"/>
      <c r="XAC243" s="42"/>
      <c r="XAD243" s="42"/>
      <c r="XAE243" s="42"/>
      <c r="XAF243" s="42"/>
      <c r="XAG243" s="42"/>
      <c r="XAH243" s="42"/>
      <c r="XAI243" s="42"/>
      <c r="XAJ243" s="42"/>
      <c r="XAK243" s="42"/>
      <c r="XAL243" s="42"/>
      <c r="XAM243" s="42"/>
      <c r="XAN243" s="42"/>
      <c r="XAO243" s="42"/>
      <c r="XAP243" s="42"/>
      <c r="XAQ243" s="42"/>
      <c r="XAR243" s="42"/>
      <c r="XAS243" s="42"/>
      <c r="XAT243" s="42"/>
      <c r="XAU243" s="42"/>
      <c r="XAV243" s="42"/>
      <c r="XAW243" s="42"/>
      <c r="XAX243" s="42"/>
      <c r="XAY243" s="42"/>
      <c r="XAZ243" s="42"/>
      <c r="XBA243" s="42"/>
      <c r="XBB243" s="42"/>
      <c r="XBC243" s="42"/>
      <c r="XBD243" s="42"/>
      <c r="XBE243" s="42"/>
      <c r="XBF243" s="42"/>
      <c r="XBG243" s="42"/>
      <c r="XBH243" s="42"/>
      <c r="XBI243" s="42"/>
      <c r="XBJ243" s="42"/>
      <c r="XBK243" s="42"/>
      <c r="XBL243" s="42"/>
      <c r="XBM243" s="42"/>
      <c r="XBN243" s="42"/>
      <c r="XBO243" s="42"/>
      <c r="XBP243" s="42"/>
      <c r="XBQ243" s="42"/>
      <c r="XBR243" s="42"/>
      <c r="XBS243" s="42"/>
      <c r="XBT243" s="42"/>
      <c r="XBU243" s="42"/>
      <c r="XBV243" s="42"/>
      <c r="XBW243" s="42"/>
      <c r="XBX243" s="42"/>
      <c r="XBY243" s="42"/>
      <c r="XBZ243" s="42"/>
      <c r="XCA243" s="42"/>
      <c r="XCB243" s="42"/>
      <c r="XCC243" s="42"/>
      <c r="XCD243" s="42"/>
      <c r="XCE243" s="42"/>
      <c r="XCF243" s="42"/>
      <c r="XCG243" s="42"/>
      <c r="XCH243" s="42"/>
      <c r="XCI243" s="42"/>
      <c r="XCJ243" s="42"/>
      <c r="XCK243" s="42"/>
      <c r="XCL243" s="42"/>
      <c r="XCM243" s="42"/>
      <c r="XCN243" s="42"/>
      <c r="XCO243" s="42"/>
      <c r="XCP243" s="42"/>
      <c r="XCQ243" s="42"/>
      <c r="XCR243" s="42"/>
      <c r="XCS243" s="42"/>
      <c r="XCT243" s="42"/>
      <c r="XCU243" s="42"/>
      <c r="XCV243" s="42"/>
      <c r="XCW243" s="42"/>
      <c r="XCX243" s="42"/>
      <c r="XCY243" s="42"/>
      <c r="XCZ243" s="42"/>
      <c r="XDA243" s="42"/>
      <c r="XDB243" s="42"/>
      <c r="XDC243" s="42"/>
      <c r="XDD243" s="42"/>
      <c r="XDE243" s="42"/>
      <c r="XDF243" s="42"/>
      <c r="XDG243" s="42"/>
      <c r="XDH243" s="42"/>
      <c r="XDI243" s="42"/>
      <c r="XDJ243" s="42"/>
      <c r="XDK243" s="42"/>
      <c r="XDL243" s="42"/>
      <c r="XDM243" s="42"/>
      <c r="XDN243" s="42"/>
      <c r="XDO243" s="42"/>
      <c r="XDP243" s="42"/>
      <c r="XDQ243" s="42"/>
      <c r="XDR243" s="42"/>
      <c r="XDS243" s="42"/>
      <c r="XDT243" s="42"/>
      <c r="XDU243" s="42"/>
      <c r="XDV243" s="42"/>
      <c r="XDW243" s="42"/>
      <c r="XDX243" s="42"/>
      <c r="XDY243" s="42"/>
      <c r="XDZ243" s="42"/>
      <c r="XEA243" s="42"/>
      <c r="XEB243" s="42"/>
      <c r="XEC243" s="42"/>
      <c r="XED243" s="42"/>
      <c r="XEE243" s="42"/>
      <c r="XEF243" s="42"/>
      <c r="XEG243" s="42"/>
      <c r="XEH243" s="42"/>
      <c r="XEI243" s="42"/>
      <c r="XEJ243" s="42"/>
      <c r="XEK243" s="35"/>
      <c r="XEL243" s="36"/>
      <c r="XEM243" s="37"/>
      <c r="XEN243" s="37"/>
      <c r="XEO243" s="37"/>
      <c r="XEP243" s="37"/>
      <c r="XEQ243" s="38"/>
      <c r="XER243" s="38"/>
      <c r="XES243" s="38"/>
      <c r="XET243" s="38"/>
      <c r="XEU243" s="38"/>
      <c r="XEV243" s="38"/>
      <c r="XEW243" s="39"/>
      <c r="XEX243" s="38"/>
    </row>
    <row r="244" spans="1:16378" s="49" customFormat="1" ht="51.75" x14ac:dyDescent="0.25">
      <c r="A244" s="43" t="s">
        <v>87</v>
      </c>
      <c r="B244" s="44" t="s">
        <v>88</v>
      </c>
      <c r="C244" s="72"/>
      <c r="D244" s="72"/>
      <c r="E244" s="72"/>
      <c r="F244" s="72"/>
      <c r="G244" s="46">
        <f>SUM(G245:G268)</f>
        <v>341456</v>
      </c>
      <c r="H244" s="46">
        <f t="shared" ref="H244:T244" si="340">SUM(H245:H268)</f>
        <v>185277</v>
      </c>
      <c r="I244" s="46">
        <f t="shared" si="340"/>
        <v>0</v>
      </c>
      <c r="J244" s="46">
        <f t="shared" si="340"/>
        <v>0</v>
      </c>
      <c r="K244" s="46">
        <f t="shared" si="340"/>
        <v>0</v>
      </c>
      <c r="L244" s="46">
        <f t="shared" si="340"/>
        <v>0</v>
      </c>
      <c r="M244" s="46">
        <f t="shared" si="340"/>
        <v>183070</v>
      </c>
      <c r="N244" s="46">
        <f t="shared" si="340"/>
        <v>164070</v>
      </c>
      <c r="O244" s="46">
        <f t="shared" si="340"/>
        <v>193270</v>
      </c>
      <c r="P244" s="46">
        <f t="shared" si="340"/>
        <v>142270</v>
      </c>
      <c r="Q244" s="46">
        <f t="shared" si="340"/>
        <v>9300</v>
      </c>
      <c r="R244" s="46">
        <f t="shared" si="340"/>
        <v>49930</v>
      </c>
      <c r="S244" s="46">
        <f t="shared" si="340"/>
        <v>142440</v>
      </c>
      <c r="T244" s="46">
        <f t="shared" si="340"/>
        <v>123440</v>
      </c>
      <c r="U244" s="46">
        <f t="shared" ref="U244:AB244" si="341">SUM(U245:U268)</f>
        <v>35425</v>
      </c>
      <c r="V244" s="46">
        <f t="shared" si="341"/>
        <v>35425</v>
      </c>
      <c r="W244" s="46">
        <f t="shared" si="341"/>
        <v>7804</v>
      </c>
      <c r="X244" s="46">
        <f t="shared" si="341"/>
        <v>7804</v>
      </c>
      <c r="Y244" s="46">
        <f>SUM(Y245:Y268)</f>
        <v>28150</v>
      </c>
      <c r="Z244" s="46">
        <f t="shared" si="341"/>
        <v>28150</v>
      </c>
      <c r="AA244" s="46">
        <f t="shared" si="341"/>
        <v>71379</v>
      </c>
      <c r="AB244" s="46">
        <f t="shared" si="341"/>
        <v>71379</v>
      </c>
      <c r="AC244" s="119"/>
      <c r="AD244" s="119"/>
      <c r="AE244" s="119"/>
      <c r="AF244" s="119"/>
      <c r="AG244" s="119"/>
      <c r="AH244" s="119"/>
      <c r="AI244" s="73"/>
      <c r="AJ244" s="19">
        <f t="shared" si="279"/>
        <v>1</v>
      </c>
      <c r="AK244" s="22"/>
      <c r="AL244" s="22"/>
      <c r="AM244" s="12"/>
      <c r="AN244" s="12"/>
      <c r="AO244" s="12"/>
      <c r="AP244" s="12">
        <f t="shared" si="273"/>
        <v>0</v>
      </c>
      <c r="AQ244" s="12"/>
      <c r="AR244" s="12">
        <f t="shared" si="275"/>
        <v>0</v>
      </c>
      <c r="AS244" s="12"/>
      <c r="AT244" s="12">
        <f t="shared" si="300"/>
        <v>0</v>
      </c>
      <c r="AU244" s="12"/>
      <c r="AV244" s="12">
        <f t="shared" si="301"/>
        <v>0</v>
      </c>
    </row>
    <row r="245" spans="1:16378" ht="49.5" x14ac:dyDescent="0.25">
      <c r="A245" s="60">
        <v>3</v>
      </c>
      <c r="B245" s="9" t="s">
        <v>591</v>
      </c>
      <c r="C245" s="61" t="s">
        <v>592</v>
      </c>
      <c r="D245" s="61" t="s">
        <v>593</v>
      </c>
      <c r="E245" s="61" t="s">
        <v>199</v>
      </c>
      <c r="F245" s="61" t="s">
        <v>594</v>
      </c>
      <c r="G245" s="62">
        <v>29922</v>
      </c>
      <c r="H245" s="80">
        <f>G245</f>
        <v>29922</v>
      </c>
      <c r="I245" s="63"/>
      <c r="J245" s="63"/>
      <c r="K245" s="63"/>
      <c r="L245" s="63"/>
      <c r="M245" s="68">
        <f t="shared" ref="M245:M280" si="342">N245</f>
        <v>26280</v>
      </c>
      <c r="N245" s="63">
        <v>26280</v>
      </c>
      <c r="O245" s="68">
        <f t="shared" ref="O245:O256" si="343">P245</f>
        <v>26280</v>
      </c>
      <c r="P245" s="63">
        <v>26280</v>
      </c>
      <c r="Q245" s="54">
        <f t="shared" ref="Q245:Q280" si="344">T245-N245</f>
        <v>0</v>
      </c>
      <c r="R245" s="54"/>
      <c r="S245" s="68">
        <f t="shared" ref="S245:S252" si="345">T245</f>
        <v>26280</v>
      </c>
      <c r="T245" s="63">
        <v>26280</v>
      </c>
      <c r="U245" s="63">
        <f t="shared" ref="U245:U250" si="346">V245</f>
        <v>17000</v>
      </c>
      <c r="V245" s="63">
        <v>17000</v>
      </c>
      <c r="W245" s="63"/>
      <c r="X245" s="63"/>
      <c r="Y245" s="63"/>
      <c r="Z245" s="63"/>
      <c r="AA245" s="63">
        <f t="shared" ref="AA245:AB268" si="347">U245+W245+Y245</f>
        <v>17000</v>
      </c>
      <c r="AB245" s="63">
        <f t="shared" si="347"/>
        <v>17000</v>
      </c>
      <c r="AC245" s="63">
        <f t="shared" ref="AC245:AD268" si="348">O245-AA245</f>
        <v>9280</v>
      </c>
      <c r="AD245" s="63">
        <f t="shared" si="348"/>
        <v>9280</v>
      </c>
      <c r="AE245" s="63">
        <f t="shared" ref="AE245:AE280" si="349">AF245</f>
        <v>0</v>
      </c>
      <c r="AF245" s="63">
        <f t="shared" ref="AF245:AF268" si="350">IF(AB245=0,AD245,0)</f>
        <v>0</v>
      </c>
      <c r="AG245" s="63"/>
      <c r="AH245" s="63"/>
      <c r="AI245" s="69"/>
      <c r="AJ245" s="19">
        <f t="shared" si="279"/>
        <v>0</v>
      </c>
      <c r="AK245" s="22">
        <f t="shared" ref="AK245:AK308" si="351">AJ245</f>
        <v>0</v>
      </c>
      <c r="AL245" s="22"/>
      <c r="AM245" s="12">
        <f t="shared" ref="AM245:AM268" si="352">IF(AJ245=0,1,0)</f>
        <v>1</v>
      </c>
      <c r="AO245" s="12">
        <f t="shared" ref="AO245:AO251" si="353">IF(P245=0,1,0)</f>
        <v>0</v>
      </c>
      <c r="AP245" s="12">
        <f t="shared" si="273"/>
        <v>0</v>
      </c>
      <c r="AQ245" s="12">
        <f t="shared" ref="AQ245:AQ268" si="354">IF(N245=0,1,0)</f>
        <v>0</v>
      </c>
      <c r="AR245" s="12">
        <f t="shared" si="275"/>
        <v>0</v>
      </c>
      <c r="AS245" s="12">
        <f t="shared" ref="AS245:AS265" si="355">IF(Q245=0,0,1)</f>
        <v>0</v>
      </c>
      <c r="AT245" s="12">
        <f t="shared" si="300"/>
        <v>0</v>
      </c>
      <c r="AU245" s="12">
        <f t="shared" ref="AU245:AU251" si="356">IF(R245=0,0,1)</f>
        <v>0</v>
      </c>
      <c r="AV245" s="12">
        <f t="shared" si="301"/>
        <v>0</v>
      </c>
    </row>
    <row r="246" spans="1:16378" ht="49.5" x14ac:dyDescent="0.25">
      <c r="A246" s="60">
        <v>4</v>
      </c>
      <c r="B246" s="9" t="s">
        <v>595</v>
      </c>
      <c r="C246" s="61" t="s">
        <v>592</v>
      </c>
      <c r="D246" s="61" t="s">
        <v>596</v>
      </c>
      <c r="E246" s="61" t="s">
        <v>199</v>
      </c>
      <c r="F246" s="61" t="s">
        <v>597</v>
      </c>
      <c r="G246" s="62">
        <v>10149</v>
      </c>
      <c r="H246" s="80">
        <f>G246</f>
        <v>10149</v>
      </c>
      <c r="I246" s="63"/>
      <c r="J246" s="63"/>
      <c r="K246" s="63"/>
      <c r="L246" s="63"/>
      <c r="M246" s="68">
        <f t="shared" si="342"/>
        <v>9200</v>
      </c>
      <c r="N246" s="63">
        <v>9200</v>
      </c>
      <c r="O246" s="68">
        <f t="shared" si="343"/>
        <v>9200</v>
      </c>
      <c r="P246" s="63">
        <v>9200</v>
      </c>
      <c r="Q246" s="54">
        <f t="shared" si="344"/>
        <v>0</v>
      </c>
      <c r="R246" s="54"/>
      <c r="S246" s="68">
        <f t="shared" si="345"/>
        <v>9200</v>
      </c>
      <c r="T246" s="63">
        <v>9200</v>
      </c>
      <c r="U246" s="63">
        <f t="shared" si="346"/>
        <v>9100</v>
      </c>
      <c r="V246" s="63">
        <v>9100</v>
      </c>
      <c r="W246" s="63"/>
      <c r="X246" s="63"/>
      <c r="Y246" s="63"/>
      <c r="Z246" s="63"/>
      <c r="AA246" s="63">
        <f t="shared" si="347"/>
        <v>9100</v>
      </c>
      <c r="AB246" s="63">
        <f t="shared" si="347"/>
        <v>9100</v>
      </c>
      <c r="AC246" s="63">
        <f t="shared" si="348"/>
        <v>100</v>
      </c>
      <c r="AD246" s="63">
        <f t="shared" si="348"/>
        <v>100</v>
      </c>
      <c r="AE246" s="63">
        <f t="shared" si="349"/>
        <v>0</v>
      </c>
      <c r="AF246" s="63">
        <f t="shared" si="350"/>
        <v>0</v>
      </c>
      <c r="AG246" s="63"/>
      <c r="AH246" s="63"/>
      <c r="AI246" s="69"/>
      <c r="AJ246" s="19">
        <f t="shared" si="279"/>
        <v>0</v>
      </c>
      <c r="AK246" s="22">
        <f t="shared" si="351"/>
        <v>0</v>
      </c>
      <c r="AL246" s="22"/>
      <c r="AM246" s="12">
        <f t="shared" si="352"/>
        <v>1</v>
      </c>
      <c r="AO246" s="12">
        <f t="shared" si="353"/>
        <v>0</v>
      </c>
      <c r="AP246" s="12">
        <f t="shared" si="273"/>
        <v>0</v>
      </c>
      <c r="AQ246" s="12">
        <f t="shared" si="354"/>
        <v>0</v>
      </c>
      <c r="AR246" s="12">
        <f t="shared" si="275"/>
        <v>0</v>
      </c>
      <c r="AS246" s="12">
        <f t="shared" si="355"/>
        <v>0</v>
      </c>
      <c r="AT246" s="12">
        <f t="shared" si="300"/>
        <v>0</v>
      </c>
      <c r="AU246" s="12">
        <f t="shared" si="356"/>
        <v>0</v>
      </c>
      <c r="AV246" s="12">
        <f t="shared" si="301"/>
        <v>0</v>
      </c>
    </row>
    <row r="247" spans="1:16378" ht="115.5" x14ac:dyDescent="0.25">
      <c r="A247" s="60">
        <v>5</v>
      </c>
      <c r="B247" s="9" t="s">
        <v>598</v>
      </c>
      <c r="C247" s="61" t="s">
        <v>599</v>
      </c>
      <c r="D247" s="61" t="s">
        <v>600</v>
      </c>
      <c r="E247" s="61" t="s">
        <v>60</v>
      </c>
      <c r="F247" s="61" t="s">
        <v>601</v>
      </c>
      <c r="G247" s="62">
        <v>118011</v>
      </c>
      <c r="H247" s="62">
        <v>12832</v>
      </c>
      <c r="I247" s="63"/>
      <c r="J247" s="63"/>
      <c r="K247" s="63"/>
      <c r="L247" s="63"/>
      <c r="M247" s="68">
        <f t="shared" si="342"/>
        <v>12830</v>
      </c>
      <c r="N247" s="63">
        <v>12830</v>
      </c>
      <c r="O247" s="68">
        <f t="shared" si="343"/>
        <v>12830</v>
      </c>
      <c r="P247" s="63">
        <v>12830</v>
      </c>
      <c r="Q247" s="54"/>
      <c r="R247" s="63">
        <f t="shared" ref="R247" si="357">N247-T247</f>
        <v>10830</v>
      </c>
      <c r="S247" s="68">
        <f t="shared" si="345"/>
        <v>2000</v>
      </c>
      <c r="T247" s="63">
        <v>2000</v>
      </c>
      <c r="U247" s="63">
        <f t="shared" si="346"/>
        <v>305</v>
      </c>
      <c r="V247" s="63">
        <v>305</v>
      </c>
      <c r="W247" s="63">
        <f>X247</f>
        <v>1114</v>
      </c>
      <c r="X247" s="63">
        <v>1114</v>
      </c>
      <c r="Y247" s="63">
        <f>Z247</f>
        <v>5860</v>
      </c>
      <c r="Z247" s="63">
        <v>5860</v>
      </c>
      <c r="AA247" s="63">
        <f t="shared" si="347"/>
        <v>7279</v>
      </c>
      <c r="AB247" s="63">
        <f t="shared" si="347"/>
        <v>7279</v>
      </c>
      <c r="AC247" s="63">
        <f t="shared" si="348"/>
        <v>5551</v>
      </c>
      <c r="AD247" s="63">
        <f t="shared" si="348"/>
        <v>5551</v>
      </c>
      <c r="AE247" s="63">
        <f t="shared" si="349"/>
        <v>0</v>
      </c>
      <c r="AF247" s="63">
        <f t="shared" si="350"/>
        <v>0</v>
      </c>
      <c r="AG247" s="63"/>
      <c r="AH247" s="63"/>
      <c r="AI247" s="25" t="s">
        <v>2136</v>
      </c>
      <c r="AJ247" s="19">
        <f t="shared" si="279"/>
        <v>1</v>
      </c>
      <c r="AK247" s="22">
        <f t="shared" si="351"/>
        <v>1</v>
      </c>
      <c r="AL247" s="22"/>
      <c r="AM247" s="12">
        <f t="shared" si="352"/>
        <v>0</v>
      </c>
      <c r="AO247" s="12">
        <f t="shared" si="353"/>
        <v>0</v>
      </c>
      <c r="AP247" s="12">
        <f t="shared" si="273"/>
        <v>0</v>
      </c>
      <c r="AQ247" s="12">
        <f t="shared" si="354"/>
        <v>0</v>
      </c>
      <c r="AR247" s="12">
        <f t="shared" si="275"/>
        <v>0</v>
      </c>
      <c r="AS247" s="12">
        <f t="shared" si="355"/>
        <v>0</v>
      </c>
      <c r="AT247" s="12">
        <f t="shared" si="300"/>
        <v>0</v>
      </c>
      <c r="AU247" s="12">
        <f t="shared" si="356"/>
        <v>1</v>
      </c>
      <c r="AV247" s="12">
        <f t="shared" si="301"/>
        <v>10830</v>
      </c>
    </row>
    <row r="248" spans="1:16378" ht="49.5" x14ac:dyDescent="0.25">
      <c r="A248" s="60">
        <v>6</v>
      </c>
      <c r="B248" s="91" t="s">
        <v>602</v>
      </c>
      <c r="C248" s="61" t="s">
        <v>52</v>
      </c>
      <c r="D248" s="61" t="s">
        <v>603</v>
      </c>
      <c r="E248" s="61">
        <v>2016</v>
      </c>
      <c r="F248" s="61" t="s">
        <v>604</v>
      </c>
      <c r="G248" s="63">
        <v>402</v>
      </c>
      <c r="H248" s="80">
        <f t="shared" ref="H248:H253" si="358">G248</f>
        <v>402</v>
      </c>
      <c r="I248" s="63"/>
      <c r="J248" s="63"/>
      <c r="K248" s="63"/>
      <c r="L248" s="63"/>
      <c r="M248" s="68">
        <f t="shared" si="342"/>
        <v>320</v>
      </c>
      <c r="N248" s="63">
        <v>320</v>
      </c>
      <c r="O248" s="68">
        <f t="shared" si="343"/>
        <v>320</v>
      </c>
      <c r="P248" s="63">
        <v>320</v>
      </c>
      <c r="Q248" s="54">
        <f t="shared" si="344"/>
        <v>0</v>
      </c>
      <c r="R248" s="54"/>
      <c r="S248" s="68">
        <f t="shared" si="345"/>
        <v>320</v>
      </c>
      <c r="T248" s="63">
        <v>320</v>
      </c>
      <c r="U248" s="63">
        <f t="shared" si="346"/>
        <v>350</v>
      </c>
      <c r="V248" s="63">
        <v>350</v>
      </c>
      <c r="W248" s="63"/>
      <c r="X248" s="63"/>
      <c r="Y248" s="63"/>
      <c r="Z248" s="63"/>
      <c r="AA248" s="63">
        <f t="shared" si="347"/>
        <v>350</v>
      </c>
      <c r="AB248" s="63">
        <f t="shared" si="347"/>
        <v>350</v>
      </c>
      <c r="AC248" s="63">
        <f t="shared" si="348"/>
        <v>-30</v>
      </c>
      <c r="AD248" s="63">
        <f t="shared" si="348"/>
        <v>-30</v>
      </c>
      <c r="AE248" s="63">
        <f t="shared" si="349"/>
        <v>0</v>
      </c>
      <c r="AF248" s="63">
        <f t="shared" si="350"/>
        <v>0</v>
      </c>
      <c r="AG248" s="63"/>
      <c r="AH248" s="63"/>
      <c r="AI248" s="69"/>
      <c r="AJ248" s="19">
        <f t="shared" si="279"/>
        <v>0</v>
      </c>
      <c r="AK248" s="22">
        <f t="shared" si="351"/>
        <v>0</v>
      </c>
      <c r="AL248" s="22"/>
      <c r="AM248" s="12">
        <f t="shared" si="352"/>
        <v>1</v>
      </c>
      <c r="AO248" s="12">
        <f t="shared" si="353"/>
        <v>0</v>
      </c>
      <c r="AP248" s="12">
        <f t="shared" si="273"/>
        <v>0</v>
      </c>
      <c r="AQ248" s="12">
        <f t="shared" si="354"/>
        <v>0</v>
      </c>
      <c r="AR248" s="12">
        <f t="shared" si="275"/>
        <v>0</v>
      </c>
      <c r="AS248" s="12">
        <f t="shared" si="355"/>
        <v>0</v>
      </c>
      <c r="AT248" s="12">
        <f t="shared" si="300"/>
        <v>0</v>
      </c>
      <c r="AU248" s="12">
        <f t="shared" si="356"/>
        <v>0</v>
      </c>
      <c r="AV248" s="12">
        <f t="shared" si="301"/>
        <v>0</v>
      </c>
    </row>
    <row r="249" spans="1:16378" ht="66" x14ac:dyDescent="0.25">
      <c r="A249" s="60">
        <v>7</v>
      </c>
      <c r="B249" s="9" t="s">
        <v>605</v>
      </c>
      <c r="C249" s="61" t="s">
        <v>52</v>
      </c>
      <c r="D249" s="61" t="s">
        <v>606</v>
      </c>
      <c r="E249" s="61">
        <v>2016</v>
      </c>
      <c r="F249" s="61" t="s">
        <v>607</v>
      </c>
      <c r="G249" s="63">
        <v>741</v>
      </c>
      <c r="H249" s="80">
        <f t="shared" si="358"/>
        <v>741</v>
      </c>
      <c r="I249" s="63"/>
      <c r="J249" s="63"/>
      <c r="K249" s="63"/>
      <c r="L249" s="63"/>
      <c r="M249" s="68">
        <f t="shared" si="342"/>
        <v>700</v>
      </c>
      <c r="N249" s="63">
        <v>700</v>
      </c>
      <c r="O249" s="68">
        <f t="shared" si="343"/>
        <v>700</v>
      </c>
      <c r="P249" s="63">
        <v>700</v>
      </c>
      <c r="Q249" s="54">
        <f t="shared" si="344"/>
        <v>0</v>
      </c>
      <c r="R249" s="54"/>
      <c r="S249" s="68">
        <f t="shared" si="345"/>
        <v>700</v>
      </c>
      <c r="T249" s="63">
        <v>700</v>
      </c>
      <c r="U249" s="63">
        <f t="shared" si="346"/>
        <v>670</v>
      </c>
      <c r="V249" s="63">
        <v>670</v>
      </c>
      <c r="W249" s="63"/>
      <c r="X249" s="63"/>
      <c r="Y249" s="63"/>
      <c r="Z249" s="63"/>
      <c r="AA249" s="63">
        <f t="shared" si="347"/>
        <v>670</v>
      </c>
      <c r="AB249" s="63">
        <f t="shared" si="347"/>
        <v>670</v>
      </c>
      <c r="AC249" s="63">
        <f t="shared" si="348"/>
        <v>30</v>
      </c>
      <c r="AD249" s="63">
        <f t="shared" si="348"/>
        <v>30</v>
      </c>
      <c r="AE249" s="63">
        <f t="shared" si="349"/>
        <v>0</v>
      </c>
      <c r="AF249" s="63">
        <f t="shared" si="350"/>
        <v>0</v>
      </c>
      <c r="AG249" s="63"/>
      <c r="AH249" s="63"/>
      <c r="AI249" s="69"/>
      <c r="AJ249" s="19">
        <f t="shared" si="279"/>
        <v>0</v>
      </c>
      <c r="AK249" s="22">
        <f t="shared" si="351"/>
        <v>0</v>
      </c>
      <c r="AL249" s="22"/>
      <c r="AM249" s="12">
        <f t="shared" si="352"/>
        <v>1</v>
      </c>
      <c r="AO249" s="12">
        <f t="shared" si="353"/>
        <v>0</v>
      </c>
      <c r="AP249" s="12">
        <f t="shared" si="273"/>
        <v>0</v>
      </c>
      <c r="AQ249" s="12">
        <f t="shared" si="354"/>
        <v>0</v>
      </c>
      <c r="AR249" s="12">
        <f t="shared" si="275"/>
        <v>0</v>
      </c>
      <c r="AS249" s="12">
        <f t="shared" si="355"/>
        <v>0</v>
      </c>
      <c r="AT249" s="12">
        <f t="shared" si="300"/>
        <v>0</v>
      </c>
      <c r="AU249" s="12">
        <f t="shared" si="356"/>
        <v>0</v>
      </c>
      <c r="AV249" s="12">
        <f t="shared" si="301"/>
        <v>0</v>
      </c>
    </row>
    <row r="250" spans="1:16378" ht="82.5" x14ac:dyDescent="0.25">
      <c r="A250" s="60">
        <v>8</v>
      </c>
      <c r="B250" s="9" t="s">
        <v>608</v>
      </c>
      <c r="C250" s="61" t="s">
        <v>104</v>
      </c>
      <c r="D250" s="25" t="s">
        <v>609</v>
      </c>
      <c r="E250" s="61" t="s">
        <v>252</v>
      </c>
      <c r="F250" s="61" t="s">
        <v>610</v>
      </c>
      <c r="G250" s="5">
        <v>10250</v>
      </c>
      <c r="H250" s="80">
        <f t="shared" si="358"/>
        <v>10250</v>
      </c>
      <c r="I250" s="63"/>
      <c r="J250" s="63"/>
      <c r="K250" s="63"/>
      <c r="L250" s="63"/>
      <c r="M250" s="68">
        <f t="shared" si="342"/>
        <v>10250</v>
      </c>
      <c r="N250" s="63">
        <v>10250</v>
      </c>
      <c r="O250" s="68">
        <f t="shared" si="343"/>
        <v>10250</v>
      </c>
      <c r="P250" s="63">
        <v>10250</v>
      </c>
      <c r="Q250" s="54">
        <f t="shared" si="344"/>
        <v>0</v>
      </c>
      <c r="R250" s="54"/>
      <c r="S250" s="68">
        <f t="shared" si="345"/>
        <v>10250</v>
      </c>
      <c r="T250" s="63">
        <v>10250</v>
      </c>
      <c r="U250" s="63">
        <f t="shared" si="346"/>
        <v>8000</v>
      </c>
      <c r="V250" s="63">
        <v>8000</v>
      </c>
      <c r="W250" s="63">
        <f>X250</f>
        <v>1000</v>
      </c>
      <c r="X250" s="63">
        <v>1000</v>
      </c>
      <c r="Y250" s="63">
        <f>Z250</f>
        <v>1000</v>
      </c>
      <c r="Z250" s="63">
        <v>1000</v>
      </c>
      <c r="AA250" s="63">
        <f t="shared" si="347"/>
        <v>10000</v>
      </c>
      <c r="AB250" s="63">
        <f t="shared" si="347"/>
        <v>10000</v>
      </c>
      <c r="AC250" s="63">
        <f t="shared" si="348"/>
        <v>250</v>
      </c>
      <c r="AD250" s="63">
        <f t="shared" si="348"/>
        <v>250</v>
      </c>
      <c r="AE250" s="63">
        <f t="shared" si="349"/>
        <v>0</v>
      </c>
      <c r="AF250" s="63">
        <f t="shared" si="350"/>
        <v>0</v>
      </c>
      <c r="AG250" s="63"/>
      <c r="AH250" s="63"/>
      <c r="AI250" s="69"/>
      <c r="AJ250" s="19">
        <f t="shared" si="279"/>
        <v>0</v>
      </c>
      <c r="AK250" s="22">
        <f t="shared" si="351"/>
        <v>0</v>
      </c>
      <c r="AL250" s="22"/>
      <c r="AM250" s="12">
        <f t="shared" si="352"/>
        <v>1</v>
      </c>
      <c r="AO250" s="12">
        <f t="shared" si="353"/>
        <v>0</v>
      </c>
      <c r="AP250" s="12">
        <f t="shared" si="273"/>
        <v>0</v>
      </c>
      <c r="AQ250" s="12">
        <f t="shared" si="354"/>
        <v>0</v>
      </c>
      <c r="AR250" s="12">
        <f t="shared" si="275"/>
        <v>0</v>
      </c>
      <c r="AS250" s="12">
        <f t="shared" si="355"/>
        <v>0</v>
      </c>
      <c r="AT250" s="12">
        <f t="shared" si="300"/>
        <v>0</v>
      </c>
      <c r="AU250" s="12">
        <f t="shared" si="356"/>
        <v>0</v>
      </c>
      <c r="AV250" s="12">
        <f t="shared" si="301"/>
        <v>0</v>
      </c>
    </row>
    <row r="251" spans="1:16378" ht="49.5" x14ac:dyDescent="0.25">
      <c r="A251" s="60">
        <v>9</v>
      </c>
      <c r="B251" s="9" t="s">
        <v>611</v>
      </c>
      <c r="C251" s="61" t="s">
        <v>104</v>
      </c>
      <c r="D251" s="25" t="s">
        <v>612</v>
      </c>
      <c r="E251" s="61">
        <v>2017</v>
      </c>
      <c r="F251" s="61" t="s">
        <v>613</v>
      </c>
      <c r="G251" s="5">
        <v>4988</v>
      </c>
      <c r="H251" s="80">
        <f t="shared" si="358"/>
        <v>4988</v>
      </c>
      <c r="I251" s="63"/>
      <c r="J251" s="63"/>
      <c r="K251" s="63"/>
      <c r="L251" s="63"/>
      <c r="M251" s="68">
        <f t="shared" si="342"/>
        <v>4700</v>
      </c>
      <c r="N251" s="63">
        <v>4700</v>
      </c>
      <c r="O251" s="68">
        <f t="shared" si="343"/>
        <v>4700</v>
      </c>
      <c r="P251" s="63">
        <v>4700</v>
      </c>
      <c r="Q251" s="54">
        <f t="shared" si="344"/>
        <v>0</v>
      </c>
      <c r="R251" s="54"/>
      <c r="S251" s="68">
        <f t="shared" si="345"/>
        <v>4700</v>
      </c>
      <c r="T251" s="63">
        <v>4700</v>
      </c>
      <c r="U251" s="63"/>
      <c r="V251" s="63"/>
      <c r="W251" s="63">
        <v>4500</v>
      </c>
      <c r="X251" s="63">
        <f>W251</f>
        <v>4500</v>
      </c>
      <c r="Y251" s="63">
        <v>4500</v>
      </c>
      <c r="Z251" s="63">
        <f>Y251</f>
        <v>4500</v>
      </c>
      <c r="AA251" s="63">
        <f t="shared" si="347"/>
        <v>9000</v>
      </c>
      <c r="AB251" s="63">
        <f t="shared" si="347"/>
        <v>9000</v>
      </c>
      <c r="AC251" s="63">
        <f t="shared" si="348"/>
        <v>-4300</v>
      </c>
      <c r="AD251" s="63">
        <f t="shared" si="348"/>
        <v>-4300</v>
      </c>
      <c r="AE251" s="63">
        <f t="shared" si="349"/>
        <v>0</v>
      </c>
      <c r="AF251" s="63">
        <f t="shared" si="350"/>
        <v>0</v>
      </c>
      <c r="AG251" s="63"/>
      <c r="AH251" s="63"/>
      <c r="AI251" s="69"/>
      <c r="AJ251" s="19">
        <f t="shared" si="279"/>
        <v>0</v>
      </c>
      <c r="AK251" s="22">
        <f t="shared" si="351"/>
        <v>0</v>
      </c>
      <c r="AL251" s="22"/>
      <c r="AM251" s="12">
        <f t="shared" si="352"/>
        <v>1</v>
      </c>
      <c r="AO251" s="12">
        <f t="shared" si="353"/>
        <v>0</v>
      </c>
      <c r="AP251" s="12">
        <f t="shared" si="273"/>
        <v>0</v>
      </c>
      <c r="AQ251" s="12">
        <f t="shared" si="354"/>
        <v>0</v>
      </c>
      <c r="AR251" s="12">
        <f t="shared" si="275"/>
        <v>0</v>
      </c>
      <c r="AS251" s="12">
        <f t="shared" si="355"/>
        <v>0</v>
      </c>
      <c r="AT251" s="12">
        <f t="shared" si="300"/>
        <v>0</v>
      </c>
      <c r="AU251" s="12">
        <f t="shared" si="356"/>
        <v>0</v>
      </c>
      <c r="AV251" s="12">
        <f t="shared" si="301"/>
        <v>0</v>
      </c>
    </row>
    <row r="252" spans="1:16378" ht="50.25" customHeight="1" x14ac:dyDescent="0.25">
      <c r="A252" s="60">
        <v>10</v>
      </c>
      <c r="B252" s="9" t="s">
        <v>614</v>
      </c>
      <c r="C252" s="61" t="s">
        <v>615</v>
      </c>
      <c r="D252" s="61"/>
      <c r="E252" s="61" t="s">
        <v>97</v>
      </c>
      <c r="F252" s="61" t="s">
        <v>616</v>
      </c>
      <c r="G252" s="62">
        <v>1308</v>
      </c>
      <c r="H252" s="80">
        <f t="shared" si="358"/>
        <v>1308</v>
      </c>
      <c r="I252" s="63"/>
      <c r="J252" s="63"/>
      <c r="K252" s="63"/>
      <c r="L252" s="63"/>
      <c r="M252" s="68">
        <f t="shared" si="342"/>
        <v>1190</v>
      </c>
      <c r="N252" s="63">
        <v>1190</v>
      </c>
      <c r="O252" s="68">
        <f t="shared" si="343"/>
        <v>100</v>
      </c>
      <c r="P252" s="63">
        <v>100</v>
      </c>
      <c r="Q252" s="54"/>
      <c r="R252" s="5">
        <f>N252-T252</f>
        <v>1090</v>
      </c>
      <c r="S252" s="68">
        <f t="shared" si="345"/>
        <v>100</v>
      </c>
      <c r="T252" s="63">
        <v>100</v>
      </c>
      <c r="U252" s="63"/>
      <c r="V252" s="63"/>
      <c r="W252" s="63">
        <f>X252</f>
        <v>1190</v>
      </c>
      <c r="X252" s="63">
        <v>1190</v>
      </c>
      <c r="Y252" s="63">
        <f>Z252</f>
        <v>1190</v>
      </c>
      <c r="Z252" s="63">
        <v>1190</v>
      </c>
      <c r="AA252" s="63">
        <f t="shared" si="347"/>
        <v>2380</v>
      </c>
      <c r="AB252" s="63">
        <f t="shared" si="347"/>
        <v>2380</v>
      </c>
      <c r="AC252" s="63">
        <f t="shared" si="348"/>
        <v>-2280</v>
      </c>
      <c r="AD252" s="63">
        <f t="shared" si="348"/>
        <v>-2280</v>
      </c>
      <c r="AE252" s="63">
        <f t="shared" si="349"/>
        <v>0</v>
      </c>
      <c r="AF252" s="63">
        <f t="shared" si="350"/>
        <v>0</v>
      </c>
      <c r="AG252" s="63"/>
      <c r="AH252" s="63"/>
      <c r="AI252" s="25" t="s">
        <v>617</v>
      </c>
      <c r="AJ252" s="19">
        <f t="shared" si="279"/>
        <v>1</v>
      </c>
      <c r="AK252" s="22">
        <f t="shared" si="351"/>
        <v>1</v>
      </c>
      <c r="AL252" s="22"/>
      <c r="AM252" s="12">
        <f t="shared" si="352"/>
        <v>0</v>
      </c>
      <c r="AO252" s="48">
        <v>1</v>
      </c>
      <c r="AP252" s="120">
        <f>R252</f>
        <v>1090</v>
      </c>
      <c r="AQ252" s="12">
        <f t="shared" si="354"/>
        <v>0</v>
      </c>
      <c r="AR252" s="12">
        <f t="shared" si="275"/>
        <v>0</v>
      </c>
      <c r="AS252" s="12">
        <f t="shared" si="355"/>
        <v>0</v>
      </c>
      <c r="AT252" s="12">
        <f t="shared" si="300"/>
        <v>0</v>
      </c>
    </row>
    <row r="253" spans="1:16378" ht="38.25" customHeight="1" x14ac:dyDescent="0.25">
      <c r="A253" s="60">
        <v>11</v>
      </c>
      <c r="B253" s="9" t="s">
        <v>618</v>
      </c>
      <c r="C253" s="61" t="s">
        <v>615</v>
      </c>
      <c r="D253" s="61"/>
      <c r="E253" s="61" t="s">
        <v>116</v>
      </c>
      <c r="F253" s="61"/>
      <c r="G253" s="62">
        <v>8000</v>
      </c>
      <c r="H253" s="80">
        <f t="shared" si="358"/>
        <v>8000</v>
      </c>
      <c r="I253" s="63"/>
      <c r="J253" s="63"/>
      <c r="K253" s="63"/>
      <c r="L253" s="63"/>
      <c r="M253" s="68">
        <f t="shared" si="342"/>
        <v>7200</v>
      </c>
      <c r="N253" s="63">
        <v>7200</v>
      </c>
      <c r="O253" s="68"/>
      <c r="P253" s="63"/>
      <c r="Q253" s="54"/>
      <c r="R253" s="5">
        <f t="shared" ref="R253:R254" si="359">N253-T253</f>
        <v>7200</v>
      </c>
      <c r="S253" s="68"/>
      <c r="T253" s="63"/>
      <c r="U253" s="63"/>
      <c r="V253" s="63"/>
      <c r="W253" s="63"/>
      <c r="X253" s="63"/>
      <c r="Y253" s="63"/>
      <c r="Z253" s="63"/>
      <c r="AA253" s="63">
        <f t="shared" si="347"/>
        <v>0</v>
      </c>
      <c r="AB253" s="63">
        <f t="shared" si="347"/>
        <v>0</v>
      </c>
      <c r="AC253" s="63">
        <f t="shared" si="348"/>
        <v>0</v>
      </c>
      <c r="AD253" s="63">
        <f t="shared" si="348"/>
        <v>0</v>
      </c>
      <c r="AE253" s="63">
        <f t="shared" si="349"/>
        <v>0</v>
      </c>
      <c r="AF253" s="63">
        <f t="shared" si="350"/>
        <v>0</v>
      </c>
      <c r="AG253" s="63"/>
      <c r="AH253" s="63"/>
      <c r="AI253" s="25" t="s">
        <v>619</v>
      </c>
      <c r="AJ253" s="19">
        <f t="shared" si="279"/>
        <v>1</v>
      </c>
      <c r="AK253" s="22">
        <f t="shared" si="351"/>
        <v>1</v>
      </c>
      <c r="AL253" s="22"/>
      <c r="AM253" s="12">
        <f t="shared" si="352"/>
        <v>0</v>
      </c>
      <c r="AO253" s="12">
        <f t="shared" ref="AO253:AO268" si="360">IF(P253=0,1,0)</f>
        <v>1</v>
      </c>
      <c r="AP253" s="12">
        <f t="shared" ref="AP253:AP316" si="361">IF(AO253=1,N253,0)</f>
        <v>7200</v>
      </c>
      <c r="AQ253" s="12">
        <f t="shared" si="354"/>
        <v>0</v>
      </c>
      <c r="AR253" s="12">
        <f t="shared" si="275"/>
        <v>0</v>
      </c>
      <c r="AS253" s="12">
        <f t="shared" si="355"/>
        <v>0</v>
      </c>
      <c r="AT253" s="12">
        <f t="shared" si="300"/>
        <v>0</v>
      </c>
    </row>
    <row r="254" spans="1:16378" ht="49.5" x14ac:dyDescent="0.25">
      <c r="A254" s="60">
        <v>12</v>
      </c>
      <c r="B254" s="9" t="s">
        <v>620</v>
      </c>
      <c r="C254" s="61" t="s">
        <v>416</v>
      </c>
      <c r="D254" s="61"/>
      <c r="E254" s="61" t="s">
        <v>116</v>
      </c>
      <c r="F254" s="61" t="s">
        <v>621</v>
      </c>
      <c r="G254" s="62">
        <f>H254</f>
        <v>2997</v>
      </c>
      <c r="H254" s="80">
        <v>2997</v>
      </c>
      <c r="I254" s="63"/>
      <c r="J254" s="63"/>
      <c r="K254" s="63"/>
      <c r="L254" s="63"/>
      <c r="M254" s="68">
        <f t="shared" si="342"/>
        <v>3000</v>
      </c>
      <c r="N254" s="63">
        <v>3000</v>
      </c>
      <c r="O254" s="68">
        <f t="shared" si="343"/>
        <v>2990</v>
      </c>
      <c r="P254" s="63">
        <v>2990</v>
      </c>
      <c r="Q254" s="54"/>
      <c r="R254" s="5">
        <f t="shared" si="359"/>
        <v>10</v>
      </c>
      <c r="S254" s="68">
        <f t="shared" ref="S254:S256" si="362">T254</f>
        <v>2990</v>
      </c>
      <c r="T254" s="63">
        <v>2990</v>
      </c>
      <c r="U254" s="63"/>
      <c r="V254" s="63"/>
      <c r="W254" s="63"/>
      <c r="X254" s="63"/>
      <c r="Y254" s="63">
        <f>Z254</f>
        <v>2500</v>
      </c>
      <c r="Z254" s="63">
        <v>2500</v>
      </c>
      <c r="AA254" s="63">
        <f t="shared" si="347"/>
        <v>2500</v>
      </c>
      <c r="AB254" s="63">
        <f t="shared" si="347"/>
        <v>2500</v>
      </c>
      <c r="AC254" s="63">
        <f t="shared" si="348"/>
        <v>490</v>
      </c>
      <c r="AD254" s="63">
        <f t="shared" si="348"/>
        <v>490</v>
      </c>
      <c r="AE254" s="63">
        <f t="shared" si="349"/>
        <v>0</v>
      </c>
      <c r="AF254" s="63">
        <f t="shared" si="350"/>
        <v>0</v>
      </c>
      <c r="AG254" s="63"/>
      <c r="AH254" s="63"/>
      <c r="AI254" s="69"/>
      <c r="AJ254" s="19">
        <f t="shared" si="279"/>
        <v>1</v>
      </c>
      <c r="AK254" s="22">
        <f t="shared" si="351"/>
        <v>1</v>
      </c>
      <c r="AL254" s="22"/>
      <c r="AM254" s="12">
        <f t="shared" si="352"/>
        <v>0</v>
      </c>
      <c r="AO254" s="12">
        <f t="shared" si="360"/>
        <v>0</v>
      </c>
      <c r="AP254" s="12">
        <f t="shared" si="361"/>
        <v>0</v>
      </c>
      <c r="AQ254" s="12">
        <f t="shared" si="354"/>
        <v>0</v>
      </c>
      <c r="AR254" s="12">
        <f t="shared" si="275"/>
        <v>0</v>
      </c>
      <c r="AS254" s="12">
        <f t="shared" si="355"/>
        <v>0</v>
      </c>
      <c r="AT254" s="12">
        <f t="shared" si="300"/>
        <v>0</v>
      </c>
      <c r="AU254" s="12">
        <f>IF(R254=0,0,1)</f>
        <v>1</v>
      </c>
      <c r="AV254" s="12">
        <f t="shared" ref="AV254:AV317" si="363">IF(AU254=1,R254,0)</f>
        <v>10</v>
      </c>
    </row>
    <row r="255" spans="1:16378" ht="49.5" x14ac:dyDescent="0.25">
      <c r="A255" s="60">
        <v>13</v>
      </c>
      <c r="B255" s="9" t="s">
        <v>622</v>
      </c>
      <c r="C255" s="61" t="s">
        <v>416</v>
      </c>
      <c r="D255" s="61"/>
      <c r="E255" s="61" t="s">
        <v>116</v>
      </c>
      <c r="F255" s="61" t="s">
        <v>623</v>
      </c>
      <c r="G255" s="62">
        <f>H255</f>
        <v>940</v>
      </c>
      <c r="H255" s="80">
        <v>940</v>
      </c>
      <c r="I255" s="63"/>
      <c r="J255" s="63"/>
      <c r="K255" s="63"/>
      <c r="L255" s="63"/>
      <c r="M255" s="68">
        <f t="shared" si="342"/>
        <v>1500</v>
      </c>
      <c r="N255" s="63">
        <v>1500</v>
      </c>
      <c r="O255" s="68">
        <f t="shared" si="343"/>
        <v>850</v>
      </c>
      <c r="P255" s="63">
        <v>850</v>
      </c>
      <c r="Q255" s="54"/>
      <c r="R255" s="5">
        <f>N255-T255</f>
        <v>650</v>
      </c>
      <c r="S255" s="68">
        <f t="shared" si="362"/>
        <v>850</v>
      </c>
      <c r="T255" s="63">
        <v>850</v>
      </c>
      <c r="U255" s="63"/>
      <c r="V255" s="63"/>
      <c r="W255" s="63"/>
      <c r="X255" s="63"/>
      <c r="Y255" s="63">
        <f>Z255</f>
        <v>800</v>
      </c>
      <c r="Z255" s="63">
        <v>800</v>
      </c>
      <c r="AA255" s="63">
        <f t="shared" si="347"/>
        <v>800</v>
      </c>
      <c r="AB255" s="63">
        <f t="shared" si="347"/>
        <v>800</v>
      </c>
      <c r="AC255" s="63">
        <f t="shared" si="348"/>
        <v>50</v>
      </c>
      <c r="AD255" s="63">
        <f t="shared" si="348"/>
        <v>50</v>
      </c>
      <c r="AE255" s="63">
        <f t="shared" si="349"/>
        <v>0</v>
      </c>
      <c r="AF255" s="63">
        <f t="shared" si="350"/>
        <v>0</v>
      </c>
      <c r="AG255" s="63"/>
      <c r="AH255" s="63"/>
      <c r="AI255" s="69"/>
      <c r="AJ255" s="19">
        <f t="shared" si="279"/>
        <v>1</v>
      </c>
      <c r="AK255" s="22">
        <f t="shared" si="351"/>
        <v>1</v>
      </c>
      <c r="AL255" s="22"/>
      <c r="AM255" s="12">
        <f t="shared" si="352"/>
        <v>0</v>
      </c>
      <c r="AO255" s="12">
        <f t="shared" si="360"/>
        <v>0</v>
      </c>
      <c r="AP255" s="12">
        <f t="shared" si="361"/>
        <v>0</v>
      </c>
      <c r="AQ255" s="12">
        <f t="shared" si="354"/>
        <v>0</v>
      </c>
      <c r="AR255" s="12">
        <f t="shared" si="275"/>
        <v>0</v>
      </c>
      <c r="AS255" s="12">
        <f t="shared" si="355"/>
        <v>0</v>
      </c>
      <c r="AT255" s="12">
        <f t="shared" si="300"/>
        <v>0</v>
      </c>
      <c r="AU255" s="12">
        <f>IF(R255=0,0,1)</f>
        <v>1</v>
      </c>
      <c r="AV255" s="12">
        <f t="shared" si="363"/>
        <v>650</v>
      </c>
    </row>
    <row r="256" spans="1:16378" ht="49.5" x14ac:dyDescent="0.25">
      <c r="A256" s="60">
        <v>14</v>
      </c>
      <c r="B256" s="9" t="s">
        <v>624</v>
      </c>
      <c r="C256" s="61" t="s">
        <v>99</v>
      </c>
      <c r="D256" s="61"/>
      <c r="E256" s="61" t="s">
        <v>116</v>
      </c>
      <c r="F256" s="61" t="s">
        <v>625</v>
      </c>
      <c r="G256" s="62">
        <v>20000</v>
      </c>
      <c r="H256" s="80">
        <f t="shared" ref="H256" si="364">G256</f>
        <v>20000</v>
      </c>
      <c r="I256" s="63"/>
      <c r="J256" s="63"/>
      <c r="K256" s="63"/>
      <c r="L256" s="63"/>
      <c r="M256" s="68">
        <f t="shared" si="342"/>
        <v>20000</v>
      </c>
      <c r="N256" s="63">
        <v>20000</v>
      </c>
      <c r="O256" s="68">
        <f t="shared" si="343"/>
        <v>18000</v>
      </c>
      <c r="P256" s="63">
        <f>H256*0.9</f>
        <v>18000</v>
      </c>
      <c r="Q256" s="54"/>
      <c r="R256" s="5">
        <f t="shared" ref="R256:R260" si="365">N256-T256</f>
        <v>2000</v>
      </c>
      <c r="S256" s="68">
        <f t="shared" si="362"/>
        <v>18000</v>
      </c>
      <c r="T256" s="63">
        <v>18000</v>
      </c>
      <c r="U256" s="58"/>
      <c r="V256" s="58"/>
      <c r="W256" s="58"/>
      <c r="X256" s="58"/>
      <c r="Y256" s="58">
        <f>Z256</f>
        <v>10000</v>
      </c>
      <c r="Z256" s="58">
        <v>10000</v>
      </c>
      <c r="AA256" s="63">
        <f t="shared" si="347"/>
        <v>10000</v>
      </c>
      <c r="AB256" s="63">
        <f t="shared" si="347"/>
        <v>10000</v>
      </c>
      <c r="AC256" s="63">
        <f t="shared" si="348"/>
        <v>8000</v>
      </c>
      <c r="AD256" s="63">
        <f t="shared" si="348"/>
        <v>8000</v>
      </c>
      <c r="AE256" s="63">
        <f t="shared" si="349"/>
        <v>0</v>
      </c>
      <c r="AF256" s="63">
        <f t="shared" si="350"/>
        <v>0</v>
      </c>
      <c r="AG256" s="58"/>
      <c r="AH256" s="58"/>
      <c r="AI256" s="69"/>
      <c r="AJ256" s="19">
        <f t="shared" si="279"/>
        <v>1</v>
      </c>
      <c r="AK256" s="22">
        <f t="shared" si="351"/>
        <v>1</v>
      </c>
      <c r="AL256" s="22"/>
      <c r="AM256" s="12">
        <f t="shared" si="352"/>
        <v>0</v>
      </c>
      <c r="AO256" s="12">
        <f t="shared" si="360"/>
        <v>0</v>
      </c>
      <c r="AP256" s="12">
        <f t="shared" si="361"/>
        <v>0</v>
      </c>
      <c r="AQ256" s="12">
        <f t="shared" si="354"/>
        <v>0</v>
      </c>
      <c r="AR256" s="12">
        <f t="shared" si="275"/>
        <v>0</v>
      </c>
      <c r="AS256" s="12">
        <f t="shared" si="355"/>
        <v>0</v>
      </c>
      <c r="AT256" s="12">
        <f t="shared" si="300"/>
        <v>0</v>
      </c>
      <c r="AU256" s="12">
        <f>IF(R256=0,0,1)</f>
        <v>1</v>
      </c>
      <c r="AV256" s="12">
        <f t="shared" si="363"/>
        <v>2000</v>
      </c>
    </row>
    <row r="257" spans="1:48" ht="39" customHeight="1" x14ac:dyDescent="0.25">
      <c r="A257" s="60">
        <v>15</v>
      </c>
      <c r="B257" s="9" t="s">
        <v>626</v>
      </c>
      <c r="C257" s="61" t="s">
        <v>416</v>
      </c>
      <c r="D257" s="61"/>
      <c r="E257" s="61" t="s">
        <v>116</v>
      </c>
      <c r="F257" s="61"/>
      <c r="G257" s="62">
        <f>H257</f>
        <v>25000</v>
      </c>
      <c r="H257" s="80">
        <v>25000</v>
      </c>
      <c r="I257" s="63"/>
      <c r="J257" s="63"/>
      <c r="K257" s="63"/>
      <c r="L257" s="63"/>
      <c r="M257" s="68">
        <f t="shared" si="342"/>
        <v>22650</v>
      </c>
      <c r="N257" s="63">
        <v>22650</v>
      </c>
      <c r="O257" s="68"/>
      <c r="P257" s="63"/>
      <c r="Q257" s="54"/>
      <c r="R257" s="5">
        <f t="shared" si="365"/>
        <v>22650</v>
      </c>
      <c r="S257" s="68"/>
      <c r="T257" s="63"/>
      <c r="U257" s="63"/>
      <c r="V257" s="63"/>
      <c r="W257" s="63"/>
      <c r="X257" s="63"/>
      <c r="Y257" s="63"/>
      <c r="Z257" s="63"/>
      <c r="AA257" s="63">
        <f t="shared" si="347"/>
        <v>0</v>
      </c>
      <c r="AB257" s="63">
        <f t="shared" si="347"/>
        <v>0</v>
      </c>
      <c r="AC257" s="63">
        <f t="shared" si="348"/>
        <v>0</v>
      </c>
      <c r="AD257" s="63">
        <f t="shared" si="348"/>
        <v>0</v>
      </c>
      <c r="AE257" s="63">
        <f t="shared" si="349"/>
        <v>0</v>
      </c>
      <c r="AF257" s="63">
        <f t="shared" si="350"/>
        <v>0</v>
      </c>
      <c r="AG257" s="63"/>
      <c r="AH257" s="63"/>
      <c r="AI257" s="25" t="s">
        <v>619</v>
      </c>
      <c r="AJ257" s="19">
        <f t="shared" si="279"/>
        <v>1</v>
      </c>
      <c r="AK257" s="22">
        <f t="shared" si="351"/>
        <v>1</v>
      </c>
      <c r="AL257" s="22"/>
      <c r="AM257" s="12">
        <f t="shared" si="352"/>
        <v>0</v>
      </c>
      <c r="AO257" s="12">
        <f t="shared" si="360"/>
        <v>1</v>
      </c>
      <c r="AP257" s="12">
        <f t="shared" si="361"/>
        <v>22650</v>
      </c>
      <c r="AQ257" s="12">
        <f t="shared" si="354"/>
        <v>0</v>
      </c>
      <c r="AR257" s="12">
        <f t="shared" si="275"/>
        <v>0</v>
      </c>
      <c r="AS257" s="12">
        <f t="shared" si="355"/>
        <v>0</v>
      </c>
      <c r="AT257" s="12">
        <f t="shared" si="300"/>
        <v>0</v>
      </c>
    </row>
    <row r="258" spans="1:48" s="89" customFormat="1" ht="57.75" customHeight="1" x14ac:dyDescent="0.25">
      <c r="A258" s="60">
        <v>16</v>
      </c>
      <c r="B258" s="9" t="s">
        <v>627</v>
      </c>
      <c r="C258" s="61" t="s">
        <v>52</v>
      </c>
      <c r="D258" s="61"/>
      <c r="E258" s="61" t="s">
        <v>116</v>
      </c>
      <c r="F258" s="61"/>
      <c r="G258" s="62">
        <f>H258</f>
        <v>14560</v>
      </c>
      <c r="H258" s="80">
        <v>14560</v>
      </c>
      <c r="I258" s="63"/>
      <c r="J258" s="63"/>
      <c r="K258" s="63"/>
      <c r="L258" s="63"/>
      <c r="M258" s="68">
        <f>N258</f>
        <v>16200</v>
      </c>
      <c r="N258" s="68">
        <v>16200</v>
      </c>
      <c r="O258" s="68">
        <f>P258</f>
        <v>12200</v>
      </c>
      <c r="P258" s="68">
        <v>12200</v>
      </c>
      <c r="Q258" s="54"/>
      <c r="R258" s="5">
        <f t="shared" si="365"/>
        <v>4000</v>
      </c>
      <c r="S258" s="68">
        <f>T258</f>
        <v>12200</v>
      </c>
      <c r="T258" s="68">
        <v>12200</v>
      </c>
      <c r="U258" s="26"/>
      <c r="V258" s="26"/>
      <c r="W258" s="26"/>
      <c r="X258" s="26"/>
      <c r="Y258" s="26"/>
      <c r="Z258" s="26"/>
      <c r="AA258" s="63">
        <f t="shared" si="347"/>
        <v>0</v>
      </c>
      <c r="AB258" s="63">
        <f t="shared" si="347"/>
        <v>0</v>
      </c>
      <c r="AC258" s="63">
        <f t="shared" si="348"/>
        <v>12200</v>
      </c>
      <c r="AD258" s="63">
        <f t="shared" si="348"/>
        <v>12200</v>
      </c>
      <c r="AE258" s="63">
        <f t="shared" si="349"/>
        <v>12200</v>
      </c>
      <c r="AF258" s="63">
        <f t="shared" si="350"/>
        <v>12200</v>
      </c>
      <c r="AG258" s="26"/>
      <c r="AH258" s="26"/>
      <c r="AI258" s="25" t="s">
        <v>628</v>
      </c>
      <c r="AJ258" s="19">
        <f t="shared" si="279"/>
        <v>1</v>
      </c>
      <c r="AK258" s="22">
        <f t="shared" si="351"/>
        <v>1</v>
      </c>
      <c r="AL258" s="22"/>
      <c r="AM258" s="12">
        <f t="shared" si="352"/>
        <v>0</v>
      </c>
      <c r="AN258" s="12"/>
      <c r="AO258" s="12">
        <f t="shared" si="360"/>
        <v>0</v>
      </c>
      <c r="AP258" s="12">
        <f t="shared" si="361"/>
        <v>0</v>
      </c>
      <c r="AQ258" s="12">
        <f t="shared" si="354"/>
        <v>0</v>
      </c>
      <c r="AR258" s="12">
        <f t="shared" si="275"/>
        <v>0</v>
      </c>
      <c r="AS258" s="12">
        <f t="shared" si="355"/>
        <v>0</v>
      </c>
      <c r="AT258" s="12">
        <f t="shared" si="300"/>
        <v>0</v>
      </c>
      <c r="AU258" s="12">
        <f t="shared" ref="AU258:AU268" si="366">IF(R258=0,0,1)</f>
        <v>1</v>
      </c>
      <c r="AV258" s="12">
        <f t="shared" si="363"/>
        <v>4000</v>
      </c>
    </row>
    <row r="259" spans="1:48" ht="49.5" x14ac:dyDescent="0.25">
      <c r="A259" s="60">
        <v>17</v>
      </c>
      <c r="B259" s="9" t="s">
        <v>629</v>
      </c>
      <c r="C259" s="61" t="s">
        <v>52</v>
      </c>
      <c r="D259" s="61"/>
      <c r="E259" s="61" t="s">
        <v>116</v>
      </c>
      <c r="F259" s="61" t="s">
        <v>630</v>
      </c>
      <c r="G259" s="62">
        <f>H259</f>
        <v>2377</v>
      </c>
      <c r="H259" s="80">
        <v>2377</v>
      </c>
      <c r="I259" s="63"/>
      <c r="J259" s="63"/>
      <c r="K259" s="63"/>
      <c r="L259" s="63"/>
      <c r="M259" s="68">
        <f>N259</f>
        <v>1350</v>
      </c>
      <c r="N259" s="68">
        <v>1350</v>
      </c>
      <c r="O259" s="68">
        <f>P259</f>
        <v>2150</v>
      </c>
      <c r="P259" s="68">
        <v>2150</v>
      </c>
      <c r="Q259" s="54">
        <f t="shared" si="344"/>
        <v>800</v>
      </c>
      <c r="R259" s="5"/>
      <c r="S259" s="68">
        <f>T259</f>
        <v>2150</v>
      </c>
      <c r="T259" s="68">
        <v>2150</v>
      </c>
      <c r="U259" s="58"/>
      <c r="V259" s="58"/>
      <c r="W259" s="58"/>
      <c r="X259" s="58"/>
      <c r="Y259" s="58">
        <f>Z259</f>
        <v>1100</v>
      </c>
      <c r="Z259" s="58">
        <v>1100</v>
      </c>
      <c r="AA259" s="63">
        <f t="shared" si="347"/>
        <v>1100</v>
      </c>
      <c r="AB259" s="63">
        <f t="shared" si="347"/>
        <v>1100</v>
      </c>
      <c r="AC259" s="63">
        <f t="shared" si="348"/>
        <v>1050</v>
      </c>
      <c r="AD259" s="63">
        <f t="shared" si="348"/>
        <v>1050</v>
      </c>
      <c r="AE259" s="63">
        <f t="shared" si="349"/>
        <v>0</v>
      </c>
      <c r="AF259" s="63">
        <f t="shared" si="350"/>
        <v>0</v>
      </c>
      <c r="AG259" s="58"/>
      <c r="AH259" s="58"/>
      <c r="AI259" s="69"/>
      <c r="AJ259" s="19">
        <f t="shared" si="279"/>
        <v>1</v>
      </c>
      <c r="AK259" s="22">
        <f t="shared" si="351"/>
        <v>1</v>
      </c>
      <c r="AL259" s="22"/>
      <c r="AM259" s="12">
        <f t="shared" si="352"/>
        <v>0</v>
      </c>
      <c r="AO259" s="12">
        <f t="shared" si="360"/>
        <v>0</v>
      </c>
      <c r="AP259" s="12">
        <f t="shared" si="361"/>
        <v>0</v>
      </c>
      <c r="AQ259" s="12">
        <f t="shared" si="354"/>
        <v>0</v>
      </c>
      <c r="AR259" s="12">
        <f t="shared" si="275"/>
        <v>0</v>
      </c>
      <c r="AS259" s="12">
        <f t="shared" si="355"/>
        <v>1</v>
      </c>
      <c r="AT259" s="12">
        <f t="shared" si="300"/>
        <v>800</v>
      </c>
      <c r="AU259" s="12">
        <f t="shared" si="366"/>
        <v>0</v>
      </c>
      <c r="AV259" s="12">
        <f t="shared" si="363"/>
        <v>0</v>
      </c>
    </row>
    <row r="260" spans="1:48" ht="49.5" x14ac:dyDescent="0.25">
      <c r="A260" s="60">
        <v>18</v>
      </c>
      <c r="B260" s="9" t="s">
        <v>631</v>
      </c>
      <c r="C260" s="61" t="s">
        <v>632</v>
      </c>
      <c r="D260" s="61"/>
      <c r="E260" s="61" t="s">
        <v>116</v>
      </c>
      <c r="F260" s="61" t="s">
        <v>633</v>
      </c>
      <c r="G260" s="62">
        <f>H260</f>
        <v>1611</v>
      </c>
      <c r="H260" s="80">
        <v>1611</v>
      </c>
      <c r="I260" s="63"/>
      <c r="J260" s="63"/>
      <c r="K260" s="63"/>
      <c r="L260" s="63"/>
      <c r="M260" s="68">
        <f t="shared" si="342"/>
        <v>5000</v>
      </c>
      <c r="N260" s="63">
        <v>5000</v>
      </c>
      <c r="O260" s="68">
        <f t="shared" ref="O260" si="367">P260</f>
        <v>3500</v>
      </c>
      <c r="P260" s="63">
        <v>3500</v>
      </c>
      <c r="Q260" s="54"/>
      <c r="R260" s="5">
        <f t="shared" si="365"/>
        <v>1500</v>
      </c>
      <c r="S260" s="68">
        <f t="shared" ref="S260" si="368">T260</f>
        <v>3500</v>
      </c>
      <c r="T260" s="63">
        <v>3500</v>
      </c>
      <c r="U260" s="58"/>
      <c r="V260" s="58"/>
      <c r="W260" s="58"/>
      <c r="X260" s="58"/>
      <c r="Y260" s="58">
        <f>Z260</f>
        <v>1200</v>
      </c>
      <c r="Z260" s="58">
        <v>1200</v>
      </c>
      <c r="AA260" s="63">
        <f t="shared" si="347"/>
        <v>1200</v>
      </c>
      <c r="AB260" s="63">
        <f t="shared" si="347"/>
        <v>1200</v>
      </c>
      <c r="AC260" s="63">
        <f t="shared" si="348"/>
        <v>2300</v>
      </c>
      <c r="AD260" s="63">
        <f t="shared" si="348"/>
        <v>2300</v>
      </c>
      <c r="AE260" s="63">
        <f t="shared" si="349"/>
        <v>0</v>
      </c>
      <c r="AF260" s="63">
        <f t="shared" si="350"/>
        <v>0</v>
      </c>
      <c r="AG260" s="58"/>
      <c r="AH260" s="58"/>
      <c r="AI260" s="69"/>
      <c r="AJ260" s="19">
        <f t="shared" si="279"/>
        <v>1</v>
      </c>
      <c r="AK260" s="22">
        <f t="shared" si="351"/>
        <v>1</v>
      </c>
      <c r="AL260" s="22"/>
      <c r="AM260" s="12">
        <f t="shared" si="352"/>
        <v>0</v>
      </c>
      <c r="AO260" s="12">
        <f t="shared" si="360"/>
        <v>0</v>
      </c>
      <c r="AP260" s="12">
        <f t="shared" si="361"/>
        <v>0</v>
      </c>
      <c r="AQ260" s="12">
        <f t="shared" si="354"/>
        <v>0</v>
      </c>
      <c r="AR260" s="12">
        <f t="shared" si="275"/>
        <v>0</v>
      </c>
      <c r="AS260" s="12">
        <f t="shared" si="355"/>
        <v>0</v>
      </c>
      <c r="AT260" s="12">
        <f t="shared" si="300"/>
        <v>0</v>
      </c>
      <c r="AU260" s="12">
        <f t="shared" si="366"/>
        <v>1</v>
      </c>
      <c r="AV260" s="12">
        <f t="shared" si="363"/>
        <v>1500</v>
      </c>
    </row>
    <row r="261" spans="1:48" ht="38.25" customHeight="1" x14ac:dyDescent="0.25">
      <c r="A261" s="60">
        <v>19</v>
      </c>
      <c r="B261" s="9" t="s">
        <v>634</v>
      </c>
      <c r="C261" s="61" t="s">
        <v>112</v>
      </c>
      <c r="D261" s="61"/>
      <c r="E261" s="61" t="s">
        <v>290</v>
      </c>
      <c r="F261" s="61"/>
      <c r="G261" s="62">
        <v>1500</v>
      </c>
      <c r="H261" s="80">
        <f>G261</f>
        <v>1500</v>
      </c>
      <c r="I261" s="63"/>
      <c r="J261" s="63"/>
      <c r="K261" s="63"/>
      <c r="L261" s="63"/>
      <c r="M261" s="68">
        <f>N261</f>
        <v>1500</v>
      </c>
      <c r="N261" s="63">
        <v>1500</v>
      </c>
      <c r="O261" s="68">
        <f>P261</f>
        <v>1500</v>
      </c>
      <c r="P261" s="63">
        <v>1500</v>
      </c>
      <c r="Q261" s="54">
        <f t="shared" si="344"/>
        <v>0</v>
      </c>
      <c r="R261" s="54"/>
      <c r="S261" s="68">
        <f>T261</f>
        <v>1500</v>
      </c>
      <c r="T261" s="63">
        <v>1500</v>
      </c>
      <c r="U261" s="53"/>
      <c r="V261" s="53"/>
      <c r="W261" s="53"/>
      <c r="X261" s="53"/>
      <c r="Y261" s="53"/>
      <c r="Z261" s="53"/>
      <c r="AA261" s="63">
        <f t="shared" si="347"/>
        <v>0</v>
      </c>
      <c r="AB261" s="63">
        <f t="shared" si="347"/>
        <v>0</v>
      </c>
      <c r="AC261" s="63">
        <f t="shared" si="348"/>
        <v>1500</v>
      </c>
      <c r="AD261" s="63">
        <f t="shared" si="348"/>
        <v>1500</v>
      </c>
      <c r="AE261" s="63">
        <f t="shared" si="349"/>
        <v>1500</v>
      </c>
      <c r="AF261" s="63">
        <f t="shared" si="350"/>
        <v>1500</v>
      </c>
      <c r="AG261" s="53"/>
      <c r="AH261" s="53"/>
      <c r="AI261" s="69"/>
      <c r="AJ261" s="19">
        <f t="shared" si="279"/>
        <v>0</v>
      </c>
      <c r="AK261" s="22">
        <f t="shared" si="351"/>
        <v>0</v>
      </c>
      <c r="AL261" s="22"/>
      <c r="AM261" s="12">
        <f t="shared" si="352"/>
        <v>1</v>
      </c>
      <c r="AO261" s="12">
        <f t="shared" si="360"/>
        <v>0</v>
      </c>
      <c r="AP261" s="12">
        <f t="shared" si="361"/>
        <v>0</v>
      </c>
      <c r="AQ261" s="12">
        <f t="shared" si="354"/>
        <v>0</v>
      </c>
      <c r="AR261" s="12">
        <f t="shared" si="275"/>
        <v>0</v>
      </c>
      <c r="AS261" s="12">
        <f t="shared" si="355"/>
        <v>0</v>
      </c>
      <c r="AT261" s="12">
        <f t="shared" si="300"/>
        <v>0</v>
      </c>
      <c r="AU261" s="12">
        <f t="shared" si="366"/>
        <v>0</v>
      </c>
      <c r="AV261" s="12">
        <f t="shared" si="363"/>
        <v>0</v>
      </c>
    </row>
    <row r="262" spans="1:48" ht="38.25" customHeight="1" x14ac:dyDescent="0.25">
      <c r="A262" s="60">
        <v>20</v>
      </c>
      <c r="B262" s="9" t="s">
        <v>635</v>
      </c>
      <c r="C262" s="61" t="s">
        <v>99</v>
      </c>
      <c r="D262" s="61"/>
      <c r="E262" s="61" t="s">
        <v>290</v>
      </c>
      <c r="F262" s="61"/>
      <c r="G262" s="62">
        <v>8000</v>
      </c>
      <c r="H262" s="80">
        <f>G262</f>
        <v>8000</v>
      </c>
      <c r="I262" s="63"/>
      <c r="J262" s="63"/>
      <c r="K262" s="63"/>
      <c r="L262" s="63"/>
      <c r="M262" s="68">
        <f>N262</f>
        <v>8000</v>
      </c>
      <c r="N262" s="63">
        <v>8000</v>
      </c>
      <c r="O262" s="68">
        <f>P262</f>
        <v>8000</v>
      </c>
      <c r="P262" s="63">
        <v>8000</v>
      </c>
      <c r="Q262" s="54">
        <f t="shared" si="344"/>
        <v>0</v>
      </c>
      <c r="R262" s="54"/>
      <c r="S262" s="68">
        <f>T262</f>
        <v>8000</v>
      </c>
      <c r="T262" s="63">
        <v>8000</v>
      </c>
      <c r="U262" s="58"/>
      <c r="V262" s="58"/>
      <c r="W262" s="58"/>
      <c r="X262" s="58"/>
      <c r="Y262" s="58"/>
      <c r="Z262" s="58"/>
      <c r="AA262" s="63">
        <f t="shared" si="347"/>
        <v>0</v>
      </c>
      <c r="AB262" s="63">
        <f t="shared" si="347"/>
        <v>0</v>
      </c>
      <c r="AC262" s="63">
        <f t="shared" si="348"/>
        <v>8000</v>
      </c>
      <c r="AD262" s="63">
        <f t="shared" si="348"/>
        <v>8000</v>
      </c>
      <c r="AE262" s="63">
        <f t="shared" si="349"/>
        <v>8000</v>
      </c>
      <c r="AF262" s="63">
        <f t="shared" si="350"/>
        <v>8000</v>
      </c>
      <c r="AG262" s="58"/>
      <c r="AH262" s="58"/>
      <c r="AI262" s="69"/>
      <c r="AJ262" s="19">
        <f t="shared" si="279"/>
        <v>0</v>
      </c>
      <c r="AK262" s="22">
        <f t="shared" si="351"/>
        <v>0</v>
      </c>
      <c r="AL262" s="22"/>
      <c r="AM262" s="12">
        <f t="shared" si="352"/>
        <v>1</v>
      </c>
      <c r="AO262" s="12">
        <f t="shared" si="360"/>
        <v>0</v>
      </c>
      <c r="AP262" s="12">
        <f t="shared" si="361"/>
        <v>0</v>
      </c>
      <c r="AQ262" s="12">
        <f t="shared" si="354"/>
        <v>0</v>
      </c>
      <c r="AR262" s="12">
        <f t="shared" si="275"/>
        <v>0</v>
      </c>
      <c r="AS262" s="12">
        <f t="shared" si="355"/>
        <v>0</v>
      </c>
      <c r="AT262" s="12">
        <f t="shared" si="300"/>
        <v>0</v>
      </c>
      <c r="AU262" s="12">
        <f t="shared" si="366"/>
        <v>0</v>
      </c>
      <c r="AV262" s="12">
        <f t="shared" si="363"/>
        <v>0</v>
      </c>
    </row>
    <row r="263" spans="1:48" ht="38.25" customHeight="1" x14ac:dyDescent="0.25">
      <c r="A263" s="60">
        <v>21</v>
      </c>
      <c r="B263" s="9" t="s">
        <v>636</v>
      </c>
      <c r="C263" s="61" t="s">
        <v>58</v>
      </c>
      <c r="D263" s="61"/>
      <c r="E263" s="61" t="s">
        <v>290</v>
      </c>
      <c r="F263" s="61"/>
      <c r="G263" s="62">
        <v>6955</v>
      </c>
      <c r="H263" s="80">
        <f>G263</f>
        <v>6955</v>
      </c>
      <c r="I263" s="63"/>
      <c r="J263" s="63"/>
      <c r="K263" s="63"/>
      <c r="L263" s="63"/>
      <c r="M263" s="68">
        <f>N263</f>
        <v>6000</v>
      </c>
      <c r="N263" s="63">
        <v>6000</v>
      </c>
      <c r="O263" s="68">
        <f>P263</f>
        <v>6000</v>
      </c>
      <c r="P263" s="63">
        <v>6000</v>
      </c>
      <c r="Q263" s="54">
        <f t="shared" si="344"/>
        <v>0</v>
      </c>
      <c r="R263" s="54"/>
      <c r="S263" s="68">
        <f>T263</f>
        <v>6000</v>
      </c>
      <c r="T263" s="63">
        <v>6000</v>
      </c>
      <c r="U263" s="63"/>
      <c r="V263" s="63"/>
      <c r="W263" s="63"/>
      <c r="X263" s="63"/>
      <c r="Y263" s="63"/>
      <c r="Z263" s="63"/>
      <c r="AA263" s="63">
        <f t="shared" si="347"/>
        <v>0</v>
      </c>
      <c r="AB263" s="63">
        <f t="shared" si="347"/>
        <v>0</v>
      </c>
      <c r="AC263" s="63">
        <f t="shared" si="348"/>
        <v>6000</v>
      </c>
      <c r="AD263" s="63">
        <f t="shared" si="348"/>
        <v>6000</v>
      </c>
      <c r="AE263" s="63">
        <f t="shared" si="349"/>
        <v>6000</v>
      </c>
      <c r="AF263" s="63">
        <f t="shared" si="350"/>
        <v>6000</v>
      </c>
      <c r="AG263" s="63"/>
      <c r="AH263" s="63"/>
      <c r="AI263" s="69"/>
      <c r="AJ263" s="19">
        <f t="shared" si="279"/>
        <v>0</v>
      </c>
      <c r="AK263" s="22">
        <f t="shared" si="351"/>
        <v>0</v>
      </c>
      <c r="AL263" s="22"/>
      <c r="AM263" s="12">
        <f t="shared" si="352"/>
        <v>1</v>
      </c>
      <c r="AO263" s="12">
        <f t="shared" si="360"/>
        <v>0</v>
      </c>
      <c r="AP263" s="12">
        <f t="shared" si="361"/>
        <v>0</v>
      </c>
      <c r="AQ263" s="12">
        <f t="shared" si="354"/>
        <v>0</v>
      </c>
      <c r="AR263" s="12">
        <f t="shared" si="275"/>
        <v>0</v>
      </c>
      <c r="AS263" s="12">
        <f t="shared" si="355"/>
        <v>0</v>
      </c>
      <c r="AT263" s="12">
        <f t="shared" si="300"/>
        <v>0</v>
      </c>
      <c r="AU263" s="12">
        <f t="shared" si="366"/>
        <v>0</v>
      </c>
      <c r="AV263" s="12">
        <f t="shared" si="363"/>
        <v>0</v>
      </c>
    </row>
    <row r="264" spans="1:48" ht="39" customHeight="1" x14ac:dyDescent="0.25">
      <c r="A264" s="60">
        <v>22</v>
      </c>
      <c r="B264" s="9" t="s">
        <v>637</v>
      </c>
      <c r="C264" s="61" t="s">
        <v>416</v>
      </c>
      <c r="D264" s="61"/>
      <c r="E264" s="61">
        <v>2020</v>
      </c>
      <c r="F264" s="61"/>
      <c r="G264" s="62">
        <v>1245</v>
      </c>
      <c r="H264" s="80">
        <f>G264</f>
        <v>1245</v>
      </c>
      <c r="I264" s="63"/>
      <c r="J264" s="63"/>
      <c r="K264" s="63"/>
      <c r="L264" s="63"/>
      <c r="M264" s="68">
        <f>N264</f>
        <v>1200</v>
      </c>
      <c r="N264" s="63">
        <v>1200</v>
      </c>
      <c r="O264" s="68">
        <f>P264</f>
        <v>1200</v>
      </c>
      <c r="P264" s="63">
        <v>1200</v>
      </c>
      <c r="Q264" s="54">
        <f t="shared" si="344"/>
        <v>0</v>
      </c>
      <c r="R264" s="54"/>
      <c r="S264" s="68">
        <f>T264</f>
        <v>1200</v>
      </c>
      <c r="T264" s="63">
        <v>1200</v>
      </c>
      <c r="U264" s="63"/>
      <c r="V264" s="63"/>
      <c r="W264" s="63"/>
      <c r="X264" s="63"/>
      <c r="Y264" s="63"/>
      <c r="Z264" s="63"/>
      <c r="AA264" s="63">
        <f t="shared" si="347"/>
        <v>0</v>
      </c>
      <c r="AB264" s="63">
        <f t="shared" si="347"/>
        <v>0</v>
      </c>
      <c r="AC264" s="63">
        <f t="shared" si="348"/>
        <v>1200</v>
      </c>
      <c r="AD264" s="63">
        <f t="shared" si="348"/>
        <v>1200</v>
      </c>
      <c r="AE264" s="63">
        <f t="shared" si="349"/>
        <v>1200</v>
      </c>
      <c r="AF264" s="63">
        <f t="shared" si="350"/>
        <v>1200</v>
      </c>
      <c r="AG264" s="63"/>
      <c r="AH264" s="63"/>
      <c r="AI264" s="69"/>
      <c r="AJ264" s="19">
        <f t="shared" si="279"/>
        <v>0</v>
      </c>
      <c r="AK264" s="22">
        <f t="shared" si="351"/>
        <v>0</v>
      </c>
      <c r="AL264" s="22"/>
      <c r="AM264" s="12">
        <f t="shared" si="352"/>
        <v>1</v>
      </c>
      <c r="AO264" s="12">
        <f t="shared" si="360"/>
        <v>0</v>
      </c>
      <c r="AP264" s="12">
        <f t="shared" si="361"/>
        <v>0</v>
      </c>
      <c r="AQ264" s="12">
        <f t="shared" si="354"/>
        <v>0</v>
      </c>
      <c r="AR264" s="12">
        <f t="shared" si="275"/>
        <v>0</v>
      </c>
      <c r="AS264" s="12">
        <f t="shared" si="355"/>
        <v>0</v>
      </c>
      <c r="AT264" s="12">
        <f t="shared" si="300"/>
        <v>0</v>
      </c>
      <c r="AU264" s="12">
        <f t="shared" si="366"/>
        <v>0</v>
      </c>
      <c r="AV264" s="12">
        <f t="shared" si="363"/>
        <v>0</v>
      </c>
    </row>
    <row r="265" spans="1:48" ht="66" x14ac:dyDescent="0.25">
      <c r="A265" s="60">
        <v>23</v>
      </c>
      <c r="B265" s="9" t="s">
        <v>638</v>
      </c>
      <c r="C265" s="61" t="s">
        <v>639</v>
      </c>
      <c r="D265" s="61"/>
      <c r="E265" s="61" t="s">
        <v>290</v>
      </c>
      <c r="F265" s="61"/>
      <c r="G265" s="62">
        <v>24000</v>
      </c>
      <c r="H265" s="80">
        <v>5000</v>
      </c>
      <c r="I265" s="63"/>
      <c r="J265" s="63"/>
      <c r="K265" s="63"/>
      <c r="L265" s="63"/>
      <c r="M265" s="68">
        <v>24000</v>
      </c>
      <c r="N265" s="63">
        <v>5000</v>
      </c>
      <c r="O265" s="68">
        <v>24000</v>
      </c>
      <c r="P265" s="63">
        <v>5000</v>
      </c>
      <c r="Q265" s="54">
        <f t="shared" si="344"/>
        <v>0</v>
      </c>
      <c r="R265" s="54"/>
      <c r="S265" s="68">
        <v>24000</v>
      </c>
      <c r="T265" s="63">
        <v>5000</v>
      </c>
      <c r="U265" s="63"/>
      <c r="V265" s="63"/>
      <c r="W265" s="63"/>
      <c r="X265" s="63"/>
      <c r="Y265" s="63"/>
      <c r="Z265" s="63"/>
      <c r="AA265" s="63">
        <f t="shared" si="347"/>
        <v>0</v>
      </c>
      <c r="AB265" s="63">
        <f t="shared" si="347"/>
        <v>0</v>
      </c>
      <c r="AC265" s="63">
        <f t="shared" si="348"/>
        <v>24000</v>
      </c>
      <c r="AD265" s="63">
        <f t="shared" si="348"/>
        <v>5000</v>
      </c>
      <c r="AE265" s="63">
        <f t="shared" si="349"/>
        <v>5000</v>
      </c>
      <c r="AF265" s="63">
        <f t="shared" si="350"/>
        <v>5000</v>
      </c>
      <c r="AG265" s="63"/>
      <c r="AH265" s="63"/>
      <c r="AI265" s="69"/>
      <c r="AJ265" s="19">
        <f t="shared" si="279"/>
        <v>0</v>
      </c>
      <c r="AK265" s="22">
        <f t="shared" si="351"/>
        <v>0</v>
      </c>
      <c r="AL265" s="22"/>
      <c r="AM265" s="12">
        <f t="shared" si="352"/>
        <v>1</v>
      </c>
      <c r="AO265" s="12">
        <f t="shared" si="360"/>
        <v>0</v>
      </c>
      <c r="AP265" s="12">
        <f t="shared" si="361"/>
        <v>0</v>
      </c>
      <c r="AQ265" s="12">
        <f t="shared" si="354"/>
        <v>0</v>
      </c>
      <c r="AR265" s="12">
        <f t="shared" si="275"/>
        <v>0</v>
      </c>
      <c r="AS265" s="12">
        <f t="shared" si="355"/>
        <v>0</v>
      </c>
      <c r="AT265" s="12">
        <f t="shared" si="300"/>
        <v>0</v>
      </c>
      <c r="AU265" s="12">
        <f t="shared" si="366"/>
        <v>0</v>
      </c>
      <c r="AV265" s="12">
        <f t="shared" si="363"/>
        <v>0</v>
      </c>
    </row>
    <row r="266" spans="1:48" ht="108.75" customHeight="1" x14ac:dyDescent="0.25">
      <c r="A266" s="60">
        <v>24</v>
      </c>
      <c r="B266" s="9" t="s">
        <v>640</v>
      </c>
      <c r="C266" s="61" t="s">
        <v>416</v>
      </c>
      <c r="D266" s="61"/>
      <c r="E266" s="61" t="s">
        <v>116</v>
      </c>
      <c r="F266" s="61"/>
      <c r="G266" s="62">
        <v>2500</v>
      </c>
      <c r="H266" s="80">
        <v>2500</v>
      </c>
      <c r="I266" s="63"/>
      <c r="J266" s="63"/>
      <c r="K266" s="63"/>
      <c r="L266" s="63"/>
      <c r="M266" s="68"/>
      <c r="N266" s="63"/>
      <c r="O266" s="68">
        <f>P266</f>
        <v>2500</v>
      </c>
      <c r="P266" s="63">
        <v>2500</v>
      </c>
      <c r="Q266" s="54">
        <f t="shared" si="344"/>
        <v>2500</v>
      </c>
      <c r="R266" s="54"/>
      <c r="S266" s="68">
        <f>T266</f>
        <v>2500</v>
      </c>
      <c r="T266" s="63">
        <v>2500</v>
      </c>
      <c r="U266" s="63"/>
      <c r="V266" s="63"/>
      <c r="W266" s="63"/>
      <c r="X266" s="63"/>
      <c r="Y266" s="63"/>
      <c r="Z266" s="63"/>
      <c r="AA266" s="63">
        <f t="shared" si="347"/>
        <v>0</v>
      </c>
      <c r="AB266" s="63">
        <f t="shared" si="347"/>
        <v>0</v>
      </c>
      <c r="AC266" s="63">
        <f t="shared" si="348"/>
        <v>2500</v>
      </c>
      <c r="AD266" s="63">
        <f t="shared" si="348"/>
        <v>2500</v>
      </c>
      <c r="AE266" s="63">
        <f t="shared" si="349"/>
        <v>2500</v>
      </c>
      <c r="AF266" s="63">
        <f t="shared" si="350"/>
        <v>2500</v>
      </c>
      <c r="AG266" s="63"/>
      <c r="AH266" s="63"/>
      <c r="AI266" s="25" t="s">
        <v>641</v>
      </c>
      <c r="AJ266" s="19">
        <f t="shared" si="279"/>
        <v>1</v>
      </c>
      <c r="AK266" s="22">
        <f t="shared" si="351"/>
        <v>1</v>
      </c>
      <c r="AL266" s="22"/>
      <c r="AM266" s="12">
        <f t="shared" si="352"/>
        <v>0</v>
      </c>
      <c r="AO266" s="12">
        <f t="shared" si="360"/>
        <v>0</v>
      </c>
      <c r="AP266" s="12">
        <f t="shared" si="361"/>
        <v>0</v>
      </c>
      <c r="AQ266" s="12">
        <f t="shared" si="354"/>
        <v>1</v>
      </c>
      <c r="AR266" s="12">
        <f t="shared" si="275"/>
        <v>2500</v>
      </c>
      <c r="AU266" s="12">
        <f t="shared" si="366"/>
        <v>0</v>
      </c>
      <c r="AV266" s="12">
        <f t="shared" si="363"/>
        <v>0</v>
      </c>
    </row>
    <row r="267" spans="1:48" ht="49.5" x14ac:dyDescent="0.25">
      <c r="A267" s="60">
        <v>25</v>
      </c>
      <c r="B267" s="9" t="s">
        <v>642</v>
      </c>
      <c r="C267" s="61" t="s">
        <v>416</v>
      </c>
      <c r="D267" s="61"/>
      <c r="E267" s="61" t="s">
        <v>116</v>
      </c>
      <c r="F267" s="61"/>
      <c r="G267" s="62">
        <f>H267</f>
        <v>6000</v>
      </c>
      <c r="H267" s="62">
        <v>6000</v>
      </c>
      <c r="I267" s="63"/>
      <c r="J267" s="63"/>
      <c r="K267" s="63"/>
      <c r="L267" s="63"/>
      <c r="M267" s="68"/>
      <c r="N267" s="63"/>
      <c r="O267" s="68">
        <f>P267</f>
        <v>6000</v>
      </c>
      <c r="P267" s="63">
        <f>H267</f>
        <v>6000</v>
      </c>
      <c r="Q267" s="54">
        <f t="shared" si="344"/>
        <v>6000</v>
      </c>
      <c r="R267" s="54"/>
      <c r="S267" s="68">
        <f>T267</f>
        <v>6000</v>
      </c>
      <c r="T267" s="63">
        <v>6000</v>
      </c>
      <c r="U267" s="58"/>
      <c r="V267" s="58"/>
      <c r="W267" s="58"/>
      <c r="X267" s="58"/>
      <c r="Y267" s="58"/>
      <c r="Z267" s="58"/>
      <c r="AA267" s="63">
        <f t="shared" si="347"/>
        <v>0</v>
      </c>
      <c r="AB267" s="63">
        <f t="shared" si="347"/>
        <v>0</v>
      </c>
      <c r="AC267" s="63">
        <f t="shared" si="348"/>
        <v>6000</v>
      </c>
      <c r="AD267" s="63">
        <f t="shared" si="348"/>
        <v>6000</v>
      </c>
      <c r="AE267" s="63">
        <f t="shared" si="349"/>
        <v>6000</v>
      </c>
      <c r="AF267" s="63">
        <f t="shared" si="350"/>
        <v>6000</v>
      </c>
      <c r="AG267" s="58"/>
      <c r="AH267" s="58"/>
      <c r="AI267" s="121" t="s">
        <v>84</v>
      </c>
      <c r="AJ267" s="19">
        <f t="shared" si="279"/>
        <v>1</v>
      </c>
      <c r="AK267" s="22">
        <f t="shared" si="351"/>
        <v>1</v>
      </c>
      <c r="AL267" s="22"/>
      <c r="AM267" s="12">
        <f t="shared" si="352"/>
        <v>0</v>
      </c>
      <c r="AO267" s="12">
        <f t="shared" si="360"/>
        <v>0</v>
      </c>
      <c r="AP267" s="12">
        <f t="shared" si="361"/>
        <v>0</v>
      </c>
      <c r="AQ267" s="12">
        <f t="shared" si="354"/>
        <v>1</v>
      </c>
      <c r="AR267" s="12">
        <f t="shared" ref="AR267:AR330" si="369">IF(AQ267=1,P267,0)</f>
        <v>6000</v>
      </c>
      <c r="AU267" s="12">
        <f t="shared" si="366"/>
        <v>0</v>
      </c>
      <c r="AV267" s="12">
        <f t="shared" si="363"/>
        <v>0</v>
      </c>
    </row>
    <row r="268" spans="1:48" ht="67.5" customHeight="1" x14ac:dyDescent="0.25">
      <c r="A268" s="60">
        <v>26</v>
      </c>
      <c r="B268" s="9" t="s">
        <v>643</v>
      </c>
      <c r="C268" s="61" t="s">
        <v>416</v>
      </c>
      <c r="D268" s="61"/>
      <c r="E268" s="61" t="s">
        <v>116</v>
      </c>
      <c r="F268" s="61"/>
      <c r="G268" s="62">
        <v>40000</v>
      </c>
      <c r="H268" s="62">
        <v>8000</v>
      </c>
      <c r="I268" s="63"/>
      <c r="J268" s="63"/>
      <c r="K268" s="63"/>
      <c r="L268" s="63"/>
      <c r="M268" s="68"/>
      <c r="N268" s="63"/>
      <c r="O268" s="68">
        <v>40000</v>
      </c>
      <c r="P268" s="63">
        <f>H268</f>
        <v>8000</v>
      </c>
      <c r="Q268" s="54">
        <f t="shared" si="344"/>
        <v>0</v>
      </c>
      <c r="R268" s="54"/>
      <c r="S268" s="68"/>
      <c r="T268" s="63"/>
      <c r="U268" s="58"/>
      <c r="V268" s="58"/>
      <c r="W268" s="58"/>
      <c r="X268" s="58"/>
      <c r="Y268" s="58"/>
      <c r="Z268" s="58"/>
      <c r="AA268" s="63">
        <f t="shared" si="347"/>
        <v>0</v>
      </c>
      <c r="AB268" s="63">
        <f t="shared" si="347"/>
        <v>0</v>
      </c>
      <c r="AC268" s="63">
        <f t="shared" si="348"/>
        <v>40000</v>
      </c>
      <c r="AD268" s="63">
        <f t="shared" si="348"/>
        <v>8000</v>
      </c>
      <c r="AE268" s="63">
        <f t="shared" si="349"/>
        <v>8000</v>
      </c>
      <c r="AF268" s="63">
        <f t="shared" si="350"/>
        <v>8000</v>
      </c>
      <c r="AG268" s="58"/>
      <c r="AH268" s="58"/>
      <c r="AI268" s="25" t="s">
        <v>2132</v>
      </c>
      <c r="AJ268" s="19">
        <f t="shared" si="279"/>
        <v>0</v>
      </c>
      <c r="AK268" s="22">
        <f t="shared" si="351"/>
        <v>0</v>
      </c>
      <c r="AL268" s="22"/>
      <c r="AM268" s="12">
        <f t="shared" si="352"/>
        <v>1</v>
      </c>
      <c r="AO268" s="12">
        <f t="shared" si="360"/>
        <v>0</v>
      </c>
      <c r="AP268" s="12">
        <f t="shared" si="361"/>
        <v>0</v>
      </c>
      <c r="AQ268" s="12">
        <f t="shared" si="354"/>
        <v>1</v>
      </c>
      <c r="AR268" s="12">
        <f t="shared" si="369"/>
        <v>8000</v>
      </c>
      <c r="AU268" s="12">
        <f t="shared" si="366"/>
        <v>0</v>
      </c>
      <c r="AV268" s="12">
        <f t="shared" si="363"/>
        <v>0</v>
      </c>
    </row>
    <row r="269" spans="1:48" s="49" customFormat="1" ht="34.5" x14ac:dyDescent="0.25">
      <c r="A269" s="43" t="s">
        <v>47</v>
      </c>
      <c r="B269" s="44" t="s">
        <v>138</v>
      </c>
      <c r="C269" s="72"/>
      <c r="D269" s="72"/>
      <c r="E269" s="72"/>
      <c r="F269" s="72"/>
      <c r="G269" s="46">
        <f>SUM(G270:G280)</f>
        <v>213000</v>
      </c>
      <c r="H269" s="46">
        <f t="shared" ref="H269:T269" si="370">SUM(H270:H280)</f>
        <v>145500</v>
      </c>
      <c r="I269" s="46">
        <f t="shared" si="370"/>
        <v>0</v>
      </c>
      <c r="J269" s="46">
        <f t="shared" si="370"/>
        <v>0</v>
      </c>
      <c r="K269" s="46">
        <f t="shared" si="370"/>
        <v>0</v>
      </c>
      <c r="L269" s="46">
        <f t="shared" si="370"/>
        <v>0</v>
      </c>
      <c r="M269" s="46">
        <f t="shared" si="370"/>
        <v>60000</v>
      </c>
      <c r="N269" s="46">
        <f t="shared" si="370"/>
        <v>60000</v>
      </c>
      <c r="O269" s="46">
        <f t="shared" si="370"/>
        <v>60000</v>
      </c>
      <c r="P269" s="46">
        <f t="shared" si="370"/>
        <v>60000</v>
      </c>
      <c r="Q269" s="46">
        <f t="shared" si="370"/>
        <v>0</v>
      </c>
      <c r="R269" s="46">
        <f t="shared" si="370"/>
        <v>4000</v>
      </c>
      <c r="S269" s="46">
        <f t="shared" si="370"/>
        <v>56000</v>
      </c>
      <c r="T269" s="46">
        <f t="shared" si="370"/>
        <v>56000</v>
      </c>
      <c r="U269" s="46"/>
      <c r="V269" s="46"/>
      <c r="W269" s="46"/>
      <c r="X269" s="46"/>
      <c r="Y269" s="46"/>
      <c r="Z269" s="46"/>
      <c r="AA269" s="46"/>
      <c r="AB269" s="46"/>
      <c r="AC269" s="119">
        <f t="shared" ref="AC269:AH269" si="371">SUM(AC270:AC280)</f>
        <v>60000</v>
      </c>
      <c r="AD269" s="119">
        <f t="shared" si="371"/>
        <v>60000</v>
      </c>
      <c r="AE269" s="119">
        <f t="shared" si="371"/>
        <v>60000</v>
      </c>
      <c r="AF269" s="119">
        <f t="shared" si="371"/>
        <v>60000</v>
      </c>
      <c r="AG269" s="119">
        <f t="shared" si="371"/>
        <v>75000</v>
      </c>
      <c r="AH269" s="119">
        <f t="shared" si="371"/>
        <v>75000</v>
      </c>
      <c r="AI269" s="73"/>
      <c r="AJ269" s="19">
        <f t="shared" si="279"/>
        <v>1</v>
      </c>
      <c r="AK269" s="22"/>
      <c r="AL269" s="22"/>
      <c r="AM269" s="12"/>
      <c r="AN269" s="12"/>
      <c r="AO269" s="12"/>
      <c r="AP269" s="12">
        <f t="shared" si="361"/>
        <v>0</v>
      </c>
      <c r="AQ269" s="12"/>
      <c r="AR269" s="12">
        <f t="shared" si="369"/>
        <v>0</v>
      </c>
      <c r="AS269" s="12"/>
      <c r="AT269" s="12">
        <f t="shared" si="300"/>
        <v>0</v>
      </c>
      <c r="AU269" s="12"/>
      <c r="AV269" s="12">
        <f t="shared" si="363"/>
        <v>0</v>
      </c>
    </row>
    <row r="270" spans="1:48" ht="33" x14ac:dyDescent="0.25">
      <c r="A270" s="60">
        <v>27</v>
      </c>
      <c r="B270" s="9" t="s">
        <v>644</v>
      </c>
      <c r="C270" s="61" t="s">
        <v>146</v>
      </c>
      <c r="D270" s="61"/>
      <c r="E270" s="61" t="s">
        <v>141</v>
      </c>
      <c r="F270" s="61"/>
      <c r="G270" s="62">
        <v>20000</v>
      </c>
      <c r="H270" s="80">
        <f>G270</f>
        <v>20000</v>
      </c>
      <c r="I270" s="63"/>
      <c r="J270" s="63"/>
      <c r="K270" s="63"/>
      <c r="L270" s="63"/>
      <c r="M270" s="68">
        <f>N270</f>
        <v>10000</v>
      </c>
      <c r="N270" s="63">
        <v>10000</v>
      </c>
      <c r="O270" s="68">
        <f>P270</f>
        <v>10000</v>
      </c>
      <c r="P270" s="63">
        <v>10000</v>
      </c>
      <c r="Q270" s="54">
        <f t="shared" si="344"/>
        <v>0</v>
      </c>
      <c r="R270" s="54"/>
      <c r="S270" s="68">
        <f>T270</f>
        <v>10000</v>
      </c>
      <c r="T270" s="63">
        <v>10000</v>
      </c>
      <c r="U270" s="63"/>
      <c r="V270" s="63"/>
      <c r="W270" s="63"/>
      <c r="X270" s="63"/>
      <c r="Y270" s="63"/>
      <c r="Z270" s="63"/>
      <c r="AA270" s="63">
        <f t="shared" ref="AA270:AB280" si="372">U270+W270+Y270</f>
        <v>0</v>
      </c>
      <c r="AB270" s="63">
        <f t="shared" si="372"/>
        <v>0</v>
      </c>
      <c r="AC270" s="63">
        <f t="shared" ref="AC270:AD280" si="373">O270-AA270</f>
        <v>10000</v>
      </c>
      <c r="AD270" s="63">
        <f t="shared" si="373"/>
        <v>10000</v>
      </c>
      <c r="AE270" s="63">
        <f t="shared" si="349"/>
        <v>10000</v>
      </c>
      <c r="AF270" s="63">
        <f t="shared" ref="AF270:AF280" si="374">IF(AB270=0,AD270,0)</f>
        <v>10000</v>
      </c>
      <c r="AG270" s="54">
        <f t="shared" ref="AG270:AH271" si="375">G270*0.9-O270</f>
        <v>8000</v>
      </c>
      <c r="AH270" s="54">
        <f t="shared" si="375"/>
        <v>8000</v>
      </c>
      <c r="AI270" s="69"/>
      <c r="AJ270" s="19">
        <f t="shared" si="279"/>
        <v>0</v>
      </c>
      <c r="AK270" s="22">
        <f t="shared" si="351"/>
        <v>0</v>
      </c>
      <c r="AL270" s="22"/>
      <c r="AM270" s="12">
        <f t="shared" ref="AM270:AM280" si="376">IF(AJ270=0,1,0)</f>
        <v>1</v>
      </c>
      <c r="AO270" s="12">
        <f t="shared" ref="AO270:AO280" si="377">IF(P270=0,1,0)</f>
        <v>0</v>
      </c>
      <c r="AP270" s="12">
        <f t="shared" si="361"/>
        <v>0</v>
      </c>
      <c r="AQ270" s="12">
        <f t="shared" ref="AQ270:AQ280" si="378">IF(N270=0,1,0)</f>
        <v>0</v>
      </c>
      <c r="AR270" s="12">
        <f t="shared" si="369"/>
        <v>0</v>
      </c>
      <c r="AS270" s="12">
        <f t="shared" ref="AS270:AS280" si="379">IF(Q270=0,0,1)</f>
        <v>0</v>
      </c>
      <c r="AT270" s="12">
        <f t="shared" si="300"/>
        <v>0</v>
      </c>
      <c r="AU270" s="12">
        <f t="shared" ref="AU270:AU280" si="380">IF(R270=0,0,1)</f>
        <v>0</v>
      </c>
      <c r="AV270" s="12">
        <f t="shared" si="363"/>
        <v>0</v>
      </c>
    </row>
    <row r="271" spans="1:48" ht="26.25" customHeight="1" x14ac:dyDescent="0.25">
      <c r="A271" s="152">
        <v>28</v>
      </c>
      <c r="B271" s="153" t="s">
        <v>645</v>
      </c>
      <c r="C271" s="61" t="s">
        <v>416</v>
      </c>
      <c r="D271" s="61"/>
      <c r="E271" s="61" t="s">
        <v>165</v>
      </c>
      <c r="F271" s="61"/>
      <c r="G271" s="62">
        <v>80000</v>
      </c>
      <c r="H271" s="80">
        <f>G271</f>
        <v>80000</v>
      </c>
      <c r="I271" s="63"/>
      <c r="J271" s="63"/>
      <c r="K271" s="63"/>
      <c r="L271" s="63"/>
      <c r="M271" s="68">
        <f>N271</f>
        <v>5000</v>
      </c>
      <c r="N271" s="63">
        <v>5000</v>
      </c>
      <c r="O271" s="68">
        <f>P271</f>
        <v>5000</v>
      </c>
      <c r="P271" s="63">
        <v>5000</v>
      </c>
      <c r="Q271" s="54"/>
      <c r="R271" s="5">
        <f t="shared" ref="R271" si="381">N271-T271</f>
        <v>4000</v>
      </c>
      <c r="S271" s="4">
        <f>T271</f>
        <v>1000</v>
      </c>
      <c r="T271" s="3">
        <v>1000</v>
      </c>
      <c r="U271" s="63"/>
      <c r="V271" s="63"/>
      <c r="W271" s="63"/>
      <c r="X271" s="63"/>
      <c r="Y271" s="63"/>
      <c r="Z271" s="63"/>
      <c r="AA271" s="63">
        <f t="shared" si="372"/>
        <v>0</v>
      </c>
      <c r="AB271" s="63">
        <f t="shared" si="372"/>
        <v>0</v>
      </c>
      <c r="AC271" s="63">
        <f t="shared" si="373"/>
        <v>5000</v>
      </c>
      <c r="AD271" s="63">
        <f t="shared" si="373"/>
        <v>5000</v>
      </c>
      <c r="AE271" s="63">
        <f t="shared" si="349"/>
        <v>5000</v>
      </c>
      <c r="AF271" s="63">
        <f t="shared" si="374"/>
        <v>5000</v>
      </c>
      <c r="AG271" s="54">
        <f t="shared" si="375"/>
        <v>67000</v>
      </c>
      <c r="AH271" s="54">
        <f t="shared" si="375"/>
        <v>67000</v>
      </c>
      <c r="AI271" s="69"/>
      <c r="AJ271" s="19">
        <f t="shared" si="279"/>
        <v>1</v>
      </c>
      <c r="AK271" s="22">
        <f t="shared" si="351"/>
        <v>1</v>
      </c>
      <c r="AL271" s="22"/>
      <c r="AM271" s="12">
        <f t="shared" si="376"/>
        <v>0</v>
      </c>
      <c r="AO271" s="12">
        <f t="shared" si="377"/>
        <v>0</v>
      </c>
      <c r="AP271" s="12">
        <f t="shared" si="361"/>
        <v>0</v>
      </c>
      <c r="AQ271" s="12">
        <f t="shared" si="378"/>
        <v>0</v>
      </c>
      <c r="AR271" s="12">
        <f t="shared" si="369"/>
        <v>0</v>
      </c>
      <c r="AS271" s="12">
        <f t="shared" si="379"/>
        <v>0</v>
      </c>
      <c r="AT271" s="12">
        <f t="shared" si="300"/>
        <v>0</v>
      </c>
      <c r="AU271" s="12">
        <f t="shared" si="380"/>
        <v>1</v>
      </c>
      <c r="AV271" s="12">
        <f t="shared" si="363"/>
        <v>4000</v>
      </c>
    </row>
    <row r="272" spans="1:48" ht="33" x14ac:dyDescent="0.25">
      <c r="A272" s="60">
        <v>29</v>
      </c>
      <c r="B272" s="9" t="s">
        <v>646</v>
      </c>
      <c r="C272" s="61" t="s">
        <v>647</v>
      </c>
      <c r="D272" s="61"/>
      <c r="E272" s="61" t="s">
        <v>168</v>
      </c>
      <c r="F272" s="61"/>
      <c r="G272" s="62">
        <f>H272</f>
        <v>5500</v>
      </c>
      <c r="H272" s="80">
        <v>5500</v>
      </c>
      <c r="I272" s="63"/>
      <c r="J272" s="63"/>
      <c r="K272" s="63"/>
      <c r="L272" s="63"/>
      <c r="M272" s="68">
        <f t="shared" si="342"/>
        <v>5000</v>
      </c>
      <c r="N272" s="63">
        <v>5000</v>
      </c>
      <c r="O272" s="68">
        <f t="shared" ref="O272:O280" si="382">P272</f>
        <v>5000</v>
      </c>
      <c r="P272" s="63">
        <v>5000</v>
      </c>
      <c r="Q272" s="54">
        <f t="shared" si="344"/>
        <v>0</v>
      </c>
      <c r="R272" s="54"/>
      <c r="S272" s="68">
        <f t="shared" ref="S272:S280" si="383">T272</f>
        <v>5000</v>
      </c>
      <c r="T272" s="63">
        <v>5000</v>
      </c>
      <c r="U272" s="63"/>
      <c r="V272" s="63"/>
      <c r="W272" s="63"/>
      <c r="X272" s="63"/>
      <c r="Y272" s="63"/>
      <c r="Z272" s="63"/>
      <c r="AA272" s="63">
        <f t="shared" si="372"/>
        <v>0</v>
      </c>
      <c r="AB272" s="63">
        <f t="shared" si="372"/>
        <v>0</v>
      </c>
      <c r="AC272" s="63">
        <f t="shared" si="373"/>
        <v>5000</v>
      </c>
      <c r="AD272" s="63">
        <f t="shared" si="373"/>
        <v>5000</v>
      </c>
      <c r="AE272" s="63">
        <f t="shared" si="349"/>
        <v>5000</v>
      </c>
      <c r="AF272" s="63">
        <f t="shared" si="374"/>
        <v>5000</v>
      </c>
      <c r="AG272" s="63"/>
      <c r="AH272" s="63"/>
      <c r="AI272" s="69"/>
      <c r="AJ272" s="19">
        <f t="shared" si="279"/>
        <v>0</v>
      </c>
      <c r="AK272" s="22">
        <f t="shared" si="351"/>
        <v>0</v>
      </c>
      <c r="AL272" s="22"/>
      <c r="AM272" s="12">
        <f t="shared" si="376"/>
        <v>1</v>
      </c>
      <c r="AO272" s="12">
        <f t="shared" si="377"/>
        <v>0</v>
      </c>
      <c r="AP272" s="12">
        <f t="shared" si="361"/>
        <v>0</v>
      </c>
      <c r="AQ272" s="12">
        <f t="shared" si="378"/>
        <v>0</v>
      </c>
      <c r="AR272" s="12">
        <f t="shared" si="369"/>
        <v>0</v>
      </c>
      <c r="AS272" s="12">
        <f t="shared" si="379"/>
        <v>0</v>
      </c>
      <c r="AT272" s="12">
        <f t="shared" si="300"/>
        <v>0</v>
      </c>
      <c r="AU272" s="12">
        <f t="shared" si="380"/>
        <v>0</v>
      </c>
      <c r="AV272" s="12">
        <f t="shared" si="363"/>
        <v>0</v>
      </c>
    </row>
    <row r="273" spans="1:48" ht="33" x14ac:dyDescent="0.25">
      <c r="A273" s="60">
        <v>30</v>
      </c>
      <c r="B273" s="9" t="s">
        <v>648</v>
      </c>
      <c r="C273" s="61" t="s">
        <v>649</v>
      </c>
      <c r="D273" s="61"/>
      <c r="E273" s="61" t="s">
        <v>168</v>
      </c>
      <c r="F273" s="61"/>
      <c r="G273" s="62">
        <v>31000</v>
      </c>
      <c r="H273" s="80">
        <v>5000</v>
      </c>
      <c r="I273" s="63"/>
      <c r="J273" s="63"/>
      <c r="K273" s="63"/>
      <c r="L273" s="63"/>
      <c r="M273" s="68">
        <f t="shared" si="342"/>
        <v>5000</v>
      </c>
      <c r="N273" s="63">
        <v>5000</v>
      </c>
      <c r="O273" s="68">
        <f t="shared" si="382"/>
        <v>5000</v>
      </c>
      <c r="P273" s="63">
        <v>5000</v>
      </c>
      <c r="Q273" s="54">
        <f t="shared" si="344"/>
        <v>0</v>
      </c>
      <c r="R273" s="54"/>
      <c r="S273" s="68">
        <f t="shared" si="383"/>
        <v>5000</v>
      </c>
      <c r="T273" s="63">
        <v>5000</v>
      </c>
      <c r="U273" s="63"/>
      <c r="V273" s="63"/>
      <c r="W273" s="63"/>
      <c r="X273" s="63"/>
      <c r="Y273" s="63"/>
      <c r="Z273" s="63"/>
      <c r="AA273" s="63">
        <f t="shared" si="372"/>
        <v>0</v>
      </c>
      <c r="AB273" s="63">
        <f t="shared" si="372"/>
        <v>0</v>
      </c>
      <c r="AC273" s="63">
        <f t="shared" si="373"/>
        <v>5000</v>
      </c>
      <c r="AD273" s="63">
        <f t="shared" si="373"/>
        <v>5000</v>
      </c>
      <c r="AE273" s="63">
        <f t="shared" si="349"/>
        <v>5000</v>
      </c>
      <c r="AF273" s="63">
        <f t="shared" si="374"/>
        <v>5000</v>
      </c>
      <c r="AG273" s="63"/>
      <c r="AH273" s="63"/>
      <c r="AI273" s="69"/>
      <c r="AJ273" s="19">
        <f t="shared" si="279"/>
        <v>0</v>
      </c>
      <c r="AK273" s="22">
        <f t="shared" si="351"/>
        <v>0</v>
      </c>
      <c r="AL273" s="22"/>
      <c r="AM273" s="12">
        <f t="shared" si="376"/>
        <v>1</v>
      </c>
      <c r="AO273" s="12">
        <f t="shared" si="377"/>
        <v>0</v>
      </c>
      <c r="AP273" s="12">
        <f t="shared" si="361"/>
        <v>0</v>
      </c>
      <c r="AQ273" s="12">
        <f t="shared" si="378"/>
        <v>0</v>
      </c>
      <c r="AR273" s="12">
        <f t="shared" si="369"/>
        <v>0</v>
      </c>
      <c r="AS273" s="12">
        <f t="shared" si="379"/>
        <v>0</v>
      </c>
      <c r="AT273" s="12">
        <f t="shared" si="300"/>
        <v>0</v>
      </c>
      <c r="AU273" s="12">
        <f t="shared" si="380"/>
        <v>0</v>
      </c>
      <c r="AV273" s="12">
        <f t="shared" si="363"/>
        <v>0</v>
      </c>
    </row>
    <row r="274" spans="1:48" ht="33" x14ac:dyDescent="0.25">
      <c r="A274" s="60">
        <v>31</v>
      </c>
      <c r="B274" s="9" t="s">
        <v>650</v>
      </c>
      <c r="C274" s="61" t="s">
        <v>651</v>
      </c>
      <c r="D274" s="61"/>
      <c r="E274" s="61" t="s">
        <v>168</v>
      </c>
      <c r="F274" s="61"/>
      <c r="G274" s="62">
        <v>15000</v>
      </c>
      <c r="H274" s="80">
        <v>5000</v>
      </c>
      <c r="I274" s="63"/>
      <c r="J274" s="63"/>
      <c r="K274" s="63"/>
      <c r="L274" s="63"/>
      <c r="M274" s="68">
        <f t="shared" si="342"/>
        <v>5000</v>
      </c>
      <c r="N274" s="63">
        <v>5000</v>
      </c>
      <c r="O274" s="68">
        <f t="shared" si="382"/>
        <v>5000</v>
      </c>
      <c r="P274" s="63">
        <v>5000</v>
      </c>
      <c r="Q274" s="54">
        <f t="shared" si="344"/>
        <v>0</v>
      </c>
      <c r="R274" s="54"/>
      <c r="S274" s="68">
        <f t="shared" si="383"/>
        <v>5000</v>
      </c>
      <c r="T274" s="63">
        <v>5000</v>
      </c>
      <c r="U274" s="63"/>
      <c r="V274" s="63"/>
      <c r="W274" s="63"/>
      <c r="X274" s="63"/>
      <c r="Y274" s="63"/>
      <c r="Z274" s="63"/>
      <c r="AA274" s="63">
        <f t="shared" si="372"/>
        <v>0</v>
      </c>
      <c r="AB274" s="63">
        <f t="shared" si="372"/>
        <v>0</v>
      </c>
      <c r="AC274" s="63">
        <f t="shared" si="373"/>
        <v>5000</v>
      </c>
      <c r="AD274" s="63">
        <f t="shared" si="373"/>
        <v>5000</v>
      </c>
      <c r="AE274" s="63">
        <f t="shared" si="349"/>
        <v>5000</v>
      </c>
      <c r="AF274" s="63">
        <f t="shared" si="374"/>
        <v>5000</v>
      </c>
      <c r="AG274" s="63"/>
      <c r="AH274" s="63"/>
      <c r="AI274" s="69"/>
      <c r="AJ274" s="19">
        <f t="shared" si="279"/>
        <v>0</v>
      </c>
      <c r="AK274" s="22">
        <f t="shared" si="351"/>
        <v>0</v>
      </c>
      <c r="AL274" s="22"/>
      <c r="AM274" s="12">
        <f t="shared" si="376"/>
        <v>1</v>
      </c>
      <c r="AO274" s="12">
        <f t="shared" si="377"/>
        <v>0</v>
      </c>
      <c r="AP274" s="12">
        <f t="shared" si="361"/>
        <v>0</v>
      </c>
      <c r="AQ274" s="12">
        <f t="shared" si="378"/>
        <v>0</v>
      </c>
      <c r="AR274" s="12">
        <f t="shared" si="369"/>
        <v>0</v>
      </c>
      <c r="AS274" s="12">
        <f t="shared" si="379"/>
        <v>0</v>
      </c>
      <c r="AT274" s="12">
        <f t="shared" si="300"/>
        <v>0</v>
      </c>
      <c r="AU274" s="12">
        <f t="shared" si="380"/>
        <v>0</v>
      </c>
      <c r="AV274" s="12">
        <f t="shared" si="363"/>
        <v>0</v>
      </c>
    </row>
    <row r="275" spans="1:48" ht="33" x14ac:dyDescent="0.25">
      <c r="A275" s="60">
        <v>32</v>
      </c>
      <c r="B275" s="9" t="s">
        <v>652</v>
      </c>
      <c r="C275" s="61" t="s">
        <v>99</v>
      </c>
      <c r="D275" s="61"/>
      <c r="E275" s="61" t="s">
        <v>168</v>
      </c>
      <c r="F275" s="61"/>
      <c r="G275" s="62">
        <v>15000</v>
      </c>
      <c r="H275" s="80">
        <v>5000</v>
      </c>
      <c r="I275" s="63"/>
      <c r="J275" s="63"/>
      <c r="K275" s="63"/>
      <c r="L275" s="63"/>
      <c r="M275" s="68">
        <f t="shared" si="342"/>
        <v>5000</v>
      </c>
      <c r="N275" s="63">
        <v>5000</v>
      </c>
      <c r="O275" s="68">
        <f t="shared" si="382"/>
        <v>5000</v>
      </c>
      <c r="P275" s="63">
        <v>5000</v>
      </c>
      <c r="Q275" s="54">
        <f t="shared" si="344"/>
        <v>0</v>
      </c>
      <c r="R275" s="54"/>
      <c r="S275" s="68">
        <f t="shared" si="383"/>
        <v>5000</v>
      </c>
      <c r="T275" s="63">
        <v>5000</v>
      </c>
      <c r="U275" s="63"/>
      <c r="V275" s="63"/>
      <c r="W275" s="63"/>
      <c r="X275" s="63"/>
      <c r="Y275" s="63"/>
      <c r="Z275" s="63"/>
      <c r="AA275" s="63">
        <f t="shared" si="372"/>
        <v>0</v>
      </c>
      <c r="AB275" s="63">
        <f t="shared" si="372"/>
        <v>0</v>
      </c>
      <c r="AC275" s="63">
        <f t="shared" si="373"/>
        <v>5000</v>
      </c>
      <c r="AD275" s="63">
        <f t="shared" si="373"/>
        <v>5000</v>
      </c>
      <c r="AE275" s="63">
        <f t="shared" si="349"/>
        <v>5000</v>
      </c>
      <c r="AF275" s="63">
        <f t="shared" si="374"/>
        <v>5000</v>
      </c>
      <c r="AG275" s="63"/>
      <c r="AH275" s="63"/>
      <c r="AI275" s="69"/>
      <c r="AJ275" s="19">
        <f t="shared" si="279"/>
        <v>0</v>
      </c>
      <c r="AK275" s="22">
        <f t="shared" si="351"/>
        <v>0</v>
      </c>
      <c r="AL275" s="22"/>
      <c r="AM275" s="12">
        <f t="shared" si="376"/>
        <v>1</v>
      </c>
      <c r="AO275" s="12">
        <f t="shared" si="377"/>
        <v>0</v>
      </c>
      <c r="AP275" s="12">
        <f t="shared" si="361"/>
        <v>0</v>
      </c>
      <c r="AQ275" s="12">
        <f t="shared" si="378"/>
        <v>0</v>
      </c>
      <c r="AR275" s="12">
        <f t="shared" si="369"/>
        <v>0</v>
      </c>
      <c r="AS275" s="12">
        <f t="shared" si="379"/>
        <v>0</v>
      </c>
      <c r="AT275" s="12">
        <f t="shared" si="300"/>
        <v>0</v>
      </c>
      <c r="AU275" s="12">
        <f t="shared" si="380"/>
        <v>0</v>
      </c>
      <c r="AV275" s="12">
        <f t="shared" si="363"/>
        <v>0</v>
      </c>
    </row>
    <row r="276" spans="1:48" ht="33" x14ac:dyDescent="0.25">
      <c r="A276" s="60">
        <v>33</v>
      </c>
      <c r="B276" s="9" t="s">
        <v>653</v>
      </c>
      <c r="C276" s="61" t="s">
        <v>112</v>
      </c>
      <c r="D276" s="61"/>
      <c r="E276" s="61" t="s">
        <v>168</v>
      </c>
      <c r="F276" s="61"/>
      <c r="G276" s="62">
        <v>6500</v>
      </c>
      <c r="H276" s="80">
        <v>5000</v>
      </c>
      <c r="I276" s="63"/>
      <c r="J276" s="63"/>
      <c r="K276" s="63"/>
      <c r="L276" s="63"/>
      <c r="M276" s="68">
        <f t="shared" si="342"/>
        <v>5000</v>
      </c>
      <c r="N276" s="63">
        <v>5000</v>
      </c>
      <c r="O276" s="68">
        <f t="shared" si="382"/>
        <v>5000</v>
      </c>
      <c r="P276" s="63">
        <v>5000</v>
      </c>
      <c r="Q276" s="54">
        <f t="shared" si="344"/>
        <v>0</v>
      </c>
      <c r="R276" s="54"/>
      <c r="S276" s="68">
        <f t="shared" si="383"/>
        <v>5000</v>
      </c>
      <c r="T276" s="63">
        <v>5000</v>
      </c>
      <c r="U276" s="63"/>
      <c r="V276" s="63"/>
      <c r="W276" s="63"/>
      <c r="X276" s="63"/>
      <c r="Y276" s="63"/>
      <c r="Z276" s="63"/>
      <c r="AA276" s="63">
        <f t="shared" si="372"/>
        <v>0</v>
      </c>
      <c r="AB276" s="63">
        <f t="shared" si="372"/>
        <v>0</v>
      </c>
      <c r="AC276" s="63">
        <f t="shared" si="373"/>
        <v>5000</v>
      </c>
      <c r="AD276" s="63">
        <f t="shared" si="373"/>
        <v>5000</v>
      </c>
      <c r="AE276" s="63">
        <f t="shared" si="349"/>
        <v>5000</v>
      </c>
      <c r="AF276" s="63">
        <f t="shared" si="374"/>
        <v>5000</v>
      </c>
      <c r="AG276" s="63"/>
      <c r="AH276" s="63"/>
      <c r="AI276" s="69"/>
      <c r="AJ276" s="19">
        <f t="shared" ref="AJ276:AJ339" si="384">IF(N276-T276=0,0,1)</f>
        <v>0</v>
      </c>
      <c r="AK276" s="22">
        <f t="shared" si="351"/>
        <v>0</v>
      </c>
      <c r="AL276" s="22"/>
      <c r="AM276" s="12">
        <f t="shared" si="376"/>
        <v>1</v>
      </c>
      <c r="AO276" s="12">
        <f t="shared" si="377"/>
        <v>0</v>
      </c>
      <c r="AP276" s="12">
        <f t="shared" si="361"/>
        <v>0</v>
      </c>
      <c r="AQ276" s="12">
        <f t="shared" si="378"/>
        <v>0</v>
      </c>
      <c r="AR276" s="12">
        <f t="shared" si="369"/>
        <v>0</v>
      </c>
      <c r="AS276" s="12">
        <f t="shared" si="379"/>
        <v>0</v>
      </c>
      <c r="AT276" s="12">
        <f t="shared" si="300"/>
        <v>0</v>
      </c>
      <c r="AU276" s="12">
        <f t="shared" si="380"/>
        <v>0</v>
      </c>
      <c r="AV276" s="12">
        <f t="shared" si="363"/>
        <v>0</v>
      </c>
    </row>
    <row r="277" spans="1:48" ht="39.75" customHeight="1" x14ac:dyDescent="0.25">
      <c r="A277" s="60">
        <v>34</v>
      </c>
      <c r="B277" s="9" t="s">
        <v>654</v>
      </c>
      <c r="C277" s="61" t="s">
        <v>205</v>
      </c>
      <c r="D277" s="61"/>
      <c r="E277" s="61" t="s">
        <v>168</v>
      </c>
      <c r="F277" s="61"/>
      <c r="G277" s="62">
        <v>10000</v>
      </c>
      <c r="H277" s="80">
        <v>5000</v>
      </c>
      <c r="I277" s="63"/>
      <c r="J277" s="63"/>
      <c r="K277" s="63"/>
      <c r="L277" s="63"/>
      <c r="M277" s="68">
        <f t="shared" si="342"/>
        <v>5000</v>
      </c>
      <c r="N277" s="63">
        <v>5000</v>
      </c>
      <c r="O277" s="68">
        <f t="shared" si="382"/>
        <v>5000</v>
      </c>
      <c r="P277" s="63">
        <v>5000</v>
      </c>
      <c r="Q277" s="54">
        <f t="shared" si="344"/>
        <v>0</v>
      </c>
      <c r="R277" s="54"/>
      <c r="S277" s="68">
        <f t="shared" si="383"/>
        <v>5000</v>
      </c>
      <c r="T277" s="63">
        <v>5000</v>
      </c>
      <c r="U277" s="63"/>
      <c r="V277" s="63"/>
      <c r="W277" s="63"/>
      <c r="X277" s="63"/>
      <c r="Y277" s="63"/>
      <c r="Z277" s="63"/>
      <c r="AA277" s="63">
        <f t="shared" si="372"/>
        <v>0</v>
      </c>
      <c r="AB277" s="63">
        <f t="shared" si="372"/>
        <v>0</v>
      </c>
      <c r="AC277" s="63">
        <f t="shared" si="373"/>
        <v>5000</v>
      </c>
      <c r="AD277" s="63">
        <f t="shared" si="373"/>
        <v>5000</v>
      </c>
      <c r="AE277" s="63">
        <f t="shared" si="349"/>
        <v>5000</v>
      </c>
      <c r="AF277" s="63">
        <f t="shared" si="374"/>
        <v>5000</v>
      </c>
      <c r="AG277" s="63"/>
      <c r="AH277" s="63"/>
      <c r="AI277" s="69"/>
      <c r="AJ277" s="19">
        <f t="shared" si="384"/>
        <v>0</v>
      </c>
      <c r="AK277" s="22">
        <f t="shared" si="351"/>
        <v>0</v>
      </c>
      <c r="AL277" s="22"/>
      <c r="AM277" s="12">
        <f t="shared" si="376"/>
        <v>1</v>
      </c>
      <c r="AO277" s="12">
        <f t="shared" si="377"/>
        <v>0</v>
      </c>
      <c r="AP277" s="12">
        <f t="shared" si="361"/>
        <v>0</v>
      </c>
      <c r="AQ277" s="12">
        <f t="shared" si="378"/>
        <v>0</v>
      </c>
      <c r="AR277" s="12">
        <f t="shared" si="369"/>
        <v>0</v>
      </c>
      <c r="AS277" s="12">
        <f t="shared" si="379"/>
        <v>0</v>
      </c>
      <c r="AT277" s="12">
        <f t="shared" si="300"/>
        <v>0</v>
      </c>
      <c r="AU277" s="12">
        <f t="shared" si="380"/>
        <v>0</v>
      </c>
      <c r="AV277" s="12">
        <f t="shared" si="363"/>
        <v>0</v>
      </c>
    </row>
    <row r="278" spans="1:48" ht="33" x14ac:dyDescent="0.25">
      <c r="A278" s="60">
        <v>35</v>
      </c>
      <c r="B278" s="9" t="s">
        <v>655</v>
      </c>
      <c r="C278" s="61" t="s">
        <v>95</v>
      </c>
      <c r="D278" s="61"/>
      <c r="E278" s="61" t="s">
        <v>168</v>
      </c>
      <c r="F278" s="61"/>
      <c r="G278" s="62">
        <v>10000</v>
      </c>
      <c r="H278" s="80">
        <v>5000</v>
      </c>
      <c r="I278" s="63"/>
      <c r="J278" s="63"/>
      <c r="K278" s="63"/>
      <c r="L278" s="63"/>
      <c r="M278" s="68">
        <f t="shared" si="342"/>
        <v>5000</v>
      </c>
      <c r="N278" s="63">
        <v>5000</v>
      </c>
      <c r="O278" s="68">
        <f t="shared" si="382"/>
        <v>5000</v>
      </c>
      <c r="P278" s="63">
        <v>5000</v>
      </c>
      <c r="Q278" s="54">
        <f t="shared" si="344"/>
        <v>0</v>
      </c>
      <c r="R278" s="54"/>
      <c r="S278" s="68">
        <f t="shared" si="383"/>
        <v>5000</v>
      </c>
      <c r="T278" s="63">
        <v>5000</v>
      </c>
      <c r="U278" s="63"/>
      <c r="V278" s="63"/>
      <c r="W278" s="63"/>
      <c r="X278" s="63"/>
      <c r="Y278" s="63"/>
      <c r="Z278" s="63"/>
      <c r="AA278" s="63">
        <f t="shared" si="372"/>
        <v>0</v>
      </c>
      <c r="AB278" s="63">
        <f t="shared" si="372"/>
        <v>0</v>
      </c>
      <c r="AC278" s="63">
        <f t="shared" si="373"/>
        <v>5000</v>
      </c>
      <c r="AD278" s="63">
        <f t="shared" si="373"/>
        <v>5000</v>
      </c>
      <c r="AE278" s="63">
        <f t="shared" si="349"/>
        <v>5000</v>
      </c>
      <c r="AF278" s="63">
        <f t="shared" si="374"/>
        <v>5000</v>
      </c>
      <c r="AG278" s="63"/>
      <c r="AH278" s="63"/>
      <c r="AI278" s="69"/>
      <c r="AJ278" s="19">
        <f t="shared" si="384"/>
        <v>0</v>
      </c>
      <c r="AK278" s="22">
        <f t="shared" si="351"/>
        <v>0</v>
      </c>
      <c r="AL278" s="22"/>
      <c r="AM278" s="12">
        <f t="shared" si="376"/>
        <v>1</v>
      </c>
      <c r="AO278" s="12">
        <f t="shared" si="377"/>
        <v>0</v>
      </c>
      <c r="AP278" s="12">
        <f t="shared" si="361"/>
        <v>0</v>
      </c>
      <c r="AQ278" s="12">
        <f t="shared" si="378"/>
        <v>0</v>
      </c>
      <c r="AR278" s="12">
        <f t="shared" si="369"/>
        <v>0</v>
      </c>
      <c r="AS278" s="12">
        <f t="shared" si="379"/>
        <v>0</v>
      </c>
      <c r="AT278" s="12">
        <f t="shared" si="300"/>
        <v>0</v>
      </c>
      <c r="AU278" s="12">
        <f t="shared" si="380"/>
        <v>0</v>
      </c>
      <c r="AV278" s="12">
        <f t="shared" si="363"/>
        <v>0</v>
      </c>
    </row>
    <row r="279" spans="1:48" ht="33" x14ac:dyDescent="0.25">
      <c r="A279" s="60">
        <v>36</v>
      </c>
      <c r="B279" s="9" t="s">
        <v>656</v>
      </c>
      <c r="C279" s="61" t="s">
        <v>146</v>
      </c>
      <c r="D279" s="61"/>
      <c r="E279" s="61" t="s">
        <v>168</v>
      </c>
      <c r="F279" s="61"/>
      <c r="G279" s="62">
        <v>10000</v>
      </c>
      <c r="H279" s="80">
        <v>5000</v>
      </c>
      <c r="I279" s="63"/>
      <c r="J279" s="63"/>
      <c r="K279" s="63"/>
      <c r="L279" s="63"/>
      <c r="M279" s="68">
        <f t="shared" si="342"/>
        <v>5000</v>
      </c>
      <c r="N279" s="63">
        <v>5000</v>
      </c>
      <c r="O279" s="68">
        <f t="shared" si="382"/>
        <v>5000</v>
      </c>
      <c r="P279" s="63">
        <v>5000</v>
      </c>
      <c r="Q279" s="54">
        <f t="shared" si="344"/>
        <v>0</v>
      </c>
      <c r="R279" s="54"/>
      <c r="S279" s="68">
        <f t="shared" si="383"/>
        <v>5000</v>
      </c>
      <c r="T279" s="63">
        <v>5000</v>
      </c>
      <c r="U279" s="63"/>
      <c r="V279" s="63"/>
      <c r="W279" s="63"/>
      <c r="X279" s="63"/>
      <c r="Y279" s="63"/>
      <c r="Z279" s="63"/>
      <c r="AA279" s="63">
        <f t="shared" si="372"/>
        <v>0</v>
      </c>
      <c r="AB279" s="63">
        <f t="shared" si="372"/>
        <v>0</v>
      </c>
      <c r="AC279" s="63">
        <f t="shared" si="373"/>
        <v>5000</v>
      </c>
      <c r="AD279" s="63">
        <f t="shared" si="373"/>
        <v>5000</v>
      </c>
      <c r="AE279" s="63">
        <f t="shared" si="349"/>
        <v>5000</v>
      </c>
      <c r="AF279" s="63">
        <f t="shared" si="374"/>
        <v>5000</v>
      </c>
      <c r="AG279" s="63"/>
      <c r="AH279" s="63"/>
      <c r="AI279" s="69"/>
      <c r="AJ279" s="19">
        <f t="shared" si="384"/>
        <v>0</v>
      </c>
      <c r="AK279" s="22">
        <f t="shared" si="351"/>
        <v>0</v>
      </c>
      <c r="AL279" s="22"/>
      <c r="AM279" s="12">
        <f t="shared" si="376"/>
        <v>1</v>
      </c>
      <c r="AO279" s="12">
        <f t="shared" si="377"/>
        <v>0</v>
      </c>
      <c r="AP279" s="12">
        <f t="shared" si="361"/>
        <v>0</v>
      </c>
      <c r="AQ279" s="12">
        <f t="shared" si="378"/>
        <v>0</v>
      </c>
      <c r="AR279" s="12">
        <f t="shared" si="369"/>
        <v>0</v>
      </c>
      <c r="AS279" s="12">
        <f t="shared" si="379"/>
        <v>0</v>
      </c>
      <c r="AT279" s="12">
        <f t="shared" si="300"/>
        <v>0</v>
      </c>
      <c r="AU279" s="12">
        <f t="shared" si="380"/>
        <v>0</v>
      </c>
      <c r="AV279" s="12">
        <f t="shared" si="363"/>
        <v>0</v>
      </c>
    </row>
    <row r="280" spans="1:48" ht="23.25" customHeight="1" x14ac:dyDescent="0.25">
      <c r="A280" s="60">
        <v>37</v>
      </c>
      <c r="B280" s="9" t="s">
        <v>657</v>
      </c>
      <c r="C280" s="61" t="s">
        <v>416</v>
      </c>
      <c r="D280" s="61"/>
      <c r="E280" s="61" t="s">
        <v>168</v>
      </c>
      <c r="F280" s="61"/>
      <c r="G280" s="62">
        <v>10000</v>
      </c>
      <c r="H280" s="80">
        <v>5000</v>
      </c>
      <c r="I280" s="63"/>
      <c r="J280" s="63"/>
      <c r="K280" s="63"/>
      <c r="L280" s="63"/>
      <c r="M280" s="68">
        <f t="shared" si="342"/>
        <v>5000</v>
      </c>
      <c r="N280" s="63">
        <v>5000</v>
      </c>
      <c r="O280" s="68">
        <f t="shared" si="382"/>
        <v>5000</v>
      </c>
      <c r="P280" s="63">
        <v>5000</v>
      </c>
      <c r="Q280" s="54">
        <f t="shared" si="344"/>
        <v>0</v>
      </c>
      <c r="R280" s="54"/>
      <c r="S280" s="68">
        <f t="shared" si="383"/>
        <v>5000</v>
      </c>
      <c r="T280" s="63">
        <v>5000</v>
      </c>
      <c r="U280" s="122"/>
      <c r="V280" s="122"/>
      <c r="W280" s="63"/>
      <c r="X280" s="63"/>
      <c r="Y280" s="63"/>
      <c r="Z280" s="63"/>
      <c r="AA280" s="63">
        <f t="shared" si="372"/>
        <v>0</v>
      </c>
      <c r="AB280" s="63">
        <f t="shared" si="372"/>
        <v>0</v>
      </c>
      <c r="AC280" s="63">
        <f t="shared" si="373"/>
        <v>5000</v>
      </c>
      <c r="AD280" s="63">
        <f t="shared" si="373"/>
        <v>5000</v>
      </c>
      <c r="AE280" s="63">
        <f t="shared" si="349"/>
        <v>5000</v>
      </c>
      <c r="AF280" s="63">
        <f t="shared" si="374"/>
        <v>5000</v>
      </c>
      <c r="AG280" s="63"/>
      <c r="AH280" s="63"/>
      <c r="AI280" s="69"/>
      <c r="AJ280" s="19">
        <f t="shared" si="384"/>
        <v>0</v>
      </c>
      <c r="AK280" s="22">
        <f t="shared" si="351"/>
        <v>0</v>
      </c>
      <c r="AL280" s="22"/>
      <c r="AM280" s="12">
        <f t="shared" si="376"/>
        <v>1</v>
      </c>
      <c r="AO280" s="12">
        <f t="shared" si="377"/>
        <v>0</v>
      </c>
      <c r="AP280" s="12">
        <f t="shared" si="361"/>
        <v>0</v>
      </c>
      <c r="AQ280" s="12">
        <f t="shared" si="378"/>
        <v>0</v>
      </c>
      <c r="AR280" s="12">
        <f t="shared" si="369"/>
        <v>0</v>
      </c>
      <c r="AS280" s="12">
        <f t="shared" si="379"/>
        <v>0</v>
      </c>
      <c r="AT280" s="12">
        <f t="shared" si="300"/>
        <v>0</v>
      </c>
      <c r="AU280" s="12">
        <f t="shared" si="380"/>
        <v>0</v>
      </c>
      <c r="AV280" s="12">
        <f t="shared" si="363"/>
        <v>0</v>
      </c>
    </row>
    <row r="281" spans="1:48" s="34" customFormat="1" ht="28.5" customHeight="1" x14ac:dyDescent="0.25">
      <c r="A281" s="28" t="s">
        <v>658</v>
      </c>
      <c r="B281" s="29" t="s">
        <v>659</v>
      </c>
      <c r="C281" s="30"/>
      <c r="D281" s="30"/>
      <c r="E281" s="30"/>
      <c r="F281" s="30"/>
      <c r="G281" s="31">
        <f>G282+G290</f>
        <v>965639</v>
      </c>
      <c r="H281" s="31">
        <f t="shared" ref="H281:U281" si="385">H282+H290</f>
        <v>482412</v>
      </c>
      <c r="I281" s="31">
        <f t="shared" si="385"/>
        <v>28000</v>
      </c>
      <c r="J281" s="31">
        <f t="shared" si="385"/>
        <v>28000</v>
      </c>
      <c r="K281" s="31">
        <f t="shared" si="385"/>
        <v>28000</v>
      </c>
      <c r="L281" s="31">
        <f t="shared" si="385"/>
        <v>28000</v>
      </c>
      <c r="M281" s="31">
        <f t="shared" si="385"/>
        <v>390200</v>
      </c>
      <c r="N281" s="31">
        <f t="shared" si="385"/>
        <v>259000</v>
      </c>
      <c r="O281" s="31">
        <f t="shared" si="385"/>
        <v>529795</v>
      </c>
      <c r="P281" s="31">
        <f t="shared" si="385"/>
        <v>258760</v>
      </c>
      <c r="Q281" s="31">
        <f t="shared" si="385"/>
        <v>51560</v>
      </c>
      <c r="R281" s="31">
        <f t="shared" si="385"/>
        <v>32340</v>
      </c>
      <c r="S281" s="31">
        <f t="shared" si="385"/>
        <v>549255</v>
      </c>
      <c r="T281" s="31">
        <f t="shared" si="385"/>
        <v>278220</v>
      </c>
      <c r="U281" s="31">
        <f t="shared" si="385"/>
        <v>78575</v>
      </c>
      <c r="V281" s="31">
        <f>V282+V290</f>
        <v>78575</v>
      </c>
      <c r="W281" s="31">
        <f t="shared" ref="W281:AA281" si="386">W282+W290</f>
        <v>59700</v>
      </c>
      <c r="X281" s="31">
        <f>X282+X290</f>
        <v>59700</v>
      </c>
      <c r="Y281" s="31">
        <f t="shared" ref="Y281" si="387">Y282+Y290</f>
        <v>41295</v>
      </c>
      <c r="Z281" s="31">
        <f>Z282+Z290</f>
        <v>41295</v>
      </c>
      <c r="AA281" s="31">
        <f t="shared" si="386"/>
        <v>179570</v>
      </c>
      <c r="AB281" s="31">
        <f>AB282+AB290</f>
        <v>179570</v>
      </c>
      <c r="AC281" s="31">
        <f t="shared" ref="AC281:AG281" si="388">AC282+AC290</f>
        <v>341525</v>
      </c>
      <c r="AD281" s="31">
        <f>AD282+AD290</f>
        <v>70490</v>
      </c>
      <c r="AE281" s="31">
        <f t="shared" ref="AE281" si="389">AE282+AE290</f>
        <v>32200</v>
      </c>
      <c r="AF281" s="31">
        <f>AF282+AF290</f>
        <v>32200</v>
      </c>
      <c r="AG281" s="31">
        <f t="shared" si="388"/>
        <v>251669</v>
      </c>
      <c r="AH281" s="31">
        <f>AH282+AH290</f>
        <v>155822.30000000002</v>
      </c>
      <c r="AI281" s="32"/>
      <c r="AJ281" s="19">
        <f t="shared" si="384"/>
        <v>1</v>
      </c>
      <c r="AK281" s="22"/>
      <c r="AL281" s="22"/>
      <c r="AM281" s="12"/>
      <c r="AN281" s="12"/>
      <c r="AO281" s="12"/>
      <c r="AP281" s="12">
        <f t="shared" si="361"/>
        <v>0</v>
      </c>
      <c r="AQ281" s="12"/>
      <c r="AR281" s="12">
        <f t="shared" si="369"/>
        <v>0</v>
      </c>
      <c r="AS281" s="12"/>
      <c r="AT281" s="12">
        <f t="shared" si="300"/>
        <v>0</v>
      </c>
      <c r="AU281" s="12"/>
      <c r="AV281" s="12">
        <f t="shared" si="363"/>
        <v>0</v>
      </c>
    </row>
    <row r="282" spans="1:48" s="42" customFormat="1" ht="51.75" x14ac:dyDescent="0.25">
      <c r="A282" s="35" t="s">
        <v>45</v>
      </c>
      <c r="B282" s="36" t="s">
        <v>46</v>
      </c>
      <c r="C282" s="37"/>
      <c r="D282" s="37"/>
      <c r="E282" s="37"/>
      <c r="F282" s="37"/>
      <c r="G282" s="38">
        <f>G283</f>
        <v>157929</v>
      </c>
      <c r="H282" s="38">
        <f t="shared" ref="H282:AH282" si="390">H283</f>
        <v>84972</v>
      </c>
      <c r="I282" s="38">
        <f t="shared" si="390"/>
        <v>28000</v>
      </c>
      <c r="J282" s="38">
        <f t="shared" si="390"/>
        <v>28000</v>
      </c>
      <c r="K282" s="38">
        <f t="shared" si="390"/>
        <v>28000</v>
      </c>
      <c r="L282" s="38">
        <f t="shared" si="390"/>
        <v>28000</v>
      </c>
      <c r="M282" s="38">
        <f t="shared" si="390"/>
        <v>97850</v>
      </c>
      <c r="N282" s="38">
        <f t="shared" si="390"/>
        <v>82850</v>
      </c>
      <c r="O282" s="38">
        <f t="shared" si="390"/>
        <v>97850</v>
      </c>
      <c r="P282" s="38">
        <f t="shared" si="390"/>
        <v>82850</v>
      </c>
      <c r="Q282" s="38">
        <f t="shared" si="390"/>
        <v>26000</v>
      </c>
      <c r="R282" s="38">
        <f t="shared" si="390"/>
        <v>5330</v>
      </c>
      <c r="S282" s="38">
        <f t="shared" si="390"/>
        <v>118520</v>
      </c>
      <c r="T282" s="38">
        <f t="shared" si="390"/>
        <v>103520</v>
      </c>
      <c r="U282" s="38">
        <f t="shared" si="390"/>
        <v>50255</v>
      </c>
      <c r="V282" s="38">
        <f t="shared" si="390"/>
        <v>50255</v>
      </c>
      <c r="W282" s="38">
        <f t="shared" si="390"/>
        <v>20000</v>
      </c>
      <c r="X282" s="38">
        <f t="shared" si="390"/>
        <v>20000</v>
      </c>
      <c r="Y282" s="38">
        <f t="shared" si="390"/>
        <v>5245</v>
      </c>
      <c r="Z282" s="38">
        <f t="shared" si="390"/>
        <v>5245</v>
      </c>
      <c r="AA282" s="38">
        <f t="shared" si="390"/>
        <v>75500</v>
      </c>
      <c r="AB282" s="38">
        <f t="shared" si="390"/>
        <v>75500</v>
      </c>
      <c r="AC282" s="38">
        <f t="shared" si="390"/>
        <v>22350</v>
      </c>
      <c r="AD282" s="38">
        <f t="shared" si="390"/>
        <v>7350</v>
      </c>
      <c r="AE282" s="38">
        <f t="shared" si="390"/>
        <v>0</v>
      </c>
      <c r="AF282" s="38">
        <f t="shared" si="390"/>
        <v>0</v>
      </c>
      <c r="AG282" s="38">
        <f t="shared" si="390"/>
        <v>0</v>
      </c>
      <c r="AH282" s="38">
        <f t="shared" si="390"/>
        <v>0</v>
      </c>
      <c r="AI282" s="40"/>
      <c r="AJ282" s="19">
        <f t="shared" si="384"/>
        <v>1</v>
      </c>
      <c r="AK282" s="22"/>
      <c r="AL282" s="22"/>
      <c r="AM282" s="12"/>
      <c r="AN282" s="12"/>
      <c r="AO282" s="12"/>
      <c r="AP282" s="12">
        <f t="shared" si="361"/>
        <v>0</v>
      </c>
      <c r="AQ282" s="12"/>
      <c r="AR282" s="12">
        <f t="shared" si="369"/>
        <v>0</v>
      </c>
      <c r="AS282" s="12"/>
      <c r="AT282" s="12">
        <f t="shared" si="300"/>
        <v>0</v>
      </c>
      <c r="AU282" s="12"/>
      <c r="AV282" s="12">
        <f t="shared" si="363"/>
        <v>0</v>
      </c>
    </row>
    <row r="283" spans="1:48" s="49" customFormat="1" ht="34.5" x14ac:dyDescent="0.25">
      <c r="A283" s="43" t="s">
        <v>47</v>
      </c>
      <c r="B283" s="44" t="s">
        <v>48</v>
      </c>
      <c r="C283" s="45"/>
      <c r="D283" s="45"/>
      <c r="E283" s="45"/>
      <c r="F283" s="45"/>
      <c r="G283" s="46">
        <f>SUM(G286:G289)</f>
        <v>157929</v>
      </c>
      <c r="H283" s="46">
        <f t="shared" ref="H283:T283" si="391">SUM(H286:H289)</f>
        <v>84972</v>
      </c>
      <c r="I283" s="46">
        <f t="shared" si="391"/>
        <v>28000</v>
      </c>
      <c r="J283" s="46">
        <f t="shared" si="391"/>
        <v>28000</v>
      </c>
      <c r="K283" s="46">
        <f t="shared" si="391"/>
        <v>28000</v>
      </c>
      <c r="L283" s="46">
        <f t="shared" si="391"/>
        <v>28000</v>
      </c>
      <c r="M283" s="46">
        <f t="shared" si="391"/>
        <v>97850</v>
      </c>
      <c r="N283" s="46">
        <f t="shared" si="391"/>
        <v>82850</v>
      </c>
      <c r="O283" s="46">
        <f t="shared" si="391"/>
        <v>97850</v>
      </c>
      <c r="P283" s="46">
        <f t="shared" si="391"/>
        <v>82850</v>
      </c>
      <c r="Q283" s="46">
        <f t="shared" si="391"/>
        <v>26000</v>
      </c>
      <c r="R283" s="46">
        <f t="shared" si="391"/>
        <v>5330</v>
      </c>
      <c r="S283" s="46">
        <f t="shared" si="391"/>
        <v>118520</v>
      </c>
      <c r="T283" s="46">
        <f t="shared" si="391"/>
        <v>103520</v>
      </c>
      <c r="U283" s="46">
        <f t="shared" ref="U283:AH283" si="392">SUM(U286:U289)</f>
        <v>50255</v>
      </c>
      <c r="V283" s="46">
        <f t="shared" si="392"/>
        <v>50255</v>
      </c>
      <c r="W283" s="46">
        <f t="shared" si="392"/>
        <v>20000</v>
      </c>
      <c r="X283" s="46">
        <f t="shared" si="392"/>
        <v>20000</v>
      </c>
      <c r="Y283" s="46">
        <f t="shared" si="392"/>
        <v>5245</v>
      </c>
      <c r="Z283" s="46">
        <f t="shared" si="392"/>
        <v>5245</v>
      </c>
      <c r="AA283" s="46">
        <f t="shared" si="392"/>
        <v>75500</v>
      </c>
      <c r="AB283" s="46">
        <f t="shared" si="392"/>
        <v>75500</v>
      </c>
      <c r="AC283" s="46">
        <f t="shared" si="392"/>
        <v>22350</v>
      </c>
      <c r="AD283" s="46">
        <f t="shared" si="392"/>
        <v>7350</v>
      </c>
      <c r="AE283" s="46">
        <f t="shared" si="392"/>
        <v>0</v>
      </c>
      <c r="AF283" s="46">
        <f t="shared" si="392"/>
        <v>0</v>
      </c>
      <c r="AG283" s="46">
        <f t="shared" si="392"/>
        <v>0</v>
      </c>
      <c r="AH283" s="46">
        <f t="shared" si="392"/>
        <v>0</v>
      </c>
      <c r="AI283" s="47"/>
      <c r="AJ283" s="19">
        <f t="shared" si="384"/>
        <v>1</v>
      </c>
      <c r="AK283" s="22"/>
      <c r="AL283" s="22"/>
      <c r="AM283" s="12"/>
      <c r="AN283" s="12"/>
      <c r="AO283" s="12"/>
      <c r="AP283" s="12">
        <f t="shared" si="361"/>
        <v>0</v>
      </c>
      <c r="AQ283" s="12"/>
      <c r="AR283" s="12">
        <f t="shared" si="369"/>
        <v>0</v>
      </c>
      <c r="AS283" s="12"/>
      <c r="AT283" s="12">
        <f t="shared" si="300"/>
        <v>0</v>
      </c>
      <c r="AU283" s="12"/>
      <c r="AV283" s="12">
        <f t="shared" si="363"/>
        <v>0</v>
      </c>
    </row>
    <row r="284" spans="1:48" ht="17.25" x14ac:dyDescent="0.25">
      <c r="A284" s="50"/>
      <c r="B284" s="51" t="s">
        <v>49</v>
      </c>
      <c r="C284" s="52"/>
      <c r="D284" s="52"/>
      <c r="E284" s="52"/>
      <c r="F284" s="52"/>
      <c r="G284" s="53"/>
      <c r="H284" s="53"/>
      <c r="I284" s="53"/>
      <c r="J284" s="53"/>
      <c r="K284" s="53"/>
      <c r="L284" s="53"/>
      <c r="M284" s="53"/>
      <c r="N284" s="53"/>
      <c r="O284" s="53"/>
      <c r="P284" s="53"/>
      <c r="Q284" s="54"/>
      <c r="R284" s="54"/>
      <c r="S284" s="53"/>
      <c r="T284" s="53"/>
      <c r="U284" s="122"/>
      <c r="V284" s="122"/>
      <c r="W284" s="63"/>
      <c r="X284" s="63"/>
      <c r="Y284" s="63"/>
      <c r="Z284" s="63"/>
      <c r="AA284" s="63"/>
      <c r="AB284" s="63"/>
      <c r="AC284" s="63"/>
      <c r="AD284" s="63"/>
      <c r="AE284" s="63"/>
      <c r="AF284" s="63"/>
      <c r="AG284" s="63"/>
      <c r="AH284" s="63"/>
      <c r="AI284" s="55"/>
      <c r="AJ284" s="19">
        <f t="shared" si="384"/>
        <v>0</v>
      </c>
      <c r="AK284" s="22"/>
      <c r="AL284" s="22"/>
      <c r="AP284" s="12">
        <f t="shared" si="361"/>
        <v>0</v>
      </c>
      <c r="AR284" s="12">
        <f t="shared" si="369"/>
        <v>0</v>
      </c>
      <c r="AT284" s="12">
        <f t="shared" si="300"/>
        <v>0</v>
      </c>
      <c r="AV284" s="12">
        <f t="shared" si="363"/>
        <v>0</v>
      </c>
    </row>
    <row r="285" spans="1:48" ht="77.25" customHeight="1" x14ac:dyDescent="0.25">
      <c r="A285" s="50"/>
      <c r="B285" s="56" t="s">
        <v>50</v>
      </c>
      <c r="C285" s="57"/>
      <c r="D285" s="57"/>
      <c r="E285" s="57"/>
      <c r="F285" s="57"/>
      <c r="G285" s="58"/>
      <c r="H285" s="58"/>
      <c r="I285" s="58"/>
      <c r="J285" s="58"/>
      <c r="K285" s="58"/>
      <c r="L285" s="58"/>
      <c r="M285" s="58"/>
      <c r="N285" s="58"/>
      <c r="O285" s="58"/>
      <c r="P285" s="58"/>
      <c r="Q285" s="54"/>
      <c r="R285" s="54"/>
      <c r="S285" s="58"/>
      <c r="T285" s="58"/>
      <c r="U285" s="122"/>
      <c r="V285" s="122"/>
      <c r="W285" s="63"/>
      <c r="X285" s="63"/>
      <c r="Y285" s="63"/>
      <c r="Z285" s="63"/>
      <c r="AA285" s="63"/>
      <c r="AB285" s="63"/>
      <c r="AC285" s="63"/>
      <c r="AD285" s="63"/>
      <c r="AE285" s="63"/>
      <c r="AF285" s="63"/>
      <c r="AG285" s="63"/>
      <c r="AH285" s="63"/>
      <c r="AI285" s="59"/>
      <c r="AJ285" s="19">
        <f t="shared" si="384"/>
        <v>0</v>
      </c>
      <c r="AK285" s="22"/>
      <c r="AL285" s="22"/>
      <c r="AP285" s="12">
        <f t="shared" si="361"/>
        <v>0</v>
      </c>
      <c r="AR285" s="12">
        <f t="shared" si="369"/>
        <v>0</v>
      </c>
      <c r="AT285" s="12">
        <f t="shared" si="300"/>
        <v>0</v>
      </c>
      <c r="AV285" s="12">
        <f t="shared" si="363"/>
        <v>0</v>
      </c>
    </row>
    <row r="286" spans="1:48" ht="49.5" x14ac:dyDescent="0.25">
      <c r="A286" s="60">
        <v>1</v>
      </c>
      <c r="B286" s="123" t="s">
        <v>660</v>
      </c>
      <c r="C286" s="61" t="s">
        <v>336</v>
      </c>
      <c r="D286" s="61" t="s">
        <v>661</v>
      </c>
      <c r="E286" s="61" t="s">
        <v>338</v>
      </c>
      <c r="F286" s="61" t="s">
        <v>662</v>
      </c>
      <c r="G286" s="68">
        <v>112957</v>
      </c>
      <c r="H286" s="80">
        <v>40000</v>
      </c>
      <c r="I286" s="63">
        <f>J286</f>
        <v>10000</v>
      </c>
      <c r="J286" s="124">
        <v>10000</v>
      </c>
      <c r="K286" s="63">
        <f>L286</f>
        <v>10000</v>
      </c>
      <c r="L286" s="124">
        <v>10000</v>
      </c>
      <c r="M286" s="63">
        <v>29850</v>
      </c>
      <c r="N286" s="63">
        <f>M286</f>
        <v>29850</v>
      </c>
      <c r="O286" s="63">
        <v>29850</v>
      </c>
      <c r="P286" s="63">
        <f>O286</f>
        <v>29850</v>
      </c>
      <c r="Q286" s="54"/>
      <c r="R286" s="8">
        <f>N286-T286</f>
        <v>4800</v>
      </c>
      <c r="S286" s="149">
        <f>T286</f>
        <v>25050</v>
      </c>
      <c r="T286" s="149">
        <v>25050</v>
      </c>
      <c r="U286" s="63">
        <f>V286</f>
        <v>20038</v>
      </c>
      <c r="V286" s="63">
        <v>20038</v>
      </c>
      <c r="W286" s="63"/>
      <c r="X286" s="63"/>
      <c r="Y286" s="63"/>
      <c r="Z286" s="63"/>
      <c r="AA286" s="63">
        <f t="shared" ref="AA286:AB289" si="393">U286+W286+Y286</f>
        <v>20038</v>
      </c>
      <c r="AB286" s="63">
        <f t="shared" si="393"/>
        <v>20038</v>
      </c>
      <c r="AC286" s="63">
        <f t="shared" ref="AC286:AD289" si="394">O286-AA286</f>
        <v>9812</v>
      </c>
      <c r="AD286" s="63">
        <f t="shared" si="394"/>
        <v>9812</v>
      </c>
      <c r="AE286" s="63">
        <f t="shared" ref="AE286:AE289" si="395">AF286</f>
        <v>0</v>
      </c>
      <c r="AF286" s="63">
        <f t="shared" ref="AF286:AF289" si="396">IF(AB286=0,AD286,0)</f>
        <v>0</v>
      </c>
      <c r="AG286" s="63"/>
      <c r="AH286" s="63"/>
      <c r="AI286" s="25" t="s">
        <v>404</v>
      </c>
      <c r="AJ286" s="19">
        <f t="shared" si="384"/>
        <v>1</v>
      </c>
      <c r="AK286" s="22">
        <f t="shared" si="351"/>
        <v>1</v>
      </c>
      <c r="AL286" s="22"/>
      <c r="AM286" s="12">
        <f>IF(AJ286=0,1,0)</f>
        <v>0</v>
      </c>
      <c r="AO286" s="12">
        <f>IF(P286=0,1,0)</f>
        <v>0</v>
      </c>
      <c r="AP286" s="12">
        <f t="shared" si="361"/>
        <v>0</v>
      </c>
      <c r="AQ286" s="12">
        <f>IF(N286=0,1,0)</f>
        <v>0</v>
      </c>
      <c r="AR286" s="12">
        <f t="shared" si="369"/>
        <v>0</v>
      </c>
      <c r="AS286" s="12">
        <f>IF(Q286=0,0,1)</f>
        <v>0</v>
      </c>
      <c r="AT286" s="12">
        <f t="shared" si="300"/>
        <v>0</v>
      </c>
      <c r="AU286" s="12">
        <f>IF(R286=0,0,1)</f>
        <v>1</v>
      </c>
      <c r="AV286" s="12">
        <f t="shared" si="363"/>
        <v>4800</v>
      </c>
    </row>
    <row r="287" spans="1:48" ht="66" x14ac:dyDescent="0.25">
      <c r="A287" s="60">
        <v>2</v>
      </c>
      <c r="B287" s="91" t="s">
        <v>663</v>
      </c>
      <c r="C287" s="61" t="s">
        <v>664</v>
      </c>
      <c r="D287" s="61" t="s">
        <v>665</v>
      </c>
      <c r="E287" s="61" t="s">
        <v>72</v>
      </c>
      <c r="F287" s="61" t="s">
        <v>666</v>
      </c>
      <c r="G287" s="68">
        <v>14686</v>
      </c>
      <c r="H287" s="80">
        <f>G287</f>
        <v>14686</v>
      </c>
      <c r="I287" s="63">
        <f t="shared" ref="I287:K288" si="397">J287</f>
        <v>7500</v>
      </c>
      <c r="J287" s="68">
        <v>7500</v>
      </c>
      <c r="K287" s="63">
        <f t="shared" si="397"/>
        <v>7500</v>
      </c>
      <c r="L287" s="68">
        <v>7500</v>
      </c>
      <c r="M287" s="63">
        <v>5750</v>
      </c>
      <c r="N287" s="63">
        <f>M287</f>
        <v>5750</v>
      </c>
      <c r="O287" s="63">
        <v>5750</v>
      </c>
      <c r="P287" s="63">
        <f>O287</f>
        <v>5750</v>
      </c>
      <c r="Q287" s="54">
        <f t="shared" ref="Q287:Q289" si="398">T287-N287</f>
        <v>0</v>
      </c>
      <c r="R287" s="54"/>
      <c r="S287" s="63">
        <v>5750</v>
      </c>
      <c r="T287" s="63">
        <f>S287</f>
        <v>5750</v>
      </c>
      <c r="U287" s="63">
        <f t="shared" ref="U287:U289" si="399">V287</f>
        <v>5000</v>
      </c>
      <c r="V287" s="63">
        <v>5000</v>
      </c>
      <c r="W287" s="63"/>
      <c r="X287" s="63"/>
      <c r="Y287" s="63"/>
      <c r="Z287" s="63"/>
      <c r="AA287" s="63">
        <f t="shared" si="393"/>
        <v>5000</v>
      </c>
      <c r="AB287" s="63">
        <f t="shared" si="393"/>
        <v>5000</v>
      </c>
      <c r="AC287" s="63">
        <f t="shared" si="394"/>
        <v>750</v>
      </c>
      <c r="AD287" s="63">
        <f t="shared" si="394"/>
        <v>750</v>
      </c>
      <c r="AE287" s="63">
        <f t="shared" si="395"/>
        <v>0</v>
      </c>
      <c r="AF287" s="63">
        <f t="shared" si="396"/>
        <v>0</v>
      </c>
      <c r="AG287" s="63"/>
      <c r="AH287" s="63"/>
      <c r="AI287" s="69"/>
      <c r="AJ287" s="19">
        <f t="shared" si="384"/>
        <v>0</v>
      </c>
      <c r="AK287" s="22">
        <f t="shared" si="351"/>
        <v>0</v>
      </c>
      <c r="AL287" s="22"/>
      <c r="AM287" s="12">
        <f>IF(AJ287=0,1,0)</f>
        <v>1</v>
      </c>
      <c r="AO287" s="12">
        <f>IF(P287=0,1,0)</f>
        <v>0</v>
      </c>
      <c r="AP287" s="12">
        <f t="shared" si="361"/>
        <v>0</v>
      </c>
      <c r="AQ287" s="12">
        <f>IF(N287=0,1,0)</f>
        <v>0</v>
      </c>
      <c r="AR287" s="12">
        <f t="shared" si="369"/>
        <v>0</v>
      </c>
      <c r="AS287" s="12">
        <f>IF(Q287=0,0,1)</f>
        <v>0</v>
      </c>
      <c r="AT287" s="12">
        <f t="shared" ref="AT287:AT350" si="400">IF(AS287=1,Q287,0)</f>
        <v>0</v>
      </c>
      <c r="AU287" s="12">
        <f>IF(R287=0,0,1)</f>
        <v>0</v>
      </c>
      <c r="AV287" s="12">
        <f t="shared" si="363"/>
        <v>0</v>
      </c>
    </row>
    <row r="288" spans="1:48" ht="99" x14ac:dyDescent="0.25">
      <c r="A288" s="60">
        <v>3</v>
      </c>
      <c r="B288" s="67" t="s">
        <v>667</v>
      </c>
      <c r="C288" s="61" t="s">
        <v>336</v>
      </c>
      <c r="D288" s="61" t="s">
        <v>668</v>
      </c>
      <c r="E288" s="61" t="s">
        <v>183</v>
      </c>
      <c r="F288" s="61" t="s">
        <v>669</v>
      </c>
      <c r="G288" s="68">
        <v>30286</v>
      </c>
      <c r="H288" s="80">
        <f>G288</f>
        <v>30286</v>
      </c>
      <c r="I288" s="63">
        <f t="shared" si="397"/>
        <v>10500</v>
      </c>
      <c r="J288" s="124">
        <v>10500</v>
      </c>
      <c r="K288" s="63">
        <f t="shared" si="397"/>
        <v>10500</v>
      </c>
      <c r="L288" s="124">
        <v>10500</v>
      </c>
      <c r="M288" s="63">
        <v>12250</v>
      </c>
      <c r="N288" s="63">
        <f>M288</f>
        <v>12250</v>
      </c>
      <c r="O288" s="63">
        <v>12250</v>
      </c>
      <c r="P288" s="63">
        <f>O288</f>
        <v>12250</v>
      </c>
      <c r="Q288" s="54"/>
      <c r="R288" s="8">
        <f>N288-T288</f>
        <v>530</v>
      </c>
      <c r="S288" s="149">
        <f>T288</f>
        <v>11720</v>
      </c>
      <c r="T288" s="149">
        <v>11720</v>
      </c>
      <c r="U288" s="63">
        <f t="shared" si="399"/>
        <v>11700</v>
      </c>
      <c r="V288" s="63">
        <v>11700</v>
      </c>
      <c r="W288" s="63"/>
      <c r="X288" s="63"/>
      <c r="Y288" s="63"/>
      <c r="Z288" s="63"/>
      <c r="AA288" s="63">
        <f t="shared" si="393"/>
        <v>11700</v>
      </c>
      <c r="AB288" s="63">
        <f t="shared" si="393"/>
        <v>11700</v>
      </c>
      <c r="AC288" s="63">
        <f t="shared" si="394"/>
        <v>550</v>
      </c>
      <c r="AD288" s="63">
        <f t="shared" si="394"/>
        <v>550</v>
      </c>
      <c r="AE288" s="63">
        <f t="shared" si="395"/>
        <v>0</v>
      </c>
      <c r="AF288" s="63">
        <f t="shared" si="396"/>
        <v>0</v>
      </c>
      <c r="AG288" s="63"/>
      <c r="AH288" s="63"/>
      <c r="AI288" s="25" t="s">
        <v>404</v>
      </c>
      <c r="AJ288" s="19">
        <f t="shared" si="384"/>
        <v>1</v>
      </c>
      <c r="AK288" s="22">
        <f t="shared" si="351"/>
        <v>1</v>
      </c>
      <c r="AL288" s="22"/>
      <c r="AM288" s="12">
        <f>IF(AJ288=0,1,0)</f>
        <v>0</v>
      </c>
      <c r="AO288" s="12">
        <f>IF(P288=0,1,0)</f>
        <v>0</v>
      </c>
      <c r="AP288" s="12">
        <f t="shared" si="361"/>
        <v>0</v>
      </c>
      <c r="AQ288" s="12">
        <f>IF(N288=0,1,0)</f>
        <v>0</v>
      </c>
      <c r="AR288" s="12">
        <f t="shared" si="369"/>
        <v>0</v>
      </c>
      <c r="AS288" s="12">
        <f>IF(Q288=0,0,1)</f>
        <v>0</v>
      </c>
      <c r="AT288" s="12">
        <f t="shared" si="400"/>
        <v>0</v>
      </c>
      <c r="AU288" s="12">
        <f>IF(R288=0,0,1)</f>
        <v>1</v>
      </c>
      <c r="AV288" s="12">
        <f t="shared" si="363"/>
        <v>530</v>
      </c>
    </row>
    <row r="289" spans="1:48 16349:16382" ht="69.75" customHeight="1" x14ac:dyDescent="0.25">
      <c r="A289" s="60">
        <v>4</v>
      </c>
      <c r="B289" s="67" t="s">
        <v>670</v>
      </c>
      <c r="C289" s="61"/>
      <c r="D289" s="61"/>
      <c r="E289" s="70"/>
      <c r="F289" s="61"/>
      <c r="G289" s="74"/>
      <c r="H289" s="80"/>
      <c r="I289" s="63"/>
      <c r="J289" s="63"/>
      <c r="K289" s="63"/>
      <c r="L289" s="63"/>
      <c r="M289" s="63">
        <v>50000</v>
      </c>
      <c r="N289" s="63">
        <v>35000</v>
      </c>
      <c r="O289" s="63">
        <v>50000</v>
      </c>
      <c r="P289" s="63">
        <v>35000</v>
      </c>
      <c r="Q289" s="54">
        <f t="shared" si="398"/>
        <v>26000</v>
      </c>
      <c r="R289" s="8"/>
      <c r="S289" s="149">
        <f>T289+15000</f>
        <v>76000</v>
      </c>
      <c r="T289" s="149">
        <v>61000</v>
      </c>
      <c r="U289" s="63">
        <f t="shared" si="399"/>
        <v>13517</v>
      </c>
      <c r="V289" s="63">
        <v>13517</v>
      </c>
      <c r="W289" s="63">
        <f>X289</f>
        <v>20000</v>
      </c>
      <c r="X289" s="63">
        <v>20000</v>
      </c>
      <c r="Y289" s="63">
        <f>Z289</f>
        <v>5245</v>
      </c>
      <c r="Z289" s="63">
        <v>5245</v>
      </c>
      <c r="AA289" s="63">
        <f t="shared" si="393"/>
        <v>38762</v>
      </c>
      <c r="AB289" s="63">
        <f t="shared" si="393"/>
        <v>38762</v>
      </c>
      <c r="AC289" s="63">
        <f t="shared" si="394"/>
        <v>11238</v>
      </c>
      <c r="AD289" s="63">
        <f t="shared" si="394"/>
        <v>-3762</v>
      </c>
      <c r="AE289" s="63">
        <f t="shared" si="395"/>
        <v>0</v>
      </c>
      <c r="AF289" s="63">
        <f t="shared" si="396"/>
        <v>0</v>
      </c>
      <c r="AG289" s="63"/>
      <c r="AH289" s="63"/>
      <c r="AI289" s="25" t="s">
        <v>916</v>
      </c>
      <c r="AJ289" s="19">
        <f t="shared" si="384"/>
        <v>1</v>
      </c>
      <c r="AK289" s="22">
        <f t="shared" si="351"/>
        <v>1</v>
      </c>
      <c r="AL289" s="22"/>
      <c r="AM289" s="12">
        <f>IF(AJ289=0,1,0)</f>
        <v>0</v>
      </c>
      <c r="AO289" s="12">
        <f>IF(P289=0,1,0)</f>
        <v>0</v>
      </c>
      <c r="AP289" s="12">
        <f t="shared" si="361"/>
        <v>0</v>
      </c>
      <c r="AQ289" s="12">
        <f>IF(N289=0,1,0)</f>
        <v>0</v>
      </c>
      <c r="AR289" s="12">
        <f t="shared" si="369"/>
        <v>0</v>
      </c>
      <c r="AS289" s="12">
        <f>IF(Q289=0,0,1)</f>
        <v>1</v>
      </c>
      <c r="AT289" s="12">
        <f t="shared" si="400"/>
        <v>26000</v>
      </c>
      <c r="AU289" s="12">
        <f>IF(R289=0,0,1)</f>
        <v>0</v>
      </c>
      <c r="AV289" s="12">
        <f t="shared" si="363"/>
        <v>0</v>
      </c>
    </row>
    <row r="290" spans="1:48 16349:16382" s="42" customFormat="1" ht="42.75" customHeight="1" x14ac:dyDescent="0.25">
      <c r="A290" s="35" t="s">
        <v>85</v>
      </c>
      <c r="B290" s="36" t="s">
        <v>86</v>
      </c>
      <c r="C290" s="37"/>
      <c r="D290" s="37"/>
      <c r="E290" s="37"/>
      <c r="F290" s="37"/>
      <c r="G290" s="38">
        <f>G291+G313</f>
        <v>807710</v>
      </c>
      <c r="H290" s="38">
        <f t="shared" ref="H290:AH290" si="401">H291+H313</f>
        <v>397440</v>
      </c>
      <c r="I290" s="38">
        <f t="shared" si="401"/>
        <v>0</v>
      </c>
      <c r="J290" s="38">
        <f t="shared" si="401"/>
        <v>0</v>
      </c>
      <c r="K290" s="38">
        <f t="shared" si="401"/>
        <v>0</v>
      </c>
      <c r="L290" s="38">
        <f t="shared" si="401"/>
        <v>0</v>
      </c>
      <c r="M290" s="38">
        <f t="shared" si="401"/>
        <v>292350</v>
      </c>
      <c r="N290" s="38">
        <f t="shared" si="401"/>
        <v>176150</v>
      </c>
      <c r="O290" s="38">
        <f t="shared" si="401"/>
        <v>431945</v>
      </c>
      <c r="P290" s="38">
        <f t="shared" si="401"/>
        <v>175910</v>
      </c>
      <c r="Q290" s="38">
        <f t="shared" si="401"/>
        <v>25560</v>
      </c>
      <c r="R290" s="38">
        <f t="shared" si="401"/>
        <v>27010</v>
      </c>
      <c r="S290" s="38">
        <f t="shared" si="401"/>
        <v>430735</v>
      </c>
      <c r="T290" s="38">
        <f t="shared" si="401"/>
        <v>174700</v>
      </c>
      <c r="U290" s="38">
        <f t="shared" si="401"/>
        <v>28320</v>
      </c>
      <c r="V290" s="38">
        <f t="shared" si="401"/>
        <v>28320</v>
      </c>
      <c r="W290" s="38">
        <f t="shared" si="401"/>
        <v>39700</v>
      </c>
      <c r="X290" s="38">
        <f t="shared" si="401"/>
        <v>39700</v>
      </c>
      <c r="Y290" s="42">
        <f t="shared" si="401"/>
        <v>36050</v>
      </c>
      <c r="Z290" s="42">
        <f t="shared" si="401"/>
        <v>36050</v>
      </c>
      <c r="AA290" s="42">
        <f t="shared" si="401"/>
        <v>104070</v>
      </c>
      <c r="AB290" s="42">
        <f t="shared" si="401"/>
        <v>104070</v>
      </c>
      <c r="AC290" s="42">
        <f t="shared" si="401"/>
        <v>319175</v>
      </c>
      <c r="AD290" s="42">
        <f t="shared" si="401"/>
        <v>63140</v>
      </c>
      <c r="AE290" s="42">
        <f t="shared" si="401"/>
        <v>32200</v>
      </c>
      <c r="AF290" s="42">
        <f t="shared" si="401"/>
        <v>32200</v>
      </c>
      <c r="AG290" s="42">
        <f t="shared" si="401"/>
        <v>251669</v>
      </c>
      <c r="AH290" s="42">
        <f t="shared" si="401"/>
        <v>155822.30000000002</v>
      </c>
      <c r="AI290" s="125"/>
      <c r="AJ290" s="19">
        <f t="shared" si="384"/>
        <v>1</v>
      </c>
      <c r="AL290" s="742"/>
      <c r="AM290" s="742"/>
      <c r="AP290" s="42">
        <f t="shared" si="361"/>
        <v>0</v>
      </c>
      <c r="AR290" s="42">
        <f t="shared" si="369"/>
        <v>0</v>
      </c>
      <c r="AT290" s="42">
        <f t="shared" si="400"/>
        <v>0</v>
      </c>
      <c r="AV290" s="42">
        <f t="shared" si="363"/>
        <v>0</v>
      </c>
      <c r="XDU290" s="35"/>
      <c r="XDV290" s="36"/>
      <c r="XDW290" s="37"/>
      <c r="XDX290" s="37"/>
      <c r="XDY290" s="37"/>
      <c r="XDZ290" s="37"/>
      <c r="XEA290" s="38"/>
      <c r="XEB290" s="38"/>
      <c r="XEC290" s="38"/>
      <c r="XED290" s="38"/>
      <c r="XEE290" s="38"/>
      <c r="XEF290" s="38"/>
      <c r="XEG290" s="39"/>
      <c r="XEH290" s="38"/>
      <c r="XEI290" s="34"/>
      <c r="XEJ290" s="34"/>
      <c r="XEK290" s="34"/>
      <c r="XEL290" s="34"/>
      <c r="XEM290" s="34"/>
      <c r="XEN290" s="34"/>
      <c r="XEO290" s="35"/>
      <c r="XEP290" s="36"/>
      <c r="XEQ290" s="37"/>
      <c r="XER290" s="37"/>
      <c r="XES290" s="37"/>
      <c r="XET290" s="37"/>
      <c r="XEU290" s="38"/>
      <c r="XEV290" s="38"/>
      <c r="XEW290" s="38"/>
      <c r="XEX290" s="38"/>
      <c r="XEY290" s="38"/>
      <c r="XEZ290" s="38"/>
      <c r="XFA290" s="38"/>
      <c r="XFB290" s="38"/>
    </row>
    <row r="291" spans="1:48 16349:16382" s="49" customFormat="1" ht="57.75" customHeight="1" x14ac:dyDescent="0.25">
      <c r="A291" s="43" t="s">
        <v>87</v>
      </c>
      <c r="B291" s="44" t="s">
        <v>88</v>
      </c>
      <c r="C291" s="72"/>
      <c r="D291" s="72"/>
      <c r="E291" s="72"/>
      <c r="F291" s="72"/>
      <c r="G291" s="46">
        <f>SUM(G292:G312)</f>
        <v>321300</v>
      </c>
      <c r="H291" s="46">
        <f t="shared" ref="H291:T291" si="402">SUM(H292:H312)</f>
        <v>206193</v>
      </c>
      <c r="I291" s="46">
        <f t="shared" si="402"/>
        <v>0</v>
      </c>
      <c r="J291" s="46">
        <f t="shared" si="402"/>
        <v>0</v>
      </c>
      <c r="K291" s="46">
        <f t="shared" si="402"/>
        <v>0</v>
      </c>
      <c r="L291" s="46">
        <f t="shared" si="402"/>
        <v>0</v>
      </c>
      <c r="M291" s="46">
        <f t="shared" si="402"/>
        <v>276250</v>
      </c>
      <c r="N291" s="46">
        <f t="shared" si="402"/>
        <v>172650</v>
      </c>
      <c r="O291" s="46">
        <f t="shared" si="402"/>
        <v>245845</v>
      </c>
      <c r="P291" s="46">
        <f t="shared" si="402"/>
        <v>159610</v>
      </c>
      <c r="Q291" s="46">
        <f t="shared" si="402"/>
        <v>9260</v>
      </c>
      <c r="R291" s="46">
        <f t="shared" si="402"/>
        <v>23510</v>
      </c>
      <c r="S291" s="46">
        <f t="shared" si="402"/>
        <v>244635</v>
      </c>
      <c r="T291" s="46">
        <f t="shared" si="402"/>
        <v>158400</v>
      </c>
      <c r="U291" s="46">
        <f t="shared" ref="U291:AH291" si="403">SUM(U292:U309)</f>
        <v>28320</v>
      </c>
      <c r="V291" s="46">
        <f t="shared" si="403"/>
        <v>28320</v>
      </c>
      <c r="W291" s="46">
        <f t="shared" si="403"/>
        <v>39700</v>
      </c>
      <c r="X291" s="46">
        <f t="shared" si="403"/>
        <v>39700</v>
      </c>
      <c r="Y291" s="46">
        <f t="shared" si="403"/>
        <v>36050</v>
      </c>
      <c r="Z291" s="46">
        <f t="shared" si="403"/>
        <v>36050</v>
      </c>
      <c r="AA291" s="46">
        <f t="shared" si="403"/>
        <v>104070</v>
      </c>
      <c r="AB291" s="46">
        <f t="shared" si="403"/>
        <v>104070</v>
      </c>
      <c r="AC291" s="46">
        <f t="shared" si="403"/>
        <v>133075</v>
      </c>
      <c r="AD291" s="46">
        <f t="shared" si="403"/>
        <v>46840</v>
      </c>
      <c r="AE291" s="46">
        <f t="shared" si="403"/>
        <v>15900</v>
      </c>
      <c r="AF291" s="46">
        <f t="shared" si="403"/>
        <v>15900</v>
      </c>
      <c r="AG291" s="46">
        <f t="shared" si="403"/>
        <v>0</v>
      </c>
      <c r="AH291" s="46">
        <f t="shared" si="403"/>
        <v>0</v>
      </c>
      <c r="AI291" s="73"/>
      <c r="AJ291" s="19">
        <f t="shared" si="384"/>
        <v>1</v>
      </c>
      <c r="AK291" s="22"/>
      <c r="AL291" s="22"/>
      <c r="AM291" s="12"/>
      <c r="AN291" s="12"/>
      <c r="AO291" s="12"/>
      <c r="AP291" s="12">
        <f t="shared" si="361"/>
        <v>0</v>
      </c>
      <c r="AQ291" s="12"/>
      <c r="AR291" s="12">
        <f t="shared" si="369"/>
        <v>0</v>
      </c>
      <c r="AS291" s="12"/>
      <c r="AT291" s="12">
        <f t="shared" si="400"/>
        <v>0</v>
      </c>
      <c r="AU291" s="12"/>
      <c r="AV291" s="12">
        <f t="shared" si="363"/>
        <v>0</v>
      </c>
    </row>
    <row r="292" spans="1:48 16349:16382" ht="66" x14ac:dyDescent="0.25">
      <c r="A292" s="60">
        <v>5</v>
      </c>
      <c r="B292" s="91" t="s">
        <v>671</v>
      </c>
      <c r="C292" s="61" t="s">
        <v>672</v>
      </c>
      <c r="D292" s="61" t="s">
        <v>673</v>
      </c>
      <c r="E292" s="70" t="s">
        <v>97</v>
      </c>
      <c r="F292" s="95" t="s">
        <v>674</v>
      </c>
      <c r="G292" s="68">
        <v>10646</v>
      </c>
      <c r="H292" s="80">
        <f>G292</f>
        <v>10646</v>
      </c>
      <c r="I292" s="63"/>
      <c r="J292" s="63"/>
      <c r="K292" s="63"/>
      <c r="L292" s="63"/>
      <c r="M292" s="68">
        <f>N292</f>
        <v>7800</v>
      </c>
      <c r="N292" s="63">
        <v>7800</v>
      </c>
      <c r="O292" s="68">
        <f>P292</f>
        <v>7800</v>
      </c>
      <c r="P292" s="63">
        <v>7800</v>
      </c>
      <c r="Q292" s="54"/>
      <c r="R292" s="8">
        <f>N292-T292</f>
        <v>975</v>
      </c>
      <c r="S292" s="151">
        <f>T292</f>
        <v>6825</v>
      </c>
      <c r="T292" s="149">
        <v>6825</v>
      </c>
      <c r="U292" s="63">
        <f t="shared" ref="U292:U293" si="404">V292</f>
        <v>6300</v>
      </c>
      <c r="V292" s="63">
        <v>6300</v>
      </c>
      <c r="W292" s="63">
        <f>X292</f>
        <v>1000</v>
      </c>
      <c r="X292" s="63">
        <v>1000</v>
      </c>
      <c r="Y292" s="63">
        <f>Z292</f>
        <v>0</v>
      </c>
      <c r="Z292" s="63"/>
      <c r="AA292" s="63">
        <f t="shared" ref="AA292:AB309" si="405">U292+W292+Y292</f>
        <v>7300</v>
      </c>
      <c r="AB292" s="63">
        <f t="shared" si="405"/>
        <v>7300</v>
      </c>
      <c r="AC292" s="63">
        <f t="shared" ref="AC292:AD312" si="406">O292-AA292</f>
        <v>500</v>
      </c>
      <c r="AD292" s="63">
        <f t="shared" si="406"/>
        <v>500</v>
      </c>
      <c r="AE292" s="63">
        <f t="shared" ref="AE292:AE309" si="407">AF292</f>
        <v>0</v>
      </c>
      <c r="AF292" s="63">
        <f t="shared" ref="AF292:AF309" si="408">IF(AB292=0,AD292,0)</f>
        <v>0</v>
      </c>
      <c r="AG292" s="63"/>
      <c r="AH292" s="63"/>
      <c r="AI292" s="25" t="s">
        <v>404</v>
      </c>
      <c r="AJ292" s="19">
        <f t="shared" si="384"/>
        <v>1</v>
      </c>
      <c r="AK292" s="22">
        <f t="shared" si="351"/>
        <v>1</v>
      </c>
      <c r="AL292" s="22"/>
      <c r="AM292" s="12">
        <f t="shared" ref="AM292:AM309" si="409">IF(AJ292=0,1,0)</f>
        <v>0</v>
      </c>
      <c r="AO292" s="12">
        <f t="shared" ref="AO292:AO309" si="410">IF(P292=0,1,0)</f>
        <v>0</v>
      </c>
      <c r="AP292" s="12">
        <f t="shared" si="361"/>
        <v>0</v>
      </c>
      <c r="AQ292" s="12">
        <f t="shared" ref="AQ292:AQ309" si="411">IF(N292=0,1,0)</f>
        <v>0</v>
      </c>
      <c r="AR292" s="12">
        <f t="shared" si="369"/>
        <v>0</v>
      </c>
      <c r="AS292" s="12">
        <f t="shared" ref="AS292:AS304" si="412">IF(Q292=0,0,1)</f>
        <v>0</v>
      </c>
      <c r="AT292" s="12">
        <f t="shared" si="400"/>
        <v>0</v>
      </c>
      <c r="AU292" s="12">
        <f t="shared" ref="AU292:AU303" si="413">IF(R292=0,0,1)</f>
        <v>1</v>
      </c>
      <c r="AV292" s="12">
        <f t="shared" si="363"/>
        <v>975</v>
      </c>
    </row>
    <row r="293" spans="1:48 16349:16382" ht="115.5" x14ac:dyDescent="0.25">
      <c r="A293" s="60">
        <v>6</v>
      </c>
      <c r="B293" s="91" t="s">
        <v>675</v>
      </c>
      <c r="C293" s="70" t="s">
        <v>58</v>
      </c>
      <c r="D293" s="61" t="s">
        <v>676</v>
      </c>
      <c r="E293" s="70">
        <v>2016</v>
      </c>
      <c r="F293" s="95" t="s">
        <v>677</v>
      </c>
      <c r="G293" s="68">
        <v>4700</v>
      </c>
      <c r="H293" s="80">
        <f t="shared" ref="H293:H297" si="414">G293</f>
        <v>4700</v>
      </c>
      <c r="I293" s="63"/>
      <c r="J293" s="63"/>
      <c r="K293" s="63"/>
      <c r="L293" s="63"/>
      <c r="M293" s="68">
        <f t="shared" ref="M293:M297" si="415">N293</f>
        <v>4400</v>
      </c>
      <c r="N293" s="63">
        <v>4400</v>
      </c>
      <c r="O293" s="68">
        <f t="shared" ref="O293:O297" si="416">P293</f>
        <v>4400</v>
      </c>
      <c r="P293" s="63">
        <v>4400</v>
      </c>
      <c r="Q293" s="54"/>
      <c r="R293" s="8">
        <f>N293-T293</f>
        <v>175</v>
      </c>
      <c r="S293" s="68">
        <f t="shared" ref="S293" si="417">T293</f>
        <v>4225</v>
      </c>
      <c r="T293" s="63">
        <v>4225</v>
      </c>
      <c r="U293" s="63">
        <f t="shared" si="404"/>
        <v>3950</v>
      </c>
      <c r="V293" s="63">
        <v>3950</v>
      </c>
      <c r="W293" s="63"/>
      <c r="X293" s="63"/>
      <c r="Y293" s="63"/>
      <c r="Z293" s="63"/>
      <c r="AA293" s="63">
        <f t="shared" si="405"/>
        <v>3950</v>
      </c>
      <c r="AB293" s="63">
        <f t="shared" si="405"/>
        <v>3950</v>
      </c>
      <c r="AC293" s="63">
        <f t="shared" si="406"/>
        <v>450</v>
      </c>
      <c r="AD293" s="63">
        <f t="shared" si="406"/>
        <v>450</v>
      </c>
      <c r="AE293" s="63">
        <f t="shared" si="407"/>
        <v>0</v>
      </c>
      <c r="AF293" s="63">
        <f t="shared" si="408"/>
        <v>0</v>
      </c>
      <c r="AG293" s="63"/>
      <c r="AH293" s="63"/>
      <c r="AI293" s="25" t="s">
        <v>404</v>
      </c>
      <c r="AJ293" s="19">
        <f t="shared" si="384"/>
        <v>1</v>
      </c>
      <c r="AK293" s="22">
        <f t="shared" si="351"/>
        <v>1</v>
      </c>
      <c r="AL293" s="22"/>
      <c r="AM293" s="12">
        <f t="shared" si="409"/>
        <v>0</v>
      </c>
      <c r="AO293" s="12">
        <f t="shared" si="410"/>
        <v>0</v>
      </c>
      <c r="AP293" s="12">
        <f t="shared" si="361"/>
        <v>0</v>
      </c>
      <c r="AQ293" s="12">
        <f t="shared" si="411"/>
        <v>0</v>
      </c>
      <c r="AR293" s="12">
        <f t="shared" si="369"/>
        <v>0</v>
      </c>
      <c r="AS293" s="12">
        <f t="shared" si="412"/>
        <v>0</v>
      </c>
      <c r="AT293" s="12">
        <f t="shared" si="400"/>
        <v>0</v>
      </c>
      <c r="AU293" s="12">
        <f t="shared" si="413"/>
        <v>1</v>
      </c>
      <c r="AV293" s="12">
        <f t="shared" si="363"/>
        <v>175</v>
      </c>
    </row>
    <row r="294" spans="1:48 16349:16382" ht="49.5" x14ac:dyDescent="0.25">
      <c r="A294" s="60">
        <v>7</v>
      </c>
      <c r="B294" s="91" t="s">
        <v>678</v>
      </c>
      <c r="C294" s="61" t="s">
        <v>679</v>
      </c>
      <c r="D294" s="61" t="s">
        <v>680</v>
      </c>
      <c r="E294" s="126" t="s">
        <v>199</v>
      </c>
      <c r="F294" s="95" t="s">
        <v>681</v>
      </c>
      <c r="G294" s="68">
        <v>14893</v>
      </c>
      <c r="H294" s="80">
        <f t="shared" si="414"/>
        <v>14893</v>
      </c>
      <c r="I294" s="63"/>
      <c r="J294" s="63"/>
      <c r="K294" s="63"/>
      <c r="L294" s="63"/>
      <c r="M294" s="68">
        <v>3700</v>
      </c>
      <c r="N294" s="63">
        <v>3700</v>
      </c>
      <c r="O294" s="68">
        <f>M294</f>
        <v>3700</v>
      </c>
      <c r="P294" s="63">
        <v>3700</v>
      </c>
      <c r="Q294" s="54">
        <f t="shared" ref="Q294" si="418">T294-N294</f>
        <v>0</v>
      </c>
      <c r="R294" s="54"/>
      <c r="S294" s="68">
        <f>O294</f>
        <v>3700</v>
      </c>
      <c r="T294" s="63">
        <v>3700</v>
      </c>
      <c r="U294" s="63"/>
      <c r="V294" s="63"/>
      <c r="W294" s="63">
        <f>X294</f>
        <v>3000</v>
      </c>
      <c r="X294" s="63">
        <v>3000</v>
      </c>
      <c r="Y294" s="63">
        <f>Z294</f>
        <v>0</v>
      </c>
      <c r="Z294" s="63"/>
      <c r="AA294" s="63">
        <f t="shared" si="405"/>
        <v>3000</v>
      </c>
      <c r="AB294" s="63">
        <f t="shared" si="405"/>
        <v>3000</v>
      </c>
      <c r="AC294" s="63">
        <f t="shared" si="406"/>
        <v>700</v>
      </c>
      <c r="AD294" s="63">
        <f t="shared" si="406"/>
        <v>700</v>
      </c>
      <c r="AE294" s="63">
        <f t="shared" si="407"/>
        <v>0</v>
      </c>
      <c r="AF294" s="63">
        <f t="shared" si="408"/>
        <v>0</v>
      </c>
      <c r="AG294" s="63"/>
      <c r="AH294" s="63"/>
      <c r="AI294" s="25" t="s">
        <v>682</v>
      </c>
      <c r="AJ294" s="19">
        <f t="shared" si="384"/>
        <v>0</v>
      </c>
      <c r="AK294" s="22">
        <f t="shared" si="351"/>
        <v>0</v>
      </c>
      <c r="AL294" s="22"/>
      <c r="AM294" s="12">
        <f t="shared" si="409"/>
        <v>1</v>
      </c>
      <c r="AO294" s="12">
        <f t="shared" si="410"/>
        <v>0</v>
      </c>
      <c r="AP294" s="12">
        <f t="shared" si="361"/>
        <v>0</v>
      </c>
      <c r="AQ294" s="12">
        <f t="shared" si="411"/>
        <v>0</v>
      </c>
      <c r="AR294" s="12">
        <f t="shared" si="369"/>
        <v>0</v>
      </c>
      <c r="AS294" s="12">
        <f t="shared" si="412"/>
        <v>0</v>
      </c>
      <c r="AT294" s="12">
        <f t="shared" si="400"/>
        <v>0</v>
      </c>
      <c r="AU294" s="12">
        <f t="shared" si="413"/>
        <v>0</v>
      </c>
      <c r="AV294" s="12">
        <f t="shared" si="363"/>
        <v>0</v>
      </c>
    </row>
    <row r="295" spans="1:48 16349:16382" ht="49.5" x14ac:dyDescent="0.25">
      <c r="A295" s="60">
        <v>8</v>
      </c>
      <c r="B295" s="91" t="s">
        <v>683</v>
      </c>
      <c r="C295" s="61" t="s">
        <v>684</v>
      </c>
      <c r="D295" s="70" t="s">
        <v>685</v>
      </c>
      <c r="E295" s="70">
        <v>2016</v>
      </c>
      <c r="F295" s="61" t="s">
        <v>686</v>
      </c>
      <c r="G295" s="68">
        <v>999</v>
      </c>
      <c r="H295" s="80">
        <f t="shared" si="414"/>
        <v>999</v>
      </c>
      <c r="I295" s="63"/>
      <c r="J295" s="63"/>
      <c r="K295" s="63"/>
      <c r="L295" s="63"/>
      <c r="M295" s="68">
        <f t="shared" si="415"/>
        <v>1000</v>
      </c>
      <c r="N295" s="63">
        <v>1000</v>
      </c>
      <c r="O295" s="68">
        <f t="shared" si="416"/>
        <v>1000</v>
      </c>
      <c r="P295" s="63">
        <v>1000</v>
      </c>
      <c r="Q295" s="54"/>
      <c r="R295" s="8">
        <f>N295-T295</f>
        <v>60</v>
      </c>
      <c r="S295" s="151">
        <f t="shared" ref="S295:S297" si="419">T295</f>
        <v>940</v>
      </c>
      <c r="T295" s="149">
        <v>940</v>
      </c>
      <c r="U295" s="63">
        <f>V295</f>
        <v>850</v>
      </c>
      <c r="V295" s="63">
        <v>850</v>
      </c>
      <c r="W295" s="63"/>
      <c r="X295" s="63"/>
      <c r="Y295" s="63"/>
      <c r="Z295" s="63"/>
      <c r="AA295" s="63">
        <f t="shared" si="405"/>
        <v>850</v>
      </c>
      <c r="AB295" s="63">
        <f t="shared" si="405"/>
        <v>850</v>
      </c>
      <c r="AC295" s="63">
        <f t="shared" si="406"/>
        <v>150</v>
      </c>
      <c r="AD295" s="63">
        <f t="shared" si="406"/>
        <v>150</v>
      </c>
      <c r="AE295" s="63">
        <f t="shared" si="407"/>
        <v>0</v>
      </c>
      <c r="AF295" s="63">
        <f t="shared" si="408"/>
        <v>0</v>
      </c>
      <c r="AG295" s="63"/>
      <c r="AH295" s="63"/>
      <c r="AI295" s="25" t="s">
        <v>404</v>
      </c>
      <c r="AJ295" s="19">
        <f t="shared" si="384"/>
        <v>1</v>
      </c>
      <c r="AK295" s="22">
        <f t="shared" si="351"/>
        <v>1</v>
      </c>
      <c r="AL295" s="22"/>
      <c r="AM295" s="12">
        <f t="shared" si="409"/>
        <v>0</v>
      </c>
      <c r="AO295" s="12">
        <f t="shared" si="410"/>
        <v>0</v>
      </c>
      <c r="AP295" s="12">
        <f t="shared" si="361"/>
        <v>0</v>
      </c>
      <c r="AQ295" s="12">
        <f t="shared" si="411"/>
        <v>0</v>
      </c>
      <c r="AR295" s="12">
        <f t="shared" si="369"/>
        <v>0</v>
      </c>
      <c r="AS295" s="12">
        <f t="shared" si="412"/>
        <v>0</v>
      </c>
      <c r="AT295" s="12">
        <f t="shared" si="400"/>
        <v>0</v>
      </c>
      <c r="AU295" s="12">
        <f t="shared" si="413"/>
        <v>1</v>
      </c>
      <c r="AV295" s="12">
        <f t="shared" si="363"/>
        <v>60</v>
      </c>
    </row>
    <row r="296" spans="1:48 16349:16382" ht="66" x14ac:dyDescent="0.25">
      <c r="A296" s="60">
        <v>9</v>
      </c>
      <c r="B296" s="91" t="s">
        <v>687</v>
      </c>
      <c r="C296" s="70" t="s">
        <v>336</v>
      </c>
      <c r="D296" s="61" t="s">
        <v>688</v>
      </c>
      <c r="E296" s="70">
        <v>2016</v>
      </c>
      <c r="F296" s="61" t="s">
        <v>689</v>
      </c>
      <c r="G296" s="68">
        <v>7808</v>
      </c>
      <c r="H296" s="80">
        <f t="shared" si="414"/>
        <v>7808</v>
      </c>
      <c r="I296" s="63"/>
      <c r="J296" s="63"/>
      <c r="K296" s="63"/>
      <c r="L296" s="63"/>
      <c r="M296" s="68">
        <f t="shared" si="415"/>
        <v>7070</v>
      </c>
      <c r="N296" s="63">
        <v>7070</v>
      </c>
      <c r="O296" s="68">
        <f t="shared" si="416"/>
        <v>7070</v>
      </c>
      <c r="P296" s="63">
        <v>7070</v>
      </c>
      <c r="Q296" s="54">
        <f t="shared" ref="Q296:Q297" si="420">T296-N296</f>
        <v>0</v>
      </c>
      <c r="R296" s="54"/>
      <c r="S296" s="68">
        <f t="shared" si="419"/>
        <v>7070</v>
      </c>
      <c r="T296" s="63">
        <v>7070</v>
      </c>
      <c r="U296" s="63">
        <f>V296</f>
        <v>2600</v>
      </c>
      <c r="V296" s="63">
        <v>2600</v>
      </c>
      <c r="W296" s="63">
        <f>X296</f>
        <v>3000</v>
      </c>
      <c r="X296" s="63">
        <v>3000</v>
      </c>
      <c r="Y296" s="63">
        <f>Z296</f>
        <v>0</v>
      </c>
      <c r="Z296" s="63"/>
      <c r="AA296" s="63">
        <f t="shared" si="405"/>
        <v>5600</v>
      </c>
      <c r="AB296" s="63">
        <f t="shared" si="405"/>
        <v>5600</v>
      </c>
      <c r="AC296" s="63">
        <f t="shared" si="406"/>
        <v>1470</v>
      </c>
      <c r="AD296" s="63">
        <f t="shared" si="406"/>
        <v>1470</v>
      </c>
      <c r="AE296" s="63">
        <f t="shared" si="407"/>
        <v>0</v>
      </c>
      <c r="AF296" s="63">
        <f t="shared" si="408"/>
        <v>0</v>
      </c>
      <c r="AG296" s="63"/>
      <c r="AH296" s="63"/>
      <c r="AI296" s="69"/>
      <c r="AJ296" s="19">
        <f t="shared" si="384"/>
        <v>0</v>
      </c>
      <c r="AK296" s="22">
        <f t="shared" si="351"/>
        <v>0</v>
      </c>
      <c r="AL296" s="22"/>
      <c r="AM296" s="12">
        <f t="shared" si="409"/>
        <v>1</v>
      </c>
      <c r="AO296" s="12">
        <f t="shared" si="410"/>
        <v>0</v>
      </c>
      <c r="AP296" s="12">
        <f t="shared" si="361"/>
        <v>0</v>
      </c>
      <c r="AQ296" s="12">
        <f t="shared" si="411"/>
        <v>0</v>
      </c>
      <c r="AR296" s="12">
        <f t="shared" si="369"/>
        <v>0</v>
      </c>
      <c r="AS296" s="12">
        <f t="shared" si="412"/>
        <v>0</v>
      </c>
      <c r="AT296" s="12">
        <f t="shared" si="400"/>
        <v>0</v>
      </c>
      <c r="AU296" s="12">
        <f t="shared" si="413"/>
        <v>0</v>
      </c>
      <c r="AV296" s="12">
        <f t="shared" si="363"/>
        <v>0</v>
      </c>
    </row>
    <row r="297" spans="1:48 16349:16382" ht="115.5" x14ac:dyDescent="0.25">
      <c r="A297" s="60">
        <v>10</v>
      </c>
      <c r="B297" s="91" t="s">
        <v>690</v>
      </c>
      <c r="C297" s="70" t="s">
        <v>336</v>
      </c>
      <c r="D297" s="61" t="s">
        <v>691</v>
      </c>
      <c r="E297" s="70" t="s">
        <v>72</v>
      </c>
      <c r="F297" s="61" t="s">
        <v>692</v>
      </c>
      <c r="G297" s="68">
        <v>15640</v>
      </c>
      <c r="H297" s="80">
        <f t="shared" si="414"/>
        <v>15640</v>
      </c>
      <c r="I297" s="63"/>
      <c r="J297" s="63"/>
      <c r="K297" s="63"/>
      <c r="L297" s="63"/>
      <c r="M297" s="68">
        <f t="shared" si="415"/>
        <v>14620</v>
      </c>
      <c r="N297" s="63">
        <v>14620</v>
      </c>
      <c r="O297" s="68">
        <f t="shared" si="416"/>
        <v>14620</v>
      </c>
      <c r="P297" s="63">
        <v>14620</v>
      </c>
      <c r="Q297" s="54">
        <f t="shared" si="420"/>
        <v>0</v>
      </c>
      <c r="R297" s="8"/>
      <c r="S297" s="151">
        <f t="shared" si="419"/>
        <v>14620</v>
      </c>
      <c r="T297" s="149">
        <f>P297</f>
        <v>14620</v>
      </c>
      <c r="U297" s="63">
        <f>V297</f>
        <v>14620</v>
      </c>
      <c r="V297" s="63">
        <v>14620</v>
      </c>
      <c r="W297" s="63"/>
      <c r="X297" s="63"/>
      <c r="Y297" s="63"/>
      <c r="Z297" s="63"/>
      <c r="AA297" s="63">
        <f t="shared" si="405"/>
        <v>14620</v>
      </c>
      <c r="AB297" s="63">
        <f t="shared" si="405"/>
        <v>14620</v>
      </c>
      <c r="AC297" s="63">
        <f t="shared" si="406"/>
        <v>0</v>
      </c>
      <c r="AD297" s="63">
        <f t="shared" si="406"/>
        <v>0</v>
      </c>
      <c r="AE297" s="63">
        <f t="shared" si="407"/>
        <v>0</v>
      </c>
      <c r="AF297" s="63">
        <f t="shared" si="408"/>
        <v>0</v>
      </c>
      <c r="AG297" s="63"/>
      <c r="AH297" s="63"/>
      <c r="AI297" s="25"/>
      <c r="AJ297" s="19">
        <f t="shared" si="384"/>
        <v>0</v>
      </c>
      <c r="AK297" s="22">
        <f t="shared" si="351"/>
        <v>0</v>
      </c>
      <c r="AL297" s="22"/>
      <c r="AM297" s="12">
        <f t="shared" si="409"/>
        <v>1</v>
      </c>
      <c r="AO297" s="12">
        <f t="shared" si="410"/>
        <v>0</v>
      </c>
      <c r="AP297" s="12">
        <f t="shared" si="361"/>
        <v>0</v>
      </c>
      <c r="AQ297" s="12">
        <f t="shared" si="411"/>
        <v>0</v>
      </c>
      <c r="AR297" s="12">
        <f t="shared" si="369"/>
        <v>0</v>
      </c>
      <c r="AS297" s="12">
        <f t="shared" si="412"/>
        <v>0</v>
      </c>
      <c r="AT297" s="12">
        <f t="shared" si="400"/>
        <v>0</v>
      </c>
      <c r="AU297" s="12">
        <f t="shared" si="413"/>
        <v>0</v>
      </c>
      <c r="AV297" s="12">
        <f t="shared" si="363"/>
        <v>0</v>
      </c>
    </row>
    <row r="298" spans="1:48 16349:16382" ht="49.5" x14ac:dyDescent="0.25">
      <c r="A298" s="60">
        <v>11</v>
      </c>
      <c r="B298" s="91" t="s">
        <v>675</v>
      </c>
      <c r="C298" s="70" t="s">
        <v>52</v>
      </c>
      <c r="D298" s="61" t="s">
        <v>693</v>
      </c>
      <c r="E298" s="70" t="s">
        <v>109</v>
      </c>
      <c r="F298" s="95" t="s">
        <v>694</v>
      </c>
      <c r="G298" s="68">
        <v>4700</v>
      </c>
      <c r="H298" s="80">
        <f>G298</f>
        <v>4700</v>
      </c>
      <c r="I298" s="63"/>
      <c r="J298" s="63"/>
      <c r="K298" s="63"/>
      <c r="L298" s="63"/>
      <c r="M298" s="68">
        <f>N298</f>
        <v>4500</v>
      </c>
      <c r="N298" s="63">
        <v>4500</v>
      </c>
      <c r="O298" s="68">
        <f>P298</f>
        <v>4500</v>
      </c>
      <c r="P298" s="63">
        <v>4500</v>
      </c>
      <c r="Q298" s="54">
        <f t="shared" ref="Q298:Q303" si="421">T298-N298</f>
        <v>0</v>
      </c>
      <c r="R298" s="54"/>
      <c r="S298" s="68">
        <f>T298</f>
        <v>4500</v>
      </c>
      <c r="T298" s="63">
        <v>4500</v>
      </c>
      <c r="U298" s="63"/>
      <c r="V298" s="63"/>
      <c r="W298" s="63">
        <f>X298</f>
        <v>3700</v>
      </c>
      <c r="X298" s="63">
        <v>3700</v>
      </c>
      <c r="Y298" s="63">
        <f>Z298</f>
        <v>0</v>
      </c>
      <c r="Z298" s="63"/>
      <c r="AA298" s="63">
        <f t="shared" si="405"/>
        <v>3700</v>
      </c>
      <c r="AB298" s="63">
        <f t="shared" si="405"/>
        <v>3700</v>
      </c>
      <c r="AC298" s="63">
        <f t="shared" si="406"/>
        <v>800</v>
      </c>
      <c r="AD298" s="63">
        <f t="shared" si="406"/>
        <v>800</v>
      </c>
      <c r="AE298" s="63">
        <f t="shared" si="407"/>
        <v>0</v>
      </c>
      <c r="AF298" s="63">
        <f t="shared" si="408"/>
        <v>0</v>
      </c>
      <c r="AG298" s="63"/>
      <c r="AH298" s="63"/>
      <c r="AI298" s="69"/>
      <c r="AJ298" s="19">
        <f t="shared" si="384"/>
        <v>0</v>
      </c>
      <c r="AK298" s="22">
        <f t="shared" si="351"/>
        <v>0</v>
      </c>
      <c r="AL298" s="22"/>
      <c r="AM298" s="12">
        <f t="shared" si="409"/>
        <v>1</v>
      </c>
      <c r="AO298" s="12">
        <f t="shared" si="410"/>
        <v>0</v>
      </c>
      <c r="AP298" s="12">
        <f t="shared" si="361"/>
        <v>0</v>
      </c>
      <c r="AQ298" s="12">
        <f t="shared" si="411"/>
        <v>0</v>
      </c>
      <c r="AR298" s="12">
        <f t="shared" si="369"/>
        <v>0</v>
      </c>
      <c r="AS298" s="12">
        <f t="shared" si="412"/>
        <v>0</v>
      </c>
      <c r="AT298" s="12">
        <f t="shared" si="400"/>
        <v>0</v>
      </c>
      <c r="AU298" s="12">
        <f t="shared" si="413"/>
        <v>0</v>
      </c>
      <c r="AV298" s="12">
        <f t="shared" si="363"/>
        <v>0</v>
      </c>
    </row>
    <row r="299" spans="1:48 16349:16382" ht="49.5" x14ac:dyDescent="0.25">
      <c r="A299" s="60">
        <v>12</v>
      </c>
      <c r="B299" s="91" t="s">
        <v>695</v>
      </c>
      <c r="C299" s="61" t="s">
        <v>104</v>
      </c>
      <c r="D299" s="70"/>
      <c r="E299" s="70" t="s">
        <v>97</v>
      </c>
      <c r="F299" s="61" t="s">
        <v>696</v>
      </c>
      <c r="G299" s="68">
        <v>14999</v>
      </c>
      <c r="H299" s="80">
        <f t="shared" ref="H299:H306" si="422">G299</f>
        <v>14999</v>
      </c>
      <c r="I299" s="63"/>
      <c r="J299" s="63"/>
      <c r="K299" s="63"/>
      <c r="L299" s="63"/>
      <c r="M299" s="68">
        <f>N299</f>
        <v>12500</v>
      </c>
      <c r="N299" s="63">
        <v>12500</v>
      </c>
      <c r="O299" s="68">
        <f>P299</f>
        <v>12500</v>
      </c>
      <c r="P299" s="63">
        <v>12500</v>
      </c>
      <c r="Q299" s="54">
        <f t="shared" si="421"/>
        <v>0</v>
      </c>
      <c r="R299" s="54"/>
      <c r="S299" s="68">
        <f>T299</f>
        <v>12500</v>
      </c>
      <c r="T299" s="63">
        <v>12500</v>
      </c>
      <c r="U299" s="63"/>
      <c r="V299" s="63"/>
      <c r="W299" s="63">
        <f>X299</f>
        <v>7000</v>
      </c>
      <c r="X299" s="63">
        <v>7000</v>
      </c>
      <c r="Y299" s="63">
        <f>Z299</f>
        <v>0</v>
      </c>
      <c r="Z299" s="63"/>
      <c r="AA299" s="63">
        <f t="shared" si="405"/>
        <v>7000</v>
      </c>
      <c r="AB299" s="63">
        <f t="shared" si="405"/>
        <v>7000</v>
      </c>
      <c r="AC299" s="63">
        <f t="shared" si="406"/>
        <v>5500</v>
      </c>
      <c r="AD299" s="63">
        <f t="shared" si="406"/>
        <v>5500</v>
      </c>
      <c r="AE299" s="63">
        <f t="shared" si="407"/>
        <v>0</v>
      </c>
      <c r="AF299" s="63">
        <f t="shared" si="408"/>
        <v>0</v>
      </c>
      <c r="AG299" s="63"/>
      <c r="AH299" s="63"/>
      <c r="AI299" s="69"/>
      <c r="AJ299" s="19">
        <f t="shared" si="384"/>
        <v>0</v>
      </c>
      <c r="AK299" s="22">
        <f t="shared" si="351"/>
        <v>0</v>
      </c>
      <c r="AL299" s="22"/>
      <c r="AM299" s="12">
        <f t="shared" si="409"/>
        <v>1</v>
      </c>
      <c r="AO299" s="12">
        <f t="shared" si="410"/>
        <v>0</v>
      </c>
      <c r="AP299" s="12">
        <f t="shared" si="361"/>
        <v>0</v>
      </c>
      <c r="AQ299" s="12">
        <f t="shared" si="411"/>
        <v>0</v>
      </c>
      <c r="AR299" s="12">
        <f t="shared" si="369"/>
        <v>0</v>
      </c>
      <c r="AS299" s="12">
        <f t="shared" si="412"/>
        <v>0</v>
      </c>
      <c r="AT299" s="12">
        <f t="shared" si="400"/>
        <v>0</v>
      </c>
      <c r="AU299" s="12">
        <f t="shared" si="413"/>
        <v>0</v>
      </c>
      <c r="AV299" s="12">
        <f t="shared" si="363"/>
        <v>0</v>
      </c>
    </row>
    <row r="300" spans="1:48 16349:16382" ht="49.5" x14ac:dyDescent="0.25">
      <c r="A300" s="60">
        <v>13</v>
      </c>
      <c r="B300" s="91" t="s">
        <v>697</v>
      </c>
      <c r="C300" s="61" t="s">
        <v>104</v>
      </c>
      <c r="D300" s="70"/>
      <c r="E300" s="70" t="s">
        <v>698</v>
      </c>
      <c r="F300" s="61" t="s">
        <v>699</v>
      </c>
      <c r="G300" s="68">
        <v>125000</v>
      </c>
      <c r="H300" s="80">
        <v>37500</v>
      </c>
      <c r="I300" s="63"/>
      <c r="J300" s="63"/>
      <c r="K300" s="63"/>
      <c r="L300" s="63"/>
      <c r="M300" s="68">
        <v>112500</v>
      </c>
      <c r="N300" s="63">
        <v>33750</v>
      </c>
      <c r="O300" s="68">
        <v>112500</v>
      </c>
      <c r="P300" s="63">
        <v>33750</v>
      </c>
      <c r="Q300" s="54">
        <f t="shared" si="421"/>
        <v>0</v>
      </c>
      <c r="R300" s="54"/>
      <c r="S300" s="68">
        <v>112500</v>
      </c>
      <c r="T300" s="63">
        <v>33750</v>
      </c>
      <c r="U300" s="63"/>
      <c r="V300" s="63"/>
      <c r="W300" s="63">
        <f>X300</f>
        <v>0</v>
      </c>
      <c r="X300" s="63"/>
      <c r="Y300" s="63">
        <f>Z300</f>
        <v>15000</v>
      </c>
      <c r="Z300" s="63">
        <v>15000</v>
      </c>
      <c r="AA300" s="63">
        <f t="shared" si="405"/>
        <v>15000</v>
      </c>
      <c r="AB300" s="63">
        <f t="shared" si="405"/>
        <v>15000</v>
      </c>
      <c r="AC300" s="63">
        <f t="shared" si="406"/>
        <v>97500</v>
      </c>
      <c r="AD300" s="63">
        <f t="shared" si="406"/>
        <v>18750</v>
      </c>
      <c r="AE300" s="63">
        <f t="shared" si="407"/>
        <v>0</v>
      </c>
      <c r="AF300" s="63">
        <f t="shared" si="408"/>
        <v>0</v>
      </c>
      <c r="AG300" s="63"/>
      <c r="AH300" s="63"/>
      <c r="AI300" s="25" t="s">
        <v>700</v>
      </c>
      <c r="AJ300" s="19">
        <f t="shared" si="384"/>
        <v>0</v>
      </c>
      <c r="AK300" s="22">
        <f t="shared" si="351"/>
        <v>0</v>
      </c>
      <c r="AL300" s="22"/>
      <c r="AM300" s="12">
        <f t="shared" si="409"/>
        <v>1</v>
      </c>
      <c r="AO300" s="12">
        <f t="shared" si="410"/>
        <v>0</v>
      </c>
      <c r="AP300" s="12">
        <f t="shared" si="361"/>
        <v>0</v>
      </c>
      <c r="AQ300" s="12">
        <f t="shared" si="411"/>
        <v>0</v>
      </c>
      <c r="AR300" s="12">
        <f t="shared" si="369"/>
        <v>0</v>
      </c>
      <c r="AS300" s="12">
        <f t="shared" si="412"/>
        <v>0</v>
      </c>
      <c r="AT300" s="12">
        <f t="shared" si="400"/>
        <v>0</v>
      </c>
      <c r="AU300" s="12">
        <f t="shared" si="413"/>
        <v>0</v>
      </c>
      <c r="AV300" s="12">
        <f t="shared" si="363"/>
        <v>0</v>
      </c>
    </row>
    <row r="301" spans="1:48 16349:16382" ht="82.5" x14ac:dyDescent="0.25">
      <c r="A301" s="60">
        <v>14</v>
      </c>
      <c r="B301" s="91" t="s">
        <v>701</v>
      </c>
      <c r="C301" s="61" t="s">
        <v>702</v>
      </c>
      <c r="D301" s="61" t="s">
        <v>703</v>
      </c>
      <c r="E301" s="70" t="s">
        <v>252</v>
      </c>
      <c r="F301" s="61" t="s">
        <v>704</v>
      </c>
      <c r="G301" s="74">
        <v>33569</v>
      </c>
      <c r="H301" s="80">
        <f t="shared" si="422"/>
        <v>33569</v>
      </c>
      <c r="I301" s="63"/>
      <c r="J301" s="63"/>
      <c r="K301" s="63"/>
      <c r="L301" s="63"/>
      <c r="M301" s="68">
        <f>N301</f>
        <v>29200</v>
      </c>
      <c r="N301" s="63">
        <v>29200</v>
      </c>
      <c r="O301" s="68">
        <f>P301</f>
        <v>29200</v>
      </c>
      <c r="P301" s="63">
        <v>29200</v>
      </c>
      <c r="Q301" s="54">
        <f t="shared" si="421"/>
        <v>0</v>
      </c>
      <c r="R301" s="54"/>
      <c r="S301" s="68">
        <f>T301</f>
        <v>29200</v>
      </c>
      <c r="T301" s="63">
        <v>29200</v>
      </c>
      <c r="U301" s="63"/>
      <c r="V301" s="63"/>
      <c r="W301" s="63">
        <f>X301</f>
        <v>15000</v>
      </c>
      <c r="X301" s="63">
        <v>15000</v>
      </c>
      <c r="Y301" s="63">
        <f>Z301</f>
        <v>13000</v>
      </c>
      <c r="Z301" s="63">
        <v>13000</v>
      </c>
      <c r="AA301" s="63">
        <f t="shared" si="405"/>
        <v>28000</v>
      </c>
      <c r="AB301" s="63">
        <f t="shared" si="405"/>
        <v>28000</v>
      </c>
      <c r="AC301" s="63">
        <f t="shared" si="406"/>
        <v>1200</v>
      </c>
      <c r="AD301" s="63">
        <f t="shared" si="406"/>
        <v>1200</v>
      </c>
      <c r="AE301" s="63">
        <f t="shared" si="407"/>
        <v>0</v>
      </c>
      <c r="AF301" s="63">
        <f t="shared" si="408"/>
        <v>0</v>
      </c>
      <c r="AG301" s="63"/>
      <c r="AH301" s="63"/>
      <c r="AI301" s="69"/>
      <c r="AJ301" s="19">
        <f t="shared" si="384"/>
        <v>0</v>
      </c>
      <c r="AK301" s="22">
        <f t="shared" si="351"/>
        <v>0</v>
      </c>
      <c r="AL301" s="22"/>
      <c r="AM301" s="12">
        <f t="shared" si="409"/>
        <v>1</v>
      </c>
      <c r="AO301" s="12">
        <f t="shared" si="410"/>
        <v>0</v>
      </c>
      <c r="AP301" s="12">
        <f t="shared" si="361"/>
        <v>0</v>
      </c>
      <c r="AQ301" s="12">
        <f t="shared" si="411"/>
        <v>0</v>
      </c>
      <c r="AR301" s="12">
        <f t="shared" si="369"/>
        <v>0</v>
      </c>
      <c r="AS301" s="12">
        <f t="shared" si="412"/>
        <v>0</v>
      </c>
      <c r="AT301" s="12">
        <f t="shared" si="400"/>
        <v>0</v>
      </c>
      <c r="AU301" s="12">
        <f t="shared" si="413"/>
        <v>0</v>
      </c>
      <c r="AV301" s="12">
        <f t="shared" si="363"/>
        <v>0</v>
      </c>
    </row>
    <row r="302" spans="1:48 16349:16382" ht="49.5" x14ac:dyDescent="0.25">
      <c r="A302" s="60">
        <v>15</v>
      </c>
      <c r="B302" s="91" t="s">
        <v>705</v>
      </c>
      <c r="C302" s="61" t="s">
        <v>146</v>
      </c>
      <c r="D302" s="61" t="s">
        <v>706</v>
      </c>
      <c r="E302" s="70" t="s">
        <v>109</v>
      </c>
      <c r="F302" s="61" t="s">
        <v>707</v>
      </c>
      <c r="G302" s="68">
        <v>13014</v>
      </c>
      <c r="H302" s="80">
        <f>G302</f>
        <v>13014</v>
      </c>
      <c r="I302" s="63"/>
      <c r="J302" s="63"/>
      <c r="K302" s="63"/>
      <c r="L302" s="63"/>
      <c r="M302" s="68">
        <v>11700</v>
      </c>
      <c r="N302" s="63">
        <f>M302</f>
        <v>11700</v>
      </c>
      <c r="O302" s="68">
        <v>11700</v>
      </c>
      <c r="P302" s="63">
        <f>O302</f>
        <v>11700</v>
      </c>
      <c r="Q302" s="54">
        <f t="shared" si="421"/>
        <v>0</v>
      </c>
      <c r="R302" s="54"/>
      <c r="S302" s="68">
        <v>11700</v>
      </c>
      <c r="T302" s="63">
        <f>S302</f>
        <v>11700</v>
      </c>
      <c r="U302" s="63"/>
      <c r="V302" s="63"/>
      <c r="W302" s="63">
        <f>X302</f>
        <v>6000</v>
      </c>
      <c r="X302" s="63">
        <v>6000</v>
      </c>
      <c r="Y302" s="63">
        <f>Z302</f>
        <v>5000</v>
      </c>
      <c r="Z302" s="63">
        <v>5000</v>
      </c>
      <c r="AA302" s="63">
        <f t="shared" si="405"/>
        <v>11000</v>
      </c>
      <c r="AB302" s="63">
        <f t="shared" si="405"/>
        <v>11000</v>
      </c>
      <c r="AC302" s="63">
        <f t="shared" si="406"/>
        <v>700</v>
      </c>
      <c r="AD302" s="63">
        <f t="shared" si="406"/>
        <v>700</v>
      </c>
      <c r="AE302" s="63">
        <f t="shared" si="407"/>
        <v>0</v>
      </c>
      <c r="AF302" s="63">
        <f t="shared" si="408"/>
        <v>0</v>
      </c>
      <c r="AG302" s="63"/>
      <c r="AH302" s="63"/>
      <c r="AI302" s="69"/>
      <c r="AJ302" s="19">
        <f t="shared" si="384"/>
        <v>0</v>
      </c>
      <c r="AK302" s="22">
        <f t="shared" si="351"/>
        <v>0</v>
      </c>
      <c r="AL302" s="22"/>
      <c r="AM302" s="12">
        <f t="shared" si="409"/>
        <v>1</v>
      </c>
      <c r="AO302" s="12">
        <f t="shared" si="410"/>
        <v>0</v>
      </c>
      <c r="AP302" s="12">
        <f t="shared" si="361"/>
        <v>0</v>
      </c>
      <c r="AQ302" s="12">
        <f t="shared" si="411"/>
        <v>0</v>
      </c>
      <c r="AR302" s="12">
        <f t="shared" si="369"/>
        <v>0</v>
      </c>
      <c r="AS302" s="12">
        <f t="shared" si="412"/>
        <v>0</v>
      </c>
      <c r="AT302" s="12">
        <f t="shared" si="400"/>
        <v>0</v>
      </c>
      <c r="AU302" s="12">
        <f t="shared" si="413"/>
        <v>0</v>
      </c>
      <c r="AV302" s="12">
        <f t="shared" si="363"/>
        <v>0</v>
      </c>
    </row>
    <row r="303" spans="1:48 16349:16382" ht="74.25" customHeight="1" x14ac:dyDescent="0.25">
      <c r="A303" s="60">
        <v>16</v>
      </c>
      <c r="B303" s="91" t="s">
        <v>708</v>
      </c>
      <c r="C303" s="61" t="s">
        <v>709</v>
      </c>
      <c r="D303" s="61" t="s">
        <v>710</v>
      </c>
      <c r="E303" s="70" t="s">
        <v>461</v>
      </c>
      <c r="F303" s="61" t="s">
        <v>711</v>
      </c>
      <c r="G303" s="68">
        <f t="shared" ref="G303:G305" si="423">H303</f>
        <v>6295</v>
      </c>
      <c r="H303" s="80">
        <v>6295</v>
      </c>
      <c r="I303" s="63"/>
      <c r="J303" s="63"/>
      <c r="K303" s="63"/>
      <c r="L303" s="63"/>
      <c r="M303" s="68">
        <f>N303</f>
        <v>5500</v>
      </c>
      <c r="N303" s="63">
        <v>5500</v>
      </c>
      <c r="O303" s="68">
        <f>P303</f>
        <v>5700</v>
      </c>
      <c r="P303" s="63">
        <v>5700</v>
      </c>
      <c r="Q303" s="54">
        <f t="shared" si="421"/>
        <v>200</v>
      </c>
      <c r="R303" s="54"/>
      <c r="S303" s="68">
        <f>T303</f>
        <v>5700</v>
      </c>
      <c r="T303" s="63">
        <v>5700</v>
      </c>
      <c r="U303" s="63"/>
      <c r="V303" s="63"/>
      <c r="W303" s="63"/>
      <c r="X303" s="63"/>
      <c r="Y303" s="63"/>
      <c r="Z303" s="63"/>
      <c r="AA303" s="63">
        <f t="shared" si="405"/>
        <v>0</v>
      </c>
      <c r="AB303" s="63">
        <f t="shared" si="405"/>
        <v>0</v>
      </c>
      <c r="AC303" s="63">
        <f t="shared" si="406"/>
        <v>5700</v>
      </c>
      <c r="AD303" s="63">
        <f t="shared" si="406"/>
        <v>5700</v>
      </c>
      <c r="AE303" s="63">
        <f t="shared" si="407"/>
        <v>5700</v>
      </c>
      <c r="AF303" s="63">
        <f t="shared" si="408"/>
        <v>5700</v>
      </c>
      <c r="AG303" s="63"/>
      <c r="AH303" s="63"/>
      <c r="AI303" s="25"/>
      <c r="AJ303" s="19">
        <f t="shared" si="384"/>
        <v>1</v>
      </c>
      <c r="AK303" s="22">
        <f t="shared" si="351"/>
        <v>1</v>
      </c>
      <c r="AL303" s="22"/>
      <c r="AM303" s="12">
        <f t="shared" si="409"/>
        <v>0</v>
      </c>
      <c r="AO303" s="12">
        <f t="shared" si="410"/>
        <v>0</v>
      </c>
      <c r="AP303" s="12">
        <f t="shared" si="361"/>
        <v>0</v>
      </c>
      <c r="AQ303" s="12">
        <f t="shared" si="411"/>
        <v>0</v>
      </c>
      <c r="AR303" s="12">
        <f t="shared" si="369"/>
        <v>0</v>
      </c>
      <c r="AS303" s="12">
        <f t="shared" si="412"/>
        <v>1</v>
      </c>
      <c r="AT303" s="12">
        <f t="shared" si="400"/>
        <v>200</v>
      </c>
      <c r="AU303" s="12">
        <f t="shared" si="413"/>
        <v>0</v>
      </c>
      <c r="AV303" s="12">
        <f t="shared" si="363"/>
        <v>0</v>
      </c>
    </row>
    <row r="304" spans="1:48 16349:16382" ht="72" customHeight="1" x14ac:dyDescent="0.25">
      <c r="A304" s="60">
        <v>17</v>
      </c>
      <c r="B304" s="91" t="s">
        <v>712</v>
      </c>
      <c r="C304" s="61" t="s">
        <v>713</v>
      </c>
      <c r="D304" s="61" t="s">
        <v>714</v>
      </c>
      <c r="E304" s="70" t="s">
        <v>461</v>
      </c>
      <c r="F304" s="61" t="s">
        <v>715</v>
      </c>
      <c r="G304" s="68">
        <f t="shared" si="423"/>
        <v>982</v>
      </c>
      <c r="H304" s="80">
        <v>982</v>
      </c>
      <c r="I304" s="63"/>
      <c r="J304" s="63"/>
      <c r="K304" s="63"/>
      <c r="L304" s="63"/>
      <c r="M304" s="68">
        <f>N304</f>
        <v>9500</v>
      </c>
      <c r="N304" s="63">
        <v>9500</v>
      </c>
      <c r="O304" s="68"/>
      <c r="P304" s="63"/>
      <c r="Q304" s="54"/>
      <c r="R304" s="8">
        <f>N304-T304</f>
        <v>9500</v>
      </c>
      <c r="S304" s="68"/>
      <c r="T304" s="63"/>
      <c r="U304" s="63"/>
      <c r="V304" s="63"/>
      <c r="W304" s="63"/>
      <c r="X304" s="63"/>
      <c r="Y304" s="63"/>
      <c r="Z304" s="63"/>
      <c r="AA304" s="63">
        <f t="shared" si="405"/>
        <v>0</v>
      </c>
      <c r="AB304" s="63">
        <f t="shared" si="405"/>
        <v>0</v>
      </c>
      <c r="AC304" s="63">
        <f t="shared" si="406"/>
        <v>0</v>
      </c>
      <c r="AD304" s="63">
        <f t="shared" si="406"/>
        <v>0</v>
      </c>
      <c r="AE304" s="63">
        <f t="shared" si="407"/>
        <v>0</v>
      </c>
      <c r="AF304" s="63">
        <f t="shared" si="408"/>
        <v>0</v>
      </c>
      <c r="AG304" s="63"/>
      <c r="AH304" s="63"/>
      <c r="AI304" s="25" t="s">
        <v>716</v>
      </c>
      <c r="AJ304" s="19">
        <f t="shared" si="384"/>
        <v>1</v>
      </c>
      <c r="AK304" s="22">
        <f t="shared" si="351"/>
        <v>1</v>
      </c>
      <c r="AL304" s="22"/>
      <c r="AM304" s="12">
        <f t="shared" si="409"/>
        <v>0</v>
      </c>
      <c r="AO304" s="12">
        <f t="shared" si="410"/>
        <v>1</v>
      </c>
      <c r="AP304" s="12">
        <f t="shared" si="361"/>
        <v>9500</v>
      </c>
      <c r="AQ304" s="12">
        <f t="shared" si="411"/>
        <v>0</v>
      </c>
      <c r="AR304" s="12">
        <f t="shared" si="369"/>
        <v>0</v>
      </c>
      <c r="AS304" s="12">
        <f t="shared" si="412"/>
        <v>0</v>
      </c>
      <c r="AT304" s="12">
        <f t="shared" si="400"/>
        <v>0</v>
      </c>
    </row>
    <row r="305" spans="1:48" ht="49.5" x14ac:dyDescent="0.25">
      <c r="A305" s="60">
        <v>18</v>
      </c>
      <c r="B305" s="91" t="s">
        <v>717</v>
      </c>
      <c r="C305" s="61" t="s">
        <v>70</v>
      </c>
      <c r="D305" s="61"/>
      <c r="E305" s="70" t="s">
        <v>116</v>
      </c>
      <c r="F305" s="61" t="s">
        <v>718</v>
      </c>
      <c r="G305" s="68">
        <f t="shared" si="423"/>
        <v>1900</v>
      </c>
      <c r="H305" s="80">
        <v>1900</v>
      </c>
      <c r="I305" s="63"/>
      <c r="J305" s="63"/>
      <c r="K305" s="63"/>
      <c r="L305" s="63"/>
      <c r="M305" s="68">
        <f>N305</f>
        <v>1350</v>
      </c>
      <c r="N305" s="63">
        <v>1350</v>
      </c>
      <c r="O305" s="68">
        <f>P305</f>
        <v>1710</v>
      </c>
      <c r="P305" s="63">
        <f>H305*0.9</f>
        <v>1710</v>
      </c>
      <c r="Q305" s="54">
        <f t="shared" ref="Q305:Q306" si="424">T305-N305</f>
        <v>360</v>
      </c>
      <c r="R305" s="54"/>
      <c r="S305" s="68">
        <f>O305</f>
        <v>1710</v>
      </c>
      <c r="T305" s="68">
        <f>P305</f>
        <v>1710</v>
      </c>
      <c r="U305" s="63"/>
      <c r="V305" s="63"/>
      <c r="W305" s="63">
        <f>X305</f>
        <v>1000</v>
      </c>
      <c r="X305" s="63">
        <v>1000</v>
      </c>
      <c r="Y305" s="63">
        <f>Z305</f>
        <v>350</v>
      </c>
      <c r="Z305" s="63">
        <v>350</v>
      </c>
      <c r="AA305" s="63">
        <f t="shared" si="405"/>
        <v>1350</v>
      </c>
      <c r="AB305" s="63">
        <f t="shared" si="405"/>
        <v>1350</v>
      </c>
      <c r="AC305" s="63">
        <f t="shared" si="406"/>
        <v>360</v>
      </c>
      <c r="AD305" s="63">
        <f t="shared" si="406"/>
        <v>360</v>
      </c>
      <c r="AE305" s="63">
        <f t="shared" si="407"/>
        <v>0</v>
      </c>
      <c r="AF305" s="63">
        <f t="shared" si="408"/>
        <v>0</v>
      </c>
      <c r="AG305" s="63"/>
      <c r="AH305" s="63"/>
      <c r="AI305" s="69"/>
      <c r="AJ305" s="19">
        <f t="shared" si="384"/>
        <v>1</v>
      </c>
      <c r="AK305" s="22">
        <f t="shared" si="351"/>
        <v>1</v>
      </c>
      <c r="AL305" s="22"/>
      <c r="AM305" s="12">
        <f t="shared" si="409"/>
        <v>0</v>
      </c>
      <c r="AO305" s="12">
        <f t="shared" si="410"/>
        <v>0</v>
      </c>
      <c r="AP305" s="12">
        <f t="shared" si="361"/>
        <v>0</v>
      </c>
      <c r="AQ305" s="12">
        <f t="shared" si="411"/>
        <v>0</v>
      </c>
      <c r="AR305" s="12">
        <f t="shared" si="369"/>
        <v>0</v>
      </c>
      <c r="AS305" s="12">
        <f>IF(Q305=0,0,1)</f>
        <v>1</v>
      </c>
      <c r="AT305" s="12">
        <f t="shared" si="400"/>
        <v>360</v>
      </c>
      <c r="AU305" s="12">
        <f>IF(R305=0,0,1)</f>
        <v>0</v>
      </c>
      <c r="AV305" s="12">
        <f t="shared" si="363"/>
        <v>0</v>
      </c>
    </row>
    <row r="306" spans="1:48" ht="42.75" customHeight="1" x14ac:dyDescent="0.25">
      <c r="A306" s="60">
        <v>19</v>
      </c>
      <c r="B306" s="91" t="s">
        <v>719</v>
      </c>
      <c r="C306" s="61" t="s">
        <v>70</v>
      </c>
      <c r="D306" s="61"/>
      <c r="E306" s="70" t="s">
        <v>116</v>
      </c>
      <c r="F306" s="61"/>
      <c r="G306" s="68">
        <v>3400</v>
      </c>
      <c r="H306" s="80">
        <f t="shared" si="422"/>
        <v>3400</v>
      </c>
      <c r="I306" s="63"/>
      <c r="J306" s="63"/>
      <c r="K306" s="63"/>
      <c r="L306" s="63"/>
      <c r="M306" s="68">
        <f>N306</f>
        <v>3060</v>
      </c>
      <c r="N306" s="63">
        <f>H306*0.9</f>
        <v>3060</v>
      </c>
      <c r="O306" s="68">
        <f>P306</f>
        <v>3060</v>
      </c>
      <c r="P306" s="63">
        <f>N306</f>
        <v>3060</v>
      </c>
      <c r="Q306" s="54">
        <f t="shared" si="424"/>
        <v>0</v>
      </c>
      <c r="R306" s="54"/>
      <c r="S306" s="68">
        <f>O306</f>
        <v>3060</v>
      </c>
      <c r="T306" s="68">
        <f>P306</f>
        <v>3060</v>
      </c>
      <c r="U306" s="63"/>
      <c r="V306" s="63"/>
      <c r="W306" s="63"/>
      <c r="X306" s="63"/>
      <c r="Y306" s="63">
        <f>Z306</f>
        <v>2700</v>
      </c>
      <c r="Z306" s="63">
        <v>2700</v>
      </c>
      <c r="AA306" s="63">
        <f t="shared" si="405"/>
        <v>2700</v>
      </c>
      <c r="AB306" s="63">
        <f t="shared" si="405"/>
        <v>2700</v>
      </c>
      <c r="AC306" s="63">
        <f t="shared" si="406"/>
        <v>360</v>
      </c>
      <c r="AD306" s="63">
        <f t="shared" si="406"/>
        <v>360</v>
      </c>
      <c r="AE306" s="63">
        <f t="shared" si="407"/>
        <v>0</v>
      </c>
      <c r="AF306" s="63">
        <f t="shared" si="408"/>
        <v>0</v>
      </c>
      <c r="AG306" s="63"/>
      <c r="AH306" s="63"/>
      <c r="AI306" s="69"/>
      <c r="AJ306" s="19">
        <f t="shared" si="384"/>
        <v>0</v>
      </c>
      <c r="AK306" s="22">
        <f t="shared" si="351"/>
        <v>0</v>
      </c>
      <c r="AL306" s="22"/>
      <c r="AM306" s="12">
        <f t="shared" si="409"/>
        <v>1</v>
      </c>
      <c r="AO306" s="12">
        <f t="shared" si="410"/>
        <v>0</v>
      </c>
      <c r="AP306" s="12">
        <f t="shared" si="361"/>
        <v>0</v>
      </c>
      <c r="AQ306" s="12">
        <f t="shared" si="411"/>
        <v>0</v>
      </c>
      <c r="AR306" s="12">
        <f t="shared" si="369"/>
        <v>0</v>
      </c>
      <c r="AS306" s="12">
        <f>IF(Q306=0,0,1)</f>
        <v>0</v>
      </c>
      <c r="AT306" s="12">
        <f t="shared" si="400"/>
        <v>0</v>
      </c>
      <c r="AU306" s="12">
        <f>IF(R306=0,0,1)</f>
        <v>0</v>
      </c>
      <c r="AV306" s="12">
        <f t="shared" si="363"/>
        <v>0</v>
      </c>
    </row>
    <row r="307" spans="1:48" ht="42.75" customHeight="1" x14ac:dyDescent="0.25">
      <c r="A307" s="60">
        <v>20</v>
      </c>
      <c r="B307" s="91" t="s">
        <v>720</v>
      </c>
      <c r="C307" s="61" t="s">
        <v>70</v>
      </c>
      <c r="D307" s="61"/>
      <c r="E307" s="70" t="s">
        <v>116</v>
      </c>
      <c r="F307" s="61"/>
      <c r="G307" s="68">
        <v>31695</v>
      </c>
      <c r="H307" s="80">
        <v>14263</v>
      </c>
      <c r="I307" s="63"/>
      <c r="J307" s="63"/>
      <c r="K307" s="63"/>
      <c r="L307" s="63"/>
      <c r="M307" s="68">
        <v>28500</v>
      </c>
      <c r="N307" s="63">
        <v>12800</v>
      </c>
      <c r="O307" s="68"/>
      <c r="P307" s="63"/>
      <c r="Q307" s="54"/>
      <c r="R307" s="54">
        <f>N307-T307</f>
        <v>12800</v>
      </c>
      <c r="S307" s="68"/>
      <c r="T307" s="63"/>
      <c r="U307" s="63"/>
      <c r="V307" s="63"/>
      <c r="W307" s="63"/>
      <c r="X307" s="63"/>
      <c r="Y307" s="63"/>
      <c r="Z307" s="63"/>
      <c r="AA307" s="63">
        <f t="shared" si="405"/>
        <v>0</v>
      </c>
      <c r="AB307" s="63">
        <f t="shared" si="405"/>
        <v>0</v>
      </c>
      <c r="AC307" s="63">
        <f t="shared" si="406"/>
        <v>0</v>
      </c>
      <c r="AD307" s="63">
        <f t="shared" si="406"/>
        <v>0</v>
      </c>
      <c r="AE307" s="63">
        <f t="shared" si="407"/>
        <v>0</v>
      </c>
      <c r="AF307" s="63">
        <f t="shared" si="408"/>
        <v>0</v>
      </c>
      <c r="AG307" s="63"/>
      <c r="AH307" s="63"/>
      <c r="AI307" s="25" t="s">
        <v>284</v>
      </c>
      <c r="AJ307" s="19">
        <f t="shared" si="384"/>
        <v>1</v>
      </c>
      <c r="AK307" s="22">
        <f t="shared" si="351"/>
        <v>1</v>
      </c>
      <c r="AL307" s="22"/>
      <c r="AM307" s="12">
        <f t="shared" si="409"/>
        <v>0</v>
      </c>
      <c r="AO307" s="12">
        <f t="shared" si="410"/>
        <v>1</v>
      </c>
      <c r="AP307" s="12">
        <f t="shared" si="361"/>
        <v>12800</v>
      </c>
      <c r="AQ307" s="12">
        <f t="shared" si="411"/>
        <v>0</v>
      </c>
      <c r="AR307" s="12">
        <f t="shared" si="369"/>
        <v>0</v>
      </c>
      <c r="AS307" s="12">
        <f>IF(Q307=0,0,1)</f>
        <v>0</v>
      </c>
      <c r="AT307" s="12">
        <f t="shared" si="400"/>
        <v>0</v>
      </c>
    </row>
    <row r="308" spans="1:48" s="89" customFormat="1" ht="54.75" customHeight="1" x14ac:dyDescent="0.25">
      <c r="A308" s="60">
        <v>21</v>
      </c>
      <c r="B308" s="91" t="s">
        <v>721</v>
      </c>
      <c r="C308" s="61" t="s">
        <v>205</v>
      </c>
      <c r="D308" s="61"/>
      <c r="E308" s="70" t="s">
        <v>290</v>
      </c>
      <c r="F308" s="61"/>
      <c r="G308" s="68">
        <v>18500</v>
      </c>
      <c r="H308" s="80">
        <f>G308*0.45</f>
        <v>8325</v>
      </c>
      <c r="I308" s="63"/>
      <c r="J308" s="63"/>
      <c r="K308" s="63"/>
      <c r="L308" s="63"/>
      <c r="M308" s="68">
        <f>G308*0.9</f>
        <v>16650</v>
      </c>
      <c r="N308" s="68">
        <v>7500</v>
      </c>
      <c r="O308" s="68">
        <f>M308*0.9</f>
        <v>14985</v>
      </c>
      <c r="P308" s="68">
        <v>7500</v>
      </c>
      <c r="Q308" s="54"/>
      <c r="R308" s="54"/>
      <c r="S308" s="68">
        <f>O308</f>
        <v>14985</v>
      </c>
      <c r="T308" s="68">
        <f>P308</f>
        <v>7500</v>
      </c>
      <c r="U308" s="63"/>
      <c r="V308" s="63"/>
      <c r="W308" s="63"/>
      <c r="X308" s="63"/>
      <c r="Y308" s="63"/>
      <c r="Z308" s="63"/>
      <c r="AA308" s="63">
        <f t="shared" si="405"/>
        <v>0</v>
      </c>
      <c r="AB308" s="63">
        <f t="shared" si="405"/>
        <v>0</v>
      </c>
      <c r="AC308" s="63">
        <f t="shared" si="406"/>
        <v>14985</v>
      </c>
      <c r="AD308" s="63">
        <f t="shared" si="406"/>
        <v>7500</v>
      </c>
      <c r="AE308" s="63">
        <f t="shared" si="407"/>
        <v>7500</v>
      </c>
      <c r="AF308" s="63">
        <f t="shared" si="408"/>
        <v>7500</v>
      </c>
      <c r="AG308" s="63"/>
      <c r="AH308" s="63"/>
      <c r="AI308" s="25" t="s">
        <v>722</v>
      </c>
      <c r="AJ308" s="19">
        <f t="shared" si="384"/>
        <v>0</v>
      </c>
      <c r="AK308" s="22">
        <f t="shared" si="351"/>
        <v>0</v>
      </c>
      <c r="AL308" s="22"/>
      <c r="AM308" s="12">
        <f t="shared" si="409"/>
        <v>1</v>
      </c>
      <c r="AN308" s="12"/>
      <c r="AO308" s="12">
        <f t="shared" si="410"/>
        <v>0</v>
      </c>
      <c r="AP308" s="12">
        <f t="shared" si="361"/>
        <v>0</v>
      </c>
      <c r="AQ308" s="12">
        <f t="shared" si="411"/>
        <v>0</v>
      </c>
      <c r="AR308" s="12">
        <f t="shared" si="369"/>
        <v>0</v>
      </c>
      <c r="AS308" s="12">
        <f>IF(Q308=0,0,1)</f>
        <v>0</v>
      </c>
      <c r="AT308" s="12">
        <f t="shared" si="400"/>
        <v>0</v>
      </c>
      <c r="AU308" s="12">
        <f>IF(R308=0,0,1)</f>
        <v>0</v>
      </c>
      <c r="AV308" s="12">
        <f t="shared" si="363"/>
        <v>0</v>
      </c>
    </row>
    <row r="309" spans="1:48" ht="49.5" x14ac:dyDescent="0.25">
      <c r="A309" s="60">
        <v>22</v>
      </c>
      <c r="B309" s="91" t="s">
        <v>723</v>
      </c>
      <c r="C309" s="61" t="s">
        <v>230</v>
      </c>
      <c r="D309" s="61"/>
      <c r="E309" s="70" t="s">
        <v>290</v>
      </c>
      <c r="F309" s="61"/>
      <c r="G309" s="68">
        <v>2990</v>
      </c>
      <c r="H309" s="80">
        <f>G309</f>
        <v>2990</v>
      </c>
      <c r="I309" s="63"/>
      <c r="J309" s="63"/>
      <c r="K309" s="63"/>
      <c r="L309" s="63"/>
      <c r="M309" s="68">
        <v>2700</v>
      </c>
      <c r="N309" s="68">
        <f>M309</f>
        <v>2700</v>
      </c>
      <c r="O309" s="68">
        <v>2700</v>
      </c>
      <c r="P309" s="68">
        <f>O309</f>
        <v>2700</v>
      </c>
      <c r="Q309" s="54"/>
      <c r="R309" s="54"/>
      <c r="S309" s="68">
        <v>2700</v>
      </c>
      <c r="T309" s="68">
        <f>S309</f>
        <v>2700</v>
      </c>
      <c r="U309" s="63"/>
      <c r="V309" s="63"/>
      <c r="W309" s="63"/>
      <c r="X309" s="63"/>
      <c r="Y309" s="63"/>
      <c r="Z309" s="63"/>
      <c r="AA309" s="63">
        <f t="shared" si="405"/>
        <v>0</v>
      </c>
      <c r="AB309" s="63">
        <f t="shared" si="405"/>
        <v>0</v>
      </c>
      <c r="AC309" s="63">
        <f t="shared" si="406"/>
        <v>2700</v>
      </c>
      <c r="AD309" s="63">
        <f t="shared" si="406"/>
        <v>2700</v>
      </c>
      <c r="AE309" s="63">
        <f t="shared" si="407"/>
        <v>2700</v>
      </c>
      <c r="AF309" s="63">
        <f t="shared" si="408"/>
        <v>2700</v>
      </c>
      <c r="AG309" s="63"/>
      <c r="AH309" s="63"/>
      <c r="AI309" s="25"/>
      <c r="AJ309" s="19">
        <f t="shared" si="384"/>
        <v>0</v>
      </c>
      <c r="AK309" s="22">
        <f t="shared" ref="AK309:AK375" si="425">AJ309</f>
        <v>0</v>
      </c>
      <c r="AL309" s="22"/>
      <c r="AM309" s="12">
        <f t="shared" si="409"/>
        <v>1</v>
      </c>
      <c r="AO309" s="12">
        <f t="shared" si="410"/>
        <v>0</v>
      </c>
      <c r="AP309" s="12">
        <f t="shared" si="361"/>
        <v>0</v>
      </c>
      <c r="AQ309" s="12">
        <f t="shared" si="411"/>
        <v>0</v>
      </c>
      <c r="AR309" s="12">
        <f t="shared" si="369"/>
        <v>0</v>
      </c>
      <c r="AS309" s="12">
        <f>IF(Q309=0,0,1)</f>
        <v>0</v>
      </c>
      <c r="AT309" s="12">
        <f t="shared" si="400"/>
        <v>0</v>
      </c>
      <c r="AU309" s="12">
        <f>IF(R309=0,0,1)</f>
        <v>0</v>
      </c>
      <c r="AV309" s="12">
        <f t="shared" si="363"/>
        <v>0</v>
      </c>
    </row>
    <row r="310" spans="1:48" ht="49.5" x14ac:dyDescent="0.25">
      <c r="A310" s="60">
        <v>23</v>
      </c>
      <c r="B310" s="91" t="s">
        <v>724</v>
      </c>
      <c r="C310" s="61" t="s">
        <v>70</v>
      </c>
      <c r="D310" s="61"/>
      <c r="E310" s="70" t="s">
        <v>116</v>
      </c>
      <c r="F310" s="61"/>
      <c r="G310" s="68">
        <f>H310</f>
        <v>2970.0000000000005</v>
      </c>
      <c r="H310" s="80">
        <f>2700*1.1</f>
        <v>2970.0000000000005</v>
      </c>
      <c r="I310" s="63"/>
      <c r="J310" s="63"/>
      <c r="K310" s="63"/>
      <c r="L310" s="63"/>
      <c r="M310" s="68"/>
      <c r="N310" s="63"/>
      <c r="O310" s="68">
        <f>P310</f>
        <v>2700</v>
      </c>
      <c r="P310" s="63">
        <f>2700</f>
        <v>2700</v>
      </c>
      <c r="Q310" s="68">
        <f>S310</f>
        <v>2700</v>
      </c>
      <c r="R310" s="68"/>
      <c r="S310" s="68">
        <f>T310</f>
        <v>2700</v>
      </c>
      <c r="T310" s="63">
        <f>2700</f>
        <v>2700</v>
      </c>
      <c r="U310" s="63"/>
      <c r="V310" s="63"/>
      <c r="W310" s="63"/>
      <c r="X310" s="63"/>
      <c r="Y310" s="63"/>
      <c r="Z310" s="63"/>
      <c r="AA310" s="63">
        <f t="shared" ref="AA310:AB312" si="426">U310+W310+Y310</f>
        <v>0</v>
      </c>
      <c r="AB310" s="63">
        <f t="shared" si="426"/>
        <v>0</v>
      </c>
      <c r="AC310" s="63">
        <f t="shared" si="406"/>
        <v>2700</v>
      </c>
      <c r="AD310" s="63">
        <f t="shared" si="406"/>
        <v>2700</v>
      </c>
      <c r="AE310" s="63">
        <f>AF310</f>
        <v>2700</v>
      </c>
      <c r="AF310" s="63">
        <f>IF(AB310=0,AD310,0)</f>
        <v>2700</v>
      </c>
      <c r="AG310" s="63"/>
      <c r="AH310" s="63"/>
      <c r="AI310" s="25" t="s">
        <v>84</v>
      </c>
      <c r="AJ310" s="19">
        <f t="shared" si="384"/>
        <v>1</v>
      </c>
      <c r="AK310" s="22">
        <f>AJ310</f>
        <v>1</v>
      </c>
      <c r="AL310" s="22"/>
      <c r="AM310" s="12">
        <f>IF(AJ310=0,1,0)</f>
        <v>0</v>
      </c>
      <c r="AO310" s="12">
        <f>IF(P310=0,1,0)</f>
        <v>0</v>
      </c>
      <c r="AP310" s="12">
        <f t="shared" si="361"/>
        <v>0</v>
      </c>
      <c r="AQ310" s="12">
        <f>IF(N310=0,1,0)</f>
        <v>1</v>
      </c>
      <c r="AR310" s="12">
        <f t="shared" si="369"/>
        <v>2700</v>
      </c>
      <c r="AU310" s="12">
        <f>IF(R310=0,0,1)</f>
        <v>0</v>
      </c>
      <c r="AV310" s="12">
        <f>IF(AU310=1,R310,0)</f>
        <v>0</v>
      </c>
    </row>
    <row r="311" spans="1:48" ht="66" x14ac:dyDescent="0.25">
      <c r="A311" s="60">
        <v>24</v>
      </c>
      <c r="B311" s="91" t="s">
        <v>725</v>
      </c>
      <c r="C311" s="61" t="s">
        <v>709</v>
      </c>
      <c r="D311" s="61"/>
      <c r="E311" s="70" t="s">
        <v>116</v>
      </c>
      <c r="F311" s="61"/>
      <c r="G311" s="68">
        <f>H311</f>
        <v>3300</v>
      </c>
      <c r="H311" s="80">
        <v>3300</v>
      </c>
      <c r="I311" s="63"/>
      <c r="J311" s="63"/>
      <c r="K311" s="63"/>
      <c r="L311" s="63"/>
      <c r="M311" s="68"/>
      <c r="N311" s="63"/>
      <c r="O311" s="68">
        <f>P311</f>
        <v>3000</v>
      </c>
      <c r="P311" s="63">
        <v>3000</v>
      </c>
      <c r="Q311" s="68">
        <f>S311</f>
        <v>3000</v>
      </c>
      <c r="R311" s="68"/>
      <c r="S311" s="68">
        <f>T311</f>
        <v>3000</v>
      </c>
      <c r="T311" s="63">
        <v>3000</v>
      </c>
      <c r="U311" s="63"/>
      <c r="V311" s="63"/>
      <c r="W311" s="63"/>
      <c r="X311" s="63"/>
      <c r="Y311" s="63"/>
      <c r="Z311" s="63"/>
      <c r="AA311" s="63">
        <f t="shared" si="426"/>
        <v>0</v>
      </c>
      <c r="AB311" s="63">
        <f t="shared" si="426"/>
        <v>0</v>
      </c>
      <c r="AC311" s="63">
        <f t="shared" si="406"/>
        <v>3000</v>
      </c>
      <c r="AD311" s="63">
        <f t="shared" si="406"/>
        <v>3000</v>
      </c>
      <c r="AE311" s="63">
        <f>AF311</f>
        <v>3000</v>
      </c>
      <c r="AF311" s="63">
        <f>IF(AB311=0,AD311,0)</f>
        <v>3000</v>
      </c>
      <c r="AG311" s="63"/>
      <c r="AH311" s="63"/>
      <c r="AI311" s="25" t="s">
        <v>84</v>
      </c>
      <c r="AJ311" s="19">
        <f t="shared" si="384"/>
        <v>1</v>
      </c>
      <c r="AK311" s="22">
        <f>AJ311</f>
        <v>1</v>
      </c>
      <c r="AL311" s="22"/>
      <c r="AM311" s="12">
        <f>IF(AJ311=0,1,0)</f>
        <v>0</v>
      </c>
      <c r="AO311" s="12">
        <f>IF(P311=0,1,0)</f>
        <v>0</v>
      </c>
      <c r="AP311" s="12">
        <f t="shared" si="361"/>
        <v>0</v>
      </c>
      <c r="AQ311" s="12">
        <f>IF(N311=0,1,0)</f>
        <v>1</v>
      </c>
      <c r="AR311" s="12">
        <f t="shared" si="369"/>
        <v>3000</v>
      </c>
      <c r="AU311" s="12">
        <f>IF(R311=0,0,1)</f>
        <v>0</v>
      </c>
      <c r="AV311" s="12">
        <f>IF(AU311=1,R311,0)</f>
        <v>0</v>
      </c>
    </row>
    <row r="312" spans="1:48" ht="33" x14ac:dyDescent="0.25">
      <c r="A312" s="60">
        <v>25</v>
      </c>
      <c r="B312" s="91" t="s">
        <v>726</v>
      </c>
      <c r="C312" s="61" t="s">
        <v>70</v>
      </c>
      <c r="D312" s="61"/>
      <c r="E312" s="70" t="s">
        <v>116</v>
      </c>
      <c r="F312" s="61"/>
      <c r="G312" s="68">
        <f>H312</f>
        <v>3300</v>
      </c>
      <c r="H312" s="80">
        <v>3300</v>
      </c>
      <c r="I312" s="63"/>
      <c r="J312" s="63"/>
      <c r="K312" s="63"/>
      <c r="L312" s="63"/>
      <c r="M312" s="68"/>
      <c r="N312" s="63"/>
      <c r="O312" s="68">
        <f>P312</f>
        <v>3000</v>
      </c>
      <c r="P312" s="63">
        <v>3000</v>
      </c>
      <c r="Q312" s="68">
        <f>S312</f>
        <v>3000</v>
      </c>
      <c r="R312" s="68"/>
      <c r="S312" s="68">
        <f>T312</f>
        <v>3000</v>
      </c>
      <c r="T312" s="63">
        <v>3000</v>
      </c>
      <c r="U312" s="63"/>
      <c r="V312" s="63"/>
      <c r="W312" s="63"/>
      <c r="X312" s="63"/>
      <c r="Y312" s="63"/>
      <c r="Z312" s="63"/>
      <c r="AA312" s="63">
        <f t="shared" si="426"/>
        <v>0</v>
      </c>
      <c r="AB312" s="63">
        <f t="shared" si="426"/>
        <v>0</v>
      </c>
      <c r="AC312" s="63">
        <f t="shared" si="406"/>
        <v>3000</v>
      </c>
      <c r="AD312" s="63">
        <f t="shared" si="406"/>
        <v>3000</v>
      </c>
      <c r="AE312" s="63">
        <f>AF312</f>
        <v>3000</v>
      </c>
      <c r="AF312" s="63">
        <f>IF(AB312=0,AD312,0)</f>
        <v>3000</v>
      </c>
      <c r="AG312" s="63"/>
      <c r="AH312" s="63"/>
      <c r="AI312" s="25" t="s">
        <v>84</v>
      </c>
      <c r="AJ312" s="19">
        <f t="shared" si="384"/>
        <v>1</v>
      </c>
      <c r="AK312" s="22">
        <f>AJ312</f>
        <v>1</v>
      </c>
      <c r="AL312" s="22"/>
      <c r="AM312" s="12">
        <f>IF(AJ312=0,1,0)</f>
        <v>0</v>
      </c>
      <c r="AO312" s="12">
        <f>IF(P312=0,1,0)</f>
        <v>0</v>
      </c>
      <c r="AP312" s="12">
        <f t="shared" si="361"/>
        <v>0</v>
      </c>
      <c r="AQ312" s="12">
        <f>IF(N312=0,1,0)</f>
        <v>1</v>
      </c>
      <c r="AR312" s="12">
        <f t="shared" si="369"/>
        <v>3000</v>
      </c>
      <c r="AU312" s="12">
        <f>IF(R312=0,0,1)</f>
        <v>0</v>
      </c>
      <c r="AV312" s="12">
        <f>IF(AU312=1,R312,0)</f>
        <v>0</v>
      </c>
    </row>
    <row r="313" spans="1:48" s="49" customFormat="1" ht="34.5" x14ac:dyDescent="0.25">
      <c r="A313" s="93" t="s">
        <v>47</v>
      </c>
      <c r="B313" s="44" t="s">
        <v>138</v>
      </c>
      <c r="C313" s="72"/>
      <c r="D313" s="72"/>
      <c r="E313" s="72"/>
      <c r="F313" s="72"/>
      <c r="G313" s="46">
        <f>SUM(G314:G315)</f>
        <v>486410</v>
      </c>
      <c r="H313" s="46">
        <f t="shared" ref="H313:T313" si="427">SUM(H314:H315)</f>
        <v>191247</v>
      </c>
      <c r="I313" s="46">
        <f t="shared" si="427"/>
        <v>0</v>
      </c>
      <c r="J313" s="46">
        <f t="shared" si="427"/>
        <v>0</v>
      </c>
      <c r="K313" s="46">
        <f t="shared" si="427"/>
        <v>0</v>
      </c>
      <c r="L313" s="46">
        <f t="shared" si="427"/>
        <v>0</v>
      </c>
      <c r="M313" s="46">
        <f t="shared" si="427"/>
        <v>16100</v>
      </c>
      <c r="N313" s="46">
        <f t="shared" si="427"/>
        <v>3500</v>
      </c>
      <c r="O313" s="46">
        <f t="shared" si="427"/>
        <v>186100</v>
      </c>
      <c r="P313" s="46">
        <f t="shared" si="427"/>
        <v>16300</v>
      </c>
      <c r="Q313" s="46">
        <f t="shared" si="427"/>
        <v>16300</v>
      </c>
      <c r="R313" s="46">
        <f t="shared" si="427"/>
        <v>3500</v>
      </c>
      <c r="S313" s="46">
        <f t="shared" si="427"/>
        <v>186100</v>
      </c>
      <c r="T313" s="46">
        <f t="shared" si="427"/>
        <v>16300</v>
      </c>
      <c r="U313" s="46">
        <f t="shared" ref="U313:AH313" si="428">SUM(U314:U315)</f>
        <v>0</v>
      </c>
      <c r="V313" s="46">
        <f t="shared" si="428"/>
        <v>0</v>
      </c>
      <c r="W313" s="46">
        <f t="shared" si="428"/>
        <v>0</v>
      </c>
      <c r="X313" s="46">
        <f t="shared" si="428"/>
        <v>0</v>
      </c>
      <c r="Y313" s="46">
        <f t="shared" si="428"/>
        <v>0</v>
      </c>
      <c r="Z313" s="46">
        <f t="shared" si="428"/>
        <v>0</v>
      </c>
      <c r="AA313" s="46">
        <f t="shared" si="428"/>
        <v>0</v>
      </c>
      <c r="AB313" s="46">
        <f t="shared" si="428"/>
        <v>0</v>
      </c>
      <c r="AC313" s="46">
        <f t="shared" si="428"/>
        <v>186100</v>
      </c>
      <c r="AD313" s="46">
        <f t="shared" si="428"/>
        <v>16300</v>
      </c>
      <c r="AE313" s="46">
        <f t="shared" si="428"/>
        <v>16300</v>
      </c>
      <c r="AF313" s="46">
        <f t="shared" si="428"/>
        <v>16300</v>
      </c>
      <c r="AG313" s="46">
        <f t="shared" si="428"/>
        <v>251669</v>
      </c>
      <c r="AH313" s="46">
        <f t="shared" si="428"/>
        <v>155822.30000000002</v>
      </c>
      <c r="AI313" s="127"/>
      <c r="AJ313" s="19">
        <f t="shared" si="384"/>
        <v>1</v>
      </c>
      <c r="AK313" s="22"/>
      <c r="AL313" s="22"/>
      <c r="AM313" s="12"/>
      <c r="AN313" s="12"/>
      <c r="AO313" s="12"/>
      <c r="AP313" s="12">
        <f t="shared" si="361"/>
        <v>0</v>
      </c>
      <c r="AQ313" s="12"/>
      <c r="AR313" s="12">
        <f t="shared" si="369"/>
        <v>0</v>
      </c>
      <c r="AS313" s="12"/>
      <c r="AT313" s="12">
        <f t="shared" si="400"/>
        <v>0</v>
      </c>
      <c r="AU313" s="12"/>
      <c r="AV313" s="12">
        <f t="shared" si="363"/>
        <v>0</v>
      </c>
    </row>
    <row r="314" spans="1:48" ht="33" x14ac:dyDescent="0.25">
      <c r="A314" s="60">
        <v>26</v>
      </c>
      <c r="B314" s="91" t="s">
        <v>727</v>
      </c>
      <c r="C314" s="61" t="s">
        <v>230</v>
      </c>
      <c r="D314" s="61"/>
      <c r="E314" s="70" t="s">
        <v>168</v>
      </c>
      <c r="F314" s="61"/>
      <c r="G314" s="68">
        <v>27513</v>
      </c>
      <c r="H314" s="80"/>
      <c r="I314" s="63"/>
      <c r="J314" s="63"/>
      <c r="K314" s="63"/>
      <c r="L314" s="63"/>
      <c r="M314" s="63">
        <v>16100</v>
      </c>
      <c r="N314" s="63">
        <v>3500</v>
      </c>
      <c r="O314" s="63">
        <v>16100</v>
      </c>
      <c r="P314" s="63">
        <v>3500</v>
      </c>
      <c r="Q314" s="63"/>
      <c r="R314" s="63">
        <f>N314-T314</f>
        <v>3500</v>
      </c>
      <c r="S314" s="63">
        <v>16100</v>
      </c>
      <c r="T314" s="63"/>
      <c r="U314" s="63"/>
      <c r="V314" s="63"/>
      <c r="W314" s="63"/>
      <c r="X314" s="63"/>
      <c r="Y314" s="63"/>
      <c r="Z314" s="63"/>
      <c r="AA314" s="63">
        <f t="shared" ref="AA314:AB315" si="429">U314+W314+Y314</f>
        <v>0</v>
      </c>
      <c r="AB314" s="63">
        <f t="shared" si="429"/>
        <v>0</v>
      </c>
      <c r="AC314" s="63">
        <f>O314-AA314</f>
        <v>16100</v>
      </c>
      <c r="AD314" s="63">
        <f>P314-AB314</f>
        <v>3500</v>
      </c>
      <c r="AE314" s="63">
        <f t="shared" ref="AE314:AE315" si="430">AF314</f>
        <v>3500</v>
      </c>
      <c r="AF314" s="63">
        <f t="shared" ref="AF314:AF315" si="431">IF(AB314=0,AD314,0)</f>
        <v>3500</v>
      </c>
      <c r="AG314" s="54">
        <f t="shared" ref="AG314:AH315" si="432">G314*0.9-O314</f>
        <v>8661.7000000000007</v>
      </c>
      <c r="AH314" s="54">
        <f t="shared" si="432"/>
        <v>-3500</v>
      </c>
      <c r="AI314" s="25" t="s">
        <v>2138</v>
      </c>
      <c r="AJ314" s="19">
        <f t="shared" si="384"/>
        <v>1</v>
      </c>
      <c r="AK314" s="22">
        <f t="shared" ref="AK314" si="433">AJ314</f>
        <v>1</v>
      </c>
      <c r="AL314" s="22"/>
      <c r="AM314" s="12">
        <f>IF(AJ314=0,1,0)</f>
        <v>0</v>
      </c>
      <c r="AO314" s="12">
        <f>IF(P314=0,1,0)</f>
        <v>0</v>
      </c>
      <c r="AP314" s="12">
        <f t="shared" si="361"/>
        <v>0</v>
      </c>
      <c r="AQ314" s="12">
        <f>IF(N314=0,1,0)</f>
        <v>0</v>
      </c>
      <c r="AR314" s="12">
        <f t="shared" si="369"/>
        <v>0</v>
      </c>
      <c r="AS314" s="12">
        <f>IF(Q314=0,0,1)</f>
        <v>0</v>
      </c>
      <c r="AT314" s="12">
        <f t="shared" si="400"/>
        <v>0</v>
      </c>
      <c r="AU314" s="12">
        <f>IF(R314=0,0,1)</f>
        <v>1</v>
      </c>
      <c r="AV314" s="12">
        <f t="shared" si="363"/>
        <v>3500</v>
      </c>
    </row>
    <row r="315" spans="1:48" ht="74.25" customHeight="1" x14ac:dyDescent="0.25">
      <c r="A315" s="60">
        <v>27</v>
      </c>
      <c r="B315" s="91" t="s">
        <v>728</v>
      </c>
      <c r="C315" s="61" t="s">
        <v>70</v>
      </c>
      <c r="D315" s="61"/>
      <c r="E315" s="70" t="s">
        <v>332</v>
      </c>
      <c r="F315" s="61"/>
      <c r="G315" s="128">
        <v>458897</v>
      </c>
      <c r="H315" s="129">
        <f>76540+114707</f>
        <v>191247</v>
      </c>
      <c r="I315" s="63"/>
      <c r="J315" s="63"/>
      <c r="K315" s="63"/>
      <c r="L315" s="63"/>
      <c r="M315" s="63"/>
      <c r="N315" s="63"/>
      <c r="O315" s="68">
        <v>170000</v>
      </c>
      <c r="P315" s="63">
        <v>12800</v>
      </c>
      <c r="Q315" s="63">
        <f>T315-N315</f>
        <v>16300</v>
      </c>
      <c r="R315" s="63"/>
      <c r="S315" s="68">
        <v>170000</v>
      </c>
      <c r="T315" s="63">
        <f>12800+3500</f>
        <v>16300</v>
      </c>
      <c r="U315" s="63"/>
      <c r="V315" s="63"/>
      <c r="W315" s="63"/>
      <c r="X315" s="63"/>
      <c r="Y315" s="63"/>
      <c r="Z315" s="63"/>
      <c r="AA315" s="63">
        <f t="shared" si="429"/>
        <v>0</v>
      </c>
      <c r="AB315" s="63">
        <f t="shared" si="429"/>
        <v>0</v>
      </c>
      <c r="AC315" s="63">
        <f>O315-AA315</f>
        <v>170000</v>
      </c>
      <c r="AD315" s="63">
        <f>P315-AB315</f>
        <v>12800</v>
      </c>
      <c r="AE315" s="63">
        <f t="shared" si="430"/>
        <v>12800</v>
      </c>
      <c r="AF315" s="63">
        <f t="shared" si="431"/>
        <v>12800</v>
      </c>
      <c r="AG315" s="54">
        <f t="shared" si="432"/>
        <v>243007.3</v>
      </c>
      <c r="AH315" s="54">
        <f t="shared" si="432"/>
        <v>159322.30000000002</v>
      </c>
      <c r="AI315" s="25" t="s">
        <v>729</v>
      </c>
      <c r="AJ315" s="19">
        <f t="shared" si="384"/>
        <v>1</v>
      </c>
      <c r="AK315" s="22">
        <f t="shared" si="425"/>
        <v>1</v>
      </c>
      <c r="AL315" s="22"/>
      <c r="AM315" s="12">
        <f>IF(AJ315=0,1,0)</f>
        <v>0</v>
      </c>
      <c r="AO315" s="12">
        <f>IF(P315=0,1,0)</f>
        <v>0</v>
      </c>
      <c r="AP315" s="12">
        <f t="shared" si="361"/>
        <v>0</v>
      </c>
      <c r="AQ315" s="12">
        <f>IF(N315=0,1,0)</f>
        <v>1</v>
      </c>
      <c r="AR315" s="12">
        <f t="shared" si="369"/>
        <v>12800</v>
      </c>
      <c r="AS315" s="12">
        <f>IF(Q315=0,0,1)</f>
        <v>1</v>
      </c>
      <c r="AT315" s="12">
        <f t="shared" si="400"/>
        <v>16300</v>
      </c>
      <c r="AU315" s="12">
        <f>IF(R315=0,0,1)</f>
        <v>0</v>
      </c>
      <c r="AV315" s="12">
        <f t="shared" si="363"/>
        <v>0</v>
      </c>
    </row>
    <row r="316" spans="1:48" s="34" customFormat="1" ht="33" x14ac:dyDescent="0.25">
      <c r="A316" s="28" t="s">
        <v>730</v>
      </c>
      <c r="B316" s="29" t="s">
        <v>731</v>
      </c>
      <c r="C316" s="30"/>
      <c r="D316" s="30"/>
      <c r="E316" s="30"/>
      <c r="F316" s="30"/>
      <c r="G316" s="31">
        <f>G317+G325</f>
        <v>1040370</v>
      </c>
      <c r="H316" s="31">
        <f t="shared" ref="H316:AH316" si="434">H317+H325</f>
        <v>559542</v>
      </c>
      <c r="I316" s="31">
        <f t="shared" si="434"/>
        <v>104400</v>
      </c>
      <c r="J316" s="31">
        <f t="shared" si="434"/>
        <v>104400</v>
      </c>
      <c r="K316" s="31">
        <f t="shared" si="434"/>
        <v>104400</v>
      </c>
      <c r="L316" s="31">
        <f t="shared" si="434"/>
        <v>104400</v>
      </c>
      <c r="M316" s="31">
        <f t="shared" si="434"/>
        <v>609590</v>
      </c>
      <c r="N316" s="31">
        <f t="shared" si="434"/>
        <v>274000</v>
      </c>
      <c r="O316" s="31">
        <f t="shared" si="434"/>
        <v>691043</v>
      </c>
      <c r="P316" s="31">
        <f t="shared" si="434"/>
        <v>281210</v>
      </c>
      <c r="Q316" s="31">
        <f t="shared" si="434"/>
        <v>36930</v>
      </c>
      <c r="R316" s="31">
        <f t="shared" si="434"/>
        <v>12220</v>
      </c>
      <c r="S316" s="31">
        <f t="shared" si="434"/>
        <v>708543</v>
      </c>
      <c r="T316" s="31">
        <f t="shared" si="434"/>
        <v>298710</v>
      </c>
      <c r="U316" s="31">
        <f t="shared" si="434"/>
        <v>155262</v>
      </c>
      <c r="V316" s="31">
        <f t="shared" si="434"/>
        <v>155262</v>
      </c>
      <c r="W316" s="31">
        <f t="shared" si="434"/>
        <v>40060</v>
      </c>
      <c r="X316" s="31">
        <f t="shared" si="434"/>
        <v>40060</v>
      </c>
      <c r="Y316" s="31">
        <f t="shared" si="434"/>
        <v>58860</v>
      </c>
      <c r="Z316" s="31">
        <f t="shared" si="434"/>
        <v>22800</v>
      </c>
      <c r="AA316" s="31">
        <f t="shared" si="434"/>
        <v>254182</v>
      </c>
      <c r="AB316" s="31">
        <f t="shared" si="434"/>
        <v>218122</v>
      </c>
      <c r="AC316" s="31">
        <f t="shared" si="434"/>
        <v>345796</v>
      </c>
      <c r="AD316" s="31">
        <f t="shared" si="434"/>
        <v>46266</v>
      </c>
      <c r="AE316" s="31">
        <f t="shared" si="434"/>
        <v>25365</v>
      </c>
      <c r="AF316" s="31">
        <f t="shared" si="434"/>
        <v>25365</v>
      </c>
      <c r="AG316" s="31">
        <f t="shared" si="434"/>
        <v>0</v>
      </c>
      <c r="AH316" s="31">
        <f t="shared" si="434"/>
        <v>0</v>
      </c>
      <c r="AI316" s="32"/>
      <c r="AJ316" s="19">
        <f t="shared" si="384"/>
        <v>1</v>
      </c>
      <c r="AK316" s="22"/>
      <c r="AL316" s="22"/>
      <c r="AM316" s="12"/>
      <c r="AN316" s="12"/>
      <c r="AO316" s="12"/>
      <c r="AP316" s="12">
        <f t="shared" si="361"/>
        <v>0</v>
      </c>
      <c r="AQ316" s="12"/>
      <c r="AR316" s="12">
        <f t="shared" si="369"/>
        <v>0</v>
      </c>
      <c r="AS316" s="12"/>
      <c r="AT316" s="12">
        <f t="shared" si="400"/>
        <v>0</v>
      </c>
      <c r="AU316" s="12"/>
      <c r="AV316" s="12">
        <f t="shared" si="363"/>
        <v>0</v>
      </c>
    </row>
    <row r="317" spans="1:48" s="42" customFormat="1" ht="51.75" x14ac:dyDescent="0.25">
      <c r="A317" s="35" t="s">
        <v>45</v>
      </c>
      <c r="B317" s="36" t="s">
        <v>46</v>
      </c>
      <c r="C317" s="37"/>
      <c r="D317" s="37"/>
      <c r="E317" s="37"/>
      <c r="F317" s="37"/>
      <c r="G317" s="38">
        <f>G318</f>
        <v>246452</v>
      </c>
      <c r="H317" s="38">
        <f>H318</f>
        <v>246452</v>
      </c>
      <c r="I317" s="38">
        <f t="shared" ref="I317:AH317" si="435">I318</f>
        <v>104400</v>
      </c>
      <c r="J317" s="38">
        <f t="shared" si="435"/>
        <v>104400</v>
      </c>
      <c r="K317" s="38">
        <f t="shared" si="435"/>
        <v>104400</v>
      </c>
      <c r="L317" s="38">
        <f t="shared" si="435"/>
        <v>104400</v>
      </c>
      <c r="M317" s="38">
        <f t="shared" si="435"/>
        <v>79540</v>
      </c>
      <c r="N317" s="38">
        <f t="shared" si="435"/>
        <v>79540</v>
      </c>
      <c r="O317" s="38">
        <f t="shared" si="435"/>
        <v>79540</v>
      </c>
      <c r="P317" s="38">
        <f t="shared" si="435"/>
        <v>79540</v>
      </c>
      <c r="Q317" s="38">
        <f t="shared" si="435"/>
        <v>17500</v>
      </c>
      <c r="R317" s="38">
        <f t="shared" si="435"/>
        <v>0</v>
      </c>
      <c r="S317" s="38">
        <f t="shared" si="435"/>
        <v>97040</v>
      </c>
      <c r="T317" s="38">
        <f t="shared" si="435"/>
        <v>97040</v>
      </c>
      <c r="U317" s="38">
        <f t="shared" si="435"/>
        <v>76963</v>
      </c>
      <c r="V317" s="38">
        <f t="shared" si="435"/>
        <v>76963</v>
      </c>
      <c r="W317" s="38">
        <f t="shared" si="435"/>
        <v>4000</v>
      </c>
      <c r="X317" s="38">
        <f t="shared" si="435"/>
        <v>4000</v>
      </c>
      <c r="Y317" s="38">
        <f t="shared" si="435"/>
        <v>4000</v>
      </c>
      <c r="Z317" s="38">
        <f t="shared" si="435"/>
        <v>4000</v>
      </c>
      <c r="AA317" s="38">
        <f t="shared" si="435"/>
        <v>84963</v>
      </c>
      <c r="AB317" s="38">
        <f t="shared" si="435"/>
        <v>84963</v>
      </c>
      <c r="AC317" s="38">
        <f t="shared" si="435"/>
        <v>-5423</v>
      </c>
      <c r="AD317" s="38">
        <f t="shared" si="435"/>
        <v>-5423</v>
      </c>
      <c r="AE317" s="38">
        <f t="shared" si="435"/>
        <v>0</v>
      </c>
      <c r="AF317" s="38">
        <f t="shared" si="435"/>
        <v>0</v>
      </c>
      <c r="AG317" s="38">
        <f t="shared" si="435"/>
        <v>0</v>
      </c>
      <c r="AH317" s="38">
        <f t="shared" si="435"/>
        <v>0</v>
      </c>
      <c r="AI317" s="40"/>
      <c r="AJ317" s="19">
        <f t="shared" si="384"/>
        <v>1</v>
      </c>
      <c r="AK317" s="22"/>
      <c r="AL317" s="22"/>
      <c r="AM317" s="12"/>
      <c r="AN317" s="12"/>
      <c r="AO317" s="12"/>
      <c r="AP317" s="12">
        <f t="shared" ref="AP317:AP379" si="436">IF(AO317=1,N317,0)</f>
        <v>0</v>
      </c>
      <c r="AQ317" s="12"/>
      <c r="AR317" s="12">
        <f t="shared" si="369"/>
        <v>0</v>
      </c>
      <c r="AS317" s="12"/>
      <c r="AT317" s="12">
        <f t="shared" si="400"/>
        <v>0</v>
      </c>
      <c r="AU317" s="12"/>
      <c r="AV317" s="12">
        <f t="shared" si="363"/>
        <v>0</v>
      </c>
    </row>
    <row r="318" spans="1:48" s="49" customFormat="1" ht="34.5" x14ac:dyDescent="0.25">
      <c r="A318" s="43" t="s">
        <v>47</v>
      </c>
      <c r="B318" s="44" t="s">
        <v>48</v>
      </c>
      <c r="C318" s="45"/>
      <c r="D318" s="45"/>
      <c r="E318" s="45"/>
      <c r="F318" s="45"/>
      <c r="G318" s="46">
        <f>H318</f>
        <v>246452</v>
      </c>
      <c r="H318" s="46">
        <f>SUM(H321:H324)</f>
        <v>246452</v>
      </c>
      <c r="I318" s="46">
        <f t="shared" ref="I318:AH318" si="437">SUM(I321:I324)</f>
        <v>104400</v>
      </c>
      <c r="J318" s="46">
        <f t="shared" si="437"/>
        <v>104400</v>
      </c>
      <c r="K318" s="46">
        <f t="shared" si="437"/>
        <v>104400</v>
      </c>
      <c r="L318" s="46">
        <f t="shared" si="437"/>
        <v>104400</v>
      </c>
      <c r="M318" s="46">
        <f t="shared" si="437"/>
        <v>79540</v>
      </c>
      <c r="N318" s="46">
        <f t="shared" si="437"/>
        <v>79540</v>
      </c>
      <c r="O318" s="46">
        <f t="shared" si="437"/>
        <v>79540</v>
      </c>
      <c r="P318" s="46">
        <f t="shared" si="437"/>
        <v>79540</v>
      </c>
      <c r="Q318" s="46">
        <f t="shared" si="437"/>
        <v>17500</v>
      </c>
      <c r="R318" s="46">
        <f t="shared" si="437"/>
        <v>0</v>
      </c>
      <c r="S318" s="46">
        <f t="shared" si="437"/>
        <v>97040</v>
      </c>
      <c r="T318" s="46">
        <f t="shared" si="437"/>
        <v>97040</v>
      </c>
      <c r="U318" s="46">
        <f t="shared" si="437"/>
        <v>76963</v>
      </c>
      <c r="V318" s="46">
        <f t="shared" si="437"/>
        <v>76963</v>
      </c>
      <c r="W318" s="46">
        <f t="shared" si="437"/>
        <v>4000</v>
      </c>
      <c r="X318" s="46">
        <f t="shared" si="437"/>
        <v>4000</v>
      </c>
      <c r="Y318" s="46">
        <f t="shared" si="437"/>
        <v>4000</v>
      </c>
      <c r="Z318" s="46">
        <f t="shared" si="437"/>
        <v>4000</v>
      </c>
      <c r="AA318" s="46">
        <f t="shared" si="437"/>
        <v>84963</v>
      </c>
      <c r="AB318" s="46">
        <f t="shared" si="437"/>
        <v>84963</v>
      </c>
      <c r="AC318" s="46">
        <f t="shared" si="437"/>
        <v>-5423</v>
      </c>
      <c r="AD318" s="46">
        <f t="shared" si="437"/>
        <v>-5423</v>
      </c>
      <c r="AE318" s="46">
        <f t="shared" si="437"/>
        <v>0</v>
      </c>
      <c r="AF318" s="46">
        <f t="shared" si="437"/>
        <v>0</v>
      </c>
      <c r="AG318" s="46">
        <f t="shared" si="437"/>
        <v>0</v>
      </c>
      <c r="AH318" s="46">
        <f t="shared" si="437"/>
        <v>0</v>
      </c>
      <c r="AI318" s="47"/>
      <c r="AJ318" s="19">
        <f t="shared" si="384"/>
        <v>1</v>
      </c>
      <c r="AK318" s="22"/>
      <c r="AL318" s="22"/>
      <c r="AM318" s="12"/>
      <c r="AN318" s="12"/>
      <c r="AO318" s="12"/>
      <c r="AP318" s="12">
        <f t="shared" si="436"/>
        <v>0</v>
      </c>
      <c r="AQ318" s="12"/>
      <c r="AR318" s="12">
        <f t="shared" si="369"/>
        <v>0</v>
      </c>
      <c r="AS318" s="12"/>
      <c r="AT318" s="12">
        <f t="shared" si="400"/>
        <v>0</v>
      </c>
      <c r="AU318" s="12"/>
      <c r="AV318" s="12">
        <f t="shared" ref="AV318:AV379" si="438">IF(AU318=1,R318,0)</f>
        <v>0</v>
      </c>
    </row>
    <row r="319" spans="1:48" ht="17.25" x14ac:dyDescent="0.25">
      <c r="A319" s="50"/>
      <c r="B319" s="51" t="s">
        <v>49</v>
      </c>
      <c r="C319" s="52"/>
      <c r="D319" s="52"/>
      <c r="E319" s="52"/>
      <c r="F319" s="52"/>
      <c r="G319" s="53"/>
      <c r="H319" s="53"/>
      <c r="I319" s="53"/>
      <c r="J319" s="53"/>
      <c r="K319" s="53"/>
      <c r="L319" s="53"/>
      <c r="M319" s="53"/>
      <c r="N319" s="53"/>
      <c r="O319" s="53"/>
      <c r="P319" s="53"/>
      <c r="Q319" s="54"/>
      <c r="R319" s="54"/>
      <c r="S319" s="53"/>
      <c r="T319" s="53"/>
      <c r="U319" s="63"/>
      <c r="V319" s="63"/>
      <c r="W319" s="63"/>
      <c r="X319" s="63"/>
      <c r="Y319" s="63"/>
      <c r="Z319" s="63"/>
      <c r="AA319" s="63"/>
      <c r="AB319" s="63"/>
      <c r="AC319" s="63"/>
      <c r="AD319" s="63"/>
      <c r="AE319" s="63"/>
      <c r="AF319" s="63"/>
      <c r="AG319" s="63"/>
      <c r="AH319" s="63"/>
      <c r="AI319" s="55"/>
      <c r="AJ319" s="19">
        <v>1</v>
      </c>
      <c r="AK319" s="22"/>
      <c r="AL319" s="22"/>
      <c r="AP319" s="12">
        <f t="shared" si="436"/>
        <v>0</v>
      </c>
      <c r="AR319" s="12">
        <f t="shared" si="369"/>
        <v>0</v>
      </c>
      <c r="AT319" s="12">
        <f t="shared" si="400"/>
        <v>0</v>
      </c>
      <c r="AV319" s="12">
        <f t="shared" si="438"/>
        <v>0</v>
      </c>
    </row>
    <row r="320" spans="1:48" ht="51.75" x14ac:dyDescent="0.25">
      <c r="A320" s="50"/>
      <c r="B320" s="51" t="s">
        <v>732</v>
      </c>
      <c r="C320" s="57"/>
      <c r="D320" s="57"/>
      <c r="E320" s="57"/>
      <c r="F320" s="57"/>
      <c r="G320" s="58"/>
      <c r="H320" s="58"/>
      <c r="I320" s="58"/>
      <c r="J320" s="58"/>
      <c r="K320" s="58"/>
      <c r="L320" s="58"/>
      <c r="M320" s="58"/>
      <c r="N320" s="58"/>
      <c r="O320" s="58"/>
      <c r="P320" s="58"/>
      <c r="Q320" s="54"/>
      <c r="R320" s="54"/>
      <c r="S320" s="58"/>
      <c r="T320" s="58"/>
      <c r="U320" s="63"/>
      <c r="V320" s="63"/>
      <c r="W320" s="63"/>
      <c r="X320" s="63"/>
      <c r="Y320" s="63"/>
      <c r="Z320" s="63"/>
      <c r="AA320" s="63"/>
      <c r="AB320" s="63"/>
      <c r="AC320" s="63"/>
      <c r="AD320" s="63"/>
      <c r="AE320" s="63"/>
      <c r="AF320" s="63"/>
      <c r="AG320" s="63"/>
      <c r="AH320" s="63"/>
      <c r="AI320" s="59"/>
      <c r="AJ320" s="19">
        <v>1</v>
      </c>
      <c r="AK320" s="22"/>
      <c r="AL320" s="22"/>
      <c r="AP320" s="12">
        <f t="shared" si="436"/>
        <v>0</v>
      </c>
      <c r="AR320" s="12">
        <f t="shared" si="369"/>
        <v>0</v>
      </c>
      <c r="AT320" s="12">
        <f t="shared" si="400"/>
        <v>0</v>
      </c>
      <c r="AV320" s="12">
        <f t="shared" si="438"/>
        <v>0</v>
      </c>
    </row>
    <row r="321" spans="1:48" ht="82.5" x14ac:dyDescent="0.25">
      <c r="A321" s="60">
        <v>1</v>
      </c>
      <c r="B321" s="9" t="s">
        <v>733</v>
      </c>
      <c r="C321" s="61" t="s">
        <v>336</v>
      </c>
      <c r="D321" s="61" t="s">
        <v>734</v>
      </c>
      <c r="E321" s="61" t="s">
        <v>72</v>
      </c>
      <c r="F321" s="61" t="s">
        <v>735</v>
      </c>
      <c r="G321" s="63" t="s">
        <v>909</v>
      </c>
      <c r="H321" s="80">
        <v>59386</v>
      </c>
      <c r="I321" s="63">
        <v>12000</v>
      </c>
      <c r="J321" s="63">
        <f>I321</f>
        <v>12000</v>
      </c>
      <c r="K321" s="63">
        <v>12000</v>
      </c>
      <c r="L321" s="63">
        <f>K321</f>
        <v>12000</v>
      </c>
      <c r="M321" s="68">
        <f>N321</f>
        <v>22500</v>
      </c>
      <c r="N321" s="63">
        <f>22000+500</f>
        <v>22500</v>
      </c>
      <c r="O321" s="68">
        <f>P321</f>
        <v>22500</v>
      </c>
      <c r="P321" s="63">
        <f>22000+500</f>
        <v>22500</v>
      </c>
      <c r="Q321" s="54">
        <f>T321-N321</f>
        <v>17500</v>
      </c>
      <c r="R321" s="54"/>
      <c r="S321" s="68">
        <f>T321</f>
        <v>40000</v>
      </c>
      <c r="T321" s="63">
        <v>40000</v>
      </c>
      <c r="U321" s="63">
        <f>V321</f>
        <v>22500</v>
      </c>
      <c r="V321" s="63">
        <v>22500</v>
      </c>
      <c r="W321" s="63"/>
      <c r="X321" s="63"/>
      <c r="Y321" s="63"/>
      <c r="Z321" s="63"/>
      <c r="AA321" s="63">
        <f t="shared" ref="AA321:AB324" si="439">U321+W321+Y321</f>
        <v>22500</v>
      </c>
      <c r="AB321" s="63">
        <f t="shared" si="439"/>
        <v>22500</v>
      </c>
      <c r="AC321" s="63">
        <f t="shared" ref="AC321:AD324" si="440">O321-AA321</f>
        <v>0</v>
      </c>
      <c r="AD321" s="63">
        <f t="shared" si="440"/>
        <v>0</v>
      </c>
      <c r="AE321" s="63">
        <f t="shared" ref="AE321:AE324" si="441">AF321</f>
        <v>0</v>
      </c>
      <c r="AF321" s="63">
        <f t="shared" ref="AF321:AF324" si="442">IF(AB321=0,AD321,0)</f>
        <v>0</v>
      </c>
      <c r="AG321" s="63"/>
      <c r="AH321" s="63"/>
      <c r="AI321" s="25" t="s">
        <v>917</v>
      </c>
      <c r="AJ321" s="19">
        <f t="shared" si="384"/>
        <v>1</v>
      </c>
      <c r="AK321" s="22">
        <f t="shared" si="425"/>
        <v>1</v>
      </c>
      <c r="AL321" s="22"/>
      <c r="AM321" s="12">
        <f>IF(AJ321=0,1,0)</f>
        <v>0</v>
      </c>
      <c r="AO321" s="12">
        <f>IF(P321=0,1,0)</f>
        <v>0</v>
      </c>
      <c r="AP321" s="12">
        <f t="shared" si="436"/>
        <v>0</v>
      </c>
      <c r="AQ321" s="12">
        <f>IF(N321=0,1,0)</f>
        <v>0</v>
      </c>
      <c r="AR321" s="12">
        <f t="shared" si="369"/>
        <v>0</v>
      </c>
      <c r="AS321" s="12">
        <f>IF(Q321=0,0,1)</f>
        <v>1</v>
      </c>
      <c r="AT321" s="12">
        <f t="shared" si="400"/>
        <v>17500</v>
      </c>
      <c r="AU321" s="12">
        <f>IF(R321=0,0,1)</f>
        <v>0</v>
      </c>
      <c r="AV321" s="12">
        <f t="shared" si="438"/>
        <v>0</v>
      </c>
    </row>
    <row r="322" spans="1:48" ht="49.5" x14ac:dyDescent="0.25">
      <c r="A322" s="60">
        <v>2</v>
      </c>
      <c r="B322" s="9" t="s">
        <v>736</v>
      </c>
      <c r="C322" s="61" t="s">
        <v>336</v>
      </c>
      <c r="D322" s="61" t="s">
        <v>737</v>
      </c>
      <c r="E322" s="61" t="s">
        <v>738</v>
      </c>
      <c r="F322" s="61" t="s">
        <v>739</v>
      </c>
      <c r="G322" s="75">
        <v>162854</v>
      </c>
      <c r="H322" s="80">
        <f>G322</f>
        <v>162854</v>
      </c>
      <c r="I322" s="63">
        <f>80000+3600</f>
        <v>83600</v>
      </c>
      <c r="J322" s="63">
        <f t="shared" ref="J322:L324" si="443">I322</f>
        <v>83600</v>
      </c>
      <c r="K322" s="63">
        <f>80000+3600</f>
        <v>83600</v>
      </c>
      <c r="L322" s="63">
        <f t="shared" si="443"/>
        <v>83600</v>
      </c>
      <c r="M322" s="68">
        <f>N322</f>
        <v>45000</v>
      </c>
      <c r="N322" s="63">
        <f>44230+770</f>
        <v>45000</v>
      </c>
      <c r="O322" s="68">
        <f>P322</f>
        <v>45000</v>
      </c>
      <c r="P322" s="63">
        <f>44230+770</f>
        <v>45000</v>
      </c>
      <c r="Q322" s="54">
        <f t="shared" ref="Q322:Q324" si="444">T322-N322</f>
        <v>0</v>
      </c>
      <c r="R322" s="54"/>
      <c r="S322" s="68">
        <f>T322</f>
        <v>45000</v>
      </c>
      <c r="T322" s="63">
        <v>45000</v>
      </c>
      <c r="U322" s="63">
        <f>V322</f>
        <v>45000</v>
      </c>
      <c r="V322" s="63">
        <v>45000</v>
      </c>
      <c r="W322" s="63"/>
      <c r="X322" s="63"/>
      <c r="Y322" s="63"/>
      <c r="Z322" s="63"/>
      <c r="AA322" s="63">
        <f t="shared" si="439"/>
        <v>45000</v>
      </c>
      <c r="AB322" s="63">
        <f t="shared" si="439"/>
        <v>45000</v>
      </c>
      <c r="AC322" s="63">
        <f t="shared" si="440"/>
        <v>0</v>
      </c>
      <c r="AD322" s="63">
        <f t="shared" si="440"/>
        <v>0</v>
      </c>
      <c r="AE322" s="63">
        <f t="shared" si="441"/>
        <v>0</v>
      </c>
      <c r="AF322" s="63">
        <f t="shared" si="442"/>
        <v>0</v>
      </c>
      <c r="AG322" s="63"/>
      <c r="AH322" s="63"/>
      <c r="AI322" s="69"/>
      <c r="AJ322" s="19">
        <f t="shared" si="384"/>
        <v>0</v>
      </c>
      <c r="AK322" s="22">
        <f t="shared" si="425"/>
        <v>0</v>
      </c>
      <c r="AL322" s="22"/>
      <c r="AM322" s="12">
        <f>IF(AJ322=0,1,0)</f>
        <v>1</v>
      </c>
      <c r="AO322" s="12">
        <f>IF(P322=0,1,0)</f>
        <v>0</v>
      </c>
      <c r="AP322" s="12">
        <f t="shared" si="436"/>
        <v>0</v>
      </c>
      <c r="AQ322" s="12">
        <f>IF(N322=0,1,0)</f>
        <v>0</v>
      </c>
      <c r="AR322" s="12">
        <f t="shared" si="369"/>
        <v>0</v>
      </c>
      <c r="AS322" s="12">
        <f>IF(Q322=0,0,1)</f>
        <v>0</v>
      </c>
      <c r="AT322" s="12">
        <f t="shared" si="400"/>
        <v>0</v>
      </c>
      <c r="AU322" s="12">
        <f>IF(R322=0,0,1)</f>
        <v>0</v>
      </c>
      <c r="AV322" s="12">
        <f t="shared" si="438"/>
        <v>0</v>
      </c>
    </row>
    <row r="323" spans="1:48" ht="99" x14ac:dyDescent="0.25">
      <c r="A323" s="60">
        <v>3</v>
      </c>
      <c r="B323" s="9" t="s">
        <v>740</v>
      </c>
      <c r="C323" s="61" t="s">
        <v>336</v>
      </c>
      <c r="D323" s="61" t="s">
        <v>741</v>
      </c>
      <c r="E323" s="61" t="s">
        <v>199</v>
      </c>
      <c r="F323" s="61" t="s">
        <v>742</v>
      </c>
      <c r="G323" s="130">
        <v>12974</v>
      </c>
      <c r="H323" s="80">
        <f>G323</f>
        <v>12974</v>
      </c>
      <c r="I323" s="63">
        <v>3500</v>
      </c>
      <c r="J323" s="63">
        <f t="shared" si="443"/>
        <v>3500</v>
      </c>
      <c r="K323" s="63">
        <v>3500</v>
      </c>
      <c r="L323" s="63">
        <f t="shared" si="443"/>
        <v>3500</v>
      </c>
      <c r="M323" s="68">
        <f>N323</f>
        <v>8100</v>
      </c>
      <c r="N323" s="63">
        <v>8100</v>
      </c>
      <c r="O323" s="68">
        <f>P323</f>
        <v>8100</v>
      </c>
      <c r="P323" s="63">
        <v>8100</v>
      </c>
      <c r="Q323" s="54">
        <f t="shared" si="444"/>
        <v>0</v>
      </c>
      <c r="R323" s="54"/>
      <c r="S323" s="68">
        <f>T323</f>
        <v>8100</v>
      </c>
      <c r="T323" s="63">
        <v>8100</v>
      </c>
      <c r="U323" s="63">
        <f>V323</f>
        <v>6500</v>
      </c>
      <c r="V323" s="63">
        <v>6500</v>
      </c>
      <c r="W323" s="63">
        <f>X323</f>
        <v>4000</v>
      </c>
      <c r="X323" s="63">
        <v>4000</v>
      </c>
      <c r="Y323" s="63">
        <f>Z323</f>
        <v>4000</v>
      </c>
      <c r="Z323" s="63">
        <v>4000</v>
      </c>
      <c r="AA323" s="63">
        <f t="shared" si="439"/>
        <v>14500</v>
      </c>
      <c r="AB323" s="63">
        <f t="shared" si="439"/>
        <v>14500</v>
      </c>
      <c r="AC323" s="63">
        <f t="shared" si="440"/>
        <v>-6400</v>
      </c>
      <c r="AD323" s="63">
        <f t="shared" si="440"/>
        <v>-6400</v>
      </c>
      <c r="AE323" s="63">
        <f t="shared" si="441"/>
        <v>0</v>
      </c>
      <c r="AF323" s="63">
        <f t="shared" si="442"/>
        <v>0</v>
      </c>
      <c r="AG323" s="63"/>
      <c r="AH323" s="63"/>
      <c r="AI323" s="69"/>
      <c r="AJ323" s="19">
        <f t="shared" si="384"/>
        <v>0</v>
      </c>
      <c r="AK323" s="22">
        <f t="shared" si="425"/>
        <v>0</v>
      </c>
      <c r="AL323" s="22"/>
      <c r="AM323" s="12">
        <f>IF(AJ323=0,1,0)</f>
        <v>1</v>
      </c>
      <c r="AO323" s="12">
        <f>IF(P323=0,1,0)</f>
        <v>0</v>
      </c>
      <c r="AP323" s="12">
        <f t="shared" si="436"/>
        <v>0</v>
      </c>
      <c r="AQ323" s="12">
        <f>IF(N323=0,1,0)</f>
        <v>0</v>
      </c>
      <c r="AR323" s="12">
        <f t="shared" si="369"/>
        <v>0</v>
      </c>
      <c r="AS323" s="12">
        <f>IF(Q323=0,0,1)</f>
        <v>0</v>
      </c>
      <c r="AT323" s="12">
        <f t="shared" si="400"/>
        <v>0</v>
      </c>
      <c r="AU323" s="12">
        <f>IF(R323=0,0,1)</f>
        <v>0</v>
      </c>
      <c r="AV323" s="12">
        <f t="shared" si="438"/>
        <v>0</v>
      </c>
    </row>
    <row r="324" spans="1:48" ht="66" x14ac:dyDescent="0.25">
      <c r="A324" s="60">
        <v>4</v>
      </c>
      <c r="B324" s="9" t="s">
        <v>743</v>
      </c>
      <c r="C324" s="61" t="s">
        <v>336</v>
      </c>
      <c r="D324" s="61" t="s">
        <v>744</v>
      </c>
      <c r="E324" s="61" t="s">
        <v>199</v>
      </c>
      <c r="F324" s="61" t="s">
        <v>745</v>
      </c>
      <c r="G324" s="75">
        <v>11238</v>
      </c>
      <c r="H324" s="80">
        <f>G324</f>
        <v>11238</v>
      </c>
      <c r="I324" s="63">
        <v>5300</v>
      </c>
      <c r="J324" s="63">
        <f t="shared" si="443"/>
        <v>5300</v>
      </c>
      <c r="K324" s="63">
        <v>5300</v>
      </c>
      <c r="L324" s="63">
        <f t="shared" si="443"/>
        <v>5300</v>
      </c>
      <c r="M324" s="68">
        <f>N324</f>
        <v>3940</v>
      </c>
      <c r="N324" s="63">
        <v>3940</v>
      </c>
      <c r="O324" s="68">
        <f>P324</f>
        <v>3940</v>
      </c>
      <c r="P324" s="63">
        <v>3940</v>
      </c>
      <c r="Q324" s="54">
        <f t="shared" si="444"/>
        <v>0</v>
      </c>
      <c r="R324" s="54"/>
      <c r="S324" s="68">
        <f>T324</f>
        <v>3940</v>
      </c>
      <c r="T324" s="63">
        <v>3940</v>
      </c>
      <c r="U324" s="63">
        <f>V324</f>
        <v>2963</v>
      </c>
      <c r="V324" s="63">
        <v>2963</v>
      </c>
      <c r="W324" s="63"/>
      <c r="X324" s="63"/>
      <c r="Y324" s="63"/>
      <c r="Z324" s="63"/>
      <c r="AA324" s="63">
        <f t="shared" si="439"/>
        <v>2963</v>
      </c>
      <c r="AB324" s="63">
        <f t="shared" si="439"/>
        <v>2963</v>
      </c>
      <c r="AC324" s="63">
        <f t="shared" si="440"/>
        <v>977</v>
      </c>
      <c r="AD324" s="63">
        <f t="shared" si="440"/>
        <v>977</v>
      </c>
      <c r="AE324" s="63">
        <f t="shared" si="441"/>
        <v>0</v>
      </c>
      <c r="AF324" s="63">
        <f t="shared" si="442"/>
        <v>0</v>
      </c>
      <c r="AG324" s="63"/>
      <c r="AH324" s="63"/>
      <c r="AI324" s="69"/>
      <c r="AJ324" s="19">
        <f t="shared" si="384"/>
        <v>0</v>
      </c>
      <c r="AK324" s="22">
        <f t="shared" si="425"/>
        <v>0</v>
      </c>
      <c r="AL324" s="22"/>
      <c r="AM324" s="12">
        <f>IF(AJ324=0,1,0)</f>
        <v>1</v>
      </c>
      <c r="AO324" s="12">
        <f>IF(P324=0,1,0)</f>
        <v>0</v>
      </c>
      <c r="AP324" s="12">
        <f t="shared" si="436"/>
        <v>0</v>
      </c>
      <c r="AQ324" s="12">
        <f>IF(N324=0,1,0)</f>
        <v>0</v>
      </c>
      <c r="AR324" s="12">
        <f t="shared" si="369"/>
        <v>0</v>
      </c>
      <c r="AS324" s="12">
        <f>IF(Q324=0,0,1)</f>
        <v>0</v>
      </c>
      <c r="AT324" s="12">
        <f t="shared" si="400"/>
        <v>0</v>
      </c>
      <c r="AU324" s="12">
        <f>IF(R324=0,0,1)</f>
        <v>0</v>
      </c>
      <c r="AV324" s="12">
        <f t="shared" si="438"/>
        <v>0</v>
      </c>
    </row>
    <row r="325" spans="1:48" s="42" customFormat="1" ht="34.5" x14ac:dyDescent="0.25">
      <c r="A325" s="35" t="s">
        <v>85</v>
      </c>
      <c r="B325" s="36" t="s">
        <v>86</v>
      </c>
      <c r="C325" s="37"/>
      <c r="D325" s="37"/>
      <c r="E325" s="37"/>
      <c r="F325" s="37"/>
      <c r="G325" s="38">
        <f>G326</f>
        <v>793918</v>
      </c>
      <c r="H325" s="38">
        <f t="shared" ref="H325:AH325" si="445">H326</f>
        <v>313090</v>
      </c>
      <c r="I325" s="38">
        <f t="shared" si="445"/>
        <v>0</v>
      </c>
      <c r="J325" s="38">
        <f t="shared" si="445"/>
        <v>0</v>
      </c>
      <c r="K325" s="38">
        <f t="shared" si="445"/>
        <v>0</v>
      </c>
      <c r="L325" s="38">
        <f t="shared" si="445"/>
        <v>0</v>
      </c>
      <c r="M325" s="38">
        <f t="shared" si="445"/>
        <v>530050</v>
      </c>
      <c r="N325" s="38">
        <f t="shared" si="445"/>
        <v>194460</v>
      </c>
      <c r="O325" s="38">
        <f t="shared" si="445"/>
        <v>611503</v>
      </c>
      <c r="P325" s="38">
        <f t="shared" si="445"/>
        <v>201670</v>
      </c>
      <c r="Q325" s="38">
        <f t="shared" si="445"/>
        <v>19430</v>
      </c>
      <c r="R325" s="38">
        <f t="shared" si="445"/>
        <v>12220</v>
      </c>
      <c r="S325" s="38">
        <f t="shared" si="445"/>
        <v>611503</v>
      </c>
      <c r="T325" s="38">
        <f t="shared" si="445"/>
        <v>201670</v>
      </c>
      <c r="U325" s="38">
        <f t="shared" si="445"/>
        <v>78299</v>
      </c>
      <c r="V325" s="38">
        <f t="shared" si="445"/>
        <v>78299</v>
      </c>
      <c r="W325" s="38">
        <f t="shared" si="445"/>
        <v>36060</v>
      </c>
      <c r="X325" s="38">
        <f t="shared" si="445"/>
        <v>36060</v>
      </c>
      <c r="Y325" s="38">
        <f t="shared" si="445"/>
        <v>54860</v>
      </c>
      <c r="Z325" s="38">
        <f t="shared" si="445"/>
        <v>18800</v>
      </c>
      <c r="AA325" s="38">
        <f t="shared" si="445"/>
        <v>169219</v>
      </c>
      <c r="AB325" s="38">
        <f t="shared" si="445"/>
        <v>133159</v>
      </c>
      <c r="AC325" s="38">
        <f t="shared" si="445"/>
        <v>351219</v>
      </c>
      <c r="AD325" s="38">
        <f t="shared" si="445"/>
        <v>51689</v>
      </c>
      <c r="AE325" s="38">
        <f t="shared" si="445"/>
        <v>25365</v>
      </c>
      <c r="AF325" s="38">
        <f t="shared" si="445"/>
        <v>25365</v>
      </c>
      <c r="AG325" s="38">
        <f t="shared" si="445"/>
        <v>0</v>
      </c>
      <c r="AH325" s="38">
        <f t="shared" si="445"/>
        <v>0</v>
      </c>
      <c r="AI325" s="40"/>
      <c r="AJ325" s="19">
        <f t="shared" si="384"/>
        <v>1</v>
      </c>
      <c r="AK325" s="22"/>
      <c r="AL325" s="22"/>
      <c r="AM325" s="12"/>
      <c r="AN325" s="12"/>
      <c r="AO325" s="12"/>
      <c r="AP325" s="12">
        <f t="shared" si="436"/>
        <v>0</v>
      </c>
      <c r="AQ325" s="12"/>
      <c r="AR325" s="12">
        <f t="shared" si="369"/>
        <v>0</v>
      </c>
      <c r="AS325" s="12"/>
      <c r="AT325" s="12">
        <f t="shared" si="400"/>
        <v>0</v>
      </c>
      <c r="AU325" s="12"/>
      <c r="AV325" s="12">
        <f t="shared" si="438"/>
        <v>0</v>
      </c>
    </row>
    <row r="326" spans="1:48" s="49" customFormat="1" ht="51.75" x14ac:dyDescent="0.25">
      <c r="A326" s="43" t="s">
        <v>87</v>
      </c>
      <c r="B326" s="44" t="s">
        <v>88</v>
      </c>
      <c r="C326" s="45"/>
      <c r="D326" s="45"/>
      <c r="E326" s="45"/>
      <c r="F326" s="45"/>
      <c r="G326" s="46">
        <f>SUM(G327:G379)</f>
        <v>793918</v>
      </c>
      <c r="H326" s="46">
        <f t="shared" ref="H326:T326" si="446">SUM(H327:H379)</f>
        <v>313090</v>
      </c>
      <c r="I326" s="46">
        <f t="shared" si="446"/>
        <v>0</v>
      </c>
      <c r="J326" s="46">
        <f t="shared" si="446"/>
        <v>0</v>
      </c>
      <c r="K326" s="46">
        <f t="shared" si="446"/>
        <v>0</v>
      </c>
      <c r="L326" s="46">
        <f t="shared" si="446"/>
        <v>0</v>
      </c>
      <c r="M326" s="46">
        <f t="shared" si="446"/>
        <v>530050</v>
      </c>
      <c r="N326" s="46">
        <f t="shared" si="446"/>
        <v>194460</v>
      </c>
      <c r="O326" s="46">
        <f t="shared" si="446"/>
        <v>611503</v>
      </c>
      <c r="P326" s="46">
        <f t="shared" si="446"/>
        <v>201670</v>
      </c>
      <c r="Q326" s="46">
        <f t="shared" si="446"/>
        <v>19430</v>
      </c>
      <c r="R326" s="46">
        <f t="shared" si="446"/>
        <v>12220</v>
      </c>
      <c r="S326" s="46">
        <f t="shared" si="446"/>
        <v>611503</v>
      </c>
      <c r="T326" s="46">
        <f t="shared" si="446"/>
        <v>201670</v>
      </c>
      <c r="U326" s="46">
        <f t="shared" ref="U326:AH326" si="447">SUM(U327:U378)</f>
        <v>78299</v>
      </c>
      <c r="V326" s="46">
        <f t="shared" si="447"/>
        <v>78299</v>
      </c>
      <c r="W326" s="46">
        <f t="shared" si="447"/>
        <v>36060</v>
      </c>
      <c r="X326" s="46">
        <f t="shared" si="447"/>
        <v>36060</v>
      </c>
      <c r="Y326" s="46">
        <f t="shared" si="447"/>
        <v>54860</v>
      </c>
      <c r="Z326" s="46">
        <f t="shared" si="447"/>
        <v>18800</v>
      </c>
      <c r="AA326" s="46">
        <f t="shared" si="447"/>
        <v>169219</v>
      </c>
      <c r="AB326" s="46">
        <f t="shared" si="447"/>
        <v>133159</v>
      </c>
      <c r="AC326" s="46">
        <f t="shared" si="447"/>
        <v>351219</v>
      </c>
      <c r="AD326" s="46">
        <f t="shared" si="447"/>
        <v>51689</v>
      </c>
      <c r="AE326" s="46">
        <f t="shared" si="447"/>
        <v>25365</v>
      </c>
      <c r="AF326" s="46">
        <f t="shared" si="447"/>
        <v>25365</v>
      </c>
      <c r="AG326" s="46">
        <f t="shared" si="447"/>
        <v>0</v>
      </c>
      <c r="AH326" s="46">
        <f t="shared" si="447"/>
        <v>0</v>
      </c>
      <c r="AI326" s="47"/>
      <c r="AJ326" s="19">
        <f t="shared" si="384"/>
        <v>1</v>
      </c>
      <c r="AK326" s="22"/>
      <c r="AL326" s="22"/>
      <c r="AM326" s="92"/>
      <c r="AN326" s="12"/>
      <c r="AO326" s="12"/>
      <c r="AP326" s="12">
        <f t="shared" si="436"/>
        <v>0</v>
      </c>
      <c r="AQ326" s="12"/>
      <c r="AR326" s="12">
        <f t="shared" si="369"/>
        <v>0</v>
      </c>
      <c r="AS326" s="12"/>
      <c r="AT326" s="12">
        <f t="shared" si="400"/>
        <v>0</v>
      </c>
      <c r="AU326" s="12"/>
      <c r="AV326" s="12">
        <f t="shared" si="438"/>
        <v>0</v>
      </c>
    </row>
    <row r="327" spans="1:48" ht="49.5" x14ac:dyDescent="0.25">
      <c r="A327" s="64" t="s">
        <v>414</v>
      </c>
      <c r="B327" s="91" t="s">
        <v>746</v>
      </c>
      <c r="C327" s="70" t="s">
        <v>519</v>
      </c>
      <c r="D327" s="61" t="s">
        <v>747</v>
      </c>
      <c r="E327" s="70">
        <v>2016</v>
      </c>
      <c r="F327" s="61" t="s">
        <v>748</v>
      </c>
      <c r="G327" s="68">
        <v>7312</v>
      </c>
      <c r="H327" s="5">
        <f>G327</f>
        <v>7312</v>
      </c>
      <c r="I327" s="58"/>
      <c r="J327" s="58"/>
      <c r="K327" s="58"/>
      <c r="L327" s="58"/>
      <c r="M327" s="5">
        <f>N327</f>
        <v>6960</v>
      </c>
      <c r="N327" s="63">
        <v>6960</v>
      </c>
      <c r="O327" s="5">
        <f>P327</f>
        <v>6960</v>
      </c>
      <c r="P327" s="63">
        <v>6960</v>
      </c>
      <c r="Q327" s="54"/>
      <c r="R327" s="54">
        <f>N327-T327</f>
        <v>0</v>
      </c>
      <c r="S327" s="5">
        <f>T327</f>
        <v>6960</v>
      </c>
      <c r="T327" s="63">
        <v>6960</v>
      </c>
      <c r="U327" s="63">
        <v>4200</v>
      </c>
      <c r="V327" s="63">
        <v>4200</v>
      </c>
      <c r="W327" s="63">
        <v>2760</v>
      </c>
      <c r="X327" s="63">
        <v>2760</v>
      </c>
      <c r="Y327" s="63">
        <v>2760</v>
      </c>
      <c r="Z327" s="63"/>
      <c r="AA327" s="63">
        <f t="shared" ref="AA327:AB379" si="448">U327+W327+Y327</f>
        <v>9720</v>
      </c>
      <c r="AB327" s="63">
        <f t="shared" si="448"/>
        <v>6960</v>
      </c>
      <c r="AC327" s="63">
        <f t="shared" ref="AC327:AD358" si="449">O327-AA327</f>
        <v>-2760</v>
      </c>
      <c r="AD327" s="63">
        <f t="shared" si="449"/>
        <v>0</v>
      </c>
      <c r="AE327" s="63">
        <f t="shared" ref="AE327:AE379" si="450">AF327</f>
        <v>0</v>
      </c>
      <c r="AF327" s="63">
        <f t="shared" ref="AF327:AF379" si="451">IF(AB327=0,AD327,0)</f>
        <v>0</v>
      </c>
      <c r="AG327" s="63"/>
      <c r="AH327" s="63"/>
      <c r="AI327" s="59"/>
      <c r="AJ327" s="19">
        <f t="shared" si="384"/>
        <v>0</v>
      </c>
      <c r="AK327" s="22">
        <f t="shared" si="425"/>
        <v>0</v>
      </c>
      <c r="AL327" s="22"/>
      <c r="AM327" s="12">
        <f t="shared" ref="AM327:AM379" si="452">IF(AJ327=0,1,0)</f>
        <v>1</v>
      </c>
      <c r="AO327" s="12">
        <f t="shared" ref="AO327:AO379" si="453">IF(P327=0,1,0)</f>
        <v>0</v>
      </c>
      <c r="AP327" s="12">
        <f t="shared" si="436"/>
        <v>0</v>
      </c>
      <c r="AQ327" s="12">
        <f t="shared" ref="AQ327:AQ379" si="454">IF(N327=0,1,0)</f>
        <v>0</v>
      </c>
      <c r="AR327" s="12">
        <f t="shared" si="369"/>
        <v>0</v>
      </c>
      <c r="AS327" s="12">
        <f t="shared" ref="AS327:AS378" si="455">IF(Q327=0,0,1)</f>
        <v>0</v>
      </c>
      <c r="AT327" s="12">
        <f t="shared" si="400"/>
        <v>0</v>
      </c>
      <c r="AU327" s="12">
        <f t="shared" ref="AU327:AU363" si="456">IF(R327=0,0,1)</f>
        <v>0</v>
      </c>
      <c r="AV327" s="12">
        <f t="shared" si="438"/>
        <v>0</v>
      </c>
    </row>
    <row r="328" spans="1:48" ht="66" x14ac:dyDescent="0.25">
      <c r="A328" s="60">
        <v>6</v>
      </c>
      <c r="B328" s="91" t="s">
        <v>749</v>
      </c>
      <c r="C328" s="70" t="s">
        <v>519</v>
      </c>
      <c r="D328" s="61" t="s">
        <v>750</v>
      </c>
      <c r="E328" s="70" t="s">
        <v>60</v>
      </c>
      <c r="F328" s="61" t="s">
        <v>751</v>
      </c>
      <c r="G328" s="68">
        <v>80000</v>
      </c>
      <c r="H328" s="80">
        <v>10000</v>
      </c>
      <c r="I328" s="63"/>
      <c r="J328" s="63"/>
      <c r="K328" s="63"/>
      <c r="L328" s="63"/>
      <c r="M328" s="63">
        <v>10000</v>
      </c>
      <c r="N328" s="63">
        <f t="shared" ref="N328:N349" si="457">M328</f>
        <v>10000</v>
      </c>
      <c r="O328" s="63">
        <v>10000</v>
      </c>
      <c r="P328" s="63">
        <f t="shared" ref="P328:P349" si="458">O328</f>
        <v>10000</v>
      </c>
      <c r="Q328" s="54"/>
      <c r="R328" s="54">
        <f t="shared" ref="R328:R378" si="459">N328-T328</f>
        <v>0</v>
      </c>
      <c r="S328" s="63">
        <v>10000</v>
      </c>
      <c r="T328" s="63">
        <v>10000</v>
      </c>
      <c r="U328" s="63">
        <v>10000</v>
      </c>
      <c r="V328" s="63">
        <v>10000</v>
      </c>
      <c r="W328" s="63"/>
      <c r="X328" s="63"/>
      <c r="Y328" s="63"/>
      <c r="Z328" s="63"/>
      <c r="AA328" s="63">
        <f t="shared" si="448"/>
        <v>10000</v>
      </c>
      <c r="AB328" s="63">
        <f t="shared" si="448"/>
        <v>10000</v>
      </c>
      <c r="AC328" s="63">
        <f t="shared" si="449"/>
        <v>0</v>
      </c>
      <c r="AD328" s="63">
        <f t="shared" si="449"/>
        <v>0</v>
      </c>
      <c r="AE328" s="63">
        <f t="shared" si="450"/>
        <v>0</v>
      </c>
      <c r="AF328" s="63">
        <f t="shared" si="451"/>
        <v>0</v>
      </c>
      <c r="AG328" s="63"/>
      <c r="AH328" s="63"/>
      <c r="AI328" s="61" t="s">
        <v>752</v>
      </c>
      <c r="AJ328" s="19">
        <f t="shared" si="384"/>
        <v>0</v>
      </c>
      <c r="AK328" s="22">
        <f t="shared" si="425"/>
        <v>0</v>
      </c>
      <c r="AL328" s="22"/>
      <c r="AM328" s="12">
        <f t="shared" si="452"/>
        <v>1</v>
      </c>
      <c r="AO328" s="12">
        <f t="shared" si="453"/>
        <v>0</v>
      </c>
      <c r="AP328" s="12">
        <f t="shared" si="436"/>
        <v>0</v>
      </c>
      <c r="AQ328" s="12">
        <f t="shared" si="454"/>
        <v>0</v>
      </c>
      <c r="AR328" s="12">
        <f t="shared" si="369"/>
        <v>0</v>
      </c>
      <c r="AS328" s="12">
        <f t="shared" si="455"/>
        <v>0</v>
      </c>
      <c r="AT328" s="12">
        <f t="shared" si="400"/>
        <v>0</v>
      </c>
      <c r="AU328" s="12">
        <f t="shared" si="456"/>
        <v>0</v>
      </c>
      <c r="AV328" s="12">
        <f t="shared" si="438"/>
        <v>0</v>
      </c>
    </row>
    <row r="329" spans="1:48" ht="66" x14ac:dyDescent="0.25">
      <c r="A329" s="60">
        <v>7</v>
      </c>
      <c r="B329" s="91" t="s">
        <v>753</v>
      </c>
      <c r="C329" s="70" t="s">
        <v>519</v>
      </c>
      <c r="D329" s="61" t="s">
        <v>754</v>
      </c>
      <c r="E329" s="70" t="s">
        <v>91</v>
      </c>
      <c r="F329" s="61" t="s">
        <v>755</v>
      </c>
      <c r="G329" s="68">
        <v>62185</v>
      </c>
      <c r="H329" s="80">
        <v>10000</v>
      </c>
      <c r="I329" s="63"/>
      <c r="J329" s="63"/>
      <c r="K329" s="63"/>
      <c r="L329" s="63"/>
      <c r="M329" s="63">
        <v>10000</v>
      </c>
      <c r="N329" s="63">
        <f t="shared" si="457"/>
        <v>10000</v>
      </c>
      <c r="O329" s="63">
        <v>10000</v>
      </c>
      <c r="P329" s="63">
        <f t="shared" si="458"/>
        <v>10000</v>
      </c>
      <c r="Q329" s="54"/>
      <c r="R329" s="54">
        <f t="shared" si="459"/>
        <v>0</v>
      </c>
      <c r="S329" s="63">
        <v>10000</v>
      </c>
      <c r="T329" s="63">
        <v>10000</v>
      </c>
      <c r="U329" s="63">
        <v>10000</v>
      </c>
      <c r="V329" s="63">
        <v>10000</v>
      </c>
      <c r="W329" s="63"/>
      <c r="X329" s="63"/>
      <c r="Y329" s="63"/>
      <c r="Z329" s="63"/>
      <c r="AA329" s="63">
        <f t="shared" si="448"/>
        <v>10000</v>
      </c>
      <c r="AB329" s="63">
        <f t="shared" si="448"/>
        <v>10000</v>
      </c>
      <c r="AC329" s="63">
        <f t="shared" si="449"/>
        <v>0</v>
      </c>
      <c r="AD329" s="63">
        <f t="shared" si="449"/>
        <v>0</v>
      </c>
      <c r="AE329" s="63">
        <f t="shared" si="450"/>
        <v>0</v>
      </c>
      <c r="AF329" s="63">
        <f t="shared" si="451"/>
        <v>0</v>
      </c>
      <c r="AG329" s="63"/>
      <c r="AH329" s="63"/>
      <c r="AI329" s="61" t="s">
        <v>752</v>
      </c>
      <c r="AJ329" s="19">
        <f t="shared" si="384"/>
        <v>0</v>
      </c>
      <c r="AK329" s="22">
        <f t="shared" si="425"/>
        <v>0</v>
      </c>
      <c r="AL329" s="22"/>
      <c r="AM329" s="12">
        <f t="shared" si="452"/>
        <v>1</v>
      </c>
      <c r="AO329" s="12">
        <f t="shared" si="453"/>
        <v>0</v>
      </c>
      <c r="AP329" s="12">
        <f t="shared" si="436"/>
        <v>0</v>
      </c>
      <c r="AQ329" s="12">
        <f t="shared" si="454"/>
        <v>0</v>
      </c>
      <c r="AR329" s="12">
        <f t="shared" si="369"/>
        <v>0</v>
      </c>
      <c r="AS329" s="12">
        <f t="shared" si="455"/>
        <v>0</v>
      </c>
      <c r="AT329" s="12">
        <f t="shared" si="400"/>
        <v>0</v>
      </c>
      <c r="AU329" s="12">
        <f t="shared" si="456"/>
        <v>0</v>
      </c>
      <c r="AV329" s="12">
        <f t="shared" si="438"/>
        <v>0</v>
      </c>
    </row>
    <row r="330" spans="1:48" ht="49.5" x14ac:dyDescent="0.25">
      <c r="A330" s="60">
        <v>8</v>
      </c>
      <c r="B330" s="91" t="s">
        <v>756</v>
      </c>
      <c r="C330" s="70" t="s">
        <v>519</v>
      </c>
      <c r="D330" s="61" t="s">
        <v>757</v>
      </c>
      <c r="E330" s="70">
        <v>2016</v>
      </c>
      <c r="F330" s="61" t="s">
        <v>758</v>
      </c>
      <c r="G330" s="68">
        <v>5042</v>
      </c>
      <c r="H330" s="80">
        <f t="shared" ref="H330:H349" si="460">G330</f>
        <v>5042</v>
      </c>
      <c r="I330" s="63"/>
      <c r="J330" s="63"/>
      <c r="K330" s="63"/>
      <c r="L330" s="63"/>
      <c r="M330" s="63">
        <v>4600</v>
      </c>
      <c r="N330" s="63">
        <f t="shared" si="457"/>
        <v>4600</v>
      </c>
      <c r="O330" s="63">
        <v>4600</v>
      </c>
      <c r="P330" s="63">
        <f t="shared" si="458"/>
        <v>4600</v>
      </c>
      <c r="Q330" s="54"/>
      <c r="R330" s="54">
        <f t="shared" si="459"/>
        <v>0</v>
      </c>
      <c r="S330" s="63">
        <v>4600</v>
      </c>
      <c r="T330" s="63">
        <v>4600</v>
      </c>
      <c r="U330" s="63">
        <v>4500</v>
      </c>
      <c r="V330" s="63">
        <v>4500</v>
      </c>
      <c r="W330" s="63"/>
      <c r="X330" s="63"/>
      <c r="Y330" s="63"/>
      <c r="Z330" s="63"/>
      <c r="AA330" s="63">
        <f t="shared" si="448"/>
        <v>4500</v>
      </c>
      <c r="AB330" s="63">
        <f t="shared" si="448"/>
        <v>4500</v>
      </c>
      <c r="AC330" s="63">
        <f t="shared" si="449"/>
        <v>100</v>
      </c>
      <c r="AD330" s="63">
        <f t="shared" si="449"/>
        <v>100</v>
      </c>
      <c r="AE330" s="63">
        <f t="shared" si="450"/>
        <v>0</v>
      </c>
      <c r="AF330" s="63">
        <f t="shared" si="451"/>
        <v>0</v>
      </c>
      <c r="AG330" s="63"/>
      <c r="AH330" s="63"/>
      <c r="AI330" s="61"/>
      <c r="AJ330" s="19">
        <f t="shared" si="384"/>
        <v>0</v>
      </c>
      <c r="AK330" s="22">
        <f t="shared" si="425"/>
        <v>0</v>
      </c>
      <c r="AL330" s="22"/>
      <c r="AM330" s="12">
        <f t="shared" si="452"/>
        <v>1</v>
      </c>
      <c r="AO330" s="12">
        <f t="shared" si="453"/>
        <v>0</v>
      </c>
      <c r="AP330" s="12">
        <f t="shared" si="436"/>
        <v>0</v>
      </c>
      <c r="AQ330" s="12">
        <f t="shared" si="454"/>
        <v>0</v>
      </c>
      <c r="AR330" s="12">
        <f t="shared" si="369"/>
        <v>0</v>
      </c>
      <c r="AS330" s="12">
        <f t="shared" si="455"/>
        <v>0</v>
      </c>
      <c r="AT330" s="12">
        <f t="shared" si="400"/>
        <v>0</v>
      </c>
      <c r="AU330" s="12">
        <f t="shared" si="456"/>
        <v>0</v>
      </c>
      <c r="AV330" s="12">
        <f t="shared" si="438"/>
        <v>0</v>
      </c>
    </row>
    <row r="331" spans="1:48" ht="66" x14ac:dyDescent="0.25">
      <c r="A331" s="60">
        <v>9</v>
      </c>
      <c r="B331" s="91" t="s">
        <v>759</v>
      </c>
      <c r="C331" s="70" t="s">
        <v>519</v>
      </c>
      <c r="D331" s="61" t="s">
        <v>760</v>
      </c>
      <c r="E331" s="70">
        <v>2016</v>
      </c>
      <c r="F331" s="61" t="s">
        <v>761</v>
      </c>
      <c r="G331" s="122">
        <v>5569</v>
      </c>
      <c r="H331" s="80">
        <f t="shared" si="460"/>
        <v>5569</v>
      </c>
      <c r="I331" s="63"/>
      <c r="J331" s="63"/>
      <c r="K331" s="63"/>
      <c r="L331" s="63"/>
      <c r="M331" s="63">
        <v>5100</v>
      </c>
      <c r="N331" s="63">
        <f t="shared" si="457"/>
        <v>5100</v>
      </c>
      <c r="O331" s="63">
        <v>5100</v>
      </c>
      <c r="P331" s="63">
        <f t="shared" si="458"/>
        <v>5100</v>
      </c>
      <c r="Q331" s="54"/>
      <c r="R331" s="54">
        <f t="shared" si="459"/>
        <v>0</v>
      </c>
      <c r="S331" s="63">
        <v>5100</v>
      </c>
      <c r="T331" s="63">
        <v>5100</v>
      </c>
      <c r="U331" s="63">
        <v>4800</v>
      </c>
      <c r="V331" s="63">
        <v>4800</v>
      </c>
      <c r="W331" s="63"/>
      <c r="X331" s="63"/>
      <c r="Y331" s="63"/>
      <c r="Z331" s="63"/>
      <c r="AA331" s="63">
        <f t="shared" si="448"/>
        <v>4800</v>
      </c>
      <c r="AB331" s="63">
        <f t="shared" si="448"/>
        <v>4800</v>
      </c>
      <c r="AC331" s="63">
        <f t="shared" si="449"/>
        <v>300</v>
      </c>
      <c r="AD331" s="63">
        <f t="shared" si="449"/>
        <v>300</v>
      </c>
      <c r="AE331" s="63">
        <f t="shared" si="450"/>
        <v>0</v>
      </c>
      <c r="AF331" s="63">
        <f t="shared" si="451"/>
        <v>0</v>
      </c>
      <c r="AG331" s="63"/>
      <c r="AH331" s="63"/>
      <c r="AI331" s="61"/>
      <c r="AJ331" s="19">
        <f t="shared" si="384"/>
        <v>0</v>
      </c>
      <c r="AK331" s="22">
        <f t="shared" si="425"/>
        <v>0</v>
      </c>
      <c r="AL331" s="22"/>
      <c r="AM331" s="12">
        <f t="shared" si="452"/>
        <v>1</v>
      </c>
      <c r="AO331" s="12">
        <f t="shared" si="453"/>
        <v>0</v>
      </c>
      <c r="AP331" s="12">
        <f t="shared" si="436"/>
        <v>0</v>
      </c>
      <c r="AQ331" s="12">
        <f t="shared" si="454"/>
        <v>0</v>
      </c>
      <c r="AR331" s="12">
        <f t="shared" ref="AR331:AR379" si="461">IF(AQ331=1,P331,0)</f>
        <v>0</v>
      </c>
      <c r="AS331" s="12">
        <f t="shared" si="455"/>
        <v>0</v>
      </c>
      <c r="AT331" s="12">
        <f t="shared" si="400"/>
        <v>0</v>
      </c>
      <c r="AU331" s="12">
        <f t="shared" si="456"/>
        <v>0</v>
      </c>
      <c r="AV331" s="12">
        <f t="shared" si="438"/>
        <v>0</v>
      </c>
    </row>
    <row r="332" spans="1:48" ht="115.5" x14ac:dyDescent="0.25">
      <c r="A332" s="60">
        <v>10</v>
      </c>
      <c r="B332" s="91" t="s">
        <v>762</v>
      </c>
      <c r="C332" s="70" t="s">
        <v>146</v>
      </c>
      <c r="D332" s="61" t="s">
        <v>763</v>
      </c>
      <c r="E332" s="70">
        <v>2016</v>
      </c>
      <c r="F332" s="95" t="s">
        <v>764</v>
      </c>
      <c r="G332" s="68">
        <v>1628</v>
      </c>
      <c r="H332" s="80">
        <f t="shared" si="460"/>
        <v>1628</v>
      </c>
      <c r="I332" s="63"/>
      <c r="J332" s="63"/>
      <c r="K332" s="63"/>
      <c r="L332" s="63"/>
      <c r="M332" s="63">
        <v>1550</v>
      </c>
      <c r="N332" s="63">
        <f t="shared" si="457"/>
        <v>1550</v>
      </c>
      <c r="O332" s="63">
        <v>1550</v>
      </c>
      <c r="P332" s="63">
        <f t="shared" si="458"/>
        <v>1550</v>
      </c>
      <c r="Q332" s="54"/>
      <c r="R332" s="54">
        <f t="shared" si="459"/>
        <v>0</v>
      </c>
      <c r="S332" s="63">
        <v>1550</v>
      </c>
      <c r="T332" s="63">
        <v>1550</v>
      </c>
      <c r="U332" s="63">
        <v>1400</v>
      </c>
      <c r="V332" s="63">
        <v>1400</v>
      </c>
      <c r="W332" s="63"/>
      <c r="X332" s="63"/>
      <c r="Y332" s="63"/>
      <c r="Z332" s="63"/>
      <c r="AA332" s="63">
        <f t="shared" si="448"/>
        <v>1400</v>
      </c>
      <c r="AB332" s="63">
        <f t="shared" si="448"/>
        <v>1400</v>
      </c>
      <c r="AC332" s="63">
        <f t="shared" si="449"/>
        <v>150</v>
      </c>
      <c r="AD332" s="63">
        <f t="shared" si="449"/>
        <v>150</v>
      </c>
      <c r="AE332" s="63">
        <f t="shared" si="450"/>
        <v>0</v>
      </c>
      <c r="AF332" s="63">
        <f t="shared" si="451"/>
        <v>0</v>
      </c>
      <c r="AG332" s="63"/>
      <c r="AH332" s="63"/>
      <c r="AI332" s="61" t="s">
        <v>765</v>
      </c>
      <c r="AJ332" s="19">
        <f t="shared" si="384"/>
        <v>0</v>
      </c>
      <c r="AK332" s="22">
        <f t="shared" si="425"/>
        <v>0</v>
      </c>
      <c r="AL332" s="22"/>
      <c r="AM332" s="12">
        <f t="shared" si="452"/>
        <v>1</v>
      </c>
      <c r="AO332" s="12">
        <f t="shared" si="453"/>
        <v>0</v>
      </c>
      <c r="AP332" s="12">
        <f t="shared" si="436"/>
        <v>0</v>
      </c>
      <c r="AQ332" s="12">
        <f t="shared" si="454"/>
        <v>0</v>
      </c>
      <c r="AR332" s="12">
        <f t="shared" si="461"/>
        <v>0</v>
      </c>
      <c r="AS332" s="12">
        <f t="shared" si="455"/>
        <v>0</v>
      </c>
      <c r="AT332" s="12">
        <f t="shared" si="400"/>
        <v>0</v>
      </c>
      <c r="AU332" s="12">
        <f t="shared" si="456"/>
        <v>0</v>
      </c>
      <c r="AV332" s="12">
        <f t="shared" si="438"/>
        <v>0</v>
      </c>
    </row>
    <row r="333" spans="1:48" ht="115.5" x14ac:dyDescent="0.25">
      <c r="A333" s="60">
        <v>11</v>
      </c>
      <c r="B333" s="91" t="s">
        <v>766</v>
      </c>
      <c r="C333" s="70" t="s">
        <v>205</v>
      </c>
      <c r="D333" s="61" t="s">
        <v>767</v>
      </c>
      <c r="E333" s="70">
        <v>2016</v>
      </c>
      <c r="F333" s="95" t="s">
        <v>768</v>
      </c>
      <c r="G333" s="122">
        <v>1718</v>
      </c>
      <c r="H333" s="80">
        <f t="shared" si="460"/>
        <v>1718</v>
      </c>
      <c r="I333" s="63"/>
      <c r="J333" s="63"/>
      <c r="K333" s="63"/>
      <c r="L333" s="63"/>
      <c r="M333" s="63">
        <v>1640</v>
      </c>
      <c r="N333" s="63">
        <f t="shared" si="457"/>
        <v>1640</v>
      </c>
      <c r="O333" s="63">
        <v>1640</v>
      </c>
      <c r="P333" s="63">
        <f t="shared" si="458"/>
        <v>1640</v>
      </c>
      <c r="Q333" s="54"/>
      <c r="R333" s="54">
        <f t="shared" si="459"/>
        <v>0</v>
      </c>
      <c r="S333" s="63">
        <v>1640</v>
      </c>
      <c r="T333" s="63">
        <v>1640</v>
      </c>
      <c r="U333" s="63">
        <v>1400</v>
      </c>
      <c r="V333" s="63">
        <v>1400</v>
      </c>
      <c r="W333" s="63"/>
      <c r="X333" s="63"/>
      <c r="Y333" s="63"/>
      <c r="Z333" s="63"/>
      <c r="AA333" s="63">
        <f t="shared" si="448"/>
        <v>1400</v>
      </c>
      <c r="AB333" s="63">
        <f t="shared" si="448"/>
        <v>1400</v>
      </c>
      <c r="AC333" s="63">
        <f t="shared" si="449"/>
        <v>240</v>
      </c>
      <c r="AD333" s="63">
        <f t="shared" si="449"/>
        <v>240</v>
      </c>
      <c r="AE333" s="63">
        <f t="shared" si="450"/>
        <v>0</v>
      </c>
      <c r="AF333" s="63">
        <f t="shared" si="451"/>
        <v>0</v>
      </c>
      <c r="AG333" s="63"/>
      <c r="AH333" s="63"/>
      <c r="AI333" s="61" t="s">
        <v>765</v>
      </c>
      <c r="AJ333" s="19">
        <f t="shared" si="384"/>
        <v>0</v>
      </c>
      <c r="AK333" s="22">
        <f t="shared" si="425"/>
        <v>0</v>
      </c>
      <c r="AL333" s="22"/>
      <c r="AM333" s="12">
        <f t="shared" si="452"/>
        <v>1</v>
      </c>
      <c r="AO333" s="12">
        <f t="shared" si="453"/>
        <v>0</v>
      </c>
      <c r="AP333" s="12">
        <f t="shared" si="436"/>
        <v>0</v>
      </c>
      <c r="AQ333" s="12">
        <f t="shared" si="454"/>
        <v>0</v>
      </c>
      <c r="AR333" s="12">
        <f t="shared" si="461"/>
        <v>0</v>
      </c>
      <c r="AS333" s="12">
        <f t="shared" si="455"/>
        <v>0</v>
      </c>
      <c r="AT333" s="12">
        <f t="shared" si="400"/>
        <v>0</v>
      </c>
      <c r="AU333" s="12">
        <f t="shared" si="456"/>
        <v>0</v>
      </c>
      <c r="AV333" s="12">
        <f t="shared" si="438"/>
        <v>0</v>
      </c>
    </row>
    <row r="334" spans="1:48" ht="49.5" x14ac:dyDescent="0.25">
      <c r="A334" s="60">
        <v>12</v>
      </c>
      <c r="B334" s="91" t="s">
        <v>769</v>
      </c>
      <c r="C334" s="61" t="s">
        <v>336</v>
      </c>
      <c r="D334" s="61" t="s">
        <v>770</v>
      </c>
      <c r="E334" s="70" t="s">
        <v>199</v>
      </c>
      <c r="F334" s="61" t="s">
        <v>771</v>
      </c>
      <c r="G334" s="122">
        <v>13583</v>
      </c>
      <c r="H334" s="80">
        <f t="shared" si="460"/>
        <v>13583</v>
      </c>
      <c r="I334" s="63"/>
      <c r="J334" s="63"/>
      <c r="K334" s="63"/>
      <c r="L334" s="63"/>
      <c r="M334" s="63">
        <v>11530</v>
      </c>
      <c r="N334" s="63">
        <f t="shared" si="457"/>
        <v>11530</v>
      </c>
      <c r="O334" s="63">
        <v>11530</v>
      </c>
      <c r="P334" s="63">
        <f t="shared" si="458"/>
        <v>11530</v>
      </c>
      <c r="Q334" s="54"/>
      <c r="R334" s="54">
        <f t="shared" si="459"/>
        <v>0</v>
      </c>
      <c r="S334" s="63">
        <v>11530</v>
      </c>
      <c r="T334" s="63">
        <v>11530</v>
      </c>
      <c r="U334" s="63">
        <v>8000</v>
      </c>
      <c r="V334" s="63">
        <v>8000</v>
      </c>
      <c r="W334" s="63">
        <v>2500</v>
      </c>
      <c r="X334" s="63">
        <v>2500</v>
      </c>
      <c r="Y334" s="63">
        <v>2500</v>
      </c>
      <c r="Z334" s="63"/>
      <c r="AA334" s="63">
        <f t="shared" si="448"/>
        <v>13000</v>
      </c>
      <c r="AB334" s="63">
        <f t="shared" si="448"/>
        <v>10500</v>
      </c>
      <c r="AC334" s="63">
        <f t="shared" si="449"/>
        <v>-1470</v>
      </c>
      <c r="AD334" s="63">
        <f t="shared" si="449"/>
        <v>1030</v>
      </c>
      <c r="AE334" s="63">
        <f t="shared" si="450"/>
        <v>0</v>
      </c>
      <c r="AF334" s="63">
        <f t="shared" si="451"/>
        <v>0</v>
      </c>
      <c r="AG334" s="63"/>
      <c r="AH334" s="63"/>
      <c r="AI334" s="69"/>
      <c r="AJ334" s="19">
        <f t="shared" si="384"/>
        <v>0</v>
      </c>
      <c r="AK334" s="22">
        <f t="shared" si="425"/>
        <v>0</v>
      </c>
      <c r="AL334" s="22"/>
      <c r="AM334" s="12">
        <f t="shared" si="452"/>
        <v>1</v>
      </c>
      <c r="AO334" s="12">
        <f t="shared" si="453"/>
        <v>0</v>
      </c>
      <c r="AP334" s="12">
        <f t="shared" si="436"/>
        <v>0</v>
      </c>
      <c r="AQ334" s="12">
        <f t="shared" si="454"/>
        <v>0</v>
      </c>
      <c r="AR334" s="12">
        <f t="shared" si="461"/>
        <v>0</v>
      </c>
      <c r="AS334" s="12">
        <f t="shared" si="455"/>
        <v>0</v>
      </c>
      <c r="AT334" s="12">
        <f t="shared" si="400"/>
        <v>0</v>
      </c>
      <c r="AU334" s="12">
        <f t="shared" si="456"/>
        <v>0</v>
      </c>
      <c r="AV334" s="12">
        <f t="shared" si="438"/>
        <v>0</v>
      </c>
    </row>
    <row r="335" spans="1:48" ht="49.5" x14ac:dyDescent="0.25">
      <c r="A335" s="60">
        <v>13</v>
      </c>
      <c r="B335" s="91" t="s">
        <v>772</v>
      </c>
      <c r="C335" s="61" t="s">
        <v>336</v>
      </c>
      <c r="D335" s="61" t="s">
        <v>773</v>
      </c>
      <c r="E335" s="70">
        <v>2016</v>
      </c>
      <c r="F335" s="61" t="s">
        <v>774</v>
      </c>
      <c r="G335" s="68">
        <v>1139</v>
      </c>
      <c r="H335" s="80">
        <f t="shared" si="460"/>
        <v>1139</v>
      </c>
      <c r="I335" s="63"/>
      <c r="J335" s="63"/>
      <c r="K335" s="63"/>
      <c r="L335" s="63"/>
      <c r="M335" s="63">
        <v>980</v>
      </c>
      <c r="N335" s="63">
        <f t="shared" si="457"/>
        <v>980</v>
      </c>
      <c r="O335" s="63">
        <v>980</v>
      </c>
      <c r="P335" s="63">
        <f t="shared" si="458"/>
        <v>980</v>
      </c>
      <c r="Q335" s="54"/>
      <c r="R335" s="54">
        <f t="shared" si="459"/>
        <v>0</v>
      </c>
      <c r="S335" s="63">
        <v>980</v>
      </c>
      <c r="T335" s="63">
        <v>980</v>
      </c>
      <c r="U335" s="63">
        <v>900</v>
      </c>
      <c r="V335" s="63">
        <v>900</v>
      </c>
      <c r="W335" s="63"/>
      <c r="X335" s="63"/>
      <c r="Y335" s="63"/>
      <c r="Z335" s="63"/>
      <c r="AA335" s="63">
        <f t="shared" si="448"/>
        <v>900</v>
      </c>
      <c r="AB335" s="63">
        <f t="shared" si="448"/>
        <v>900</v>
      </c>
      <c r="AC335" s="63">
        <f t="shared" si="449"/>
        <v>80</v>
      </c>
      <c r="AD335" s="63">
        <f t="shared" si="449"/>
        <v>80</v>
      </c>
      <c r="AE335" s="63">
        <f t="shared" si="450"/>
        <v>0</v>
      </c>
      <c r="AF335" s="63">
        <f t="shared" si="451"/>
        <v>0</v>
      </c>
      <c r="AG335" s="63"/>
      <c r="AH335" s="63"/>
      <c r="AI335" s="69"/>
      <c r="AJ335" s="19">
        <f t="shared" si="384"/>
        <v>0</v>
      </c>
      <c r="AK335" s="22">
        <f t="shared" si="425"/>
        <v>0</v>
      </c>
      <c r="AL335" s="22"/>
      <c r="AM335" s="12">
        <f t="shared" si="452"/>
        <v>1</v>
      </c>
      <c r="AO335" s="12">
        <f t="shared" si="453"/>
        <v>0</v>
      </c>
      <c r="AP335" s="12">
        <f t="shared" si="436"/>
        <v>0</v>
      </c>
      <c r="AQ335" s="12">
        <f t="shared" si="454"/>
        <v>0</v>
      </c>
      <c r="AR335" s="12">
        <f t="shared" si="461"/>
        <v>0</v>
      </c>
      <c r="AS335" s="12">
        <f t="shared" si="455"/>
        <v>0</v>
      </c>
      <c r="AT335" s="12">
        <f t="shared" si="400"/>
        <v>0</v>
      </c>
      <c r="AU335" s="12">
        <f t="shared" si="456"/>
        <v>0</v>
      </c>
      <c r="AV335" s="12">
        <f t="shared" si="438"/>
        <v>0</v>
      </c>
    </row>
    <row r="336" spans="1:48" ht="50.25" x14ac:dyDescent="0.25">
      <c r="A336" s="60">
        <v>14</v>
      </c>
      <c r="B336" s="131" t="s">
        <v>775</v>
      </c>
      <c r="C336" s="61" t="s">
        <v>336</v>
      </c>
      <c r="D336" s="115" t="s">
        <v>893</v>
      </c>
      <c r="E336" s="70" t="s">
        <v>97</v>
      </c>
      <c r="F336" s="95" t="s">
        <v>776</v>
      </c>
      <c r="G336" s="63">
        <v>11694</v>
      </c>
      <c r="H336" s="80">
        <f t="shared" si="460"/>
        <v>11694</v>
      </c>
      <c r="I336" s="63"/>
      <c r="J336" s="63"/>
      <c r="K336" s="63"/>
      <c r="L336" s="63"/>
      <c r="M336" s="63">
        <v>11100</v>
      </c>
      <c r="N336" s="63">
        <f t="shared" si="457"/>
        <v>11100</v>
      </c>
      <c r="O336" s="63">
        <v>11100</v>
      </c>
      <c r="P336" s="63">
        <f t="shared" si="458"/>
        <v>11100</v>
      </c>
      <c r="Q336" s="54"/>
      <c r="R336" s="54">
        <f t="shared" si="459"/>
        <v>0</v>
      </c>
      <c r="S336" s="63">
        <v>11100</v>
      </c>
      <c r="T336" s="63">
        <v>11100</v>
      </c>
      <c r="U336" s="63">
        <v>8000</v>
      </c>
      <c r="V336" s="63">
        <v>8000</v>
      </c>
      <c r="W336" s="63"/>
      <c r="X336" s="63"/>
      <c r="Y336" s="63"/>
      <c r="Z336" s="63"/>
      <c r="AA336" s="63">
        <f t="shared" si="448"/>
        <v>8000</v>
      </c>
      <c r="AB336" s="63">
        <f t="shared" si="448"/>
        <v>8000</v>
      </c>
      <c r="AC336" s="63">
        <f t="shared" si="449"/>
        <v>3100</v>
      </c>
      <c r="AD336" s="63">
        <f t="shared" si="449"/>
        <v>3100</v>
      </c>
      <c r="AE336" s="63">
        <f t="shared" si="450"/>
        <v>0</v>
      </c>
      <c r="AF336" s="63">
        <f t="shared" si="451"/>
        <v>0</v>
      </c>
      <c r="AG336" s="63"/>
      <c r="AH336" s="63"/>
      <c r="AI336" s="69"/>
      <c r="AJ336" s="19">
        <f t="shared" si="384"/>
        <v>0</v>
      </c>
      <c r="AK336" s="22">
        <f t="shared" si="425"/>
        <v>0</v>
      </c>
      <c r="AL336" s="22"/>
      <c r="AM336" s="12">
        <f t="shared" si="452"/>
        <v>1</v>
      </c>
      <c r="AO336" s="12">
        <f t="shared" si="453"/>
        <v>0</v>
      </c>
      <c r="AP336" s="12">
        <f t="shared" si="436"/>
        <v>0</v>
      </c>
      <c r="AQ336" s="12">
        <f t="shared" si="454"/>
        <v>0</v>
      </c>
      <c r="AR336" s="12">
        <f t="shared" si="461"/>
        <v>0</v>
      </c>
      <c r="AS336" s="12">
        <f t="shared" si="455"/>
        <v>0</v>
      </c>
      <c r="AT336" s="12">
        <f t="shared" si="400"/>
        <v>0</v>
      </c>
      <c r="AU336" s="12">
        <f t="shared" si="456"/>
        <v>0</v>
      </c>
      <c r="AV336" s="12">
        <f t="shared" si="438"/>
        <v>0</v>
      </c>
    </row>
    <row r="337" spans="1:48" ht="49.5" x14ac:dyDescent="0.25">
      <c r="A337" s="60">
        <v>15</v>
      </c>
      <c r="B337" s="91" t="s">
        <v>777</v>
      </c>
      <c r="C337" s="61" t="s">
        <v>336</v>
      </c>
      <c r="D337" s="115" t="s">
        <v>778</v>
      </c>
      <c r="E337" s="70">
        <v>2016</v>
      </c>
      <c r="F337" s="61" t="s">
        <v>779</v>
      </c>
      <c r="G337" s="68">
        <v>2996</v>
      </c>
      <c r="H337" s="80">
        <f t="shared" si="460"/>
        <v>2996</v>
      </c>
      <c r="I337" s="63"/>
      <c r="J337" s="63"/>
      <c r="K337" s="63"/>
      <c r="L337" s="63"/>
      <c r="M337" s="63">
        <v>2850</v>
      </c>
      <c r="N337" s="63">
        <f t="shared" si="457"/>
        <v>2850</v>
      </c>
      <c r="O337" s="63">
        <f>P337</f>
        <v>2923</v>
      </c>
      <c r="P337" s="63">
        <v>2923</v>
      </c>
      <c r="Q337" s="54">
        <f>T337-N337</f>
        <v>73</v>
      </c>
      <c r="R337" s="54"/>
      <c r="S337" s="63">
        <f>T337</f>
        <v>2923</v>
      </c>
      <c r="T337" s="63">
        <v>2923</v>
      </c>
      <c r="U337" s="122">
        <v>2600</v>
      </c>
      <c r="V337" s="122">
        <v>2600</v>
      </c>
      <c r="W337" s="63"/>
      <c r="X337" s="63"/>
      <c r="Y337" s="63"/>
      <c r="Z337" s="63"/>
      <c r="AA337" s="63">
        <f t="shared" si="448"/>
        <v>2600</v>
      </c>
      <c r="AB337" s="63">
        <f t="shared" si="448"/>
        <v>2600</v>
      </c>
      <c r="AC337" s="63">
        <f t="shared" si="449"/>
        <v>323</v>
      </c>
      <c r="AD337" s="63">
        <f t="shared" si="449"/>
        <v>323</v>
      </c>
      <c r="AE337" s="63">
        <f t="shared" si="450"/>
        <v>0</v>
      </c>
      <c r="AF337" s="63">
        <f t="shared" si="451"/>
        <v>0</v>
      </c>
      <c r="AG337" s="63"/>
      <c r="AH337" s="63"/>
      <c r="AI337" s="69"/>
      <c r="AJ337" s="19">
        <f t="shared" si="384"/>
        <v>1</v>
      </c>
      <c r="AK337" s="22">
        <f t="shared" si="425"/>
        <v>1</v>
      </c>
      <c r="AL337" s="22"/>
      <c r="AM337" s="12">
        <f t="shared" si="452"/>
        <v>0</v>
      </c>
      <c r="AO337" s="12">
        <f t="shared" si="453"/>
        <v>0</v>
      </c>
      <c r="AP337" s="12">
        <f t="shared" si="436"/>
        <v>0</v>
      </c>
      <c r="AQ337" s="12">
        <f t="shared" si="454"/>
        <v>0</v>
      </c>
      <c r="AR337" s="12">
        <f t="shared" si="461"/>
        <v>0</v>
      </c>
      <c r="AS337" s="12">
        <f t="shared" si="455"/>
        <v>1</v>
      </c>
      <c r="AT337" s="12">
        <f t="shared" si="400"/>
        <v>73</v>
      </c>
      <c r="AU337" s="12">
        <f t="shared" si="456"/>
        <v>0</v>
      </c>
      <c r="AV337" s="12">
        <f t="shared" si="438"/>
        <v>0</v>
      </c>
    </row>
    <row r="338" spans="1:48" ht="94.5" x14ac:dyDescent="0.25">
      <c r="A338" s="60">
        <v>16</v>
      </c>
      <c r="B338" s="91" t="s">
        <v>780</v>
      </c>
      <c r="C338" s="61" t="s">
        <v>336</v>
      </c>
      <c r="D338" s="115" t="s">
        <v>781</v>
      </c>
      <c r="E338" s="70">
        <v>2016</v>
      </c>
      <c r="F338" s="61" t="s">
        <v>782</v>
      </c>
      <c r="G338" s="68">
        <v>2860</v>
      </c>
      <c r="H338" s="80">
        <f t="shared" si="460"/>
        <v>2860</v>
      </c>
      <c r="I338" s="63"/>
      <c r="J338" s="63"/>
      <c r="K338" s="63"/>
      <c r="L338" s="63"/>
      <c r="M338" s="63">
        <v>2590</v>
      </c>
      <c r="N338" s="63">
        <f t="shared" si="457"/>
        <v>2590</v>
      </c>
      <c r="O338" s="63">
        <v>2590</v>
      </c>
      <c r="P338" s="63">
        <f t="shared" si="458"/>
        <v>2590</v>
      </c>
      <c r="Q338" s="54"/>
      <c r="R338" s="54">
        <f t="shared" si="459"/>
        <v>0</v>
      </c>
      <c r="S338" s="63">
        <v>2590</v>
      </c>
      <c r="T338" s="63">
        <v>2590</v>
      </c>
      <c r="U338" s="122">
        <v>2250</v>
      </c>
      <c r="V338" s="122">
        <v>2250</v>
      </c>
      <c r="W338" s="63"/>
      <c r="X338" s="63"/>
      <c r="Y338" s="63"/>
      <c r="Z338" s="63"/>
      <c r="AA338" s="63">
        <f t="shared" si="448"/>
        <v>2250</v>
      </c>
      <c r="AB338" s="63">
        <f t="shared" si="448"/>
        <v>2250</v>
      </c>
      <c r="AC338" s="63">
        <f t="shared" si="449"/>
        <v>340</v>
      </c>
      <c r="AD338" s="63">
        <f t="shared" si="449"/>
        <v>340</v>
      </c>
      <c r="AE338" s="63">
        <f t="shared" si="450"/>
        <v>0</v>
      </c>
      <c r="AF338" s="63">
        <f t="shared" si="451"/>
        <v>0</v>
      </c>
      <c r="AG338" s="63"/>
      <c r="AH338" s="63"/>
      <c r="AI338" s="69"/>
      <c r="AJ338" s="19">
        <f t="shared" si="384"/>
        <v>0</v>
      </c>
      <c r="AK338" s="22">
        <f t="shared" si="425"/>
        <v>0</v>
      </c>
      <c r="AL338" s="22"/>
      <c r="AM338" s="12">
        <f t="shared" si="452"/>
        <v>1</v>
      </c>
      <c r="AO338" s="12">
        <f t="shared" si="453"/>
        <v>0</v>
      </c>
      <c r="AP338" s="12">
        <f t="shared" si="436"/>
        <v>0</v>
      </c>
      <c r="AQ338" s="12">
        <f t="shared" si="454"/>
        <v>0</v>
      </c>
      <c r="AR338" s="12">
        <f t="shared" si="461"/>
        <v>0</v>
      </c>
      <c r="AS338" s="12">
        <f t="shared" si="455"/>
        <v>0</v>
      </c>
      <c r="AT338" s="12">
        <f t="shared" si="400"/>
        <v>0</v>
      </c>
      <c r="AU338" s="12">
        <f t="shared" si="456"/>
        <v>0</v>
      </c>
      <c r="AV338" s="12">
        <f t="shared" si="438"/>
        <v>0</v>
      </c>
    </row>
    <row r="339" spans="1:48" ht="49.5" x14ac:dyDescent="0.25">
      <c r="A339" s="60">
        <v>17</v>
      </c>
      <c r="B339" s="91" t="s">
        <v>783</v>
      </c>
      <c r="C339" s="61" t="s">
        <v>336</v>
      </c>
      <c r="D339" s="115" t="s">
        <v>784</v>
      </c>
      <c r="E339" s="70">
        <v>2016</v>
      </c>
      <c r="F339" s="61" t="s">
        <v>785</v>
      </c>
      <c r="G339" s="68">
        <v>3296</v>
      </c>
      <c r="H339" s="80">
        <f t="shared" si="460"/>
        <v>3296</v>
      </c>
      <c r="I339" s="63"/>
      <c r="J339" s="63"/>
      <c r="K339" s="63"/>
      <c r="L339" s="63"/>
      <c r="M339" s="63">
        <v>3140</v>
      </c>
      <c r="N339" s="63">
        <f t="shared" si="457"/>
        <v>3140</v>
      </c>
      <c r="O339" s="63">
        <v>3140</v>
      </c>
      <c r="P339" s="63">
        <f t="shared" si="458"/>
        <v>3140</v>
      </c>
      <c r="Q339" s="54"/>
      <c r="R339" s="54">
        <f t="shared" si="459"/>
        <v>0</v>
      </c>
      <c r="S339" s="63">
        <v>3140</v>
      </c>
      <c r="T339" s="63">
        <v>3140</v>
      </c>
      <c r="U339" s="122">
        <v>3620</v>
      </c>
      <c r="V339" s="122">
        <v>3620</v>
      </c>
      <c r="W339" s="63"/>
      <c r="X339" s="63"/>
      <c r="Y339" s="63"/>
      <c r="Z339" s="63"/>
      <c r="AA339" s="63">
        <f t="shared" si="448"/>
        <v>3620</v>
      </c>
      <c r="AB339" s="63">
        <f t="shared" si="448"/>
        <v>3620</v>
      </c>
      <c r="AC339" s="63">
        <f t="shared" si="449"/>
        <v>-480</v>
      </c>
      <c r="AD339" s="63">
        <f t="shared" si="449"/>
        <v>-480</v>
      </c>
      <c r="AE339" s="63">
        <f t="shared" si="450"/>
        <v>0</v>
      </c>
      <c r="AF339" s="63">
        <f t="shared" si="451"/>
        <v>0</v>
      </c>
      <c r="AG339" s="63"/>
      <c r="AH339" s="63"/>
      <c r="AI339" s="69"/>
      <c r="AJ339" s="19">
        <f t="shared" si="384"/>
        <v>0</v>
      </c>
      <c r="AK339" s="22">
        <f t="shared" si="425"/>
        <v>0</v>
      </c>
      <c r="AL339" s="22"/>
      <c r="AM339" s="12">
        <f t="shared" si="452"/>
        <v>1</v>
      </c>
      <c r="AO339" s="12">
        <f t="shared" si="453"/>
        <v>0</v>
      </c>
      <c r="AP339" s="12">
        <f t="shared" si="436"/>
        <v>0</v>
      </c>
      <c r="AQ339" s="12">
        <f t="shared" si="454"/>
        <v>0</v>
      </c>
      <c r="AR339" s="12">
        <f t="shared" si="461"/>
        <v>0</v>
      </c>
      <c r="AS339" s="12">
        <f t="shared" si="455"/>
        <v>0</v>
      </c>
      <c r="AT339" s="12">
        <f t="shared" si="400"/>
        <v>0</v>
      </c>
      <c r="AU339" s="12">
        <f t="shared" si="456"/>
        <v>0</v>
      </c>
      <c r="AV339" s="12">
        <f t="shared" si="438"/>
        <v>0</v>
      </c>
    </row>
    <row r="340" spans="1:48" ht="49.5" x14ac:dyDescent="0.25">
      <c r="A340" s="60">
        <v>18</v>
      </c>
      <c r="B340" s="91" t="s">
        <v>786</v>
      </c>
      <c r="C340" s="61"/>
      <c r="D340" s="115" t="s">
        <v>787</v>
      </c>
      <c r="E340" s="70">
        <v>2016</v>
      </c>
      <c r="F340" s="61" t="s">
        <v>788</v>
      </c>
      <c r="G340" s="68">
        <v>1326</v>
      </c>
      <c r="H340" s="80">
        <f t="shared" si="460"/>
        <v>1326</v>
      </c>
      <c r="I340" s="63"/>
      <c r="J340" s="63"/>
      <c r="K340" s="63"/>
      <c r="L340" s="63"/>
      <c r="M340" s="63">
        <v>1260</v>
      </c>
      <c r="N340" s="63">
        <f t="shared" si="457"/>
        <v>1260</v>
      </c>
      <c r="O340" s="63">
        <v>1260</v>
      </c>
      <c r="P340" s="63">
        <f t="shared" si="458"/>
        <v>1260</v>
      </c>
      <c r="Q340" s="54"/>
      <c r="R340" s="54">
        <f t="shared" si="459"/>
        <v>0</v>
      </c>
      <c r="S340" s="63">
        <v>1260</v>
      </c>
      <c r="T340" s="63">
        <v>1260</v>
      </c>
      <c r="U340" s="122">
        <v>1000</v>
      </c>
      <c r="V340" s="122">
        <v>1000</v>
      </c>
      <c r="W340" s="63"/>
      <c r="X340" s="63"/>
      <c r="Y340" s="63"/>
      <c r="Z340" s="63"/>
      <c r="AA340" s="63">
        <f t="shared" si="448"/>
        <v>1000</v>
      </c>
      <c r="AB340" s="63">
        <f t="shared" si="448"/>
        <v>1000</v>
      </c>
      <c r="AC340" s="63">
        <f t="shared" si="449"/>
        <v>260</v>
      </c>
      <c r="AD340" s="63">
        <f t="shared" si="449"/>
        <v>260</v>
      </c>
      <c r="AE340" s="63">
        <f t="shared" si="450"/>
        <v>0</v>
      </c>
      <c r="AF340" s="63">
        <f t="shared" si="451"/>
        <v>0</v>
      </c>
      <c r="AG340" s="63"/>
      <c r="AH340" s="63"/>
      <c r="AI340" s="69"/>
      <c r="AJ340" s="19">
        <f t="shared" ref="AJ340:AJ381" si="462">IF(N340-T340=0,0,1)</f>
        <v>0</v>
      </c>
      <c r="AK340" s="22">
        <f t="shared" si="425"/>
        <v>0</v>
      </c>
      <c r="AL340" s="22"/>
      <c r="AM340" s="12">
        <f t="shared" si="452"/>
        <v>1</v>
      </c>
      <c r="AO340" s="12">
        <f t="shared" si="453"/>
        <v>0</v>
      </c>
      <c r="AP340" s="12">
        <f t="shared" si="436"/>
        <v>0</v>
      </c>
      <c r="AQ340" s="12">
        <f t="shared" si="454"/>
        <v>0</v>
      </c>
      <c r="AR340" s="12">
        <f t="shared" si="461"/>
        <v>0</v>
      </c>
      <c r="AS340" s="12">
        <f t="shared" si="455"/>
        <v>0</v>
      </c>
      <c r="AT340" s="12">
        <f t="shared" si="400"/>
        <v>0</v>
      </c>
      <c r="AU340" s="12">
        <f t="shared" si="456"/>
        <v>0</v>
      </c>
      <c r="AV340" s="12">
        <f t="shared" si="438"/>
        <v>0</v>
      </c>
    </row>
    <row r="341" spans="1:48" ht="49.5" x14ac:dyDescent="0.25">
      <c r="A341" s="60">
        <v>19</v>
      </c>
      <c r="B341" s="91" t="s">
        <v>789</v>
      </c>
      <c r="C341" s="61"/>
      <c r="D341" s="115" t="s">
        <v>787</v>
      </c>
      <c r="E341" s="70">
        <v>2016</v>
      </c>
      <c r="F341" s="61" t="s">
        <v>790</v>
      </c>
      <c r="G341" s="68">
        <v>779</v>
      </c>
      <c r="H341" s="80">
        <f t="shared" si="460"/>
        <v>779</v>
      </c>
      <c r="I341" s="63"/>
      <c r="J341" s="63"/>
      <c r="K341" s="63"/>
      <c r="L341" s="63"/>
      <c r="M341" s="63">
        <v>740</v>
      </c>
      <c r="N341" s="63">
        <f t="shared" si="457"/>
        <v>740</v>
      </c>
      <c r="O341" s="63">
        <v>740</v>
      </c>
      <c r="P341" s="63">
        <f t="shared" si="458"/>
        <v>740</v>
      </c>
      <c r="Q341" s="54"/>
      <c r="R341" s="54">
        <f t="shared" si="459"/>
        <v>0</v>
      </c>
      <c r="S341" s="63">
        <v>740</v>
      </c>
      <c r="T341" s="63">
        <v>740</v>
      </c>
      <c r="U341" s="122">
        <v>500</v>
      </c>
      <c r="V341" s="122">
        <v>500</v>
      </c>
      <c r="W341" s="63"/>
      <c r="X341" s="63"/>
      <c r="Y341" s="63"/>
      <c r="Z341" s="63"/>
      <c r="AA341" s="63">
        <f t="shared" si="448"/>
        <v>500</v>
      </c>
      <c r="AB341" s="63">
        <f t="shared" si="448"/>
        <v>500</v>
      </c>
      <c r="AC341" s="63">
        <f t="shared" si="449"/>
        <v>240</v>
      </c>
      <c r="AD341" s="63">
        <f t="shared" si="449"/>
        <v>240</v>
      </c>
      <c r="AE341" s="63">
        <f t="shared" si="450"/>
        <v>0</v>
      </c>
      <c r="AF341" s="63">
        <f t="shared" si="451"/>
        <v>0</v>
      </c>
      <c r="AG341" s="63"/>
      <c r="AH341" s="63"/>
      <c r="AI341" s="69"/>
      <c r="AJ341" s="19">
        <f t="shared" si="462"/>
        <v>0</v>
      </c>
      <c r="AK341" s="22">
        <f t="shared" si="425"/>
        <v>0</v>
      </c>
      <c r="AL341" s="22"/>
      <c r="AM341" s="12">
        <f t="shared" si="452"/>
        <v>1</v>
      </c>
      <c r="AO341" s="12">
        <f t="shared" si="453"/>
        <v>0</v>
      </c>
      <c r="AP341" s="12">
        <f t="shared" si="436"/>
        <v>0</v>
      </c>
      <c r="AQ341" s="12">
        <f t="shared" si="454"/>
        <v>0</v>
      </c>
      <c r="AR341" s="12">
        <f t="shared" si="461"/>
        <v>0</v>
      </c>
      <c r="AS341" s="12">
        <f t="shared" si="455"/>
        <v>0</v>
      </c>
      <c r="AT341" s="12">
        <f t="shared" si="400"/>
        <v>0</v>
      </c>
      <c r="AU341" s="12">
        <f t="shared" si="456"/>
        <v>0</v>
      </c>
      <c r="AV341" s="12">
        <f t="shared" si="438"/>
        <v>0</v>
      </c>
    </row>
    <row r="342" spans="1:48" ht="49.5" x14ac:dyDescent="0.25">
      <c r="A342" s="60">
        <v>20</v>
      </c>
      <c r="B342" s="91" t="s">
        <v>791</v>
      </c>
      <c r="C342" s="61" t="s">
        <v>336</v>
      </c>
      <c r="D342" s="115" t="s">
        <v>787</v>
      </c>
      <c r="E342" s="70">
        <v>2016</v>
      </c>
      <c r="F342" s="61" t="s">
        <v>792</v>
      </c>
      <c r="G342" s="68">
        <v>2014</v>
      </c>
      <c r="H342" s="80">
        <f t="shared" si="460"/>
        <v>2014</v>
      </c>
      <c r="I342" s="63"/>
      <c r="J342" s="63"/>
      <c r="K342" s="63"/>
      <c r="L342" s="63"/>
      <c r="M342" s="63">
        <v>1920</v>
      </c>
      <c r="N342" s="63">
        <f t="shared" si="457"/>
        <v>1920</v>
      </c>
      <c r="O342" s="63">
        <v>1920</v>
      </c>
      <c r="P342" s="63">
        <f t="shared" si="458"/>
        <v>1920</v>
      </c>
      <c r="Q342" s="54"/>
      <c r="R342" s="54">
        <f t="shared" si="459"/>
        <v>0</v>
      </c>
      <c r="S342" s="63">
        <v>1920</v>
      </c>
      <c r="T342" s="63">
        <v>1920</v>
      </c>
      <c r="U342" s="122">
        <v>1450</v>
      </c>
      <c r="V342" s="122">
        <v>1450</v>
      </c>
      <c r="W342" s="63"/>
      <c r="X342" s="63"/>
      <c r="Y342" s="63"/>
      <c r="Z342" s="63"/>
      <c r="AA342" s="63">
        <f t="shared" si="448"/>
        <v>1450</v>
      </c>
      <c r="AB342" s="63">
        <f t="shared" si="448"/>
        <v>1450</v>
      </c>
      <c r="AC342" s="63">
        <f t="shared" si="449"/>
        <v>470</v>
      </c>
      <c r="AD342" s="63">
        <f t="shared" si="449"/>
        <v>470</v>
      </c>
      <c r="AE342" s="63">
        <f t="shared" si="450"/>
        <v>0</v>
      </c>
      <c r="AF342" s="63">
        <f t="shared" si="451"/>
        <v>0</v>
      </c>
      <c r="AG342" s="63"/>
      <c r="AH342" s="63"/>
      <c r="AI342" s="69"/>
      <c r="AJ342" s="19">
        <f t="shared" si="462"/>
        <v>0</v>
      </c>
      <c r="AK342" s="22">
        <f t="shared" si="425"/>
        <v>0</v>
      </c>
      <c r="AL342" s="22"/>
      <c r="AM342" s="12">
        <f t="shared" si="452"/>
        <v>1</v>
      </c>
      <c r="AO342" s="12">
        <f t="shared" si="453"/>
        <v>0</v>
      </c>
      <c r="AP342" s="12">
        <f t="shared" si="436"/>
        <v>0</v>
      </c>
      <c r="AQ342" s="12">
        <f t="shared" si="454"/>
        <v>0</v>
      </c>
      <c r="AR342" s="12">
        <f t="shared" si="461"/>
        <v>0</v>
      </c>
      <c r="AS342" s="12">
        <f t="shared" si="455"/>
        <v>0</v>
      </c>
      <c r="AT342" s="12">
        <f t="shared" si="400"/>
        <v>0</v>
      </c>
      <c r="AU342" s="12">
        <f t="shared" si="456"/>
        <v>0</v>
      </c>
      <c r="AV342" s="12">
        <f t="shared" si="438"/>
        <v>0</v>
      </c>
    </row>
    <row r="343" spans="1:48" ht="49.5" x14ac:dyDescent="0.25">
      <c r="A343" s="60">
        <v>21</v>
      </c>
      <c r="B343" s="91" t="s">
        <v>793</v>
      </c>
      <c r="C343" s="61" t="s">
        <v>336</v>
      </c>
      <c r="D343" s="115" t="s">
        <v>794</v>
      </c>
      <c r="E343" s="70">
        <v>2016</v>
      </c>
      <c r="F343" s="61" t="s">
        <v>795</v>
      </c>
      <c r="G343" s="68">
        <v>534</v>
      </c>
      <c r="H343" s="80">
        <f t="shared" si="460"/>
        <v>534</v>
      </c>
      <c r="I343" s="63"/>
      <c r="J343" s="63"/>
      <c r="K343" s="63"/>
      <c r="L343" s="63"/>
      <c r="M343" s="63">
        <v>530</v>
      </c>
      <c r="N343" s="63">
        <f t="shared" si="457"/>
        <v>530</v>
      </c>
      <c r="O343" s="63">
        <v>530</v>
      </c>
      <c r="P343" s="63">
        <f t="shared" si="458"/>
        <v>530</v>
      </c>
      <c r="Q343" s="54"/>
      <c r="R343" s="54">
        <f t="shared" si="459"/>
        <v>0</v>
      </c>
      <c r="S343" s="63">
        <v>530</v>
      </c>
      <c r="T343" s="63">
        <v>530</v>
      </c>
      <c r="U343" s="122">
        <v>400</v>
      </c>
      <c r="V343" s="122">
        <v>400</v>
      </c>
      <c r="W343" s="63"/>
      <c r="X343" s="63"/>
      <c r="Y343" s="63"/>
      <c r="Z343" s="63"/>
      <c r="AA343" s="63">
        <f t="shared" si="448"/>
        <v>400</v>
      </c>
      <c r="AB343" s="63">
        <f t="shared" si="448"/>
        <v>400</v>
      </c>
      <c r="AC343" s="63">
        <f t="shared" si="449"/>
        <v>130</v>
      </c>
      <c r="AD343" s="63">
        <f t="shared" si="449"/>
        <v>130</v>
      </c>
      <c r="AE343" s="63">
        <f t="shared" si="450"/>
        <v>0</v>
      </c>
      <c r="AF343" s="63">
        <f t="shared" si="451"/>
        <v>0</v>
      </c>
      <c r="AG343" s="63"/>
      <c r="AH343" s="63"/>
      <c r="AI343" s="69"/>
      <c r="AJ343" s="19">
        <f t="shared" si="462"/>
        <v>0</v>
      </c>
      <c r="AK343" s="22">
        <f t="shared" si="425"/>
        <v>0</v>
      </c>
      <c r="AL343" s="22"/>
      <c r="AM343" s="12">
        <f t="shared" si="452"/>
        <v>1</v>
      </c>
      <c r="AO343" s="12">
        <f t="shared" si="453"/>
        <v>0</v>
      </c>
      <c r="AP343" s="12">
        <f t="shared" si="436"/>
        <v>0</v>
      </c>
      <c r="AQ343" s="12">
        <f t="shared" si="454"/>
        <v>0</v>
      </c>
      <c r="AR343" s="12">
        <f t="shared" si="461"/>
        <v>0</v>
      </c>
      <c r="AS343" s="12">
        <f t="shared" si="455"/>
        <v>0</v>
      </c>
      <c r="AT343" s="12">
        <f t="shared" si="400"/>
        <v>0</v>
      </c>
      <c r="AU343" s="12">
        <f t="shared" si="456"/>
        <v>0</v>
      </c>
      <c r="AV343" s="12">
        <f t="shared" si="438"/>
        <v>0</v>
      </c>
    </row>
    <row r="344" spans="1:48" ht="49.5" x14ac:dyDescent="0.25">
      <c r="A344" s="60">
        <v>22</v>
      </c>
      <c r="B344" s="91" t="s">
        <v>796</v>
      </c>
      <c r="C344" s="61" t="s">
        <v>336</v>
      </c>
      <c r="D344" s="115" t="s">
        <v>797</v>
      </c>
      <c r="E344" s="70"/>
      <c r="F344" s="61" t="s">
        <v>798</v>
      </c>
      <c r="G344" s="68">
        <v>1566</v>
      </c>
      <c r="H344" s="80">
        <f t="shared" si="460"/>
        <v>1566</v>
      </c>
      <c r="I344" s="63"/>
      <c r="J344" s="63"/>
      <c r="K344" s="63"/>
      <c r="L344" s="63"/>
      <c r="M344" s="63">
        <v>1500</v>
      </c>
      <c r="N344" s="63">
        <f t="shared" si="457"/>
        <v>1500</v>
      </c>
      <c r="O344" s="63">
        <v>1500</v>
      </c>
      <c r="P344" s="63">
        <f t="shared" si="458"/>
        <v>1500</v>
      </c>
      <c r="Q344" s="54"/>
      <c r="R344" s="54">
        <f t="shared" si="459"/>
        <v>0</v>
      </c>
      <c r="S344" s="63">
        <v>1500</v>
      </c>
      <c r="T344" s="63">
        <v>1500</v>
      </c>
      <c r="U344" s="122">
        <v>1100</v>
      </c>
      <c r="V344" s="122">
        <v>1100</v>
      </c>
      <c r="W344" s="63"/>
      <c r="X344" s="63"/>
      <c r="Y344" s="63"/>
      <c r="Z344" s="63"/>
      <c r="AA344" s="63">
        <f t="shared" si="448"/>
        <v>1100</v>
      </c>
      <c r="AB344" s="63">
        <f t="shared" si="448"/>
        <v>1100</v>
      </c>
      <c r="AC344" s="63">
        <f t="shared" si="449"/>
        <v>400</v>
      </c>
      <c r="AD344" s="63">
        <f t="shared" si="449"/>
        <v>400</v>
      </c>
      <c r="AE344" s="63">
        <f t="shared" si="450"/>
        <v>0</v>
      </c>
      <c r="AF344" s="63">
        <f t="shared" si="451"/>
        <v>0</v>
      </c>
      <c r="AG344" s="63"/>
      <c r="AH344" s="63"/>
      <c r="AI344" s="69"/>
      <c r="AJ344" s="19">
        <f t="shared" si="462"/>
        <v>0</v>
      </c>
      <c r="AK344" s="22">
        <f t="shared" si="425"/>
        <v>0</v>
      </c>
      <c r="AL344" s="22"/>
      <c r="AM344" s="12">
        <f t="shared" si="452"/>
        <v>1</v>
      </c>
      <c r="AO344" s="12">
        <f t="shared" si="453"/>
        <v>0</v>
      </c>
      <c r="AP344" s="12">
        <f t="shared" si="436"/>
        <v>0</v>
      </c>
      <c r="AQ344" s="12">
        <f t="shared" si="454"/>
        <v>0</v>
      </c>
      <c r="AR344" s="12">
        <f t="shared" si="461"/>
        <v>0</v>
      </c>
      <c r="AS344" s="12">
        <f t="shared" si="455"/>
        <v>0</v>
      </c>
      <c r="AT344" s="12">
        <f t="shared" si="400"/>
        <v>0</v>
      </c>
      <c r="AU344" s="12">
        <f t="shared" si="456"/>
        <v>0</v>
      </c>
      <c r="AV344" s="12">
        <f t="shared" si="438"/>
        <v>0</v>
      </c>
    </row>
    <row r="345" spans="1:48" ht="49.5" x14ac:dyDescent="0.25">
      <c r="A345" s="60">
        <v>23</v>
      </c>
      <c r="B345" s="91" t="s">
        <v>799</v>
      </c>
      <c r="C345" s="61" t="s">
        <v>336</v>
      </c>
      <c r="D345" s="115" t="s">
        <v>787</v>
      </c>
      <c r="E345" s="70">
        <v>2016</v>
      </c>
      <c r="F345" s="61" t="s">
        <v>800</v>
      </c>
      <c r="G345" s="68">
        <v>497</v>
      </c>
      <c r="H345" s="80">
        <f t="shared" si="460"/>
        <v>497</v>
      </c>
      <c r="I345" s="63"/>
      <c r="J345" s="63"/>
      <c r="K345" s="63"/>
      <c r="L345" s="63"/>
      <c r="M345" s="63">
        <v>480</v>
      </c>
      <c r="N345" s="63">
        <f t="shared" si="457"/>
        <v>480</v>
      </c>
      <c r="O345" s="63">
        <v>480</v>
      </c>
      <c r="P345" s="63">
        <f t="shared" si="458"/>
        <v>480</v>
      </c>
      <c r="Q345" s="54"/>
      <c r="R345" s="54">
        <f t="shared" si="459"/>
        <v>0</v>
      </c>
      <c r="S345" s="63">
        <v>480</v>
      </c>
      <c r="T345" s="63">
        <v>480</v>
      </c>
      <c r="U345" s="122">
        <v>350</v>
      </c>
      <c r="V345" s="122">
        <v>350</v>
      </c>
      <c r="W345" s="63"/>
      <c r="X345" s="63"/>
      <c r="Y345" s="63"/>
      <c r="Z345" s="63"/>
      <c r="AA345" s="63">
        <f t="shared" si="448"/>
        <v>350</v>
      </c>
      <c r="AB345" s="63">
        <f t="shared" si="448"/>
        <v>350</v>
      </c>
      <c r="AC345" s="63">
        <f t="shared" si="449"/>
        <v>130</v>
      </c>
      <c r="AD345" s="63">
        <f t="shared" si="449"/>
        <v>130</v>
      </c>
      <c r="AE345" s="63">
        <f t="shared" si="450"/>
        <v>0</v>
      </c>
      <c r="AF345" s="63">
        <f t="shared" si="451"/>
        <v>0</v>
      </c>
      <c r="AG345" s="63"/>
      <c r="AH345" s="63"/>
      <c r="AI345" s="69"/>
      <c r="AJ345" s="19">
        <f t="shared" si="462"/>
        <v>0</v>
      </c>
      <c r="AK345" s="22">
        <f t="shared" si="425"/>
        <v>0</v>
      </c>
      <c r="AL345" s="22"/>
      <c r="AM345" s="12">
        <f t="shared" si="452"/>
        <v>1</v>
      </c>
      <c r="AO345" s="12">
        <f t="shared" si="453"/>
        <v>0</v>
      </c>
      <c r="AP345" s="12">
        <f t="shared" si="436"/>
        <v>0</v>
      </c>
      <c r="AQ345" s="12">
        <f t="shared" si="454"/>
        <v>0</v>
      </c>
      <c r="AR345" s="12">
        <f t="shared" si="461"/>
        <v>0</v>
      </c>
      <c r="AS345" s="12">
        <f t="shared" si="455"/>
        <v>0</v>
      </c>
      <c r="AT345" s="12">
        <f t="shared" si="400"/>
        <v>0</v>
      </c>
      <c r="AU345" s="12">
        <f t="shared" si="456"/>
        <v>0</v>
      </c>
      <c r="AV345" s="12">
        <f t="shared" si="438"/>
        <v>0</v>
      </c>
    </row>
    <row r="346" spans="1:48" ht="49.5" x14ac:dyDescent="0.25">
      <c r="A346" s="60">
        <v>24</v>
      </c>
      <c r="B346" s="91" t="s">
        <v>801</v>
      </c>
      <c r="C346" s="61" t="s">
        <v>336</v>
      </c>
      <c r="D346" s="115" t="s">
        <v>802</v>
      </c>
      <c r="E346" s="70">
        <v>2016</v>
      </c>
      <c r="F346" s="61" t="s">
        <v>803</v>
      </c>
      <c r="G346" s="68">
        <v>3392</v>
      </c>
      <c r="H346" s="80">
        <f t="shared" si="460"/>
        <v>3392</v>
      </c>
      <c r="I346" s="63"/>
      <c r="J346" s="63"/>
      <c r="K346" s="63"/>
      <c r="L346" s="63"/>
      <c r="M346" s="63">
        <v>3230</v>
      </c>
      <c r="N346" s="63">
        <f t="shared" si="457"/>
        <v>3230</v>
      </c>
      <c r="O346" s="63">
        <v>3230</v>
      </c>
      <c r="P346" s="63">
        <f t="shared" si="458"/>
        <v>3230</v>
      </c>
      <c r="Q346" s="54"/>
      <c r="R346" s="54">
        <f t="shared" si="459"/>
        <v>0</v>
      </c>
      <c r="S346" s="63">
        <v>3230</v>
      </c>
      <c r="T346" s="63">
        <v>3230</v>
      </c>
      <c r="U346" s="122">
        <v>3020</v>
      </c>
      <c r="V346" s="122">
        <v>3020</v>
      </c>
      <c r="W346" s="63"/>
      <c r="X346" s="63"/>
      <c r="Y346" s="63"/>
      <c r="Z346" s="63"/>
      <c r="AA346" s="63">
        <f t="shared" si="448"/>
        <v>3020</v>
      </c>
      <c r="AB346" s="63">
        <f t="shared" si="448"/>
        <v>3020</v>
      </c>
      <c r="AC346" s="63">
        <f t="shared" si="449"/>
        <v>210</v>
      </c>
      <c r="AD346" s="63">
        <f t="shared" si="449"/>
        <v>210</v>
      </c>
      <c r="AE346" s="63">
        <f t="shared" si="450"/>
        <v>0</v>
      </c>
      <c r="AF346" s="63">
        <f t="shared" si="451"/>
        <v>0</v>
      </c>
      <c r="AG346" s="63"/>
      <c r="AH346" s="63"/>
      <c r="AI346" s="69"/>
      <c r="AJ346" s="19">
        <f t="shared" si="462"/>
        <v>0</v>
      </c>
      <c r="AK346" s="22">
        <f t="shared" si="425"/>
        <v>0</v>
      </c>
      <c r="AL346" s="22"/>
      <c r="AM346" s="12">
        <f t="shared" si="452"/>
        <v>1</v>
      </c>
      <c r="AO346" s="12">
        <f t="shared" si="453"/>
        <v>0</v>
      </c>
      <c r="AP346" s="12">
        <f t="shared" si="436"/>
        <v>0</v>
      </c>
      <c r="AQ346" s="12">
        <f t="shared" si="454"/>
        <v>0</v>
      </c>
      <c r="AR346" s="12">
        <f t="shared" si="461"/>
        <v>0</v>
      </c>
      <c r="AS346" s="12">
        <f t="shared" si="455"/>
        <v>0</v>
      </c>
      <c r="AT346" s="12">
        <f t="shared" si="400"/>
        <v>0</v>
      </c>
      <c r="AU346" s="12">
        <f t="shared" si="456"/>
        <v>0</v>
      </c>
      <c r="AV346" s="12">
        <f t="shared" si="438"/>
        <v>0</v>
      </c>
    </row>
    <row r="347" spans="1:48" ht="49.5" x14ac:dyDescent="0.25">
      <c r="A347" s="60">
        <v>25</v>
      </c>
      <c r="B347" s="91" t="s">
        <v>804</v>
      </c>
      <c r="C347" s="61" t="s">
        <v>336</v>
      </c>
      <c r="D347" s="115" t="s">
        <v>787</v>
      </c>
      <c r="E347" s="70">
        <v>2016</v>
      </c>
      <c r="F347" s="61" t="s">
        <v>805</v>
      </c>
      <c r="G347" s="68">
        <v>2082</v>
      </c>
      <c r="H347" s="80">
        <f t="shared" si="460"/>
        <v>2082</v>
      </c>
      <c r="I347" s="63"/>
      <c r="J347" s="63"/>
      <c r="K347" s="63"/>
      <c r="L347" s="63"/>
      <c r="M347" s="63">
        <v>1980</v>
      </c>
      <c r="N347" s="63">
        <f t="shared" si="457"/>
        <v>1980</v>
      </c>
      <c r="O347" s="63">
        <v>1980</v>
      </c>
      <c r="P347" s="63">
        <f t="shared" si="458"/>
        <v>1980</v>
      </c>
      <c r="Q347" s="54"/>
      <c r="R347" s="54">
        <f t="shared" si="459"/>
        <v>0</v>
      </c>
      <c r="S347" s="63">
        <v>1980</v>
      </c>
      <c r="T347" s="63">
        <v>1980</v>
      </c>
      <c r="U347" s="122">
        <v>1600</v>
      </c>
      <c r="V347" s="122">
        <v>1600</v>
      </c>
      <c r="W347" s="63"/>
      <c r="X347" s="63"/>
      <c r="Y347" s="63"/>
      <c r="Z347" s="63"/>
      <c r="AA347" s="63">
        <f t="shared" si="448"/>
        <v>1600</v>
      </c>
      <c r="AB347" s="63">
        <f t="shared" si="448"/>
        <v>1600</v>
      </c>
      <c r="AC347" s="63">
        <f t="shared" si="449"/>
        <v>380</v>
      </c>
      <c r="AD347" s="63">
        <f t="shared" si="449"/>
        <v>380</v>
      </c>
      <c r="AE347" s="63">
        <f t="shared" si="450"/>
        <v>0</v>
      </c>
      <c r="AF347" s="63">
        <f t="shared" si="451"/>
        <v>0</v>
      </c>
      <c r="AG347" s="63"/>
      <c r="AH347" s="63"/>
      <c r="AI347" s="69"/>
      <c r="AJ347" s="19">
        <f t="shared" si="462"/>
        <v>0</v>
      </c>
      <c r="AK347" s="22">
        <f t="shared" si="425"/>
        <v>0</v>
      </c>
      <c r="AL347" s="22"/>
      <c r="AM347" s="12">
        <f t="shared" si="452"/>
        <v>1</v>
      </c>
      <c r="AO347" s="12">
        <f t="shared" si="453"/>
        <v>0</v>
      </c>
      <c r="AP347" s="12">
        <f t="shared" si="436"/>
        <v>0</v>
      </c>
      <c r="AQ347" s="12">
        <f t="shared" si="454"/>
        <v>0</v>
      </c>
      <c r="AR347" s="12">
        <f t="shared" si="461"/>
        <v>0</v>
      </c>
      <c r="AS347" s="12">
        <f t="shared" si="455"/>
        <v>0</v>
      </c>
      <c r="AT347" s="12">
        <f t="shared" si="400"/>
        <v>0</v>
      </c>
      <c r="AU347" s="12">
        <f t="shared" si="456"/>
        <v>0</v>
      </c>
      <c r="AV347" s="12">
        <f t="shared" si="438"/>
        <v>0</v>
      </c>
    </row>
    <row r="348" spans="1:48" ht="49.5" x14ac:dyDescent="0.25">
      <c r="A348" s="60">
        <v>26</v>
      </c>
      <c r="B348" s="91" t="s">
        <v>806</v>
      </c>
      <c r="C348" s="61" t="s">
        <v>336</v>
      </c>
      <c r="D348" s="115" t="s">
        <v>787</v>
      </c>
      <c r="E348" s="70">
        <v>2016</v>
      </c>
      <c r="F348" s="61" t="s">
        <v>807</v>
      </c>
      <c r="G348" s="68">
        <v>4980</v>
      </c>
      <c r="H348" s="80">
        <f t="shared" si="460"/>
        <v>4980</v>
      </c>
      <c r="I348" s="63"/>
      <c r="J348" s="63"/>
      <c r="K348" s="63"/>
      <c r="L348" s="63"/>
      <c r="M348" s="63">
        <v>3430</v>
      </c>
      <c r="N348" s="63">
        <f t="shared" si="457"/>
        <v>3430</v>
      </c>
      <c r="O348" s="63">
        <v>3430</v>
      </c>
      <c r="P348" s="63">
        <f t="shared" si="458"/>
        <v>3430</v>
      </c>
      <c r="Q348" s="54"/>
      <c r="R348" s="54">
        <f t="shared" si="459"/>
        <v>0</v>
      </c>
      <c r="S348" s="63">
        <v>3430</v>
      </c>
      <c r="T348" s="63">
        <v>3430</v>
      </c>
      <c r="U348" s="122">
        <v>3200</v>
      </c>
      <c r="V348" s="122">
        <v>3200</v>
      </c>
      <c r="W348" s="63"/>
      <c r="X348" s="63"/>
      <c r="Y348" s="63"/>
      <c r="Z348" s="63"/>
      <c r="AA348" s="63">
        <f t="shared" si="448"/>
        <v>3200</v>
      </c>
      <c r="AB348" s="63">
        <f t="shared" si="448"/>
        <v>3200</v>
      </c>
      <c r="AC348" s="63">
        <f t="shared" si="449"/>
        <v>230</v>
      </c>
      <c r="AD348" s="63">
        <f t="shared" si="449"/>
        <v>230</v>
      </c>
      <c r="AE348" s="63">
        <f t="shared" si="450"/>
        <v>0</v>
      </c>
      <c r="AF348" s="63">
        <f t="shared" si="451"/>
        <v>0</v>
      </c>
      <c r="AG348" s="63"/>
      <c r="AH348" s="63"/>
      <c r="AI348" s="69"/>
      <c r="AJ348" s="19">
        <f t="shared" si="462"/>
        <v>0</v>
      </c>
      <c r="AK348" s="22">
        <f t="shared" si="425"/>
        <v>0</v>
      </c>
      <c r="AL348" s="22"/>
      <c r="AM348" s="12">
        <f t="shared" si="452"/>
        <v>1</v>
      </c>
      <c r="AO348" s="12">
        <f t="shared" si="453"/>
        <v>0</v>
      </c>
      <c r="AP348" s="12">
        <f t="shared" si="436"/>
        <v>0</v>
      </c>
      <c r="AQ348" s="12">
        <f t="shared" si="454"/>
        <v>0</v>
      </c>
      <c r="AR348" s="12">
        <f t="shared" si="461"/>
        <v>0</v>
      </c>
      <c r="AS348" s="12">
        <f t="shared" si="455"/>
        <v>0</v>
      </c>
      <c r="AT348" s="12">
        <f t="shared" si="400"/>
        <v>0</v>
      </c>
      <c r="AU348" s="12">
        <f t="shared" si="456"/>
        <v>0</v>
      </c>
      <c r="AV348" s="12">
        <f t="shared" si="438"/>
        <v>0</v>
      </c>
    </row>
    <row r="349" spans="1:48" ht="63" x14ac:dyDescent="0.25">
      <c r="A349" s="60">
        <v>27</v>
      </c>
      <c r="B349" s="91" t="s">
        <v>808</v>
      </c>
      <c r="C349" s="61" t="s">
        <v>336</v>
      </c>
      <c r="D349" s="115" t="s">
        <v>809</v>
      </c>
      <c r="E349" s="70">
        <v>2016</v>
      </c>
      <c r="F349" s="61" t="s">
        <v>810</v>
      </c>
      <c r="G349" s="68">
        <v>4228</v>
      </c>
      <c r="H349" s="80">
        <f t="shared" si="460"/>
        <v>4228</v>
      </c>
      <c r="I349" s="63"/>
      <c r="J349" s="63"/>
      <c r="K349" s="63"/>
      <c r="L349" s="63"/>
      <c r="M349" s="63">
        <v>4050</v>
      </c>
      <c r="N349" s="63">
        <f t="shared" si="457"/>
        <v>4050</v>
      </c>
      <c r="O349" s="63">
        <v>4050</v>
      </c>
      <c r="P349" s="63">
        <f t="shared" si="458"/>
        <v>4050</v>
      </c>
      <c r="Q349" s="54"/>
      <c r="R349" s="54">
        <f t="shared" si="459"/>
        <v>0</v>
      </c>
      <c r="S349" s="63">
        <v>4050</v>
      </c>
      <c r="T349" s="63">
        <v>4050</v>
      </c>
      <c r="U349" s="122">
        <v>4009</v>
      </c>
      <c r="V349" s="122">
        <v>4009</v>
      </c>
      <c r="W349" s="63"/>
      <c r="X349" s="63"/>
      <c r="Y349" s="63"/>
      <c r="Z349" s="63"/>
      <c r="AA349" s="63">
        <f t="shared" si="448"/>
        <v>4009</v>
      </c>
      <c r="AB349" s="63">
        <f t="shared" si="448"/>
        <v>4009</v>
      </c>
      <c r="AC349" s="63">
        <f t="shared" si="449"/>
        <v>41</v>
      </c>
      <c r="AD349" s="63">
        <f t="shared" si="449"/>
        <v>41</v>
      </c>
      <c r="AE349" s="63">
        <f t="shared" si="450"/>
        <v>0</v>
      </c>
      <c r="AF349" s="63">
        <f t="shared" si="451"/>
        <v>0</v>
      </c>
      <c r="AG349" s="63"/>
      <c r="AH349" s="63"/>
      <c r="AI349" s="69"/>
      <c r="AJ349" s="19">
        <f t="shared" si="462"/>
        <v>0</v>
      </c>
      <c r="AK349" s="22">
        <f t="shared" si="425"/>
        <v>0</v>
      </c>
      <c r="AL349" s="22"/>
      <c r="AM349" s="12">
        <f t="shared" si="452"/>
        <v>1</v>
      </c>
      <c r="AO349" s="12">
        <f t="shared" si="453"/>
        <v>0</v>
      </c>
      <c r="AP349" s="12">
        <f t="shared" si="436"/>
        <v>0</v>
      </c>
      <c r="AQ349" s="12">
        <f t="shared" si="454"/>
        <v>0</v>
      </c>
      <c r="AR349" s="12">
        <f t="shared" si="461"/>
        <v>0</v>
      </c>
      <c r="AS349" s="12">
        <f t="shared" si="455"/>
        <v>0</v>
      </c>
      <c r="AT349" s="12">
        <f t="shared" si="400"/>
        <v>0</v>
      </c>
      <c r="AU349" s="12">
        <f t="shared" si="456"/>
        <v>0</v>
      </c>
      <c r="AV349" s="12">
        <f t="shared" si="438"/>
        <v>0</v>
      </c>
    </row>
    <row r="350" spans="1:48" ht="38.25" customHeight="1" x14ac:dyDescent="0.25">
      <c r="A350" s="60">
        <v>28</v>
      </c>
      <c r="B350" s="9" t="s">
        <v>811</v>
      </c>
      <c r="C350" s="61" t="s">
        <v>95</v>
      </c>
      <c r="D350" s="70"/>
      <c r="E350" s="70">
        <v>2017</v>
      </c>
      <c r="F350" s="70"/>
      <c r="G350" s="68">
        <v>10000</v>
      </c>
      <c r="H350" s="68">
        <v>3000</v>
      </c>
      <c r="I350" s="63"/>
      <c r="J350" s="63"/>
      <c r="K350" s="63"/>
      <c r="L350" s="63"/>
      <c r="M350" s="68">
        <v>3000</v>
      </c>
      <c r="N350" s="68">
        <v>3000</v>
      </c>
      <c r="O350" s="68">
        <v>3000</v>
      </c>
      <c r="P350" s="68">
        <v>3000</v>
      </c>
      <c r="Q350" s="54"/>
      <c r="R350" s="54">
        <f t="shared" si="459"/>
        <v>0</v>
      </c>
      <c r="S350" s="68">
        <v>3000</v>
      </c>
      <c r="T350" s="68">
        <v>3000</v>
      </c>
      <c r="U350" s="63"/>
      <c r="V350" s="63"/>
      <c r="W350" s="63">
        <v>3000</v>
      </c>
      <c r="X350" s="63">
        <v>3000</v>
      </c>
      <c r="Y350" s="63">
        <v>3000</v>
      </c>
      <c r="Z350" s="63"/>
      <c r="AA350" s="63">
        <f t="shared" si="448"/>
        <v>6000</v>
      </c>
      <c r="AB350" s="63">
        <f t="shared" si="448"/>
        <v>3000</v>
      </c>
      <c r="AC350" s="63">
        <f t="shared" si="449"/>
        <v>-3000</v>
      </c>
      <c r="AD350" s="63">
        <f t="shared" si="449"/>
        <v>0</v>
      </c>
      <c r="AE350" s="63">
        <f t="shared" si="450"/>
        <v>0</v>
      </c>
      <c r="AF350" s="63">
        <f t="shared" si="451"/>
        <v>0</v>
      </c>
      <c r="AG350" s="63"/>
      <c r="AH350" s="63"/>
      <c r="AI350" s="132" t="s">
        <v>812</v>
      </c>
      <c r="AJ350" s="19">
        <f t="shared" si="462"/>
        <v>0</v>
      </c>
      <c r="AK350" s="22">
        <f t="shared" si="425"/>
        <v>0</v>
      </c>
      <c r="AL350" s="22"/>
      <c r="AM350" s="12">
        <f t="shared" si="452"/>
        <v>1</v>
      </c>
      <c r="AO350" s="12">
        <f t="shared" si="453"/>
        <v>0</v>
      </c>
      <c r="AP350" s="12">
        <f t="shared" si="436"/>
        <v>0</v>
      </c>
      <c r="AQ350" s="12">
        <f t="shared" si="454"/>
        <v>0</v>
      </c>
      <c r="AR350" s="12">
        <f t="shared" si="461"/>
        <v>0</v>
      </c>
      <c r="AS350" s="12">
        <f t="shared" si="455"/>
        <v>0</v>
      </c>
      <c r="AT350" s="12">
        <f t="shared" si="400"/>
        <v>0</v>
      </c>
      <c r="AU350" s="12">
        <f t="shared" si="456"/>
        <v>0</v>
      </c>
      <c r="AV350" s="12">
        <f t="shared" si="438"/>
        <v>0</v>
      </c>
    </row>
    <row r="351" spans="1:48" ht="38.25" customHeight="1" x14ac:dyDescent="0.25">
      <c r="A351" s="60">
        <v>29</v>
      </c>
      <c r="B351" s="9" t="s">
        <v>813</v>
      </c>
      <c r="C351" s="61" t="s">
        <v>146</v>
      </c>
      <c r="D351" s="70"/>
      <c r="E351" s="70">
        <v>2017</v>
      </c>
      <c r="F351" s="70"/>
      <c r="G351" s="68">
        <v>10000</v>
      </c>
      <c r="H351" s="68">
        <v>3000</v>
      </c>
      <c r="I351" s="63"/>
      <c r="J351" s="63"/>
      <c r="K351" s="63"/>
      <c r="L351" s="63"/>
      <c r="M351" s="68">
        <v>3000</v>
      </c>
      <c r="N351" s="68">
        <v>3000</v>
      </c>
      <c r="O351" s="68">
        <v>3000</v>
      </c>
      <c r="P351" s="68">
        <v>3000</v>
      </c>
      <c r="Q351" s="54"/>
      <c r="R351" s="54">
        <f t="shared" si="459"/>
        <v>0</v>
      </c>
      <c r="S351" s="68">
        <v>3000</v>
      </c>
      <c r="T351" s="68">
        <v>3000</v>
      </c>
      <c r="U351" s="63"/>
      <c r="V351" s="63"/>
      <c r="W351" s="63">
        <v>3000</v>
      </c>
      <c r="X351" s="63">
        <v>3000</v>
      </c>
      <c r="Y351" s="63">
        <v>3000</v>
      </c>
      <c r="Z351" s="63"/>
      <c r="AA351" s="63">
        <f t="shared" si="448"/>
        <v>6000</v>
      </c>
      <c r="AB351" s="63">
        <f t="shared" si="448"/>
        <v>3000</v>
      </c>
      <c r="AC351" s="63">
        <f t="shared" si="449"/>
        <v>-3000</v>
      </c>
      <c r="AD351" s="63">
        <f t="shared" si="449"/>
        <v>0</v>
      </c>
      <c r="AE351" s="63">
        <f t="shared" si="450"/>
        <v>0</v>
      </c>
      <c r="AF351" s="63">
        <f t="shared" si="451"/>
        <v>0</v>
      </c>
      <c r="AG351" s="63"/>
      <c r="AH351" s="63"/>
      <c r="AI351" s="132" t="s">
        <v>812</v>
      </c>
      <c r="AJ351" s="19">
        <f t="shared" si="462"/>
        <v>0</v>
      </c>
      <c r="AK351" s="22">
        <f t="shared" si="425"/>
        <v>0</v>
      </c>
      <c r="AL351" s="22"/>
      <c r="AM351" s="12">
        <f t="shared" si="452"/>
        <v>1</v>
      </c>
      <c r="AO351" s="12">
        <f t="shared" si="453"/>
        <v>0</v>
      </c>
      <c r="AP351" s="12">
        <f t="shared" si="436"/>
        <v>0</v>
      </c>
      <c r="AQ351" s="12">
        <f t="shared" si="454"/>
        <v>0</v>
      </c>
      <c r="AR351" s="12">
        <f t="shared" si="461"/>
        <v>0</v>
      </c>
      <c r="AS351" s="12">
        <f t="shared" si="455"/>
        <v>0</v>
      </c>
      <c r="AT351" s="12">
        <f t="shared" ref="AT351:AT378" si="463">IF(AS351=1,Q351,0)</f>
        <v>0</v>
      </c>
      <c r="AU351" s="12">
        <f t="shared" si="456"/>
        <v>0</v>
      </c>
      <c r="AV351" s="12">
        <f t="shared" si="438"/>
        <v>0</v>
      </c>
    </row>
    <row r="352" spans="1:48" ht="49.5" x14ac:dyDescent="0.25">
      <c r="A352" s="60">
        <v>30</v>
      </c>
      <c r="B352" s="9" t="s">
        <v>814</v>
      </c>
      <c r="C352" s="61" t="s">
        <v>336</v>
      </c>
      <c r="D352" s="61" t="s">
        <v>815</v>
      </c>
      <c r="E352" s="70">
        <v>2017</v>
      </c>
      <c r="F352" s="61" t="s">
        <v>816</v>
      </c>
      <c r="G352" s="68">
        <v>4834</v>
      </c>
      <c r="H352" s="68">
        <v>4834</v>
      </c>
      <c r="I352" s="63"/>
      <c r="J352" s="63"/>
      <c r="K352" s="63"/>
      <c r="L352" s="63"/>
      <c r="M352" s="68">
        <v>4500</v>
      </c>
      <c r="N352" s="68">
        <v>4500</v>
      </c>
      <c r="O352" s="68">
        <v>4500</v>
      </c>
      <c r="P352" s="68">
        <v>4500</v>
      </c>
      <c r="Q352" s="54"/>
      <c r="R352" s="54">
        <f t="shared" si="459"/>
        <v>0</v>
      </c>
      <c r="S352" s="68">
        <v>4500</v>
      </c>
      <c r="T352" s="68">
        <v>4500</v>
      </c>
      <c r="U352" s="63"/>
      <c r="V352" s="63"/>
      <c r="W352" s="63">
        <v>2500</v>
      </c>
      <c r="X352" s="63">
        <v>2500</v>
      </c>
      <c r="Y352" s="63">
        <v>2500</v>
      </c>
      <c r="Z352" s="63"/>
      <c r="AA352" s="63">
        <f t="shared" si="448"/>
        <v>5000</v>
      </c>
      <c r="AB352" s="63">
        <f t="shared" si="448"/>
        <v>2500</v>
      </c>
      <c r="AC352" s="63">
        <f t="shared" si="449"/>
        <v>-500</v>
      </c>
      <c r="AD352" s="63">
        <f t="shared" si="449"/>
        <v>2000</v>
      </c>
      <c r="AE352" s="63">
        <f t="shared" si="450"/>
        <v>0</v>
      </c>
      <c r="AF352" s="63">
        <f t="shared" si="451"/>
        <v>0</v>
      </c>
      <c r="AG352" s="63"/>
      <c r="AH352" s="63"/>
      <c r="AI352" s="69"/>
      <c r="AJ352" s="19">
        <f t="shared" si="462"/>
        <v>0</v>
      </c>
      <c r="AK352" s="22">
        <f t="shared" si="425"/>
        <v>0</v>
      </c>
      <c r="AL352" s="22"/>
      <c r="AM352" s="12">
        <f t="shared" si="452"/>
        <v>1</v>
      </c>
      <c r="AO352" s="12">
        <f t="shared" si="453"/>
        <v>0</v>
      </c>
      <c r="AP352" s="12">
        <f t="shared" si="436"/>
        <v>0</v>
      </c>
      <c r="AQ352" s="12">
        <f t="shared" si="454"/>
        <v>0</v>
      </c>
      <c r="AR352" s="12">
        <f t="shared" si="461"/>
        <v>0</v>
      </c>
      <c r="AS352" s="12">
        <f t="shared" si="455"/>
        <v>0</v>
      </c>
      <c r="AT352" s="12">
        <f t="shared" si="463"/>
        <v>0</v>
      </c>
      <c r="AU352" s="12">
        <f t="shared" si="456"/>
        <v>0</v>
      </c>
      <c r="AV352" s="12">
        <f t="shared" si="438"/>
        <v>0</v>
      </c>
    </row>
    <row r="353" spans="1:48" ht="49.5" x14ac:dyDescent="0.25">
      <c r="A353" s="60">
        <v>31</v>
      </c>
      <c r="B353" s="9" t="s">
        <v>817</v>
      </c>
      <c r="C353" s="61" t="s">
        <v>95</v>
      </c>
      <c r="D353" s="61" t="s">
        <v>818</v>
      </c>
      <c r="E353" s="70">
        <v>2017</v>
      </c>
      <c r="F353" s="61" t="s">
        <v>819</v>
      </c>
      <c r="G353" s="75">
        <v>4046</v>
      </c>
      <c r="H353" s="75">
        <v>4046</v>
      </c>
      <c r="I353" s="63"/>
      <c r="J353" s="63"/>
      <c r="K353" s="63"/>
      <c r="L353" s="63"/>
      <c r="M353" s="63">
        <v>3800</v>
      </c>
      <c r="N353" s="63">
        <v>3800</v>
      </c>
      <c r="O353" s="63">
        <v>3800</v>
      </c>
      <c r="P353" s="63">
        <v>3800</v>
      </c>
      <c r="Q353" s="54"/>
      <c r="R353" s="54">
        <f t="shared" si="459"/>
        <v>0</v>
      </c>
      <c r="S353" s="63">
        <v>3800</v>
      </c>
      <c r="T353" s="63">
        <v>3800</v>
      </c>
      <c r="U353" s="63"/>
      <c r="V353" s="63"/>
      <c r="W353" s="63">
        <v>3200</v>
      </c>
      <c r="X353" s="63">
        <v>3200</v>
      </c>
      <c r="Y353" s="63">
        <v>3200</v>
      </c>
      <c r="Z353" s="63"/>
      <c r="AA353" s="63">
        <f t="shared" si="448"/>
        <v>6400</v>
      </c>
      <c r="AB353" s="63">
        <f t="shared" si="448"/>
        <v>3200</v>
      </c>
      <c r="AC353" s="63">
        <f t="shared" si="449"/>
        <v>-2600</v>
      </c>
      <c r="AD353" s="63">
        <f t="shared" si="449"/>
        <v>600</v>
      </c>
      <c r="AE353" s="63">
        <f t="shared" si="450"/>
        <v>0</v>
      </c>
      <c r="AF353" s="63">
        <f t="shared" si="451"/>
        <v>0</v>
      </c>
      <c r="AG353" s="63"/>
      <c r="AH353" s="63"/>
      <c r="AI353" s="69"/>
      <c r="AJ353" s="19">
        <f t="shared" si="462"/>
        <v>0</v>
      </c>
      <c r="AK353" s="22">
        <f t="shared" si="425"/>
        <v>0</v>
      </c>
      <c r="AL353" s="22"/>
      <c r="AM353" s="12">
        <f t="shared" si="452"/>
        <v>1</v>
      </c>
      <c r="AO353" s="12">
        <f t="shared" si="453"/>
        <v>0</v>
      </c>
      <c r="AP353" s="12">
        <f t="shared" si="436"/>
        <v>0</v>
      </c>
      <c r="AQ353" s="12">
        <f t="shared" si="454"/>
        <v>0</v>
      </c>
      <c r="AR353" s="12">
        <f t="shared" si="461"/>
        <v>0</v>
      </c>
      <c r="AS353" s="12">
        <f t="shared" si="455"/>
        <v>0</v>
      </c>
      <c r="AT353" s="12">
        <f t="shared" si="463"/>
        <v>0</v>
      </c>
      <c r="AU353" s="12">
        <f t="shared" si="456"/>
        <v>0</v>
      </c>
      <c r="AV353" s="12">
        <f t="shared" si="438"/>
        <v>0</v>
      </c>
    </row>
    <row r="354" spans="1:48" ht="49.5" x14ac:dyDescent="0.25">
      <c r="A354" s="60">
        <v>32</v>
      </c>
      <c r="B354" s="9" t="s">
        <v>820</v>
      </c>
      <c r="C354" s="61" t="s">
        <v>104</v>
      </c>
      <c r="D354" s="61" t="s">
        <v>821</v>
      </c>
      <c r="E354" s="70">
        <v>2017</v>
      </c>
      <c r="F354" s="61" t="s">
        <v>822</v>
      </c>
      <c r="G354" s="75">
        <v>2324</v>
      </c>
      <c r="H354" s="75">
        <v>2324</v>
      </c>
      <c r="I354" s="63"/>
      <c r="J354" s="63"/>
      <c r="K354" s="63"/>
      <c r="L354" s="63"/>
      <c r="M354" s="63">
        <v>2100</v>
      </c>
      <c r="N354" s="63">
        <v>2100</v>
      </c>
      <c r="O354" s="63">
        <v>2100</v>
      </c>
      <c r="P354" s="63">
        <v>2100</v>
      </c>
      <c r="Q354" s="54"/>
      <c r="R354" s="54">
        <f t="shared" si="459"/>
        <v>0</v>
      </c>
      <c r="S354" s="63">
        <v>2100</v>
      </c>
      <c r="T354" s="63">
        <v>2100</v>
      </c>
      <c r="U354" s="63"/>
      <c r="V354" s="63"/>
      <c r="W354" s="63">
        <v>2200</v>
      </c>
      <c r="X354" s="63">
        <v>2200</v>
      </c>
      <c r="Y354" s="63">
        <v>2200</v>
      </c>
      <c r="Z354" s="63"/>
      <c r="AA354" s="63">
        <f t="shared" si="448"/>
        <v>4400</v>
      </c>
      <c r="AB354" s="63">
        <f t="shared" si="448"/>
        <v>2200</v>
      </c>
      <c r="AC354" s="63">
        <f t="shared" si="449"/>
        <v>-2300</v>
      </c>
      <c r="AD354" s="63">
        <f t="shared" si="449"/>
        <v>-100</v>
      </c>
      <c r="AE354" s="63">
        <f t="shared" si="450"/>
        <v>0</v>
      </c>
      <c r="AF354" s="63">
        <f t="shared" si="451"/>
        <v>0</v>
      </c>
      <c r="AG354" s="63"/>
      <c r="AH354" s="63"/>
      <c r="AI354" s="69"/>
      <c r="AJ354" s="19">
        <f t="shared" si="462"/>
        <v>0</v>
      </c>
      <c r="AK354" s="22">
        <f t="shared" si="425"/>
        <v>0</v>
      </c>
      <c r="AL354" s="22"/>
      <c r="AM354" s="12">
        <f t="shared" si="452"/>
        <v>1</v>
      </c>
      <c r="AO354" s="12">
        <f t="shared" si="453"/>
        <v>0</v>
      </c>
      <c r="AP354" s="12">
        <f t="shared" si="436"/>
        <v>0</v>
      </c>
      <c r="AQ354" s="12">
        <f t="shared" si="454"/>
        <v>0</v>
      </c>
      <c r="AR354" s="12">
        <f t="shared" si="461"/>
        <v>0</v>
      </c>
      <c r="AS354" s="12">
        <f t="shared" si="455"/>
        <v>0</v>
      </c>
      <c r="AT354" s="12">
        <f t="shared" si="463"/>
        <v>0</v>
      </c>
      <c r="AU354" s="12">
        <f t="shared" si="456"/>
        <v>0</v>
      </c>
      <c r="AV354" s="12">
        <f t="shared" si="438"/>
        <v>0</v>
      </c>
    </row>
    <row r="355" spans="1:48" ht="66" x14ac:dyDescent="0.25">
      <c r="A355" s="60">
        <v>33</v>
      </c>
      <c r="B355" s="91" t="s">
        <v>823</v>
      </c>
      <c r="C355" s="61" t="s">
        <v>336</v>
      </c>
      <c r="D355" s="61" t="s">
        <v>824</v>
      </c>
      <c r="E355" s="70">
        <v>2017</v>
      </c>
      <c r="F355" s="61" t="s">
        <v>825</v>
      </c>
      <c r="G355" s="74">
        <v>1031</v>
      </c>
      <c r="H355" s="74">
        <v>1031</v>
      </c>
      <c r="I355" s="63"/>
      <c r="J355" s="63"/>
      <c r="K355" s="63"/>
      <c r="L355" s="63"/>
      <c r="M355" s="63">
        <v>980</v>
      </c>
      <c r="N355" s="63">
        <v>980</v>
      </c>
      <c r="O355" s="63">
        <v>980</v>
      </c>
      <c r="P355" s="63">
        <v>980</v>
      </c>
      <c r="Q355" s="54"/>
      <c r="R355" s="54">
        <f t="shared" si="459"/>
        <v>0</v>
      </c>
      <c r="S355" s="63">
        <v>980</v>
      </c>
      <c r="T355" s="63">
        <v>980</v>
      </c>
      <c r="U355" s="63"/>
      <c r="V355" s="63"/>
      <c r="W355" s="63">
        <v>800</v>
      </c>
      <c r="X355" s="63">
        <v>800</v>
      </c>
      <c r="Y355" s="63">
        <v>800</v>
      </c>
      <c r="Z355" s="63"/>
      <c r="AA355" s="63">
        <f t="shared" si="448"/>
        <v>1600</v>
      </c>
      <c r="AB355" s="63">
        <f t="shared" si="448"/>
        <v>800</v>
      </c>
      <c r="AC355" s="63">
        <f t="shared" si="449"/>
        <v>-620</v>
      </c>
      <c r="AD355" s="63">
        <f t="shared" si="449"/>
        <v>180</v>
      </c>
      <c r="AE355" s="63">
        <f t="shared" si="450"/>
        <v>0</v>
      </c>
      <c r="AF355" s="63">
        <f t="shared" si="451"/>
        <v>0</v>
      </c>
      <c r="AG355" s="63"/>
      <c r="AH355" s="63"/>
      <c r="AI355" s="69"/>
      <c r="AJ355" s="19">
        <f t="shared" si="462"/>
        <v>0</v>
      </c>
      <c r="AK355" s="22">
        <f t="shared" si="425"/>
        <v>0</v>
      </c>
      <c r="AL355" s="22"/>
      <c r="AM355" s="12">
        <f t="shared" si="452"/>
        <v>1</v>
      </c>
      <c r="AO355" s="12">
        <f t="shared" si="453"/>
        <v>0</v>
      </c>
      <c r="AP355" s="12">
        <f t="shared" si="436"/>
        <v>0</v>
      </c>
      <c r="AQ355" s="12">
        <f t="shared" si="454"/>
        <v>0</v>
      </c>
      <c r="AR355" s="12">
        <f t="shared" si="461"/>
        <v>0</v>
      </c>
      <c r="AS355" s="12">
        <f t="shared" si="455"/>
        <v>0</v>
      </c>
      <c r="AT355" s="12">
        <f t="shared" si="463"/>
        <v>0</v>
      </c>
      <c r="AU355" s="12">
        <f t="shared" si="456"/>
        <v>0</v>
      </c>
      <c r="AV355" s="12">
        <f t="shared" si="438"/>
        <v>0</v>
      </c>
    </row>
    <row r="356" spans="1:48" ht="49.5" x14ac:dyDescent="0.25">
      <c r="A356" s="60">
        <v>34</v>
      </c>
      <c r="B356" s="9" t="s">
        <v>826</v>
      </c>
      <c r="C356" s="61" t="s">
        <v>336</v>
      </c>
      <c r="D356" s="61" t="s">
        <v>827</v>
      </c>
      <c r="E356" s="70">
        <v>2017</v>
      </c>
      <c r="F356" s="61" t="s">
        <v>828</v>
      </c>
      <c r="G356" s="68">
        <v>873</v>
      </c>
      <c r="H356" s="68">
        <v>873</v>
      </c>
      <c r="I356" s="63"/>
      <c r="J356" s="63"/>
      <c r="K356" s="63"/>
      <c r="L356" s="63"/>
      <c r="M356" s="63">
        <v>830</v>
      </c>
      <c r="N356" s="63">
        <v>830</v>
      </c>
      <c r="O356" s="63">
        <v>830</v>
      </c>
      <c r="P356" s="63">
        <v>830</v>
      </c>
      <c r="Q356" s="54"/>
      <c r="R356" s="54">
        <f t="shared" si="459"/>
        <v>0</v>
      </c>
      <c r="S356" s="63">
        <v>830</v>
      </c>
      <c r="T356" s="63">
        <v>830</v>
      </c>
      <c r="U356" s="63"/>
      <c r="V356" s="63"/>
      <c r="W356" s="63">
        <v>700</v>
      </c>
      <c r="X356" s="63">
        <v>700</v>
      </c>
      <c r="Y356" s="63">
        <v>700</v>
      </c>
      <c r="Z356" s="63"/>
      <c r="AA356" s="63">
        <f t="shared" si="448"/>
        <v>1400</v>
      </c>
      <c r="AB356" s="63">
        <f t="shared" si="448"/>
        <v>700</v>
      </c>
      <c r="AC356" s="63">
        <f t="shared" si="449"/>
        <v>-570</v>
      </c>
      <c r="AD356" s="63">
        <f t="shared" si="449"/>
        <v>130</v>
      </c>
      <c r="AE356" s="63">
        <f t="shared" si="450"/>
        <v>0</v>
      </c>
      <c r="AF356" s="63">
        <f t="shared" si="451"/>
        <v>0</v>
      </c>
      <c r="AG356" s="63"/>
      <c r="AH356" s="63"/>
      <c r="AI356" s="69"/>
      <c r="AJ356" s="19">
        <f t="shared" si="462"/>
        <v>0</v>
      </c>
      <c r="AK356" s="22">
        <f t="shared" si="425"/>
        <v>0</v>
      </c>
      <c r="AL356" s="22"/>
      <c r="AM356" s="12">
        <f t="shared" si="452"/>
        <v>1</v>
      </c>
      <c r="AO356" s="12">
        <f t="shared" si="453"/>
        <v>0</v>
      </c>
      <c r="AP356" s="12">
        <f t="shared" si="436"/>
        <v>0</v>
      </c>
      <c r="AQ356" s="12">
        <f t="shared" si="454"/>
        <v>0</v>
      </c>
      <c r="AR356" s="12">
        <f t="shared" si="461"/>
        <v>0</v>
      </c>
      <c r="AS356" s="12">
        <f t="shared" si="455"/>
        <v>0</v>
      </c>
      <c r="AT356" s="12">
        <f t="shared" si="463"/>
        <v>0</v>
      </c>
      <c r="AU356" s="12">
        <f t="shared" si="456"/>
        <v>0</v>
      </c>
      <c r="AV356" s="12">
        <f t="shared" si="438"/>
        <v>0</v>
      </c>
    </row>
    <row r="357" spans="1:48" ht="49.5" x14ac:dyDescent="0.25">
      <c r="A357" s="60">
        <v>35</v>
      </c>
      <c r="B357" s="91" t="s">
        <v>829</v>
      </c>
      <c r="C357" s="61" t="s">
        <v>95</v>
      </c>
      <c r="D357" s="61" t="s">
        <v>830</v>
      </c>
      <c r="E357" s="70">
        <v>2017</v>
      </c>
      <c r="F357" s="61" t="s">
        <v>831</v>
      </c>
      <c r="G357" s="74">
        <v>2885</v>
      </c>
      <c r="H357" s="74">
        <v>2885</v>
      </c>
      <c r="I357" s="63"/>
      <c r="J357" s="63"/>
      <c r="K357" s="63"/>
      <c r="L357" s="63"/>
      <c r="M357" s="63">
        <v>2700</v>
      </c>
      <c r="N357" s="63">
        <v>2700</v>
      </c>
      <c r="O357" s="63">
        <v>2700</v>
      </c>
      <c r="P357" s="63">
        <v>2700</v>
      </c>
      <c r="Q357" s="54"/>
      <c r="R357" s="54">
        <f t="shared" si="459"/>
        <v>0</v>
      </c>
      <c r="S357" s="63">
        <v>2700</v>
      </c>
      <c r="T357" s="63">
        <v>2700</v>
      </c>
      <c r="U357" s="63"/>
      <c r="V357" s="63"/>
      <c r="W357" s="63">
        <v>2000</v>
      </c>
      <c r="X357" s="63">
        <v>2000</v>
      </c>
      <c r="Y357" s="63">
        <v>2000</v>
      </c>
      <c r="Z357" s="63"/>
      <c r="AA357" s="63">
        <f t="shared" si="448"/>
        <v>4000</v>
      </c>
      <c r="AB357" s="63">
        <f t="shared" si="448"/>
        <v>2000</v>
      </c>
      <c r="AC357" s="63">
        <f t="shared" si="449"/>
        <v>-1300</v>
      </c>
      <c r="AD357" s="63">
        <f t="shared" si="449"/>
        <v>700</v>
      </c>
      <c r="AE357" s="63">
        <f t="shared" si="450"/>
        <v>0</v>
      </c>
      <c r="AF357" s="63">
        <f t="shared" si="451"/>
        <v>0</v>
      </c>
      <c r="AG357" s="63"/>
      <c r="AH357" s="63"/>
      <c r="AI357" s="69"/>
      <c r="AJ357" s="19">
        <f t="shared" si="462"/>
        <v>0</v>
      </c>
      <c r="AK357" s="22">
        <f t="shared" si="425"/>
        <v>0</v>
      </c>
      <c r="AL357" s="22"/>
      <c r="AM357" s="12">
        <f t="shared" si="452"/>
        <v>1</v>
      </c>
      <c r="AO357" s="12">
        <f t="shared" si="453"/>
        <v>0</v>
      </c>
      <c r="AP357" s="12">
        <f t="shared" si="436"/>
        <v>0</v>
      </c>
      <c r="AQ357" s="12">
        <f t="shared" si="454"/>
        <v>0</v>
      </c>
      <c r="AR357" s="12">
        <f t="shared" si="461"/>
        <v>0</v>
      </c>
      <c r="AS357" s="12">
        <f t="shared" si="455"/>
        <v>0</v>
      </c>
      <c r="AT357" s="12">
        <f t="shared" si="463"/>
        <v>0</v>
      </c>
      <c r="AU357" s="12">
        <f t="shared" si="456"/>
        <v>0</v>
      </c>
      <c r="AV357" s="12">
        <f t="shared" si="438"/>
        <v>0</v>
      </c>
    </row>
    <row r="358" spans="1:48" ht="49.5" x14ac:dyDescent="0.25">
      <c r="A358" s="60">
        <v>36</v>
      </c>
      <c r="B358" s="91" t="s">
        <v>832</v>
      </c>
      <c r="C358" s="61" t="s">
        <v>205</v>
      </c>
      <c r="D358" s="61" t="s">
        <v>833</v>
      </c>
      <c r="E358" s="70">
        <v>2017</v>
      </c>
      <c r="F358" s="61" t="s">
        <v>834</v>
      </c>
      <c r="G358" s="74">
        <v>3083</v>
      </c>
      <c r="H358" s="74">
        <v>3083</v>
      </c>
      <c r="I358" s="63"/>
      <c r="J358" s="63"/>
      <c r="K358" s="63"/>
      <c r="L358" s="63"/>
      <c r="M358" s="63">
        <v>3000</v>
      </c>
      <c r="N358" s="63">
        <v>3000</v>
      </c>
      <c r="O358" s="63">
        <v>3000</v>
      </c>
      <c r="P358" s="63">
        <v>3000</v>
      </c>
      <c r="Q358" s="54"/>
      <c r="R358" s="54">
        <f t="shared" si="459"/>
        <v>0</v>
      </c>
      <c r="S358" s="63">
        <v>3000</v>
      </c>
      <c r="T358" s="63">
        <v>3000</v>
      </c>
      <c r="U358" s="63"/>
      <c r="V358" s="63"/>
      <c r="W358" s="63">
        <v>2200</v>
      </c>
      <c r="X358" s="63">
        <v>2200</v>
      </c>
      <c r="Y358" s="63">
        <v>2200</v>
      </c>
      <c r="Z358" s="63"/>
      <c r="AA358" s="63">
        <f t="shared" si="448"/>
        <v>4400</v>
      </c>
      <c r="AB358" s="63">
        <f t="shared" si="448"/>
        <v>2200</v>
      </c>
      <c r="AC358" s="63">
        <f t="shared" si="449"/>
        <v>-1400</v>
      </c>
      <c r="AD358" s="63">
        <f t="shared" si="449"/>
        <v>800</v>
      </c>
      <c r="AE358" s="63">
        <f t="shared" si="450"/>
        <v>0</v>
      </c>
      <c r="AF358" s="63">
        <f t="shared" si="451"/>
        <v>0</v>
      </c>
      <c r="AG358" s="63"/>
      <c r="AH358" s="63"/>
      <c r="AI358" s="69"/>
      <c r="AJ358" s="19">
        <f t="shared" si="462"/>
        <v>0</v>
      </c>
      <c r="AK358" s="22">
        <f t="shared" si="425"/>
        <v>0</v>
      </c>
      <c r="AL358" s="22"/>
      <c r="AM358" s="12">
        <f t="shared" si="452"/>
        <v>1</v>
      </c>
      <c r="AO358" s="12">
        <f t="shared" si="453"/>
        <v>0</v>
      </c>
      <c r="AP358" s="12">
        <f t="shared" si="436"/>
        <v>0</v>
      </c>
      <c r="AQ358" s="12">
        <f t="shared" si="454"/>
        <v>0</v>
      </c>
      <c r="AR358" s="12">
        <f t="shared" si="461"/>
        <v>0</v>
      </c>
      <c r="AS358" s="12">
        <f t="shared" si="455"/>
        <v>0</v>
      </c>
      <c r="AT358" s="12">
        <f t="shared" si="463"/>
        <v>0</v>
      </c>
      <c r="AU358" s="12">
        <f t="shared" si="456"/>
        <v>0</v>
      </c>
      <c r="AV358" s="12">
        <f t="shared" si="438"/>
        <v>0</v>
      </c>
    </row>
    <row r="359" spans="1:48" ht="49.5" x14ac:dyDescent="0.25">
      <c r="A359" s="60">
        <v>37</v>
      </c>
      <c r="B359" s="91" t="s">
        <v>835</v>
      </c>
      <c r="C359" s="61" t="s">
        <v>146</v>
      </c>
      <c r="D359" s="61" t="s">
        <v>836</v>
      </c>
      <c r="E359" s="70">
        <v>2017</v>
      </c>
      <c r="F359" s="61" t="s">
        <v>837</v>
      </c>
      <c r="G359" s="74">
        <v>3349</v>
      </c>
      <c r="H359" s="74">
        <v>3349</v>
      </c>
      <c r="I359" s="63"/>
      <c r="J359" s="63"/>
      <c r="K359" s="63"/>
      <c r="L359" s="63"/>
      <c r="M359" s="63">
        <v>3200</v>
      </c>
      <c r="N359" s="63">
        <v>3200</v>
      </c>
      <c r="O359" s="63">
        <v>3200</v>
      </c>
      <c r="P359" s="63">
        <v>3200</v>
      </c>
      <c r="Q359" s="54"/>
      <c r="R359" s="54">
        <f t="shared" si="459"/>
        <v>0</v>
      </c>
      <c r="S359" s="63">
        <v>3200</v>
      </c>
      <c r="T359" s="63">
        <v>3200</v>
      </c>
      <c r="U359" s="63"/>
      <c r="V359" s="63"/>
      <c r="W359" s="63">
        <v>2200</v>
      </c>
      <c r="X359" s="63">
        <v>2200</v>
      </c>
      <c r="Y359" s="63">
        <v>2200</v>
      </c>
      <c r="Z359" s="63"/>
      <c r="AA359" s="63">
        <f t="shared" si="448"/>
        <v>4400</v>
      </c>
      <c r="AB359" s="63">
        <f t="shared" si="448"/>
        <v>2200</v>
      </c>
      <c r="AC359" s="63">
        <f t="shared" ref="AC359:AD379" si="464">O359-AA359</f>
        <v>-1200</v>
      </c>
      <c r="AD359" s="63">
        <f t="shared" si="464"/>
        <v>1000</v>
      </c>
      <c r="AE359" s="63">
        <f t="shared" si="450"/>
        <v>0</v>
      </c>
      <c r="AF359" s="63">
        <f t="shared" si="451"/>
        <v>0</v>
      </c>
      <c r="AG359" s="63"/>
      <c r="AH359" s="63"/>
      <c r="AI359" s="69"/>
      <c r="AJ359" s="19">
        <f t="shared" si="462"/>
        <v>0</v>
      </c>
      <c r="AK359" s="22">
        <f t="shared" si="425"/>
        <v>0</v>
      </c>
      <c r="AL359" s="22"/>
      <c r="AM359" s="12">
        <f t="shared" si="452"/>
        <v>1</v>
      </c>
      <c r="AO359" s="12">
        <f t="shared" si="453"/>
        <v>0</v>
      </c>
      <c r="AP359" s="12">
        <f t="shared" si="436"/>
        <v>0</v>
      </c>
      <c r="AQ359" s="12">
        <f t="shared" si="454"/>
        <v>0</v>
      </c>
      <c r="AR359" s="12">
        <f t="shared" si="461"/>
        <v>0</v>
      </c>
      <c r="AS359" s="12">
        <f t="shared" si="455"/>
        <v>0</v>
      </c>
      <c r="AT359" s="12">
        <f t="shared" si="463"/>
        <v>0</v>
      </c>
      <c r="AU359" s="12">
        <f t="shared" si="456"/>
        <v>0</v>
      </c>
      <c r="AV359" s="12">
        <f t="shared" si="438"/>
        <v>0</v>
      </c>
    </row>
    <row r="360" spans="1:48" ht="66" x14ac:dyDescent="0.25">
      <c r="A360" s="60">
        <v>38</v>
      </c>
      <c r="B360" s="91" t="s">
        <v>838</v>
      </c>
      <c r="C360" s="61" t="s">
        <v>194</v>
      </c>
      <c r="D360" s="61" t="s">
        <v>839</v>
      </c>
      <c r="E360" s="70">
        <v>2017</v>
      </c>
      <c r="F360" s="61" t="s">
        <v>840</v>
      </c>
      <c r="G360" s="74">
        <v>2958</v>
      </c>
      <c r="H360" s="74">
        <v>2958</v>
      </c>
      <c r="I360" s="63"/>
      <c r="J360" s="63"/>
      <c r="K360" s="63"/>
      <c r="L360" s="63"/>
      <c r="M360" s="63">
        <v>2800</v>
      </c>
      <c r="N360" s="63">
        <v>2800</v>
      </c>
      <c r="O360" s="63">
        <v>2800</v>
      </c>
      <c r="P360" s="63">
        <v>2800</v>
      </c>
      <c r="Q360" s="54"/>
      <c r="R360" s="54">
        <f t="shared" si="459"/>
        <v>0</v>
      </c>
      <c r="S360" s="63">
        <v>2800</v>
      </c>
      <c r="T360" s="63">
        <v>2800</v>
      </c>
      <c r="U360" s="63"/>
      <c r="V360" s="63"/>
      <c r="W360" s="63">
        <v>2000</v>
      </c>
      <c r="X360" s="63">
        <v>2000</v>
      </c>
      <c r="Y360" s="63">
        <v>2000</v>
      </c>
      <c r="Z360" s="63"/>
      <c r="AA360" s="63">
        <f t="shared" si="448"/>
        <v>4000</v>
      </c>
      <c r="AB360" s="63">
        <f t="shared" si="448"/>
        <v>2000</v>
      </c>
      <c r="AC360" s="63">
        <f t="shared" si="464"/>
        <v>-1200</v>
      </c>
      <c r="AD360" s="63">
        <f t="shared" si="464"/>
        <v>800</v>
      </c>
      <c r="AE360" s="63">
        <f t="shared" si="450"/>
        <v>0</v>
      </c>
      <c r="AF360" s="63">
        <f t="shared" si="451"/>
        <v>0</v>
      </c>
      <c r="AG360" s="63"/>
      <c r="AH360" s="63"/>
      <c r="AI360" s="69"/>
      <c r="AJ360" s="19">
        <f t="shared" si="462"/>
        <v>0</v>
      </c>
      <c r="AK360" s="22">
        <f t="shared" si="425"/>
        <v>0</v>
      </c>
      <c r="AL360" s="22"/>
      <c r="AM360" s="12">
        <f t="shared" si="452"/>
        <v>1</v>
      </c>
      <c r="AO360" s="12">
        <f t="shared" si="453"/>
        <v>0</v>
      </c>
      <c r="AP360" s="12">
        <f t="shared" si="436"/>
        <v>0</v>
      </c>
      <c r="AQ360" s="12">
        <f t="shared" si="454"/>
        <v>0</v>
      </c>
      <c r="AR360" s="12">
        <f t="shared" si="461"/>
        <v>0</v>
      </c>
      <c r="AS360" s="12">
        <f t="shared" si="455"/>
        <v>0</v>
      </c>
      <c r="AT360" s="12">
        <f t="shared" si="463"/>
        <v>0</v>
      </c>
      <c r="AU360" s="12">
        <f t="shared" si="456"/>
        <v>0</v>
      </c>
      <c r="AV360" s="12">
        <f t="shared" si="438"/>
        <v>0</v>
      </c>
    </row>
    <row r="361" spans="1:48" ht="82.5" x14ac:dyDescent="0.25">
      <c r="A361" s="60">
        <v>39</v>
      </c>
      <c r="B361" s="9" t="s">
        <v>841</v>
      </c>
      <c r="C361" s="25" t="s">
        <v>526</v>
      </c>
      <c r="D361" s="61" t="s">
        <v>842</v>
      </c>
      <c r="E361" s="70">
        <v>2017</v>
      </c>
      <c r="F361" s="61" t="s">
        <v>843</v>
      </c>
      <c r="G361" s="5">
        <v>1305</v>
      </c>
      <c r="H361" s="5">
        <v>1305</v>
      </c>
      <c r="I361" s="63"/>
      <c r="J361" s="63"/>
      <c r="K361" s="63"/>
      <c r="L361" s="63"/>
      <c r="M361" s="63">
        <v>1200</v>
      </c>
      <c r="N361" s="63">
        <v>1200</v>
      </c>
      <c r="O361" s="63">
        <v>1200</v>
      </c>
      <c r="P361" s="63">
        <v>1200</v>
      </c>
      <c r="Q361" s="54"/>
      <c r="R361" s="54">
        <f t="shared" si="459"/>
        <v>0</v>
      </c>
      <c r="S361" s="63">
        <v>1200</v>
      </c>
      <c r="T361" s="63">
        <v>1200</v>
      </c>
      <c r="U361" s="63"/>
      <c r="V361" s="63"/>
      <c r="W361" s="63">
        <v>1200</v>
      </c>
      <c r="X361" s="63">
        <v>1200</v>
      </c>
      <c r="Y361" s="63">
        <v>1200</v>
      </c>
      <c r="Z361" s="63"/>
      <c r="AA361" s="63">
        <f t="shared" si="448"/>
        <v>2400</v>
      </c>
      <c r="AB361" s="63">
        <f t="shared" si="448"/>
        <v>1200</v>
      </c>
      <c r="AC361" s="63">
        <f t="shared" si="464"/>
        <v>-1200</v>
      </c>
      <c r="AD361" s="63">
        <f t="shared" si="464"/>
        <v>0</v>
      </c>
      <c r="AE361" s="63">
        <f t="shared" si="450"/>
        <v>0</v>
      </c>
      <c r="AF361" s="63">
        <f t="shared" si="451"/>
        <v>0</v>
      </c>
      <c r="AG361" s="63"/>
      <c r="AH361" s="63"/>
      <c r="AI361" s="69"/>
      <c r="AJ361" s="19">
        <f t="shared" si="462"/>
        <v>0</v>
      </c>
      <c r="AK361" s="22">
        <f t="shared" si="425"/>
        <v>0</v>
      </c>
      <c r="AL361" s="22"/>
      <c r="AM361" s="12">
        <f t="shared" si="452"/>
        <v>1</v>
      </c>
      <c r="AO361" s="12">
        <f t="shared" si="453"/>
        <v>0</v>
      </c>
      <c r="AP361" s="12">
        <f t="shared" si="436"/>
        <v>0</v>
      </c>
      <c r="AQ361" s="12">
        <f t="shared" si="454"/>
        <v>0</v>
      </c>
      <c r="AR361" s="12">
        <f t="shared" si="461"/>
        <v>0</v>
      </c>
      <c r="AS361" s="12">
        <f t="shared" si="455"/>
        <v>0</v>
      </c>
      <c r="AT361" s="12">
        <f t="shared" si="463"/>
        <v>0</v>
      </c>
      <c r="AU361" s="12">
        <f t="shared" si="456"/>
        <v>0</v>
      </c>
      <c r="AV361" s="12">
        <f t="shared" si="438"/>
        <v>0</v>
      </c>
    </row>
    <row r="362" spans="1:48" ht="82.5" x14ac:dyDescent="0.25">
      <c r="A362" s="60">
        <v>40</v>
      </c>
      <c r="B362" s="91" t="s">
        <v>844</v>
      </c>
      <c r="C362" s="61" t="s">
        <v>845</v>
      </c>
      <c r="D362" s="61" t="s">
        <v>846</v>
      </c>
      <c r="E362" s="70">
        <v>2017</v>
      </c>
      <c r="F362" s="61" t="s">
        <v>847</v>
      </c>
      <c r="G362" s="74">
        <v>6456</v>
      </c>
      <c r="H362" s="74">
        <v>6456</v>
      </c>
      <c r="I362" s="63"/>
      <c r="J362" s="63"/>
      <c r="K362" s="63"/>
      <c r="L362" s="63"/>
      <c r="M362" s="63">
        <v>6100</v>
      </c>
      <c r="N362" s="63">
        <v>6100</v>
      </c>
      <c r="O362" s="63">
        <v>6100</v>
      </c>
      <c r="P362" s="63">
        <v>6100</v>
      </c>
      <c r="Q362" s="54"/>
      <c r="R362" s="54">
        <f t="shared" si="459"/>
        <v>0</v>
      </c>
      <c r="S362" s="63">
        <v>6100</v>
      </c>
      <c r="T362" s="63">
        <v>6100</v>
      </c>
      <c r="U362" s="5"/>
      <c r="V362" s="5"/>
      <c r="W362" s="63">
        <v>4500</v>
      </c>
      <c r="X362" s="63">
        <v>4500</v>
      </c>
      <c r="Y362" s="63">
        <v>4500</v>
      </c>
      <c r="Z362" s="63"/>
      <c r="AA362" s="63">
        <f t="shared" si="448"/>
        <v>9000</v>
      </c>
      <c r="AB362" s="63">
        <f t="shared" si="448"/>
        <v>4500</v>
      </c>
      <c r="AC362" s="63">
        <f t="shared" si="464"/>
        <v>-2900</v>
      </c>
      <c r="AD362" s="63">
        <f t="shared" si="464"/>
        <v>1600</v>
      </c>
      <c r="AE362" s="63">
        <f t="shared" si="450"/>
        <v>0</v>
      </c>
      <c r="AF362" s="63">
        <f t="shared" si="451"/>
        <v>0</v>
      </c>
      <c r="AG362" s="63"/>
      <c r="AH362" s="63"/>
      <c r="AI362" s="69"/>
      <c r="AJ362" s="19">
        <f t="shared" si="462"/>
        <v>0</v>
      </c>
      <c r="AK362" s="22">
        <f t="shared" si="425"/>
        <v>0</v>
      </c>
      <c r="AL362" s="22"/>
      <c r="AM362" s="12">
        <f t="shared" si="452"/>
        <v>1</v>
      </c>
      <c r="AO362" s="12">
        <f t="shared" si="453"/>
        <v>0</v>
      </c>
      <c r="AP362" s="12">
        <f t="shared" si="436"/>
        <v>0</v>
      </c>
      <c r="AQ362" s="12">
        <f t="shared" si="454"/>
        <v>0</v>
      </c>
      <c r="AR362" s="12">
        <f t="shared" si="461"/>
        <v>0</v>
      </c>
      <c r="AS362" s="12">
        <f t="shared" si="455"/>
        <v>0</v>
      </c>
      <c r="AT362" s="12">
        <f t="shared" si="463"/>
        <v>0</v>
      </c>
      <c r="AU362" s="12">
        <f t="shared" si="456"/>
        <v>0</v>
      </c>
      <c r="AV362" s="12">
        <f t="shared" si="438"/>
        <v>0</v>
      </c>
    </row>
    <row r="363" spans="1:48" ht="49.5" x14ac:dyDescent="0.25">
      <c r="A363" s="60">
        <v>41</v>
      </c>
      <c r="B363" s="9" t="s">
        <v>848</v>
      </c>
      <c r="C363" s="61" t="s">
        <v>58</v>
      </c>
      <c r="D363" s="61" t="s">
        <v>849</v>
      </c>
      <c r="E363" s="70">
        <v>2017</v>
      </c>
      <c r="F363" s="61" t="s">
        <v>850</v>
      </c>
      <c r="G363" s="68">
        <v>1587</v>
      </c>
      <c r="H363" s="68">
        <v>1587</v>
      </c>
      <c r="I363" s="63"/>
      <c r="J363" s="63"/>
      <c r="K363" s="63"/>
      <c r="L363" s="63"/>
      <c r="M363" s="63">
        <v>1500</v>
      </c>
      <c r="N363" s="63">
        <v>1500</v>
      </c>
      <c r="O363" s="63">
        <v>1500</v>
      </c>
      <c r="P363" s="63">
        <v>1500</v>
      </c>
      <c r="Q363" s="54"/>
      <c r="R363" s="54">
        <f t="shared" si="459"/>
        <v>0</v>
      </c>
      <c r="S363" s="63">
        <v>1500</v>
      </c>
      <c r="T363" s="63">
        <v>1500</v>
      </c>
      <c r="U363" s="5"/>
      <c r="V363" s="5"/>
      <c r="W363" s="63">
        <v>1300</v>
      </c>
      <c r="X363" s="63">
        <v>1300</v>
      </c>
      <c r="Y363" s="63">
        <v>1300</v>
      </c>
      <c r="Z363" s="63"/>
      <c r="AA363" s="63">
        <f t="shared" si="448"/>
        <v>2600</v>
      </c>
      <c r="AB363" s="63">
        <f t="shared" si="448"/>
        <v>1300</v>
      </c>
      <c r="AC363" s="63">
        <f t="shared" si="464"/>
        <v>-1100</v>
      </c>
      <c r="AD363" s="63">
        <f t="shared" si="464"/>
        <v>200</v>
      </c>
      <c r="AE363" s="63">
        <f t="shared" si="450"/>
        <v>0</v>
      </c>
      <c r="AF363" s="63">
        <f t="shared" si="451"/>
        <v>0</v>
      </c>
      <c r="AG363" s="63"/>
      <c r="AH363" s="63"/>
      <c r="AI363" s="69"/>
      <c r="AJ363" s="19">
        <f t="shared" si="462"/>
        <v>0</v>
      </c>
      <c r="AK363" s="22">
        <f t="shared" si="425"/>
        <v>0</v>
      </c>
      <c r="AL363" s="22"/>
      <c r="AM363" s="12">
        <f t="shared" si="452"/>
        <v>1</v>
      </c>
      <c r="AO363" s="12">
        <f t="shared" si="453"/>
        <v>0</v>
      </c>
      <c r="AP363" s="12">
        <f t="shared" si="436"/>
        <v>0</v>
      </c>
      <c r="AQ363" s="12">
        <f t="shared" si="454"/>
        <v>0</v>
      </c>
      <c r="AR363" s="12">
        <f t="shared" si="461"/>
        <v>0</v>
      </c>
      <c r="AS363" s="12">
        <f t="shared" si="455"/>
        <v>0</v>
      </c>
      <c r="AT363" s="12">
        <f t="shared" si="463"/>
        <v>0</v>
      </c>
      <c r="AU363" s="12">
        <f t="shared" si="456"/>
        <v>0</v>
      </c>
      <c r="AV363" s="12">
        <f t="shared" si="438"/>
        <v>0</v>
      </c>
    </row>
    <row r="364" spans="1:48" ht="82.5" x14ac:dyDescent="0.25">
      <c r="A364" s="60">
        <v>42</v>
      </c>
      <c r="B364" s="91" t="s">
        <v>851</v>
      </c>
      <c r="C364" s="61" t="s">
        <v>852</v>
      </c>
      <c r="D364" s="61" t="s">
        <v>853</v>
      </c>
      <c r="E364" s="70" t="s">
        <v>461</v>
      </c>
      <c r="F364" s="70"/>
      <c r="G364" s="74">
        <v>10000</v>
      </c>
      <c r="H364" s="74">
        <v>10000</v>
      </c>
      <c r="I364" s="63"/>
      <c r="J364" s="63"/>
      <c r="K364" s="63"/>
      <c r="L364" s="63"/>
      <c r="M364" s="63">
        <v>500</v>
      </c>
      <c r="N364" s="63">
        <v>500</v>
      </c>
      <c r="O364" s="63"/>
      <c r="P364" s="63"/>
      <c r="Q364" s="54"/>
      <c r="R364" s="54">
        <f t="shared" si="459"/>
        <v>500</v>
      </c>
      <c r="S364" s="63"/>
      <c r="T364" s="63"/>
      <c r="U364" s="5"/>
      <c r="V364" s="5"/>
      <c r="W364" s="5"/>
      <c r="X364" s="5"/>
      <c r="Y364" s="5"/>
      <c r="Z364" s="5"/>
      <c r="AA364" s="63">
        <f t="shared" si="448"/>
        <v>0</v>
      </c>
      <c r="AB364" s="63">
        <f t="shared" si="448"/>
        <v>0</v>
      </c>
      <c r="AC364" s="63">
        <f t="shared" si="464"/>
        <v>0</v>
      </c>
      <c r="AD364" s="63">
        <f t="shared" si="464"/>
        <v>0</v>
      </c>
      <c r="AE364" s="63">
        <f t="shared" si="450"/>
        <v>0</v>
      </c>
      <c r="AF364" s="63">
        <f t="shared" si="451"/>
        <v>0</v>
      </c>
      <c r="AG364" s="5"/>
      <c r="AH364" s="5"/>
      <c r="AI364" s="61" t="s">
        <v>284</v>
      </c>
      <c r="AJ364" s="19">
        <f t="shared" si="462"/>
        <v>1</v>
      </c>
      <c r="AK364" s="22">
        <f t="shared" si="425"/>
        <v>1</v>
      </c>
      <c r="AL364" s="22"/>
      <c r="AM364" s="12">
        <f t="shared" si="452"/>
        <v>0</v>
      </c>
      <c r="AO364" s="12">
        <f t="shared" si="453"/>
        <v>1</v>
      </c>
      <c r="AP364" s="12">
        <f t="shared" si="436"/>
        <v>500</v>
      </c>
      <c r="AQ364" s="12">
        <f t="shared" si="454"/>
        <v>0</v>
      </c>
      <c r="AR364" s="12">
        <f t="shared" si="461"/>
        <v>0</v>
      </c>
      <c r="AS364" s="12">
        <f t="shared" si="455"/>
        <v>0</v>
      </c>
      <c r="AT364" s="12">
        <f t="shared" si="463"/>
        <v>0</v>
      </c>
    </row>
    <row r="365" spans="1:48" ht="49.5" x14ac:dyDescent="0.25">
      <c r="A365" s="60">
        <v>43</v>
      </c>
      <c r="B365" s="91" t="s">
        <v>854</v>
      </c>
      <c r="C365" s="61" t="s">
        <v>70</v>
      </c>
      <c r="D365" s="70"/>
      <c r="E365" s="70" t="s">
        <v>461</v>
      </c>
      <c r="F365" s="61" t="s">
        <v>855</v>
      </c>
      <c r="G365" s="74">
        <f>H365</f>
        <v>8578</v>
      </c>
      <c r="H365" s="74">
        <v>8578</v>
      </c>
      <c r="I365" s="63"/>
      <c r="J365" s="63"/>
      <c r="K365" s="63"/>
      <c r="L365" s="63"/>
      <c r="M365" s="63">
        <v>7700</v>
      </c>
      <c r="N365" s="63">
        <v>7700</v>
      </c>
      <c r="O365" s="63">
        <v>7700</v>
      </c>
      <c r="P365" s="63">
        <v>7700</v>
      </c>
      <c r="Q365" s="54"/>
      <c r="R365" s="54">
        <f t="shared" si="459"/>
        <v>0</v>
      </c>
      <c r="S365" s="63">
        <v>7700</v>
      </c>
      <c r="T365" s="63">
        <v>7700</v>
      </c>
      <c r="U365" s="5"/>
      <c r="V365" s="5"/>
      <c r="W365" s="5"/>
      <c r="X365" s="5"/>
      <c r="Y365" s="5">
        <f>Z365</f>
        <v>4000</v>
      </c>
      <c r="Z365" s="5">
        <v>4000</v>
      </c>
      <c r="AA365" s="63">
        <f t="shared" si="448"/>
        <v>4000</v>
      </c>
      <c r="AB365" s="63">
        <f t="shared" si="448"/>
        <v>4000</v>
      </c>
      <c r="AC365" s="63">
        <f t="shared" si="464"/>
        <v>3700</v>
      </c>
      <c r="AD365" s="63">
        <f t="shared" si="464"/>
        <v>3700</v>
      </c>
      <c r="AE365" s="63">
        <f t="shared" si="450"/>
        <v>0</v>
      </c>
      <c r="AF365" s="63">
        <f t="shared" si="451"/>
        <v>0</v>
      </c>
      <c r="AG365" s="5"/>
      <c r="AH365" s="5"/>
      <c r="AI365" s="69"/>
      <c r="AJ365" s="19">
        <f t="shared" si="462"/>
        <v>0</v>
      </c>
      <c r="AK365" s="22">
        <f t="shared" si="425"/>
        <v>0</v>
      </c>
      <c r="AL365" s="22"/>
      <c r="AM365" s="12">
        <f t="shared" si="452"/>
        <v>1</v>
      </c>
      <c r="AO365" s="12">
        <f t="shared" si="453"/>
        <v>0</v>
      </c>
      <c r="AP365" s="12">
        <f t="shared" si="436"/>
        <v>0</v>
      </c>
      <c r="AQ365" s="12">
        <f t="shared" si="454"/>
        <v>0</v>
      </c>
      <c r="AR365" s="12">
        <f t="shared" si="461"/>
        <v>0</v>
      </c>
      <c r="AS365" s="12">
        <f t="shared" si="455"/>
        <v>0</v>
      </c>
      <c r="AT365" s="12">
        <f t="shared" si="463"/>
        <v>0</v>
      </c>
      <c r="AU365" s="12">
        <f>IF(R365=0,0,1)</f>
        <v>0</v>
      </c>
      <c r="AV365" s="12">
        <f t="shared" si="438"/>
        <v>0</v>
      </c>
    </row>
    <row r="366" spans="1:48" ht="89.25" customHeight="1" x14ac:dyDescent="0.25">
      <c r="A366" s="60">
        <v>44</v>
      </c>
      <c r="B366" s="9" t="s">
        <v>856</v>
      </c>
      <c r="C366" s="61" t="s">
        <v>112</v>
      </c>
      <c r="D366" s="70"/>
      <c r="E366" s="70" t="s">
        <v>461</v>
      </c>
      <c r="F366" s="70"/>
      <c r="G366" s="75">
        <v>2000</v>
      </c>
      <c r="H366" s="75">
        <v>2000</v>
      </c>
      <c r="I366" s="63"/>
      <c r="J366" s="63"/>
      <c r="K366" s="63"/>
      <c r="L366" s="63"/>
      <c r="M366" s="63">
        <v>1900</v>
      </c>
      <c r="N366" s="63">
        <v>1900</v>
      </c>
      <c r="O366" s="63">
        <v>2700</v>
      </c>
      <c r="P366" s="63">
        <v>2700</v>
      </c>
      <c r="Q366" s="54">
        <f>T366-N366</f>
        <v>800</v>
      </c>
      <c r="R366" s="54"/>
      <c r="S366" s="63">
        <v>2700</v>
      </c>
      <c r="T366" s="63">
        <v>2700</v>
      </c>
      <c r="U366" s="5"/>
      <c r="V366" s="5"/>
      <c r="W366" s="5"/>
      <c r="X366" s="5"/>
      <c r="Y366" s="5">
        <f>Z366</f>
        <v>1600</v>
      </c>
      <c r="Z366" s="5">
        <v>1600</v>
      </c>
      <c r="AA366" s="63">
        <f t="shared" si="448"/>
        <v>1600</v>
      </c>
      <c r="AB366" s="63">
        <f t="shared" si="448"/>
        <v>1600</v>
      </c>
      <c r="AC366" s="63">
        <f t="shared" si="464"/>
        <v>1100</v>
      </c>
      <c r="AD366" s="63">
        <f t="shared" si="464"/>
        <v>1100</v>
      </c>
      <c r="AE366" s="63">
        <f t="shared" si="450"/>
        <v>0</v>
      </c>
      <c r="AF366" s="63">
        <f t="shared" si="451"/>
        <v>0</v>
      </c>
      <c r="AG366" s="5"/>
      <c r="AH366" s="5"/>
      <c r="AI366" s="69"/>
      <c r="AJ366" s="19">
        <f t="shared" si="462"/>
        <v>1</v>
      </c>
      <c r="AK366" s="22">
        <f t="shared" si="425"/>
        <v>1</v>
      </c>
      <c r="AL366" s="22"/>
      <c r="AM366" s="12">
        <f t="shared" si="452"/>
        <v>0</v>
      </c>
      <c r="AO366" s="12">
        <f t="shared" si="453"/>
        <v>0</v>
      </c>
      <c r="AP366" s="12">
        <f t="shared" si="436"/>
        <v>0</v>
      </c>
      <c r="AQ366" s="12">
        <f t="shared" si="454"/>
        <v>0</v>
      </c>
      <c r="AR366" s="12">
        <f t="shared" si="461"/>
        <v>0</v>
      </c>
      <c r="AS366" s="12">
        <f t="shared" si="455"/>
        <v>1</v>
      </c>
      <c r="AT366" s="12">
        <f t="shared" si="463"/>
        <v>800</v>
      </c>
      <c r="AU366" s="12">
        <f>IF(R366=0,0,1)</f>
        <v>0</v>
      </c>
      <c r="AV366" s="12">
        <f t="shared" si="438"/>
        <v>0</v>
      </c>
    </row>
    <row r="367" spans="1:48" ht="66" x14ac:dyDescent="0.25">
      <c r="A367" s="60">
        <v>45</v>
      </c>
      <c r="B367" s="9" t="s">
        <v>857</v>
      </c>
      <c r="C367" s="61" t="s">
        <v>58</v>
      </c>
      <c r="D367" s="70"/>
      <c r="E367" s="70" t="s">
        <v>461</v>
      </c>
      <c r="F367" s="70"/>
      <c r="G367" s="75">
        <v>3000</v>
      </c>
      <c r="H367" s="75">
        <v>3000</v>
      </c>
      <c r="I367" s="63"/>
      <c r="J367" s="63"/>
      <c r="K367" s="63"/>
      <c r="L367" s="63"/>
      <c r="M367" s="63">
        <v>2860</v>
      </c>
      <c r="N367" s="63">
        <v>2860</v>
      </c>
      <c r="O367" s="63">
        <v>2860</v>
      </c>
      <c r="P367" s="63">
        <v>2860</v>
      </c>
      <c r="Q367" s="54"/>
      <c r="R367" s="54">
        <f t="shared" si="459"/>
        <v>0</v>
      </c>
      <c r="S367" s="63">
        <v>2860</v>
      </c>
      <c r="T367" s="63">
        <v>2860</v>
      </c>
      <c r="U367" s="5"/>
      <c r="V367" s="5"/>
      <c r="W367" s="5"/>
      <c r="X367" s="5"/>
      <c r="Y367" s="5">
        <f>Z367</f>
        <v>2450</v>
      </c>
      <c r="Z367" s="5">
        <v>2450</v>
      </c>
      <c r="AA367" s="63">
        <f t="shared" si="448"/>
        <v>2450</v>
      </c>
      <c r="AB367" s="63">
        <f t="shared" si="448"/>
        <v>2450</v>
      </c>
      <c r="AC367" s="63">
        <f t="shared" si="464"/>
        <v>410</v>
      </c>
      <c r="AD367" s="63">
        <f t="shared" si="464"/>
        <v>410</v>
      </c>
      <c r="AE367" s="63">
        <f t="shared" si="450"/>
        <v>0</v>
      </c>
      <c r="AF367" s="63">
        <f t="shared" si="451"/>
        <v>0</v>
      </c>
      <c r="AG367" s="5"/>
      <c r="AH367" s="5"/>
      <c r="AI367" s="69"/>
      <c r="AJ367" s="19">
        <f t="shared" si="462"/>
        <v>0</v>
      </c>
      <c r="AK367" s="22">
        <f t="shared" si="425"/>
        <v>0</v>
      </c>
      <c r="AL367" s="22"/>
      <c r="AM367" s="12">
        <f t="shared" si="452"/>
        <v>1</v>
      </c>
      <c r="AO367" s="12">
        <f t="shared" si="453"/>
        <v>0</v>
      </c>
      <c r="AP367" s="12">
        <f t="shared" si="436"/>
        <v>0</v>
      </c>
      <c r="AQ367" s="12">
        <f t="shared" si="454"/>
        <v>0</v>
      </c>
      <c r="AR367" s="12">
        <f t="shared" si="461"/>
        <v>0</v>
      </c>
      <c r="AS367" s="12">
        <f t="shared" si="455"/>
        <v>0</v>
      </c>
      <c r="AT367" s="12">
        <f t="shared" si="463"/>
        <v>0</v>
      </c>
      <c r="AU367" s="12">
        <f>IF(R367=0,0,1)</f>
        <v>0</v>
      </c>
      <c r="AV367" s="12">
        <f t="shared" si="438"/>
        <v>0</v>
      </c>
    </row>
    <row r="368" spans="1:48" ht="49.5" x14ac:dyDescent="0.25">
      <c r="A368" s="60">
        <v>46</v>
      </c>
      <c r="B368" s="9" t="s">
        <v>858</v>
      </c>
      <c r="C368" s="61" t="s">
        <v>104</v>
      </c>
      <c r="D368" s="70"/>
      <c r="E368" s="70" t="s">
        <v>116</v>
      </c>
      <c r="F368" s="61" t="s">
        <v>859</v>
      </c>
      <c r="G368" s="75">
        <f>H368</f>
        <v>4074</v>
      </c>
      <c r="H368" s="75">
        <v>4074</v>
      </c>
      <c r="I368" s="63"/>
      <c r="J368" s="63"/>
      <c r="K368" s="63"/>
      <c r="L368" s="63"/>
      <c r="M368" s="63">
        <v>3800</v>
      </c>
      <c r="N368" s="63">
        <v>3800</v>
      </c>
      <c r="O368" s="63">
        <v>3800</v>
      </c>
      <c r="P368" s="63">
        <v>3800</v>
      </c>
      <c r="Q368" s="54"/>
      <c r="R368" s="54">
        <f t="shared" si="459"/>
        <v>0</v>
      </c>
      <c r="S368" s="63">
        <v>3800</v>
      </c>
      <c r="T368" s="63">
        <v>3800</v>
      </c>
      <c r="U368" s="5"/>
      <c r="V368" s="5"/>
      <c r="W368" s="5"/>
      <c r="X368" s="5"/>
      <c r="Y368" s="5">
        <f>Z368</f>
        <v>3600</v>
      </c>
      <c r="Z368" s="5">
        <v>3600</v>
      </c>
      <c r="AA368" s="63">
        <f t="shared" si="448"/>
        <v>3600</v>
      </c>
      <c r="AB368" s="63">
        <f t="shared" si="448"/>
        <v>3600</v>
      </c>
      <c r="AC368" s="63">
        <f t="shared" si="464"/>
        <v>200</v>
      </c>
      <c r="AD368" s="63">
        <f t="shared" si="464"/>
        <v>200</v>
      </c>
      <c r="AE368" s="63">
        <f t="shared" si="450"/>
        <v>0</v>
      </c>
      <c r="AF368" s="63">
        <f t="shared" si="451"/>
        <v>0</v>
      </c>
      <c r="AG368" s="5"/>
      <c r="AH368" s="5"/>
      <c r="AI368" s="69"/>
      <c r="AJ368" s="19">
        <f t="shared" si="462"/>
        <v>0</v>
      </c>
      <c r="AK368" s="22">
        <f t="shared" si="425"/>
        <v>0</v>
      </c>
      <c r="AL368" s="22"/>
      <c r="AM368" s="12">
        <f t="shared" si="452"/>
        <v>1</v>
      </c>
      <c r="AO368" s="12">
        <f t="shared" si="453"/>
        <v>0</v>
      </c>
      <c r="AP368" s="12">
        <f t="shared" si="436"/>
        <v>0</v>
      </c>
      <c r="AQ368" s="12">
        <f t="shared" si="454"/>
        <v>0</v>
      </c>
      <c r="AR368" s="12">
        <f t="shared" si="461"/>
        <v>0</v>
      </c>
      <c r="AS368" s="12">
        <f t="shared" si="455"/>
        <v>0</v>
      </c>
      <c r="AT368" s="12">
        <f t="shared" si="463"/>
        <v>0</v>
      </c>
      <c r="AU368" s="12">
        <f>IF(R368=0,0,1)</f>
        <v>0</v>
      </c>
      <c r="AV368" s="12">
        <f t="shared" si="438"/>
        <v>0</v>
      </c>
    </row>
    <row r="369" spans="1:48" ht="49.5" x14ac:dyDescent="0.25">
      <c r="A369" s="60">
        <v>47</v>
      </c>
      <c r="B369" s="9" t="s">
        <v>860</v>
      </c>
      <c r="C369" s="61" t="s">
        <v>104</v>
      </c>
      <c r="D369" s="70"/>
      <c r="E369" s="70" t="s">
        <v>116</v>
      </c>
      <c r="F369" s="61"/>
      <c r="G369" s="75">
        <v>14000</v>
      </c>
      <c r="H369" s="75">
        <v>14000</v>
      </c>
      <c r="I369" s="63"/>
      <c r="J369" s="63"/>
      <c r="K369" s="63"/>
      <c r="L369" s="63"/>
      <c r="M369" s="63">
        <v>10420</v>
      </c>
      <c r="N369" s="63">
        <v>10420</v>
      </c>
      <c r="O369" s="63"/>
      <c r="P369" s="63"/>
      <c r="Q369" s="54"/>
      <c r="R369" s="54">
        <f t="shared" si="459"/>
        <v>10420</v>
      </c>
      <c r="S369" s="63"/>
      <c r="T369" s="63"/>
      <c r="U369" s="5"/>
      <c r="V369" s="5"/>
      <c r="W369" s="5"/>
      <c r="X369" s="5"/>
      <c r="Y369" s="5"/>
      <c r="Z369" s="5"/>
      <c r="AA369" s="63">
        <f t="shared" si="448"/>
        <v>0</v>
      </c>
      <c r="AB369" s="63">
        <f t="shared" si="448"/>
        <v>0</v>
      </c>
      <c r="AC369" s="63">
        <f t="shared" si="464"/>
        <v>0</v>
      </c>
      <c r="AD369" s="63">
        <f t="shared" si="464"/>
        <v>0</v>
      </c>
      <c r="AE369" s="63">
        <f t="shared" si="450"/>
        <v>0</v>
      </c>
      <c r="AF369" s="63">
        <f t="shared" si="451"/>
        <v>0</v>
      </c>
      <c r="AG369" s="5"/>
      <c r="AH369" s="5"/>
      <c r="AI369" s="25" t="s">
        <v>284</v>
      </c>
      <c r="AJ369" s="19">
        <f t="shared" si="462"/>
        <v>1</v>
      </c>
      <c r="AK369" s="22">
        <f t="shared" si="425"/>
        <v>1</v>
      </c>
      <c r="AL369" s="22"/>
      <c r="AM369" s="12">
        <f t="shared" si="452"/>
        <v>0</v>
      </c>
      <c r="AO369" s="12">
        <f t="shared" si="453"/>
        <v>1</v>
      </c>
      <c r="AP369" s="12">
        <f t="shared" si="436"/>
        <v>10420</v>
      </c>
      <c r="AQ369" s="12">
        <f t="shared" si="454"/>
        <v>0</v>
      </c>
      <c r="AR369" s="12">
        <f t="shared" si="461"/>
        <v>0</v>
      </c>
      <c r="AS369" s="12">
        <f t="shared" si="455"/>
        <v>0</v>
      </c>
      <c r="AT369" s="12">
        <f t="shared" si="463"/>
        <v>0</v>
      </c>
    </row>
    <row r="370" spans="1:48" ht="33" x14ac:dyDescent="0.25">
      <c r="A370" s="60">
        <v>48</v>
      </c>
      <c r="B370" s="9" t="s">
        <v>861</v>
      </c>
      <c r="C370" s="61" t="s">
        <v>104</v>
      </c>
      <c r="D370" s="70"/>
      <c r="E370" s="70" t="s">
        <v>116</v>
      </c>
      <c r="F370" s="70"/>
      <c r="G370" s="75">
        <v>2600</v>
      </c>
      <c r="H370" s="75">
        <v>2600</v>
      </c>
      <c r="I370" s="63"/>
      <c r="J370" s="63"/>
      <c r="K370" s="63"/>
      <c r="L370" s="63"/>
      <c r="M370" s="63">
        <v>2480</v>
      </c>
      <c r="N370" s="63">
        <v>2480</v>
      </c>
      <c r="O370" s="63">
        <v>2480</v>
      </c>
      <c r="P370" s="63">
        <v>2480</v>
      </c>
      <c r="Q370" s="54"/>
      <c r="R370" s="54">
        <f t="shared" si="459"/>
        <v>0</v>
      </c>
      <c r="S370" s="63">
        <v>2480</v>
      </c>
      <c r="T370" s="63">
        <v>2480</v>
      </c>
      <c r="U370" s="5"/>
      <c r="V370" s="5"/>
      <c r="W370" s="5"/>
      <c r="X370" s="5"/>
      <c r="Y370" s="5">
        <f>Z370</f>
        <v>2150</v>
      </c>
      <c r="Z370" s="5">
        <v>2150</v>
      </c>
      <c r="AA370" s="63">
        <f t="shared" si="448"/>
        <v>2150</v>
      </c>
      <c r="AB370" s="63">
        <f t="shared" si="448"/>
        <v>2150</v>
      </c>
      <c r="AC370" s="63">
        <f t="shared" si="464"/>
        <v>330</v>
      </c>
      <c r="AD370" s="63">
        <f t="shared" si="464"/>
        <v>330</v>
      </c>
      <c r="AE370" s="63">
        <f t="shared" si="450"/>
        <v>0</v>
      </c>
      <c r="AF370" s="63">
        <f t="shared" si="451"/>
        <v>0</v>
      </c>
      <c r="AG370" s="5"/>
      <c r="AH370" s="5"/>
      <c r="AI370" s="69"/>
      <c r="AJ370" s="19">
        <f t="shared" si="462"/>
        <v>0</v>
      </c>
      <c r="AK370" s="22">
        <f t="shared" si="425"/>
        <v>0</v>
      </c>
      <c r="AL370" s="22"/>
      <c r="AM370" s="12">
        <f t="shared" si="452"/>
        <v>1</v>
      </c>
      <c r="AO370" s="12">
        <f t="shared" si="453"/>
        <v>0</v>
      </c>
      <c r="AP370" s="12">
        <f t="shared" si="436"/>
        <v>0</v>
      </c>
      <c r="AQ370" s="12">
        <f t="shared" si="454"/>
        <v>0</v>
      </c>
      <c r="AR370" s="12">
        <f t="shared" si="461"/>
        <v>0</v>
      </c>
      <c r="AS370" s="12">
        <f t="shared" si="455"/>
        <v>0</v>
      </c>
      <c r="AT370" s="12">
        <f t="shared" si="463"/>
        <v>0</v>
      </c>
      <c r="AU370" s="12">
        <f>IF(R370=0,0,1)</f>
        <v>0</v>
      </c>
      <c r="AV370" s="12">
        <f t="shared" si="438"/>
        <v>0</v>
      </c>
    </row>
    <row r="371" spans="1:48" ht="49.5" x14ac:dyDescent="0.25">
      <c r="A371" s="60">
        <v>49</v>
      </c>
      <c r="B371" s="9" t="s">
        <v>862</v>
      </c>
      <c r="C371" s="61" t="s">
        <v>104</v>
      </c>
      <c r="D371" s="70"/>
      <c r="E371" s="70" t="s">
        <v>116</v>
      </c>
      <c r="F371" s="61" t="s">
        <v>863</v>
      </c>
      <c r="G371" s="75">
        <f>H371</f>
        <v>10860</v>
      </c>
      <c r="H371" s="75">
        <v>10860</v>
      </c>
      <c r="I371" s="63"/>
      <c r="J371" s="63"/>
      <c r="K371" s="63"/>
      <c r="L371" s="63"/>
      <c r="M371" s="63">
        <v>10000</v>
      </c>
      <c r="N371" s="63">
        <v>10000</v>
      </c>
      <c r="O371" s="63">
        <v>10000</v>
      </c>
      <c r="P371" s="63">
        <v>10000</v>
      </c>
      <c r="Q371" s="54"/>
      <c r="R371" s="54">
        <f t="shared" si="459"/>
        <v>0</v>
      </c>
      <c r="S371" s="63">
        <v>10000</v>
      </c>
      <c r="T371" s="63">
        <v>10000</v>
      </c>
      <c r="U371" s="5"/>
      <c r="V371" s="5"/>
      <c r="W371" s="5"/>
      <c r="X371" s="5"/>
      <c r="Y371" s="5">
        <f>Z371</f>
        <v>5000</v>
      </c>
      <c r="Z371" s="5">
        <v>5000</v>
      </c>
      <c r="AA371" s="63">
        <f t="shared" si="448"/>
        <v>5000</v>
      </c>
      <c r="AB371" s="63">
        <f t="shared" si="448"/>
        <v>5000</v>
      </c>
      <c r="AC371" s="63">
        <f t="shared" si="464"/>
        <v>5000</v>
      </c>
      <c r="AD371" s="63">
        <f t="shared" si="464"/>
        <v>5000</v>
      </c>
      <c r="AE371" s="63">
        <f t="shared" si="450"/>
        <v>0</v>
      </c>
      <c r="AF371" s="63">
        <f t="shared" si="451"/>
        <v>0</v>
      </c>
      <c r="AG371" s="5"/>
      <c r="AH371" s="5"/>
      <c r="AI371" s="69"/>
      <c r="AJ371" s="19">
        <f t="shared" si="462"/>
        <v>0</v>
      </c>
      <c r="AK371" s="22">
        <f t="shared" si="425"/>
        <v>0</v>
      </c>
      <c r="AL371" s="22"/>
      <c r="AM371" s="12">
        <f t="shared" si="452"/>
        <v>1</v>
      </c>
      <c r="AO371" s="12">
        <f t="shared" si="453"/>
        <v>0</v>
      </c>
      <c r="AP371" s="12">
        <f t="shared" si="436"/>
        <v>0</v>
      </c>
      <c r="AQ371" s="12">
        <f t="shared" si="454"/>
        <v>0</v>
      </c>
      <c r="AR371" s="12">
        <f t="shared" si="461"/>
        <v>0</v>
      </c>
      <c r="AS371" s="12">
        <f t="shared" si="455"/>
        <v>0</v>
      </c>
      <c r="AT371" s="12">
        <f t="shared" si="463"/>
        <v>0</v>
      </c>
      <c r="AU371" s="12">
        <f>IF(R371=0,0,1)</f>
        <v>0</v>
      </c>
      <c r="AV371" s="12">
        <f t="shared" si="438"/>
        <v>0</v>
      </c>
    </row>
    <row r="372" spans="1:48" ht="33" x14ac:dyDescent="0.25">
      <c r="A372" s="60">
        <v>50</v>
      </c>
      <c r="B372" s="9" t="s">
        <v>864</v>
      </c>
      <c r="C372" s="61" t="s">
        <v>95</v>
      </c>
      <c r="D372" s="70"/>
      <c r="E372" s="70">
        <v>2020</v>
      </c>
      <c r="F372" s="70"/>
      <c r="G372" s="75">
        <v>750</v>
      </c>
      <c r="H372" s="75">
        <v>750</v>
      </c>
      <c r="I372" s="63"/>
      <c r="J372" s="63"/>
      <c r="K372" s="63"/>
      <c r="L372" s="63"/>
      <c r="M372" s="63">
        <v>710</v>
      </c>
      <c r="N372" s="63">
        <v>710</v>
      </c>
      <c r="O372" s="63">
        <v>710</v>
      </c>
      <c r="P372" s="63">
        <v>710</v>
      </c>
      <c r="Q372" s="54"/>
      <c r="R372" s="54">
        <f t="shared" si="459"/>
        <v>0</v>
      </c>
      <c r="S372" s="63">
        <v>710</v>
      </c>
      <c r="T372" s="63">
        <v>710</v>
      </c>
      <c r="U372" s="5"/>
      <c r="V372" s="5"/>
      <c r="W372" s="5"/>
      <c r="X372" s="5"/>
      <c r="Y372" s="5"/>
      <c r="Z372" s="5"/>
      <c r="AA372" s="63">
        <f t="shared" si="448"/>
        <v>0</v>
      </c>
      <c r="AB372" s="63">
        <f t="shared" si="448"/>
        <v>0</v>
      </c>
      <c r="AC372" s="63">
        <f t="shared" si="464"/>
        <v>710</v>
      </c>
      <c r="AD372" s="63">
        <f t="shared" si="464"/>
        <v>710</v>
      </c>
      <c r="AE372" s="63">
        <f t="shared" si="450"/>
        <v>710</v>
      </c>
      <c r="AF372" s="63">
        <f t="shared" si="451"/>
        <v>710</v>
      </c>
      <c r="AG372" s="5"/>
      <c r="AH372" s="5"/>
      <c r="AI372" s="69"/>
      <c r="AJ372" s="19">
        <f t="shared" si="462"/>
        <v>0</v>
      </c>
      <c r="AK372" s="22">
        <f t="shared" si="425"/>
        <v>0</v>
      </c>
      <c r="AL372" s="22"/>
      <c r="AM372" s="12">
        <f t="shared" si="452"/>
        <v>1</v>
      </c>
      <c r="AO372" s="12">
        <f t="shared" si="453"/>
        <v>0</v>
      </c>
      <c r="AP372" s="12">
        <f t="shared" si="436"/>
        <v>0</v>
      </c>
      <c r="AQ372" s="12">
        <f t="shared" si="454"/>
        <v>0</v>
      </c>
      <c r="AR372" s="12">
        <f t="shared" si="461"/>
        <v>0</v>
      </c>
      <c r="AS372" s="12">
        <f t="shared" si="455"/>
        <v>0</v>
      </c>
      <c r="AT372" s="12">
        <f t="shared" si="463"/>
        <v>0</v>
      </c>
      <c r="AU372" s="12">
        <f t="shared" ref="AU372:AU379" si="465">IF(R372=0,0,1)</f>
        <v>0</v>
      </c>
      <c r="AV372" s="12">
        <f t="shared" si="438"/>
        <v>0</v>
      </c>
    </row>
    <row r="373" spans="1:48" ht="33" x14ac:dyDescent="0.25">
      <c r="A373" s="60">
        <v>51</v>
      </c>
      <c r="B373" s="9" t="s">
        <v>865</v>
      </c>
      <c r="C373" s="61" t="s">
        <v>104</v>
      </c>
      <c r="D373" s="70"/>
      <c r="E373" s="70">
        <v>2020</v>
      </c>
      <c r="F373" s="70"/>
      <c r="G373" s="75">
        <v>250</v>
      </c>
      <c r="H373" s="75">
        <v>250</v>
      </c>
      <c r="I373" s="63"/>
      <c r="J373" s="63"/>
      <c r="K373" s="63"/>
      <c r="L373" s="63"/>
      <c r="M373" s="63">
        <v>240</v>
      </c>
      <c r="N373" s="63">
        <v>240</v>
      </c>
      <c r="O373" s="63">
        <f>P373</f>
        <v>675</v>
      </c>
      <c r="P373" s="63">
        <v>675</v>
      </c>
      <c r="Q373" s="54">
        <f>T373-N373</f>
        <v>435</v>
      </c>
      <c r="R373" s="54"/>
      <c r="S373" s="63">
        <f>T373</f>
        <v>675</v>
      </c>
      <c r="T373" s="63">
        <v>675</v>
      </c>
      <c r="U373" s="5"/>
      <c r="V373" s="5"/>
      <c r="W373" s="5"/>
      <c r="X373" s="5"/>
      <c r="Y373" s="5"/>
      <c r="Z373" s="5"/>
      <c r="AA373" s="63">
        <f t="shared" si="448"/>
        <v>0</v>
      </c>
      <c r="AB373" s="63">
        <f t="shared" si="448"/>
        <v>0</v>
      </c>
      <c r="AC373" s="63">
        <f t="shared" si="464"/>
        <v>675</v>
      </c>
      <c r="AD373" s="63">
        <f t="shared" si="464"/>
        <v>675</v>
      </c>
      <c r="AE373" s="63">
        <f t="shared" si="450"/>
        <v>675</v>
      </c>
      <c r="AF373" s="63">
        <f t="shared" si="451"/>
        <v>675</v>
      </c>
      <c r="AG373" s="5"/>
      <c r="AH373" s="5"/>
      <c r="AI373" s="25"/>
      <c r="AJ373" s="19">
        <f t="shared" si="462"/>
        <v>1</v>
      </c>
      <c r="AK373" s="22">
        <f t="shared" si="425"/>
        <v>1</v>
      </c>
      <c r="AL373" s="22"/>
      <c r="AM373" s="12">
        <f t="shared" si="452"/>
        <v>0</v>
      </c>
      <c r="AO373" s="12">
        <f t="shared" si="453"/>
        <v>0</v>
      </c>
      <c r="AP373" s="12">
        <f t="shared" si="436"/>
        <v>0</v>
      </c>
      <c r="AQ373" s="12">
        <f t="shared" si="454"/>
        <v>0</v>
      </c>
      <c r="AR373" s="12">
        <f t="shared" si="461"/>
        <v>0</v>
      </c>
      <c r="AS373" s="12">
        <f t="shared" si="455"/>
        <v>1</v>
      </c>
      <c r="AT373" s="12">
        <f t="shared" si="463"/>
        <v>435</v>
      </c>
      <c r="AU373" s="12">
        <f t="shared" si="465"/>
        <v>0</v>
      </c>
      <c r="AV373" s="12">
        <f t="shared" si="438"/>
        <v>0</v>
      </c>
    </row>
    <row r="374" spans="1:48" ht="49.5" x14ac:dyDescent="0.25">
      <c r="A374" s="60">
        <v>52</v>
      </c>
      <c r="B374" s="9" t="s">
        <v>866</v>
      </c>
      <c r="C374" s="61" t="s">
        <v>58</v>
      </c>
      <c r="D374" s="70"/>
      <c r="E374" s="70">
        <v>2020</v>
      </c>
      <c r="F374" s="61" t="s">
        <v>867</v>
      </c>
      <c r="G374" s="75">
        <v>500</v>
      </c>
      <c r="H374" s="75">
        <v>500</v>
      </c>
      <c r="I374" s="63"/>
      <c r="J374" s="63"/>
      <c r="K374" s="63"/>
      <c r="L374" s="63"/>
      <c r="M374" s="63">
        <v>480</v>
      </c>
      <c r="N374" s="63">
        <v>480</v>
      </c>
      <c r="O374" s="63">
        <v>480</v>
      </c>
      <c r="P374" s="63">
        <v>480</v>
      </c>
      <c r="Q374" s="54"/>
      <c r="R374" s="54">
        <f t="shared" si="459"/>
        <v>0</v>
      </c>
      <c r="S374" s="63">
        <v>480</v>
      </c>
      <c r="T374" s="63">
        <v>480</v>
      </c>
      <c r="U374" s="5"/>
      <c r="V374" s="5"/>
      <c r="W374" s="5"/>
      <c r="X374" s="5"/>
      <c r="Y374" s="5"/>
      <c r="Z374" s="5"/>
      <c r="AA374" s="63">
        <f t="shared" si="448"/>
        <v>0</v>
      </c>
      <c r="AB374" s="63">
        <f t="shared" si="448"/>
        <v>0</v>
      </c>
      <c r="AC374" s="63">
        <f t="shared" si="464"/>
        <v>480</v>
      </c>
      <c r="AD374" s="63">
        <f t="shared" si="464"/>
        <v>480</v>
      </c>
      <c r="AE374" s="63">
        <f t="shared" si="450"/>
        <v>480</v>
      </c>
      <c r="AF374" s="63">
        <f t="shared" si="451"/>
        <v>480</v>
      </c>
      <c r="AG374" s="5"/>
      <c r="AH374" s="5"/>
      <c r="AI374" s="69"/>
      <c r="AJ374" s="19">
        <f t="shared" si="462"/>
        <v>0</v>
      </c>
      <c r="AK374" s="22">
        <f t="shared" si="425"/>
        <v>0</v>
      </c>
      <c r="AL374" s="22"/>
      <c r="AM374" s="12">
        <f t="shared" si="452"/>
        <v>1</v>
      </c>
      <c r="AO374" s="12">
        <f t="shared" si="453"/>
        <v>0</v>
      </c>
      <c r="AP374" s="12">
        <f t="shared" si="436"/>
        <v>0</v>
      </c>
      <c r="AQ374" s="12">
        <f t="shared" si="454"/>
        <v>0</v>
      </c>
      <c r="AR374" s="12">
        <f t="shared" si="461"/>
        <v>0</v>
      </c>
      <c r="AS374" s="12">
        <f t="shared" si="455"/>
        <v>0</v>
      </c>
      <c r="AT374" s="12">
        <f t="shared" si="463"/>
        <v>0</v>
      </c>
      <c r="AU374" s="12">
        <f t="shared" si="465"/>
        <v>0</v>
      </c>
      <c r="AV374" s="12">
        <f t="shared" si="438"/>
        <v>0</v>
      </c>
    </row>
    <row r="375" spans="1:48" ht="33" x14ac:dyDescent="0.25">
      <c r="A375" s="60">
        <v>53</v>
      </c>
      <c r="B375" s="9" t="s">
        <v>868</v>
      </c>
      <c r="C375" s="61" t="s">
        <v>104</v>
      </c>
      <c r="D375" s="70"/>
      <c r="E375" s="70">
        <v>2020</v>
      </c>
      <c r="F375" s="70"/>
      <c r="G375" s="75">
        <v>1500</v>
      </c>
      <c r="H375" s="75">
        <v>1500</v>
      </c>
      <c r="I375" s="63"/>
      <c r="J375" s="63"/>
      <c r="K375" s="63"/>
      <c r="L375" s="63"/>
      <c r="M375" s="63">
        <v>1300</v>
      </c>
      <c r="N375" s="63">
        <v>1300</v>
      </c>
      <c r="O375" s="63"/>
      <c r="P375" s="63"/>
      <c r="Q375" s="54"/>
      <c r="R375" s="54">
        <f t="shared" si="459"/>
        <v>1300</v>
      </c>
      <c r="S375" s="63"/>
      <c r="T375" s="63"/>
      <c r="U375" s="5"/>
      <c r="V375" s="5"/>
      <c r="W375" s="5"/>
      <c r="X375" s="5"/>
      <c r="Y375" s="5"/>
      <c r="Z375" s="5"/>
      <c r="AA375" s="63">
        <f t="shared" si="448"/>
        <v>0</v>
      </c>
      <c r="AB375" s="63">
        <f t="shared" si="448"/>
        <v>0</v>
      </c>
      <c r="AC375" s="63">
        <f t="shared" si="464"/>
        <v>0</v>
      </c>
      <c r="AD375" s="63">
        <f t="shared" si="464"/>
        <v>0</v>
      </c>
      <c r="AE375" s="63">
        <f t="shared" si="450"/>
        <v>0</v>
      </c>
      <c r="AF375" s="63">
        <f t="shared" si="451"/>
        <v>0</v>
      </c>
      <c r="AG375" s="5"/>
      <c r="AH375" s="5"/>
      <c r="AI375" s="25" t="s">
        <v>284</v>
      </c>
      <c r="AJ375" s="19">
        <f t="shared" si="462"/>
        <v>1</v>
      </c>
      <c r="AK375" s="22">
        <f t="shared" si="425"/>
        <v>1</v>
      </c>
      <c r="AL375" s="22"/>
      <c r="AM375" s="12">
        <f t="shared" si="452"/>
        <v>0</v>
      </c>
      <c r="AO375" s="12">
        <f t="shared" si="453"/>
        <v>1</v>
      </c>
      <c r="AP375" s="12">
        <f t="shared" si="436"/>
        <v>1300</v>
      </c>
      <c r="AQ375" s="12">
        <f t="shared" si="454"/>
        <v>0</v>
      </c>
      <c r="AR375" s="12">
        <f t="shared" si="461"/>
        <v>0</v>
      </c>
      <c r="AS375" s="12">
        <f t="shared" si="455"/>
        <v>0</v>
      </c>
      <c r="AT375" s="12">
        <f t="shared" si="463"/>
        <v>0</v>
      </c>
    </row>
    <row r="376" spans="1:48" ht="49.5" x14ac:dyDescent="0.25">
      <c r="A376" s="60">
        <v>54</v>
      </c>
      <c r="B376" s="9" t="s">
        <v>869</v>
      </c>
      <c r="C376" s="88" t="s">
        <v>58</v>
      </c>
      <c r="D376" s="70"/>
      <c r="E376" s="70">
        <v>2020</v>
      </c>
      <c r="F376" s="70"/>
      <c r="G376" s="75">
        <v>2500</v>
      </c>
      <c r="H376" s="75">
        <v>2500</v>
      </c>
      <c r="I376" s="63"/>
      <c r="J376" s="63"/>
      <c r="K376" s="63"/>
      <c r="L376" s="63"/>
      <c r="M376" s="63">
        <v>2200</v>
      </c>
      <c r="N376" s="63">
        <v>2200</v>
      </c>
      <c r="O376" s="63">
        <v>2200</v>
      </c>
      <c r="P376" s="63">
        <v>2200</v>
      </c>
      <c r="Q376" s="54"/>
      <c r="R376" s="54">
        <f t="shared" si="459"/>
        <v>0</v>
      </c>
      <c r="S376" s="63">
        <v>2200</v>
      </c>
      <c r="T376" s="63">
        <v>2200</v>
      </c>
      <c r="U376" s="5"/>
      <c r="V376" s="5"/>
      <c r="W376" s="5"/>
      <c r="X376" s="5"/>
      <c r="Y376" s="5"/>
      <c r="Z376" s="5"/>
      <c r="AA376" s="63">
        <f t="shared" si="448"/>
        <v>0</v>
      </c>
      <c r="AB376" s="63">
        <f t="shared" si="448"/>
        <v>0</v>
      </c>
      <c r="AC376" s="63">
        <f t="shared" si="464"/>
        <v>2200</v>
      </c>
      <c r="AD376" s="63">
        <f t="shared" si="464"/>
        <v>2200</v>
      </c>
      <c r="AE376" s="63">
        <f t="shared" si="450"/>
        <v>2200</v>
      </c>
      <c r="AF376" s="63">
        <f t="shared" si="451"/>
        <v>2200</v>
      </c>
      <c r="AG376" s="5"/>
      <c r="AH376" s="5"/>
      <c r="AI376" s="69"/>
      <c r="AJ376" s="19">
        <f t="shared" si="462"/>
        <v>0</v>
      </c>
      <c r="AK376" s="22">
        <f t="shared" ref="AK376:AK379" si="466">AJ376</f>
        <v>0</v>
      </c>
      <c r="AL376" s="22"/>
      <c r="AM376" s="12">
        <f t="shared" si="452"/>
        <v>1</v>
      </c>
      <c r="AO376" s="12">
        <f t="shared" si="453"/>
        <v>0</v>
      </c>
      <c r="AP376" s="12">
        <f t="shared" si="436"/>
        <v>0</v>
      </c>
      <c r="AQ376" s="12">
        <f t="shared" si="454"/>
        <v>0</v>
      </c>
      <c r="AR376" s="12">
        <f t="shared" si="461"/>
        <v>0</v>
      </c>
      <c r="AS376" s="12">
        <f t="shared" si="455"/>
        <v>0</v>
      </c>
      <c r="AT376" s="12">
        <f t="shared" si="463"/>
        <v>0</v>
      </c>
      <c r="AU376" s="12">
        <f t="shared" si="465"/>
        <v>0</v>
      </c>
      <c r="AV376" s="12">
        <f t="shared" si="438"/>
        <v>0</v>
      </c>
    </row>
    <row r="377" spans="1:48" ht="33" x14ac:dyDescent="0.25">
      <c r="A377" s="60">
        <v>55</v>
      </c>
      <c r="B377" s="9" t="s">
        <v>870</v>
      </c>
      <c r="C377" s="61" t="s">
        <v>104</v>
      </c>
      <c r="D377" s="70"/>
      <c r="E377" s="70">
        <v>2020</v>
      </c>
      <c r="F377" s="70"/>
      <c r="G377" s="75">
        <v>1500</v>
      </c>
      <c r="H377" s="75">
        <v>3000</v>
      </c>
      <c r="I377" s="63"/>
      <c r="J377" s="63"/>
      <c r="K377" s="63"/>
      <c r="L377" s="63"/>
      <c r="M377" s="63"/>
      <c r="N377" s="63"/>
      <c r="O377" s="63">
        <f>P377</f>
        <v>1300</v>
      </c>
      <c r="P377" s="63">
        <v>1300</v>
      </c>
      <c r="Q377" s="54">
        <f>T377-N377</f>
        <v>1300</v>
      </c>
      <c r="R377" s="54"/>
      <c r="S377" s="63">
        <f>T377</f>
        <v>1300</v>
      </c>
      <c r="T377" s="63">
        <v>1300</v>
      </c>
      <c r="U377" s="5"/>
      <c r="V377" s="5"/>
      <c r="W377" s="5"/>
      <c r="X377" s="5"/>
      <c r="Y377" s="5"/>
      <c r="Z377" s="5"/>
      <c r="AA377" s="63">
        <f t="shared" si="448"/>
        <v>0</v>
      </c>
      <c r="AB377" s="63">
        <f t="shared" si="448"/>
        <v>0</v>
      </c>
      <c r="AC377" s="63">
        <f t="shared" si="464"/>
        <v>1300</v>
      </c>
      <c r="AD377" s="63">
        <f t="shared" si="464"/>
        <v>1300</v>
      </c>
      <c r="AE377" s="63">
        <f t="shared" si="450"/>
        <v>1300</v>
      </c>
      <c r="AF377" s="63">
        <f t="shared" si="451"/>
        <v>1300</v>
      </c>
      <c r="AG377" s="5"/>
      <c r="AH377" s="5"/>
      <c r="AI377" s="25" t="s">
        <v>871</v>
      </c>
      <c r="AJ377" s="19">
        <f t="shared" si="462"/>
        <v>1</v>
      </c>
      <c r="AK377" s="22">
        <f t="shared" si="466"/>
        <v>1</v>
      </c>
      <c r="AL377" s="22"/>
      <c r="AM377" s="12">
        <f t="shared" si="452"/>
        <v>0</v>
      </c>
      <c r="AO377" s="12">
        <f t="shared" si="453"/>
        <v>0</v>
      </c>
      <c r="AP377" s="12">
        <f t="shared" si="436"/>
        <v>0</v>
      </c>
      <c r="AQ377" s="12">
        <f t="shared" si="454"/>
        <v>1</v>
      </c>
      <c r="AR377" s="12">
        <f t="shared" si="461"/>
        <v>1300</v>
      </c>
      <c r="AS377" s="12">
        <f t="shared" si="455"/>
        <v>1</v>
      </c>
      <c r="AT377" s="12">
        <f t="shared" si="463"/>
        <v>1300</v>
      </c>
    </row>
    <row r="378" spans="1:48" ht="204.75" customHeight="1" x14ac:dyDescent="0.25">
      <c r="A378" s="60">
        <v>56</v>
      </c>
      <c r="B378" s="9" t="s">
        <v>872</v>
      </c>
      <c r="C378" s="88" t="s">
        <v>104</v>
      </c>
      <c r="D378" s="70" t="s">
        <v>873</v>
      </c>
      <c r="E378" s="70" t="s">
        <v>101</v>
      </c>
      <c r="F378" s="61" t="s">
        <v>874</v>
      </c>
      <c r="G378" s="75">
        <f>13170000*27000/1000000</f>
        <v>355590</v>
      </c>
      <c r="H378" s="75">
        <f>3470000*27000/1000000</f>
        <v>93690</v>
      </c>
      <c r="I378" s="63"/>
      <c r="J378" s="63"/>
      <c r="K378" s="63"/>
      <c r="L378" s="63"/>
      <c r="M378" s="63">
        <f>G378</f>
        <v>355590</v>
      </c>
      <c r="N378" s="63">
        <v>20000</v>
      </c>
      <c r="O378" s="63">
        <f>M378</f>
        <v>355590</v>
      </c>
      <c r="P378" s="63">
        <v>20000</v>
      </c>
      <c r="Q378" s="54"/>
      <c r="R378" s="54">
        <f t="shared" si="459"/>
        <v>0</v>
      </c>
      <c r="S378" s="63">
        <f>O378</f>
        <v>355590</v>
      </c>
      <c r="T378" s="63">
        <v>20000</v>
      </c>
      <c r="U378" s="5"/>
      <c r="V378" s="5"/>
      <c r="W378" s="5"/>
      <c r="X378" s="5"/>
      <c r="Y378" s="5"/>
      <c r="Z378" s="5"/>
      <c r="AA378" s="63">
        <f t="shared" si="448"/>
        <v>0</v>
      </c>
      <c r="AB378" s="63">
        <f t="shared" si="448"/>
        <v>0</v>
      </c>
      <c r="AC378" s="63">
        <f t="shared" si="464"/>
        <v>355590</v>
      </c>
      <c r="AD378" s="63">
        <f t="shared" si="464"/>
        <v>20000</v>
      </c>
      <c r="AE378" s="63">
        <f t="shared" si="450"/>
        <v>20000</v>
      </c>
      <c r="AF378" s="63">
        <f t="shared" si="451"/>
        <v>20000</v>
      </c>
      <c r="AG378" s="5"/>
      <c r="AH378" s="5"/>
      <c r="AI378" s="25" t="s">
        <v>875</v>
      </c>
      <c r="AJ378" s="19">
        <f t="shared" si="462"/>
        <v>0</v>
      </c>
      <c r="AK378" s="22">
        <f t="shared" si="466"/>
        <v>0</v>
      </c>
      <c r="AL378" s="22"/>
      <c r="AM378" s="12">
        <f t="shared" si="452"/>
        <v>1</v>
      </c>
      <c r="AO378" s="12">
        <f t="shared" si="453"/>
        <v>0</v>
      </c>
      <c r="AP378" s="12">
        <f t="shared" si="436"/>
        <v>0</v>
      </c>
      <c r="AQ378" s="12">
        <f t="shared" si="454"/>
        <v>0</v>
      </c>
      <c r="AR378" s="12">
        <f t="shared" si="461"/>
        <v>0</v>
      </c>
      <c r="AS378" s="12">
        <f t="shared" si="455"/>
        <v>0</v>
      </c>
      <c r="AT378" s="12">
        <f t="shared" si="463"/>
        <v>0</v>
      </c>
      <c r="AU378" s="12">
        <f t="shared" si="465"/>
        <v>0</v>
      </c>
      <c r="AV378" s="12">
        <f t="shared" si="438"/>
        <v>0</v>
      </c>
    </row>
    <row r="379" spans="1:48" ht="66" x14ac:dyDescent="0.25">
      <c r="A379" s="60">
        <v>57</v>
      </c>
      <c r="B379" s="9" t="s">
        <v>876</v>
      </c>
      <c r="C379" s="61" t="s">
        <v>176</v>
      </c>
      <c r="D379" s="61"/>
      <c r="E379" s="61" t="s">
        <v>141</v>
      </c>
      <c r="F379" s="61" t="s">
        <v>877</v>
      </c>
      <c r="G379" s="74">
        <v>101065</v>
      </c>
      <c r="H379" s="80">
        <v>16822</v>
      </c>
      <c r="I379" s="63"/>
      <c r="J379" s="63"/>
      <c r="K379" s="63"/>
      <c r="L379" s="63"/>
      <c r="M379" s="68"/>
      <c r="N379" s="63"/>
      <c r="O379" s="68">
        <v>91065</v>
      </c>
      <c r="P379" s="63">
        <f>H379</f>
        <v>16822</v>
      </c>
      <c r="Q379" s="54">
        <f>T379-N379</f>
        <v>16822</v>
      </c>
      <c r="R379" s="54"/>
      <c r="S379" s="68">
        <v>91065</v>
      </c>
      <c r="T379" s="63">
        <v>16822</v>
      </c>
      <c r="U379" s="5"/>
      <c r="V379" s="5"/>
      <c r="W379" s="5"/>
      <c r="X379" s="5"/>
      <c r="Y379" s="5"/>
      <c r="Z379" s="5"/>
      <c r="AA379" s="63">
        <f t="shared" si="448"/>
        <v>0</v>
      </c>
      <c r="AB379" s="63">
        <f t="shared" si="448"/>
        <v>0</v>
      </c>
      <c r="AC379" s="63">
        <f t="shared" si="464"/>
        <v>91065</v>
      </c>
      <c r="AD379" s="63">
        <f t="shared" si="464"/>
        <v>16822</v>
      </c>
      <c r="AE379" s="63">
        <f t="shared" si="450"/>
        <v>16822</v>
      </c>
      <c r="AF379" s="63">
        <f t="shared" si="451"/>
        <v>16822</v>
      </c>
      <c r="AG379" s="5"/>
      <c r="AH379" s="5"/>
      <c r="AI379" s="25" t="s">
        <v>878</v>
      </c>
      <c r="AJ379" s="19">
        <f t="shared" si="462"/>
        <v>1</v>
      </c>
      <c r="AK379" s="22">
        <f t="shared" si="466"/>
        <v>1</v>
      </c>
      <c r="AL379" s="22"/>
      <c r="AM379" s="12">
        <f t="shared" si="452"/>
        <v>0</v>
      </c>
      <c r="AO379" s="12">
        <f t="shared" si="453"/>
        <v>0</v>
      </c>
      <c r="AP379" s="12">
        <f t="shared" si="436"/>
        <v>0</v>
      </c>
      <c r="AQ379" s="12">
        <f t="shared" si="454"/>
        <v>1</v>
      </c>
      <c r="AR379" s="12">
        <f t="shared" si="461"/>
        <v>16822</v>
      </c>
      <c r="AU379" s="12">
        <f t="shared" si="465"/>
        <v>0</v>
      </c>
      <c r="AV379" s="12">
        <f t="shared" si="438"/>
        <v>0</v>
      </c>
    </row>
    <row r="380" spans="1:48" ht="16.5" x14ac:dyDescent="0.25">
      <c r="A380" s="23" t="s">
        <v>879</v>
      </c>
      <c r="B380" s="24" t="s">
        <v>880</v>
      </c>
      <c r="C380" s="25"/>
      <c r="D380" s="25"/>
      <c r="E380" s="25"/>
      <c r="F380" s="25"/>
      <c r="G380" s="26"/>
      <c r="H380" s="26"/>
      <c r="I380" s="26"/>
      <c r="J380" s="26"/>
      <c r="K380" s="26"/>
      <c r="L380" s="26"/>
      <c r="M380" s="26">
        <f>N380</f>
        <v>652000</v>
      </c>
      <c r="N380" s="26">
        <v>652000</v>
      </c>
      <c r="O380" s="26"/>
      <c r="P380" s="26">
        <v>41270</v>
      </c>
      <c r="Q380" s="26"/>
      <c r="R380" s="26">
        <f>N380-T380</f>
        <v>413889</v>
      </c>
      <c r="S380" s="26"/>
      <c r="T380" s="26">
        <f>87202+150909</f>
        <v>238111</v>
      </c>
      <c r="U380" s="5"/>
      <c r="V380" s="5"/>
      <c r="W380" s="5"/>
      <c r="X380" s="5"/>
      <c r="Y380" s="5"/>
      <c r="Z380" s="5"/>
      <c r="AA380" s="5"/>
      <c r="AB380" s="5"/>
      <c r="AC380" s="5"/>
      <c r="AD380" s="5"/>
      <c r="AE380" s="5"/>
      <c r="AF380" s="5"/>
      <c r="AG380" s="5"/>
      <c r="AH380" s="5"/>
      <c r="AI380" s="25"/>
      <c r="AJ380" s="19">
        <f t="shared" si="462"/>
        <v>1</v>
      </c>
      <c r="AK380" s="22"/>
      <c r="AL380" s="22"/>
    </row>
    <row r="381" spans="1:48" ht="16.5" x14ac:dyDescent="0.25">
      <c r="A381" s="23"/>
      <c r="B381" s="24"/>
      <c r="C381" s="25"/>
      <c r="D381" s="25"/>
      <c r="E381" s="25"/>
      <c r="F381" s="25"/>
      <c r="G381" s="26"/>
      <c r="H381" s="26"/>
      <c r="I381" s="26"/>
      <c r="J381" s="26"/>
      <c r="K381" s="26"/>
      <c r="L381" s="26"/>
      <c r="M381" s="26"/>
      <c r="N381" s="26"/>
      <c r="O381" s="26"/>
      <c r="P381" s="26"/>
      <c r="Q381" s="26"/>
      <c r="R381" s="26"/>
      <c r="S381" s="26"/>
      <c r="T381" s="26"/>
      <c r="U381" s="5"/>
      <c r="V381" s="5"/>
      <c r="W381" s="5"/>
      <c r="X381" s="5"/>
      <c r="Y381" s="5"/>
      <c r="Z381" s="5"/>
      <c r="AA381" s="5"/>
      <c r="AB381" s="5"/>
      <c r="AC381" s="5"/>
      <c r="AD381" s="5"/>
      <c r="AE381" s="5"/>
      <c r="AF381" s="5"/>
      <c r="AG381" s="5"/>
      <c r="AH381" s="5"/>
      <c r="AI381" s="25"/>
      <c r="AJ381" s="19">
        <f t="shared" si="462"/>
        <v>0</v>
      </c>
      <c r="AK381" s="22"/>
      <c r="AL381" s="22"/>
    </row>
    <row r="382" spans="1:48" ht="16.5" x14ac:dyDescent="0.25">
      <c r="A382" s="133"/>
      <c r="B382" s="134"/>
      <c r="C382" s="135"/>
      <c r="D382" s="135"/>
      <c r="E382" s="135"/>
      <c r="F382" s="135"/>
      <c r="G382" s="136"/>
      <c r="H382" s="136"/>
      <c r="I382" s="137"/>
      <c r="J382" s="137"/>
      <c r="K382" s="137"/>
      <c r="L382" s="137"/>
      <c r="M382" s="137"/>
      <c r="N382" s="137"/>
      <c r="O382" s="137"/>
      <c r="P382" s="137"/>
      <c r="Q382" s="138"/>
      <c r="R382" s="138"/>
      <c r="S382" s="137"/>
      <c r="T382" s="137"/>
      <c r="U382" s="139"/>
      <c r="V382" s="140"/>
      <c r="W382" s="140"/>
      <c r="X382" s="140"/>
      <c r="Y382" s="140"/>
      <c r="Z382" s="140"/>
      <c r="AA382" s="140"/>
      <c r="AB382" s="140"/>
      <c r="AC382" s="140"/>
      <c r="AD382" s="140"/>
      <c r="AE382" s="140"/>
      <c r="AF382" s="140"/>
      <c r="AG382" s="140"/>
      <c r="AH382" s="140"/>
      <c r="AI382" s="136"/>
      <c r="AJ382" s="19">
        <v>1</v>
      </c>
    </row>
    <row r="383" spans="1:48" ht="18.75" x14ac:dyDescent="0.25">
      <c r="AK383" s="142">
        <f>SUM(AK18:AK382)</f>
        <v>101</v>
      </c>
      <c r="AL383" s="142"/>
      <c r="AM383" s="142">
        <f>SUM(AM18:AM382)</f>
        <v>944691</v>
      </c>
      <c r="AN383" s="142"/>
      <c r="AO383" s="142">
        <f t="shared" ref="AO383:AV383" si="467">SUM(AO18:AO382)</f>
        <v>24</v>
      </c>
      <c r="AP383" s="142">
        <f t="shared" si="467"/>
        <v>235340</v>
      </c>
      <c r="AQ383" s="142">
        <f t="shared" si="467"/>
        <v>20</v>
      </c>
      <c r="AR383" s="142">
        <f t="shared" si="467"/>
        <v>222322</v>
      </c>
      <c r="AS383" s="142">
        <f t="shared" si="467"/>
        <v>29</v>
      </c>
      <c r="AT383" s="142">
        <f t="shared" si="467"/>
        <v>1176706</v>
      </c>
      <c r="AU383" s="142">
        <f t="shared" si="467"/>
        <v>31</v>
      </c>
      <c r="AV383" s="142">
        <f t="shared" si="467"/>
        <v>203190.39999999999</v>
      </c>
    </row>
    <row r="384" spans="1:48" x14ac:dyDescent="0.25">
      <c r="O384" s="143"/>
      <c r="P384" s="143"/>
      <c r="Q384" s="144"/>
      <c r="R384" s="144"/>
      <c r="S384" s="143"/>
      <c r="T384" s="143"/>
      <c r="AU384" s="22"/>
    </row>
    <row r="385" spans="15:48" ht="18.75" x14ac:dyDescent="0.25">
      <c r="O385" s="143"/>
      <c r="S385" s="143"/>
      <c r="AI385" s="1945" t="s">
        <v>882</v>
      </c>
      <c r="AJ385" s="10" t="s">
        <v>883</v>
      </c>
      <c r="AK385" s="747"/>
      <c r="AL385" s="747"/>
      <c r="AM385" s="747"/>
      <c r="AN385" s="747"/>
      <c r="AO385" s="747"/>
      <c r="AP385" s="145">
        <f>AP383+AV383</f>
        <v>438530.4</v>
      </c>
      <c r="AQ385" s="747"/>
      <c r="AR385" s="145"/>
      <c r="AS385" s="747" t="s">
        <v>884</v>
      </c>
      <c r="AT385" s="747"/>
      <c r="AU385" s="145">
        <v>155000</v>
      </c>
      <c r="AV385" s="747" t="s">
        <v>885</v>
      </c>
    </row>
    <row r="386" spans="15:48" ht="18.75" x14ac:dyDescent="0.25">
      <c r="AI386" s="1945"/>
      <c r="AJ386" s="10" t="s">
        <v>886</v>
      </c>
      <c r="AK386" s="747"/>
      <c r="AL386" s="747"/>
      <c r="AM386" s="747"/>
      <c r="AN386" s="747"/>
      <c r="AO386" s="747"/>
      <c r="AP386" s="145">
        <f>AR383+AT383</f>
        <v>1399028</v>
      </c>
      <c r="AQ386" s="747"/>
      <c r="AR386" s="747"/>
      <c r="AS386" s="747"/>
      <c r="AT386" s="747"/>
      <c r="AU386" s="145">
        <v>579440</v>
      </c>
      <c r="AV386" s="747" t="s">
        <v>887</v>
      </c>
    </row>
    <row r="387" spans="15:48" ht="18.75" x14ac:dyDescent="0.25">
      <c r="AI387" s="1945"/>
      <c r="AJ387" s="10" t="s">
        <v>888</v>
      </c>
      <c r="AK387" s="747"/>
      <c r="AL387" s="747"/>
      <c r="AM387" s="747"/>
      <c r="AN387" s="747"/>
      <c r="AO387" s="747"/>
      <c r="AP387" s="145">
        <f>AP386-AP385</f>
        <v>960497.6</v>
      </c>
      <c r="AQ387" s="747"/>
      <c r="AR387" s="747"/>
      <c r="AS387" s="747"/>
      <c r="AT387" s="747"/>
      <c r="AU387" s="146">
        <f>SUM(AU385:AU386)</f>
        <v>734440</v>
      </c>
      <c r="AV387" s="145" t="s">
        <v>889</v>
      </c>
    </row>
    <row r="388" spans="15:48" ht="18.75" x14ac:dyDescent="0.3">
      <c r="AI388" s="147" t="s">
        <v>890</v>
      </c>
      <c r="AJ388" s="747"/>
      <c r="AK388" s="747"/>
      <c r="AL388" s="747"/>
      <c r="AM388" s="747"/>
      <c r="AN388" s="747"/>
      <c r="AO388" s="747"/>
      <c r="AP388" s="145">
        <v>5000</v>
      </c>
      <c r="AQ388" s="747"/>
      <c r="AR388" s="747"/>
      <c r="AS388" s="747"/>
      <c r="AT388" s="747"/>
      <c r="AU388" s="145"/>
      <c r="AV388" s="747"/>
    </row>
    <row r="389" spans="15:48" ht="18.75" x14ac:dyDescent="0.3">
      <c r="AI389" s="148"/>
      <c r="AJ389" s="747"/>
      <c r="AK389" s="747"/>
      <c r="AL389" s="747"/>
      <c r="AM389" s="747"/>
      <c r="AN389" s="747"/>
      <c r="AO389" s="145"/>
      <c r="AP389" s="146">
        <f>AP388+AP387</f>
        <v>965497.6</v>
      </c>
      <c r="AQ389" s="747"/>
      <c r="AR389" s="747"/>
      <c r="AS389" s="747"/>
      <c r="AT389" s="747"/>
      <c r="AU389" s="145"/>
      <c r="AV389" s="747"/>
    </row>
    <row r="390" spans="15:48" ht="18.75" x14ac:dyDescent="0.3">
      <c r="Q390" s="144"/>
      <c r="AI390" s="148"/>
      <c r="AJ390" s="747"/>
      <c r="AK390" s="747"/>
      <c r="AL390" s="747"/>
      <c r="AM390" s="747"/>
      <c r="AN390" s="747"/>
      <c r="AO390" s="747"/>
      <c r="AP390" s="747"/>
      <c r="AQ390" s="747"/>
      <c r="AR390" s="747"/>
      <c r="AS390" s="747"/>
      <c r="AT390" s="747"/>
      <c r="AU390" s="747"/>
      <c r="AV390" s="747"/>
    </row>
    <row r="391" spans="15:48" ht="18.75" x14ac:dyDescent="0.3">
      <c r="Q391" s="144"/>
      <c r="AI391" s="148"/>
      <c r="AJ391" s="747"/>
      <c r="AK391" s="747"/>
      <c r="AL391" s="747"/>
      <c r="AM391" s="747"/>
      <c r="AN391" s="747"/>
      <c r="AO391" s="747"/>
      <c r="AP391" s="145">
        <f>AP385+AP389</f>
        <v>1404028</v>
      </c>
      <c r="AQ391" s="747"/>
      <c r="AR391" s="747"/>
      <c r="AS391" s="747"/>
      <c r="AT391" s="747"/>
      <c r="AU391" s="747"/>
      <c r="AV391" s="747"/>
    </row>
    <row r="394" spans="15:48" x14ac:dyDescent="0.25">
      <c r="AP394" s="22"/>
    </row>
    <row r="395" spans="15:48" x14ac:dyDescent="0.25">
      <c r="AP395" s="22"/>
    </row>
  </sheetData>
  <autoFilter ref="AJ17:AJ388"/>
  <mergeCells count="75">
    <mergeCell ref="AI231:AI234"/>
    <mergeCell ref="AI385:AI387"/>
    <mergeCell ref="AC14:AC16"/>
    <mergeCell ref="AD14:AD16"/>
    <mergeCell ref="AE14:AE16"/>
    <mergeCell ref="AF14:AF16"/>
    <mergeCell ref="AG14:AG16"/>
    <mergeCell ref="AH14:AH16"/>
    <mergeCell ref="X14:X16"/>
    <mergeCell ref="M14:M16"/>
    <mergeCell ref="N14:N16"/>
    <mergeCell ref="O14:O16"/>
    <mergeCell ref="P14:P16"/>
    <mergeCell ref="Q14:Q16"/>
    <mergeCell ref="R14:R16"/>
    <mergeCell ref="S14:S16"/>
    <mergeCell ref="T14:T16"/>
    <mergeCell ref="U14:U16"/>
    <mergeCell ref="V14:V16"/>
    <mergeCell ref="W14:W16"/>
    <mergeCell ref="F14:F16"/>
    <mergeCell ref="G14:H14"/>
    <mergeCell ref="I14:I16"/>
    <mergeCell ref="J14:J16"/>
    <mergeCell ref="K14:K16"/>
    <mergeCell ref="L14:L16"/>
    <mergeCell ref="G15:G16"/>
    <mergeCell ref="H15:H16"/>
    <mergeCell ref="AU12:AV12"/>
    <mergeCell ref="AO13:AO16"/>
    <mergeCell ref="AP13:AP16"/>
    <mergeCell ref="AQ13:AQ16"/>
    <mergeCell ref="AR13:AR16"/>
    <mergeCell ref="AS13:AS16"/>
    <mergeCell ref="AT13:AT16"/>
    <mergeCell ref="AU13:AU16"/>
    <mergeCell ref="AV13:AV16"/>
    <mergeCell ref="AJ12:AJ16"/>
    <mergeCell ref="AK12:AK16"/>
    <mergeCell ref="AM12:AM16"/>
    <mergeCell ref="AO12:AP12"/>
    <mergeCell ref="AQ12:AR12"/>
    <mergeCell ref="AS12:AT12"/>
    <mergeCell ref="Y12:Z13"/>
    <mergeCell ref="AA12:AB13"/>
    <mergeCell ref="AC12:AD13"/>
    <mergeCell ref="AE12:AF13"/>
    <mergeCell ref="AG12:AH13"/>
    <mergeCell ref="AI12:AI16"/>
    <mergeCell ref="Y14:Y16"/>
    <mergeCell ref="Z14:Z16"/>
    <mergeCell ref="AA14:AA16"/>
    <mergeCell ref="AB14:AB16"/>
    <mergeCell ref="W12:X13"/>
    <mergeCell ref="A7:AI7"/>
    <mergeCell ref="A11:AI11"/>
    <mergeCell ref="A12:A16"/>
    <mergeCell ref="B12:B16"/>
    <mergeCell ref="C12:C16"/>
    <mergeCell ref="D12:D16"/>
    <mergeCell ref="E12:E16"/>
    <mergeCell ref="F12:H13"/>
    <mergeCell ref="I12:J13"/>
    <mergeCell ref="K12:L13"/>
    <mergeCell ref="M12:N13"/>
    <mergeCell ref="O12:P13"/>
    <mergeCell ref="Q12:R13"/>
    <mergeCell ref="S12:T13"/>
    <mergeCell ref="U12:V13"/>
    <mergeCell ref="A6:AI6"/>
    <mergeCell ref="A1:AI1"/>
    <mergeCell ref="A2:AI2"/>
    <mergeCell ref="A3:AI3"/>
    <mergeCell ref="A4:AI4"/>
    <mergeCell ref="A5:AI5"/>
  </mergeCells>
  <pageMargins left="0.5" right="0.32" top="0.57999999999999996" bottom="0.39370078740157483" header="0.31496062992125984" footer="0.19685039370078741"/>
  <pageSetup paperSize="9" scale="50" fitToHeight="0" orientation="landscape" r:id="rId1"/>
  <headerFooter differentFirst="1">
    <oddHeader>&amp;C&amp;"Times New Roman,Regular"&amp;14&amp;P</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XEX686"/>
  <sheetViews>
    <sheetView topLeftCell="C8" zoomScale="73" zoomScaleNormal="73" workbookViewId="0">
      <selection activeCell="AA226" sqref="AA226"/>
    </sheetView>
  </sheetViews>
  <sheetFormatPr defaultColWidth="9.140625" defaultRowHeight="15" x14ac:dyDescent="0.25"/>
  <cols>
    <col min="1" max="1" width="10.28515625" style="1904" customWidth="1"/>
    <col min="2" max="2" width="9.85546875" style="1904" hidden="1" customWidth="1"/>
    <col min="3" max="3" width="32.7109375" style="1904" customWidth="1"/>
    <col min="4" max="4" width="11.42578125" style="1913" customWidth="1"/>
    <col min="5" max="5" width="26.7109375" style="1904" customWidth="1"/>
    <col min="6" max="6" width="13.7109375" style="1904" customWidth="1"/>
    <col min="7" max="7" width="18.7109375" style="1904" customWidth="1"/>
    <col min="8" max="9" width="13.7109375" style="1904" customWidth="1"/>
    <col min="10" max="15" width="13.7109375" style="1904" hidden="1" customWidth="1"/>
    <col min="16" max="17" width="13.7109375" style="1907" hidden="1" customWidth="1"/>
    <col min="18" max="18" width="12.85546875" style="1904" hidden="1" customWidth="1"/>
    <col min="19" max="19" width="13.140625" style="1904" hidden="1" customWidth="1"/>
    <col min="20" max="20" width="16.5703125" style="1364" hidden="1" customWidth="1"/>
    <col min="21" max="21" width="16.140625" style="1364" hidden="1" customWidth="1"/>
    <col min="22" max="22" width="13.5703125" style="1904" hidden="1" customWidth="1"/>
    <col min="23" max="23" width="15.140625" style="1904" hidden="1" customWidth="1"/>
    <col min="24" max="24" width="16.5703125" style="1364" hidden="1" customWidth="1"/>
    <col min="25" max="25" width="16.140625" style="1364" hidden="1" customWidth="1"/>
    <col min="26" max="26" width="13.42578125" style="1904" customWidth="1"/>
    <col min="27" max="27" width="14" style="1904" customWidth="1"/>
    <col min="28" max="28" width="15.140625" style="1904" customWidth="1"/>
    <col min="29" max="29" width="15.85546875" style="1904" customWidth="1"/>
    <col min="30" max="30" width="14.7109375" style="1904" customWidth="1"/>
    <col min="31" max="31" width="14.28515625" style="1904" customWidth="1"/>
    <col min="32" max="32" width="15" style="1904" customWidth="1"/>
    <col min="33" max="34" width="9.140625" style="1904"/>
    <col min="35" max="35" width="10.5703125" style="1904" bestFit="1" customWidth="1"/>
    <col min="36" max="36" width="11.140625" style="1904" bestFit="1" customWidth="1"/>
    <col min="37" max="37" width="12" style="1904" bestFit="1" customWidth="1"/>
    <col min="38" max="16384" width="9.140625" style="1904"/>
  </cols>
  <sheetData>
    <row r="1" spans="1:38" ht="25.5" customHeight="1" x14ac:dyDescent="0.25">
      <c r="A1" s="2023" t="s">
        <v>1880</v>
      </c>
      <c r="B1" s="1928"/>
      <c r="C1" s="2023"/>
      <c r="D1" s="2023"/>
      <c r="E1" s="2023"/>
      <c r="F1" s="2023"/>
      <c r="G1" s="2023"/>
      <c r="H1" s="2023"/>
      <c r="I1" s="2023"/>
      <c r="J1" s="2023"/>
      <c r="K1" s="2023"/>
      <c r="L1" s="2023"/>
      <c r="M1" s="2023"/>
      <c r="N1" s="1928"/>
      <c r="O1" s="1928"/>
      <c r="P1" s="1928"/>
      <c r="Q1" s="1928"/>
      <c r="R1" s="1928"/>
      <c r="S1" s="1928"/>
      <c r="T1" s="2023"/>
      <c r="U1" s="2023"/>
      <c r="V1" s="2023"/>
      <c r="W1" s="2023"/>
      <c r="X1" s="2023"/>
      <c r="Y1" s="2023"/>
      <c r="Z1" s="2023"/>
      <c r="AA1" s="2023"/>
      <c r="AB1" s="2023"/>
      <c r="AC1" s="2023"/>
      <c r="AD1" s="2023"/>
      <c r="AE1" s="2023"/>
      <c r="AF1" s="2023"/>
    </row>
    <row r="2" spans="1:38" s="1905" customFormat="1" ht="57.75" customHeight="1" x14ac:dyDescent="0.25">
      <c r="A2" s="2045" t="s">
        <v>3480</v>
      </c>
      <c r="B2" s="2045"/>
      <c r="C2" s="2045"/>
      <c r="D2" s="2045"/>
      <c r="E2" s="2045"/>
      <c r="F2" s="2045"/>
      <c r="G2" s="2045"/>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row>
    <row r="3" spans="1:38" s="1858" customFormat="1" ht="36" hidden="1" customHeight="1" x14ac:dyDescent="0.25">
      <c r="A3" s="2046" t="s">
        <v>2773</v>
      </c>
      <c r="B3" s="2046"/>
      <c r="C3" s="2046"/>
      <c r="D3" s="2046"/>
      <c r="E3" s="2046"/>
      <c r="F3" s="2046"/>
      <c r="G3" s="2046"/>
      <c r="H3" s="2046"/>
      <c r="I3" s="2046"/>
      <c r="J3" s="2046"/>
      <c r="K3" s="2046"/>
      <c r="L3" s="2046"/>
      <c r="M3" s="2046"/>
      <c r="N3" s="2046"/>
      <c r="O3" s="2046"/>
      <c r="P3" s="2046"/>
      <c r="Q3" s="2046"/>
      <c r="R3" s="2046"/>
      <c r="S3" s="2046"/>
      <c r="T3" s="2046"/>
      <c r="U3" s="2046"/>
      <c r="V3" s="2046"/>
      <c r="W3" s="2046"/>
      <c r="X3" s="2046"/>
      <c r="Y3" s="2046"/>
      <c r="Z3" s="2046"/>
      <c r="AA3" s="2046"/>
      <c r="AB3" s="2046"/>
      <c r="AC3" s="2046"/>
      <c r="AD3" s="2046"/>
      <c r="AE3" s="2046"/>
      <c r="AF3" s="2046"/>
    </row>
    <row r="4" spans="1:38" s="1906" customFormat="1" ht="33.75" customHeight="1" x14ac:dyDescent="0.25">
      <c r="A4" s="2022" t="s">
        <v>3474</v>
      </c>
      <c r="B4" s="2022"/>
      <c r="C4" s="2022"/>
      <c r="D4" s="2022"/>
      <c r="E4" s="2022"/>
      <c r="F4" s="2022"/>
      <c r="G4" s="2022"/>
      <c r="H4" s="2022"/>
      <c r="I4" s="2022"/>
      <c r="J4" s="2022"/>
      <c r="K4" s="2022"/>
      <c r="L4" s="2022"/>
      <c r="M4" s="2022"/>
      <c r="N4" s="2022"/>
      <c r="O4" s="2022"/>
      <c r="P4" s="2022"/>
      <c r="Q4" s="2022"/>
      <c r="R4" s="2022"/>
      <c r="S4" s="2022"/>
      <c r="T4" s="2022"/>
      <c r="U4" s="2022"/>
      <c r="V4" s="2022"/>
      <c r="W4" s="2022"/>
      <c r="X4" s="2022"/>
      <c r="Y4" s="2022"/>
      <c r="Z4" s="2022"/>
      <c r="AA4" s="2022"/>
      <c r="AB4" s="2022"/>
      <c r="AC4" s="2022"/>
      <c r="AD4" s="2022"/>
      <c r="AE4" s="2022"/>
      <c r="AF4" s="2022"/>
    </row>
    <row r="5" spans="1:38" ht="30" hidden="1" customHeight="1" x14ac:dyDescent="0.25">
      <c r="A5" s="1927" t="s">
        <v>1877</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row>
    <row r="6" spans="1:38" ht="29.25" hidden="1" customHeight="1" x14ac:dyDescent="0.25">
      <c r="A6" s="1927" t="s">
        <v>1876</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row>
    <row r="7" spans="1:38" ht="24.75" hidden="1" customHeight="1" x14ac:dyDescent="0.25">
      <c r="A7" s="1927" t="s">
        <v>2544</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row>
    <row r="8" spans="1:38" ht="20.25" customHeight="1" x14ac:dyDescent="0.25">
      <c r="A8" s="1878"/>
      <c r="B8" s="1878"/>
      <c r="C8" s="1878"/>
      <c r="D8" s="1878"/>
      <c r="E8" s="1878"/>
      <c r="F8" s="1878"/>
      <c r="G8" s="1878"/>
      <c r="H8" s="1878"/>
      <c r="I8" s="1878"/>
      <c r="J8" s="1878"/>
      <c r="K8" s="1878"/>
      <c r="L8" s="1878"/>
      <c r="M8" s="1878"/>
      <c r="N8" s="1878"/>
      <c r="O8" s="1878"/>
      <c r="P8" s="1006" t="s">
        <v>1875</v>
      </c>
      <c r="Q8" s="1006"/>
      <c r="R8" s="1007"/>
      <c r="S8" s="1007"/>
      <c r="T8" s="1008" t="s">
        <v>1875</v>
      </c>
      <c r="U8" s="1008"/>
      <c r="V8" s="1007"/>
      <c r="W8" s="1007"/>
      <c r="X8" s="1008" t="s">
        <v>1875</v>
      </c>
      <c r="Y8" s="1008"/>
      <c r="Z8" s="1007"/>
      <c r="AA8" s="1007"/>
      <c r="AB8" s="1007"/>
      <c r="AC8" s="1007"/>
      <c r="AD8" s="1007"/>
      <c r="AE8" s="1007"/>
      <c r="AF8" s="1878">
        <f>AC20+AB326</f>
        <v>-8738</v>
      </c>
    </row>
    <row r="9" spans="1:38" ht="20.25" x14ac:dyDescent="0.25">
      <c r="A9" s="2026" t="s">
        <v>6</v>
      </c>
      <c r="B9" s="2042"/>
      <c r="C9" s="2026"/>
      <c r="D9" s="2026"/>
      <c r="E9" s="2026"/>
      <c r="F9" s="2026"/>
      <c r="G9" s="2026"/>
      <c r="H9" s="2026"/>
      <c r="I9" s="2026"/>
      <c r="J9" s="2026"/>
      <c r="K9" s="2026"/>
      <c r="L9" s="2026"/>
      <c r="M9" s="2026"/>
      <c r="N9" s="2042"/>
      <c r="O9" s="2042"/>
      <c r="P9" s="2042"/>
      <c r="Q9" s="2042"/>
      <c r="R9" s="2042"/>
      <c r="S9" s="2042"/>
      <c r="T9" s="2026"/>
      <c r="U9" s="2026"/>
      <c r="V9" s="2026"/>
      <c r="W9" s="2026"/>
      <c r="X9" s="2026"/>
      <c r="Y9" s="2026"/>
      <c r="Z9" s="2026"/>
      <c r="AA9" s="2026"/>
      <c r="AB9" s="2026"/>
      <c r="AC9" s="2026"/>
      <c r="AD9" s="2026"/>
      <c r="AE9" s="2026"/>
      <c r="AF9" s="2026"/>
    </row>
    <row r="10" spans="1:38" ht="32.25" customHeight="1" x14ac:dyDescent="0.25">
      <c r="A10" s="2043" t="s">
        <v>7</v>
      </c>
      <c r="B10" s="2043" t="s">
        <v>2490</v>
      </c>
      <c r="C10" s="2043" t="s">
        <v>8</v>
      </c>
      <c r="D10" s="2043" t="s">
        <v>9</v>
      </c>
      <c r="E10" s="2043" t="s">
        <v>10</v>
      </c>
      <c r="F10" s="2043" t="s">
        <v>11</v>
      </c>
      <c r="G10" s="2043" t="s">
        <v>12</v>
      </c>
      <c r="H10" s="2043"/>
      <c r="I10" s="2043"/>
      <c r="J10" s="2043" t="s">
        <v>891</v>
      </c>
      <c r="K10" s="2043"/>
      <c r="L10" s="2043" t="s">
        <v>13</v>
      </c>
      <c r="M10" s="2043"/>
      <c r="N10" s="2043" t="s">
        <v>14</v>
      </c>
      <c r="O10" s="2043"/>
      <c r="P10" s="2043" t="s">
        <v>907</v>
      </c>
      <c r="Q10" s="2043"/>
      <c r="R10" s="2044" t="s">
        <v>2156</v>
      </c>
      <c r="S10" s="2044"/>
      <c r="T10" s="2043" t="s">
        <v>2539</v>
      </c>
      <c r="U10" s="2043"/>
      <c r="V10" s="2048" t="s">
        <v>2538</v>
      </c>
      <c r="W10" s="2048"/>
      <c r="X10" s="2043" t="s">
        <v>2720</v>
      </c>
      <c r="Y10" s="2043"/>
      <c r="Z10" s="2043" t="s">
        <v>2642</v>
      </c>
      <c r="AA10" s="2043"/>
      <c r="AB10" s="2043" t="s">
        <v>2739</v>
      </c>
      <c r="AC10" s="2043"/>
      <c r="AD10" s="2030" t="s">
        <v>3475</v>
      </c>
      <c r="AE10" s="2030"/>
      <c r="AF10" s="2043" t="s">
        <v>1870</v>
      </c>
      <c r="AI10" s="1934" t="s">
        <v>2545</v>
      </c>
    </row>
    <row r="11" spans="1:38" ht="60.75" customHeight="1" x14ac:dyDescent="0.25">
      <c r="A11" s="2043"/>
      <c r="B11" s="2043"/>
      <c r="C11" s="2043"/>
      <c r="D11" s="2043"/>
      <c r="E11" s="2043"/>
      <c r="F11" s="2043"/>
      <c r="G11" s="2043"/>
      <c r="H11" s="2043"/>
      <c r="I11" s="2043"/>
      <c r="J11" s="2043"/>
      <c r="K11" s="2043"/>
      <c r="L11" s="2043"/>
      <c r="M11" s="2043"/>
      <c r="N11" s="2043"/>
      <c r="O11" s="2043"/>
      <c r="P11" s="2043"/>
      <c r="Q11" s="2043"/>
      <c r="R11" s="2044"/>
      <c r="S11" s="2044"/>
      <c r="T11" s="2043"/>
      <c r="U11" s="2043"/>
      <c r="V11" s="2048"/>
      <c r="W11" s="2048"/>
      <c r="X11" s="2043"/>
      <c r="Y11" s="2043"/>
      <c r="Z11" s="2043"/>
      <c r="AA11" s="2043"/>
      <c r="AB11" s="2043"/>
      <c r="AC11" s="2043"/>
      <c r="AD11" s="2030"/>
      <c r="AE11" s="2030"/>
      <c r="AF11" s="2043"/>
      <c r="AG11" s="1907">
        <f>AB16+AC16</f>
        <v>0</v>
      </c>
      <c r="AI11" s="1935"/>
    </row>
    <row r="12" spans="1:38" ht="24" customHeight="1" x14ac:dyDescent="0.25">
      <c r="A12" s="2043"/>
      <c r="B12" s="2043"/>
      <c r="C12" s="2043"/>
      <c r="D12" s="2043"/>
      <c r="E12" s="2043"/>
      <c r="F12" s="2043"/>
      <c r="G12" s="2043" t="s">
        <v>32</v>
      </c>
      <c r="H12" s="2043" t="s">
        <v>1869</v>
      </c>
      <c r="I12" s="2043"/>
      <c r="J12" s="2043" t="s">
        <v>34</v>
      </c>
      <c r="K12" s="2043" t="s">
        <v>35</v>
      </c>
      <c r="L12" s="2043" t="s">
        <v>34</v>
      </c>
      <c r="M12" s="2043" t="s">
        <v>35</v>
      </c>
      <c r="N12" s="2043" t="s">
        <v>34</v>
      </c>
      <c r="O12" s="2043" t="s">
        <v>35</v>
      </c>
      <c r="P12" s="2043" t="s">
        <v>34</v>
      </c>
      <c r="Q12" s="2043" t="s">
        <v>35</v>
      </c>
      <c r="R12" s="2044" t="s">
        <v>36</v>
      </c>
      <c r="S12" s="2044" t="s">
        <v>37</v>
      </c>
      <c r="T12" s="2047" t="s">
        <v>34</v>
      </c>
      <c r="U12" s="2047" t="s">
        <v>35</v>
      </c>
      <c r="V12" s="2044" t="s">
        <v>36</v>
      </c>
      <c r="W12" s="2044" t="s">
        <v>37</v>
      </c>
      <c r="X12" s="2047" t="s">
        <v>34</v>
      </c>
      <c r="Y12" s="2047" t="s">
        <v>35</v>
      </c>
      <c r="Z12" s="2047" t="s">
        <v>34</v>
      </c>
      <c r="AA12" s="2047" t="s">
        <v>35</v>
      </c>
      <c r="AB12" s="2031" t="s">
        <v>36</v>
      </c>
      <c r="AC12" s="2031" t="s">
        <v>37</v>
      </c>
      <c r="AD12" s="2030" t="s">
        <v>34</v>
      </c>
      <c r="AE12" s="2030" t="s">
        <v>35</v>
      </c>
      <c r="AF12" s="2043"/>
      <c r="AI12" s="1935"/>
    </row>
    <row r="13" spans="1:38" ht="24.75" customHeight="1" x14ac:dyDescent="0.25">
      <c r="A13" s="2043"/>
      <c r="B13" s="2043"/>
      <c r="C13" s="2043"/>
      <c r="D13" s="2043"/>
      <c r="E13" s="2043"/>
      <c r="F13" s="2043"/>
      <c r="G13" s="2043"/>
      <c r="H13" s="2043" t="s">
        <v>34</v>
      </c>
      <c r="I13" s="2043" t="s">
        <v>2368</v>
      </c>
      <c r="J13" s="2043"/>
      <c r="K13" s="2043"/>
      <c r="L13" s="2043"/>
      <c r="M13" s="2043"/>
      <c r="N13" s="2043"/>
      <c r="O13" s="2043"/>
      <c r="P13" s="2043"/>
      <c r="Q13" s="2043"/>
      <c r="R13" s="2044"/>
      <c r="S13" s="2044"/>
      <c r="T13" s="2047"/>
      <c r="U13" s="2047"/>
      <c r="V13" s="2044"/>
      <c r="W13" s="2044"/>
      <c r="X13" s="2047"/>
      <c r="Y13" s="2047"/>
      <c r="Z13" s="2047"/>
      <c r="AA13" s="2047"/>
      <c r="AB13" s="2031"/>
      <c r="AC13" s="2031"/>
      <c r="AD13" s="2030"/>
      <c r="AE13" s="2030"/>
      <c r="AF13" s="2043"/>
      <c r="AI13" s="1935"/>
    </row>
    <row r="14" spans="1:38" ht="30.75" customHeight="1" x14ac:dyDescent="0.25">
      <c r="A14" s="2043"/>
      <c r="B14" s="2043"/>
      <c r="C14" s="2043"/>
      <c r="D14" s="2043"/>
      <c r="E14" s="2043"/>
      <c r="F14" s="2043"/>
      <c r="G14" s="2043"/>
      <c r="H14" s="2043"/>
      <c r="I14" s="2043"/>
      <c r="J14" s="2043"/>
      <c r="K14" s="2043"/>
      <c r="L14" s="2043"/>
      <c r="M14" s="2043"/>
      <c r="N14" s="2043"/>
      <c r="O14" s="2043"/>
      <c r="P14" s="2043"/>
      <c r="Q14" s="2043"/>
      <c r="R14" s="2044"/>
      <c r="S14" s="2044"/>
      <c r="T14" s="2047"/>
      <c r="U14" s="2047"/>
      <c r="V14" s="2044"/>
      <c r="W14" s="2044"/>
      <c r="X14" s="2047"/>
      <c r="Y14" s="2047"/>
      <c r="Z14" s="2047"/>
      <c r="AA14" s="2047"/>
      <c r="AB14" s="2031"/>
      <c r="AC14" s="2031"/>
      <c r="AD14" s="2030"/>
      <c r="AE14" s="2030"/>
      <c r="AF14" s="2043"/>
      <c r="AI14" s="1935"/>
    </row>
    <row r="15" spans="1:38" ht="16.5" x14ac:dyDescent="0.25">
      <c r="A15" s="1556">
        <v>1</v>
      </c>
      <c r="B15" s="1556"/>
      <c r="C15" s="1556">
        <v>2</v>
      </c>
      <c r="D15" s="1556">
        <v>3</v>
      </c>
      <c r="E15" s="1556">
        <v>4</v>
      </c>
      <c r="F15" s="1556">
        <v>5</v>
      </c>
      <c r="G15" s="1556">
        <v>6</v>
      </c>
      <c r="H15" s="1556">
        <v>7</v>
      </c>
      <c r="I15" s="1556">
        <v>8</v>
      </c>
      <c r="J15" s="1556">
        <v>9</v>
      </c>
      <c r="K15" s="1556">
        <v>10</v>
      </c>
      <c r="L15" s="1556">
        <v>11</v>
      </c>
      <c r="M15" s="1556">
        <v>12</v>
      </c>
      <c r="N15" s="1556">
        <v>9</v>
      </c>
      <c r="O15" s="1556">
        <v>10</v>
      </c>
      <c r="P15" s="1556">
        <v>13</v>
      </c>
      <c r="Q15" s="1556">
        <v>14</v>
      </c>
      <c r="R15" s="1556">
        <v>13</v>
      </c>
      <c r="S15" s="1556">
        <v>14</v>
      </c>
      <c r="T15" s="1556">
        <v>13</v>
      </c>
      <c r="U15" s="1556">
        <v>14</v>
      </c>
      <c r="V15" s="1556">
        <v>15</v>
      </c>
      <c r="W15" s="1556">
        <v>16</v>
      </c>
      <c r="X15" s="1556">
        <v>17</v>
      </c>
      <c r="Y15" s="1556">
        <v>18</v>
      </c>
      <c r="Z15" s="1556">
        <v>9</v>
      </c>
      <c r="AA15" s="1556">
        <v>10</v>
      </c>
      <c r="AB15" s="1556">
        <v>11</v>
      </c>
      <c r="AC15" s="1556">
        <v>12</v>
      </c>
      <c r="AD15" s="1556">
        <v>13</v>
      </c>
      <c r="AE15" s="1556">
        <v>14</v>
      </c>
      <c r="AF15" s="1556">
        <v>15</v>
      </c>
      <c r="AG15" s="1904">
        <v>1</v>
      </c>
    </row>
    <row r="16" spans="1:38" ht="16.5" x14ac:dyDescent="0.25">
      <c r="A16" s="1556"/>
      <c r="B16" s="1556"/>
      <c r="C16" s="1577" t="s">
        <v>38</v>
      </c>
      <c r="D16" s="1556"/>
      <c r="E16" s="1556"/>
      <c r="F16" s="1556"/>
      <c r="G16" s="1556"/>
      <c r="H16" s="1578">
        <f>H44+H413+H415</f>
        <v>3708167.4849999999</v>
      </c>
      <c r="I16" s="1578">
        <f>I44+I413+I415</f>
        <v>3681658.4849999999</v>
      </c>
      <c r="J16" s="1578">
        <f t="shared" ref="J16:AE16" si="0">J17+J44+J400+J413+J414+J415</f>
        <v>159200</v>
      </c>
      <c r="K16" s="1578">
        <f t="shared" si="0"/>
        <v>159200</v>
      </c>
      <c r="L16" s="1578">
        <f t="shared" si="0"/>
        <v>159200</v>
      </c>
      <c r="M16" s="1578">
        <f t="shared" si="0"/>
        <v>159200</v>
      </c>
      <c r="N16" s="1578">
        <f t="shared" si="0"/>
        <v>3023881.5238095238</v>
      </c>
      <c r="O16" s="1578">
        <f t="shared" si="0"/>
        <v>2960986.5238095238</v>
      </c>
      <c r="P16" s="1578">
        <f t="shared" si="0"/>
        <v>1737755</v>
      </c>
      <c r="Q16" s="1578">
        <f t="shared" si="0"/>
        <v>1728860</v>
      </c>
      <c r="R16" s="1578">
        <f t="shared" si="0"/>
        <v>378165</v>
      </c>
      <c r="S16" s="1578">
        <f t="shared" si="0"/>
        <v>378364.52380952379</v>
      </c>
      <c r="T16" s="1578">
        <f t="shared" si="0"/>
        <v>2980682</v>
      </c>
      <c r="U16" s="1578">
        <f t="shared" si="0"/>
        <v>2919397</v>
      </c>
      <c r="V16" s="1578">
        <f t="shared" si="0"/>
        <v>1445496</v>
      </c>
      <c r="W16" s="1578">
        <f t="shared" si="0"/>
        <v>152070</v>
      </c>
      <c r="X16" s="1578">
        <f t="shared" si="0"/>
        <v>4343853</v>
      </c>
      <c r="Y16" s="1578">
        <f t="shared" si="0"/>
        <v>4319358</v>
      </c>
      <c r="Z16" s="1578">
        <v>4460784</v>
      </c>
      <c r="AA16" s="1578">
        <v>4434280</v>
      </c>
      <c r="AB16" s="1582">
        <f t="shared" si="0"/>
        <v>21997</v>
      </c>
      <c r="AC16" s="1582">
        <f t="shared" si="0"/>
        <v>-21997</v>
      </c>
      <c r="AD16" s="1582">
        <f t="shared" si="0"/>
        <v>4460784</v>
      </c>
      <c r="AE16" s="1582">
        <f t="shared" si="0"/>
        <v>4434280</v>
      </c>
      <c r="AF16" s="1556"/>
      <c r="AG16" s="1009">
        <f t="shared" ref="AG16:AG79" si="1">IF(AE16-AA16=0,0,1)</f>
        <v>0</v>
      </c>
      <c r="AH16" s="1009">
        <f>IF(Y16=0,0,1)</f>
        <v>1</v>
      </c>
      <c r="AI16" s="1908"/>
      <c r="AJ16" s="1908">
        <f>Z16-AD16</f>
        <v>0</v>
      </c>
      <c r="AK16" s="1908">
        <f t="shared" ref="AK16" si="2">AA16-AE16</f>
        <v>0</v>
      </c>
      <c r="AL16" s="1908"/>
    </row>
    <row r="17" spans="1:36" ht="33" x14ac:dyDescent="0.25">
      <c r="A17" s="1576" t="s">
        <v>39</v>
      </c>
      <c r="B17" s="1576" t="s">
        <v>39</v>
      </c>
      <c r="C17" s="1579" t="s">
        <v>1868</v>
      </c>
      <c r="D17" s="1580"/>
      <c r="E17" s="1580"/>
      <c r="F17" s="1580"/>
      <c r="G17" s="1580"/>
      <c r="H17" s="1581"/>
      <c r="I17" s="1581"/>
      <c r="J17" s="1581"/>
      <c r="K17" s="1581"/>
      <c r="L17" s="1583"/>
      <c r="M17" s="1583"/>
      <c r="N17" s="1583">
        <f>O17</f>
        <v>1230000</v>
      </c>
      <c r="O17" s="1583">
        <f t="shared" ref="O17:S17" si="3">SUM(O18:O41)</f>
        <v>1230000</v>
      </c>
      <c r="P17" s="1583">
        <f t="shared" si="3"/>
        <v>0</v>
      </c>
      <c r="Q17" s="1583">
        <f t="shared" si="3"/>
        <v>0</v>
      </c>
      <c r="R17" s="1583">
        <f t="shared" si="3"/>
        <v>0</v>
      </c>
      <c r="S17" s="1583">
        <f t="shared" si="3"/>
        <v>0</v>
      </c>
      <c r="T17" s="1583">
        <f t="shared" ref="T17:U17" si="4">T18+T20+T23+T26+T29+T32+T35+T38+T41</f>
        <v>1230000</v>
      </c>
      <c r="U17" s="1583">
        <f t="shared" si="4"/>
        <v>1230000</v>
      </c>
      <c r="V17" s="1583">
        <f>V18+V20+V23+V26+V29+V32+V35+V38+V41</f>
        <v>702797</v>
      </c>
      <c r="W17" s="1583">
        <f t="shared" ref="W17" si="5">SUM(W18:W41)</f>
        <v>69145</v>
      </c>
      <c r="X17" s="1583">
        <f t="shared" ref="X17:Y17" si="6">X18+X20+X23+X26+X29+X32+X35+X38+X41</f>
        <v>1932797</v>
      </c>
      <c r="Y17" s="1583">
        <f t="shared" si="6"/>
        <v>1932797</v>
      </c>
      <c r="Z17" s="1583">
        <v>1997685</v>
      </c>
      <c r="AA17" s="1583">
        <v>1997685</v>
      </c>
      <c r="AB17" s="1583">
        <f t="shared" ref="AB17:AC17" si="7">AB18+AB20+AB23+AB26+AB29+AB32+AB35+AB38+AB41</f>
        <v>0</v>
      </c>
      <c r="AC17" s="1584">
        <f t="shared" si="7"/>
        <v>-18697</v>
      </c>
      <c r="AD17" s="1583">
        <f t="shared" ref="AD17:AE17" si="8">AD18+AD20+AD23+AD26+AD29+AD32+AD35+AD38+AD41</f>
        <v>1978988</v>
      </c>
      <c r="AE17" s="1583">
        <f t="shared" si="8"/>
        <v>1978988</v>
      </c>
      <c r="AF17" s="1585"/>
      <c r="AG17" s="1009">
        <f t="shared" si="1"/>
        <v>1</v>
      </c>
      <c r="AH17" s="1009">
        <f t="shared" ref="AH17:AH80" si="9">IF(Y17=0,0,1)</f>
        <v>1</v>
      </c>
      <c r="AI17" s="1908"/>
      <c r="AJ17" s="1908">
        <f>AC16+AB16</f>
        <v>0</v>
      </c>
    </row>
    <row r="18" spans="1:36" ht="16.5" hidden="1" x14ac:dyDescent="0.25">
      <c r="A18" s="1586">
        <v>1</v>
      </c>
      <c r="B18" s="1586"/>
      <c r="C18" s="1587" t="s">
        <v>526</v>
      </c>
      <c r="D18" s="1588"/>
      <c r="E18" s="1588"/>
      <c r="F18" s="1589"/>
      <c r="G18" s="1588"/>
      <c r="H18" s="1590"/>
      <c r="I18" s="1590"/>
      <c r="J18" s="1647"/>
      <c r="K18" s="1647"/>
      <c r="L18" s="1647"/>
      <c r="M18" s="1647"/>
      <c r="N18" s="1648">
        <f>O18</f>
        <v>135000</v>
      </c>
      <c r="O18" s="1622">
        <v>135000</v>
      </c>
      <c r="P18" s="1727"/>
      <c r="Q18" s="1727"/>
      <c r="R18" s="1591"/>
      <c r="S18" s="1591"/>
      <c r="T18" s="1728">
        <f>N18</f>
        <v>135000</v>
      </c>
      <c r="U18" s="1728">
        <f>O18</f>
        <v>135000</v>
      </c>
      <c r="V18" s="1591">
        <f>8738</f>
        <v>8738</v>
      </c>
      <c r="W18" s="1591"/>
      <c r="X18" s="1591">
        <f>Y18</f>
        <v>143738</v>
      </c>
      <c r="Y18" s="1591">
        <f>V18+U18</f>
        <v>143738</v>
      </c>
      <c r="Z18" s="1591">
        <v>143738</v>
      </c>
      <c r="AA18" s="1591">
        <v>143738</v>
      </c>
      <c r="AB18" s="1591"/>
      <c r="AC18" s="1591"/>
      <c r="AD18" s="1591">
        <f>AE18</f>
        <v>143738</v>
      </c>
      <c r="AE18" s="1591">
        <f>AB18+AA18</f>
        <v>143738</v>
      </c>
      <c r="AF18" s="1592"/>
      <c r="AG18" s="1009">
        <f t="shared" si="1"/>
        <v>0</v>
      </c>
      <c r="AH18" s="1009">
        <f t="shared" si="9"/>
        <v>1</v>
      </c>
    </row>
    <row r="19" spans="1:36" s="1909" customFormat="1" ht="49.5" hidden="1" x14ac:dyDescent="0.25">
      <c r="A19" s="1729"/>
      <c r="B19" s="1729"/>
      <c r="C19" s="1730" t="s">
        <v>2515</v>
      </c>
      <c r="D19" s="1731"/>
      <c r="E19" s="1731"/>
      <c r="F19" s="1732"/>
      <c r="G19" s="1731"/>
      <c r="H19" s="1733"/>
      <c r="I19" s="1733"/>
      <c r="J19" s="1734"/>
      <c r="K19" s="1734"/>
      <c r="L19" s="1734"/>
      <c r="M19" s="1734"/>
      <c r="N19" s="1735"/>
      <c r="O19" s="1736"/>
      <c r="P19" s="1737"/>
      <c r="Q19" s="1737"/>
      <c r="R19" s="1738"/>
      <c r="S19" s="1738"/>
      <c r="T19" s="1739"/>
      <c r="U19" s="1739"/>
      <c r="V19" s="1738">
        <v>8738</v>
      </c>
      <c r="W19" s="1738"/>
      <c r="X19" s="1738"/>
      <c r="Y19" s="1738"/>
      <c r="Z19" s="1738"/>
      <c r="AA19" s="1738"/>
      <c r="AB19" s="1738"/>
      <c r="AC19" s="1738"/>
      <c r="AD19" s="1738"/>
      <c r="AE19" s="1738"/>
      <c r="AF19" s="1740"/>
      <c r="AG19" s="1009">
        <f t="shared" si="1"/>
        <v>0</v>
      </c>
      <c r="AH19" s="1257">
        <v>1</v>
      </c>
    </row>
    <row r="20" spans="1:36" ht="16.5" x14ac:dyDescent="0.25">
      <c r="A20" s="1586">
        <v>2</v>
      </c>
      <c r="B20" s="1586">
        <v>1</v>
      </c>
      <c r="C20" s="1587" t="s">
        <v>95</v>
      </c>
      <c r="D20" s="1588"/>
      <c r="E20" s="1588"/>
      <c r="F20" s="1589"/>
      <c r="G20" s="1588"/>
      <c r="H20" s="1590"/>
      <c r="I20" s="1590"/>
      <c r="J20" s="1647"/>
      <c r="K20" s="1647"/>
      <c r="L20" s="1647"/>
      <c r="M20" s="1647"/>
      <c r="N20" s="1648">
        <f t="shared" ref="N20:N41" si="10">O20</f>
        <v>135000</v>
      </c>
      <c r="O20" s="1622">
        <v>135000</v>
      </c>
      <c r="P20" s="1727"/>
      <c r="Q20" s="1727"/>
      <c r="R20" s="1591"/>
      <c r="S20" s="1591"/>
      <c r="T20" s="1728">
        <f t="shared" ref="T20:U41" si="11">N20</f>
        <v>135000</v>
      </c>
      <c r="U20" s="1728">
        <f t="shared" si="11"/>
        <v>135000</v>
      </c>
      <c r="V20" s="1591">
        <f>15296+2827+1441+13232+1007</f>
        <v>33803</v>
      </c>
      <c r="W20" s="1591"/>
      <c r="X20" s="1591">
        <f>Y20</f>
        <v>168803</v>
      </c>
      <c r="Y20" s="1591">
        <f>V20+U20</f>
        <v>168803</v>
      </c>
      <c r="Z20" s="1591">
        <v>206541</v>
      </c>
      <c r="AA20" s="1591">
        <v>206541</v>
      </c>
      <c r="AB20" s="1591"/>
      <c r="AC20" s="1593">
        <v>-13778</v>
      </c>
      <c r="AD20" s="1591">
        <f>AE20</f>
        <v>192763</v>
      </c>
      <c r="AE20" s="1591">
        <f>AA20+AB20+AC20</f>
        <v>192763</v>
      </c>
      <c r="AF20" s="1580"/>
      <c r="AG20" s="1009">
        <f t="shared" si="1"/>
        <v>1</v>
      </c>
      <c r="AH20" s="1009">
        <f t="shared" si="9"/>
        <v>1</v>
      </c>
    </row>
    <row r="21" spans="1:36" ht="49.5" hidden="1" x14ac:dyDescent="0.25">
      <c r="A21" s="1586"/>
      <c r="B21" s="1586"/>
      <c r="C21" s="1730" t="s">
        <v>2515</v>
      </c>
      <c r="D21" s="1588"/>
      <c r="E21" s="1588"/>
      <c r="F21" s="1589"/>
      <c r="G21" s="1588"/>
      <c r="H21" s="1590"/>
      <c r="I21" s="1590"/>
      <c r="J21" s="1647"/>
      <c r="K21" s="1647"/>
      <c r="L21" s="1647"/>
      <c r="M21" s="1647"/>
      <c r="N21" s="1648"/>
      <c r="O21" s="1622"/>
      <c r="P21" s="1727"/>
      <c r="Q21" s="1727"/>
      <c r="R21" s="1591"/>
      <c r="S21" s="1591"/>
      <c r="T21" s="1728"/>
      <c r="U21" s="1728"/>
      <c r="V21" s="1738">
        <f>V20-V22</f>
        <v>18507</v>
      </c>
      <c r="W21" s="1591"/>
      <c r="X21" s="1591"/>
      <c r="Y21" s="1591"/>
      <c r="Z21" s="1591"/>
      <c r="AA21" s="1591"/>
      <c r="AB21" s="1591"/>
      <c r="AC21" s="1591"/>
      <c r="AD21" s="1591"/>
      <c r="AE21" s="1591"/>
      <c r="AF21" s="1580"/>
      <c r="AG21" s="1009">
        <f t="shared" si="1"/>
        <v>0</v>
      </c>
      <c r="AH21" s="1257">
        <v>1</v>
      </c>
    </row>
    <row r="22" spans="1:36" ht="33" hidden="1" x14ac:dyDescent="0.25">
      <c r="A22" s="1586"/>
      <c r="B22" s="1586"/>
      <c r="C22" s="1730" t="s">
        <v>2509</v>
      </c>
      <c r="D22" s="1588"/>
      <c r="E22" s="1588"/>
      <c r="F22" s="1589"/>
      <c r="G22" s="1588"/>
      <c r="H22" s="1590"/>
      <c r="I22" s="1590"/>
      <c r="J22" s="1647"/>
      <c r="K22" s="1647"/>
      <c r="L22" s="1647"/>
      <c r="M22" s="1647"/>
      <c r="N22" s="1648"/>
      <c r="O22" s="1622"/>
      <c r="P22" s="1727"/>
      <c r="Q22" s="1727"/>
      <c r="R22" s="1591"/>
      <c r="S22" s="1591"/>
      <c r="T22" s="1728"/>
      <c r="U22" s="1728"/>
      <c r="V22" s="1738">
        <v>15296</v>
      </c>
      <c r="W22" s="1591"/>
      <c r="X22" s="1591"/>
      <c r="Y22" s="1591"/>
      <c r="Z22" s="1591"/>
      <c r="AA22" s="1591"/>
      <c r="AB22" s="1591"/>
      <c r="AC22" s="1591"/>
      <c r="AD22" s="1591"/>
      <c r="AE22" s="1591"/>
      <c r="AF22" s="1580"/>
      <c r="AG22" s="1009">
        <f t="shared" si="1"/>
        <v>0</v>
      </c>
      <c r="AH22" s="1257">
        <v>1</v>
      </c>
    </row>
    <row r="23" spans="1:36" ht="16.5" hidden="1" x14ac:dyDescent="0.25">
      <c r="A23" s="1586">
        <v>3</v>
      </c>
      <c r="B23" s="1586">
        <v>2</v>
      </c>
      <c r="C23" s="1587" t="s">
        <v>99</v>
      </c>
      <c r="D23" s="1588"/>
      <c r="E23" s="1588"/>
      <c r="F23" s="1589"/>
      <c r="G23" s="1588"/>
      <c r="H23" s="1590"/>
      <c r="I23" s="1590"/>
      <c r="J23" s="1647"/>
      <c r="K23" s="1647"/>
      <c r="L23" s="1647"/>
      <c r="M23" s="1647"/>
      <c r="N23" s="1648">
        <f t="shared" si="10"/>
        <v>138000</v>
      </c>
      <c r="O23" s="1622">
        <v>138000</v>
      </c>
      <c r="P23" s="1727"/>
      <c r="Q23" s="1727"/>
      <c r="R23" s="1591"/>
      <c r="S23" s="1591"/>
      <c r="T23" s="1728">
        <f t="shared" si="11"/>
        <v>138000</v>
      </c>
      <c r="U23" s="1728">
        <f t="shared" si="11"/>
        <v>138000</v>
      </c>
      <c r="V23" s="1591">
        <v>126104</v>
      </c>
      <c r="W23" s="1591"/>
      <c r="X23" s="1591">
        <f t="shared" ref="X23:X41" si="12">Y23</f>
        <v>264104</v>
      </c>
      <c r="Y23" s="1591">
        <f t="shared" ref="Y23:Y41" si="13">V23+U23</f>
        <v>264104</v>
      </c>
      <c r="Z23" s="1591">
        <v>271104</v>
      </c>
      <c r="AA23" s="1591">
        <v>271104</v>
      </c>
      <c r="AB23" s="1591"/>
      <c r="AC23" s="1591"/>
      <c r="AD23" s="1591">
        <f t="shared" ref="AD23" si="14">AE23</f>
        <v>271104</v>
      </c>
      <c r="AE23" s="1591">
        <f>AA23+AB23+AC23</f>
        <v>271104</v>
      </c>
      <c r="AF23" s="1592"/>
      <c r="AG23" s="1009">
        <f t="shared" si="1"/>
        <v>0</v>
      </c>
      <c r="AH23" s="1009">
        <f t="shared" si="9"/>
        <v>1</v>
      </c>
    </row>
    <row r="24" spans="1:36" ht="49.5" hidden="1" x14ac:dyDescent="0.25">
      <c r="A24" s="1586"/>
      <c r="B24" s="1586"/>
      <c r="C24" s="1730" t="s">
        <v>2515</v>
      </c>
      <c r="D24" s="1588"/>
      <c r="E24" s="1588"/>
      <c r="F24" s="1589"/>
      <c r="G24" s="1588"/>
      <c r="H24" s="1590"/>
      <c r="I24" s="1590"/>
      <c r="J24" s="1647"/>
      <c r="K24" s="1647"/>
      <c r="L24" s="1647"/>
      <c r="M24" s="1647"/>
      <c r="N24" s="1648"/>
      <c r="O24" s="1622"/>
      <c r="P24" s="1727"/>
      <c r="Q24" s="1727"/>
      <c r="R24" s="1591"/>
      <c r="S24" s="1591"/>
      <c r="T24" s="1728"/>
      <c r="U24" s="1728"/>
      <c r="V24" s="1738">
        <v>79104</v>
      </c>
      <c r="W24" s="1591"/>
      <c r="X24" s="1591"/>
      <c r="Y24" s="1591"/>
      <c r="Z24" s="1591"/>
      <c r="AA24" s="1591"/>
      <c r="AB24" s="1591"/>
      <c r="AC24" s="1591"/>
      <c r="AD24" s="1591"/>
      <c r="AE24" s="1591"/>
      <c r="AF24" s="1592"/>
      <c r="AG24" s="1009">
        <f t="shared" si="1"/>
        <v>0</v>
      </c>
      <c r="AH24" s="1257">
        <v>1</v>
      </c>
    </row>
    <row r="25" spans="1:36" ht="33" hidden="1" x14ac:dyDescent="0.25">
      <c r="A25" s="1586"/>
      <c r="B25" s="1586"/>
      <c r="C25" s="1730" t="s">
        <v>2510</v>
      </c>
      <c r="D25" s="1588"/>
      <c r="E25" s="1588"/>
      <c r="F25" s="1589"/>
      <c r="G25" s="1588"/>
      <c r="H25" s="1590"/>
      <c r="I25" s="1590"/>
      <c r="J25" s="1647"/>
      <c r="K25" s="1647"/>
      <c r="L25" s="1647"/>
      <c r="M25" s="1647"/>
      <c r="N25" s="1648"/>
      <c r="O25" s="1622"/>
      <c r="P25" s="1727"/>
      <c r="Q25" s="1727"/>
      <c r="R25" s="1591"/>
      <c r="S25" s="1591"/>
      <c r="T25" s="1728"/>
      <c r="U25" s="1728"/>
      <c r="V25" s="1738">
        <v>47000</v>
      </c>
      <c r="W25" s="1591"/>
      <c r="X25" s="1591"/>
      <c r="Y25" s="1591"/>
      <c r="Z25" s="1591"/>
      <c r="AA25" s="1591"/>
      <c r="AB25" s="1591"/>
      <c r="AC25" s="1591"/>
      <c r="AD25" s="1591"/>
      <c r="AE25" s="1591"/>
      <c r="AF25" s="1592"/>
      <c r="AG25" s="1009">
        <f t="shared" si="1"/>
        <v>0</v>
      </c>
      <c r="AH25" s="1257">
        <v>1</v>
      </c>
    </row>
    <row r="26" spans="1:36" ht="16.5" hidden="1" x14ac:dyDescent="0.25">
      <c r="A26" s="1586">
        <v>4</v>
      </c>
      <c r="B26" s="1586"/>
      <c r="C26" s="1587" t="s">
        <v>230</v>
      </c>
      <c r="D26" s="1588"/>
      <c r="E26" s="1588"/>
      <c r="F26" s="1589"/>
      <c r="G26" s="1588"/>
      <c r="H26" s="1590"/>
      <c r="I26" s="1590"/>
      <c r="J26" s="1647"/>
      <c r="K26" s="1647"/>
      <c r="L26" s="1647"/>
      <c r="M26" s="1647"/>
      <c r="N26" s="1648">
        <f t="shared" si="10"/>
        <v>135000</v>
      </c>
      <c r="O26" s="1622">
        <v>135000</v>
      </c>
      <c r="P26" s="1727"/>
      <c r="Q26" s="1727"/>
      <c r="R26" s="1591"/>
      <c r="S26" s="1591"/>
      <c r="T26" s="1728">
        <f t="shared" si="11"/>
        <v>135000</v>
      </c>
      <c r="U26" s="1728">
        <f t="shared" si="11"/>
        <v>135000</v>
      </c>
      <c r="V26" s="1591">
        <f>12156+72394+3800+15975+2250+19693-73</f>
        <v>126195</v>
      </c>
      <c r="W26" s="1591"/>
      <c r="X26" s="1591">
        <f t="shared" si="12"/>
        <v>261195</v>
      </c>
      <c r="Y26" s="1591">
        <f t="shared" si="13"/>
        <v>261195</v>
      </c>
      <c r="Z26" s="1591">
        <v>261195</v>
      </c>
      <c r="AA26" s="1591">
        <v>261195</v>
      </c>
      <c r="AB26" s="1591"/>
      <c r="AC26" s="1591"/>
      <c r="AD26" s="1591">
        <f t="shared" ref="AD26" si="15">AE26</f>
        <v>261195</v>
      </c>
      <c r="AE26" s="1591">
        <f>AB26+AA26</f>
        <v>261195</v>
      </c>
      <c r="AF26" s="1592"/>
      <c r="AG26" s="1009">
        <f t="shared" si="1"/>
        <v>0</v>
      </c>
      <c r="AH26" s="1009">
        <f t="shared" si="9"/>
        <v>1</v>
      </c>
    </row>
    <row r="27" spans="1:36" ht="49.5" hidden="1" x14ac:dyDescent="0.25">
      <c r="A27" s="1586"/>
      <c r="B27" s="1586"/>
      <c r="C27" s="1730" t="s">
        <v>2515</v>
      </c>
      <c r="D27" s="1588"/>
      <c r="E27" s="1588"/>
      <c r="F27" s="1589"/>
      <c r="G27" s="1588"/>
      <c r="H27" s="1590"/>
      <c r="I27" s="1590"/>
      <c r="J27" s="1647"/>
      <c r="K27" s="1647"/>
      <c r="L27" s="1647"/>
      <c r="M27" s="1647"/>
      <c r="N27" s="1648"/>
      <c r="O27" s="1622"/>
      <c r="P27" s="1727"/>
      <c r="Q27" s="1727"/>
      <c r="R27" s="1591"/>
      <c r="S27" s="1591"/>
      <c r="T27" s="1728"/>
      <c r="U27" s="1728"/>
      <c r="V27" s="1738">
        <f>V26-V28</f>
        <v>53801</v>
      </c>
      <c r="W27" s="1591"/>
      <c r="X27" s="1591"/>
      <c r="Y27" s="1591"/>
      <c r="Z27" s="1591"/>
      <c r="AA27" s="1591"/>
      <c r="AB27" s="1591"/>
      <c r="AC27" s="1591"/>
      <c r="AD27" s="1591"/>
      <c r="AE27" s="1591"/>
      <c r="AF27" s="1592"/>
      <c r="AG27" s="1009">
        <f t="shared" si="1"/>
        <v>0</v>
      </c>
      <c r="AH27" s="1257">
        <v>1</v>
      </c>
    </row>
    <row r="28" spans="1:36" ht="16.5" hidden="1" x14ac:dyDescent="0.25">
      <c r="A28" s="1586"/>
      <c r="B28" s="1586"/>
      <c r="C28" s="1730" t="s">
        <v>2508</v>
      </c>
      <c r="D28" s="1588"/>
      <c r="E28" s="1588"/>
      <c r="F28" s="1589"/>
      <c r="G28" s="1588"/>
      <c r="H28" s="1590"/>
      <c r="I28" s="1590"/>
      <c r="J28" s="1647"/>
      <c r="K28" s="1647"/>
      <c r="L28" s="1647"/>
      <c r="M28" s="1647"/>
      <c r="N28" s="1648"/>
      <c r="O28" s="1622"/>
      <c r="P28" s="1727"/>
      <c r="Q28" s="1727"/>
      <c r="R28" s="1591"/>
      <c r="S28" s="1591"/>
      <c r="T28" s="1728"/>
      <c r="U28" s="1728"/>
      <c r="V28" s="1738">
        <v>72394</v>
      </c>
      <c r="W28" s="1591"/>
      <c r="X28" s="1591"/>
      <c r="Y28" s="1591"/>
      <c r="Z28" s="1591"/>
      <c r="AA28" s="1591"/>
      <c r="AB28" s="1591"/>
      <c r="AC28" s="1591"/>
      <c r="AD28" s="1591"/>
      <c r="AE28" s="1591"/>
      <c r="AF28" s="1592"/>
      <c r="AG28" s="1009">
        <f t="shared" si="1"/>
        <v>0</v>
      </c>
      <c r="AH28" s="1257">
        <v>1</v>
      </c>
    </row>
    <row r="29" spans="1:36" ht="16.5" hidden="1" x14ac:dyDescent="0.25">
      <c r="A29" s="1586">
        <v>5</v>
      </c>
      <c r="B29" s="1586">
        <v>3</v>
      </c>
      <c r="C29" s="1587" t="s">
        <v>146</v>
      </c>
      <c r="D29" s="1588"/>
      <c r="E29" s="1588"/>
      <c r="F29" s="1589"/>
      <c r="G29" s="1588"/>
      <c r="H29" s="1590"/>
      <c r="I29" s="1590"/>
      <c r="J29" s="1647"/>
      <c r="K29" s="1647"/>
      <c r="L29" s="1647"/>
      <c r="M29" s="1647"/>
      <c r="N29" s="1648">
        <f t="shared" si="10"/>
        <v>138000</v>
      </c>
      <c r="O29" s="1622">
        <v>138000</v>
      </c>
      <c r="P29" s="1727"/>
      <c r="Q29" s="1727"/>
      <c r="R29" s="1591"/>
      <c r="S29" s="1591"/>
      <c r="T29" s="1728">
        <f t="shared" si="11"/>
        <v>138000</v>
      </c>
      <c r="U29" s="1728">
        <f t="shared" si="11"/>
        <v>138000</v>
      </c>
      <c r="V29" s="1591">
        <f>4467+49630+11631+1071+2021+3171</f>
        <v>71991</v>
      </c>
      <c r="W29" s="1591"/>
      <c r="X29" s="1591">
        <f t="shared" si="12"/>
        <v>209991</v>
      </c>
      <c r="Y29" s="1591">
        <f t="shared" si="13"/>
        <v>209991</v>
      </c>
      <c r="Z29" s="1591">
        <v>222102</v>
      </c>
      <c r="AA29" s="1591">
        <v>222102</v>
      </c>
      <c r="AB29" s="1591"/>
      <c r="AC29" s="1591"/>
      <c r="AD29" s="1591">
        <f>AE29</f>
        <v>222102</v>
      </c>
      <c r="AE29" s="1591">
        <f>AA29+AB29+AC29</f>
        <v>222102</v>
      </c>
      <c r="AF29" s="1592"/>
      <c r="AG29" s="1009">
        <f t="shared" si="1"/>
        <v>0</v>
      </c>
      <c r="AH29" s="1009">
        <f t="shared" si="9"/>
        <v>1</v>
      </c>
    </row>
    <row r="30" spans="1:36" ht="49.5" hidden="1" x14ac:dyDescent="0.25">
      <c r="A30" s="1586"/>
      <c r="B30" s="1586"/>
      <c r="C30" s="1730" t="s">
        <v>2515</v>
      </c>
      <c r="D30" s="1588"/>
      <c r="E30" s="1588"/>
      <c r="F30" s="1589"/>
      <c r="G30" s="1588"/>
      <c r="H30" s="1590"/>
      <c r="I30" s="1590"/>
      <c r="J30" s="1647"/>
      <c r="K30" s="1647"/>
      <c r="L30" s="1647"/>
      <c r="M30" s="1647"/>
      <c r="N30" s="1648"/>
      <c r="O30" s="1622"/>
      <c r="P30" s="1727"/>
      <c r="Q30" s="1727"/>
      <c r="R30" s="1591"/>
      <c r="S30" s="1591"/>
      <c r="T30" s="1728"/>
      <c r="U30" s="1728"/>
      <c r="V30" s="1738">
        <f>V29-V31</f>
        <v>19161</v>
      </c>
      <c r="W30" s="1591"/>
      <c r="X30" s="1591"/>
      <c r="Y30" s="1591"/>
      <c r="Z30" s="1591"/>
      <c r="AA30" s="1591"/>
      <c r="AB30" s="1591"/>
      <c r="AC30" s="1591"/>
      <c r="AD30" s="1591"/>
      <c r="AE30" s="1591"/>
      <c r="AF30" s="1592"/>
      <c r="AG30" s="1009">
        <f t="shared" si="1"/>
        <v>0</v>
      </c>
      <c r="AH30" s="1257">
        <v>1</v>
      </c>
    </row>
    <row r="31" spans="1:36" ht="33" hidden="1" x14ac:dyDescent="0.25">
      <c r="A31" s="1586"/>
      <c r="B31" s="1586"/>
      <c r="C31" s="1730" t="s">
        <v>2507</v>
      </c>
      <c r="D31" s="1588"/>
      <c r="E31" s="1588"/>
      <c r="F31" s="1589"/>
      <c r="G31" s="1588"/>
      <c r="H31" s="1590"/>
      <c r="I31" s="1590"/>
      <c r="J31" s="1647"/>
      <c r="K31" s="1647"/>
      <c r="L31" s="1647"/>
      <c r="M31" s="1647"/>
      <c r="N31" s="1648"/>
      <c r="O31" s="1622"/>
      <c r="P31" s="1727"/>
      <c r="Q31" s="1727"/>
      <c r="R31" s="1591"/>
      <c r="S31" s="1591"/>
      <c r="T31" s="1728"/>
      <c r="U31" s="1728"/>
      <c r="V31" s="1738">
        <v>52830</v>
      </c>
      <c r="W31" s="1591"/>
      <c r="X31" s="1591"/>
      <c r="Y31" s="1591"/>
      <c r="Z31" s="1591"/>
      <c r="AA31" s="1591"/>
      <c r="AB31" s="1591"/>
      <c r="AC31" s="1591"/>
      <c r="AD31" s="1591"/>
      <c r="AE31" s="1591"/>
      <c r="AF31" s="1592"/>
      <c r="AG31" s="1009">
        <f t="shared" si="1"/>
        <v>0</v>
      </c>
      <c r="AH31" s="1257">
        <v>1</v>
      </c>
      <c r="AJ31" s="1908"/>
    </row>
    <row r="32" spans="1:36" ht="16.5" hidden="1" x14ac:dyDescent="0.25">
      <c r="A32" s="1586">
        <v>6</v>
      </c>
      <c r="B32" s="1586">
        <v>4</v>
      </c>
      <c r="C32" s="1587" t="s">
        <v>194</v>
      </c>
      <c r="D32" s="1588"/>
      <c r="E32" s="1588"/>
      <c r="F32" s="1589"/>
      <c r="G32" s="1588"/>
      <c r="H32" s="1590"/>
      <c r="I32" s="1590"/>
      <c r="J32" s="1647"/>
      <c r="K32" s="1647"/>
      <c r="L32" s="1647"/>
      <c r="M32" s="1647"/>
      <c r="N32" s="1648">
        <f t="shared" si="10"/>
        <v>135000</v>
      </c>
      <c r="O32" s="1622">
        <v>135000</v>
      </c>
      <c r="P32" s="1727"/>
      <c r="Q32" s="1727"/>
      <c r="R32" s="1591"/>
      <c r="S32" s="1591"/>
      <c r="T32" s="1728">
        <f t="shared" si="11"/>
        <v>135000</v>
      </c>
      <c r="U32" s="1728">
        <f t="shared" si="11"/>
        <v>135000</v>
      </c>
      <c r="V32" s="1591">
        <f>3700+65000+6419</f>
        <v>75119</v>
      </c>
      <c r="W32" s="1591"/>
      <c r="X32" s="1591">
        <f t="shared" si="12"/>
        <v>210119</v>
      </c>
      <c r="Y32" s="1591">
        <f t="shared" si="13"/>
        <v>210119</v>
      </c>
      <c r="Z32" s="1591">
        <v>203700</v>
      </c>
      <c r="AA32" s="1591">
        <v>203700</v>
      </c>
      <c r="AB32" s="1591"/>
      <c r="AC32" s="1593"/>
      <c r="AD32" s="1591">
        <f t="shared" ref="AD32" si="16">AE32</f>
        <v>203700</v>
      </c>
      <c r="AE32" s="1591">
        <f>AA32+AB32+AC32</f>
        <v>203700</v>
      </c>
      <c r="AF32" s="1592"/>
      <c r="AG32" s="1009">
        <f t="shared" si="1"/>
        <v>0</v>
      </c>
      <c r="AH32" s="1009">
        <f t="shared" si="9"/>
        <v>1</v>
      </c>
    </row>
    <row r="33" spans="1:37" ht="49.5" hidden="1" x14ac:dyDescent="0.25">
      <c r="A33" s="1586"/>
      <c r="B33" s="1586"/>
      <c r="C33" s="1730" t="s">
        <v>2515</v>
      </c>
      <c r="D33" s="1588"/>
      <c r="E33" s="1588"/>
      <c r="F33" s="1589"/>
      <c r="G33" s="1588"/>
      <c r="H33" s="1590"/>
      <c r="I33" s="1590"/>
      <c r="J33" s="1647"/>
      <c r="K33" s="1647"/>
      <c r="L33" s="1647"/>
      <c r="M33" s="1647"/>
      <c r="N33" s="1648"/>
      <c r="O33" s="1622"/>
      <c r="P33" s="1727"/>
      <c r="Q33" s="1727"/>
      <c r="R33" s="1591"/>
      <c r="S33" s="1591"/>
      <c r="T33" s="1728"/>
      <c r="U33" s="1728"/>
      <c r="V33" s="1738">
        <f>V32-V34</f>
        <v>10119</v>
      </c>
      <c r="W33" s="1591"/>
      <c r="X33" s="1591"/>
      <c r="Y33" s="1591"/>
      <c r="Z33" s="1591"/>
      <c r="AA33" s="1591"/>
      <c r="AB33" s="1591"/>
      <c r="AC33" s="1591"/>
      <c r="AD33" s="1591"/>
      <c r="AE33" s="1591"/>
      <c r="AF33" s="1592"/>
      <c r="AG33" s="1009">
        <f t="shared" si="1"/>
        <v>0</v>
      </c>
      <c r="AH33" s="1257">
        <v>1</v>
      </c>
      <c r="AJ33" s="1908"/>
    </row>
    <row r="34" spans="1:37" ht="33" hidden="1" x14ac:dyDescent="0.25">
      <c r="A34" s="1586"/>
      <c r="B34" s="1586"/>
      <c r="C34" s="1730" t="s">
        <v>2506</v>
      </c>
      <c r="D34" s="1588"/>
      <c r="E34" s="1588"/>
      <c r="F34" s="1589"/>
      <c r="G34" s="1588"/>
      <c r="H34" s="1590"/>
      <c r="I34" s="1590"/>
      <c r="J34" s="1647"/>
      <c r="K34" s="1647"/>
      <c r="L34" s="1647"/>
      <c r="M34" s="1647"/>
      <c r="N34" s="1648"/>
      <c r="O34" s="1622"/>
      <c r="P34" s="1727"/>
      <c r="Q34" s="1727"/>
      <c r="R34" s="1591"/>
      <c r="S34" s="1591"/>
      <c r="T34" s="1728"/>
      <c r="U34" s="1728"/>
      <c r="V34" s="1738">
        <v>65000</v>
      </c>
      <c r="W34" s="1591"/>
      <c r="X34" s="1591"/>
      <c r="Y34" s="1591"/>
      <c r="Z34" s="1591"/>
      <c r="AA34" s="1591"/>
      <c r="AB34" s="1591"/>
      <c r="AC34" s="1591"/>
      <c r="AD34" s="1591"/>
      <c r="AE34" s="1591"/>
      <c r="AF34" s="1592"/>
      <c r="AG34" s="1009">
        <f t="shared" si="1"/>
        <v>0</v>
      </c>
      <c r="AH34" s="1257">
        <v>1</v>
      </c>
      <c r="AJ34" s="1908"/>
    </row>
    <row r="35" spans="1:37" ht="16.5" hidden="1" x14ac:dyDescent="0.25">
      <c r="A35" s="1586">
        <v>7</v>
      </c>
      <c r="B35" s="1586"/>
      <c r="C35" s="1587" t="s">
        <v>205</v>
      </c>
      <c r="D35" s="1588"/>
      <c r="E35" s="1588"/>
      <c r="F35" s="1589"/>
      <c r="G35" s="1588"/>
      <c r="H35" s="1590"/>
      <c r="I35" s="1590"/>
      <c r="J35" s="1647"/>
      <c r="K35" s="1647"/>
      <c r="L35" s="1647"/>
      <c r="M35" s="1647"/>
      <c r="N35" s="1648">
        <f t="shared" si="10"/>
        <v>138000</v>
      </c>
      <c r="O35" s="1622">
        <v>138000</v>
      </c>
      <c r="P35" s="1727"/>
      <c r="Q35" s="1727"/>
      <c r="R35" s="1591"/>
      <c r="S35" s="1591"/>
      <c r="T35" s="1728">
        <f t="shared" si="11"/>
        <v>138000</v>
      </c>
      <c r="U35" s="1728">
        <f t="shared" si="11"/>
        <v>138000</v>
      </c>
      <c r="V35" s="1591">
        <f>56000+3760+24970</f>
        <v>84730</v>
      </c>
      <c r="W35" s="1591"/>
      <c r="X35" s="1591">
        <f t="shared" si="12"/>
        <v>222730</v>
      </c>
      <c r="Y35" s="1591">
        <f t="shared" si="13"/>
        <v>222730</v>
      </c>
      <c r="Z35" s="1591">
        <v>222730</v>
      </c>
      <c r="AA35" s="1591">
        <v>222730</v>
      </c>
      <c r="AB35" s="1591"/>
      <c r="AC35" s="1591"/>
      <c r="AD35" s="1591">
        <f t="shared" ref="AD35" si="17">AE35</f>
        <v>222730</v>
      </c>
      <c r="AE35" s="1591">
        <f>AB35+AA35</f>
        <v>222730</v>
      </c>
      <c r="AF35" s="1592"/>
      <c r="AG35" s="1009">
        <f t="shared" si="1"/>
        <v>0</v>
      </c>
      <c r="AH35" s="1009">
        <f t="shared" si="9"/>
        <v>1</v>
      </c>
    </row>
    <row r="36" spans="1:37" ht="49.5" hidden="1" x14ac:dyDescent="0.25">
      <c r="A36" s="1586"/>
      <c r="B36" s="1586"/>
      <c r="C36" s="1730" t="s">
        <v>2515</v>
      </c>
      <c r="D36" s="1588"/>
      <c r="E36" s="1588"/>
      <c r="F36" s="1589"/>
      <c r="G36" s="1588"/>
      <c r="H36" s="1590"/>
      <c r="I36" s="1590"/>
      <c r="J36" s="1647"/>
      <c r="K36" s="1647"/>
      <c r="L36" s="1647"/>
      <c r="M36" s="1647"/>
      <c r="N36" s="1648"/>
      <c r="O36" s="1622"/>
      <c r="P36" s="1727"/>
      <c r="Q36" s="1727"/>
      <c r="R36" s="1591"/>
      <c r="S36" s="1591"/>
      <c r="T36" s="1728"/>
      <c r="U36" s="1728"/>
      <c r="V36" s="1738">
        <f>V35-V37</f>
        <v>28730</v>
      </c>
      <c r="W36" s="1591"/>
      <c r="X36" s="1591"/>
      <c r="Y36" s="1591"/>
      <c r="Z36" s="1591"/>
      <c r="AA36" s="1591"/>
      <c r="AB36" s="1591"/>
      <c r="AC36" s="1591"/>
      <c r="AD36" s="1591"/>
      <c r="AE36" s="1591"/>
      <c r="AF36" s="1592"/>
      <c r="AG36" s="1009">
        <f t="shared" si="1"/>
        <v>0</v>
      </c>
      <c r="AH36" s="1257">
        <v>1</v>
      </c>
    </row>
    <row r="37" spans="1:37" ht="33" hidden="1" x14ac:dyDescent="0.25">
      <c r="A37" s="1586"/>
      <c r="B37" s="1586"/>
      <c r="C37" s="1730" t="s">
        <v>2505</v>
      </c>
      <c r="D37" s="1588"/>
      <c r="E37" s="1588"/>
      <c r="F37" s="1589"/>
      <c r="G37" s="1588"/>
      <c r="H37" s="1590"/>
      <c r="I37" s="1590"/>
      <c r="J37" s="1647"/>
      <c r="K37" s="1647"/>
      <c r="L37" s="1647"/>
      <c r="M37" s="1647"/>
      <c r="N37" s="1648"/>
      <c r="O37" s="1622"/>
      <c r="P37" s="1727"/>
      <c r="Q37" s="1727"/>
      <c r="R37" s="1591"/>
      <c r="S37" s="1591"/>
      <c r="T37" s="1728"/>
      <c r="U37" s="1728"/>
      <c r="V37" s="1738">
        <v>56000</v>
      </c>
      <c r="W37" s="1591"/>
      <c r="X37" s="1591"/>
      <c r="Y37" s="1591"/>
      <c r="Z37" s="1591"/>
      <c r="AA37" s="1591"/>
      <c r="AB37" s="1591"/>
      <c r="AC37" s="1591"/>
      <c r="AD37" s="1591"/>
      <c r="AE37" s="1591"/>
      <c r="AF37" s="1592"/>
      <c r="AG37" s="1009">
        <f t="shared" si="1"/>
        <v>0</v>
      </c>
      <c r="AH37" s="1257">
        <v>1</v>
      </c>
    </row>
    <row r="38" spans="1:37" ht="16.5" hidden="1" x14ac:dyDescent="0.25">
      <c r="A38" s="1586">
        <v>8</v>
      </c>
      <c r="B38" s="1586">
        <v>5</v>
      </c>
      <c r="C38" s="1587" t="s">
        <v>52</v>
      </c>
      <c r="D38" s="1588"/>
      <c r="E38" s="1588"/>
      <c r="F38" s="1589"/>
      <c r="G38" s="1588"/>
      <c r="H38" s="1590"/>
      <c r="I38" s="1590"/>
      <c r="J38" s="1647"/>
      <c r="K38" s="1647"/>
      <c r="L38" s="1647"/>
      <c r="M38" s="1647"/>
      <c r="N38" s="1648">
        <f t="shared" si="10"/>
        <v>138000</v>
      </c>
      <c r="O38" s="1622">
        <v>138000</v>
      </c>
      <c r="P38" s="1727"/>
      <c r="Q38" s="1727"/>
      <c r="R38" s="1591"/>
      <c r="S38" s="1591"/>
      <c r="T38" s="1728">
        <f t="shared" si="11"/>
        <v>138000</v>
      </c>
      <c r="U38" s="1728">
        <f t="shared" si="11"/>
        <v>138000</v>
      </c>
      <c r="V38" s="1591">
        <f>38861+12550+11711</f>
        <v>63122</v>
      </c>
      <c r="W38" s="1591"/>
      <c r="X38" s="1591">
        <f t="shared" si="12"/>
        <v>201122</v>
      </c>
      <c r="Y38" s="1591">
        <f t="shared" si="13"/>
        <v>201122</v>
      </c>
      <c r="Z38" s="1591">
        <v>215580</v>
      </c>
      <c r="AA38" s="1591">
        <v>215580</v>
      </c>
      <c r="AB38" s="1591"/>
      <c r="AC38" s="1591"/>
      <c r="AD38" s="1591">
        <f t="shared" ref="AD38" si="18">AE38</f>
        <v>215580</v>
      </c>
      <c r="AE38" s="1591">
        <f>AA38+AB38+AC38</f>
        <v>215580</v>
      </c>
      <c r="AF38" s="1592"/>
      <c r="AG38" s="1009">
        <f t="shared" si="1"/>
        <v>0</v>
      </c>
      <c r="AH38" s="1009">
        <f t="shared" si="9"/>
        <v>1</v>
      </c>
    </row>
    <row r="39" spans="1:37" ht="49.5" hidden="1" x14ac:dyDescent="0.25">
      <c r="A39" s="1586"/>
      <c r="B39" s="1586"/>
      <c r="C39" s="1730" t="s">
        <v>2515</v>
      </c>
      <c r="D39" s="1588"/>
      <c r="E39" s="1588"/>
      <c r="F39" s="1589"/>
      <c r="G39" s="1588"/>
      <c r="H39" s="1590"/>
      <c r="I39" s="1590"/>
      <c r="J39" s="1647"/>
      <c r="K39" s="1647"/>
      <c r="L39" s="1647"/>
      <c r="M39" s="1647"/>
      <c r="N39" s="1648"/>
      <c r="O39" s="1622"/>
      <c r="P39" s="1727"/>
      <c r="Q39" s="1727"/>
      <c r="R39" s="1591"/>
      <c r="S39" s="1591"/>
      <c r="T39" s="1728"/>
      <c r="U39" s="1728"/>
      <c r="V39" s="1738">
        <f>V38-V40</f>
        <v>24261</v>
      </c>
      <c r="W39" s="1591"/>
      <c r="X39" s="1591"/>
      <c r="Y39" s="1591"/>
      <c r="Z39" s="1591"/>
      <c r="AA39" s="1591"/>
      <c r="AB39" s="1591"/>
      <c r="AC39" s="1591"/>
      <c r="AD39" s="1591"/>
      <c r="AE39" s="1591"/>
      <c r="AF39" s="1592"/>
      <c r="AG39" s="1009">
        <f t="shared" si="1"/>
        <v>0</v>
      </c>
      <c r="AH39" s="1257">
        <v>1</v>
      </c>
    </row>
    <row r="40" spans="1:37" ht="33" hidden="1" x14ac:dyDescent="0.25">
      <c r="A40" s="1586"/>
      <c r="B40" s="1586"/>
      <c r="C40" s="1730" t="s">
        <v>2504</v>
      </c>
      <c r="D40" s="1588"/>
      <c r="E40" s="1588"/>
      <c r="F40" s="1589"/>
      <c r="G40" s="1588"/>
      <c r="H40" s="1590"/>
      <c r="I40" s="1590"/>
      <c r="J40" s="1647"/>
      <c r="K40" s="1647"/>
      <c r="L40" s="1647"/>
      <c r="M40" s="1647"/>
      <c r="N40" s="1648"/>
      <c r="O40" s="1622"/>
      <c r="P40" s="1727"/>
      <c r="Q40" s="1727"/>
      <c r="R40" s="1591"/>
      <c r="S40" s="1591"/>
      <c r="T40" s="1728"/>
      <c r="U40" s="1728"/>
      <c r="V40" s="1738">
        <f>38861</f>
        <v>38861</v>
      </c>
      <c r="W40" s="1591"/>
      <c r="X40" s="1591"/>
      <c r="Y40" s="1591"/>
      <c r="Z40" s="1591"/>
      <c r="AA40" s="1591"/>
      <c r="AB40" s="1591"/>
      <c r="AC40" s="1591"/>
      <c r="AD40" s="1591"/>
      <c r="AE40" s="1591"/>
      <c r="AF40" s="1592"/>
      <c r="AG40" s="1009">
        <f t="shared" si="1"/>
        <v>0</v>
      </c>
      <c r="AH40" s="1257">
        <v>1</v>
      </c>
    </row>
    <row r="41" spans="1:37" ht="16.5" x14ac:dyDescent="0.25">
      <c r="A41" s="1586">
        <v>9</v>
      </c>
      <c r="B41" s="1586"/>
      <c r="C41" s="1587" t="s">
        <v>58</v>
      </c>
      <c r="D41" s="1588"/>
      <c r="E41" s="1588"/>
      <c r="F41" s="1589"/>
      <c r="G41" s="1588"/>
      <c r="H41" s="1590"/>
      <c r="I41" s="1590"/>
      <c r="J41" s="1647"/>
      <c r="K41" s="1647"/>
      <c r="L41" s="1647"/>
      <c r="M41" s="1647"/>
      <c r="N41" s="1648">
        <f t="shared" si="10"/>
        <v>138000</v>
      </c>
      <c r="O41" s="1622">
        <v>138000</v>
      </c>
      <c r="P41" s="1727"/>
      <c r="Q41" s="1727"/>
      <c r="R41" s="1591"/>
      <c r="S41" s="1591"/>
      <c r="T41" s="1728">
        <f t="shared" si="11"/>
        <v>138000</v>
      </c>
      <c r="U41" s="1728">
        <f t="shared" si="11"/>
        <v>138000</v>
      </c>
      <c r="V41" s="1591">
        <f>20798+31550+43850+5722+10060+1015</f>
        <v>112995</v>
      </c>
      <c r="W41" s="1591">
        <f>20798+31550+5722+10060+1015</f>
        <v>69145</v>
      </c>
      <c r="X41" s="1591">
        <f t="shared" si="12"/>
        <v>250995</v>
      </c>
      <c r="Y41" s="1591">
        <f t="shared" si="13"/>
        <v>250995</v>
      </c>
      <c r="Z41" s="1591">
        <v>250995</v>
      </c>
      <c r="AA41" s="1591">
        <v>250995</v>
      </c>
      <c r="AB41" s="1591"/>
      <c r="AC41" s="1593">
        <v>-4919</v>
      </c>
      <c r="AD41" s="1591">
        <f>AE41</f>
        <v>246076</v>
      </c>
      <c r="AE41" s="1591">
        <f>AA41+AB41+AC41</f>
        <v>246076</v>
      </c>
      <c r="AF41" s="1580"/>
      <c r="AG41" s="1009">
        <f t="shared" si="1"/>
        <v>1</v>
      </c>
      <c r="AH41" s="1009">
        <f t="shared" si="9"/>
        <v>1</v>
      </c>
      <c r="AJ41" s="1908"/>
    </row>
    <row r="42" spans="1:37" ht="49.5" hidden="1" x14ac:dyDescent="0.25">
      <c r="A42" s="1586"/>
      <c r="B42" s="1586"/>
      <c r="C42" s="1730" t="s">
        <v>2515</v>
      </c>
      <c r="D42" s="1588"/>
      <c r="E42" s="1588"/>
      <c r="F42" s="1589"/>
      <c r="G42" s="1588"/>
      <c r="H42" s="1590"/>
      <c r="I42" s="1590"/>
      <c r="J42" s="1647"/>
      <c r="K42" s="1647"/>
      <c r="L42" s="1647"/>
      <c r="M42" s="1647"/>
      <c r="N42" s="1648"/>
      <c r="O42" s="1622"/>
      <c r="P42" s="1727"/>
      <c r="Q42" s="1727"/>
      <c r="R42" s="1591"/>
      <c r="S42" s="1591"/>
      <c r="T42" s="1728"/>
      <c r="U42" s="1728"/>
      <c r="V42" s="1738">
        <f>V41-V43</f>
        <v>69145</v>
      </c>
      <c r="W42" s="1591"/>
      <c r="X42" s="1591"/>
      <c r="Y42" s="1591"/>
      <c r="Z42" s="1591"/>
      <c r="AA42" s="1591"/>
      <c r="AB42" s="1591"/>
      <c r="AC42" s="1591"/>
      <c r="AD42" s="1591"/>
      <c r="AE42" s="1591"/>
      <c r="AF42" s="1580"/>
      <c r="AG42" s="1009">
        <f t="shared" si="1"/>
        <v>0</v>
      </c>
      <c r="AH42" s="1257">
        <v>1</v>
      </c>
      <c r="AJ42" s="54"/>
    </row>
    <row r="43" spans="1:37" ht="33" hidden="1" x14ac:dyDescent="0.25">
      <c r="A43" s="1586"/>
      <c r="B43" s="1586"/>
      <c r="C43" s="1730" t="s">
        <v>2503</v>
      </c>
      <c r="D43" s="1588"/>
      <c r="E43" s="1588"/>
      <c r="F43" s="1589"/>
      <c r="G43" s="1588"/>
      <c r="H43" s="1590"/>
      <c r="I43" s="1590"/>
      <c r="J43" s="1647"/>
      <c r="K43" s="1647"/>
      <c r="L43" s="1647"/>
      <c r="M43" s="1647"/>
      <c r="N43" s="1648"/>
      <c r="O43" s="1622"/>
      <c r="P43" s="1727"/>
      <c r="Q43" s="1727"/>
      <c r="R43" s="1591"/>
      <c r="S43" s="1591"/>
      <c r="T43" s="1728"/>
      <c r="U43" s="1728"/>
      <c r="V43" s="1738">
        <f>43850</f>
        <v>43850</v>
      </c>
      <c r="W43" s="1591"/>
      <c r="X43" s="1591"/>
      <c r="Y43" s="1591"/>
      <c r="Z43" s="1591"/>
      <c r="AA43" s="1591"/>
      <c r="AB43" s="1591"/>
      <c r="AC43" s="1591"/>
      <c r="AD43" s="1591"/>
      <c r="AE43" s="1591"/>
      <c r="AF43" s="1580"/>
      <c r="AG43" s="1009">
        <f t="shared" si="1"/>
        <v>0</v>
      </c>
      <c r="AH43" s="1257">
        <v>1</v>
      </c>
      <c r="AJ43" s="1908"/>
    </row>
    <row r="44" spans="1:37" ht="36.75" customHeight="1" x14ac:dyDescent="0.25">
      <c r="A44" s="1576" t="s">
        <v>41</v>
      </c>
      <c r="B44" s="1576" t="s">
        <v>41</v>
      </c>
      <c r="C44" s="1579" t="s">
        <v>1867</v>
      </c>
      <c r="D44" s="1580"/>
      <c r="E44" s="1580"/>
      <c r="F44" s="1580"/>
      <c r="G44" s="1580"/>
      <c r="H44" s="1581">
        <f t="shared" ref="H44:AE44" si="19">H45+H174+H224+H337</f>
        <v>1451834.4849999999</v>
      </c>
      <c r="I44" s="1581">
        <f t="shared" si="19"/>
        <v>1538870.4849999999</v>
      </c>
      <c r="J44" s="1581">
        <f t="shared" si="19"/>
        <v>15000</v>
      </c>
      <c r="K44" s="1581">
        <f t="shared" si="19"/>
        <v>15000</v>
      </c>
      <c r="L44" s="1583">
        <f t="shared" si="19"/>
        <v>15000</v>
      </c>
      <c r="M44" s="1583">
        <f t="shared" si="19"/>
        <v>15000</v>
      </c>
      <c r="N44" s="1583">
        <f t="shared" si="19"/>
        <v>645199.52380952379</v>
      </c>
      <c r="O44" s="1583">
        <f t="shared" si="19"/>
        <v>645199.52380952379</v>
      </c>
      <c r="P44" s="1583">
        <f t="shared" si="19"/>
        <v>667073</v>
      </c>
      <c r="Q44" s="1583">
        <f t="shared" si="19"/>
        <v>667073</v>
      </c>
      <c r="R44" s="1583">
        <f t="shared" si="19"/>
        <v>245520</v>
      </c>
      <c r="S44" s="1583">
        <f t="shared" si="19"/>
        <v>225719.52380952379</v>
      </c>
      <c r="T44" s="1583">
        <f t="shared" si="19"/>
        <v>665000</v>
      </c>
      <c r="U44" s="1583">
        <f t="shared" si="19"/>
        <v>665000</v>
      </c>
      <c r="V44" s="1583">
        <f t="shared" si="19"/>
        <v>280700</v>
      </c>
      <c r="W44" s="1583">
        <f t="shared" si="19"/>
        <v>28215</v>
      </c>
      <c r="X44" s="1583">
        <f t="shared" si="19"/>
        <v>918085</v>
      </c>
      <c r="Y44" s="1583">
        <f t="shared" si="19"/>
        <v>917485</v>
      </c>
      <c r="Z44" s="1583">
        <v>976596</v>
      </c>
      <c r="AA44" s="1583">
        <v>974596</v>
      </c>
      <c r="AB44" s="1583">
        <f>AB224</f>
        <v>5040</v>
      </c>
      <c r="AC44" s="1583">
        <f>AC224+AC643</f>
        <v>0</v>
      </c>
      <c r="AD44" s="1583">
        <f t="shared" si="19"/>
        <v>981636</v>
      </c>
      <c r="AE44" s="1583">
        <f t="shared" si="19"/>
        <v>979636</v>
      </c>
      <c r="AF44" s="1585"/>
      <c r="AG44" s="1009">
        <f t="shared" si="1"/>
        <v>1</v>
      </c>
      <c r="AH44" s="1009">
        <f t="shared" si="9"/>
        <v>1</v>
      </c>
      <c r="AI44" s="1908">
        <f>IF(I44-Y44&gt;=0,1,0)</f>
        <v>1</v>
      </c>
      <c r="AJ44" s="1908"/>
      <c r="AK44" s="1908"/>
    </row>
    <row r="45" spans="1:37" ht="25.5" hidden="1" customHeight="1" x14ac:dyDescent="0.25">
      <c r="A45" s="1576">
        <v>1</v>
      </c>
      <c r="B45" s="1576">
        <v>1</v>
      </c>
      <c r="C45" s="1579" t="s">
        <v>1263</v>
      </c>
      <c r="D45" s="1580"/>
      <c r="E45" s="1580"/>
      <c r="F45" s="1580"/>
      <c r="G45" s="1580"/>
      <c r="H45" s="1581">
        <f t="shared" ref="H45" si="20">H52</f>
        <v>319637.2</v>
      </c>
      <c r="I45" s="1581">
        <f>I46+I52</f>
        <v>452465.2</v>
      </c>
      <c r="J45" s="1581">
        <f t="shared" ref="J45:Y45" si="21">J46+J52</f>
        <v>4500</v>
      </c>
      <c r="K45" s="1581">
        <f t="shared" si="21"/>
        <v>4500</v>
      </c>
      <c r="L45" s="1581">
        <f t="shared" si="21"/>
        <v>4500</v>
      </c>
      <c r="M45" s="1581">
        <f t="shared" si="21"/>
        <v>4500</v>
      </c>
      <c r="N45" s="1581">
        <f t="shared" si="21"/>
        <v>200000</v>
      </c>
      <c r="O45" s="1581">
        <f t="shared" si="21"/>
        <v>200000</v>
      </c>
      <c r="P45" s="1581">
        <f t="shared" si="21"/>
        <v>200000</v>
      </c>
      <c r="Q45" s="1581">
        <f t="shared" si="21"/>
        <v>200000</v>
      </c>
      <c r="R45" s="1581">
        <f t="shared" si="21"/>
        <v>68180</v>
      </c>
      <c r="S45" s="1581">
        <f t="shared" si="21"/>
        <v>68180</v>
      </c>
      <c r="T45" s="1581">
        <f t="shared" si="21"/>
        <v>200000</v>
      </c>
      <c r="U45" s="1581">
        <f t="shared" si="21"/>
        <v>200000</v>
      </c>
      <c r="V45" s="1581">
        <f t="shared" si="21"/>
        <v>70700</v>
      </c>
      <c r="W45" s="1581">
        <f t="shared" si="21"/>
        <v>0</v>
      </c>
      <c r="X45" s="1581">
        <f t="shared" si="21"/>
        <v>270700</v>
      </c>
      <c r="Y45" s="1581">
        <f t="shared" si="21"/>
        <v>270700</v>
      </c>
      <c r="Z45" s="1581">
        <v>289776</v>
      </c>
      <c r="AA45" s="1581">
        <v>287776</v>
      </c>
      <c r="AB45" s="1581">
        <f t="shared" ref="AB45:AC45" si="22">AB46+AB52</f>
        <v>0</v>
      </c>
      <c r="AC45" s="1584">
        <f t="shared" si="22"/>
        <v>0</v>
      </c>
      <c r="AD45" s="1581">
        <f t="shared" ref="AD45:AE45" si="23">AD46+AD52</f>
        <v>289776</v>
      </c>
      <c r="AE45" s="1581">
        <f t="shared" si="23"/>
        <v>287776</v>
      </c>
      <c r="AF45" s="1585"/>
      <c r="AG45" s="1009">
        <f t="shared" si="1"/>
        <v>0</v>
      </c>
      <c r="AH45" s="1009">
        <f t="shared" si="9"/>
        <v>1</v>
      </c>
      <c r="AI45" s="1908">
        <f t="shared" ref="AI45:AI108" si="24">IF(I45-Y45&gt;=0,1,0)</f>
        <v>1</v>
      </c>
      <c r="AJ45" s="1908"/>
    </row>
    <row r="46" spans="1:37" ht="54.75" hidden="1" customHeight="1" x14ac:dyDescent="0.25">
      <c r="A46" s="1600" t="s">
        <v>2781</v>
      </c>
      <c r="B46" s="1600"/>
      <c r="C46" s="1602" t="s">
        <v>46</v>
      </c>
      <c r="D46" s="1603"/>
      <c r="E46" s="1603"/>
      <c r="F46" s="1603"/>
      <c r="G46" s="1603"/>
      <c r="H46" s="1604">
        <f t="shared" ref="H46:Y46" si="25">H47</f>
        <v>6944</v>
      </c>
      <c r="I46" s="1604">
        <f t="shared" si="25"/>
        <v>6944</v>
      </c>
      <c r="J46" s="1604">
        <f t="shared" si="25"/>
        <v>4500</v>
      </c>
      <c r="K46" s="1604">
        <f t="shared" si="25"/>
        <v>4500</v>
      </c>
      <c r="L46" s="1604">
        <f t="shared" si="25"/>
        <v>4500</v>
      </c>
      <c r="M46" s="1604">
        <f t="shared" si="25"/>
        <v>4500</v>
      </c>
      <c r="N46" s="1604">
        <f t="shared" si="25"/>
        <v>1500</v>
      </c>
      <c r="O46" s="1604">
        <f t="shared" si="25"/>
        <v>1500</v>
      </c>
      <c r="P46" s="1605">
        <f t="shared" si="25"/>
        <v>1500</v>
      </c>
      <c r="Q46" s="1605">
        <f t="shared" si="25"/>
        <v>1500</v>
      </c>
      <c r="R46" s="1604">
        <f t="shared" si="25"/>
        <v>0</v>
      </c>
      <c r="S46" s="1604">
        <f t="shared" si="25"/>
        <v>0</v>
      </c>
      <c r="T46" s="1741">
        <f t="shared" si="25"/>
        <v>1500</v>
      </c>
      <c r="U46" s="1741">
        <f t="shared" si="25"/>
        <v>1500</v>
      </c>
      <c r="V46" s="1604">
        <f t="shared" si="25"/>
        <v>0</v>
      </c>
      <c r="W46" s="1604">
        <f t="shared" si="25"/>
        <v>0</v>
      </c>
      <c r="X46" s="1741">
        <f t="shared" si="25"/>
        <v>1500</v>
      </c>
      <c r="Y46" s="1741">
        <f t="shared" si="25"/>
        <v>1500</v>
      </c>
      <c r="Z46" s="1741">
        <v>1500</v>
      </c>
      <c r="AA46" s="1741">
        <v>1500</v>
      </c>
      <c r="AB46" s="1741"/>
      <c r="AC46" s="1584"/>
      <c r="AD46" s="1741">
        <f t="shared" ref="AD46:AE46" si="26">AD47</f>
        <v>1500</v>
      </c>
      <c r="AE46" s="1741">
        <f t="shared" si="26"/>
        <v>1500</v>
      </c>
      <c r="AF46" s="1606"/>
      <c r="AG46" s="1009">
        <f t="shared" si="1"/>
        <v>0</v>
      </c>
      <c r="AH46" s="1009">
        <f t="shared" si="9"/>
        <v>1</v>
      </c>
      <c r="AI46" s="1908">
        <f t="shared" si="24"/>
        <v>1</v>
      </c>
    </row>
    <row r="47" spans="1:37" ht="36.75" hidden="1" customHeight="1" x14ac:dyDescent="0.25">
      <c r="A47" s="1601"/>
      <c r="B47" s="1601"/>
      <c r="C47" s="1602" t="s">
        <v>48</v>
      </c>
      <c r="D47" s="1603"/>
      <c r="E47" s="1603"/>
      <c r="F47" s="1603"/>
      <c r="G47" s="1603"/>
      <c r="H47" s="1604">
        <f t="shared" ref="H47:Y47" si="27">SUM(H49:H51)</f>
        <v>6944</v>
      </c>
      <c r="I47" s="1604">
        <f t="shared" si="27"/>
        <v>6944</v>
      </c>
      <c r="J47" s="1604">
        <f t="shared" si="27"/>
        <v>4500</v>
      </c>
      <c r="K47" s="1604">
        <f t="shared" si="27"/>
        <v>4500</v>
      </c>
      <c r="L47" s="1604">
        <f t="shared" si="27"/>
        <v>4500</v>
      </c>
      <c r="M47" s="1604">
        <f t="shared" si="27"/>
        <v>4500</v>
      </c>
      <c r="N47" s="1604">
        <f t="shared" si="27"/>
        <v>1500</v>
      </c>
      <c r="O47" s="1604">
        <f t="shared" si="27"/>
        <v>1500</v>
      </c>
      <c r="P47" s="1605">
        <f t="shared" si="27"/>
        <v>1500</v>
      </c>
      <c r="Q47" s="1605">
        <f t="shared" si="27"/>
        <v>1500</v>
      </c>
      <c r="R47" s="1604">
        <f t="shared" si="27"/>
        <v>0</v>
      </c>
      <c r="S47" s="1604">
        <f t="shared" si="27"/>
        <v>0</v>
      </c>
      <c r="T47" s="1741">
        <f t="shared" si="27"/>
        <v>1500</v>
      </c>
      <c r="U47" s="1741">
        <f t="shared" si="27"/>
        <v>1500</v>
      </c>
      <c r="V47" s="1604">
        <f t="shared" si="27"/>
        <v>0</v>
      </c>
      <c r="W47" s="1604">
        <f t="shared" si="27"/>
        <v>0</v>
      </c>
      <c r="X47" s="1741">
        <f t="shared" si="27"/>
        <v>1500</v>
      </c>
      <c r="Y47" s="1741">
        <f t="shared" si="27"/>
        <v>1500</v>
      </c>
      <c r="Z47" s="1741">
        <v>1500</v>
      </c>
      <c r="AA47" s="1741">
        <v>1500</v>
      </c>
      <c r="AB47" s="1741"/>
      <c r="AC47" s="1584"/>
      <c r="AD47" s="1741">
        <f t="shared" ref="AD47:AE47" si="28">SUM(AD49:AD51)</f>
        <v>1500</v>
      </c>
      <c r="AE47" s="1741">
        <f t="shared" si="28"/>
        <v>1500</v>
      </c>
      <c r="AF47" s="1742"/>
      <c r="AG47" s="1009">
        <f t="shared" si="1"/>
        <v>0</v>
      </c>
      <c r="AH47" s="1009">
        <f t="shared" si="9"/>
        <v>1</v>
      </c>
      <c r="AI47" s="1908">
        <f t="shared" si="24"/>
        <v>1</v>
      </c>
    </row>
    <row r="48" spans="1:37" ht="20.25" hidden="1" customHeight="1" x14ac:dyDescent="0.25">
      <c r="A48" s="1601"/>
      <c r="B48" s="1601"/>
      <c r="C48" s="1602" t="s">
        <v>49</v>
      </c>
      <c r="D48" s="1743"/>
      <c r="E48" s="1743"/>
      <c r="F48" s="1743"/>
      <c r="G48" s="1743"/>
      <c r="H48" s="1744"/>
      <c r="I48" s="1744"/>
      <c r="J48" s="1744"/>
      <c r="K48" s="1744"/>
      <c r="L48" s="1744"/>
      <c r="M48" s="1744"/>
      <c r="N48" s="1744"/>
      <c r="O48" s="1744"/>
      <c r="P48" s="1745"/>
      <c r="Q48" s="1745"/>
      <c r="R48" s="1744"/>
      <c r="S48" s="1744"/>
      <c r="T48" s="1739"/>
      <c r="U48" s="1739"/>
      <c r="V48" s="1744"/>
      <c r="W48" s="1744"/>
      <c r="X48" s="1739"/>
      <c r="Y48" s="1739"/>
      <c r="Z48" s="1739"/>
      <c r="AA48" s="1739"/>
      <c r="AB48" s="1739"/>
      <c r="AC48" s="1584"/>
      <c r="AD48" s="1739"/>
      <c r="AE48" s="1739"/>
      <c r="AF48" s="1742"/>
      <c r="AG48" s="1009">
        <f t="shared" si="1"/>
        <v>0</v>
      </c>
      <c r="AH48" s="1009">
        <f t="shared" si="9"/>
        <v>0</v>
      </c>
      <c r="AI48" s="1908">
        <f t="shared" si="24"/>
        <v>1</v>
      </c>
    </row>
    <row r="49" spans="1:36" ht="72" hidden="1" customHeight="1" x14ac:dyDescent="0.25">
      <c r="A49" s="1601" t="s">
        <v>2782</v>
      </c>
      <c r="B49" s="1601"/>
      <c r="C49" s="1746" t="s">
        <v>50</v>
      </c>
      <c r="D49" s="1603"/>
      <c r="E49" s="1603"/>
      <c r="F49" s="1603"/>
      <c r="G49" s="1603"/>
      <c r="H49" s="1604"/>
      <c r="I49" s="1604"/>
      <c r="J49" s="1604"/>
      <c r="K49" s="1604"/>
      <c r="L49" s="1604"/>
      <c r="M49" s="1604"/>
      <c r="N49" s="1604"/>
      <c r="O49" s="1604"/>
      <c r="P49" s="1605"/>
      <c r="Q49" s="1605"/>
      <c r="R49" s="1604"/>
      <c r="S49" s="1604"/>
      <c r="T49" s="1741"/>
      <c r="U49" s="1741"/>
      <c r="V49" s="1604"/>
      <c r="W49" s="1604"/>
      <c r="X49" s="1741"/>
      <c r="Y49" s="1741"/>
      <c r="Z49" s="1741"/>
      <c r="AA49" s="1741"/>
      <c r="AB49" s="1741"/>
      <c r="AC49" s="1584"/>
      <c r="AD49" s="1741"/>
      <c r="AE49" s="1741"/>
      <c r="AF49" s="1605"/>
      <c r="AG49" s="1009">
        <f t="shared" si="1"/>
        <v>0</v>
      </c>
      <c r="AH49" s="1009">
        <f t="shared" si="9"/>
        <v>0</v>
      </c>
      <c r="AI49" s="1908">
        <f t="shared" si="24"/>
        <v>1</v>
      </c>
    </row>
    <row r="50" spans="1:36" ht="59.25" hidden="1" customHeight="1" x14ac:dyDescent="0.25">
      <c r="A50" s="1677" t="s">
        <v>2783</v>
      </c>
      <c r="B50" s="1677"/>
      <c r="C50" s="1635" t="s">
        <v>1866</v>
      </c>
      <c r="D50" s="1610" t="s">
        <v>1865</v>
      </c>
      <c r="E50" s="1608"/>
      <c r="F50" s="1610" t="s">
        <v>199</v>
      </c>
      <c r="G50" s="1636" t="s">
        <v>1864</v>
      </c>
      <c r="H50" s="1622">
        <v>4615</v>
      </c>
      <c r="I50" s="1613">
        <f>H50</f>
        <v>4615</v>
      </c>
      <c r="J50" s="1622">
        <v>3000</v>
      </c>
      <c r="K50" s="1747">
        <f>J50</f>
        <v>3000</v>
      </c>
      <c r="L50" s="1622">
        <v>3000</v>
      </c>
      <c r="M50" s="1747">
        <f>L50</f>
        <v>3000</v>
      </c>
      <c r="N50" s="1622">
        <v>1100</v>
      </c>
      <c r="O50" s="1747">
        <f>N50</f>
        <v>1100</v>
      </c>
      <c r="P50" s="1587">
        <v>1100</v>
      </c>
      <c r="Q50" s="1748">
        <f>P50</f>
        <v>1100</v>
      </c>
      <c r="R50" s="1591"/>
      <c r="S50" s="1591"/>
      <c r="T50" s="1623">
        <v>1100</v>
      </c>
      <c r="U50" s="1623">
        <v>1100</v>
      </c>
      <c r="V50" s="1591"/>
      <c r="W50" s="1591"/>
      <c r="X50" s="1591">
        <v>1100</v>
      </c>
      <c r="Y50" s="1591">
        <v>1100</v>
      </c>
      <c r="Z50" s="1591">
        <v>1100</v>
      </c>
      <c r="AA50" s="1591">
        <v>1100</v>
      </c>
      <c r="AB50" s="1591"/>
      <c r="AC50" s="1584"/>
      <c r="AD50" s="1591">
        <f>AE50</f>
        <v>1100</v>
      </c>
      <c r="AE50" s="1591">
        <f>AA50+AB50+AC50</f>
        <v>1100</v>
      </c>
      <c r="AF50" s="1605"/>
      <c r="AG50" s="1009">
        <f t="shared" si="1"/>
        <v>0</v>
      </c>
      <c r="AH50" s="1009">
        <f t="shared" si="9"/>
        <v>1</v>
      </c>
      <c r="AI50" s="1908">
        <f t="shared" si="24"/>
        <v>1</v>
      </c>
    </row>
    <row r="51" spans="1:36" ht="54" hidden="1" customHeight="1" x14ac:dyDescent="0.25">
      <c r="A51" s="1677" t="s">
        <v>2784</v>
      </c>
      <c r="B51" s="1672"/>
      <c r="C51" s="1635" t="s">
        <v>1863</v>
      </c>
      <c r="D51" s="1608" t="s">
        <v>1252</v>
      </c>
      <c r="E51" s="1608" t="s">
        <v>1862</v>
      </c>
      <c r="F51" s="1749" t="s">
        <v>199</v>
      </c>
      <c r="G51" s="1588" t="s">
        <v>1861</v>
      </c>
      <c r="H51" s="1622">
        <v>2329</v>
      </c>
      <c r="I51" s="1613">
        <f>H51</f>
        <v>2329</v>
      </c>
      <c r="J51" s="1633">
        <v>1500</v>
      </c>
      <c r="K51" s="1682">
        <f>J51</f>
        <v>1500</v>
      </c>
      <c r="L51" s="1633">
        <v>1500</v>
      </c>
      <c r="M51" s="1682">
        <f>L51</f>
        <v>1500</v>
      </c>
      <c r="N51" s="1633">
        <v>400</v>
      </c>
      <c r="O51" s="1747">
        <f>N51</f>
        <v>400</v>
      </c>
      <c r="P51" s="1635">
        <v>400</v>
      </c>
      <c r="Q51" s="1748">
        <f>P51</f>
        <v>400</v>
      </c>
      <c r="R51" s="1591"/>
      <c r="S51" s="1591"/>
      <c r="T51" s="1750">
        <v>400</v>
      </c>
      <c r="U51" s="1623">
        <v>400</v>
      </c>
      <c r="V51" s="1591"/>
      <c r="W51" s="1591"/>
      <c r="X51" s="1591">
        <v>400</v>
      </c>
      <c r="Y51" s="1591">
        <v>400</v>
      </c>
      <c r="Z51" s="1591">
        <v>400</v>
      </c>
      <c r="AA51" s="1591">
        <v>400</v>
      </c>
      <c r="AB51" s="1591"/>
      <c r="AC51" s="1584"/>
      <c r="AD51" s="1591">
        <f>AE51</f>
        <v>400</v>
      </c>
      <c r="AE51" s="1591">
        <f>AA51+AB51+AC51</f>
        <v>400</v>
      </c>
      <c r="AF51" s="1751"/>
      <c r="AG51" s="1009">
        <f t="shared" si="1"/>
        <v>0</v>
      </c>
      <c r="AH51" s="1009">
        <f t="shared" si="9"/>
        <v>1</v>
      </c>
      <c r="AI51" s="1908">
        <f t="shared" si="24"/>
        <v>1</v>
      </c>
    </row>
    <row r="52" spans="1:36" ht="42.75" hidden="1" customHeight="1" x14ac:dyDescent="0.25">
      <c r="A52" s="1600" t="s">
        <v>2789</v>
      </c>
      <c r="B52" s="1600" t="s">
        <v>2789</v>
      </c>
      <c r="C52" s="1602" t="s">
        <v>86</v>
      </c>
      <c r="D52" s="1603"/>
      <c r="E52" s="1603"/>
      <c r="F52" s="1603"/>
      <c r="G52" s="1603"/>
      <c r="H52" s="1604">
        <f>H53</f>
        <v>319637.2</v>
      </c>
      <c r="I52" s="1604">
        <f>I53+I133</f>
        <v>445521.2</v>
      </c>
      <c r="J52" s="1604">
        <f t="shared" ref="J52:Y52" si="29">J53+J133</f>
        <v>0</v>
      </c>
      <c r="K52" s="1604">
        <f t="shared" si="29"/>
        <v>0</v>
      </c>
      <c r="L52" s="1604">
        <f t="shared" si="29"/>
        <v>0</v>
      </c>
      <c r="M52" s="1604">
        <f t="shared" si="29"/>
        <v>0</v>
      </c>
      <c r="N52" s="1604">
        <f t="shared" si="29"/>
        <v>198500</v>
      </c>
      <c r="O52" s="1604">
        <f t="shared" si="29"/>
        <v>198500</v>
      </c>
      <c r="P52" s="1604">
        <f t="shared" si="29"/>
        <v>198500</v>
      </c>
      <c r="Q52" s="1604">
        <f t="shared" si="29"/>
        <v>198500</v>
      </c>
      <c r="R52" s="1604">
        <f t="shared" si="29"/>
        <v>68180</v>
      </c>
      <c r="S52" s="1604">
        <f t="shared" si="29"/>
        <v>68180</v>
      </c>
      <c r="T52" s="1604">
        <f t="shared" si="29"/>
        <v>198500</v>
      </c>
      <c r="U52" s="1604">
        <f t="shared" si="29"/>
        <v>198500</v>
      </c>
      <c r="V52" s="1604">
        <f t="shared" si="29"/>
        <v>70700</v>
      </c>
      <c r="W52" s="1604">
        <f t="shared" si="29"/>
        <v>0</v>
      </c>
      <c r="X52" s="1604">
        <f t="shared" si="29"/>
        <v>269200</v>
      </c>
      <c r="Y52" s="1604">
        <f t="shared" si="29"/>
        <v>269200</v>
      </c>
      <c r="Z52" s="1604">
        <v>288276</v>
      </c>
      <c r="AA52" s="1604">
        <v>286276</v>
      </c>
      <c r="AB52" s="1604"/>
      <c r="AC52" s="1584"/>
      <c r="AD52" s="1604">
        <f t="shared" ref="AD52:AE52" si="30">AD53+AD133</f>
        <v>288276</v>
      </c>
      <c r="AE52" s="1604">
        <f t="shared" si="30"/>
        <v>286276</v>
      </c>
      <c r="AF52" s="1606"/>
      <c r="AG52" s="1009">
        <f t="shared" si="1"/>
        <v>0</v>
      </c>
      <c r="AH52" s="1009">
        <f>IF(Y52=0,0,1)</f>
        <v>1</v>
      </c>
      <c r="AI52" s="1908">
        <f t="shared" si="24"/>
        <v>1</v>
      </c>
      <c r="AJ52" s="1908"/>
    </row>
    <row r="53" spans="1:36" ht="60.75" hidden="1" customHeight="1" x14ac:dyDescent="0.25">
      <c r="A53" s="1601" t="s">
        <v>2790</v>
      </c>
      <c r="B53" s="1601" t="s">
        <v>2790</v>
      </c>
      <c r="C53" s="1602" t="s">
        <v>88</v>
      </c>
      <c r="D53" s="1603"/>
      <c r="E53" s="1603"/>
      <c r="F53" s="1603"/>
      <c r="G53" s="1603"/>
      <c r="H53" s="1604">
        <f t="shared" ref="H53:X53" si="31">SUM(H54:H132)</f>
        <v>319637.2</v>
      </c>
      <c r="I53" s="1604">
        <f t="shared" si="31"/>
        <v>319637.2</v>
      </c>
      <c r="J53" s="1604">
        <f t="shared" si="31"/>
        <v>0</v>
      </c>
      <c r="K53" s="1604">
        <f t="shared" si="31"/>
        <v>0</v>
      </c>
      <c r="L53" s="1604">
        <f t="shared" si="31"/>
        <v>0</v>
      </c>
      <c r="M53" s="1604">
        <f t="shared" si="31"/>
        <v>0</v>
      </c>
      <c r="N53" s="1604">
        <f t="shared" si="31"/>
        <v>198500</v>
      </c>
      <c r="O53" s="1604">
        <f t="shared" si="31"/>
        <v>198500</v>
      </c>
      <c r="P53" s="1604">
        <f t="shared" si="31"/>
        <v>198500</v>
      </c>
      <c r="Q53" s="1604">
        <f t="shared" si="31"/>
        <v>198500</v>
      </c>
      <c r="R53" s="1604">
        <f t="shared" si="31"/>
        <v>68180</v>
      </c>
      <c r="S53" s="1604">
        <f t="shared" si="31"/>
        <v>68180</v>
      </c>
      <c r="T53" s="1604">
        <f t="shared" si="31"/>
        <v>198500</v>
      </c>
      <c r="U53" s="1604">
        <f t="shared" si="31"/>
        <v>198500</v>
      </c>
      <c r="V53" s="1604">
        <f>SUM(V54:V132)</f>
        <v>0</v>
      </c>
      <c r="W53" s="1604">
        <f t="shared" si="31"/>
        <v>0</v>
      </c>
      <c r="X53" s="1604">
        <f t="shared" si="31"/>
        <v>198500</v>
      </c>
      <c r="Y53" s="1604">
        <f>SUM(Y54:Y132)</f>
        <v>198500</v>
      </c>
      <c r="Z53" s="1604">
        <v>182636</v>
      </c>
      <c r="AA53" s="1604">
        <v>182636</v>
      </c>
      <c r="AB53" s="1604"/>
      <c r="AC53" s="1584"/>
      <c r="AD53" s="1604">
        <f t="shared" ref="AD53" si="32">SUM(AD54:AD132)</f>
        <v>182636</v>
      </c>
      <c r="AE53" s="1604">
        <f>SUM(AE54:AE132)</f>
        <v>182636</v>
      </c>
      <c r="AF53" s="1606"/>
      <c r="AG53" s="1009">
        <f t="shared" si="1"/>
        <v>0</v>
      </c>
      <c r="AH53" s="1009">
        <f t="shared" si="9"/>
        <v>1</v>
      </c>
      <c r="AI53" s="1908">
        <f t="shared" si="24"/>
        <v>1</v>
      </c>
    </row>
    <row r="54" spans="1:36" ht="66" hidden="1" x14ac:dyDescent="0.25">
      <c r="A54" s="1677" t="s">
        <v>2791</v>
      </c>
      <c r="B54" s="1677"/>
      <c r="C54" s="1635" t="s">
        <v>1860</v>
      </c>
      <c r="D54" s="1610" t="s">
        <v>1859</v>
      </c>
      <c r="E54" s="1610" t="s">
        <v>1858</v>
      </c>
      <c r="F54" s="1610" t="s">
        <v>199</v>
      </c>
      <c r="G54" s="1636" t="s">
        <v>3465</v>
      </c>
      <c r="H54" s="1622">
        <v>20085</v>
      </c>
      <c r="I54" s="1613">
        <f t="shared" ref="I54:I75" si="33">H54</f>
        <v>20085</v>
      </c>
      <c r="J54" s="1747"/>
      <c r="K54" s="1747"/>
      <c r="L54" s="1747"/>
      <c r="M54" s="1747"/>
      <c r="N54" s="1747">
        <v>13460</v>
      </c>
      <c r="O54" s="1747">
        <f t="shared" ref="O54:O117" si="34">N54</f>
        <v>13460</v>
      </c>
      <c r="P54" s="1748">
        <v>20000</v>
      </c>
      <c r="Q54" s="1748">
        <f t="shared" ref="Q54:Q60" si="35">P54</f>
        <v>20000</v>
      </c>
      <c r="R54" s="1747">
        <f>U54-O54</f>
        <v>6540</v>
      </c>
      <c r="S54" s="1747"/>
      <c r="T54" s="1623">
        <v>20000</v>
      </c>
      <c r="U54" s="1623">
        <v>20000</v>
      </c>
      <c r="V54" s="1747"/>
      <c r="W54" s="1747"/>
      <c r="X54" s="1591">
        <v>20000</v>
      </c>
      <c r="Y54" s="1591">
        <v>20000</v>
      </c>
      <c r="Z54" s="1591">
        <v>20000</v>
      </c>
      <c r="AA54" s="1591">
        <v>20000</v>
      </c>
      <c r="AB54" s="1591"/>
      <c r="AC54" s="1584"/>
      <c r="AD54" s="1591">
        <f>AE54</f>
        <v>20000</v>
      </c>
      <c r="AE54" s="1591">
        <f t="shared" ref="AE54:AE85" si="36">AA54+AB54+AC54</f>
        <v>20000</v>
      </c>
      <c r="AF54" s="1751"/>
      <c r="AG54" s="1009">
        <f t="shared" si="1"/>
        <v>0</v>
      </c>
      <c r="AH54" s="1009">
        <f t="shared" si="9"/>
        <v>1</v>
      </c>
      <c r="AI54" s="1908">
        <f t="shared" si="24"/>
        <v>1</v>
      </c>
    </row>
    <row r="55" spans="1:36" ht="69.75" hidden="1" customHeight="1" x14ac:dyDescent="0.25">
      <c r="A55" s="1677" t="s">
        <v>2792</v>
      </c>
      <c r="B55" s="1677"/>
      <c r="C55" s="1635" t="s">
        <v>1856</v>
      </c>
      <c r="D55" s="1610" t="s">
        <v>1252</v>
      </c>
      <c r="E55" s="1610" t="s">
        <v>1855</v>
      </c>
      <c r="F55" s="1610" t="s">
        <v>199</v>
      </c>
      <c r="G55" s="1636" t="s">
        <v>1854</v>
      </c>
      <c r="H55" s="1622">
        <v>2888</v>
      </c>
      <c r="I55" s="1613">
        <f t="shared" si="33"/>
        <v>2888</v>
      </c>
      <c r="J55" s="1747"/>
      <c r="K55" s="1747"/>
      <c r="L55" s="1747"/>
      <c r="M55" s="1747"/>
      <c r="N55" s="1747">
        <v>2490</v>
      </c>
      <c r="O55" s="1747">
        <f t="shared" si="34"/>
        <v>2490</v>
      </c>
      <c r="P55" s="1748">
        <v>2350</v>
      </c>
      <c r="Q55" s="1748">
        <f t="shared" si="35"/>
        <v>2350</v>
      </c>
      <c r="R55" s="1747"/>
      <c r="S55" s="1747">
        <f>O55-U55</f>
        <v>140</v>
      </c>
      <c r="T55" s="1623">
        <v>2350</v>
      </c>
      <c r="U55" s="1623">
        <v>2350</v>
      </c>
      <c r="V55" s="1747"/>
      <c r="W55" s="1747"/>
      <c r="X55" s="1591">
        <v>2350</v>
      </c>
      <c r="Y55" s="1591">
        <v>2350</v>
      </c>
      <c r="Z55" s="1591">
        <v>2350</v>
      </c>
      <c r="AA55" s="1591">
        <v>2350</v>
      </c>
      <c r="AB55" s="1591"/>
      <c r="AC55" s="1584"/>
      <c r="AD55" s="1591">
        <f t="shared" ref="AD55:AD118" si="37">AE55</f>
        <v>2350</v>
      </c>
      <c r="AE55" s="1591">
        <f t="shared" si="36"/>
        <v>2350</v>
      </c>
      <c r="AF55" s="1599"/>
      <c r="AG55" s="1009">
        <f t="shared" si="1"/>
        <v>0</v>
      </c>
      <c r="AH55" s="1009">
        <f t="shared" si="9"/>
        <v>1</v>
      </c>
      <c r="AI55" s="1908">
        <f t="shared" si="24"/>
        <v>1</v>
      </c>
    </row>
    <row r="56" spans="1:36" ht="49.5" hidden="1" x14ac:dyDescent="0.25">
      <c r="A56" s="1677" t="s">
        <v>2793</v>
      </c>
      <c r="B56" s="1677"/>
      <c r="C56" s="1635" t="s">
        <v>1853</v>
      </c>
      <c r="D56" s="1610" t="s">
        <v>1806</v>
      </c>
      <c r="E56" s="1610" t="s">
        <v>1852</v>
      </c>
      <c r="F56" s="1610" t="s">
        <v>199</v>
      </c>
      <c r="G56" s="1636" t="s">
        <v>1851</v>
      </c>
      <c r="H56" s="1622">
        <v>2842</v>
      </c>
      <c r="I56" s="1613">
        <f t="shared" si="33"/>
        <v>2842</v>
      </c>
      <c r="J56" s="1747"/>
      <c r="K56" s="1747"/>
      <c r="L56" s="1747"/>
      <c r="M56" s="1747"/>
      <c r="N56" s="1747">
        <v>2340</v>
      </c>
      <c r="O56" s="1747">
        <f t="shared" si="34"/>
        <v>2340</v>
      </c>
      <c r="P56" s="1748">
        <v>2640</v>
      </c>
      <c r="Q56" s="1748">
        <f t="shared" si="35"/>
        <v>2640</v>
      </c>
      <c r="R56" s="1747">
        <f>U56-O56</f>
        <v>300</v>
      </c>
      <c r="S56" s="1747"/>
      <c r="T56" s="1623">
        <v>2640</v>
      </c>
      <c r="U56" s="1623">
        <v>2640</v>
      </c>
      <c r="V56" s="1747"/>
      <c r="W56" s="1747"/>
      <c r="X56" s="1623">
        <v>2640</v>
      </c>
      <c r="Y56" s="1623">
        <v>2640</v>
      </c>
      <c r="Z56" s="1623">
        <v>2640</v>
      </c>
      <c r="AA56" s="1623">
        <v>2640</v>
      </c>
      <c r="AB56" s="1623"/>
      <c r="AC56" s="1623"/>
      <c r="AD56" s="1591">
        <f t="shared" si="37"/>
        <v>2640</v>
      </c>
      <c r="AE56" s="1591">
        <f t="shared" si="36"/>
        <v>2640</v>
      </c>
      <c r="AF56" s="1599"/>
      <c r="AG56" s="1009">
        <f t="shared" si="1"/>
        <v>0</v>
      </c>
      <c r="AH56" s="1009">
        <f t="shared" si="9"/>
        <v>1</v>
      </c>
      <c r="AI56" s="1908">
        <f t="shared" si="24"/>
        <v>1</v>
      </c>
    </row>
    <row r="57" spans="1:36" ht="53.25" hidden="1" customHeight="1" x14ac:dyDescent="0.25">
      <c r="A57" s="1677" t="s">
        <v>2794</v>
      </c>
      <c r="B57" s="1677"/>
      <c r="C57" s="1635" t="s">
        <v>1850</v>
      </c>
      <c r="D57" s="1610" t="s">
        <v>1709</v>
      </c>
      <c r="E57" s="1610" t="s">
        <v>1849</v>
      </c>
      <c r="F57" s="1610" t="s">
        <v>199</v>
      </c>
      <c r="G57" s="1636" t="s">
        <v>1848</v>
      </c>
      <c r="H57" s="1622">
        <v>3166</v>
      </c>
      <c r="I57" s="1613">
        <f t="shared" si="33"/>
        <v>3166</v>
      </c>
      <c r="J57" s="1747"/>
      <c r="K57" s="1747"/>
      <c r="L57" s="1747"/>
      <c r="M57" s="1747"/>
      <c r="N57" s="1747">
        <v>2600</v>
      </c>
      <c r="O57" s="1747">
        <f t="shared" si="34"/>
        <v>2600</v>
      </c>
      <c r="P57" s="1748">
        <v>2300</v>
      </c>
      <c r="Q57" s="1748">
        <f t="shared" si="35"/>
        <v>2300</v>
      </c>
      <c r="R57" s="1747"/>
      <c r="S57" s="1747">
        <f t="shared" ref="S57:S75" si="38">O57-U57</f>
        <v>300</v>
      </c>
      <c r="T57" s="1623">
        <v>2300</v>
      </c>
      <c r="U57" s="1623">
        <v>2300</v>
      </c>
      <c r="V57" s="1747"/>
      <c r="W57" s="1747"/>
      <c r="X57" s="1623">
        <v>2300</v>
      </c>
      <c r="Y57" s="1623">
        <v>2300</v>
      </c>
      <c r="Z57" s="1623">
        <v>2300</v>
      </c>
      <c r="AA57" s="1623">
        <v>2300</v>
      </c>
      <c r="AB57" s="1623"/>
      <c r="AC57" s="1623"/>
      <c r="AD57" s="1591">
        <f t="shared" si="37"/>
        <v>2300</v>
      </c>
      <c r="AE57" s="1591">
        <f t="shared" si="36"/>
        <v>2300</v>
      </c>
      <c r="AF57" s="1599"/>
      <c r="AG57" s="1009">
        <f t="shared" si="1"/>
        <v>0</v>
      </c>
      <c r="AH57" s="1009">
        <f t="shared" si="9"/>
        <v>1</v>
      </c>
      <c r="AI57" s="1908">
        <f t="shared" si="24"/>
        <v>1</v>
      </c>
    </row>
    <row r="58" spans="1:36" ht="49.5" hidden="1" x14ac:dyDescent="0.25">
      <c r="A58" s="1677" t="s">
        <v>2795</v>
      </c>
      <c r="B58" s="1677"/>
      <c r="C58" s="1635" t="s">
        <v>1847</v>
      </c>
      <c r="D58" s="1610" t="s">
        <v>1846</v>
      </c>
      <c r="E58" s="1610" t="s">
        <v>1845</v>
      </c>
      <c r="F58" s="1610" t="s">
        <v>199</v>
      </c>
      <c r="G58" s="1636" t="s">
        <v>1844</v>
      </c>
      <c r="H58" s="1622">
        <v>2139</v>
      </c>
      <c r="I58" s="1613">
        <f t="shared" si="33"/>
        <v>2139</v>
      </c>
      <c r="J58" s="1747"/>
      <c r="K58" s="1747"/>
      <c r="L58" s="1747"/>
      <c r="M58" s="1747"/>
      <c r="N58" s="1747">
        <v>1900</v>
      </c>
      <c r="O58" s="1747">
        <f t="shared" si="34"/>
        <v>1900</v>
      </c>
      <c r="P58" s="1748">
        <v>1800</v>
      </c>
      <c r="Q58" s="1748">
        <f t="shared" si="35"/>
        <v>1800</v>
      </c>
      <c r="R58" s="1747"/>
      <c r="S58" s="1747">
        <f t="shared" si="38"/>
        <v>100</v>
      </c>
      <c r="T58" s="1623">
        <v>1800</v>
      </c>
      <c r="U58" s="1623">
        <v>1800</v>
      </c>
      <c r="V58" s="1747"/>
      <c r="W58" s="1747"/>
      <c r="X58" s="1623">
        <v>1800</v>
      </c>
      <c r="Y58" s="1623">
        <v>1800</v>
      </c>
      <c r="Z58" s="1623">
        <v>1800</v>
      </c>
      <c r="AA58" s="1623">
        <v>1800</v>
      </c>
      <c r="AB58" s="1623"/>
      <c r="AC58" s="1623"/>
      <c r="AD58" s="1591">
        <f t="shared" si="37"/>
        <v>1800</v>
      </c>
      <c r="AE58" s="1591">
        <f t="shared" si="36"/>
        <v>1800</v>
      </c>
      <c r="AF58" s="1599"/>
      <c r="AG58" s="1009">
        <f t="shared" si="1"/>
        <v>0</v>
      </c>
      <c r="AH58" s="1009">
        <f t="shared" si="9"/>
        <v>1</v>
      </c>
      <c r="AI58" s="1908">
        <f t="shared" si="24"/>
        <v>1</v>
      </c>
    </row>
    <row r="59" spans="1:36" ht="49.5" hidden="1" x14ac:dyDescent="0.25">
      <c r="A59" s="1677" t="s">
        <v>2796</v>
      </c>
      <c r="B59" s="1677"/>
      <c r="C59" s="1635" t="s">
        <v>1843</v>
      </c>
      <c r="D59" s="1610" t="s">
        <v>1709</v>
      </c>
      <c r="E59" s="1610" t="s">
        <v>1842</v>
      </c>
      <c r="F59" s="1610" t="s">
        <v>199</v>
      </c>
      <c r="G59" s="1636" t="s">
        <v>1841</v>
      </c>
      <c r="H59" s="1622">
        <v>5646</v>
      </c>
      <c r="I59" s="1613">
        <f t="shared" si="33"/>
        <v>5646</v>
      </c>
      <c r="J59" s="1747"/>
      <c r="K59" s="1747"/>
      <c r="L59" s="1747"/>
      <c r="M59" s="1747"/>
      <c r="N59" s="1747">
        <v>5000</v>
      </c>
      <c r="O59" s="1747">
        <f t="shared" si="34"/>
        <v>5000</v>
      </c>
      <c r="P59" s="1748">
        <v>4750</v>
      </c>
      <c r="Q59" s="1748">
        <f t="shared" si="35"/>
        <v>4750</v>
      </c>
      <c r="R59" s="1747"/>
      <c r="S59" s="1747">
        <f t="shared" si="38"/>
        <v>250</v>
      </c>
      <c r="T59" s="1623">
        <v>4750</v>
      </c>
      <c r="U59" s="1623">
        <v>4750</v>
      </c>
      <c r="V59" s="1747"/>
      <c r="W59" s="1747"/>
      <c r="X59" s="1623">
        <v>4750</v>
      </c>
      <c r="Y59" s="1623">
        <v>4750</v>
      </c>
      <c r="Z59" s="1623">
        <v>4750</v>
      </c>
      <c r="AA59" s="1623">
        <v>4750</v>
      </c>
      <c r="AB59" s="1623"/>
      <c r="AC59" s="1623"/>
      <c r="AD59" s="1591">
        <f t="shared" si="37"/>
        <v>4750</v>
      </c>
      <c r="AE59" s="1591">
        <f t="shared" si="36"/>
        <v>4750</v>
      </c>
      <c r="AF59" s="1599"/>
      <c r="AG59" s="1009">
        <f t="shared" si="1"/>
        <v>0</v>
      </c>
      <c r="AH59" s="1009">
        <f t="shared" si="9"/>
        <v>1</v>
      </c>
      <c r="AI59" s="1908">
        <f t="shared" si="24"/>
        <v>1</v>
      </c>
    </row>
    <row r="60" spans="1:36" ht="49.5" hidden="1" x14ac:dyDescent="0.25">
      <c r="A60" s="1677" t="s">
        <v>2797</v>
      </c>
      <c r="B60" s="1677"/>
      <c r="C60" s="1635" t="s">
        <v>1840</v>
      </c>
      <c r="D60" s="1610" t="s">
        <v>1709</v>
      </c>
      <c r="E60" s="1610" t="s">
        <v>1839</v>
      </c>
      <c r="F60" s="1610" t="s">
        <v>199</v>
      </c>
      <c r="G60" s="1636" t="s">
        <v>1838</v>
      </c>
      <c r="H60" s="1622">
        <v>4084</v>
      </c>
      <c r="I60" s="1613">
        <f t="shared" si="33"/>
        <v>4084</v>
      </c>
      <c r="J60" s="1747"/>
      <c r="K60" s="1747"/>
      <c r="L60" s="1747"/>
      <c r="M60" s="1747"/>
      <c r="N60" s="1747">
        <v>3620</v>
      </c>
      <c r="O60" s="1747">
        <f t="shared" si="34"/>
        <v>3620</v>
      </c>
      <c r="P60" s="1748">
        <v>3400</v>
      </c>
      <c r="Q60" s="1748">
        <f t="shared" si="35"/>
        <v>3400</v>
      </c>
      <c r="R60" s="1747"/>
      <c r="S60" s="1747">
        <f t="shared" si="38"/>
        <v>220</v>
      </c>
      <c r="T60" s="1623">
        <v>3400</v>
      </c>
      <c r="U60" s="1623">
        <v>3400</v>
      </c>
      <c r="V60" s="1747"/>
      <c r="W60" s="1747"/>
      <c r="X60" s="1623">
        <v>3400</v>
      </c>
      <c r="Y60" s="1623">
        <v>3400</v>
      </c>
      <c r="Z60" s="1623">
        <v>3400</v>
      </c>
      <c r="AA60" s="1623">
        <v>3400</v>
      </c>
      <c r="AB60" s="1623"/>
      <c r="AC60" s="1623"/>
      <c r="AD60" s="1591">
        <f t="shared" si="37"/>
        <v>3400</v>
      </c>
      <c r="AE60" s="1591">
        <f t="shared" si="36"/>
        <v>3400</v>
      </c>
      <c r="AF60" s="1580"/>
      <c r="AG60" s="1009">
        <f t="shared" si="1"/>
        <v>0</v>
      </c>
      <c r="AH60" s="1009">
        <f t="shared" si="9"/>
        <v>1</v>
      </c>
      <c r="AI60" s="1908">
        <f t="shared" si="24"/>
        <v>1</v>
      </c>
    </row>
    <row r="61" spans="1:36" ht="49.5" hidden="1" x14ac:dyDescent="0.25">
      <c r="A61" s="1677" t="s">
        <v>2798</v>
      </c>
      <c r="B61" s="1677"/>
      <c r="C61" s="1635" t="s">
        <v>1837</v>
      </c>
      <c r="D61" s="1610" t="s">
        <v>1709</v>
      </c>
      <c r="E61" s="1610" t="s">
        <v>1836</v>
      </c>
      <c r="F61" s="1610" t="s">
        <v>199</v>
      </c>
      <c r="G61" s="1636" t="s">
        <v>1835</v>
      </c>
      <c r="H61" s="1622">
        <v>6480</v>
      </c>
      <c r="I61" s="1613">
        <f t="shared" si="33"/>
        <v>6480</v>
      </c>
      <c r="J61" s="1747"/>
      <c r="K61" s="1747"/>
      <c r="L61" s="1747"/>
      <c r="M61" s="1747"/>
      <c r="N61" s="1747">
        <v>5750</v>
      </c>
      <c r="O61" s="1747">
        <f t="shared" si="34"/>
        <v>5750</v>
      </c>
      <c r="P61" s="1748">
        <f>Q61</f>
        <v>5600</v>
      </c>
      <c r="Q61" s="1748">
        <v>5600</v>
      </c>
      <c r="R61" s="1747"/>
      <c r="S61" s="1747">
        <f t="shared" si="38"/>
        <v>150</v>
      </c>
      <c r="T61" s="1623">
        <f>U61</f>
        <v>5600</v>
      </c>
      <c r="U61" s="1623">
        <v>5600</v>
      </c>
      <c r="V61" s="1747"/>
      <c r="W61" s="1747"/>
      <c r="X61" s="1623">
        <f>Y61</f>
        <v>5600</v>
      </c>
      <c r="Y61" s="1623">
        <v>5600</v>
      </c>
      <c r="Z61" s="1623">
        <v>5600</v>
      </c>
      <c r="AA61" s="1623">
        <v>5600</v>
      </c>
      <c r="AB61" s="1623"/>
      <c r="AC61" s="1623"/>
      <c r="AD61" s="1591">
        <f t="shared" si="37"/>
        <v>5600</v>
      </c>
      <c r="AE61" s="1591">
        <f t="shared" si="36"/>
        <v>5600</v>
      </c>
      <c r="AF61" s="1580"/>
      <c r="AG61" s="1009">
        <f t="shared" si="1"/>
        <v>0</v>
      </c>
      <c r="AH61" s="1009">
        <f t="shared" si="9"/>
        <v>1</v>
      </c>
      <c r="AI61" s="1908">
        <f t="shared" si="24"/>
        <v>1</v>
      </c>
    </row>
    <row r="62" spans="1:36" ht="52.5" hidden="1" customHeight="1" x14ac:dyDescent="0.25">
      <c r="A62" s="1677" t="s">
        <v>2799</v>
      </c>
      <c r="B62" s="1677"/>
      <c r="C62" s="1635" t="s">
        <v>1834</v>
      </c>
      <c r="D62" s="1610" t="s">
        <v>1713</v>
      </c>
      <c r="E62" s="1610" t="s">
        <v>1833</v>
      </c>
      <c r="F62" s="1610" t="s">
        <v>199</v>
      </c>
      <c r="G62" s="1636" t="s">
        <v>1832</v>
      </c>
      <c r="H62" s="1622">
        <v>2557</v>
      </c>
      <c r="I62" s="1613">
        <f t="shared" si="33"/>
        <v>2557</v>
      </c>
      <c r="J62" s="1747"/>
      <c r="K62" s="1747"/>
      <c r="L62" s="1747"/>
      <c r="M62" s="1747"/>
      <c r="N62" s="1747">
        <v>2270</v>
      </c>
      <c r="O62" s="1747">
        <f t="shared" si="34"/>
        <v>2270</v>
      </c>
      <c r="P62" s="1748">
        <v>2200</v>
      </c>
      <c r="Q62" s="1748">
        <f t="shared" ref="Q62:Q74" si="39">P62</f>
        <v>2200</v>
      </c>
      <c r="R62" s="1747"/>
      <c r="S62" s="1747">
        <f t="shared" si="38"/>
        <v>70</v>
      </c>
      <c r="T62" s="1623">
        <v>2200</v>
      </c>
      <c r="U62" s="1623">
        <v>2200</v>
      </c>
      <c r="V62" s="1747"/>
      <c r="W62" s="1747"/>
      <c r="X62" s="1623">
        <v>2200</v>
      </c>
      <c r="Y62" s="1623">
        <v>2200</v>
      </c>
      <c r="Z62" s="1623">
        <v>2200</v>
      </c>
      <c r="AA62" s="1623">
        <v>2200</v>
      </c>
      <c r="AB62" s="1623"/>
      <c r="AC62" s="1623"/>
      <c r="AD62" s="1591">
        <f t="shared" si="37"/>
        <v>2200</v>
      </c>
      <c r="AE62" s="1591">
        <f t="shared" si="36"/>
        <v>2200</v>
      </c>
      <c r="AF62" s="1580"/>
      <c r="AG62" s="1009">
        <f t="shared" si="1"/>
        <v>0</v>
      </c>
      <c r="AH62" s="1009">
        <f t="shared" si="9"/>
        <v>1</v>
      </c>
      <c r="AI62" s="1908">
        <f t="shared" si="24"/>
        <v>1</v>
      </c>
    </row>
    <row r="63" spans="1:36" ht="55.5" hidden="1" customHeight="1" x14ac:dyDescent="0.25">
      <c r="A63" s="1677" t="s">
        <v>2800</v>
      </c>
      <c r="B63" s="1677"/>
      <c r="C63" s="1635" t="s">
        <v>1831</v>
      </c>
      <c r="D63" s="1610" t="s">
        <v>1713</v>
      </c>
      <c r="E63" s="1610" t="s">
        <v>1830</v>
      </c>
      <c r="F63" s="1610" t="s">
        <v>199</v>
      </c>
      <c r="G63" s="1636" t="s">
        <v>1829</v>
      </c>
      <c r="H63" s="1622">
        <v>7209</v>
      </c>
      <c r="I63" s="1613">
        <f t="shared" si="33"/>
        <v>7209</v>
      </c>
      <c r="J63" s="1752"/>
      <c r="K63" s="1747"/>
      <c r="L63" s="1747"/>
      <c r="M63" s="1747"/>
      <c r="N63" s="1747">
        <v>6400</v>
      </c>
      <c r="O63" s="1747">
        <f t="shared" si="34"/>
        <v>6400</v>
      </c>
      <c r="P63" s="1748">
        <v>6100</v>
      </c>
      <c r="Q63" s="1748">
        <f t="shared" si="39"/>
        <v>6100</v>
      </c>
      <c r="R63" s="1747"/>
      <c r="S63" s="1747">
        <f t="shared" si="38"/>
        <v>300</v>
      </c>
      <c r="T63" s="1623">
        <v>6100</v>
      </c>
      <c r="U63" s="1623">
        <v>6100</v>
      </c>
      <c r="V63" s="1747"/>
      <c r="W63" s="1747"/>
      <c r="X63" s="1623">
        <v>6100</v>
      </c>
      <c r="Y63" s="1623">
        <v>6100</v>
      </c>
      <c r="Z63" s="1623">
        <v>6100</v>
      </c>
      <c r="AA63" s="1623">
        <v>6100</v>
      </c>
      <c r="AB63" s="1623"/>
      <c r="AC63" s="1623"/>
      <c r="AD63" s="1591">
        <f t="shared" si="37"/>
        <v>6100</v>
      </c>
      <c r="AE63" s="1591">
        <f t="shared" si="36"/>
        <v>6100</v>
      </c>
      <c r="AF63" s="1580"/>
      <c r="AG63" s="1009">
        <f t="shared" si="1"/>
        <v>0</v>
      </c>
      <c r="AH63" s="1009">
        <f t="shared" si="9"/>
        <v>1</v>
      </c>
      <c r="AI63" s="1908">
        <f t="shared" si="24"/>
        <v>1</v>
      </c>
    </row>
    <row r="64" spans="1:36" ht="69.75" hidden="1" customHeight="1" x14ac:dyDescent="0.25">
      <c r="A64" s="1677" t="s">
        <v>2801</v>
      </c>
      <c r="B64" s="1677"/>
      <c r="C64" s="1635" t="s">
        <v>1828</v>
      </c>
      <c r="D64" s="1610" t="s">
        <v>1713</v>
      </c>
      <c r="E64" s="1610" t="s">
        <v>1827</v>
      </c>
      <c r="F64" s="1636">
        <v>2016</v>
      </c>
      <c r="G64" s="1636" t="s">
        <v>1826</v>
      </c>
      <c r="H64" s="1633">
        <v>1946</v>
      </c>
      <c r="I64" s="1613">
        <f t="shared" si="33"/>
        <v>1946</v>
      </c>
      <c r="J64" s="1753"/>
      <c r="K64" s="1753"/>
      <c r="L64" s="1753"/>
      <c r="M64" s="1753"/>
      <c r="N64" s="1633">
        <v>1750</v>
      </c>
      <c r="O64" s="1747">
        <f t="shared" si="34"/>
        <v>1750</v>
      </c>
      <c r="P64" s="1635">
        <v>1650</v>
      </c>
      <c r="Q64" s="1748">
        <f t="shared" si="39"/>
        <v>1650</v>
      </c>
      <c r="R64" s="1747"/>
      <c r="S64" s="1747">
        <f t="shared" si="38"/>
        <v>100</v>
      </c>
      <c r="T64" s="1750">
        <v>1650</v>
      </c>
      <c r="U64" s="1623">
        <v>1650</v>
      </c>
      <c r="V64" s="1747"/>
      <c r="W64" s="1747"/>
      <c r="X64" s="1750">
        <v>1650</v>
      </c>
      <c r="Y64" s="1623">
        <v>1650</v>
      </c>
      <c r="Z64" s="1750">
        <v>1650</v>
      </c>
      <c r="AA64" s="1623">
        <v>1650</v>
      </c>
      <c r="AB64" s="1623"/>
      <c r="AC64" s="1623"/>
      <c r="AD64" s="1591">
        <f t="shared" si="37"/>
        <v>1650</v>
      </c>
      <c r="AE64" s="1591">
        <f t="shared" si="36"/>
        <v>1650</v>
      </c>
      <c r="AF64" s="1637"/>
      <c r="AG64" s="1009">
        <f t="shared" si="1"/>
        <v>0</v>
      </c>
      <c r="AH64" s="1009">
        <f t="shared" si="9"/>
        <v>1</v>
      </c>
      <c r="AI64" s="1908">
        <f t="shared" si="24"/>
        <v>1</v>
      </c>
    </row>
    <row r="65" spans="1:35" ht="82.5" hidden="1" x14ac:dyDescent="0.25">
      <c r="A65" s="1677" t="s">
        <v>2802</v>
      </c>
      <c r="B65" s="1677"/>
      <c r="C65" s="1635" t="s">
        <v>1825</v>
      </c>
      <c r="D65" s="1610" t="s">
        <v>1713</v>
      </c>
      <c r="E65" s="1610" t="s">
        <v>1824</v>
      </c>
      <c r="F65" s="1610" t="s">
        <v>97</v>
      </c>
      <c r="G65" s="1636" t="s">
        <v>1823</v>
      </c>
      <c r="H65" s="1622">
        <v>8073</v>
      </c>
      <c r="I65" s="1613">
        <f t="shared" si="33"/>
        <v>8073</v>
      </c>
      <c r="J65" s="1747"/>
      <c r="K65" s="1747"/>
      <c r="L65" s="1747"/>
      <c r="M65" s="1747"/>
      <c r="N65" s="1622">
        <v>7170</v>
      </c>
      <c r="O65" s="1747">
        <f t="shared" si="34"/>
        <v>7170</v>
      </c>
      <c r="P65" s="1587">
        <v>6880</v>
      </c>
      <c r="Q65" s="1748">
        <f t="shared" si="39"/>
        <v>6880</v>
      </c>
      <c r="R65" s="1747"/>
      <c r="S65" s="1747">
        <f t="shared" si="38"/>
        <v>290</v>
      </c>
      <c r="T65" s="1623">
        <v>6880</v>
      </c>
      <c r="U65" s="1623">
        <v>6880</v>
      </c>
      <c r="V65" s="1747"/>
      <c r="W65" s="1747"/>
      <c r="X65" s="1623">
        <v>6880</v>
      </c>
      <c r="Y65" s="1623">
        <v>6880</v>
      </c>
      <c r="Z65" s="1623">
        <v>6880</v>
      </c>
      <c r="AA65" s="1623">
        <v>6880</v>
      </c>
      <c r="AB65" s="1623"/>
      <c r="AC65" s="1623"/>
      <c r="AD65" s="1591">
        <f t="shared" si="37"/>
        <v>6880</v>
      </c>
      <c r="AE65" s="1591">
        <f t="shared" si="36"/>
        <v>6880</v>
      </c>
      <c r="AF65" s="1580"/>
      <c r="AG65" s="1009">
        <f t="shared" si="1"/>
        <v>0</v>
      </c>
      <c r="AH65" s="1009">
        <f t="shared" si="9"/>
        <v>1</v>
      </c>
      <c r="AI65" s="1908">
        <f t="shared" si="24"/>
        <v>1</v>
      </c>
    </row>
    <row r="66" spans="1:35" ht="82.5" hidden="1" x14ac:dyDescent="0.25">
      <c r="A66" s="1677" t="s">
        <v>2803</v>
      </c>
      <c r="B66" s="1677"/>
      <c r="C66" s="1635" t="s">
        <v>1822</v>
      </c>
      <c r="D66" s="1610" t="s">
        <v>1713</v>
      </c>
      <c r="E66" s="1610" t="s">
        <v>1821</v>
      </c>
      <c r="F66" s="1610" t="s">
        <v>97</v>
      </c>
      <c r="G66" s="1636" t="s">
        <v>1820</v>
      </c>
      <c r="H66" s="1622">
        <v>4532</v>
      </c>
      <c r="I66" s="1613">
        <f t="shared" si="33"/>
        <v>4532</v>
      </c>
      <c r="J66" s="1747"/>
      <c r="K66" s="1747"/>
      <c r="L66" s="1747"/>
      <c r="M66" s="1747"/>
      <c r="N66" s="1622">
        <v>4020</v>
      </c>
      <c r="O66" s="1747">
        <f t="shared" si="34"/>
        <v>4020</v>
      </c>
      <c r="P66" s="1587">
        <v>3700</v>
      </c>
      <c r="Q66" s="1748">
        <f t="shared" si="39"/>
        <v>3700</v>
      </c>
      <c r="R66" s="1747"/>
      <c r="S66" s="1747">
        <f t="shared" si="38"/>
        <v>320</v>
      </c>
      <c r="T66" s="1623">
        <v>3700</v>
      </c>
      <c r="U66" s="1623">
        <v>3700</v>
      </c>
      <c r="V66" s="1747"/>
      <c r="W66" s="1747"/>
      <c r="X66" s="1623">
        <v>3700</v>
      </c>
      <c r="Y66" s="1623">
        <v>3700</v>
      </c>
      <c r="Z66" s="1623">
        <v>3700</v>
      </c>
      <c r="AA66" s="1623">
        <v>3700</v>
      </c>
      <c r="AB66" s="1623"/>
      <c r="AC66" s="1623"/>
      <c r="AD66" s="1591">
        <f t="shared" si="37"/>
        <v>3700</v>
      </c>
      <c r="AE66" s="1591">
        <f t="shared" si="36"/>
        <v>3700</v>
      </c>
      <c r="AF66" s="1599"/>
      <c r="AG66" s="1009">
        <f t="shared" si="1"/>
        <v>0</v>
      </c>
      <c r="AH66" s="1009">
        <f t="shared" si="9"/>
        <v>1</v>
      </c>
      <c r="AI66" s="1908">
        <f t="shared" si="24"/>
        <v>1</v>
      </c>
    </row>
    <row r="67" spans="1:35" ht="82.5" hidden="1" x14ac:dyDescent="0.25">
      <c r="A67" s="1677" t="s">
        <v>2804</v>
      </c>
      <c r="B67" s="1677"/>
      <c r="C67" s="1635" t="s">
        <v>1819</v>
      </c>
      <c r="D67" s="1610" t="s">
        <v>1713</v>
      </c>
      <c r="E67" s="1610" t="s">
        <v>1818</v>
      </c>
      <c r="F67" s="1610" t="s">
        <v>97</v>
      </c>
      <c r="G67" s="1636" t="s">
        <v>1817</v>
      </c>
      <c r="H67" s="1622">
        <v>5170</v>
      </c>
      <c r="I67" s="1613">
        <f t="shared" si="33"/>
        <v>5170</v>
      </c>
      <c r="J67" s="1747"/>
      <c r="K67" s="1747"/>
      <c r="L67" s="1747"/>
      <c r="M67" s="1747"/>
      <c r="N67" s="1622">
        <v>4590</v>
      </c>
      <c r="O67" s="1747">
        <f t="shared" si="34"/>
        <v>4590</v>
      </c>
      <c r="P67" s="1587">
        <v>4400</v>
      </c>
      <c r="Q67" s="1748">
        <f t="shared" si="39"/>
        <v>4400</v>
      </c>
      <c r="R67" s="1747"/>
      <c r="S67" s="1747">
        <f t="shared" si="38"/>
        <v>190</v>
      </c>
      <c r="T67" s="1623">
        <v>4400</v>
      </c>
      <c r="U67" s="1623">
        <v>4400</v>
      </c>
      <c r="V67" s="1747"/>
      <c r="W67" s="1747"/>
      <c r="X67" s="1623">
        <v>4400</v>
      </c>
      <c r="Y67" s="1623">
        <v>4400</v>
      </c>
      <c r="Z67" s="1623">
        <v>4400</v>
      </c>
      <c r="AA67" s="1623">
        <v>4400</v>
      </c>
      <c r="AB67" s="1623"/>
      <c r="AC67" s="1623"/>
      <c r="AD67" s="1591">
        <f t="shared" si="37"/>
        <v>4400</v>
      </c>
      <c r="AE67" s="1591">
        <f t="shared" si="36"/>
        <v>4400</v>
      </c>
      <c r="AF67" s="1599"/>
      <c r="AG67" s="1009">
        <f t="shared" si="1"/>
        <v>0</v>
      </c>
      <c r="AH67" s="1009">
        <f t="shared" si="9"/>
        <v>1</v>
      </c>
      <c r="AI67" s="1908">
        <f t="shared" si="24"/>
        <v>1</v>
      </c>
    </row>
    <row r="68" spans="1:35" ht="82.5" hidden="1" x14ac:dyDescent="0.25">
      <c r="A68" s="1677" t="s">
        <v>2805</v>
      </c>
      <c r="B68" s="1677"/>
      <c r="C68" s="1635" t="s">
        <v>1816</v>
      </c>
      <c r="D68" s="1610" t="s">
        <v>1713</v>
      </c>
      <c r="E68" s="1610" t="s">
        <v>1815</v>
      </c>
      <c r="F68" s="1610" t="s">
        <v>97</v>
      </c>
      <c r="G68" s="1636" t="s">
        <v>1814</v>
      </c>
      <c r="H68" s="1622">
        <v>2413</v>
      </c>
      <c r="I68" s="1613">
        <f t="shared" si="33"/>
        <v>2413</v>
      </c>
      <c r="J68" s="1747"/>
      <c r="K68" s="1747"/>
      <c r="L68" s="1747"/>
      <c r="M68" s="1747"/>
      <c r="N68" s="1622">
        <v>2140</v>
      </c>
      <c r="O68" s="1747">
        <f t="shared" si="34"/>
        <v>2140</v>
      </c>
      <c r="P68" s="1587">
        <v>1950</v>
      </c>
      <c r="Q68" s="1748">
        <f t="shared" si="39"/>
        <v>1950</v>
      </c>
      <c r="R68" s="1747"/>
      <c r="S68" s="1747">
        <f t="shared" si="38"/>
        <v>190</v>
      </c>
      <c r="T68" s="1623">
        <v>1950</v>
      </c>
      <c r="U68" s="1623">
        <v>1950</v>
      </c>
      <c r="V68" s="1747"/>
      <c r="W68" s="1747"/>
      <c r="X68" s="1623">
        <v>1950</v>
      </c>
      <c r="Y68" s="1623">
        <v>1950</v>
      </c>
      <c r="Z68" s="1623">
        <v>1950</v>
      </c>
      <c r="AA68" s="1623">
        <v>1950</v>
      </c>
      <c r="AB68" s="1623"/>
      <c r="AC68" s="1623"/>
      <c r="AD68" s="1591">
        <f t="shared" si="37"/>
        <v>1950</v>
      </c>
      <c r="AE68" s="1591">
        <f t="shared" si="36"/>
        <v>1950</v>
      </c>
      <c r="AF68" s="1580"/>
      <c r="AG68" s="1009">
        <f t="shared" si="1"/>
        <v>0</v>
      </c>
      <c r="AH68" s="1009">
        <f t="shared" si="9"/>
        <v>1</v>
      </c>
      <c r="AI68" s="1908">
        <f t="shared" si="24"/>
        <v>1</v>
      </c>
    </row>
    <row r="69" spans="1:35" ht="49.5" hidden="1" x14ac:dyDescent="0.25">
      <c r="A69" s="1677" t="s">
        <v>2806</v>
      </c>
      <c r="B69" s="1677"/>
      <c r="C69" s="1635" t="s">
        <v>1813</v>
      </c>
      <c r="D69" s="1610" t="s">
        <v>1709</v>
      </c>
      <c r="E69" s="1610" t="s">
        <v>1812</v>
      </c>
      <c r="F69" s="1610" t="s">
        <v>97</v>
      </c>
      <c r="G69" s="1636" t="s">
        <v>1811</v>
      </c>
      <c r="H69" s="1622">
        <v>1490</v>
      </c>
      <c r="I69" s="1613">
        <f t="shared" si="33"/>
        <v>1490</v>
      </c>
      <c r="J69" s="1747"/>
      <c r="K69" s="1747"/>
      <c r="L69" s="1747"/>
      <c r="M69" s="1747"/>
      <c r="N69" s="1622">
        <v>1420</v>
      </c>
      <c r="O69" s="1747">
        <f t="shared" si="34"/>
        <v>1420</v>
      </c>
      <c r="P69" s="1587">
        <v>1360</v>
      </c>
      <c r="Q69" s="1748">
        <f t="shared" si="39"/>
        <v>1360</v>
      </c>
      <c r="R69" s="1747"/>
      <c r="S69" s="1747">
        <f t="shared" si="38"/>
        <v>60</v>
      </c>
      <c r="T69" s="1623">
        <v>1360</v>
      </c>
      <c r="U69" s="1623">
        <v>1360</v>
      </c>
      <c r="V69" s="1747"/>
      <c r="W69" s="1747"/>
      <c r="X69" s="1623">
        <v>1360</v>
      </c>
      <c r="Y69" s="1623">
        <v>1360</v>
      </c>
      <c r="Z69" s="1623">
        <v>1360</v>
      </c>
      <c r="AA69" s="1623">
        <v>1360</v>
      </c>
      <c r="AB69" s="1623"/>
      <c r="AC69" s="1623"/>
      <c r="AD69" s="1591">
        <f t="shared" si="37"/>
        <v>1360</v>
      </c>
      <c r="AE69" s="1591">
        <f t="shared" si="36"/>
        <v>1360</v>
      </c>
      <c r="AF69" s="1599"/>
      <c r="AG69" s="1009">
        <f t="shared" si="1"/>
        <v>0</v>
      </c>
      <c r="AH69" s="1009">
        <f t="shared" si="9"/>
        <v>1</v>
      </c>
      <c r="AI69" s="1908">
        <f t="shared" si="24"/>
        <v>1</v>
      </c>
    </row>
    <row r="70" spans="1:35" ht="49.5" hidden="1" x14ac:dyDescent="0.25">
      <c r="A70" s="1677" t="s">
        <v>3159</v>
      </c>
      <c r="B70" s="1677"/>
      <c r="C70" s="1635" t="s">
        <v>1810</v>
      </c>
      <c r="D70" s="1610" t="s">
        <v>1259</v>
      </c>
      <c r="E70" s="1610" t="s">
        <v>1809</v>
      </c>
      <c r="F70" s="1610" t="s">
        <v>97</v>
      </c>
      <c r="G70" s="1636" t="s">
        <v>1808</v>
      </c>
      <c r="H70" s="1622">
        <v>2531</v>
      </c>
      <c r="I70" s="1613">
        <f t="shared" si="33"/>
        <v>2531</v>
      </c>
      <c r="J70" s="1747"/>
      <c r="K70" s="1747"/>
      <c r="L70" s="1747"/>
      <c r="M70" s="1747"/>
      <c r="N70" s="1622">
        <v>2180</v>
      </c>
      <c r="O70" s="1747">
        <f t="shared" si="34"/>
        <v>2180</v>
      </c>
      <c r="P70" s="1587">
        <v>2060</v>
      </c>
      <c r="Q70" s="1748">
        <f t="shared" si="39"/>
        <v>2060</v>
      </c>
      <c r="R70" s="1747"/>
      <c r="S70" s="1747">
        <f t="shared" si="38"/>
        <v>120</v>
      </c>
      <c r="T70" s="1623">
        <v>2060</v>
      </c>
      <c r="U70" s="1623">
        <v>2060</v>
      </c>
      <c r="V70" s="1747"/>
      <c r="W70" s="1747"/>
      <c r="X70" s="1623">
        <v>2060</v>
      </c>
      <c r="Y70" s="1623">
        <v>2060</v>
      </c>
      <c r="Z70" s="1623">
        <v>2060</v>
      </c>
      <c r="AA70" s="1623">
        <v>2060</v>
      </c>
      <c r="AB70" s="1623"/>
      <c r="AC70" s="1623"/>
      <c r="AD70" s="1591">
        <f t="shared" si="37"/>
        <v>2060</v>
      </c>
      <c r="AE70" s="1591">
        <f t="shared" si="36"/>
        <v>2060</v>
      </c>
      <c r="AF70" s="1599"/>
      <c r="AG70" s="1009">
        <f t="shared" si="1"/>
        <v>0</v>
      </c>
      <c r="AH70" s="1009">
        <f t="shared" si="9"/>
        <v>1</v>
      </c>
      <c r="AI70" s="1908">
        <f t="shared" si="24"/>
        <v>1</v>
      </c>
    </row>
    <row r="71" spans="1:35" ht="82.5" hidden="1" x14ac:dyDescent="0.25">
      <c r="A71" s="1677" t="s">
        <v>3160</v>
      </c>
      <c r="B71" s="1677"/>
      <c r="C71" s="1635" t="s">
        <v>1807</v>
      </c>
      <c r="D71" s="1610" t="s">
        <v>1806</v>
      </c>
      <c r="E71" s="1610" t="s">
        <v>1805</v>
      </c>
      <c r="F71" s="1610" t="s">
        <v>97</v>
      </c>
      <c r="G71" s="1636" t="s">
        <v>1804</v>
      </c>
      <c r="H71" s="1633">
        <v>1996</v>
      </c>
      <c r="I71" s="1613">
        <f t="shared" si="33"/>
        <v>1996</v>
      </c>
      <c r="J71" s="1747"/>
      <c r="K71" s="1747"/>
      <c r="L71" s="1747"/>
      <c r="M71" s="1747"/>
      <c r="N71" s="1633">
        <v>1770</v>
      </c>
      <c r="O71" s="1747">
        <f t="shared" si="34"/>
        <v>1770</v>
      </c>
      <c r="P71" s="1635">
        <v>1660</v>
      </c>
      <c r="Q71" s="1748">
        <f t="shared" si="39"/>
        <v>1660</v>
      </c>
      <c r="R71" s="1747"/>
      <c r="S71" s="1747">
        <f t="shared" si="38"/>
        <v>110</v>
      </c>
      <c r="T71" s="1750">
        <v>1660</v>
      </c>
      <c r="U71" s="1623">
        <v>1660</v>
      </c>
      <c r="V71" s="1747"/>
      <c r="W71" s="1747"/>
      <c r="X71" s="1750">
        <v>1660</v>
      </c>
      <c r="Y71" s="1623">
        <v>1660</v>
      </c>
      <c r="Z71" s="1750">
        <v>1660</v>
      </c>
      <c r="AA71" s="1623">
        <v>1660</v>
      </c>
      <c r="AB71" s="1623"/>
      <c r="AC71" s="1623"/>
      <c r="AD71" s="1591">
        <f t="shared" si="37"/>
        <v>1660</v>
      </c>
      <c r="AE71" s="1591">
        <f t="shared" si="36"/>
        <v>1660</v>
      </c>
      <c r="AF71" s="1599"/>
      <c r="AG71" s="1009">
        <f t="shared" si="1"/>
        <v>0</v>
      </c>
      <c r="AH71" s="1009">
        <f t="shared" si="9"/>
        <v>1</v>
      </c>
      <c r="AI71" s="1908">
        <f t="shared" si="24"/>
        <v>1</v>
      </c>
    </row>
    <row r="72" spans="1:35" ht="33" hidden="1" x14ac:dyDescent="0.25">
      <c r="A72" s="1677" t="s">
        <v>3161</v>
      </c>
      <c r="B72" s="1677"/>
      <c r="C72" s="1754" t="s">
        <v>1803</v>
      </c>
      <c r="D72" s="1610"/>
      <c r="E72" s="1611" t="s">
        <v>1802</v>
      </c>
      <c r="F72" s="1610" t="s">
        <v>109</v>
      </c>
      <c r="G72" s="1636"/>
      <c r="H72" s="1648">
        <v>2612</v>
      </c>
      <c r="I72" s="1613">
        <f t="shared" si="33"/>
        <v>2612</v>
      </c>
      <c r="J72" s="1747"/>
      <c r="K72" s="1747"/>
      <c r="L72" s="1747"/>
      <c r="M72" s="1747"/>
      <c r="N72" s="1648">
        <v>2460</v>
      </c>
      <c r="O72" s="1747">
        <f t="shared" si="34"/>
        <v>2460</v>
      </c>
      <c r="P72" s="1666">
        <v>1490</v>
      </c>
      <c r="Q72" s="1748">
        <f t="shared" si="39"/>
        <v>1490</v>
      </c>
      <c r="R72" s="1747"/>
      <c r="S72" s="1747">
        <f t="shared" si="38"/>
        <v>970</v>
      </c>
      <c r="T72" s="1665">
        <v>1490</v>
      </c>
      <c r="U72" s="1623">
        <v>1490</v>
      </c>
      <c r="V72" s="1747"/>
      <c r="W72" s="1747"/>
      <c r="X72" s="1665">
        <v>1490</v>
      </c>
      <c r="Y72" s="1623">
        <v>1490</v>
      </c>
      <c r="Z72" s="1665">
        <v>1490</v>
      </c>
      <c r="AA72" s="1623">
        <v>1490</v>
      </c>
      <c r="AB72" s="1623"/>
      <c r="AC72" s="1623"/>
      <c r="AD72" s="1591">
        <f t="shared" si="37"/>
        <v>1490</v>
      </c>
      <c r="AE72" s="1591">
        <f t="shared" si="36"/>
        <v>1490</v>
      </c>
      <c r="AF72" s="1599"/>
      <c r="AG72" s="1009">
        <f t="shared" si="1"/>
        <v>0</v>
      </c>
      <c r="AH72" s="1009">
        <f t="shared" si="9"/>
        <v>1</v>
      </c>
      <c r="AI72" s="1908">
        <f t="shared" si="24"/>
        <v>1</v>
      </c>
    </row>
    <row r="73" spans="1:35" ht="33" hidden="1" x14ac:dyDescent="0.25">
      <c r="A73" s="1677" t="s">
        <v>3162</v>
      </c>
      <c r="B73" s="1677"/>
      <c r="C73" s="1754" t="s">
        <v>1801</v>
      </c>
      <c r="D73" s="1610"/>
      <c r="E73" s="1611" t="s">
        <v>1800</v>
      </c>
      <c r="F73" s="1610" t="s">
        <v>109</v>
      </c>
      <c r="G73" s="1636"/>
      <c r="H73" s="1687">
        <v>803</v>
      </c>
      <c r="I73" s="1613">
        <f t="shared" si="33"/>
        <v>803</v>
      </c>
      <c r="J73" s="1581"/>
      <c r="K73" s="1581"/>
      <c r="L73" s="1581"/>
      <c r="M73" s="1581"/>
      <c r="N73" s="1648">
        <v>760</v>
      </c>
      <c r="O73" s="1747">
        <f t="shared" si="34"/>
        <v>760</v>
      </c>
      <c r="P73" s="1666">
        <v>760</v>
      </c>
      <c r="Q73" s="1748">
        <f t="shared" si="39"/>
        <v>760</v>
      </c>
      <c r="R73" s="1747">
        <f>U73-O73</f>
        <v>0</v>
      </c>
      <c r="S73" s="1747">
        <f t="shared" si="38"/>
        <v>0</v>
      </c>
      <c r="T73" s="1665">
        <v>760</v>
      </c>
      <c r="U73" s="1623">
        <v>760</v>
      </c>
      <c r="V73" s="1747"/>
      <c r="W73" s="1747"/>
      <c r="X73" s="1665">
        <v>760</v>
      </c>
      <c r="Y73" s="1623">
        <v>760</v>
      </c>
      <c r="Z73" s="1665">
        <v>760</v>
      </c>
      <c r="AA73" s="1623">
        <v>760</v>
      </c>
      <c r="AB73" s="1623"/>
      <c r="AC73" s="1623"/>
      <c r="AD73" s="1591">
        <f t="shared" si="37"/>
        <v>760</v>
      </c>
      <c r="AE73" s="1591">
        <f t="shared" si="36"/>
        <v>760</v>
      </c>
      <c r="AF73" s="1585"/>
      <c r="AG73" s="1009">
        <f t="shared" si="1"/>
        <v>0</v>
      </c>
      <c r="AH73" s="1009">
        <f t="shared" si="9"/>
        <v>1</v>
      </c>
      <c r="AI73" s="1908">
        <f t="shared" si="24"/>
        <v>1</v>
      </c>
    </row>
    <row r="74" spans="1:35" ht="49.5" hidden="1" x14ac:dyDescent="0.25">
      <c r="A74" s="1677" t="s">
        <v>3163</v>
      </c>
      <c r="B74" s="1677"/>
      <c r="C74" s="1754" t="s">
        <v>1799</v>
      </c>
      <c r="D74" s="1610"/>
      <c r="E74" s="1611" t="s">
        <v>1798</v>
      </c>
      <c r="F74" s="1610" t="s">
        <v>109</v>
      </c>
      <c r="G74" s="1636"/>
      <c r="H74" s="1755">
        <v>3500</v>
      </c>
      <c r="I74" s="1613">
        <f t="shared" si="33"/>
        <v>3500</v>
      </c>
      <c r="J74" s="1604"/>
      <c r="K74" s="1604"/>
      <c r="L74" s="1604"/>
      <c r="M74" s="1604"/>
      <c r="N74" s="1648">
        <v>3300</v>
      </c>
      <c r="O74" s="1747">
        <f t="shared" si="34"/>
        <v>3300</v>
      </c>
      <c r="P74" s="1666">
        <v>2930</v>
      </c>
      <c r="Q74" s="1748">
        <f t="shared" si="39"/>
        <v>2930</v>
      </c>
      <c r="R74" s="1747"/>
      <c r="S74" s="1747">
        <f t="shared" si="38"/>
        <v>700</v>
      </c>
      <c r="T74" s="1665">
        <f>U74</f>
        <v>2600</v>
      </c>
      <c r="U74" s="1623">
        <v>2600</v>
      </c>
      <c r="V74" s="1747"/>
      <c r="W74" s="1747"/>
      <c r="X74" s="1665">
        <f>Y74</f>
        <v>2600</v>
      </c>
      <c r="Y74" s="1623">
        <v>2600</v>
      </c>
      <c r="Z74" s="1665">
        <v>2600</v>
      </c>
      <c r="AA74" s="1623">
        <v>2600</v>
      </c>
      <c r="AB74" s="1623"/>
      <c r="AC74" s="1623"/>
      <c r="AD74" s="1591">
        <f t="shared" si="37"/>
        <v>2600</v>
      </c>
      <c r="AE74" s="1591">
        <f t="shared" si="36"/>
        <v>2600</v>
      </c>
      <c r="AF74" s="1606"/>
      <c r="AG74" s="1009">
        <f t="shared" si="1"/>
        <v>0</v>
      </c>
      <c r="AH74" s="1009">
        <f t="shared" si="9"/>
        <v>1</v>
      </c>
      <c r="AI74" s="1908">
        <f t="shared" si="24"/>
        <v>1</v>
      </c>
    </row>
    <row r="75" spans="1:35" ht="49.5" hidden="1" x14ac:dyDescent="0.25">
      <c r="A75" s="1677" t="s">
        <v>3164</v>
      </c>
      <c r="B75" s="1677"/>
      <c r="C75" s="1754" t="s">
        <v>1797</v>
      </c>
      <c r="D75" s="1610"/>
      <c r="E75" s="1611" t="s">
        <v>1796</v>
      </c>
      <c r="F75" s="1610" t="s">
        <v>109</v>
      </c>
      <c r="G75" s="1636"/>
      <c r="H75" s="1664">
        <f>621*4.2</f>
        <v>2608.2000000000003</v>
      </c>
      <c r="I75" s="1613">
        <f t="shared" si="33"/>
        <v>2608.2000000000003</v>
      </c>
      <c r="J75" s="1604"/>
      <c r="K75" s="1604"/>
      <c r="L75" s="1604"/>
      <c r="M75" s="1604"/>
      <c r="N75" s="1648">
        <v>2400</v>
      </c>
      <c r="O75" s="1747">
        <f t="shared" si="34"/>
        <v>2400</v>
      </c>
      <c r="P75" s="1666"/>
      <c r="Q75" s="1748"/>
      <c r="R75" s="1747"/>
      <c r="S75" s="1747">
        <f t="shared" si="38"/>
        <v>2400</v>
      </c>
      <c r="T75" s="1665"/>
      <c r="U75" s="1623"/>
      <c r="V75" s="1747"/>
      <c r="W75" s="1747"/>
      <c r="X75" s="1665"/>
      <c r="Y75" s="1623"/>
      <c r="Z75" s="1665">
        <v>0</v>
      </c>
      <c r="AA75" s="1623">
        <v>0</v>
      </c>
      <c r="AB75" s="1623"/>
      <c r="AC75" s="1623"/>
      <c r="AD75" s="1591">
        <f t="shared" si="37"/>
        <v>0</v>
      </c>
      <c r="AE75" s="1591">
        <f t="shared" si="36"/>
        <v>0</v>
      </c>
      <c r="AF75" s="1644"/>
      <c r="AG75" s="1009">
        <f t="shared" si="1"/>
        <v>0</v>
      </c>
      <c r="AH75" s="1009">
        <f t="shared" si="9"/>
        <v>0</v>
      </c>
      <c r="AI75" s="1908">
        <f t="shared" si="24"/>
        <v>1</v>
      </c>
    </row>
    <row r="76" spans="1:35" ht="49.5" hidden="1" x14ac:dyDescent="0.25">
      <c r="A76" s="1677" t="s">
        <v>3165</v>
      </c>
      <c r="B76" s="1677"/>
      <c r="C76" s="1621" t="s">
        <v>1795</v>
      </c>
      <c r="D76" s="1608" t="s">
        <v>1713</v>
      </c>
      <c r="E76" s="1608" t="s">
        <v>2548</v>
      </c>
      <c r="F76" s="1610" t="s">
        <v>109</v>
      </c>
      <c r="G76" s="1636" t="s">
        <v>3461</v>
      </c>
      <c r="H76" s="1664">
        <f>I76</f>
        <v>3791</v>
      </c>
      <c r="I76" s="1613">
        <v>3791</v>
      </c>
      <c r="J76" s="1744"/>
      <c r="K76" s="1744"/>
      <c r="L76" s="1744"/>
      <c r="M76" s="1744"/>
      <c r="N76" s="1648">
        <v>2000</v>
      </c>
      <c r="O76" s="1747">
        <f t="shared" si="34"/>
        <v>2000</v>
      </c>
      <c r="P76" s="1666">
        <v>1800</v>
      </c>
      <c r="Q76" s="1748">
        <f t="shared" ref="Q76:Q88" si="40">P76</f>
        <v>1800</v>
      </c>
      <c r="R76" s="1747">
        <f>U76-O76</f>
        <v>843</v>
      </c>
      <c r="S76" s="1747"/>
      <c r="T76" s="1665">
        <f>U76</f>
        <v>2843</v>
      </c>
      <c r="U76" s="1623">
        <v>2843</v>
      </c>
      <c r="V76" s="1747"/>
      <c r="W76" s="1747"/>
      <c r="X76" s="1665">
        <f>Y76</f>
        <v>2843</v>
      </c>
      <c r="Y76" s="1623">
        <v>2843</v>
      </c>
      <c r="Z76" s="1665">
        <v>2843</v>
      </c>
      <c r="AA76" s="1623">
        <v>2843</v>
      </c>
      <c r="AB76" s="1623"/>
      <c r="AC76" s="1623"/>
      <c r="AD76" s="1591">
        <f t="shared" si="37"/>
        <v>2843</v>
      </c>
      <c r="AE76" s="1591">
        <f t="shared" si="36"/>
        <v>2843</v>
      </c>
      <c r="AF76" s="1681"/>
      <c r="AG76" s="1009">
        <f t="shared" si="1"/>
        <v>0</v>
      </c>
      <c r="AH76" s="1009">
        <f t="shared" si="9"/>
        <v>1</v>
      </c>
      <c r="AI76" s="1908">
        <f t="shared" si="24"/>
        <v>1</v>
      </c>
    </row>
    <row r="77" spans="1:35" ht="33" hidden="1" x14ac:dyDescent="0.25">
      <c r="A77" s="1677" t="s">
        <v>3166</v>
      </c>
      <c r="B77" s="1677"/>
      <c r="C77" s="1621" t="s">
        <v>1793</v>
      </c>
      <c r="D77" s="1608" t="s">
        <v>1713</v>
      </c>
      <c r="E77" s="1608" t="s">
        <v>1792</v>
      </c>
      <c r="F77" s="1610" t="s">
        <v>109</v>
      </c>
      <c r="G77" s="1636"/>
      <c r="H77" s="1664">
        <f>I77</f>
        <v>5411</v>
      </c>
      <c r="I77" s="1613">
        <v>5411</v>
      </c>
      <c r="J77" s="1604"/>
      <c r="K77" s="1604"/>
      <c r="L77" s="1604"/>
      <c r="M77" s="1604"/>
      <c r="N77" s="1648">
        <v>2400</v>
      </c>
      <c r="O77" s="1747">
        <f t="shared" si="34"/>
        <v>2400</v>
      </c>
      <c r="P77" s="1666">
        <v>4540</v>
      </c>
      <c r="Q77" s="1748">
        <f t="shared" si="40"/>
        <v>4540</v>
      </c>
      <c r="R77" s="1747">
        <f>U77-O77</f>
        <v>1240</v>
      </c>
      <c r="S77" s="1747"/>
      <c r="T77" s="1665">
        <f>U77</f>
        <v>3640</v>
      </c>
      <c r="U77" s="1623">
        <v>3640</v>
      </c>
      <c r="V77" s="1747"/>
      <c r="W77" s="1747"/>
      <c r="X77" s="1665">
        <f>Y77</f>
        <v>3640</v>
      </c>
      <c r="Y77" s="1623">
        <v>3640</v>
      </c>
      <c r="Z77" s="1665">
        <v>3640</v>
      </c>
      <c r="AA77" s="1623">
        <v>3640</v>
      </c>
      <c r="AB77" s="1623"/>
      <c r="AC77" s="1623"/>
      <c r="AD77" s="1591">
        <f t="shared" si="37"/>
        <v>3640</v>
      </c>
      <c r="AE77" s="1591">
        <f t="shared" si="36"/>
        <v>3640</v>
      </c>
      <c r="AF77" s="1606"/>
      <c r="AG77" s="1009">
        <f t="shared" si="1"/>
        <v>0</v>
      </c>
      <c r="AH77" s="1009">
        <f t="shared" si="9"/>
        <v>1</v>
      </c>
      <c r="AI77" s="1908">
        <f t="shared" si="24"/>
        <v>1</v>
      </c>
    </row>
    <row r="78" spans="1:35" ht="33" hidden="1" x14ac:dyDescent="0.25">
      <c r="A78" s="1677" t="s">
        <v>3167</v>
      </c>
      <c r="B78" s="1677"/>
      <c r="C78" s="1621" t="s">
        <v>1791</v>
      </c>
      <c r="D78" s="1608" t="s">
        <v>1713</v>
      </c>
      <c r="E78" s="1608" t="s">
        <v>1778</v>
      </c>
      <c r="F78" s="1610" t="s">
        <v>109</v>
      </c>
      <c r="G78" s="1636"/>
      <c r="H78" s="1664">
        <f>1000*4.2</f>
        <v>4200</v>
      </c>
      <c r="I78" s="1613">
        <f>H78</f>
        <v>4200</v>
      </c>
      <c r="J78" s="1747"/>
      <c r="K78" s="1747"/>
      <c r="L78" s="1747"/>
      <c r="M78" s="1747"/>
      <c r="N78" s="1648">
        <v>4000</v>
      </c>
      <c r="O78" s="1747">
        <f t="shared" si="34"/>
        <v>4000</v>
      </c>
      <c r="P78" s="1666">
        <v>3530</v>
      </c>
      <c r="Q78" s="1748">
        <f t="shared" si="40"/>
        <v>3530</v>
      </c>
      <c r="R78" s="1747"/>
      <c r="S78" s="1747">
        <f t="shared" ref="S78:S100" si="41">O78-U78</f>
        <v>800</v>
      </c>
      <c r="T78" s="1665">
        <f>U78</f>
        <v>3200</v>
      </c>
      <c r="U78" s="1623">
        <v>3200</v>
      </c>
      <c r="V78" s="1747"/>
      <c r="W78" s="1747"/>
      <c r="X78" s="1665">
        <f>Y78</f>
        <v>3200</v>
      </c>
      <c r="Y78" s="1623">
        <v>3200</v>
      </c>
      <c r="Z78" s="1665">
        <v>3200</v>
      </c>
      <c r="AA78" s="1623">
        <v>3200</v>
      </c>
      <c r="AB78" s="1623"/>
      <c r="AC78" s="1623"/>
      <c r="AD78" s="1591">
        <f t="shared" si="37"/>
        <v>3200</v>
      </c>
      <c r="AE78" s="1591">
        <f t="shared" si="36"/>
        <v>3200</v>
      </c>
      <c r="AF78" s="1599"/>
      <c r="AG78" s="1009">
        <f t="shared" si="1"/>
        <v>0</v>
      </c>
      <c r="AH78" s="1009">
        <f t="shared" si="9"/>
        <v>1</v>
      </c>
      <c r="AI78" s="1908">
        <f t="shared" si="24"/>
        <v>1</v>
      </c>
    </row>
    <row r="79" spans="1:35" ht="33" hidden="1" x14ac:dyDescent="0.25">
      <c r="A79" s="1677" t="s">
        <v>3168</v>
      </c>
      <c r="B79" s="1677"/>
      <c r="C79" s="1621" t="s">
        <v>1790</v>
      </c>
      <c r="D79" s="1608" t="s">
        <v>1713</v>
      </c>
      <c r="E79" s="1608" t="s">
        <v>1789</v>
      </c>
      <c r="F79" s="1610" t="s">
        <v>461</v>
      </c>
      <c r="G79" s="1636"/>
      <c r="H79" s="1664">
        <f>700*4.2</f>
        <v>2940</v>
      </c>
      <c r="I79" s="1613">
        <f>H79</f>
        <v>2940</v>
      </c>
      <c r="J79" s="1747"/>
      <c r="K79" s="1747"/>
      <c r="L79" s="1747"/>
      <c r="M79" s="1747"/>
      <c r="N79" s="1648">
        <v>2800</v>
      </c>
      <c r="O79" s="1747">
        <f t="shared" si="34"/>
        <v>2800</v>
      </c>
      <c r="P79" s="1666">
        <v>2630</v>
      </c>
      <c r="Q79" s="1748">
        <f t="shared" si="40"/>
        <v>2630</v>
      </c>
      <c r="R79" s="1747"/>
      <c r="S79" s="1747">
        <f t="shared" si="41"/>
        <v>319</v>
      </c>
      <c r="T79" s="1665">
        <f>U79</f>
        <v>2481</v>
      </c>
      <c r="U79" s="1623">
        <v>2481</v>
      </c>
      <c r="V79" s="1747"/>
      <c r="W79" s="1747"/>
      <c r="X79" s="1665">
        <f>Y79</f>
        <v>2481</v>
      </c>
      <c r="Y79" s="1623">
        <v>2481</v>
      </c>
      <c r="Z79" s="1665">
        <v>2481</v>
      </c>
      <c r="AA79" s="1623">
        <v>2481</v>
      </c>
      <c r="AB79" s="1623"/>
      <c r="AC79" s="1623"/>
      <c r="AD79" s="1591">
        <f t="shared" si="37"/>
        <v>2481</v>
      </c>
      <c r="AE79" s="1591">
        <f t="shared" si="36"/>
        <v>2481</v>
      </c>
      <c r="AF79" s="1599"/>
      <c r="AG79" s="1009">
        <f t="shared" si="1"/>
        <v>0</v>
      </c>
      <c r="AH79" s="1009">
        <f t="shared" si="9"/>
        <v>1</v>
      </c>
      <c r="AI79" s="1908">
        <f t="shared" si="24"/>
        <v>1</v>
      </c>
    </row>
    <row r="80" spans="1:35" ht="33" hidden="1" x14ac:dyDescent="0.25">
      <c r="A80" s="1677" t="s">
        <v>3169</v>
      </c>
      <c r="B80" s="1677"/>
      <c r="C80" s="1621" t="s">
        <v>1788</v>
      </c>
      <c r="D80" s="1608" t="s">
        <v>1713</v>
      </c>
      <c r="E80" s="1608" t="s">
        <v>1787</v>
      </c>
      <c r="F80" s="1610" t="s">
        <v>461</v>
      </c>
      <c r="G80" s="1636"/>
      <c r="H80" s="1664">
        <f>2200*4.2</f>
        <v>9240</v>
      </c>
      <c r="I80" s="1613">
        <f>H80</f>
        <v>9240</v>
      </c>
      <c r="J80" s="1747"/>
      <c r="K80" s="1747"/>
      <c r="L80" s="1747"/>
      <c r="M80" s="1747"/>
      <c r="N80" s="1648">
        <v>8800</v>
      </c>
      <c r="O80" s="1747">
        <f t="shared" si="34"/>
        <v>8800</v>
      </c>
      <c r="P80" s="1666">
        <v>8800</v>
      </c>
      <c r="Q80" s="1748">
        <f t="shared" si="40"/>
        <v>8800</v>
      </c>
      <c r="R80" s="1747"/>
      <c r="S80" s="1747">
        <f t="shared" si="41"/>
        <v>1300</v>
      </c>
      <c r="T80" s="1665">
        <f>U80</f>
        <v>7500</v>
      </c>
      <c r="U80" s="1623">
        <v>7500</v>
      </c>
      <c r="V80" s="1747"/>
      <c r="W80" s="1747"/>
      <c r="X80" s="1665">
        <f>Y80</f>
        <v>7500</v>
      </c>
      <c r="Y80" s="1623">
        <v>7500</v>
      </c>
      <c r="Z80" s="1665">
        <v>7500</v>
      </c>
      <c r="AA80" s="1623">
        <v>7500</v>
      </c>
      <c r="AB80" s="1623"/>
      <c r="AC80" s="1623"/>
      <c r="AD80" s="1591">
        <f t="shared" si="37"/>
        <v>7500</v>
      </c>
      <c r="AE80" s="1591">
        <f t="shared" si="36"/>
        <v>7500</v>
      </c>
      <c r="AF80" s="1599"/>
      <c r="AG80" s="1009">
        <f t="shared" ref="AG80:AG143" si="42">IF(AE80-AA80=0,0,1)</f>
        <v>0</v>
      </c>
      <c r="AH80" s="1009">
        <f t="shared" si="9"/>
        <v>1</v>
      </c>
      <c r="AI80" s="1908">
        <f t="shared" si="24"/>
        <v>1</v>
      </c>
    </row>
    <row r="81" spans="1:35" ht="33" hidden="1" x14ac:dyDescent="0.25">
      <c r="A81" s="1677" t="s">
        <v>3170</v>
      </c>
      <c r="B81" s="1677"/>
      <c r="C81" s="1621" t="s">
        <v>1786</v>
      </c>
      <c r="D81" s="1608" t="s">
        <v>1709</v>
      </c>
      <c r="E81" s="1608" t="s">
        <v>1785</v>
      </c>
      <c r="F81" s="1610" t="s">
        <v>461</v>
      </c>
      <c r="G81" s="1636"/>
      <c r="H81" s="1664">
        <f>I81</f>
        <v>5119</v>
      </c>
      <c r="I81" s="1613">
        <v>5119</v>
      </c>
      <c r="J81" s="1747"/>
      <c r="K81" s="1747"/>
      <c r="L81" s="1747"/>
      <c r="M81" s="1747"/>
      <c r="N81" s="1648">
        <v>4600</v>
      </c>
      <c r="O81" s="1747">
        <f t="shared" si="34"/>
        <v>4600</v>
      </c>
      <c r="P81" s="1666">
        <v>4390</v>
      </c>
      <c r="Q81" s="1748">
        <f t="shared" si="40"/>
        <v>4390</v>
      </c>
      <c r="R81" s="1747"/>
      <c r="S81" s="1747">
        <f t="shared" si="41"/>
        <v>210</v>
      </c>
      <c r="T81" s="1665">
        <v>4390</v>
      </c>
      <c r="U81" s="1623">
        <v>4390</v>
      </c>
      <c r="V81" s="1747"/>
      <c r="W81" s="1747"/>
      <c r="X81" s="1665">
        <v>4390</v>
      </c>
      <c r="Y81" s="1623">
        <v>4390</v>
      </c>
      <c r="Z81" s="1665">
        <v>4390</v>
      </c>
      <c r="AA81" s="1623">
        <v>4390</v>
      </c>
      <c r="AB81" s="1623"/>
      <c r="AC81" s="1623"/>
      <c r="AD81" s="1591">
        <f t="shared" si="37"/>
        <v>4390</v>
      </c>
      <c r="AE81" s="1591">
        <f t="shared" si="36"/>
        <v>4390</v>
      </c>
      <c r="AF81" s="1599"/>
      <c r="AG81" s="1009">
        <f t="shared" si="42"/>
        <v>0</v>
      </c>
      <c r="AH81" s="1009">
        <f t="shared" ref="AH81:AH144" si="43">IF(Y81=0,0,1)</f>
        <v>1</v>
      </c>
      <c r="AI81" s="1908">
        <f t="shared" si="24"/>
        <v>1</v>
      </c>
    </row>
    <row r="82" spans="1:35" ht="33" hidden="1" x14ac:dyDescent="0.25">
      <c r="A82" s="1677" t="s">
        <v>3171</v>
      </c>
      <c r="B82" s="1677"/>
      <c r="C82" s="1621" t="s">
        <v>1784</v>
      </c>
      <c r="D82" s="1608" t="s">
        <v>1709</v>
      </c>
      <c r="E82" s="1608" t="s">
        <v>1783</v>
      </c>
      <c r="F82" s="1610" t="s">
        <v>461</v>
      </c>
      <c r="G82" s="1636"/>
      <c r="H82" s="1664">
        <f>720*4.2</f>
        <v>3024</v>
      </c>
      <c r="I82" s="1613">
        <f t="shared" ref="I82:I113" si="44">H82</f>
        <v>3024</v>
      </c>
      <c r="J82" s="1747"/>
      <c r="K82" s="1756"/>
      <c r="L82" s="1747"/>
      <c r="M82" s="1747"/>
      <c r="N82" s="1648">
        <v>2800</v>
      </c>
      <c r="O82" s="1747">
        <f t="shared" si="34"/>
        <v>2800</v>
      </c>
      <c r="P82" s="1666">
        <v>2800</v>
      </c>
      <c r="Q82" s="1748">
        <f t="shared" si="40"/>
        <v>2800</v>
      </c>
      <c r="R82" s="1747">
        <f t="shared" ref="R82:R86" si="45">U82-O82</f>
        <v>0</v>
      </c>
      <c r="S82" s="1747">
        <f t="shared" si="41"/>
        <v>0</v>
      </c>
      <c r="T82" s="1665">
        <v>2800</v>
      </c>
      <c r="U82" s="1623">
        <v>2800</v>
      </c>
      <c r="V82" s="1747"/>
      <c r="W82" s="1747"/>
      <c r="X82" s="1665">
        <v>2800</v>
      </c>
      <c r="Y82" s="1623">
        <v>2800</v>
      </c>
      <c r="Z82" s="1665">
        <v>2800</v>
      </c>
      <c r="AA82" s="1623">
        <v>2800</v>
      </c>
      <c r="AB82" s="1623"/>
      <c r="AC82" s="1623"/>
      <c r="AD82" s="1591">
        <f t="shared" si="37"/>
        <v>2800</v>
      </c>
      <c r="AE82" s="1591">
        <f t="shared" si="36"/>
        <v>2800</v>
      </c>
      <c r="AF82" s="1599"/>
      <c r="AG82" s="1009">
        <f t="shared" si="42"/>
        <v>0</v>
      </c>
      <c r="AH82" s="1009">
        <f t="shared" si="43"/>
        <v>1</v>
      </c>
      <c r="AI82" s="1908">
        <f t="shared" si="24"/>
        <v>1</v>
      </c>
    </row>
    <row r="83" spans="1:35" ht="33" hidden="1" x14ac:dyDescent="0.25">
      <c r="A83" s="1677" t="s">
        <v>3172</v>
      </c>
      <c r="B83" s="1677"/>
      <c r="C83" s="1621" t="s">
        <v>1782</v>
      </c>
      <c r="D83" s="1608" t="s">
        <v>1709</v>
      </c>
      <c r="E83" s="1608" t="s">
        <v>1780</v>
      </c>
      <c r="F83" s="1610" t="s">
        <v>461</v>
      </c>
      <c r="G83" s="1636"/>
      <c r="H83" s="1664">
        <f>780*4.2</f>
        <v>3276</v>
      </c>
      <c r="I83" s="1613">
        <f t="shared" si="44"/>
        <v>3276</v>
      </c>
      <c r="J83" s="1747"/>
      <c r="K83" s="1756"/>
      <c r="L83" s="1747"/>
      <c r="M83" s="1747"/>
      <c r="N83" s="1648">
        <v>3100</v>
      </c>
      <c r="O83" s="1747">
        <f t="shared" si="34"/>
        <v>3100</v>
      </c>
      <c r="P83" s="1666">
        <v>3100</v>
      </c>
      <c r="Q83" s="1748">
        <f t="shared" si="40"/>
        <v>3100</v>
      </c>
      <c r="R83" s="1747"/>
      <c r="S83" s="1747">
        <f t="shared" si="41"/>
        <v>781</v>
      </c>
      <c r="T83" s="1665">
        <f>U83</f>
        <v>2319</v>
      </c>
      <c r="U83" s="1623">
        <v>2319</v>
      </c>
      <c r="V83" s="1747"/>
      <c r="W83" s="1747"/>
      <c r="X83" s="1665">
        <f>Y83</f>
        <v>2319</v>
      </c>
      <c r="Y83" s="1623">
        <v>2319</v>
      </c>
      <c r="Z83" s="1665">
        <v>2319</v>
      </c>
      <c r="AA83" s="1623">
        <v>2319</v>
      </c>
      <c r="AB83" s="1623"/>
      <c r="AC83" s="1623"/>
      <c r="AD83" s="1591">
        <f t="shared" si="37"/>
        <v>2319</v>
      </c>
      <c r="AE83" s="1591">
        <f t="shared" si="36"/>
        <v>2319</v>
      </c>
      <c r="AF83" s="1599"/>
      <c r="AG83" s="1009">
        <f t="shared" si="42"/>
        <v>0</v>
      </c>
      <c r="AH83" s="1009">
        <f t="shared" si="43"/>
        <v>1</v>
      </c>
      <c r="AI83" s="1908">
        <f t="shared" si="24"/>
        <v>1</v>
      </c>
    </row>
    <row r="84" spans="1:35" ht="33" hidden="1" x14ac:dyDescent="0.25">
      <c r="A84" s="1677" t="s">
        <v>3173</v>
      </c>
      <c r="B84" s="1677"/>
      <c r="C84" s="1621" t="s">
        <v>1781</v>
      </c>
      <c r="D84" s="1608" t="s">
        <v>1709</v>
      </c>
      <c r="E84" s="1608" t="s">
        <v>1780</v>
      </c>
      <c r="F84" s="1610" t="s">
        <v>461</v>
      </c>
      <c r="G84" s="1636"/>
      <c r="H84" s="1664">
        <f>780*4.2</f>
        <v>3276</v>
      </c>
      <c r="I84" s="1613">
        <f t="shared" si="44"/>
        <v>3276</v>
      </c>
      <c r="J84" s="1747"/>
      <c r="K84" s="1756"/>
      <c r="L84" s="1747"/>
      <c r="M84" s="1747"/>
      <c r="N84" s="1648">
        <v>3100</v>
      </c>
      <c r="O84" s="1747">
        <f t="shared" si="34"/>
        <v>3100</v>
      </c>
      <c r="P84" s="1666">
        <v>2700</v>
      </c>
      <c r="Q84" s="1748">
        <f t="shared" si="40"/>
        <v>2700</v>
      </c>
      <c r="R84" s="1747"/>
      <c r="S84" s="1747">
        <f t="shared" si="41"/>
        <v>400</v>
      </c>
      <c r="T84" s="1665">
        <v>2700</v>
      </c>
      <c r="U84" s="1623">
        <v>2700</v>
      </c>
      <c r="V84" s="1747"/>
      <c r="W84" s="1747"/>
      <c r="X84" s="1665">
        <v>2700</v>
      </c>
      <c r="Y84" s="1623">
        <v>2700</v>
      </c>
      <c r="Z84" s="1665">
        <v>2700</v>
      </c>
      <c r="AA84" s="1623">
        <v>2700</v>
      </c>
      <c r="AB84" s="1623"/>
      <c r="AC84" s="1623"/>
      <c r="AD84" s="1591">
        <f t="shared" si="37"/>
        <v>2700</v>
      </c>
      <c r="AE84" s="1591">
        <f t="shared" si="36"/>
        <v>2700</v>
      </c>
      <c r="AF84" s="1599"/>
      <c r="AG84" s="1009">
        <f t="shared" si="42"/>
        <v>0</v>
      </c>
      <c r="AH84" s="1009">
        <f t="shared" si="43"/>
        <v>1</v>
      </c>
      <c r="AI84" s="1908">
        <f t="shared" si="24"/>
        <v>1</v>
      </c>
    </row>
    <row r="85" spans="1:35" ht="33" hidden="1" x14ac:dyDescent="0.25">
      <c r="A85" s="1677" t="s">
        <v>3174</v>
      </c>
      <c r="B85" s="1677"/>
      <c r="C85" s="1621" t="s">
        <v>1779</v>
      </c>
      <c r="D85" s="1608" t="s">
        <v>1709</v>
      </c>
      <c r="E85" s="1608" t="s">
        <v>1778</v>
      </c>
      <c r="F85" s="1610" t="s">
        <v>461</v>
      </c>
      <c r="G85" s="1636"/>
      <c r="H85" s="1664">
        <f>1000*4.2</f>
        <v>4200</v>
      </c>
      <c r="I85" s="1613">
        <f t="shared" si="44"/>
        <v>4200</v>
      </c>
      <c r="J85" s="1604"/>
      <c r="K85" s="1604"/>
      <c r="L85" s="1604"/>
      <c r="M85" s="1604"/>
      <c r="N85" s="1648">
        <v>4000</v>
      </c>
      <c r="O85" s="1747">
        <f t="shared" si="34"/>
        <v>4000</v>
      </c>
      <c r="P85" s="1666">
        <v>4000</v>
      </c>
      <c r="Q85" s="1748">
        <f t="shared" si="40"/>
        <v>4000</v>
      </c>
      <c r="R85" s="1747">
        <f t="shared" si="45"/>
        <v>0</v>
      </c>
      <c r="S85" s="1747">
        <f t="shared" si="41"/>
        <v>0</v>
      </c>
      <c r="T85" s="1665">
        <v>4000</v>
      </c>
      <c r="U85" s="1623">
        <v>4000</v>
      </c>
      <c r="V85" s="1747"/>
      <c r="W85" s="1747"/>
      <c r="X85" s="1665">
        <v>4000</v>
      </c>
      <c r="Y85" s="1623">
        <v>4000</v>
      </c>
      <c r="Z85" s="1665">
        <v>4000</v>
      </c>
      <c r="AA85" s="1623">
        <v>4000</v>
      </c>
      <c r="AB85" s="1623"/>
      <c r="AC85" s="1623"/>
      <c r="AD85" s="1591">
        <f t="shared" si="37"/>
        <v>4000</v>
      </c>
      <c r="AE85" s="1591">
        <f t="shared" si="36"/>
        <v>4000</v>
      </c>
      <c r="AF85" s="1606"/>
      <c r="AG85" s="1009">
        <f t="shared" si="42"/>
        <v>0</v>
      </c>
      <c r="AH85" s="1009">
        <f t="shared" si="43"/>
        <v>1</v>
      </c>
      <c r="AI85" s="1908">
        <f t="shared" si="24"/>
        <v>1</v>
      </c>
    </row>
    <row r="86" spans="1:35" ht="33" hidden="1" x14ac:dyDescent="0.25">
      <c r="A86" s="1677" t="s">
        <v>3175</v>
      </c>
      <c r="B86" s="1677"/>
      <c r="C86" s="1621" t="s">
        <v>1777</v>
      </c>
      <c r="D86" s="1608" t="s">
        <v>1709</v>
      </c>
      <c r="E86" s="1608" t="s">
        <v>1776</v>
      </c>
      <c r="F86" s="1610" t="s">
        <v>461</v>
      </c>
      <c r="G86" s="1636"/>
      <c r="H86" s="1664">
        <f>1100*4.2</f>
        <v>4620</v>
      </c>
      <c r="I86" s="1613">
        <f t="shared" si="44"/>
        <v>4620</v>
      </c>
      <c r="J86" s="1581"/>
      <c r="K86" s="1581"/>
      <c r="L86" s="1581"/>
      <c r="M86" s="1581"/>
      <c r="N86" s="1648">
        <v>4400</v>
      </c>
      <c r="O86" s="1747">
        <f t="shared" si="34"/>
        <v>4400</v>
      </c>
      <c r="P86" s="1666">
        <v>4400</v>
      </c>
      <c r="Q86" s="1748">
        <f t="shared" si="40"/>
        <v>4400</v>
      </c>
      <c r="R86" s="1747">
        <f t="shared" si="45"/>
        <v>0</v>
      </c>
      <c r="S86" s="1747">
        <f t="shared" si="41"/>
        <v>0</v>
      </c>
      <c r="T86" s="1665">
        <v>4400</v>
      </c>
      <c r="U86" s="1623">
        <v>4400</v>
      </c>
      <c r="V86" s="1747"/>
      <c r="W86" s="1747"/>
      <c r="X86" s="1665">
        <v>4400</v>
      </c>
      <c r="Y86" s="1623">
        <v>4400</v>
      </c>
      <c r="Z86" s="1665">
        <v>4400</v>
      </c>
      <c r="AA86" s="1623">
        <v>4400</v>
      </c>
      <c r="AB86" s="1623"/>
      <c r="AC86" s="1623"/>
      <c r="AD86" s="1591">
        <f t="shared" si="37"/>
        <v>4400</v>
      </c>
      <c r="AE86" s="1591">
        <f t="shared" ref="AE86:AE117" si="46">AA86+AB86+AC86</f>
        <v>4400</v>
      </c>
      <c r="AF86" s="1632"/>
      <c r="AG86" s="1009">
        <f t="shared" si="42"/>
        <v>0</v>
      </c>
      <c r="AH86" s="1009">
        <f t="shared" si="43"/>
        <v>1</v>
      </c>
      <c r="AI86" s="1908">
        <f t="shared" si="24"/>
        <v>1</v>
      </c>
    </row>
    <row r="87" spans="1:35" ht="33" hidden="1" x14ac:dyDescent="0.25">
      <c r="A87" s="1677" t="s">
        <v>3176</v>
      </c>
      <c r="B87" s="1677"/>
      <c r="C87" s="1621" t="s">
        <v>1775</v>
      </c>
      <c r="D87" s="1608" t="s">
        <v>1709</v>
      </c>
      <c r="E87" s="1608" t="s">
        <v>1774</v>
      </c>
      <c r="F87" s="1610" t="s">
        <v>461</v>
      </c>
      <c r="G87" s="1636"/>
      <c r="H87" s="1664">
        <f>970*4.2</f>
        <v>4074</v>
      </c>
      <c r="I87" s="1613">
        <f t="shared" si="44"/>
        <v>4074</v>
      </c>
      <c r="J87" s="1747"/>
      <c r="K87" s="1747"/>
      <c r="L87" s="1747"/>
      <c r="M87" s="1747"/>
      <c r="N87" s="1648">
        <v>3800</v>
      </c>
      <c r="O87" s="1747">
        <f t="shared" si="34"/>
        <v>3800</v>
      </c>
      <c r="P87" s="1666">
        <v>3800</v>
      </c>
      <c r="Q87" s="1748">
        <f t="shared" si="40"/>
        <v>3800</v>
      </c>
      <c r="R87" s="1747">
        <f>U87-O87</f>
        <v>0</v>
      </c>
      <c r="S87" s="1747">
        <f t="shared" si="41"/>
        <v>0</v>
      </c>
      <c r="T87" s="1665">
        <v>3800</v>
      </c>
      <c r="U87" s="1623">
        <v>3800</v>
      </c>
      <c r="V87" s="1747"/>
      <c r="W87" s="1747"/>
      <c r="X87" s="1665">
        <v>3800</v>
      </c>
      <c r="Y87" s="1623">
        <v>3800</v>
      </c>
      <c r="Z87" s="1665">
        <v>3800</v>
      </c>
      <c r="AA87" s="1623">
        <v>3800</v>
      </c>
      <c r="AB87" s="1623"/>
      <c r="AC87" s="1623"/>
      <c r="AD87" s="1591">
        <f t="shared" si="37"/>
        <v>3800</v>
      </c>
      <c r="AE87" s="1591">
        <f t="shared" si="46"/>
        <v>3800</v>
      </c>
      <c r="AF87" s="1599"/>
      <c r="AG87" s="1009">
        <f t="shared" si="42"/>
        <v>0</v>
      </c>
      <c r="AH87" s="1009">
        <f t="shared" si="43"/>
        <v>1</v>
      </c>
      <c r="AI87" s="1908">
        <f t="shared" si="24"/>
        <v>1</v>
      </c>
    </row>
    <row r="88" spans="1:35" ht="33" hidden="1" x14ac:dyDescent="0.25">
      <c r="A88" s="1677" t="s">
        <v>3177</v>
      </c>
      <c r="B88" s="1677"/>
      <c r="C88" s="1621" t="s">
        <v>1773</v>
      </c>
      <c r="D88" s="1608" t="s">
        <v>1709</v>
      </c>
      <c r="E88" s="1608" t="s">
        <v>1772</v>
      </c>
      <c r="F88" s="1610" t="s">
        <v>461</v>
      </c>
      <c r="G88" s="1636"/>
      <c r="H88" s="1664">
        <f>2800*4.2</f>
        <v>11760</v>
      </c>
      <c r="I88" s="1613">
        <f t="shared" si="44"/>
        <v>11760</v>
      </c>
      <c r="J88" s="1747"/>
      <c r="K88" s="1747"/>
      <c r="L88" s="1747"/>
      <c r="M88" s="1747"/>
      <c r="N88" s="1648">
        <v>11200</v>
      </c>
      <c r="O88" s="1747">
        <f t="shared" si="34"/>
        <v>11200</v>
      </c>
      <c r="P88" s="1666">
        <v>9000</v>
      </c>
      <c r="Q88" s="1748">
        <f t="shared" si="40"/>
        <v>9000</v>
      </c>
      <c r="R88" s="1747"/>
      <c r="S88" s="1747">
        <f t="shared" si="41"/>
        <v>2380</v>
      </c>
      <c r="T88" s="1665">
        <f>U88</f>
        <v>8820</v>
      </c>
      <c r="U88" s="1623">
        <v>8820</v>
      </c>
      <c r="V88" s="1747"/>
      <c r="W88" s="1747"/>
      <c r="X88" s="1665">
        <f>Y88</f>
        <v>8820</v>
      </c>
      <c r="Y88" s="1623">
        <v>8820</v>
      </c>
      <c r="Z88" s="1665">
        <v>8820</v>
      </c>
      <c r="AA88" s="1623">
        <v>8820</v>
      </c>
      <c r="AB88" s="1623"/>
      <c r="AC88" s="1623"/>
      <c r="AD88" s="1591">
        <f t="shared" si="37"/>
        <v>8820</v>
      </c>
      <c r="AE88" s="1591">
        <f t="shared" si="46"/>
        <v>8820</v>
      </c>
      <c r="AF88" s="1599"/>
      <c r="AG88" s="1009">
        <f t="shared" si="42"/>
        <v>0</v>
      </c>
      <c r="AH88" s="1009">
        <f t="shared" si="43"/>
        <v>1</v>
      </c>
      <c r="AI88" s="1908">
        <f t="shared" si="24"/>
        <v>1</v>
      </c>
    </row>
    <row r="89" spans="1:35" ht="33" hidden="1" x14ac:dyDescent="0.25">
      <c r="A89" s="1677" t="s">
        <v>3178</v>
      </c>
      <c r="B89" s="1677"/>
      <c r="C89" s="1621" t="s">
        <v>1771</v>
      </c>
      <c r="D89" s="1608" t="s">
        <v>1713</v>
      </c>
      <c r="E89" s="1608" t="s">
        <v>1770</v>
      </c>
      <c r="F89" s="1610" t="s">
        <v>461</v>
      </c>
      <c r="G89" s="1636"/>
      <c r="H89" s="1664">
        <f>1600*4.2</f>
        <v>6720</v>
      </c>
      <c r="I89" s="1613">
        <f t="shared" si="44"/>
        <v>6720</v>
      </c>
      <c r="J89" s="1747"/>
      <c r="K89" s="1747"/>
      <c r="L89" s="1747"/>
      <c r="M89" s="1747"/>
      <c r="N89" s="1648">
        <v>6400</v>
      </c>
      <c r="O89" s="1747">
        <f t="shared" si="34"/>
        <v>6400</v>
      </c>
      <c r="P89" s="1666"/>
      <c r="Q89" s="1748"/>
      <c r="R89" s="1747"/>
      <c r="S89" s="1747">
        <f t="shared" si="41"/>
        <v>6400</v>
      </c>
      <c r="T89" s="1665"/>
      <c r="U89" s="1623"/>
      <c r="V89" s="1747"/>
      <c r="W89" s="1747"/>
      <c r="X89" s="1665"/>
      <c r="Y89" s="1623"/>
      <c r="Z89" s="1665">
        <v>0</v>
      </c>
      <c r="AA89" s="1623">
        <v>0</v>
      </c>
      <c r="AB89" s="1623"/>
      <c r="AC89" s="1623"/>
      <c r="AD89" s="1591">
        <f t="shared" si="37"/>
        <v>0</v>
      </c>
      <c r="AE89" s="1591">
        <f t="shared" si="46"/>
        <v>0</v>
      </c>
      <c r="AF89" s="1580"/>
      <c r="AG89" s="1009">
        <f t="shared" si="42"/>
        <v>0</v>
      </c>
      <c r="AH89" s="1009">
        <f t="shared" si="43"/>
        <v>0</v>
      </c>
      <c r="AI89" s="1908">
        <f t="shared" si="24"/>
        <v>1</v>
      </c>
    </row>
    <row r="90" spans="1:35" ht="33" hidden="1" x14ac:dyDescent="0.25">
      <c r="A90" s="1677" t="s">
        <v>3179</v>
      </c>
      <c r="B90" s="1677"/>
      <c r="C90" s="1621" t="s">
        <v>1769</v>
      </c>
      <c r="D90" s="1608" t="s">
        <v>1713</v>
      </c>
      <c r="E90" s="1608" t="s">
        <v>1768</v>
      </c>
      <c r="F90" s="1610" t="s">
        <v>461</v>
      </c>
      <c r="G90" s="1636"/>
      <c r="H90" s="1664">
        <v>1750</v>
      </c>
      <c r="I90" s="1613">
        <f t="shared" si="44"/>
        <v>1750</v>
      </c>
      <c r="J90" s="1747"/>
      <c r="K90" s="1747"/>
      <c r="L90" s="1747"/>
      <c r="M90" s="1747"/>
      <c r="N90" s="1648">
        <v>1600</v>
      </c>
      <c r="O90" s="1747">
        <f t="shared" si="34"/>
        <v>1600</v>
      </c>
      <c r="P90" s="1666"/>
      <c r="Q90" s="1748"/>
      <c r="R90" s="1747"/>
      <c r="S90" s="1747">
        <f t="shared" si="41"/>
        <v>1600</v>
      </c>
      <c r="T90" s="1665"/>
      <c r="U90" s="1623"/>
      <c r="V90" s="1747"/>
      <c r="W90" s="1747"/>
      <c r="X90" s="1665"/>
      <c r="Y90" s="1623"/>
      <c r="Z90" s="1665">
        <v>0</v>
      </c>
      <c r="AA90" s="1623">
        <v>0</v>
      </c>
      <c r="AB90" s="1623"/>
      <c r="AC90" s="1623"/>
      <c r="AD90" s="1591">
        <f t="shared" si="37"/>
        <v>0</v>
      </c>
      <c r="AE90" s="1591">
        <f t="shared" si="46"/>
        <v>0</v>
      </c>
      <c r="AF90" s="1580"/>
      <c r="AG90" s="1009">
        <f t="shared" si="42"/>
        <v>0</v>
      </c>
      <c r="AH90" s="1009">
        <f t="shared" si="43"/>
        <v>0</v>
      </c>
      <c r="AI90" s="1908">
        <f t="shared" si="24"/>
        <v>1</v>
      </c>
    </row>
    <row r="91" spans="1:35" ht="33" hidden="1" x14ac:dyDescent="0.25">
      <c r="A91" s="1677" t="s">
        <v>3180</v>
      </c>
      <c r="B91" s="1677"/>
      <c r="C91" s="1621" t="s">
        <v>1767</v>
      </c>
      <c r="D91" s="1608" t="s">
        <v>1713</v>
      </c>
      <c r="E91" s="1608" t="s">
        <v>1766</v>
      </c>
      <c r="F91" s="1610" t="s">
        <v>461</v>
      </c>
      <c r="G91" s="1636"/>
      <c r="H91" s="1664">
        <v>2851</v>
      </c>
      <c r="I91" s="1613">
        <f t="shared" si="44"/>
        <v>2851</v>
      </c>
      <c r="J91" s="1747"/>
      <c r="K91" s="1747"/>
      <c r="L91" s="1747"/>
      <c r="M91" s="1747"/>
      <c r="N91" s="1648">
        <v>2700</v>
      </c>
      <c r="O91" s="1747">
        <f t="shared" si="34"/>
        <v>2700</v>
      </c>
      <c r="P91" s="1666"/>
      <c r="Q91" s="1748"/>
      <c r="R91" s="1747"/>
      <c r="S91" s="1747">
        <f t="shared" si="41"/>
        <v>2700</v>
      </c>
      <c r="T91" s="1665"/>
      <c r="U91" s="1623"/>
      <c r="V91" s="1747"/>
      <c r="W91" s="1747"/>
      <c r="X91" s="1665"/>
      <c r="Y91" s="1623"/>
      <c r="Z91" s="1665">
        <v>0</v>
      </c>
      <c r="AA91" s="1623">
        <v>0</v>
      </c>
      <c r="AB91" s="1623"/>
      <c r="AC91" s="1623"/>
      <c r="AD91" s="1591">
        <f t="shared" si="37"/>
        <v>0</v>
      </c>
      <c r="AE91" s="1591">
        <f t="shared" si="46"/>
        <v>0</v>
      </c>
      <c r="AF91" s="1580"/>
      <c r="AG91" s="1009">
        <f t="shared" si="42"/>
        <v>0</v>
      </c>
      <c r="AH91" s="1009">
        <f t="shared" si="43"/>
        <v>0</v>
      </c>
      <c r="AI91" s="1908">
        <f t="shared" si="24"/>
        <v>1</v>
      </c>
    </row>
    <row r="92" spans="1:35" ht="33" hidden="1" x14ac:dyDescent="0.25">
      <c r="A92" s="1677" t="s">
        <v>3181</v>
      </c>
      <c r="B92" s="1677"/>
      <c r="C92" s="1621" t="s">
        <v>1765</v>
      </c>
      <c r="D92" s="1608" t="s">
        <v>1713</v>
      </c>
      <c r="E92" s="1608" t="s">
        <v>1764</v>
      </c>
      <c r="F92" s="1610" t="s">
        <v>461</v>
      </c>
      <c r="G92" s="1636"/>
      <c r="H92" s="1664">
        <v>2839</v>
      </c>
      <c r="I92" s="1613">
        <f t="shared" si="44"/>
        <v>2839</v>
      </c>
      <c r="J92" s="1747"/>
      <c r="K92" s="1747"/>
      <c r="L92" s="1747"/>
      <c r="M92" s="1747"/>
      <c r="N92" s="1648">
        <v>2500</v>
      </c>
      <c r="O92" s="1747">
        <f t="shared" si="34"/>
        <v>2500</v>
      </c>
      <c r="P92" s="1666"/>
      <c r="Q92" s="1748"/>
      <c r="R92" s="1747"/>
      <c r="S92" s="1747">
        <f t="shared" si="41"/>
        <v>2500</v>
      </c>
      <c r="T92" s="1665"/>
      <c r="U92" s="1623"/>
      <c r="V92" s="1747"/>
      <c r="W92" s="1747"/>
      <c r="X92" s="1665"/>
      <c r="Y92" s="1623"/>
      <c r="Z92" s="1665">
        <v>0</v>
      </c>
      <c r="AA92" s="1623">
        <v>0</v>
      </c>
      <c r="AB92" s="1623"/>
      <c r="AC92" s="1623"/>
      <c r="AD92" s="1591">
        <f t="shared" si="37"/>
        <v>0</v>
      </c>
      <c r="AE92" s="1591">
        <f t="shared" si="46"/>
        <v>0</v>
      </c>
      <c r="AF92" s="1580"/>
      <c r="AG92" s="1009">
        <f t="shared" si="42"/>
        <v>0</v>
      </c>
      <c r="AH92" s="1009">
        <f t="shared" si="43"/>
        <v>0</v>
      </c>
      <c r="AI92" s="1908">
        <f t="shared" si="24"/>
        <v>1</v>
      </c>
    </row>
    <row r="93" spans="1:35" ht="41.25" hidden="1" customHeight="1" x14ac:dyDescent="0.25">
      <c r="A93" s="1677" t="s">
        <v>3182</v>
      </c>
      <c r="B93" s="1677"/>
      <c r="C93" s="1645" t="s">
        <v>1763</v>
      </c>
      <c r="D93" s="1608" t="s">
        <v>1709</v>
      </c>
      <c r="E93" s="1608"/>
      <c r="F93" s="1610" t="s">
        <v>290</v>
      </c>
      <c r="G93" s="1636"/>
      <c r="H93" s="1648">
        <v>3900</v>
      </c>
      <c r="I93" s="1613">
        <f t="shared" si="44"/>
        <v>3900</v>
      </c>
      <c r="J93" s="1747"/>
      <c r="K93" s="1747"/>
      <c r="L93" s="1747"/>
      <c r="M93" s="1747"/>
      <c r="N93" s="1648">
        <v>3700</v>
      </c>
      <c r="O93" s="1747">
        <f t="shared" si="34"/>
        <v>3700</v>
      </c>
      <c r="P93" s="1666"/>
      <c r="Q93" s="1748"/>
      <c r="R93" s="1747"/>
      <c r="S93" s="1747">
        <f t="shared" si="41"/>
        <v>3700</v>
      </c>
      <c r="T93" s="1665"/>
      <c r="U93" s="1623"/>
      <c r="V93" s="1747"/>
      <c r="W93" s="1747"/>
      <c r="X93" s="1665"/>
      <c r="Y93" s="1623"/>
      <c r="Z93" s="1665">
        <v>0</v>
      </c>
      <c r="AA93" s="1623">
        <v>0</v>
      </c>
      <c r="AB93" s="1623"/>
      <c r="AC93" s="1623"/>
      <c r="AD93" s="1591">
        <f t="shared" si="37"/>
        <v>0</v>
      </c>
      <c r="AE93" s="1591">
        <f t="shared" si="46"/>
        <v>0</v>
      </c>
      <c r="AF93" s="1580"/>
      <c r="AG93" s="1009">
        <f t="shared" si="42"/>
        <v>0</v>
      </c>
      <c r="AH93" s="1009">
        <f t="shared" si="43"/>
        <v>0</v>
      </c>
      <c r="AI93" s="1908">
        <f t="shared" si="24"/>
        <v>1</v>
      </c>
    </row>
    <row r="94" spans="1:35" ht="52.5" hidden="1" customHeight="1" x14ac:dyDescent="0.25">
      <c r="A94" s="1677" t="s">
        <v>3183</v>
      </c>
      <c r="B94" s="1677"/>
      <c r="C94" s="1645" t="s">
        <v>1762</v>
      </c>
      <c r="D94" s="1608" t="s">
        <v>1806</v>
      </c>
      <c r="E94" s="1608"/>
      <c r="F94" s="1610" t="s">
        <v>290</v>
      </c>
      <c r="G94" s="1636"/>
      <c r="H94" s="1687">
        <v>700</v>
      </c>
      <c r="I94" s="1613">
        <f t="shared" si="44"/>
        <v>700</v>
      </c>
      <c r="J94" s="1747"/>
      <c r="K94" s="1747"/>
      <c r="L94" s="1747"/>
      <c r="M94" s="1747"/>
      <c r="N94" s="1648">
        <v>660</v>
      </c>
      <c r="O94" s="1747">
        <f t="shared" si="34"/>
        <v>660</v>
      </c>
      <c r="P94" s="1666"/>
      <c r="Q94" s="1748"/>
      <c r="R94" s="1747"/>
      <c r="S94" s="1747">
        <f t="shared" si="41"/>
        <v>660</v>
      </c>
      <c r="T94" s="1665"/>
      <c r="U94" s="1623"/>
      <c r="V94" s="1747"/>
      <c r="W94" s="1747"/>
      <c r="X94" s="1665"/>
      <c r="Y94" s="1623"/>
      <c r="Z94" s="1665">
        <v>0</v>
      </c>
      <c r="AA94" s="1623">
        <v>0</v>
      </c>
      <c r="AB94" s="1623"/>
      <c r="AC94" s="1623"/>
      <c r="AD94" s="1591">
        <f t="shared" si="37"/>
        <v>0</v>
      </c>
      <c r="AE94" s="1591">
        <f t="shared" si="46"/>
        <v>0</v>
      </c>
      <c r="AF94" s="1580"/>
      <c r="AG94" s="1009">
        <f t="shared" si="42"/>
        <v>0</v>
      </c>
      <c r="AH94" s="1009">
        <f t="shared" si="43"/>
        <v>0</v>
      </c>
      <c r="AI94" s="1908">
        <f t="shared" si="24"/>
        <v>1</v>
      </c>
    </row>
    <row r="95" spans="1:35" ht="53.25" hidden="1" customHeight="1" x14ac:dyDescent="0.25">
      <c r="A95" s="1677" t="s">
        <v>3184</v>
      </c>
      <c r="B95" s="1677"/>
      <c r="C95" s="1645" t="s">
        <v>1761</v>
      </c>
      <c r="D95" s="1608" t="s">
        <v>1806</v>
      </c>
      <c r="E95" s="1608"/>
      <c r="F95" s="1610" t="s">
        <v>290</v>
      </c>
      <c r="G95" s="1636"/>
      <c r="H95" s="1687">
        <v>800</v>
      </c>
      <c r="I95" s="1613">
        <f t="shared" si="44"/>
        <v>800</v>
      </c>
      <c r="J95" s="1747"/>
      <c r="K95" s="1747"/>
      <c r="L95" s="1747"/>
      <c r="M95" s="1747"/>
      <c r="N95" s="1648">
        <v>760</v>
      </c>
      <c r="O95" s="1747">
        <f t="shared" si="34"/>
        <v>760</v>
      </c>
      <c r="P95" s="1666"/>
      <c r="Q95" s="1748"/>
      <c r="R95" s="1747"/>
      <c r="S95" s="1747">
        <f t="shared" si="41"/>
        <v>760</v>
      </c>
      <c r="T95" s="1665"/>
      <c r="U95" s="1623"/>
      <c r="V95" s="1747"/>
      <c r="W95" s="1747"/>
      <c r="X95" s="1665"/>
      <c r="Y95" s="1623"/>
      <c r="Z95" s="1665">
        <v>0</v>
      </c>
      <c r="AA95" s="1623">
        <v>0</v>
      </c>
      <c r="AB95" s="1623"/>
      <c r="AC95" s="1623"/>
      <c r="AD95" s="1591">
        <f t="shared" si="37"/>
        <v>0</v>
      </c>
      <c r="AE95" s="1591">
        <f t="shared" si="46"/>
        <v>0</v>
      </c>
      <c r="AF95" s="1580"/>
      <c r="AG95" s="1009">
        <f t="shared" si="42"/>
        <v>0</v>
      </c>
      <c r="AH95" s="1009">
        <f t="shared" si="43"/>
        <v>0</v>
      </c>
      <c r="AI95" s="1908">
        <f t="shared" si="24"/>
        <v>1</v>
      </c>
    </row>
    <row r="96" spans="1:35" ht="53.25" hidden="1" customHeight="1" x14ac:dyDescent="0.25">
      <c r="A96" s="1677" t="s">
        <v>3185</v>
      </c>
      <c r="B96" s="1677"/>
      <c r="C96" s="1645" t="s">
        <v>1760</v>
      </c>
      <c r="D96" s="1608" t="s">
        <v>1806</v>
      </c>
      <c r="E96" s="1608"/>
      <c r="F96" s="1610" t="s">
        <v>290</v>
      </c>
      <c r="G96" s="1636"/>
      <c r="H96" s="1687">
        <v>800</v>
      </c>
      <c r="I96" s="1613">
        <f t="shared" si="44"/>
        <v>800</v>
      </c>
      <c r="J96" s="1747"/>
      <c r="K96" s="1747"/>
      <c r="L96" s="1747"/>
      <c r="M96" s="1747"/>
      <c r="N96" s="1648">
        <v>760</v>
      </c>
      <c r="O96" s="1747">
        <f t="shared" si="34"/>
        <v>760</v>
      </c>
      <c r="P96" s="1666"/>
      <c r="Q96" s="1748"/>
      <c r="R96" s="1747"/>
      <c r="S96" s="1747">
        <f t="shared" si="41"/>
        <v>760</v>
      </c>
      <c r="T96" s="1665"/>
      <c r="U96" s="1623"/>
      <c r="V96" s="1747"/>
      <c r="W96" s="1747"/>
      <c r="X96" s="1665"/>
      <c r="Y96" s="1623"/>
      <c r="Z96" s="1665">
        <v>0</v>
      </c>
      <c r="AA96" s="1623">
        <v>0</v>
      </c>
      <c r="AB96" s="1623"/>
      <c r="AC96" s="1623"/>
      <c r="AD96" s="1591">
        <f t="shared" si="37"/>
        <v>0</v>
      </c>
      <c r="AE96" s="1591">
        <f t="shared" si="46"/>
        <v>0</v>
      </c>
      <c r="AF96" s="1580"/>
      <c r="AG96" s="1009">
        <f t="shared" si="42"/>
        <v>0</v>
      </c>
      <c r="AH96" s="1009">
        <f t="shared" si="43"/>
        <v>0</v>
      </c>
      <c r="AI96" s="1908">
        <f t="shared" si="24"/>
        <v>1</v>
      </c>
    </row>
    <row r="97" spans="1:35" ht="51.75" hidden="1" customHeight="1" x14ac:dyDescent="0.25">
      <c r="A97" s="1677" t="s">
        <v>3186</v>
      </c>
      <c r="B97" s="1677"/>
      <c r="C97" s="1645" t="s">
        <v>1759</v>
      </c>
      <c r="D97" s="1608" t="s">
        <v>1806</v>
      </c>
      <c r="E97" s="1608"/>
      <c r="F97" s="1610" t="s">
        <v>290</v>
      </c>
      <c r="G97" s="1636"/>
      <c r="H97" s="1687">
        <v>700</v>
      </c>
      <c r="I97" s="1613">
        <f t="shared" si="44"/>
        <v>700</v>
      </c>
      <c r="J97" s="1747"/>
      <c r="K97" s="1747"/>
      <c r="L97" s="1747"/>
      <c r="M97" s="1747"/>
      <c r="N97" s="1648">
        <v>660</v>
      </c>
      <c r="O97" s="1747">
        <f t="shared" si="34"/>
        <v>660</v>
      </c>
      <c r="P97" s="1666"/>
      <c r="Q97" s="1748"/>
      <c r="R97" s="1747"/>
      <c r="S97" s="1747">
        <f t="shared" si="41"/>
        <v>660</v>
      </c>
      <c r="T97" s="1665"/>
      <c r="U97" s="1623"/>
      <c r="V97" s="1747"/>
      <c r="W97" s="1747"/>
      <c r="X97" s="1665"/>
      <c r="Y97" s="1623"/>
      <c r="Z97" s="1665">
        <v>0</v>
      </c>
      <c r="AA97" s="1623">
        <v>0</v>
      </c>
      <c r="AB97" s="1623"/>
      <c r="AC97" s="1623"/>
      <c r="AD97" s="1591">
        <f t="shared" si="37"/>
        <v>0</v>
      </c>
      <c r="AE97" s="1591">
        <f t="shared" si="46"/>
        <v>0</v>
      </c>
      <c r="AF97" s="1580"/>
      <c r="AG97" s="1009">
        <f t="shared" si="42"/>
        <v>0</v>
      </c>
      <c r="AH97" s="1009">
        <f t="shared" si="43"/>
        <v>0</v>
      </c>
      <c r="AI97" s="1908">
        <f t="shared" si="24"/>
        <v>1</v>
      </c>
    </row>
    <row r="98" spans="1:35" ht="38.25" hidden="1" customHeight="1" x14ac:dyDescent="0.25">
      <c r="A98" s="1677" t="s">
        <v>3187</v>
      </c>
      <c r="B98" s="1677"/>
      <c r="C98" s="1645" t="s">
        <v>1758</v>
      </c>
      <c r="D98" s="1608"/>
      <c r="E98" s="1608"/>
      <c r="F98" s="1610" t="s">
        <v>290</v>
      </c>
      <c r="G98" s="1636"/>
      <c r="H98" s="1648">
        <v>4500</v>
      </c>
      <c r="I98" s="1613">
        <f t="shared" si="44"/>
        <v>4500</v>
      </c>
      <c r="J98" s="1747"/>
      <c r="K98" s="1747"/>
      <c r="L98" s="1747"/>
      <c r="M98" s="1747"/>
      <c r="N98" s="1648">
        <v>4200</v>
      </c>
      <c r="O98" s="1747">
        <f t="shared" si="34"/>
        <v>4200</v>
      </c>
      <c r="P98" s="1666">
        <v>2000</v>
      </c>
      <c r="Q98" s="1748">
        <f t="shared" ref="Q98:Q103" si="47">P98</f>
        <v>2000</v>
      </c>
      <c r="R98" s="1747"/>
      <c r="S98" s="1747">
        <f t="shared" si="41"/>
        <v>4200</v>
      </c>
      <c r="T98" s="1665"/>
      <c r="U98" s="1623"/>
      <c r="V98" s="1747"/>
      <c r="W98" s="1747"/>
      <c r="X98" s="1665"/>
      <c r="Y98" s="1623"/>
      <c r="Z98" s="1665">
        <v>0</v>
      </c>
      <c r="AA98" s="1623">
        <v>0</v>
      </c>
      <c r="AB98" s="1623"/>
      <c r="AC98" s="1623"/>
      <c r="AD98" s="1591">
        <f t="shared" si="37"/>
        <v>0</v>
      </c>
      <c r="AE98" s="1591">
        <f t="shared" si="46"/>
        <v>0</v>
      </c>
      <c r="AF98" s="1580"/>
      <c r="AG98" s="1009">
        <f t="shared" si="42"/>
        <v>0</v>
      </c>
      <c r="AH98" s="1009">
        <f t="shared" si="43"/>
        <v>0</v>
      </c>
      <c r="AI98" s="1908">
        <f t="shared" si="24"/>
        <v>1</v>
      </c>
    </row>
    <row r="99" spans="1:35" ht="51" hidden="1" customHeight="1" x14ac:dyDescent="0.25">
      <c r="A99" s="1677" t="s">
        <v>3188</v>
      </c>
      <c r="B99" s="1677"/>
      <c r="C99" s="1645" t="s">
        <v>1757</v>
      </c>
      <c r="D99" s="1608" t="s">
        <v>1709</v>
      </c>
      <c r="E99" s="1608"/>
      <c r="F99" s="1610" t="s">
        <v>290</v>
      </c>
      <c r="G99" s="1636"/>
      <c r="H99" s="1648">
        <v>2200</v>
      </c>
      <c r="I99" s="1613">
        <f t="shared" si="44"/>
        <v>2200</v>
      </c>
      <c r="J99" s="1747"/>
      <c r="K99" s="1747"/>
      <c r="L99" s="1747"/>
      <c r="M99" s="1747"/>
      <c r="N99" s="1648">
        <v>2000</v>
      </c>
      <c r="O99" s="1747">
        <f t="shared" si="34"/>
        <v>2000</v>
      </c>
      <c r="P99" s="1666">
        <v>1500</v>
      </c>
      <c r="Q99" s="1748">
        <f t="shared" si="47"/>
        <v>1500</v>
      </c>
      <c r="R99" s="1747"/>
      <c r="S99" s="1747">
        <f t="shared" si="41"/>
        <v>2000</v>
      </c>
      <c r="T99" s="1665"/>
      <c r="U99" s="1623"/>
      <c r="V99" s="1747"/>
      <c r="W99" s="1747"/>
      <c r="X99" s="1665"/>
      <c r="Y99" s="1623"/>
      <c r="Z99" s="1665">
        <v>0</v>
      </c>
      <c r="AA99" s="1623">
        <v>0</v>
      </c>
      <c r="AB99" s="1623"/>
      <c r="AC99" s="1623"/>
      <c r="AD99" s="1591">
        <f t="shared" si="37"/>
        <v>0</v>
      </c>
      <c r="AE99" s="1591">
        <f t="shared" si="46"/>
        <v>0</v>
      </c>
      <c r="AF99" s="1580"/>
      <c r="AG99" s="1009">
        <f t="shared" si="42"/>
        <v>0</v>
      </c>
      <c r="AH99" s="1009">
        <f t="shared" si="43"/>
        <v>0</v>
      </c>
      <c r="AI99" s="1908">
        <f t="shared" si="24"/>
        <v>1</v>
      </c>
    </row>
    <row r="100" spans="1:35" ht="51" hidden="1" customHeight="1" x14ac:dyDescent="0.25">
      <c r="A100" s="1677" t="s">
        <v>3189</v>
      </c>
      <c r="B100" s="1677"/>
      <c r="C100" s="1645" t="s">
        <v>1756</v>
      </c>
      <c r="D100" s="1608" t="s">
        <v>1713</v>
      </c>
      <c r="E100" s="1608"/>
      <c r="F100" s="1610" t="s">
        <v>290</v>
      </c>
      <c r="G100" s="1636"/>
      <c r="H100" s="1648">
        <v>700</v>
      </c>
      <c r="I100" s="1613">
        <f t="shared" si="44"/>
        <v>700</v>
      </c>
      <c r="J100" s="1747"/>
      <c r="K100" s="1747"/>
      <c r="L100" s="1747"/>
      <c r="M100" s="1747"/>
      <c r="N100" s="1648">
        <v>660</v>
      </c>
      <c r="O100" s="1747">
        <f t="shared" si="34"/>
        <v>660</v>
      </c>
      <c r="P100" s="1666">
        <v>700</v>
      </c>
      <c r="Q100" s="1748">
        <f t="shared" si="47"/>
        <v>700</v>
      </c>
      <c r="R100" s="1747"/>
      <c r="S100" s="1747">
        <f t="shared" si="41"/>
        <v>660</v>
      </c>
      <c r="T100" s="1665"/>
      <c r="U100" s="1623"/>
      <c r="V100" s="1747"/>
      <c r="W100" s="1747"/>
      <c r="X100" s="1665"/>
      <c r="Y100" s="1623"/>
      <c r="Z100" s="1665">
        <v>0</v>
      </c>
      <c r="AA100" s="1623">
        <v>0</v>
      </c>
      <c r="AB100" s="1623"/>
      <c r="AC100" s="1623"/>
      <c r="AD100" s="1591">
        <f t="shared" si="37"/>
        <v>0</v>
      </c>
      <c r="AE100" s="1591">
        <f t="shared" si="46"/>
        <v>0</v>
      </c>
      <c r="AF100" s="1580"/>
      <c r="AG100" s="1009">
        <f t="shared" si="42"/>
        <v>0</v>
      </c>
      <c r="AH100" s="1009">
        <f t="shared" si="43"/>
        <v>0</v>
      </c>
      <c r="AI100" s="1908">
        <f t="shared" si="24"/>
        <v>1</v>
      </c>
    </row>
    <row r="101" spans="1:35" ht="51.75" hidden="1" customHeight="1" x14ac:dyDescent="0.25">
      <c r="A101" s="1677" t="s">
        <v>3190</v>
      </c>
      <c r="B101" s="1677"/>
      <c r="C101" s="1645" t="s">
        <v>1755</v>
      </c>
      <c r="D101" s="1608" t="s">
        <v>1709</v>
      </c>
      <c r="E101" s="1608"/>
      <c r="F101" s="1610" t="s">
        <v>290</v>
      </c>
      <c r="G101" s="1636"/>
      <c r="H101" s="1648">
        <v>1100</v>
      </c>
      <c r="I101" s="1613">
        <f t="shared" si="44"/>
        <v>1100</v>
      </c>
      <c r="J101" s="1747"/>
      <c r="K101" s="1747"/>
      <c r="L101" s="1747"/>
      <c r="M101" s="1747"/>
      <c r="N101" s="1648">
        <v>1000</v>
      </c>
      <c r="O101" s="1747">
        <f t="shared" si="34"/>
        <v>1000</v>
      </c>
      <c r="P101" s="1666">
        <v>1000</v>
      </c>
      <c r="Q101" s="1748">
        <f t="shared" si="47"/>
        <v>1000</v>
      </c>
      <c r="R101" s="1747"/>
      <c r="S101" s="1747">
        <f>O101-U101</f>
        <v>1000</v>
      </c>
      <c r="T101" s="1665"/>
      <c r="U101" s="1623"/>
      <c r="V101" s="1747"/>
      <c r="W101" s="1747"/>
      <c r="X101" s="1665"/>
      <c r="Y101" s="1623"/>
      <c r="Z101" s="1665">
        <v>0</v>
      </c>
      <c r="AA101" s="1623">
        <v>0</v>
      </c>
      <c r="AB101" s="1623"/>
      <c r="AC101" s="1623"/>
      <c r="AD101" s="1591">
        <f t="shared" si="37"/>
        <v>0</v>
      </c>
      <c r="AE101" s="1591">
        <f t="shared" si="46"/>
        <v>0</v>
      </c>
      <c r="AF101" s="1580"/>
      <c r="AG101" s="1009">
        <f t="shared" si="42"/>
        <v>0</v>
      </c>
      <c r="AH101" s="1009">
        <f t="shared" si="43"/>
        <v>0</v>
      </c>
      <c r="AI101" s="1908">
        <f t="shared" si="24"/>
        <v>1</v>
      </c>
    </row>
    <row r="102" spans="1:35" ht="38.25" hidden="1" customHeight="1" x14ac:dyDescent="0.25">
      <c r="A102" s="1677" t="s">
        <v>3191</v>
      </c>
      <c r="B102" s="1677"/>
      <c r="C102" s="1645" t="s">
        <v>1754</v>
      </c>
      <c r="D102" s="1608" t="s">
        <v>1709</v>
      </c>
      <c r="E102" s="1608"/>
      <c r="F102" s="1610" t="s">
        <v>290</v>
      </c>
      <c r="G102" s="1636"/>
      <c r="H102" s="1648">
        <v>1600</v>
      </c>
      <c r="I102" s="1613">
        <f t="shared" si="44"/>
        <v>1600</v>
      </c>
      <c r="J102" s="1747"/>
      <c r="K102" s="1747"/>
      <c r="L102" s="1747"/>
      <c r="M102" s="1747"/>
      <c r="N102" s="1648">
        <v>1500</v>
      </c>
      <c r="O102" s="1747">
        <f t="shared" si="34"/>
        <v>1500</v>
      </c>
      <c r="P102" s="1666">
        <v>1500</v>
      </c>
      <c r="Q102" s="1748">
        <f t="shared" si="47"/>
        <v>1500</v>
      </c>
      <c r="R102" s="1591"/>
      <c r="S102" s="1747">
        <f>O102-U102</f>
        <v>1500</v>
      </c>
      <c r="T102" s="1665"/>
      <c r="U102" s="1623"/>
      <c r="V102" s="1591"/>
      <c r="W102" s="1747"/>
      <c r="X102" s="1665"/>
      <c r="Y102" s="1623"/>
      <c r="Z102" s="1665">
        <v>0</v>
      </c>
      <c r="AA102" s="1623">
        <v>0</v>
      </c>
      <c r="AB102" s="1623"/>
      <c r="AC102" s="1623"/>
      <c r="AD102" s="1591">
        <f t="shared" si="37"/>
        <v>0</v>
      </c>
      <c r="AE102" s="1591">
        <f t="shared" si="46"/>
        <v>0</v>
      </c>
      <c r="AF102" s="1580"/>
      <c r="AG102" s="1009">
        <f t="shared" si="42"/>
        <v>0</v>
      </c>
      <c r="AH102" s="1009">
        <f t="shared" si="43"/>
        <v>0</v>
      </c>
      <c r="AI102" s="1908">
        <f t="shared" si="24"/>
        <v>1</v>
      </c>
    </row>
    <row r="103" spans="1:35" ht="35.25" hidden="1" customHeight="1" x14ac:dyDescent="0.25">
      <c r="A103" s="1677" t="s">
        <v>3192</v>
      </c>
      <c r="B103" s="1677"/>
      <c r="C103" s="1645" t="s">
        <v>1753</v>
      </c>
      <c r="D103" s="1608" t="s">
        <v>1709</v>
      </c>
      <c r="E103" s="1608"/>
      <c r="F103" s="1610" t="s">
        <v>290</v>
      </c>
      <c r="G103" s="1636"/>
      <c r="H103" s="1648">
        <v>800</v>
      </c>
      <c r="I103" s="1613">
        <f t="shared" si="44"/>
        <v>800</v>
      </c>
      <c r="J103" s="1747"/>
      <c r="K103" s="1747"/>
      <c r="L103" s="1747"/>
      <c r="M103" s="1747"/>
      <c r="N103" s="1648">
        <v>760</v>
      </c>
      <c r="O103" s="1747">
        <f t="shared" si="34"/>
        <v>760</v>
      </c>
      <c r="P103" s="1666">
        <v>800</v>
      </c>
      <c r="Q103" s="1748">
        <f t="shared" si="47"/>
        <v>800</v>
      </c>
      <c r="R103" s="1747"/>
      <c r="S103" s="1747">
        <f>O103-U103</f>
        <v>760</v>
      </c>
      <c r="T103" s="1665"/>
      <c r="U103" s="1623"/>
      <c r="V103" s="1747"/>
      <c r="W103" s="1747"/>
      <c r="X103" s="1665"/>
      <c r="Y103" s="1623"/>
      <c r="Z103" s="1665">
        <v>0</v>
      </c>
      <c r="AA103" s="1623">
        <v>0</v>
      </c>
      <c r="AB103" s="1623"/>
      <c r="AC103" s="1623"/>
      <c r="AD103" s="1591">
        <f t="shared" si="37"/>
        <v>0</v>
      </c>
      <c r="AE103" s="1591">
        <f t="shared" si="46"/>
        <v>0</v>
      </c>
      <c r="AF103" s="1580"/>
      <c r="AG103" s="1009">
        <f t="shared" si="42"/>
        <v>0</v>
      </c>
      <c r="AH103" s="1009">
        <f t="shared" si="43"/>
        <v>0</v>
      </c>
      <c r="AI103" s="1908">
        <f t="shared" si="24"/>
        <v>1</v>
      </c>
    </row>
    <row r="104" spans="1:35" ht="36" hidden="1" customHeight="1" x14ac:dyDescent="0.25">
      <c r="A104" s="1677" t="s">
        <v>3193</v>
      </c>
      <c r="B104" s="1677"/>
      <c r="C104" s="1645" t="s">
        <v>1752</v>
      </c>
      <c r="D104" s="1608" t="s">
        <v>1709</v>
      </c>
      <c r="E104" s="1608"/>
      <c r="F104" s="1610" t="s">
        <v>290</v>
      </c>
      <c r="G104" s="1636"/>
      <c r="H104" s="1648">
        <v>1100</v>
      </c>
      <c r="I104" s="1613">
        <f t="shared" si="44"/>
        <v>1100</v>
      </c>
      <c r="J104" s="1747"/>
      <c r="K104" s="1747"/>
      <c r="L104" s="1747"/>
      <c r="M104" s="1747"/>
      <c r="N104" s="1648">
        <v>1000</v>
      </c>
      <c r="O104" s="1747">
        <f t="shared" si="34"/>
        <v>1000</v>
      </c>
      <c r="P104" s="1666"/>
      <c r="Q104" s="1748"/>
      <c r="R104" s="1591"/>
      <c r="S104" s="1747">
        <f t="shared" ref="S104:S110" si="48">O104-U104</f>
        <v>1000</v>
      </c>
      <c r="T104" s="1665"/>
      <c r="U104" s="1623"/>
      <c r="V104" s="1591"/>
      <c r="W104" s="1747"/>
      <c r="X104" s="1665"/>
      <c r="Y104" s="1623"/>
      <c r="Z104" s="1665">
        <v>0</v>
      </c>
      <c r="AA104" s="1623">
        <v>0</v>
      </c>
      <c r="AB104" s="1623"/>
      <c r="AC104" s="1623"/>
      <c r="AD104" s="1591">
        <f t="shared" si="37"/>
        <v>0</v>
      </c>
      <c r="AE104" s="1591">
        <f t="shared" si="46"/>
        <v>0</v>
      </c>
      <c r="AF104" s="1580"/>
      <c r="AG104" s="1009">
        <f t="shared" si="42"/>
        <v>0</v>
      </c>
      <c r="AH104" s="1009">
        <f t="shared" si="43"/>
        <v>0</v>
      </c>
      <c r="AI104" s="1908">
        <f t="shared" si="24"/>
        <v>1</v>
      </c>
    </row>
    <row r="105" spans="1:35" ht="36" hidden="1" customHeight="1" x14ac:dyDescent="0.25">
      <c r="A105" s="1677" t="s">
        <v>3194</v>
      </c>
      <c r="B105" s="1677"/>
      <c r="C105" s="1645" t="s">
        <v>1751</v>
      </c>
      <c r="D105" s="1608" t="s">
        <v>1709</v>
      </c>
      <c r="E105" s="1608"/>
      <c r="F105" s="1610" t="s">
        <v>290</v>
      </c>
      <c r="G105" s="1636"/>
      <c r="H105" s="1648">
        <v>1300</v>
      </c>
      <c r="I105" s="1613">
        <f t="shared" si="44"/>
        <v>1300</v>
      </c>
      <c r="J105" s="1747"/>
      <c r="K105" s="1747"/>
      <c r="L105" s="1747"/>
      <c r="M105" s="1747"/>
      <c r="N105" s="1648">
        <v>1200</v>
      </c>
      <c r="O105" s="1747">
        <f t="shared" si="34"/>
        <v>1200</v>
      </c>
      <c r="P105" s="1666">
        <v>1100</v>
      </c>
      <c r="Q105" s="1748">
        <f>P105</f>
        <v>1100</v>
      </c>
      <c r="R105" s="1591"/>
      <c r="S105" s="1747">
        <f t="shared" si="48"/>
        <v>1200</v>
      </c>
      <c r="T105" s="1665"/>
      <c r="U105" s="1623"/>
      <c r="V105" s="1591"/>
      <c r="W105" s="1747"/>
      <c r="X105" s="1665"/>
      <c r="Y105" s="1623"/>
      <c r="Z105" s="1665">
        <v>0</v>
      </c>
      <c r="AA105" s="1623">
        <v>0</v>
      </c>
      <c r="AB105" s="1623"/>
      <c r="AC105" s="1623"/>
      <c r="AD105" s="1591">
        <f t="shared" si="37"/>
        <v>0</v>
      </c>
      <c r="AE105" s="1591">
        <f t="shared" si="46"/>
        <v>0</v>
      </c>
      <c r="AF105" s="1580"/>
      <c r="AG105" s="1009">
        <f t="shared" si="42"/>
        <v>0</v>
      </c>
      <c r="AH105" s="1009">
        <f t="shared" si="43"/>
        <v>0</v>
      </c>
      <c r="AI105" s="1908">
        <f t="shared" si="24"/>
        <v>1</v>
      </c>
    </row>
    <row r="106" spans="1:35" ht="38.25" hidden="1" customHeight="1" x14ac:dyDescent="0.25">
      <c r="A106" s="1677" t="s">
        <v>3195</v>
      </c>
      <c r="B106" s="1677"/>
      <c r="C106" s="1645" t="s">
        <v>1750</v>
      </c>
      <c r="D106" s="1608" t="s">
        <v>1709</v>
      </c>
      <c r="E106" s="1608"/>
      <c r="F106" s="1610" t="s">
        <v>290</v>
      </c>
      <c r="G106" s="1636"/>
      <c r="H106" s="1648">
        <v>1000</v>
      </c>
      <c r="I106" s="1613">
        <f t="shared" si="44"/>
        <v>1000</v>
      </c>
      <c r="J106" s="1747"/>
      <c r="K106" s="1747"/>
      <c r="L106" s="1747"/>
      <c r="M106" s="1747"/>
      <c r="N106" s="1648">
        <v>950</v>
      </c>
      <c r="O106" s="1747">
        <f t="shared" si="34"/>
        <v>950</v>
      </c>
      <c r="P106" s="1666"/>
      <c r="Q106" s="1748"/>
      <c r="R106" s="1591"/>
      <c r="S106" s="1747">
        <f t="shared" si="48"/>
        <v>950</v>
      </c>
      <c r="T106" s="1665"/>
      <c r="U106" s="1623"/>
      <c r="V106" s="1591"/>
      <c r="W106" s="1747"/>
      <c r="X106" s="1665"/>
      <c r="Y106" s="1623"/>
      <c r="Z106" s="1665">
        <v>0</v>
      </c>
      <c r="AA106" s="1623">
        <v>0</v>
      </c>
      <c r="AB106" s="1623"/>
      <c r="AC106" s="1623"/>
      <c r="AD106" s="1591">
        <f t="shared" si="37"/>
        <v>0</v>
      </c>
      <c r="AE106" s="1591">
        <f t="shared" si="46"/>
        <v>0</v>
      </c>
      <c r="AF106" s="1580"/>
      <c r="AG106" s="1009">
        <f t="shared" si="42"/>
        <v>0</v>
      </c>
      <c r="AH106" s="1009">
        <f t="shared" si="43"/>
        <v>0</v>
      </c>
      <c r="AI106" s="1908">
        <f t="shared" si="24"/>
        <v>1</v>
      </c>
    </row>
    <row r="107" spans="1:35" ht="37.5" hidden="1" customHeight="1" x14ac:dyDescent="0.25">
      <c r="A107" s="1677" t="s">
        <v>3196</v>
      </c>
      <c r="B107" s="1677"/>
      <c r="C107" s="1645" t="s">
        <v>1749</v>
      </c>
      <c r="D107" s="1608" t="s">
        <v>1709</v>
      </c>
      <c r="E107" s="1608"/>
      <c r="F107" s="1610" t="s">
        <v>290</v>
      </c>
      <c r="G107" s="1636"/>
      <c r="H107" s="1648">
        <v>950</v>
      </c>
      <c r="I107" s="1613">
        <f t="shared" si="44"/>
        <v>950</v>
      </c>
      <c r="J107" s="1747"/>
      <c r="K107" s="1747"/>
      <c r="L107" s="1747"/>
      <c r="M107" s="1747"/>
      <c r="N107" s="1648">
        <v>900</v>
      </c>
      <c r="O107" s="1747">
        <f t="shared" si="34"/>
        <v>900</v>
      </c>
      <c r="P107" s="1666"/>
      <c r="Q107" s="1748"/>
      <c r="R107" s="1591"/>
      <c r="S107" s="1747">
        <f t="shared" si="48"/>
        <v>900</v>
      </c>
      <c r="T107" s="1665"/>
      <c r="U107" s="1623"/>
      <c r="V107" s="1591"/>
      <c r="W107" s="1747"/>
      <c r="X107" s="1665"/>
      <c r="Y107" s="1623"/>
      <c r="Z107" s="1665">
        <v>0</v>
      </c>
      <c r="AA107" s="1623">
        <v>0</v>
      </c>
      <c r="AB107" s="1623"/>
      <c r="AC107" s="1623"/>
      <c r="AD107" s="1591">
        <f t="shared" si="37"/>
        <v>0</v>
      </c>
      <c r="AE107" s="1591">
        <f t="shared" si="46"/>
        <v>0</v>
      </c>
      <c r="AF107" s="1580"/>
      <c r="AG107" s="1009">
        <f t="shared" si="42"/>
        <v>0</v>
      </c>
      <c r="AH107" s="1009">
        <f t="shared" si="43"/>
        <v>0</v>
      </c>
      <c r="AI107" s="1908">
        <f t="shared" si="24"/>
        <v>1</v>
      </c>
    </row>
    <row r="108" spans="1:35" ht="39" hidden="1" customHeight="1" x14ac:dyDescent="0.25">
      <c r="A108" s="1677" t="s">
        <v>3197</v>
      </c>
      <c r="B108" s="1677"/>
      <c r="C108" s="1645" t="s">
        <v>1748</v>
      </c>
      <c r="D108" s="1608" t="s">
        <v>1709</v>
      </c>
      <c r="E108" s="1608"/>
      <c r="F108" s="1610" t="s">
        <v>290</v>
      </c>
      <c r="G108" s="1636"/>
      <c r="H108" s="1648">
        <v>1400</v>
      </c>
      <c r="I108" s="1613">
        <f t="shared" si="44"/>
        <v>1400</v>
      </c>
      <c r="J108" s="1747"/>
      <c r="K108" s="1747"/>
      <c r="L108" s="1747"/>
      <c r="M108" s="1747"/>
      <c r="N108" s="1648">
        <v>1300</v>
      </c>
      <c r="O108" s="1747">
        <f t="shared" si="34"/>
        <v>1300</v>
      </c>
      <c r="P108" s="1666">
        <v>1200</v>
      </c>
      <c r="Q108" s="1748">
        <f>P108</f>
        <v>1200</v>
      </c>
      <c r="R108" s="1591"/>
      <c r="S108" s="1747">
        <f t="shared" si="48"/>
        <v>1300</v>
      </c>
      <c r="T108" s="1665"/>
      <c r="U108" s="1623"/>
      <c r="V108" s="1591"/>
      <c r="W108" s="1747"/>
      <c r="X108" s="1665"/>
      <c r="Y108" s="1623"/>
      <c r="Z108" s="1665">
        <v>0</v>
      </c>
      <c r="AA108" s="1623">
        <v>0</v>
      </c>
      <c r="AB108" s="1623"/>
      <c r="AC108" s="1623"/>
      <c r="AD108" s="1591">
        <f t="shared" si="37"/>
        <v>0</v>
      </c>
      <c r="AE108" s="1591">
        <f t="shared" si="46"/>
        <v>0</v>
      </c>
      <c r="AF108" s="1580"/>
      <c r="AG108" s="1009">
        <f t="shared" si="42"/>
        <v>0</v>
      </c>
      <c r="AH108" s="1009">
        <f t="shared" si="43"/>
        <v>0</v>
      </c>
      <c r="AI108" s="1908">
        <f t="shared" si="24"/>
        <v>1</v>
      </c>
    </row>
    <row r="109" spans="1:35" ht="38.25" hidden="1" customHeight="1" x14ac:dyDescent="0.25">
      <c r="A109" s="1677" t="s">
        <v>3198</v>
      </c>
      <c r="B109" s="1677"/>
      <c r="C109" s="1645" t="s">
        <v>1747</v>
      </c>
      <c r="D109" s="1608" t="s">
        <v>2139</v>
      </c>
      <c r="E109" s="1608"/>
      <c r="F109" s="1610" t="s">
        <v>290</v>
      </c>
      <c r="G109" s="1636"/>
      <c r="H109" s="1648">
        <v>2200</v>
      </c>
      <c r="I109" s="1613">
        <f t="shared" si="44"/>
        <v>2200</v>
      </c>
      <c r="J109" s="1747"/>
      <c r="K109" s="1747"/>
      <c r="L109" s="1747"/>
      <c r="M109" s="1747"/>
      <c r="N109" s="1648">
        <v>2100</v>
      </c>
      <c r="O109" s="1747">
        <f t="shared" si="34"/>
        <v>2100</v>
      </c>
      <c r="P109" s="1666">
        <v>1800</v>
      </c>
      <c r="Q109" s="1748">
        <f>P109</f>
        <v>1800</v>
      </c>
      <c r="R109" s="1591"/>
      <c r="S109" s="1747">
        <f t="shared" si="48"/>
        <v>2100</v>
      </c>
      <c r="T109" s="1665"/>
      <c r="U109" s="1623"/>
      <c r="V109" s="1591"/>
      <c r="W109" s="1747"/>
      <c r="X109" s="1665"/>
      <c r="Y109" s="1623"/>
      <c r="Z109" s="1665">
        <v>0</v>
      </c>
      <c r="AA109" s="1623">
        <v>0</v>
      </c>
      <c r="AB109" s="1623"/>
      <c r="AC109" s="1623"/>
      <c r="AD109" s="1591">
        <f t="shared" si="37"/>
        <v>0</v>
      </c>
      <c r="AE109" s="1591">
        <f t="shared" si="46"/>
        <v>0</v>
      </c>
      <c r="AF109" s="1580"/>
      <c r="AG109" s="1009">
        <f t="shared" si="42"/>
        <v>0</v>
      </c>
      <c r="AH109" s="1009">
        <f t="shared" si="43"/>
        <v>0</v>
      </c>
      <c r="AI109" s="1908">
        <f t="shared" ref="AI109:AI172" si="49">IF(I109-Y109&gt;=0,1,0)</f>
        <v>1</v>
      </c>
    </row>
    <row r="110" spans="1:35" ht="39.75" hidden="1" customHeight="1" x14ac:dyDescent="0.25">
      <c r="A110" s="1677" t="s">
        <v>3199</v>
      </c>
      <c r="B110" s="1677"/>
      <c r="C110" s="1645" t="s">
        <v>1746</v>
      </c>
      <c r="D110" s="1680" t="s">
        <v>2140</v>
      </c>
      <c r="E110" s="1608"/>
      <c r="F110" s="1610" t="s">
        <v>290</v>
      </c>
      <c r="G110" s="1636"/>
      <c r="H110" s="1648">
        <v>1600</v>
      </c>
      <c r="I110" s="1613">
        <f t="shared" si="44"/>
        <v>1600</v>
      </c>
      <c r="J110" s="1747"/>
      <c r="K110" s="1747"/>
      <c r="L110" s="1747"/>
      <c r="M110" s="1747"/>
      <c r="N110" s="1648">
        <v>1500</v>
      </c>
      <c r="O110" s="1747">
        <f t="shared" si="34"/>
        <v>1500</v>
      </c>
      <c r="P110" s="1666">
        <v>1400</v>
      </c>
      <c r="Q110" s="1748">
        <f>P110</f>
        <v>1400</v>
      </c>
      <c r="R110" s="1591"/>
      <c r="S110" s="1747">
        <f t="shared" si="48"/>
        <v>1500</v>
      </c>
      <c r="T110" s="1665"/>
      <c r="U110" s="1623"/>
      <c r="V110" s="1591"/>
      <c r="W110" s="1747"/>
      <c r="X110" s="1665"/>
      <c r="Y110" s="1623"/>
      <c r="Z110" s="1665">
        <v>0</v>
      </c>
      <c r="AA110" s="1623">
        <v>0</v>
      </c>
      <c r="AB110" s="1623"/>
      <c r="AC110" s="1623"/>
      <c r="AD110" s="1591">
        <f t="shared" si="37"/>
        <v>0</v>
      </c>
      <c r="AE110" s="1591">
        <f t="shared" si="46"/>
        <v>0</v>
      </c>
      <c r="AF110" s="1580"/>
      <c r="AG110" s="1009">
        <f t="shared" si="42"/>
        <v>0</v>
      </c>
      <c r="AH110" s="1009">
        <f t="shared" si="43"/>
        <v>0</v>
      </c>
      <c r="AI110" s="1908">
        <f t="shared" si="49"/>
        <v>1</v>
      </c>
    </row>
    <row r="111" spans="1:35" ht="35.25" hidden="1" customHeight="1" x14ac:dyDescent="0.25">
      <c r="A111" s="1677" t="s">
        <v>3200</v>
      </c>
      <c r="B111" s="1677"/>
      <c r="C111" s="1621" t="s">
        <v>1745</v>
      </c>
      <c r="D111" s="1608" t="s">
        <v>1709</v>
      </c>
      <c r="E111" s="1608"/>
      <c r="F111" s="1610" t="s">
        <v>290</v>
      </c>
      <c r="G111" s="1636"/>
      <c r="H111" s="1664">
        <v>10727</v>
      </c>
      <c r="I111" s="1613">
        <f t="shared" si="44"/>
        <v>10727</v>
      </c>
      <c r="J111" s="1747"/>
      <c r="K111" s="1747"/>
      <c r="L111" s="1747"/>
      <c r="M111" s="1747"/>
      <c r="N111" s="1648">
        <v>1900</v>
      </c>
      <c r="O111" s="1747">
        <f t="shared" si="34"/>
        <v>1900</v>
      </c>
      <c r="P111" s="1666">
        <v>9230</v>
      </c>
      <c r="Q111" s="1748">
        <f>P111</f>
        <v>9230</v>
      </c>
      <c r="R111" s="1747">
        <f>U111-O111</f>
        <v>6100</v>
      </c>
      <c r="S111" s="1747"/>
      <c r="T111" s="1665">
        <f>U111</f>
        <v>8000</v>
      </c>
      <c r="U111" s="1623">
        <v>8000</v>
      </c>
      <c r="V111" s="1747"/>
      <c r="W111" s="1747"/>
      <c r="X111" s="1665">
        <f>Y111</f>
        <v>8000</v>
      </c>
      <c r="Y111" s="1623">
        <v>8000</v>
      </c>
      <c r="Z111" s="1665">
        <v>8000</v>
      </c>
      <c r="AA111" s="1623">
        <v>8000</v>
      </c>
      <c r="AB111" s="1623"/>
      <c r="AC111" s="1623"/>
      <c r="AD111" s="1591">
        <f t="shared" si="37"/>
        <v>8000</v>
      </c>
      <c r="AE111" s="1591">
        <f t="shared" si="46"/>
        <v>8000</v>
      </c>
      <c r="AF111" s="1599"/>
      <c r="AG111" s="1009">
        <f t="shared" si="42"/>
        <v>0</v>
      </c>
      <c r="AH111" s="1009">
        <f t="shared" si="43"/>
        <v>1</v>
      </c>
      <c r="AI111" s="1908">
        <f t="shared" si="49"/>
        <v>1</v>
      </c>
    </row>
    <row r="112" spans="1:35" ht="33" hidden="1" x14ac:dyDescent="0.25">
      <c r="A112" s="1677" t="s">
        <v>3201</v>
      </c>
      <c r="B112" s="1677"/>
      <c r="C112" s="1621" t="s">
        <v>1744</v>
      </c>
      <c r="D112" s="1608" t="s">
        <v>1713</v>
      </c>
      <c r="E112" s="1608" t="s">
        <v>1730</v>
      </c>
      <c r="F112" s="1610" t="s">
        <v>290</v>
      </c>
      <c r="G112" s="1636"/>
      <c r="H112" s="1664">
        <v>2918</v>
      </c>
      <c r="I112" s="1613">
        <f t="shared" si="44"/>
        <v>2918</v>
      </c>
      <c r="J112" s="1747"/>
      <c r="K112" s="1747"/>
      <c r="L112" s="1747"/>
      <c r="M112" s="1747"/>
      <c r="N112" s="1648">
        <v>2800</v>
      </c>
      <c r="O112" s="1747">
        <f t="shared" si="34"/>
        <v>2800</v>
      </c>
      <c r="P112" s="1666"/>
      <c r="Q112" s="1748"/>
      <c r="R112" s="1591"/>
      <c r="S112" s="1747">
        <f t="shared" ref="S112:S118" si="50">O112-U112</f>
        <v>2800</v>
      </c>
      <c r="T112" s="1665"/>
      <c r="U112" s="1623"/>
      <c r="V112" s="1591"/>
      <c r="W112" s="1747"/>
      <c r="X112" s="1665"/>
      <c r="Y112" s="1623"/>
      <c r="Z112" s="1665">
        <v>0</v>
      </c>
      <c r="AA112" s="1623">
        <v>0</v>
      </c>
      <c r="AB112" s="1623"/>
      <c r="AC112" s="1623"/>
      <c r="AD112" s="1591">
        <f t="shared" si="37"/>
        <v>0</v>
      </c>
      <c r="AE112" s="1591">
        <f t="shared" si="46"/>
        <v>0</v>
      </c>
      <c r="AF112" s="1580"/>
      <c r="AG112" s="1009">
        <f t="shared" si="42"/>
        <v>0</v>
      </c>
      <c r="AH112" s="1009">
        <f t="shared" si="43"/>
        <v>0</v>
      </c>
      <c r="AI112" s="1908">
        <f t="shared" si="49"/>
        <v>1</v>
      </c>
    </row>
    <row r="113" spans="1:35" ht="33" hidden="1" x14ac:dyDescent="0.25">
      <c r="A113" s="1677" t="s">
        <v>3202</v>
      </c>
      <c r="B113" s="1677"/>
      <c r="C113" s="1621" t="s">
        <v>1743</v>
      </c>
      <c r="D113" s="1608" t="s">
        <v>1709</v>
      </c>
      <c r="E113" s="1608" t="s">
        <v>1742</v>
      </c>
      <c r="F113" s="1610" t="s">
        <v>290</v>
      </c>
      <c r="G113" s="1636"/>
      <c r="H113" s="1664">
        <v>2750</v>
      </c>
      <c r="I113" s="1613">
        <f t="shared" si="44"/>
        <v>2750</v>
      </c>
      <c r="J113" s="1747"/>
      <c r="K113" s="1747"/>
      <c r="L113" s="1747"/>
      <c r="M113" s="1747"/>
      <c r="N113" s="1648">
        <v>2600</v>
      </c>
      <c r="O113" s="1747">
        <f t="shared" si="34"/>
        <v>2600</v>
      </c>
      <c r="P113" s="1666"/>
      <c r="Q113" s="1748"/>
      <c r="R113" s="1591"/>
      <c r="S113" s="1747">
        <f t="shared" si="50"/>
        <v>2600</v>
      </c>
      <c r="T113" s="1665"/>
      <c r="U113" s="1623"/>
      <c r="V113" s="1591"/>
      <c r="W113" s="1747"/>
      <c r="X113" s="1665"/>
      <c r="Y113" s="1623"/>
      <c r="Z113" s="1665">
        <v>0</v>
      </c>
      <c r="AA113" s="1623">
        <v>0</v>
      </c>
      <c r="AB113" s="1623"/>
      <c r="AC113" s="1623"/>
      <c r="AD113" s="1591">
        <f t="shared" si="37"/>
        <v>0</v>
      </c>
      <c r="AE113" s="1591">
        <f t="shared" si="46"/>
        <v>0</v>
      </c>
      <c r="AF113" s="1580"/>
      <c r="AG113" s="1009">
        <f t="shared" si="42"/>
        <v>0</v>
      </c>
      <c r="AH113" s="1009">
        <f t="shared" si="43"/>
        <v>0</v>
      </c>
      <c r="AI113" s="1908">
        <f t="shared" si="49"/>
        <v>1</v>
      </c>
    </row>
    <row r="114" spans="1:35" ht="36.75" hidden="1" customHeight="1" x14ac:dyDescent="0.25">
      <c r="A114" s="1677" t="s">
        <v>3203</v>
      </c>
      <c r="B114" s="1677"/>
      <c r="C114" s="1621" t="s">
        <v>1740</v>
      </c>
      <c r="D114" s="1608" t="s">
        <v>1709</v>
      </c>
      <c r="E114" s="1608" t="s">
        <v>1739</v>
      </c>
      <c r="F114" s="1610" t="s">
        <v>290</v>
      </c>
      <c r="G114" s="1636"/>
      <c r="H114" s="1664">
        <f>I114</f>
        <v>3568</v>
      </c>
      <c r="I114" s="1613">
        <v>3568</v>
      </c>
      <c r="J114" s="1747"/>
      <c r="K114" s="1747"/>
      <c r="L114" s="1747"/>
      <c r="M114" s="1747"/>
      <c r="N114" s="1648">
        <v>2200</v>
      </c>
      <c r="O114" s="1747">
        <f t="shared" si="34"/>
        <v>2200</v>
      </c>
      <c r="P114" s="1666">
        <v>3200</v>
      </c>
      <c r="Q114" s="1748">
        <f>P114</f>
        <v>3200</v>
      </c>
      <c r="R114" s="1747"/>
      <c r="S114" s="1747">
        <f t="shared" si="50"/>
        <v>100</v>
      </c>
      <c r="T114" s="1665">
        <f>U114</f>
        <v>2100</v>
      </c>
      <c r="U114" s="1623">
        <v>2100</v>
      </c>
      <c r="V114" s="1747"/>
      <c r="W114" s="1747"/>
      <c r="X114" s="1665">
        <f>Y114</f>
        <v>2100</v>
      </c>
      <c r="Y114" s="1623">
        <v>2100</v>
      </c>
      <c r="Z114" s="1665">
        <v>2100</v>
      </c>
      <c r="AA114" s="1623">
        <v>2100</v>
      </c>
      <c r="AB114" s="1623"/>
      <c r="AC114" s="1623"/>
      <c r="AD114" s="1591">
        <f t="shared" si="37"/>
        <v>2100</v>
      </c>
      <c r="AE114" s="1591">
        <f t="shared" si="46"/>
        <v>2100</v>
      </c>
      <c r="AF114" s="1599"/>
      <c r="AG114" s="1009">
        <f t="shared" si="42"/>
        <v>0</v>
      </c>
      <c r="AH114" s="1009">
        <f t="shared" si="43"/>
        <v>1</v>
      </c>
      <c r="AI114" s="1908">
        <f t="shared" si="49"/>
        <v>1</v>
      </c>
    </row>
    <row r="115" spans="1:35" ht="36" hidden="1" customHeight="1" x14ac:dyDescent="0.25">
      <c r="A115" s="1677" t="s">
        <v>3204</v>
      </c>
      <c r="B115" s="1677"/>
      <c r="C115" s="1621" t="s">
        <v>1738</v>
      </c>
      <c r="D115" s="1608" t="s">
        <v>1737</v>
      </c>
      <c r="E115" s="1608" t="s">
        <v>1736</v>
      </c>
      <c r="F115" s="1610" t="s">
        <v>290</v>
      </c>
      <c r="G115" s="1636"/>
      <c r="H115" s="1664">
        <v>5000</v>
      </c>
      <c r="I115" s="1613">
        <f>H115</f>
        <v>5000</v>
      </c>
      <c r="J115" s="1747"/>
      <c r="K115" s="1747"/>
      <c r="L115" s="1747"/>
      <c r="M115" s="1747"/>
      <c r="N115" s="1648">
        <v>4750</v>
      </c>
      <c r="O115" s="1747">
        <f t="shared" si="34"/>
        <v>4750</v>
      </c>
      <c r="P115" s="1666"/>
      <c r="Q115" s="1748"/>
      <c r="R115" s="1591"/>
      <c r="S115" s="1747">
        <f t="shared" si="50"/>
        <v>4750</v>
      </c>
      <c r="T115" s="1665"/>
      <c r="U115" s="1623"/>
      <c r="V115" s="1591"/>
      <c r="W115" s="1747"/>
      <c r="X115" s="1665"/>
      <c r="Y115" s="1623"/>
      <c r="Z115" s="1665">
        <v>0</v>
      </c>
      <c r="AA115" s="1623">
        <v>0</v>
      </c>
      <c r="AB115" s="1623"/>
      <c r="AC115" s="1623"/>
      <c r="AD115" s="1591">
        <f t="shared" si="37"/>
        <v>0</v>
      </c>
      <c r="AE115" s="1591">
        <f t="shared" si="46"/>
        <v>0</v>
      </c>
      <c r="AF115" s="1580"/>
      <c r="AG115" s="1009">
        <f t="shared" si="42"/>
        <v>0</v>
      </c>
      <c r="AH115" s="1009">
        <f t="shared" si="43"/>
        <v>0</v>
      </c>
      <c r="AI115" s="1908">
        <f t="shared" si="49"/>
        <v>1</v>
      </c>
    </row>
    <row r="116" spans="1:35" ht="37.5" hidden="1" customHeight="1" x14ac:dyDescent="0.25">
      <c r="A116" s="1677" t="s">
        <v>3205</v>
      </c>
      <c r="B116" s="1677"/>
      <c r="C116" s="1621" t="s">
        <v>1735</v>
      </c>
      <c r="D116" s="1608" t="s">
        <v>1709</v>
      </c>
      <c r="E116" s="1608" t="s">
        <v>1733</v>
      </c>
      <c r="F116" s="1610" t="s">
        <v>290</v>
      </c>
      <c r="G116" s="1636"/>
      <c r="H116" s="1664">
        <v>3100</v>
      </c>
      <c r="I116" s="1613">
        <f>H116</f>
        <v>3100</v>
      </c>
      <c r="J116" s="1747"/>
      <c r="K116" s="1747"/>
      <c r="L116" s="1747"/>
      <c r="M116" s="1747"/>
      <c r="N116" s="1648">
        <v>2950</v>
      </c>
      <c r="O116" s="1747">
        <f t="shared" si="34"/>
        <v>2950</v>
      </c>
      <c r="P116" s="1666"/>
      <c r="Q116" s="1748"/>
      <c r="R116" s="1591"/>
      <c r="S116" s="1747">
        <f t="shared" si="50"/>
        <v>2950</v>
      </c>
      <c r="T116" s="1665"/>
      <c r="U116" s="1623"/>
      <c r="V116" s="1591"/>
      <c r="W116" s="1747"/>
      <c r="X116" s="1665"/>
      <c r="Y116" s="1623"/>
      <c r="Z116" s="1665">
        <v>0</v>
      </c>
      <c r="AA116" s="1623">
        <v>0</v>
      </c>
      <c r="AB116" s="1623"/>
      <c r="AC116" s="1623"/>
      <c r="AD116" s="1591">
        <f t="shared" si="37"/>
        <v>0</v>
      </c>
      <c r="AE116" s="1591">
        <f t="shared" si="46"/>
        <v>0</v>
      </c>
      <c r="AF116" s="1580"/>
      <c r="AG116" s="1009">
        <f t="shared" si="42"/>
        <v>0</v>
      </c>
      <c r="AH116" s="1009">
        <f t="shared" si="43"/>
        <v>0</v>
      </c>
      <c r="AI116" s="1908">
        <f t="shared" si="49"/>
        <v>1</v>
      </c>
    </row>
    <row r="117" spans="1:35" ht="38.25" hidden="1" customHeight="1" x14ac:dyDescent="0.25">
      <c r="A117" s="1677" t="s">
        <v>3206</v>
      </c>
      <c r="B117" s="1677"/>
      <c r="C117" s="1621" t="s">
        <v>1734</v>
      </c>
      <c r="D117" s="1608" t="s">
        <v>1709</v>
      </c>
      <c r="E117" s="1608" t="s">
        <v>1733</v>
      </c>
      <c r="F117" s="1610" t="s">
        <v>290</v>
      </c>
      <c r="G117" s="1636"/>
      <c r="H117" s="1664">
        <v>3000</v>
      </c>
      <c r="I117" s="1613">
        <f>H117</f>
        <v>3000</v>
      </c>
      <c r="J117" s="1747"/>
      <c r="K117" s="1747"/>
      <c r="L117" s="1747"/>
      <c r="M117" s="1747"/>
      <c r="N117" s="1648">
        <v>2850</v>
      </c>
      <c r="O117" s="1747">
        <f t="shared" si="34"/>
        <v>2850</v>
      </c>
      <c r="P117" s="1666"/>
      <c r="Q117" s="1748"/>
      <c r="R117" s="1591"/>
      <c r="S117" s="1747">
        <f t="shared" si="50"/>
        <v>2850</v>
      </c>
      <c r="T117" s="1665"/>
      <c r="U117" s="1623"/>
      <c r="V117" s="1591"/>
      <c r="W117" s="1747"/>
      <c r="X117" s="1665"/>
      <c r="Y117" s="1623"/>
      <c r="Z117" s="1665">
        <v>0</v>
      </c>
      <c r="AA117" s="1623">
        <v>0</v>
      </c>
      <c r="AB117" s="1623"/>
      <c r="AC117" s="1623"/>
      <c r="AD117" s="1591">
        <f t="shared" si="37"/>
        <v>0</v>
      </c>
      <c r="AE117" s="1591">
        <f t="shared" si="46"/>
        <v>0</v>
      </c>
      <c r="AF117" s="1580"/>
      <c r="AG117" s="1009">
        <f t="shared" si="42"/>
        <v>0</v>
      </c>
      <c r="AH117" s="1009">
        <f t="shared" si="43"/>
        <v>0</v>
      </c>
      <c r="AI117" s="1908">
        <f t="shared" si="49"/>
        <v>1</v>
      </c>
    </row>
    <row r="118" spans="1:35" ht="52.5" hidden="1" customHeight="1" x14ac:dyDescent="0.25">
      <c r="A118" s="1677" t="s">
        <v>3207</v>
      </c>
      <c r="B118" s="1677"/>
      <c r="C118" s="1645" t="s">
        <v>1732</v>
      </c>
      <c r="D118" s="1608" t="s">
        <v>1709</v>
      </c>
      <c r="E118" s="1608" t="s">
        <v>1715</v>
      </c>
      <c r="F118" s="1610" t="s">
        <v>290</v>
      </c>
      <c r="G118" s="1636"/>
      <c r="H118" s="1664">
        <f>I118</f>
        <v>3895</v>
      </c>
      <c r="I118" s="1613">
        <v>3895</v>
      </c>
      <c r="J118" s="1747"/>
      <c r="K118" s="1747"/>
      <c r="L118" s="1747"/>
      <c r="M118" s="1747"/>
      <c r="N118" s="1648">
        <v>2850</v>
      </c>
      <c r="O118" s="1747">
        <f t="shared" ref="O118" si="51">N118</f>
        <v>2850</v>
      </c>
      <c r="P118" s="1666">
        <v>3350</v>
      </c>
      <c r="Q118" s="1748">
        <f>P118</f>
        <v>3350</v>
      </c>
      <c r="R118" s="1747"/>
      <c r="S118" s="1747">
        <f t="shared" si="50"/>
        <v>150</v>
      </c>
      <c r="T118" s="1665">
        <f t="shared" ref="T118:T124" si="52">U118</f>
        <v>2700</v>
      </c>
      <c r="U118" s="1623">
        <v>2700</v>
      </c>
      <c r="V118" s="1747"/>
      <c r="W118" s="1747"/>
      <c r="X118" s="1665">
        <f t="shared" ref="X118:X124" si="53">Y118</f>
        <v>2700</v>
      </c>
      <c r="Y118" s="1623">
        <v>2700</v>
      </c>
      <c r="Z118" s="1665">
        <v>2700</v>
      </c>
      <c r="AA118" s="1623">
        <v>2700</v>
      </c>
      <c r="AB118" s="1623"/>
      <c r="AC118" s="1623"/>
      <c r="AD118" s="1591">
        <f t="shared" si="37"/>
        <v>2700</v>
      </c>
      <c r="AE118" s="1591">
        <f t="shared" ref="AE118:AE132" si="54">AA118+AB118+AC118</f>
        <v>2700</v>
      </c>
      <c r="AF118" s="1599"/>
      <c r="AG118" s="1009">
        <f t="shared" si="42"/>
        <v>0</v>
      </c>
      <c r="AH118" s="1009">
        <f t="shared" si="43"/>
        <v>1</v>
      </c>
      <c r="AI118" s="1908">
        <f t="shared" si="49"/>
        <v>1</v>
      </c>
    </row>
    <row r="119" spans="1:35" ht="33" hidden="1" x14ac:dyDescent="0.25">
      <c r="A119" s="1677" t="s">
        <v>3208</v>
      </c>
      <c r="B119" s="1677"/>
      <c r="C119" s="1621" t="s">
        <v>1731</v>
      </c>
      <c r="D119" s="1608" t="s">
        <v>1709</v>
      </c>
      <c r="E119" s="1608" t="s">
        <v>1730</v>
      </c>
      <c r="F119" s="1610" t="s">
        <v>290</v>
      </c>
      <c r="G119" s="1636"/>
      <c r="H119" s="1664">
        <v>1365</v>
      </c>
      <c r="I119" s="1613">
        <f>H119</f>
        <v>1365</v>
      </c>
      <c r="J119" s="1747"/>
      <c r="K119" s="1747"/>
      <c r="L119" s="1747"/>
      <c r="M119" s="1747"/>
      <c r="N119" s="1648"/>
      <c r="O119" s="1747"/>
      <c r="P119" s="1666">
        <v>1000</v>
      </c>
      <c r="Q119" s="1748">
        <f>P119</f>
        <v>1000</v>
      </c>
      <c r="R119" s="1747">
        <f t="shared" ref="R119:R132" si="55">U119-O119</f>
        <v>1100</v>
      </c>
      <c r="S119" s="1747"/>
      <c r="T119" s="1665">
        <f t="shared" si="52"/>
        <v>1100</v>
      </c>
      <c r="U119" s="1623">
        <v>1100</v>
      </c>
      <c r="V119" s="1747"/>
      <c r="W119" s="1747"/>
      <c r="X119" s="1665">
        <f t="shared" si="53"/>
        <v>1100</v>
      </c>
      <c r="Y119" s="1623">
        <v>1100</v>
      </c>
      <c r="Z119" s="1665">
        <v>1100</v>
      </c>
      <c r="AA119" s="1623">
        <v>1100</v>
      </c>
      <c r="AB119" s="1623"/>
      <c r="AC119" s="1623"/>
      <c r="AD119" s="1591">
        <f t="shared" ref="AD119:AD172" si="56">AE119</f>
        <v>1100</v>
      </c>
      <c r="AE119" s="1591">
        <f t="shared" si="54"/>
        <v>1100</v>
      </c>
      <c r="AF119" s="1599"/>
      <c r="AG119" s="1009">
        <f t="shared" si="42"/>
        <v>0</v>
      </c>
      <c r="AH119" s="1009">
        <f t="shared" si="43"/>
        <v>1</v>
      </c>
      <c r="AI119" s="1908">
        <f t="shared" si="49"/>
        <v>1</v>
      </c>
    </row>
    <row r="120" spans="1:35" ht="49.5" hidden="1" x14ac:dyDescent="0.25">
      <c r="A120" s="1677" t="s">
        <v>3209</v>
      </c>
      <c r="B120" s="1677"/>
      <c r="C120" s="1645" t="s">
        <v>1728</v>
      </c>
      <c r="D120" s="1608" t="s">
        <v>1252</v>
      </c>
      <c r="E120" s="1608" t="s">
        <v>1727</v>
      </c>
      <c r="F120" s="1610" t="s">
        <v>290</v>
      </c>
      <c r="G120" s="1636"/>
      <c r="H120" s="1664">
        <f t="shared" ref="H120:H132" si="57">I120</f>
        <v>4075</v>
      </c>
      <c r="I120" s="1613">
        <v>4075</v>
      </c>
      <c r="J120" s="1747"/>
      <c r="K120" s="1747"/>
      <c r="L120" s="1747"/>
      <c r="M120" s="1747"/>
      <c r="N120" s="1648"/>
      <c r="O120" s="1747"/>
      <c r="P120" s="1666">
        <v>3530</v>
      </c>
      <c r="Q120" s="1748">
        <v>3530</v>
      </c>
      <c r="R120" s="1747">
        <f t="shared" si="55"/>
        <v>3000</v>
      </c>
      <c r="S120" s="1747"/>
      <c r="T120" s="1665">
        <f t="shared" si="52"/>
        <v>3000</v>
      </c>
      <c r="U120" s="1623">
        <v>3000</v>
      </c>
      <c r="V120" s="1747"/>
      <c r="W120" s="1747"/>
      <c r="X120" s="1665">
        <f t="shared" si="53"/>
        <v>3000</v>
      </c>
      <c r="Y120" s="1623">
        <v>3000</v>
      </c>
      <c r="Z120" s="1665">
        <v>3000</v>
      </c>
      <c r="AA120" s="1623">
        <v>3000</v>
      </c>
      <c r="AB120" s="1623"/>
      <c r="AC120" s="1623"/>
      <c r="AD120" s="1591">
        <f t="shared" si="56"/>
        <v>3000</v>
      </c>
      <c r="AE120" s="1591">
        <f t="shared" si="54"/>
        <v>3000</v>
      </c>
      <c r="AF120" s="1599"/>
      <c r="AG120" s="1009">
        <f t="shared" si="42"/>
        <v>0</v>
      </c>
      <c r="AH120" s="1009">
        <f t="shared" si="43"/>
        <v>1</v>
      </c>
      <c r="AI120" s="1908">
        <f t="shared" si="49"/>
        <v>1</v>
      </c>
    </row>
    <row r="121" spans="1:35" ht="49.5" hidden="1" x14ac:dyDescent="0.25">
      <c r="A121" s="1677" t="s">
        <v>3210</v>
      </c>
      <c r="B121" s="1677"/>
      <c r="C121" s="1645" t="s">
        <v>1726</v>
      </c>
      <c r="D121" s="1608" t="s">
        <v>1709</v>
      </c>
      <c r="E121" s="1608" t="s">
        <v>1715</v>
      </c>
      <c r="F121" s="1610" t="s">
        <v>290</v>
      </c>
      <c r="G121" s="1636"/>
      <c r="H121" s="1664">
        <f t="shared" si="57"/>
        <v>6196</v>
      </c>
      <c r="I121" s="1613">
        <v>6196</v>
      </c>
      <c r="J121" s="1747"/>
      <c r="K121" s="1747"/>
      <c r="L121" s="1747"/>
      <c r="M121" s="1747"/>
      <c r="N121" s="1648"/>
      <c r="O121" s="1747"/>
      <c r="P121" s="1666">
        <v>5420</v>
      </c>
      <c r="Q121" s="1748">
        <f t="shared" ref="Q121:Q131" si="58">P121</f>
        <v>5420</v>
      </c>
      <c r="R121" s="1747">
        <f t="shared" si="55"/>
        <v>3645</v>
      </c>
      <c r="S121" s="1747"/>
      <c r="T121" s="1665">
        <f t="shared" si="52"/>
        <v>3645</v>
      </c>
      <c r="U121" s="1623">
        <v>3645</v>
      </c>
      <c r="V121" s="1747"/>
      <c r="W121" s="1747"/>
      <c r="X121" s="1665">
        <f t="shared" si="53"/>
        <v>3645</v>
      </c>
      <c r="Y121" s="1623">
        <v>3645</v>
      </c>
      <c r="Z121" s="1665">
        <v>3645</v>
      </c>
      <c r="AA121" s="1623">
        <v>3645</v>
      </c>
      <c r="AB121" s="1623"/>
      <c r="AC121" s="1623"/>
      <c r="AD121" s="1591">
        <f t="shared" si="56"/>
        <v>3645</v>
      </c>
      <c r="AE121" s="1591">
        <f t="shared" si="54"/>
        <v>3645</v>
      </c>
      <c r="AF121" s="1599"/>
      <c r="AG121" s="1009">
        <f t="shared" si="42"/>
        <v>0</v>
      </c>
      <c r="AH121" s="1009">
        <f t="shared" si="43"/>
        <v>1</v>
      </c>
      <c r="AI121" s="1908">
        <f t="shared" si="49"/>
        <v>1</v>
      </c>
    </row>
    <row r="122" spans="1:35" ht="49.5" hidden="1" x14ac:dyDescent="0.25">
      <c r="A122" s="1677" t="s">
        <v>3211</v>
      </c>
      <c r="B122" s="1677"/>
      <c r="C122" s="1645" t="s">
        <v>1725</v>
      </c>
      <c r="D122" s="1608" t="s">
        <v>1713</v>
      </c>
      <c r="E122" s="1608" t="s">
        <v>2549</v>
      </c>
      <c r="F122" s="1610" t="s">
        <v>290</v>
      </c>
      <c r="G122" s="1636" t="s">
        <v>2553</v>
      </c>
      <c r="H122" s="1664">
        <f>I122</f>
        <v>4618</v>
      </c>
      <c r="I122" s="1613">
        <v>4618</v>
      </c>
      <c r="J122" s="1747"/>
      <c r="K122" s="1747"/>
      <c r="L122" s="1747"/>
      <c r="M122" s="1747"/>
      <c r="N122" s="1648"/>
      <c r="O122" s="1747"/>
      <c r="P122" s="1666">
        <v>1000</v>
      </c>
      <c r="Q122" s="1748">
        <f t="shared" si="58"/>
        <v>1000</v>
      </c>
      <c r="R122" s="1747">
        <f t="shared" si="55"/>
        <v>3385</v>
      </c>
      <c r="S122" s="1747"/>
      <c r="T122" s="1665">
        <f t="shared" si="52"/>
        <v>3385</v>
      </c>
      <c r="U122" s="1623">
        <v>3385</v>
      </c>
      <c r="V122" s="1747"/>
      <c r="W122" s="1747"/>
      <c r="X122" s="1665">
        <f t="shared" si="53"/>
        <v>3385</v>
      </c>
      <c r="Y122" s="1623">
        <v>3385</v>
      </c>
      <c r="Z122" s="1665">
        <v>3385</v>
      </c>
      <c r="AA122" s="1623">
        <v>3385</v>
      </c>
      <c r="AB122" s="1623"/>
      <c r="AC122" s="1623"/>
      <c r="AD122" s="1591">
        <f t="shared" si="56"/>
        <v>3385</v>
      </c>
      <c r="AE122" s="1591">
        <f t="shared" si="54"/>
        <v>3385</v>
      </c>
      <c r="AF122" s="1599"/>
      <c r="AG122" s="1009">
        <f t="shared" si="42"/>
        <v>0</v>
      </c>
      <c r="AH122" s="1009">
        <f t="shared" si="43"/>
        <v>1</v>
      </c>
      <c r="AI122" s="1908">
        <f t="shared" si="49"/>
        <v>1</v>
      </c>
    </row>
    <row r="123" spans="1:35" ht="33" hidden="1" x14ac:dyDescent="0.25">
      <c r="A123" s="1677" t="s">
        <v>3212</v>
      </c>
      <c r="B123" s="1677"/>
      <c r="C123" s="1645" t="s">
        <v>1723</v>
      </c>
      <c r="D123" s="1608" t="s">
        <v>1713</v>
      </c>
      <c r="E123" s="1608" t="s">
        <v>1722</v>
      </c>
      <c r="F123" s="1610" t="s">
        <v>290</v>
      </c>
      <c r="G123" s="1636"/>
      <c r="H123" s="1664">
        <f t="shared" si="57"/>
        <v>2940</v>
      </c>
      <c r="I123" s="1613">
        <v>2940</v>
      </c>
      <c r="J123" s="1747"/>
      <c r="K123" s="1747"/>
      <c r="L123" s="1747"/>
      <c r="M123" s="1747"/>
      <c r="N123" s="1648"/>
      <c r="O123" s="1747"/>
      <c r="P123" s="1666">
        <v>600</v>
      </c>
      <c r="Q123" s="1748">
        <f t="shared" si="58"/>
        <v>600</v>
      </c>
      <c r="R123" s="1747">
        <f t="shared" si="55"/>
        <v>2345</v>
      </c>
      <c r="S123" s="1747"/>
      <c r="T123" s="1665">
        <f t="shared" si="52"/>
        <v>2345</v>
      </c>
      <c r="U123" s="1623">
        <v>2345</v>
      </c>
      <c r="V123" s="1747"/>
      <c r="W123" s="1747"/>
      <c r="X123" s="1665">
        <f t="shared" si="53"/>
        <v>2345</v>
      </c>
      <c r="Y123" s="1623">
        <v>2345</v>
      </c>
      <c r="Z123" s="1665">
        <v>2345</v>
      </c>
      <c r="AA123" s="1623">
        <v>2345</v>
      </c>
      <c r="AB123" s="1623"/>
      <c r="AC123" s="1623"/>
      <c r="AD123" s="1591">
        <f t="shared" si="56"/>
        <v>2345</v>
      </c>
      <c r="AE123" s="1591">
        <f t="shared" si="54"/>
        <v>2345</v>
      </c>
      <c r="AF123" s="1599"/>
      <c r="AG123" s="1009">
        <f t="shared" si="42"/>
        <v>0</v>
      </c>
      <c r="AH123" s="1009">
        <f t="shared" si="43"/>
        <v>1</v>
      </c>
      <c r="AI123" s="1908">
        <f t="shared" si="49"/>
        <v>1</v>
      </c>
    </row>
    <row r="124" spans="1:35" ht="49.5" hidden="1" x14ac:dyDescent="0.25">
      <c r="A124" s="1677" t="s">
        <v>3213</v>
      </c>
      <c r="B124" s="1677"/>
      <c r="C124" s="1645" t="s">
        <v>1721</v>
      </c>
      <c r="D124" s="1608" t="s">
        <v>1713</v>
      </c>
      <c r="E124" s="1608" t="s">
        <v>2550</v>
      </c>
      <c r="F124" s="1610" t="s">
        <v>290</v>
      </c>
      <c r="G124" s="1636" t="s">
        <v>2554</v>
      </c>
      <c r="H124" s="1664">
        <f>I124</f>
        <v>7463</v>
      </c>
      <c r="I124" s="1613">
        <v>7463</v>
      </c>
      <c r="J124" s="1747"/>
      <c r="K124" s="1747"/>
      <c r="L124" s="1747"/>
      <c r="M124" s="1747"/>
      <c r="N124" s="1648"/>
      <c r="O124" s="1747"/>
      <c r="P124" s="1666">
        <v>2000</v>
      </c>
      <c r="Q124" s="1748">
        <f t="shared" si="58"/>
        <v>2000</v>
      </c>
      <c r="R124" s="1747">
        <f t="shared" si="55"/>
        <v>6571</v>
      </c>
      <c r="S124" s="1747"/>
      <c r="T124" s="1665">
        <f t="shared" si="52"/>
        <v>6571</v>
      </c>
      <c r="U124" s="1623">
        <v>6571</v>
      </c>
      <c r="V124" s="1747"/>
      <c r="W124" s="1747"/>
      <c r="X124" s="1665">
        <f t="shared" si="53"/>
        <v>6571</v>
      </c>
      <c r="Y124" s="1623">
        <v>6571</v>
      </c>
      <c r="Z124" s="1665">
        <v>6571</v>
      </c>
      <c r="AA124" s="1623">
        <v>6571</v>
      </c>
      <c r="AB124" s="1623"/>
      <c r="AC124" s="1623"/>
      <c r="AD124" s="1591">
        <f t="shared" si="56"/>
        <v>6571</v>
      </c>
      <c r="AE124" s="1591">
        <f t="shared" si="54"/>
        <v>6571</v>
      </c>
      <c r="AF124" s="1599"/>
      <c r="AG124" s="1009">
        <f t="shared" si="42"/>
        <v>0</v>
      </c>
      <c r="AH124" s="1009">
        <f t="shared" si="43"/>
        <v>1</v>
      </c>
      <c r="AI124" s="1908">
        <f t="shared" si="49"/>
        <v>1</v>
      </c>
    </row>
    <row r="125" spans="1:35" ht="35.25" hidden="1" customHeight="1" x14ac:dyDescent="0.25">
      <c r="A125" s="1677" t="s">
        <v>3214</v>
      </c>
      <c r="B125" s="1677"/>
      <c r="C125" s="1645" t="s">
        <v>1720</v>
      </c>
      <c r="D125" s="1608" t="s">
        <v>1713</v>
      </c>
      <c r="E125" s="1608" t="s">
        <v>1719</v>
      </c>
      <c r="F125" s="1610" t="s">
        <v>290</v>
      </c>
      <c r="G125" s="1636"/>
      <c r="H125" s="1664">
        <f t="shared" si="57"/>
        <v>2730</v>
      </c>
      <c r="I125" s="1613">
        <v>2730</v>
      </c>
      <c r="J125" s="1747"/>
      <c r="K125" s="1747"/>
      <c r="L125" s="1747"/>
      <c r="M125" s="1747"/>
      <c r="N125" s="1648"/>
      <c r="O125" s="1747"/>
      <c r="P125" s="1666">
        <v>2300</v>
      </c>
      <c r="Q125" s="1748">
        <f t="shared" si="58"/>
        <v>2300</v>
      </c>
      <c r="R125" s="1747">
        <f t="shared" si="55"/>
        <v>2300</v>
      </c>
      <c r="S125" s="1747"/>
      <c r="T125" s="1665">
        <v>2300</v>
      </c>
      <c r="U125" s="1623">
        <v>2300</v>
      </c>
      <c r="V125" s="1747"/>
      <c r="W125" s="1747"/>
      <c r="X125" s="1665">
        <v>2300</v>
      </c>
      <c r="Y125" s="1623">
        <v>2300</v>
      </c>
      <c r="Z125" s="1665">
        <v>2300</v>
      </c>
      <c r="AA125" s="1623">
        <v>2300</v>
      </c>
      <c r="AB125" s="1623"/>
      <c r="AC125" s="1623"/>
      <c r="AD125" s="1591">
        <f t="shared" si="56"/>
        <v>2300</v>
      </c>
      <c r="AE125" s="1591">
        <f t="shared" si="54"/>
        <v>2300</v>
      </c>
      <c r="AF125" s="1599"/>
      <c r="AG125" s="1009">
        <f t="shared" si="42"/>
        <v>0</v>
      </c>
      <c r="AH125" s="1009">
        <f t="shared" si="43"/>
        <v>1</v>
      </c>
      <c r="AI125" s="1908">
        <f t="shared" si="49"/>
        <v>1</v>
      </c>
    </row>
    <row r="126" spans="1:35" ht="49.5" hidden="1" x14ac:dyDescent="0.25">
      <c r="A126" s="1677" t="s">
        <v>3215</v>
      </c>
      <c r="B126" s="1677"/>
      <c r="C126" s="1645" t="s">
        <v>1718</v>
      </c>
      <c r="D126" s="1608" t="s">
        <v>1713</v>
      </c>
      <c r="E126" s="1608" t="s">
        <v>2551</v>
      </c>
      <c r="F126" s="1610" t="s">
        <v>290</v>
      </c>
      <c r="G126" s="1636" t="s">
        <v>2555</v>
      </c>
      <c r="H126" s="1664">
        <f>I126</f>
        <v>3549</v>
      </c>
      <c r="I126" s="1613">
        <v>3549</v>
      </c>
      <c r="J126" s="1747"/>
      <c r="K126" s="1747"/>
      <c r="L126" s="1747"/>
      <c r="M126" s="1747"/>
      <c r="N126" s="1648"/>
      <c r="O126" s="1747"/>
      <c r="P126" s="1666">
        <v>1400</v>
      </c>
      <c r="Q126" s="1748">
        <f t="shared" si="58"/>
        <v>1400</v>
      </c>
      <c r="R126" s="1747">
        <f t="shared" si="55"/>
        <v>2865</v>
      </c>
      <c r="S126" s="1747"/>
      <c r="T126" s="1665">
        <f>U126</f>
        <v>2865</v>
      </c>
      <c r="U126" s="1623">
        <v>2865</v>
      </c>
      <c r="V126" s="1747"/>
      <c r="W126" s="1747"/>
      <c r="X126" s="1665">
        <f>Y126</f>
        <v>2865</v>
      </c>
      <c r="Y126" s="1623">
        <v>2865</v>
      </c>
      <c r="Z126" s="1665">
        <v>2865</v>
      </c>
      <c r="AA126" s="1623">
        <v>2865</v>
      </c>
      <c r="AB126" s="1623"/>
      <c r="AC126" s="1623"/>
      <c r="AD126" s="1591">
        <f t="shared" si="56"/>
        <v>2865</v>
      </c>
      <c r="AE126" s="1591">
        <f t="shared" si="54"/>
        <v>2865</v>
      </c>
      <c r="AF126" s="1599"/>
      <c r="AG126" s="1009">
        <f t="shared" si="42"/>
        <v>0</v>
      </c>
      <c r="AH126" s="1009">
        <f t="shared" si="43"/>
        <v>1</v>
      </c>
      <c r="AI126" s="1908">
        <f t="shared" si="49"/>
        <v>1</v>
      </c>
    </row>
    <row r="127" spans="1:35" ht="37.5" hidden="1" customHeight="1" x14ac:dyDescent="0.25">
      <c r="A127" s="1677" t="s">
        <v>3216</v>
      </c>
      <c r="B127" s="1677"/>
      <c r="C127" s="1645" t="s">
        <v>1717</v>
      </c>
      <c r="D127" s="1608" t="s">
        <v>1713</v>
      </c>
      <c r="E127" s="1608" t="s">
        <v>1715</v>
      </c>
      <c r="F127" s="1610" t="s">
        <v>290</v>
      </c>
      <c r="G127" s="1636"/>
      <c r="H127" s="1664">
        <f t="shared" si="57"/>
        <v>1890</v>
      </c>
      <c r="I127" s="1613">
        <v>1890</v>
      </c>
      <c r="J127" s="1747"/>
      <c r="K127" s="1747"/>
      <c r="L127" s="1747"/>
      <c r="M127" s="1747"/>
      <c r="N127" s="1648"/>
      <c r="O127" s="1747"/>
      <c r="P127" s="1666">
        <v>1600</v>
      </c>
      <c r="Q127" s="1748">
        <f t="shared" si="58"/>
        <v>1600</v>
      </c>
      <c r="R127" s="1747">
        <f t="shared" si="55"/>
        <v>1607</v>
      </c>
      <c r="S127" s="1747"/>
      <c r="T127" s="1665">
        <f>U127</f>
        <v>1607</v>
      </c>
      <c r="U127" s="1623">
        <v>1607</v>
      </c>
      <c r="V127" s="1747"/>
      <c r="W127" s="1747"/>
      <c r="X127" s="1665">
        <f>Y127</f>
        <v>1607</v>
      </c>
      <c r="Y127" s="1623">
        <v>1607</v>
      </c>
      <c r="Z127" s="1665">
        <v>1607</v>
      </c>
      <c r="AA127" s="1623">
        <v>1607</v>
      </c>
      <c r="AB127" s="1623"/>
      <c r="AC127" s="1623"/>
      <c r="AD127" s="1591">
        <f t="shared" si="56"/>
        <v>1607</v>
      </c>
      <c r="AE127" s="1591">
        <f t="shared" si="54"/>
        <v>1607</v>
      </c>
      <c r="AF127" s="1599"/>
      <c r="AG127" s="1009">
        <f t="shared" si="42"/>
        <v>0</v>
      </c>
      <c r="AH127" s="1009">
        <f t="shared" si="43"/>
        <v>1</v>
      </c>
      <c r="AI127" s="1908">
        <f t="shared" si="49"/>
        <v>1</v>
      </c>
    </row>
    <row r="128" spans="1:35" ht="39" hidden="1" customHeight="1" x14ac:dyDescent="0.25">
      <c r="A128" s="1677" t="s">
        <v>3217</v>
      </c>
      <c r="B128" s="1677"/>
      <c r="C128" s="1645" t="s">
        <v>1716</v>
      </c>
      <c r="D128" s="1608" t="s">
        <v>1713</v>
      </c>
      <c r="E128" s="1608" t="s">
        <v>1715</v>
      </c>
      <c r="F128" s="1610" t="s">
        <v>290</v>
      </c>
      <c r="G128" s="1636"/>
      <c r="H128" s="1664">
        <f t="shared" si="57"/>
        <v>2100</v>
      </c>
      <c r="I128" s="1613">
        <v>2100</v>
      </c>
      <c r="J128" s="1747"/>
      <c r="K128" s="1747"/>
      <c r="L128" s="1747"/>
      <c r="M128" s="1747"/>
      <c r="N128" s="1648"/>
      <c r="O128" s="1747"/>
      <c r="P128" s="1666">
        <v>1700</v>
      </c>
      <c r="Q128" s="1748">
        <f t="shared" si="58"/>
        <v>1700</v>
      </c>
      <c r="R128" s="1747">
        <f t="shared" si="55"/>
        <v>1700</v>
      </c>
      <c r="S128" s="1747"/>
      <c r="T128" s="1665">
        <v>1700</v>
      </c>
      <c r="U128" s="1623">
        <v>1700</v>
      </c>
      <c r="V128" s="1747"/>
      <c r="W128" s="1747"/>
      <c r="X128" s="1665">
        <v>1700</v>
      </c>
      <c r="Y128" s="1623">
        <v>1700</v>
      </c>
      <c r="Z128" s="1665">
        <v>1700</v>
      </c>
      <c r="AA128" s="1623">
        <v>1700</v>
      </c>
      <c r="AB128" s="1623"/>
      <c r="AC128" s="1623"/>
      <c r="AD128" s="1591">
        <f t="shared" si="56"/>
        <v>1700</v>
      </c>
      <c r="AE128" s="1591">
        <f t="shared" si="54"/>
        <v>1700</v>
      </c>
      <c r="AF128" s="1599"/>
      <c r="AG128" s="1009">
        <f t="shared" si="42"/>
        <v>0</v>
      </c>
      <c r="AH128" s="1009">
        <f t="shared" si="43"/>
        <v>1</v>
      </c>
      <c r="AI128" s="1908">
        <f t="shared" si="49"/>
        <v>1</v>
      </c>
    </row>
    <row r="129" spans="1:37" ht="53.25" hidden="1" customHeight="1" x14ac:dyDescent="0.25">
      <c r="A129" s="1677" t="s">
        <v>3218</v>
      </c>
      <c r="B129" s="1677" t="s">
        <v>2791</v>
      </c>
      <c r="C129" s="1645" t="s">
        <v>1714</v>
      </c>
      <c r="D129" s="1608" t="s">
        <v>1713</v>
      </c>
      <c r="E129" s="1608" t="s">
        <v>2491</v>
      </c>
      <c r="F129" s="1610" t="s">
        <v>162</v>
      </c>
      <c r="G129" s="1636" t="s">
        <v>2708</v>
      </c>
      <c r="H129" s="1664">
        <v>35332</v>
      </c>
      <c r="I129" s="1613">
        <f>H129</f>
        <v>35332</v>
      </c>
      <c r="J129" s="1747"/>
      <c r="K129" s="1747"/>
      <c r="L129" s="1747"/>
      <c r="M129" s="1747"/>
      <c r="N129" s="1648"/>
      <c r="O129" s="1747"/>
      <c r="P129" s="1666">
        <v>10500</v>
      </c>
      <c r="Q129" s="1748">
        <f t="shared" si="58"/>
        <v>10500</v>
      </c>
      <c r="R129" s="1747">
        <f t="shared" si="55"/>
        <v>15864</v>
      </c>
      <c r="S129" s="1747"/>
      <c r="T129" s="1665">
        <f>U129</f>
        <v>15864</v>
      </c>
      <c r="U129" s="1623">
        <v>15864</v>
      </c>
      <c r="V129" s="1747"/>
      <c r="W129" s="1747"/>
      <c r="X129" s="1665">
        <f>Y129</f>
        <v>15864</v>
      </c>
      <c r="Y129" s="1623">
        <v>15864</v>
      </c>
      <c r="Z129" s="1665">
        <v>0</v>
      </c>
      <c r="AA129" s="1623">
        <v>0</v>
      </c>
      <c r="AB129" s="1623"/>
      <c r="AC129" s="1587"/>
      <c r="AD129" s="1591">
        <f t="shared" si="56"/>
        <v>0</v>
      </c>
      <c r="AE129" s="1591">
        <f t="shared" si="54"/>
        <v>0</v>
      </c>
      <c r="AF129" s="1580" t="s">
        <v>2748</v>
      </c>
      <c r="AG129" s="1009">
        <f t="shared" si="42"/>
        <v>0</v>
      </c>
      <c r="AH129" s="1009">
        <f t="shared" si="43"/>
        <v>1</v>
      </c>
      <c r="AI129" s="1908">
        <f t="shared" si="49"/>
        <v>1</v>
      </c>
    </row>
    <row r="130" spans="1:37" ht="49.5" hidden="1" x14ac:dyDescent="0.25">
      <c r="A130" s="1677" t="s">
        <v>3219</v>
      </c>
      <c r="B130" s="1677"/>
      <c r="C130" s="1645" t="s">
        <v>1711</v>
      </c>
      <c r="D130" s="1608" t="s">
        <v>1709</v>
      </c>
      <c r="E130" s="1608"/>
      <c r="F130" s="1610"/>
      <c r="G130" s="1636"/>
      <c r="H130" s="1664">
        <f t="shared" si="57"/>
        <v>1616</v>
      </c>
      <c r="I130" s="1613">
        <v>1616</v>
      </c>
      <c r="J130" s="1747"/>
      <c r="K130" s="1747"/>
      <c r="L130" s="1747"/>
      <c r="M130" s="1747"/>
      <c r="N130" s="1648"/>
      <c r="O130" s="1747"/>
      <c r="P130" s="1666">
        <v>1400</v>
      </c>
      <c r="Q130" s="1748">
        <f t="shared" si="58"/>
        <v>1400</v>
      </c>
      <c r="R130" s="1747">
        <f t="shared" si="55"/>
        <v>1308</v>
      </c>
      <c r="S130" s="1747"/>
      <c r="T130" s="1665">
        <f>U130</f>
        <v>1308</v>
      </c>
      <c r="U130" s="1623">
        <v>1308</v>
      </c>
      <c r="V130" s="1747"/>
      <c r="W130" s="1747"/>
      <c r="X130" s="1665">
        <f>Y130</f>
        <v>1308</v>
      </c>
      <c r="Y130" s="1623">
        <v>1308</v>
      </c>
      <c r="Z130" s="1665">
        <v>1308</v>
      </c>
      <c r="AA130" s="1623">
        <v>1308</v>
      </c>
      <c r="AB130" s="1623"/>
      <c r="AC130" s="1623"/>
      <c r="AD130" s="1591">
        <f t="shared" si="56"/>
        <v>1308</v>
      </c>
      <c r="AE130" s="1591">
        <f t="shared" si="54"/>
        <v>1308</v>
      </c>
      <c r="AF130" s="1599"/>
      <c r="AG130" s="1009">
        <f t="shared" si="42"/>
        <v>0</v>
      </c>
      <c r="AH130" s="1009">
        <f t="shared" si="43"/>
        <v>1</v>
      </c>
      <c r="AI130" s="1908">
        <f t="shared" si="49"/>
        <v>1</v>
      </c>
    </row>
    <row r="131" spans="1:37" ht="52.5" hidden="1" customHeight="1" x14ac:dyDescent="0.25">
      <c r="A131" s="1677" t="s">
        <v>3220</v>
      </c>
      <c r="B131" s="1677"/>
      <c r="C131" s="1645" t="s">
        <v>1710</v>
      </c>
      <c r="D131" s="1608" t="s">
        <v>1709</v>
      </c>
      <c r="E131" s="1608"/>
      <c r="F131" s="1610"/>
      <c r="G131" s="1636"/>
      <c r="H131" s="1664">
        <f t="shared" si="57"/>
        <v>2074</v>
      </c>
      <c r="I131" s="1613">
        <v>2074</v>
      </c>
      <c r="J131" s="1747"/>
      <c r="K131" s="1747"/>
      <c r="L131" s="1747"/>
      <c r="M131" s="1747"/>
      <c r="N131" s="1648"/>
      <c r="O131" s="1747"/>
      <c r="P131" s="1666">
        <v>1800</v>
      </c>
      <c r="Q131" s="1748">
        <f t="shared" si="58"/>
        <v>1800</v>
      </c>
      <c r="R131" s="1747">
        <f t="shared" si="55"/>
        <v>1827</v>
      </c>
      <c r="S131" s="1747"/>
      <c r="T131" s="1665">
        <f>U131</f>
        <v>1827</v>
      </c>
      <c r="U131" s="1623">
        <v>1827</v>
      </c>
      <c r="V131" s="1747"/>
      <c r="W131" s="1747"/>
      <c r="X131" s="1665">
        <f>Y131</f>
        <v>1827</v>
      </c>
      <c r="Y131" s="1623">
        <v>1827</v>
      </c>
      <c r="Z131" s="1665">
        <v>1827</v>
      </c>
      <c r="AA131" s="1623">
        <v>1827</v>
      </c>
      <c r="AB131" s="1623"/>
      <c r="AC131" s="1623"/>
      <c r="AD131" s="1591">
        <f t="shared" si="56"/>
        <v>1827</v>
      </c>
      <c r="AE131" s="1591">
        <f t="shared" si="54"/>
        <v>1827</v>
      </c>
      <c r="AF131" s="1599"/>
      <c r="AG131" s="1009">
        <f t="shared" si="42"/>
        <v>0</v>
      </c>
      <c r="AH131" s="1009">
        <f t="shared" si="43"/>
        <v>1</v>
      </c>
      <c r="AI131" s="1908">
        <f t="shared" si="49"/>
        <v>1</v>
      </c>
    </row>
    <row r="132" spans="1:37" ht="50.25" hidden="1" customHeight="1" x14ac:dyDescent="0.25">
      <c r="A132" s="1677" t="s">
        <v>3221</v>
      </c>
      <c r="B132" s="1677"/>
      <c r="C132" s="1645" t="s">
        <v>2137</v>
      </c>
      <c r="D132" s="1608" t="s">
        <v>1709</v>
      </c>
      <c r="E132" s="1608" t="s">
        <v>1715</v>
      </c>
      <c r="F132" s="1610" t="s">
        <v>290</v>
      </c>
      <c r="G132" s="1636"/>
      <c r="H132" s="1664">
        <f t="shared" si="57"/>
        <v>7520</v>
      </c>
      <c r="I132" s="1613">
        <v>7520</v>
      </c>
      <c r="J132" s="1747"/>
      <c r="K132" s="1747"/>
      <c r="L132" s="1747"/>
      <c r="M132" s="1747"/>
      <c r="N132" s="1648"/>
      <c r="O132" s="1747"/>
      <c r="P132" s="1666"/>
      <c r="Q132" s="1748"/>
      <c r="R132" s="1747">
        <f t="shared" si="55"/>
        <v>5640</v>
      </c>
      <c r="S132" s="1747"/>
      <c r="T132" s="1665">
        <f>U132</f>
        <v>5640</v>
      </c>
      <c r="U132" s="1623">
        <v>5640</v>
      </c>
      <c r="V132" s="1747"/>
      <c r="W132" s="1747"/>
      <c r="X132" s="1665">
        <f>Y132</f>
        <v>5640</v>
      </c>
      <c r="Y132" s="1623">
        <v>5640</v>
      </c>
      <c r="Z132" s="1665">
        <v>5640</v>
      </c>
      <c r="AA132" s="1623">
        <v>5640</v>
      </c>
      <c r="AB132" s="1623"/>
      <c r="AC132" s="1623"/>
      <c r="AD132" s="1591">
        <f t="shared" si="56"/>
        <v>5640</v>
      </c>
      <c r="AE132" s="1591">
        <f t="shared" si="54"/>
        <v>5640</v>
      </c>
      <c r="AF132" s="1599"/>
      <c r="AG132" s="1009">
        <f t="shared" si="42"/>
        <v>0</v>
      </c>
      <c r="AH132" s="1009">
        <f t="shared" si="43"/>
        <v>1</v>
      </c>
      <c r="AI132" s="1908">
        <f t="shared" si="49"/>
        <v>1</v>
      </c>
    </row>
    <row r="133" spans="1:37" ht="54.75" hidden="1" customHeight="1" x14ac:dyDescent="0.25">
      <c r="A133" s="1601" t="s">
        <v>2807</v>
      </c>
      <c r="B133" s="1601" t="s">
        <v>2807</v>
      </c>
      <c r="C133" s="1602" t="s">
        <v>2074</v>
      </c>
      <c r="D133" s="1603"/>
      <c r="E133" s="1603"/>
      <c r="F133" s="1603"/>
      <c r="G133" s="1603"/>
      <c r="H133" s="1604">
        <f t="shared" ref="H133:AD133" si="59">SUM(H134:H173)</f>
        <v>133666</v>
      </c>
      <c r="I133" s="1604">
        <f t="shared" si="59"/>
        <v>125884</v>
      </c>
      <c r="J133" s="1604">
        <f t="shared" si="59"/>
        <v>0</v>
      </c>
      <c r="K133" s="1604">
        <f t="shared" si="59"/>
        <v>0</v>
      </c>
      <c r="L133" s="1604">
        <f t="shared" si="59"/>
        <v>0</v>
      </c>
      <c r="M133" s="1604">
        <f t="shared" si="59"/>
        <v>0</v>
      </c>
      <c r="N133" s="1604">
        <f t="shared" si="59"/>
        <v>0</v>
      </c>
      <c r="O133" s="1604">
        <f t="shared" si="59"/>
        <v>0</v>
      </c>
      <c r="P133" s="1604">
        <f t="shared" si="59"/>
        <v>0</v>
      </c>
      <c r="Q133" s="1604">
        <f t="shared" si="59"/>
        <v>0</v>
      </c>
      <c r="R133" s="1604">
        <f t="shared" si="59"/>
        <v>0</v>
      </c>
      <c r="S133" s="1604">
        <f t="shared" si="59"/>
        <v>0</v>
      </c>
      <c r="T133" s="1604">
        <f t="shared" si="59"/>
        <v>0</v>
      </c>
      <c r="U133" s="1604">
        <f t="shared" si="59"/>
        <v>0</v>
      </c>
      <c r="V133" s="1604">
        <f t="shared" si="59"/>
        <v>70700</v>
      </c>
      <c r="W133" s="1604">
        <f t="shared" si="59"/>
        <v>0</v>
      </c>
      <c r="X133" s="1604">
        <f t="shared" si="59"/>
        <v>70700</v>
      </c>
      <c r="Y133" s="1604">
        <f t="shared" si="59"/>
        <v>70700</v>
      </c>
      <c r="Z133" s="1604">
        <v>105640</v>
      </c>
      <c r="AA133" s="1604">
        <v>103640</v>
      </c>
      <c r="AB133" s="1604"/>
      <c r="AC133" s="1604"/>
      <c r="AD133" s="1604">
        <f t="shared" si="59"/>
        <v>105640</v>
      </c>
      <c r="AE133" s="1604">
        <f>SUM(AE134:AE173)</f>
        <v>103640</v>
      </c>
      <c r="AF133" s="1606"/>
      <c r="AG133" s="1009">
        <f t="shared" si="42"/>
        <v>0</v>
      </c>
      <c r="AH133" s="1009">
        <f t="shared" si="43"/>
        <v>1</v>
      </c>
      <c r="AI133" s="1908">
        <f t="shared" si="49"/>
        <v>1</v>
      </c>
      <c r="AK133" s="1364"/>
    </row>
    <row r="134" spans="1:37" ht="42.75" hidden="1" customHeight="1" x14ac:dyDescent="0.25">
      <c r="A134" s="1677" t="s">
        <v>2808</v>
      </c>
      <c r="B134" s="1677" t="s">
        <v>2808</v>
      </c>
      <c r="C134" s="1674" t="s">
        <v>2226</v>
      </c>
      <c r="D134" s="1608" t="s">
        <v>1806</v>
      </c>
      <c r="E134" s="1588" t="s">
        <v>2259</v>
      </c>
      <c r="F134" s="1588" t="s">
        <v>1354</v>
      </c>
      <c r="G134" s="1636"/>
      <c r="H134" s="1664">
        <v>12998</v>
      </c>
      <c r="I134" s="1613">
        <f>H134-1182</f>
        <v>11816</v>
      </c>
      <c r="J134" s="1747"/>
      <c r="K134" s="1747"/>
      <c r="L134" s="1747"/>
      <c r="M134" s="1747"/>
      <c r="N134" s="1648"/>
      <c r="O134" s="1747"/>
      <c r="P134" s="1666"/>
      <c r="Q134" s="1748"/>
      <c r="R134" s="1747"/>
      <c r="S134" s="1747"/>
      <c r="T134" s="1665"/>
      <c r="U134" s="1623"/>
      <c r="V134" s="1747">
        <v>7200</v>
      </c>
      <c r="W134" s="1747"/>
      <c r="X134" s="1665">
        <f>Y134</f>
        <v>7200</v>
      </c>
      <c r="Y134" s="1623">
        <f>V134</f>
        <v>7200</v>
      </c>
      <c r="Z134" s="1665">
        <v>8700</v>
      </c>
      <c r="AA134" s="1623">
        <v>8700</v>
      </c>
      <c r="AB134" s="1623"/>
      <c r="AC134" s="1623"/>
      <c r="AD134" s="1591">
        <f t="shared" si="56"/>
        <v>8700</v>
      </c>
      <c r="AE134" s="1623">
        <f t="shared" ref="AE134:AE172" si="60">AA134+AB134+AC134</f>
        <v>8700</v>
      </c>
      <c r="AF134" s="1580"/>
      <c r="AG134" s="1009">
        <f t="shared" si="42"/>
        <v>0</v>
      </c>
      <c r="AH134" s="1009">
        <f t="shared" si="43"/>
        <v>1</v>
      </c>
      <c r="AI134" s="1908">
        <f t="shared" si="49"/>
        <v>1</v>
      </c>
    </row>
    <row r="135" spans="1:37" ht="42.75" hidden="1" customHeight="1" x14ac:dyDescent="0.25">
      <c r="A135" s="1677" t="s">
        <v>2809</v>
      </c>
      <c r="B135" s="1677" t="s">
        <v>2809</v>
      </c>
      <c r="C135" s="1674" t="s">
        <v>2228</v>
      </c>
      <c r="D135" s="1608" t="s">
        <v>1709</v>
      </c>
      <c r="E135" s="1588" t="s">
        <v>2260</v>
      </c>
      <c r="F135" s="1588" t="s">
        <v>1354</v>
      </c>
      <c r="G135" s="1636"/>
      <c r="H135" s="1664">
        <v>4743</v>
      </c>
      <c r="I135" s="1613">
        <f>H135-226</f>
        <v>4517</v>
      </c>
      <c r="J135" s="1747"/>
      <c r="K135" s="1747"/>
      <c r="L135" s="1747"/>
      <c r="M135" s="1747"/>
      <c r="N135" s="1648"/>
      <c r="O135" s="1747"/>
      <c r="P135" s="1666"/>
      <c r="Q135" s="1748"/>
      <c r="R135" s="1747"/>
      <c r="S135" s="1747"/>
      <c r="T135" s="1665"/>
      <c r="U135" s="1623"/>
      <c r="V135" s="1747">
        <v>2800</v>
      </c>
      <c r="W135" s="1747"/>
      <c r="X135" s="1665">
        <f t="shared" ref="X135:X165" si="61">Y135</f>
        <v>2800</v>
      </c>
      <c r="Y135" s="1623">
        <f t="shared" ref="Y135:Y165" si="62">V135</f>
        <v>2800</v>
      </c>
      <c r="Z135" s="1665">
        <v>3900</v>
      </c>
      <c r="AA135" s="1623">
        <v>3900</v>
      </c>
      <c r="AB135" s="1623"/>
      <c r="AC135" s="1623"/>
      <c r="AD135" s="1591">
        <f t="shared" si="56"/>
        <v>3900</v>
      </c>
      <c r="AE135" s="1623">
        <f t="shared" si="60"/>
        <v>3900</v>
      </c>
      <c r="AF135" s="1580"/>
      <c r="AG135" s="1009">
        <f t="shared" si="42"/>
        <v>0</v>
      </c>
      <c r="AH135" s="1009">
        <f t="shared" si="43"/>
        <v>1</v>
      </c>
      <c r="AI135" s="1908">
        <f t="shared" si="49"/>
        <v>1</v>
      </c>
    </row>
    <row r="136" spans="1:37" ht="42.75" hidden="1" customHeight="1" x14ac:dyDescent="0.25">
      <c r="A136" s="1677" t="s">
        <v>2810</v>
      </c>
      <c r="B136" s="1677" t="s">
        <v>2810</v>
      </c>
      <c r="C136" s="1674" t="s">
        <v>2229</v>
      </c>
      <c r="D136" s="1608" t="s">
        <v>1709</v>
      </c>
      <c r="E136" s="1588" t="s">
        <v>2261</v>
      </c>
      <c r="F136" s="1588" t="s">
        <v>1354</v>
      </c>
      <c r="G136" s="1636"/>
      <c r="H136" s="1664">
        <v>2354</v>
      </c>
      <c r="I136" s="1613">
        <f>H136-164</f>
        <v>2190</v>
      </c>
      <c r="J136" s="1747"/>
      <c r="K136" s="1747"/>
      <c r="L136" s="1747"/>
      <c r="M136" s="1747"/>
      <c r="N136" s="1648"/>
      <c r="O136" s="1747"/>
      <c r="P136" s="1666"/>
      <c r="Q136" s="1748"/>
      <c r="R136" s="1747"/>
      <c r="S136" s="1747"/>
      <c r="T136" s="1665"/>
      <c r="U136" s="1623"/>
      <c r="V136" s="1747">
        <v>1400</v>
      </c>
      <c r="W136" s="1747"/>
      <c r="X136" s="1665">
        <f t="shared" si="61"/>
        <v>1400</v>
      </c>
      <c r="Y136" s="1623">
        <f t="shared" si="62"/>
        <v>1400</v>
      </c>
      <c r="Z136" s="1665">
        <v>1900</v>
      </c>
      <c r="AA136" s="1623">
        <v>1900</v>
      </c>
      <c r="AB136" s="1623"/>
      <c r="AC136" s="1623"/>
      <c r="AD136" s="1591">
        <f t="shared" si="56"/>
        <v>1900</v>
      </c>
      <c r="AE136" s="1623">
        <f t="shared" si="60"/>
        <v>1900</v>
      </c>
      <c r="AF136" s="1580"/>
      <c r="AG136" s="1009">
        <f t="shared" si="42"/>
        <v>0</v>
      </c>
      <c r="AH136" s="1009">
        <f t="shared" si="43"/>
        <v>1</v>
      </c>
      <c r="AI136" s="1908">
        <f t="shared" si="49"/>
        <v>1</v>
      </c>
    </row>
    <row r="137" spans="1:37" ht="59.25" hidden="1" customHeight="1" x14ac:dyDescent="0.25">
      <c r="A137" s="1677" t="s">
        <v>2811</v>
      </c>
      <c r="B137" s="1677" t="s">
        <v>2811</v>
      </c>
      <c r="C137" s="1674" t="s">
        <v>2230</v>
      </c>
      <c r="D137" s="1608" t="s">
        <v>1709</v>
      </c>
      <c r="E137" s="1588" t="s">
        <v>2262</v>
      </c>
      <c r="F137" s="1588" t="s">
        <v>1354</v>
      </c>
      <c r="G137" s="1636"/>
      <c r="H137" s="1664">
        <v>3972</v>
      </c>
      <c r="I137" s="1613">
        <f>H137-276</f>
        <v>3696</v>
      </c>
      <c r="J137" s="1747"/>
      <c r="K137" s="1747"/>
      <c r="L137" s="1747"/>
      <c r="M137" s="1747"/>
      <c r="N137" s="1648"/>
      <c r="O137" s="1747"/>
      <c r="P137" s="1666"/>
      <c r="Q137" s="1748"/>
      <c r="R137" s="1747"/>
      <c r="S137" s="1747"/>
      <c r="T137" s="1665"/>
      <c r="U137" s="1623"/>
      <c r="V137" s="1747">
        <v>3100</v>
      </c>
      <c r="W137" s="1747"/>
      <c r="X137" s="1665">
        <f t="shared" si="61"/>
        <v>3100</v>
      </c>
      <c r="Y137" s="1623">
        <f t="shared" si="62"/>
        <v>3100</v>
      </c>
      <c r="Z137" s="1665">
        <v>3350</v>
      </c>
      <c r="AA137" s="1623">
        <v>3350</v>
      </c>
      <c r="AB137" s="1623"/>
      <c r="AC137" s="1623"/>
      <c r="AD137" s="1591">
        <f t="shared" si="56"/>
        <v>3350</v>
      </c>
      <c r="AE137" s="1623">
        <f t="shared" si="60"/>
        <v>3350</v>
      </c>
      <c r="AF137" s="1580"/>
      <c r="AG137" s="1009">
        <f t="shared" si="42"/>
        <v>0</v>
      </c>
      <c r="AH137" s="1009">
        <f t="shared" si="43"/>
        <v>1</v>
      </c>
      <c r="AI137" s="1908">
        <f t="shared" si="49"/>
        <v>1</v>
      </c>
    </row>
    <row r="138" spans="1:37" ht="42.75" hidden="1" customHeight="1" x14ac:dyDescent="0.25">
      <c r="A138" s="1677" t="s">
        <v>2812</v>
      </c>
      <c r="B138" s="1677" t="s">
        <v>2812</v>
      </c>
      <c r="C138" s="1674" t="s">
        <v>2231</v>
      </c>
      <c r="D138" s="1608" t="s">
        <v>1709</v>
      </c>
      <c r="E138" s="1588" t="s">
        <v>2263</v>
      </c>
      <c r="F138" s="1588" t="s">
        <v>1354</v>
      </c>
      <c r="G138" s="1636"/>
      <c r="H138" s="1664">
        <v>5980</v>
      </c>
      <c r="I138" s="1613">
        <f>H138-415</f>
        <v>5565</v>
      </c>
      <c r="J138" s="1747"/>
      <c r="K138" s="1747"/>
      <c r="L138" s="1747"/>
      <c r="M138" s="1747"/>
      <c r="N138" s="1648"/>
      <c r="O138" s="1747"/>
      <c r="P138" s="1666"/>
      <c r="Q138" s="1748"/>
      <c r="R138" s="1747"/>
      <c r="S138" s="1747"/>
      <c r="T138" s="1665"/>
      <c r="U138" s="1623"/>
      <c r="V138" s="1747">
        <v>3600</v>
      </c>
      <c r="W138" s="1747"/>
      <c r="X138" s="1665">
        <f t="shared" si="61"/>
        <v>3600</v>
      </c>
      <c r="Y138" s="1623">
        <f t="shared" si="62"/>
        <v>3600</v>
      </c>
      <c r="Z138" s="1665">
        <v>4700</v>
      </c>
      <c r="AA138" s="1623">
        <v>4700</v>
      </c>
      <c r="AB138" s="1623"/>
      <c r="AC138" s="1623"/>
      <c r="AD138" s="1591">
        <f t="shared" si="56"/>
        <v>4700</v>
      </c>
      <c r="AE138" s="1623">
        <f t="shared" si="60"/>
        <v>4700</v>
      </c>
      <c r="AF138" s="1580"/>
      <c r="AG138" s="1009">
        <f t="shared" si="42"/>
        <v>0</v>
      </c>
      <c r="AH138" s="1009">
        <f t="shared" si="43"/>
        <v>1</v>
      </c>
      <c r="AI138" s="1908">
        <f t="shared" si="49"/>
        <v>1</v>
      </c>
    </row>
    <row r="139" spans="1:37" ht="75.75" hidden="1" customHeight="1" x14ac:dyDescent="0.25">
      <c r="A139" s="1677" t="s">
        <v>2813</v>
      </c>
      <c r="B139" s="1677" t="s">
        <v>2813</v>
      </c>
      <c r="C139" s="1674" t="s">
        <v>2232</v>
      </c>
      <c r="D139" s="1608" t="s">
        <v>1709</v>
      </c>
      <c r="E139" s="1588" t="s">
        <v>2264</v>
      </c>
      <c r="F139" s="1588" t="s">
        <v>1354</v>
      </c>
      <c r="G139" s="1636"/>
      <c r="H139" s="1664">
        <v>1489</v>
      </c>
      <c r="I139" s="1613">
        <f>H139-100</f>
        <v>1389</v>
      </c>
      <c r="J139" s="1747"/>
      <c r="K139" s="1747"/>
      <c r="L139" s="1747"/>
      <c r="M139" s="1747"/>
      <c r="N139" s="1648"/>
      <c r="O139" s="1747"/>
      <c r="P139" s="1666"/>
      <c r="Q139" s="1748"/>
      <c r="R139" s="1747"/>
      <c r="S139" s="1747"/>
      <c r="T139" s="1665"/>
      <c r="U139" s="1623"/>
      <c r="V139" s="1747">
        <v>900</v>
      </c>
      <c r="W139" s="1747"/>
      <c r="X139" s="1665">
        <f t="shared" si="61"/>
        <v>900</v>
      </c>
      <c r="Y139" s="1623">
        <f t="shared" si="62"/>
        <v>900</v>
      </c>
      <c r="Z139" s="1665">
        <v>1250</v>
      </c>
      <c r="AA139" s="1623">
        <v>1250</v>
      </c>
      <c r="AB139" s="1623"/>
      <c r="AC139" s="1623"/>
      <c r="AD139" s="1591">
        <f t="shared" si="56"/>
        <v>1250</v>
      </c>
      <c r="AE139" s="1623">
        <f t="shared" si="60"/>
        <v>1250</v>
      </c>
      <c r="AF139" s="1580"/>
      <c r="AG139" s="1009">
        <f t="shared" si="42"/>
        <v>0</v>
      </c>
      <c r="AH139" s="1009">
        <f t="shared" si="43"/>
        <v>1</v>
      </c>
      <c r="AI139" s="1908">
        <f t="shared" si="49"/>
        <v>1</v>
      </c>
    </row>
    <row r="140" spans="1:37" ht="42.75" hidden="1" customHeight="1" x14ac:dyDescent="0.25">
      <c r="A140" s="1677" t="s">
        <v>2814</v>
      </c>
      <c r="B140" s="1677" t="s">
        <v>2814</v>
      </c>
      <c r="C140" s="1674" t="s">
        <v>2233</v>
      </c>
      <c r="D140" s="1608" t="s">
        <v>1709</v>
      </c>
      <c r="E140" s="1588" t="s">
        <v>2265</v>
      </c>
      <c r="F140" s="1588" t="s">
        <v>1354</v>
      </c>
      <c r="G140" s="1636"/>
      <c r="H140" s="1664">
        <v>2101</v>
      </c>
      <c r="I140" s="1613">
        <f t="shared" ref="I140" si="63">H140</f>
        <v>2101</v>
      </c>
      <c r="J140" s="1747"/>
      <c r="K140" s="1747"/>
      <c r="L140" s="1747"/>
      <c r="M140" s="1747"/>
      <c r="N140" s="1648"/>
      <c r="O140" s="1747"/>
      <c r="P140" s="1666"/>
      <c r="Q140" s="1748"/>
      <c r="R140" s="1747"/>
      <c r="S140" s="1747"/>
      <c r="T140" s="1665"/>
      <c r="U140" s="1623"/>
      <c r="V140" s="1747">
        <v>1200</v>
      </c>
      <c r="W140" s="1747"/>
      <c r="X140" s="1665">
        <f t="shared" si="61"/>
        <v>1200</v>
      </c>
      <c r="Y140" s="1623">
        <f t="shared" si="62"/>
        <v>1200</v>
      </c>
      <c r="Z140" s="1665">
        <v>1650</v>
      </c>
      <c r="AA140" s="1623">
        <v>1650</v>
      </c>
      <c r="AB140" s="1623"/>
      <c r="AC140" s="1623"/>
      <c r="AD140" s="1591">
        <f t="shared" si="56"/>
        <v>1650</v>
      </c>
      <c r="AE140" s="1623">
        <f t="shared" si="60"/>
        <v>1650</v>
      </c>
      <c r="AF140" s="1580"/>
      <c r="AG140" s="1009">
        <f t="shared" si="42"/>
        <v>0</v>
      </c>
      <c r="AH140" s="1009">
        <f t="shared" si="43"/>
        <v>1</v>
      </c>
      <c r="AI140" s="1908">
        <f t="shared" si="49"/>
        <v>1</v>
      </c>
    </row>
    <row r="141" spans="1:37" ht="42.75" hidden="1" customHeight="1" x14ac:dyDescent="0.25">
      <c r="A141" s="1677" t="s">
        <v>2815</v>
      </c>
      <c r="B141" s="1677" t="s">
        <v>2815</v>
      </c>
      <c r="C141" s="1674" t="s">
        <v>2234</v>
      </c>
      <c r="D141" s="1608" t="s">
        <v>1709</v>
      </c>
      <c r="E141" s="1588" t="s">
        <v>2266</v>
      </c>
      <c r="F141" s="1588" t="s">
        <v>1354</v>
      </c>
      <c r="G141" s="1636"/>
      <c r="H141" s="1664">
        <v>5762</v>
      </c>
      <c r="I141" s="1613">
        <f>H141-385</f>
        <v>5377</v>
      </c>
      <c r="J141" s="1747"/>
      <c r="K141" s="1747"/>
      <c r="L141" s="1747"/>
      <c r="M141" s="1747"/>
      <c r="N141" s="1648"/>
      <c r="O141" s="1747"/>
      <c r="P141" s="1666"/>
      <c r="Q141" s="1748"/>
      <c r="R141" s="1747"/>
      <c r="S141" s="1747"/>
      <c r="T141" s="1665"/>
      <c r="U141" s="1623"/>
      <c r="V141" s="1747">
        <v>3400</v>
      </c>
      <c r="W141" s="1747"/>
      <c r="X141" s="1665">
        <f t="shared" si="61"/>
        <v>3400</v>
      </c>
      <c r="Y141" s="1623">
        <f t="shared" si="62"/>
        <v>3400</v>
      </c>
      <c r="Z141" s="1665">
        <v>4690</v>
      </c>
      <c r="AA141" s="1623">
        <v>4690</v>
      </c>
      <c r="AB141" s="1623"/>
      <c r="AC141" s="1623"/>
      <c r="AD141" s="1591">
        <f t="shared" si="56"/>
        <v>4690</v>
      </c>
      <c r="AE141" s="1623">
        <f t="shared" si="60"/>
        <v>4690</v>
      </c>
      <c r="AF141" s="1580"/>
      <c r="AG141" s="1009">
        <f t="shared" si="42"/>
        <v>0</v>
      </c>
      <c r="AH141" s="1009">
        <f t="shared" si="43"/>
        <v>1</v>
      </c>
      <c r="AI141" s="1908">
        <f t="shared" si="49"/>
        <v>1</v>
      </c>
    </row>
    <row r="142" spans="1:37" ht="42.75" hidden="1" customHeight="1" x14ac:dyDescent="0.25">
      <c r="A142" s="1677" t="s">
        <v>2816</v>
      </c>
      <c r="B142" s="1677" t="s">
        <v>2816</v>
      </c>
      <c r="C142" s="1674" t="s">
        <v>2235</v>
      </c>
      <c r="D142" s="1608" t="s">
        <v>1709</v>
      </c>
      <c r="E142" s="1588" t="s">
        <v>2267</v>
      </c>
      <c r="F142" s="1588" t="s">
        <v>1354</v>
      </c>
      <c r="G142" s="1636"/>
      <c r="H142" s="1664">
        <v>804</v>
      </c>
      <c r="I142" s="1613">
        <f>H142-72</f>
        <v>732</v>
      </c>
      <c r="J142" s="1747"/>
      <c r="K142" s="1747"/>
      <c r="L142" s="1747"/>
      <c r="M142" s="1747"/>
      <c r="N142" s="1648"/>
      <c r="O142" s="1747"/>
      <c r="P142" s="1666"/>
      <c r="Q142" s="1748"/>
      <c r="R142" s="1747"/>
      <c r="S142" s="1747"/>
      <c r="T142" s="1665"/>
      <c r="U142" s="1623"/>
      <c r="V142" s="1747">
        <v>500</v>
      </c>
      <c r="W142" s="1747"/>
      <c r="X142" s="1665">
        <f t="shared" si="61"/>
        <v>500</v>
      </c>
      <c r="Y142" s="1623">
        <f t="shared" si="62"/>
        <v>500</v>
      </c>
      <c r="Z142" s="1665">
        <v>610</v>
      </c>
      <c r="AA142" s="1623">
        <v>610</v>
      </c>
      <c r="AB142" s="1623"/>
      <c r="AC142" s="1623"/>
      <c r="AD142" s="1591">
        <f t="shared" si="56"/>
        <v>610</v>
      </c>
      <c r="AE142" s="1623">
        <f t="shared" si="60"/>
        <v>610</v>
      </c>
      <c r="AF142" s="1580"/>
      <c r="AG142" s="1009">
        <f t="shared" si="42"/>
        <v>0</v>
      </c>
      <c r="AH142" s="1009">
        <f t="shared" si="43"/>
        <v>1</v>
      </c>
      <c r="AI142" s="1908">
        <f t="shared" si="49"/>
        <v>1</v>
      </c>
    </row>
    <row r="143" spans="1:37" ht="42.75" hidden="1" customHeight="1" x14ac:dyDescent="0.25">
      <c r="A143" s="1677" t="s">
        <v>2817</v>
      </c>
      <c r="B143" s="1677" t="s">
        <v>2817</v>
      </c>
      <c r="C143" s="1645" t="s">
        <v>2236</v>
      </c>
      <c r="D143" s="1608" t="s">
        <v>1709</v>
      </c>
      <c r="E143" s="1588" t="s">
        <v>2268</v>
      </c>
      <c r="F143" s="1588" t="s">
        <v>1354</v>
      </c>
      <c r="G143" s="1636"/>
      <c r="H143" s="1664">
        <v>1719</v>
      </c>
      <c r="I143" s="1613">
        <f>H143-119</f>
        <v>1600</v>
      </c>
      <c r="J143" s="1747"/>
      <c r="K143" s="1747"/>
      <c r="L143" s="1747"/>
      <c r="M143" s="1747"/>
      <c r="N143" s="1648"/>
      <c r="O143" s="1747"/>
      <c r="P143" s="1666"/>
      <c r="Q143" s="1748"/>
      <c r="R143" s="1747"/>
      <c r="S143" s="1747"/>
      <c r="T143" s="1665"/>
      <c r="U143" s="1623"/>
      <c r="V143" s="1747">
        <v>1000</v>
      </c>
      <c r="W143" s="1747"/>
      <c r="X143" s="1665">
        <f t="shared" si="61"/>
        <v>1000</v>
      </c>
      <c r="Y143" s="1623">
        <f t="shared" si="62"/>
        <v>1000</v>
      </c>
      <c r="Z143" s="1665">
        <v>1400</v>
      </c>
      <c r="AA143" s="1623">
        <v>1400</v>
      </c>
      <c r="AB143" s="1623"/>
      <c r="AC143" s="1623"/>
      <c r="AD143" s="1591">
        <f t="shared" si="56"/>
        <v>1400</v>
      </c>
      <c r="AE143" s="1623">
        <f t="shared" si="60"/>
        <v>1400</v>
      </c>
      <c r="AF143" s="1580"/>
      <c r="AG143" s="1009">
        <f t="shared" si="42"/>
        <v>0</v>
      </c>
      <c r="AH143" s="1009">
        <f t="shared" si="43"/>
        <v>1</v>
      </c>
      <c r="AI143" s="1908">
        <f t="shared" si="49"/>
        <v>1</v>
      </c>
    </row>
    <row r="144" spans="1:37" ht="42.75" hidden="1" customHeight="1" x14ac:dyDescent="0.25">
      <c r="A144" s="1677" t="s">
        <v>2818</v>
      </c>
      <c r="B144" s="1677" t="s">
        <v>2818</v>
      </c>
      <c r="C144" s="1645" t="s">
        <v>2237</v>
      </c>
      <c r="D144" s="1608" t="s">
        <v>1806</v>
      </c>
      <c r="E144" s="1608" t="s">
        <v>2269</v>
      </c>
      <c r="F144" s="1588" t="s">
        <v>1354</v>
      </c>
      <c r="G144" s="1636"/>
      <c r="H144" s="1664">
        <v>3162</v>
      </c>
      <c r="I144" s="1613">
        <f>H144-211</f>
        <v>2951</v>
      </c>
      <c r="J144" s="1747"/>
      <c r="K144" s="1747"/>
      <c r="L144" s="1747"/>
      <c r="M144" s="1747"/>
      <c r="N144" s="1648"/>
      <c r="O144" s="1747"/>
      <c r="P144" s="1666"/>
      <c r="Q144" s="1748"/>
      <c r="R144" s="1747"/>
      <c r="S144" s="1747"/>
      <c r="T144" s="1665"/>
      <c r="U144" s="1623"/>
      <c r="V144" s="1747">
        <v>1900</v>
      </c>
      <c r="W144" s="1747"/>
      <c r="X144" s="1665">
        <f t="shared" si="61"/>
        <v>1900</v>
      </c>
      <c r="Y144" s="1623">
        <f t="shared" si="62"/>
        <v>1900</v>
      </c>
      <c r="Z144" s="1665">
        <v>2650</v>
      </c>
      <c r="AA144" s="1623">
        <v>2650</v>
      </c>
      <c r="AB144" s="1623"/>
      <c r="AC144" s="1623"/>
      <c r="AD144" s="1591">
        <f t="shared" si="56"/>
        <v>2650</v>
      </c>
      <c r="AE144" s="1623">
        <f t="shared" si="60"/>
        <v>2650</v>
      </c>
      <c r="AF144" s="1580"/>
      <c r="AG144" s="1009">
        <f t="shared" ref="AG144:AG208" si="64">IF(AE144-AA144=0,0,1)</f>
        <v>0</v>
      </c>
      <c r="AH144" s="1009">
        <f t="shared" si="43"/>
        <v>1</v>
      </c>
      <c r="AI144" s="1908">
        <f t="shared" si="49"/>
        <v>1</v>
      </c>
    </row>
    <row r="145" spans="1:35" ht="42.75" hidden="1" customHeight="1" x14ac:dyDescent="0.25">
      <c r="A145" s="1677" t="s">
        <v>2819</v>
      </c>
      <c r="B145" s="1677" t="s">
        <v>2819</v>
      </c>
      <c r="C145" s="1645" t="s">
        <v>2238</v>
      </c>
      <c r="D145" s="1608" t="s">
        <v>1806</v>
      </c>
      <c r="E145" s="1608" t="s">
        <v>2270</v>
      </c>
      <c r="F145" s="1588" t="s">
        <v>1354</v>
      </c>
      <c r="G145" s="1636"/>
      <c r="H145" s="1664">
        <v>3424</v>
      </c>
      <c r="I145" s="1613">
        <f>H145-226</f>
        <v>3198</v>
      </c>
      <c r="J145" s="1747"/>
      <c r="K145" s="1747"/>
      <c r="L145" s="1747"/>
      <c r="M145" s="1747"/>
      <c r="N145" s="1648"/>
      <c r="O145" s="1747"/>
      <c r="P145" s="1666"/>
      <c r="Q145" s="1748"/>
      <c r="R145" s="1747"/>
      <c r="S145" s="1747"/>
      <c r="T145" s="1665"/>
      <c r="U145" s="1623"/>
      <c r="V145" s="1747">
        <v>2000</v>
      </c>
      <c r="W145" s="1747"/>
      <c r="X145" s="1665">
        <f t="shared" si="61"/>
        <v>2000</v>
      </c>
      <c r="Y145" s="1623">
        <f t="shared" si="62"/>
        <v>2000</v>
      </c>
      <c r="Z145" s="1665">
        <v>2950</v>
      </c>
      <c r="AA145" s="1623">
        <v>2950</v>
      </c>
      <c r="AB145" s="1623"/>
      <c r="AC145" s="1623"/>
      <c r="AD145" s="1591">
        <f t="shared" si="56"/>
        <v>2950</v>
      </c>
      <c r="AE145" s="1623">
        <f t="shared" si="60"/>
        <v>2950</v>
      </c>
      <c r="AF145" s="1580"/>
      <c r="AG145" s="1009">
        <f t="shared" si="64"/>
        <v>0</v>
      </c>
      <c r="AH145" s="1009">
        <f t="shared" ref="AH145:AH249" si="65">IF(Y145=0,0,1)</f>
        <v>1</v>
      </c>
      <c r="AI145" s="1908">
        <f t="shared" si="49"/>
        <v>1</v>
      </c>
    </row>
    <row r="146" spans="1:35" ht="42.75" hidden="1" customHeight="1" x14ac:dyDescent="0.25">
      <c r="A146" s="1677" t="s">
        <v>2820</v>
      </c>
      <c r="B146" s="1677" t="s">
        <v>2820</v>
      </c>
      <c r="C146" s="1645" t="s">
        <v>2239</v>
      </c>
      <c r="D146" s="1608" t="s">
        <v>1806</v>
      </c>
      <c r="E146" s="1608" t="s">
        <v>2271</v>
      </c>
      <c r="F146" s="1588" t="s">
        <v>1354</v>
      </c>
      <c r="G146" s="1636"/>
      <c r="H146" s="1664">
        <v>2529</v>
      </c>
      <c r="I146" s="1613">
        <f>H146-205</f>
        <v>2324</v>
      </c>
      <c r="J146" s="1747"/>
      <c r="K146" s="1747"/>
      <c r="L146" s="1747"/>
      <c r="M146" s="1747"/>
      <c r="N146" s="1648"/>
      <c r="O146" s="1747"/>
      <c r="P146" s="1666"/>
      <c r="Q146" s="1748"/>
      <c r="R146" s="1747"/>
      <c r="S146" s="1747"/>
      <c r="T146" s="1665"/>
      <c r="U146" s="1623"/>
      <c r="V146" s="1747">
        <v>1500</v>
      </c>
      <c r="W146" s="1747"/>
      <c r="X146" s="1665">
        <f t="shared" si="61"/>
        <v>1500</v>
      </c>
      <c r="Y146" s="1623">
        <f t="shared" si="62"/>
        <v>1500</v>
      </c>
      <c r="Z146" s="1665">
        <v>2100</v>
      </c>
      <c r="AA146" s="1623">
        <v>2100</v>
      </c>
      <c r="AB146" s="1623"/>
      <c r="AC146" s="1623"/>
      <c r="AD146" s="1591">
        <f t="shared" si="56"/>
        <v>2100</v>
      </c>
      <c r="AE146" s="1623">
        <f t="shared" si="60"/>
        <v>2100</v>
      </c>
      <c r="AF146" s="1580"/>
      <c r="AG146" s="1009">
        <f t="shared" si="64"/>
        <v>0</v>
      </c>
      <c r="AH146" s="1009">
        <f t="shared" si="65"/>
        <v>1</v>
      </c>
      <c r="AI146" s="1908">
        <f t="shared" si="49"/>
        <v>1</v>
      </c>
    </row>
    <row r="147" spans="1:35" ht="42.75" hidden="1" customHeight="1" x14ac:dyDescent="0.25">
      <c r="A147" s="1677" t="s">
        <v>2821</v>
      </c>
      <c r="B147" s="1677" t="s">
        <v>2821</v>
      </c>
      <c r="C147" s="1645" t="s">
        <v>2240</v>
      </c>
      <c r="D147" s="1608" t="s">
        <v>1806</v>
      </c>
      <c r="E147" s="1608" t="s">
        <v>2272</v>
      </c>
      <c r="F147" s="1588" t="s">
        <v>1354</v>
      </c>
      <c r="G147" s="1636"/>
      <c r="H147" s="1664">
        <v>905</v>
      </c>
      <c r="I147" s="1613">
        <f>H147-15</f>
        <v>890</v>
      </c>
      <c r="J147" s="1747"/>
      <c r="K147" s="1747"/>
      <c r="L147" s="1747"/>
      <c r="M147" s="1747"/>
      <c r="N147" s="1648"/>
      <c r="O147" s="1747"/>
      <c r="P147" s="1666"/>
      <c r="Q147" s="1748"/>
      <c r="R147" s="1747"/>
      <c r="S147" s="1747"/>
      <c r="T147" s="1665"/>
      <c r="U147" s="1623"/>
      <c r="V147" s="1747">
        <v>500</v>
      </c>
      <c r="W147" s="1747"/>
      <c r="X147" s="1665">
        <f t="shared" si="61"/>
        <v>500</v>
      </c>
      <c r="Y147" s="1623">
        <f t="shared" si="62"/>
        <v>500</v>
      </c>
      <c r="Z147" s="1665">
        <v>770</v>
      </c>
      <c r="AA147" s="1623">
        <v>770</v>
      </c>
      <c r="AB147" s="1623"/>
      <c r="AC147" s="1623"/>
      <c r="AD147" s="1591">
        <f t="shared" si="56"/>
        <v>770</v>
      </c>
      <c r="AE147" s="1623">
        <f t="shared" si="60"/>
        <v>770</v>
      </c>
      <c r="AF147" s="1580"/>
      <c r="AG147" s="1009">
        <f t="shared" si="64"/>
        <v>0</v>
      </c>
      <c r="AH147" s="1009">
        <f t="shared" si="65"/>
        <v>1</v>
      </c>
      <c r="AI147" s="1908">
        <f t="shared" si="49"/>
        <v>1</v>
      </c>
    </row>
    <row r="148" spans="1:35" ht="42.75" hidden="1" customHeight="1" x14ac:dyDescent="0.25">
      <c r="A148" s="1677" t="s">
        <v>2822</v>
      </c>
      <c r="B148" s="1677" t="s">
        <v>2822</v>
      </c>
      <c r="C148" s="1645" t="s">
        <v>2241</v>
      </c>
      <c r="D148" s="1608" t="s">
        <v>1806</v>
      </c>
      <c r="E148" s="1608" t="s">
        <v>2273</v>
      </c>
      <c r="F148" s="1588" t="s">
        <v>1354</v>
      </c>
      <c r="G148" s="1636"/>
      <c r="H148" s="1664">
        <v>1058</v>
      </c>
      <c r="I148" s="1613">
        <f>H148-101</f>
        <v>957</v>
      </c>
      <c r="J148" s="1747"/>
      <c r="K148" s="1747"/>
      <c r="L148" s="1747"/>
      <c r="M148" s="1747"/>
      <c r="N148" s="1648"/>
      <c r="O148" s="1747"/>
      <c r="P148" s="1666"/>
      <c r="Q148" s="1748"/>
      <c r="R148" s="1747"/>
      <c r="S148" s="1747"/>
      <c r="T148" s="1665"/>
      <c r="U148" s="1623"/>
      <c r="V148" s="1747">
        <v>600</v>
      </c>
      <c r="W148" s="1747"/>
      <c r="X148" s="1665">
        <f t="shared" si="61"/>
        <v>600</v>
      </c>
      <c r="Y148" s="1623">
        <f t="shared" si="62"/>
        <v>600</v>
      </c>
      <c r="Z148" s="1665">
        <v>850</v>
      </c>
      <c r="AA148" s="1623">
        <v>850</v>
      </c>
      <c r="AB148" s="1623"/>
      <c r="AC148" s="1623"/>
      <c r="AD148" s="1591">
        <f t="shared" si="56"/>
        <v>850</v>
      </c>
      <c r="AE148" s="1623">
        <f t="shared" si="60"/>
        <v>850</v>
      </c>
      <c r="AF148" s="1580"/>
      <c r="AG148" s="1009">
        <f t="shared" si="64"/>
        <v>0</v>
      </c>
      <c r="AH148" s="1009">
        <f t="shared" si="65"/>
        <v>1</v>
      </c>
      <c r="AI148" s="1908">
        <f t="shared" si="49"/>
        <v>1</v>
      </c>
    </row>
    <row r="149" spans="1:35" ht="42.75" hidden="1" customHeight="1" x14ac:dyDescent="0.25">
      <c r="A149" s="1677" t="s">
        <v>2823</v>
      </c>
      <c r="B149" s="1677" t="s">
        <v>2823</v>
      </c>
      <c r="C149" s="1645" t="s">
        <v>2242</v>
      </c>
      <c r="D149" s="1608" t="s">
        <v>1713</v>
      </c>
      <c r="E149" s="1608" t="s">
        <v>2274</v>
      </c>
      <c r="F149" s="1588" t="s">
        <v>1354</v>
      </c>
      <c r="G149" s="1636"/>
      <c r="H149" s="1664">
        <v>1205</v>
      </c>
      <c r="I149" s="1613">
        <f>H149-84</f>
        <v>1121</v>
      </c>
      <c r="J149" s="1747"/>
      <c r="K149" s="1747"/>
      <c r="L149" s="1747"/>
      <c r="M149" s="1747"/>
      <c r="N149" s="1648"/>
      <c r="O149" s="1747"/>
      <c r="P149" s="1666"/>
      <c r="Q149" s="1748"/>
      <c r="R149" s="1747"/>
      <c r="S149" s="1747"/>
      <c r="T149" s="1665"/>
      <c r="U149" s="1623"/>
      <c r="V149" s="1747">
        <v>700</v>
      </c>
      <c r="W149" s="1747"/>
      <c r="X149" s="1665">
        <f t="shared" si="61"/>
        <v>700</v>
      </c>
      <c r="Y149" s="1623">
        <f t="shared" si="62"/>
        <v>700</v>
      </c>
      <c r="Z149" s="1665">
        <v>960</v>
      </c>
      <c r="AA149" s="1623">
        <v>960</v>
      </c>
      <c r="AB149" s="1623"/>
      <c r="AC149" s="1623"/>
      <c r="AD149" s="1591">
        <f t="shared" si="56"/>
        <v>960</v>
      </c>
      <c r="AE149" s="1623">
        <f t="shared" si="60"/>
        <v>960</v>
      </c>
      <c r="AF149" s="1580"/>
      <c r="AG149" s="1009">
        <f t="shared" si="64"/>
        <v>0</v>
      </c>
      <c r="AH149" s="1009">
        <f t="shared" si="65"/>
        <v>1</v>
      </c>
      <c r="AI149" s="1908">
        <f t="shared" si="49"/>
        <v>1</v>
      </c>
    </row>
    <row r="150" spans="1:35" ht="42.75" hidden="1" customHeight="1" x14ac:dyDescent="0.25">
      <c r="A150" s="1677" t="s">
        <v>2824</v>
      </c>
      <c r="B150" s="1677" t="s">
        <v>2824</v>
      </c>
      <c r="C150" s="1645" t="s">
        <v>2243</v>
      </c>
      <c r="D150" s="1608" t="s">
        <v>1713</v>
      </c>
      <c r="E150" s="1608" t="s">
        <v>2275</v>
      </c>
      <c r="F150" s="1588" t="s">
        <v>1354</v>
      </c>
      <c r="G150" s="1636"/>
      <c r="H150" s="1664">
        <v>1187</v>
      </c>
      <c r="I150" s="1613">
        <f>H150-82</f>
        <v>1105</v>
      </c>
      <c r="J150" s="1747"/>
      <c r="K150" s="1747"/>
      <c r="L150" s="1747"/>
      <c r="M150" s="1747"/>
      <c r="N150" s="1648"/>
      <c r="O150" s="1747"/>
      <c r="P150" s="1666"/>
      <c r="Q150" s="1748"/>
      <c r="R150" s="1747"/>
      <c r="S150" s="1747"/>
      <c r="T150" s="1665"/>
      <c r="U150" s="1623"/>
      <c r="V150" s="1747">
        <v>700</v>
      </c>
      <c r="W150" s="1747"/>
      <c r="X150" s="1665">
        <f t="shared" si="61"/>
        <v>700</v>
      </c>
      <c r="Y150" s="1623">
        <f t="shared" si="62"/>
        <v>700</v>
      </c>
      <c r="Z150" s="1665">
        <v>950</v>
      </c>
      <c r="AA150" s="1623">
        <v>950</v>
      </c>
      <c r="AB150" s="1623"/>
      <c r="AC150" s="1623"/>
      <c r="AD150" s="1591">
        <f t="shared" si="56"/>
        <v>950</v>
      </c>
      <c r="AE150" s="1623">
        <f t="shared" si="60"/>
        <v>950</v>
      </c>
      <c r="AF150" s="1580"/>
      <c r="AG150" s="1009">
        <f t="shared" si="64"/>
        <v>0</v>
      </c>
      <c r="AH150" s="1009">
        <f t="shared" si="65"/>
        <v>1</v>
      </c>
      <c r="AI150" s="1908">
        <f t="shared" si="49"/>
        <v>1</v>
      </c>
    </row>
    <row r="151" spans="1:35" ht="39.75" hidden="1" customHeight="1" x14ac:dyDescent="0.25">
      <c r="A151" s="1677" t="s">
        <v>3222</v>
      </c>
      <c r="B151" s="1677" t="s">
        <v>3222</v>
      </c>
      <c r="C151" s="1645" t="s">
        <v>2244</v>
      </c>
      <c r="D151" s="1608" t="s">
        <v>1713</v>
      </c>
      <c r="E151" s="1608" t="s">
        <v>2276</v>
      </c>
      <c r="F151" s="1588" t="s">
        <v>1354</v>
      </c>
      <c r="G151" s="1636"/>
      <c r="H151" s="1664">
        <v>3215</v>
      </c>
      <c r="I151" s="1613">
        <f>H151-223</f>
        <v>2992</v>
      </c>
      <c r="J151" s="1747"/>
      <c r="K151" s="1747"/>
      <c r="L151" s="1747"/>
      <c r="M151" s="1747"/>
      <c r="N151" s="1648"/>
      <c r="O151" s="1747"/>
      <c r="P151" s="1666"/>
      <c r="Q151" s="1748"/>
      <c r="R151" s="1747"/>
      <c r="S151" s="1747"/>
      <c r="T151" s="1665"/>
      <c r="U151" s="1623"/>
      <c r="V151" s="1747">
        <v>1900</v>
      </c>
      <c r="W151" s="1747"/>
      <c r="X151" s="1665">
        <f t="shared" si="61"/>
        <v>1900</v>
      </c>
      <c r="Y151" s="1623">
        <f t="shared" si="62"/>
        <v>1900</v>
      </c>
      <c r="Z151" s="1665">
        <v>2740</v>
      </c>
      <c r="AA151" s="1623">
        <v>2740</v>
      </c>
      <c r="AB151" s="1623"/>
      <c r="AC151" s="1623"/>
      <c r="AD151" s="1591">
        <f t="shared" si="56"/>
        <v>2740</v>
      </c>
      <c r="AE151" s="1623">
        <f t="shared" si="60"/>
        <v>2740</v>
      </c>
      <c r="AF151" s="1580"/>
      <c r="AG151" s="1009">
        <f t="shared" si="64"/>
        <v>0</v>
      </c>
      <c r="AH151" s="1009">
        <f t="shared" si="65"/>
        <v>1</v>
      </c>
      <c r="AI151" s="1908">
        <f t="shared" si="49"/>
        <v>1</v>
      </c>
    </row>
    <row r="152" spans="1:35" ht="39.75" hidden="1" customHeight="1" x14ac:dyDescent="0.25">
      <c r="A152" s="1677" t="s">
        <v>3223</v>
      </c>
      <c r="B152" s="1677" t="s">
        <v>3223</v>
      </c>
      <c r="C152" s="1645" t="s">
        <v>2245</v>
      </c>
      <c r="D152" s="1608" t="s">
        <v>1713</v>
      </c>
      <c r="E152" s="1608" t="s">
        <v>2277</v>
      </c>
      <c r="F152" s="1588" t="s">
        <v>1354</v>
      </c>
      <c r="G152" s="1636"/>
      <c r="H152" s="1664">
        <v>2928</v>
      </c>
      <c r="I152" s="1613">
        <f>H152-203</f>
        <v>2725</v>
      </c>
      <c r="J152" s="1747"/>
      <c r="K152" s="1747"/>
      <c r="L152" s="1747"/>
      <c r="M152" s="1747"/>
      <c r="N152" s="1648"/>
      <c r="O152" s="1747"/>
      <c r="P152" s="1666"/>
      <c r="Q152" s="1748"/>
      <c r="R152" s="1747"/>
      <c r="S152" s="1747"/>
      <c r="T152" s="1665"/>
      <c r="U152" s="1623"/>
      <c r="V152" s="1747">
        <v>1700</v>
      </c>
      <c r="W152" s="1747"/>
      <c r="X152" s="1665">
        <f t="shared" si="61"/>
        <v>1700</v>
      </c>
      <c r="Y152" s="1623">
        <f t="shared" si="62"/>
        <v>1700</v>
      </c>
      <c r="Z152" s="1665">
        <v>2350</v>
      </c>
      <c r="AA152" s="1623">
        <v>2350</v>
      </c>
      <c r="AB152" s="1623"/>
      <c r="AC152" s="1623"/>
      <c r="AD152" s="1591">
        <f t="shared" si="56"/>
        <v>2350</v>
      </c>
      <c r="AE152" s="1623">
        <f t="shared" si="60"/>
        <v>2350</v>
      </c>
      <c r="AF152" s="1580"/>
      <c r="AG152" s="1009">
        <f t="shared" si="64"/>
        <v>0</v>
      </c>
      <c r="AH152" s="1009">
        <f t="shared" si="65"/>
        <v>1</v>
      </c>
      <c r="AI152" s="1908">
        <f t="shared" si="49"/>
        <v>1</v>
      </c>
    </row>
    <row r="153" spans="1:35" ht="39.75" hidden="1" customHeight="1" x14ac:dyDescent="0.25">
      <c r="A153" s="1677" t="s">
        <v>3224</v>
      </c>
      <c r="B153" s="1677" t="s">
        <v>3224</v>
      </c>
      <c r="C153" s="1645" t="s">
        <v>2246</v>
      </c>
      <c r="D153" s="1608" t="s">
        <v>1713</v>
      </c>
      <c r="E153" s="1608" t="s">
        <v>2278</v>
      </c>
      <c r="F153" s="1588" t="s">
        <v>1354</v>
      </c>
      <c r="G153" s="1636"/>
      <c r="H153" s="1664">
        <v>1623</v>
      </c>
      <c r="I153" s="1613">
        <f>H153-154</f>
        <v>1469</v>
      </c>
      <c r="J153" s="1747"/>
      <c r="K153" s="1747"/>
      <c r="L153" s="1747"/>
      <c r="M153" s="1747"/>
      <c r="N153" s="1648"/>
      <c r="O153" s="1747"/>
      <c r="P153" s="1666"/>
      <c r="Q153" s="1748"/>
      <c r="R153" s="1747"/>
      <c r="S153" s="1747"/>
      <c r="T153" s="1665"/>
      <c r="U153" s="1623"/>
      <c r="V153" s="1747">
        <v>1000</v>
      </c>
      <c r="W153" s="1747"/>
      <c r="X153" s="1665">
        <f t="shared" si="61"/>
        <v>1000</v>
      </c>
      <c r="Y153" s="1623">
        <f t="shared" si="62"/>
        <v>1000</v>
      </c>
      <c r="Z153" s="1665">
        <v>1300</v>
      </c>
      <c r="AA153" s="1623">
        <v>1300</v>
      </c>
      <c r="AB153" s="1623"/>
      <c r="AC153" s="1623"/>
      <c r="AD153" s="1591">
        <f t="shared" si="56"/>
        <v>1300</v>
      </c>
      <c r="AE153" s="1623">
        <f t="shared" si="60"/>
        <v>1300</v>
      </c>
      <c r="AF153" s="1580"/>
      <c r="AG153" s="1009">
        <f t="shared" si="64"/>
        <v>0</v>
      </c>
      <c r="AH153" s="1009">
        <f t="shared" si="65"/>
        <v>1</v>
      </c>
      <c r="AI153" s="1908">
        <f t="shared" si="49"/>
        <v>1</v>
      </c>
    </row>
    <row r="154" spans="1:35" ht="42" hidden="1" customHeight="1" x14ac:dyDescent="0.25">
      <c r="A154" s="1677" t="s">
        <v>3225</v>
      </c>
      <c r="B154" s="1677" t="s">
        <v>3225</v>
      </c>
      <c r="C154" s="1645" t="s">
        <v>2247</v>
      </c>
      <c r="D154" s="1608" t="s">
        <v>1713</v>
      </c>
      <c r="E154" s="1608" t="s">
        <v>2279</v>
      </c>
      <c r="F154" s="1588" t="s">
        <v>1354</v>
      </c>
      <c r="G154" s="1636"/>
      <c r="H154" s="1664">
        <v>4792</v>
      </c>
      <c r="I154" s="1613">
        <f>H154-333</f>
        <v>4459</v>
      </c>
      <c r="J154" s="1747"/>
      <c r="K154" s="1747"/>
      <c r="L154" s="1747"/>
      <c r="M154" s="1747"/>
      <c r="N154" s="1648"/>
      <c r="O154" s="1747"/>
      <c r="P154" s="1666"/>
      <c r="Q154" s="1748"/>
      <c r="R154" s="1747"/>
      <c r="S154" s="1747"/>
      <c r="T154" s="1665"/>
      <c r="U154" s="1623"/>
      <c r="V154" s="1747">
        <v>2900</v>
      </c>
      <c r="W154" s="1747"/>
      <c r="X154" s="1665">
        <f t="shared" si="61"/>
        <v>2900</v>
      </c>
      <c r="Y154" s="1623">
        <f t="shared" si="62"/>
        <v>2900</v>
      </c>
      <c r="Z154" s="1665">
        <v>4100</v>
      </c>
      <c r="AA154" s="1623">
        <v>4100</v>
      </c>
      <c r="AB154" s="1623"/>
      <c r="AC154" s="1623"/>
      <c r="AD154" s="1591">
        <f t="shared" si="56"/>
        <v>4100</v>
      </c>
      <c r="AE154" s="1623">
        <f t="shared" si="60"/>
        <v>4100</v>
      </c>
      <c r="AF154" s="1580"/>
      <c r="AG154" s="1009">
        <f t="shared" si="64"/>
        <v>0</v>
      </c>
      <c r="AH154" s="1009">
        <f t="shared" si="65"/>
        <v>1</v>
      </c>
      <c r="AI154" s="1908">
        <f t="shared" si="49"/>
        <v>1</v>
      </c>
    </row>
    <row r="155" spans="1:35" ht="39.75" hidden="1" customHeight="1" x14ac:dyDescent="0.25">
      <c r="A155" s="1677" t="s">
        <v>3226</v>
      </c>
      <c r="B155" s="1677" t="s">
        <v>3226</v>
      </c>
      <c r="C155" s="1645" t="s">
        <v>2248</v>
      </c>
      <c r="D155" s="1608" t="s">
        <v>1713</v>
      </c>
      <c r="E155" s="1608" t="s">
        <v>2280</v>
      </c>
      <c r="F155" s="1588" t="s">
        <v>1354</v>
      </c>
      <c r="G155" s="1636"/>
      <c r="H155" s="1664">
        <v>4007</v>
      </c>
      <c r="I155" s="1613">
        <f>H155-278</f>
        <v>3729</v>
      </c>
      <c r="J155" s="1747"/>
      <c r="K155" s="1747"/>
      <c r="L155" s="1747"/>
      <c r="M155" s="1747"/>
      <c r="N155" s="1648"/>
      <c r="O155" s="1747"/>
      <c r="P155" s="1666"/>
      <c r="Q155" s="1748"/>
      <c r="R155" s="1747"/>
      <c r="S155" s="1747"/>
      <c r="T155" s="1665"/>
      <c r="U155" s="1623"/>
      <c r="V155" s="1747">
        <v>2400</v>
      </c>
      <c r="W155" s="1747"/>
      <c r="X155" s="1665">
        <f t="shared" si="61"/>
        <v>2400</v>
      </c>
      <c r="Y155" s="1623">
        <f t="shared" si="62"/>
        <v>2400</v>
      </c>
      <c r="Z155" s="1665">
        <v>3000</v>
      </c>
      <c r="AA155" s="1623">
        <v>3000</v>
      </c>
      <c r="AB155" s="1623"/>
      <c r="AC155" s="1623"/>
      <c r="AD155" s="1591">
        <f t="shared" si="56"/>
        <v>3000</v>
      </c>
      <c r="AE155" s="1623">
        <f t="shared" si="60"/>
        <v>3000</v>
      </c>
      <c r="AF155" s="1580"/>
      <c r="AG155" s="1009">
        <f t="shared" si="64"/>
        <v>0</v>
      </c>
      <c r="AH155" s="1009">
        <f t="shared" si="65"/>
        <v>1</v>
      </c>
      <c r="AI155" s="1908">
        <f t="shared" si="49"/>
        <v>1</v>
      </c>
    </row>
    <row r="156" spans="1:35" ht="51.75" hidden="1" customHeight="1" x14ac:dyDescent="0.25">
      <c r="A156" s="1677" t="s">
        <v>3227</v>
      </c>
      <c r="B156" s="1677" t="s">
        <v>3227</v>
      </c>
      <c r="C156" s="1645" t="s">
        <v>2249</v>
      </c>
      <c r="D156" s="1608" t="s">
        <v>1713</v>
      </c>
      <c r="E156" s="1608" t="s">
        <v>2281</v>
      </c>
      <c r="F156" s="1588" t="s">
        <v>1354</v>
      </c>
      <c r="G156" s="1636"/>
      <c r="H156" s="1664">
        <v>4130</v>
      </c>
      <c r="I156" s="1613">
        <f>H156-278</f>
        <v>3852</v>
      </c>
      <c r="J156" s="1747"/>
      <c r="K156" s="1747"/>
      <c r="L156" s="1747"/>
      <c r="M156" s="1747"/>
      <c r="N156" s="1648"/>
      <c r="O156" s="1747"/>
      <c r="P156" s="1666"/>
      <c r="Q156" s="1748"/>
      <c r="R156" s="1747"/>
      <c r="S156" s="1747"/>
      <c r="T156" s="1665"/>
      <c r="U156" s="1623"/>
      <c r="V156" s="1747">
        <v>2500</v>
      </c>
      <c r="W156" s="1747"/>
      <c r="X156" s="1665">
        <f t="shared" si="61"/>
        <v>2500</v>
      </c>
      <c r="Y156" s="1623">
        <f t="shared" si="62"/>
        <v>2500</v>
      </c>
      <c r="Z156" s="1665">
        <v>3250</v>
      </c>
      <c r="AA156" s="1623">
        <v>3250</v>
      </c>
      <c r="AB156" s="1623"/>
      <c r="AC156" s="1623"/>
      <c r="AD156" s="1591">
        <f t="shared" si="56"/>
        <v>3250</v>
      </c>
      <c r="AE156" s="1623">
        <f t="shared" si="60"/>
        <v>3250</v>
      </c>
      <c r="AF156" s="1580"/>
      <c r="AG156" s="1009">
        <f t="shared" si="64"/>
        <v>0</v>
      </c>
      <c r="AH156" s="1009">
        <f t="shared" si="65"/>
        <v>1</v>
      </c>
      <c r="AI156" s="1908">
        <f t="shared" si="49"/>
        <v>1</v>
      </c>
    </row>
    <row r="157" spans="1:35" ht="39.75" hidden="1" customHeight="1" x14ac:dyDescent="0.25">
      <c r="A157" s="1677" t="s">
        <v>3228</v>
      </c>
      <c r="B157" s="1677" t="s">
        <v>3228</v>
      </c>
      <c r="C157" s="1645" t="s">
        <v>2250</v>
      </c>
      <c r="D157" s="1608" t="s">
        <v>1713</v>
      </c>
      <c r="E157" s="1608" t="s">
        <v>2282</v>
      </c>
      <c r="F157" s="1588" t="s">
        <v>1354</v>
      </c>
      <c r="G157" s="1636"/>
      <c r="H157" s="1664">
        <v>1189</v>
      </c>
      <c r="I157" s="1613">
        <f>H157-83</f>
        <v>1106</v>
      </c>
      <c r="J157" s="1747"/>
      <c r="K157" s="1747"/>
      <c r="L157" s="1747"/>
      <c r="M157" s="1747"/>
      <c r="N157" s="1648"/>
      <c r="O157" s="1747"/>
      <c r="P157" s="1666"/>
      <c r="Q157" s="1748"/>
      <c r="R157" s="1747"/>
      <c r="S157" s="1747"/>
      <c r="T157" s="1665"/>
      <c r="U157" s="1623"/>
      <c r="V157" s="1747">
        <v>700</v>
      </c>
      <c r="W157" s="1747"/>
      <c r="X157" s="1665">
        <f t="shared" si="61"/>
        <v>700</v>
      </c>
      <c r="Y157" s="1623">
        <f t="shared" si="62"/>
        <v>700</v>
      </c>
      <c r="Z157" s="1665">
        <v>970</v>
      </c>
      <c r="AA157" s="1623">
        <v>970</v>
      </c>
      <c r="AB157" s="1623"/>
      <c r="AC157" s="1623"/>
      <c r="AD157" s="1591">
        <f t="shared" si="56"/>
        <v>970</v>
      </c>
      <c r="AE157" s="1623">
        <f t="shared" si="60"/>
        <v>970</v>
      </c>
      <c r="AF157" s="1580"/>
      <c r="AG157" s="1009">
        <f t="shared" si="64"/>
        <v>0</v>
      </c>
      <c r="AH157" s="1009">
        <f t="shared" si="65"/>
        <v>1</v>
      </c>
      <c r="AI157" s="1908">
        <f t="shared" si="49"/>
        <v>1</v>
      </c>
    </row>
    <row r="158" spans="1:35" ht="39.75" hidden="1" customHeight="1" x14ac:dyDescent="0.25">
      <c r="A158" s="1677" t="s">
        <v>3229</v>
      </c>
      <c r="B158" s="1677" t="s">
        <v>3229</v>
      </c>
      <c r="C158" s="1645" t="s">
        <v>2251</v>
      </c>
      <c r="D158" s="1608" t="s">
        <v>1713</v>
      </c>
      <c r="E158" s="1608" t="s">
        <v>2283</v>
      </c>
      <c r="F158" s="1588" t="s">
        <v>1354</v>
      </c>
      <c r="G158" s="1636"/>
      <c r="H158" s="1664">
        <v>1469</v>
      </c>
      <c r="I158" s="1613">
        <f>H158-102</f>
        <v>1367</v>
      </c>
      <c r="J158" s="1747"/>
      <c r="K158" s="1747"/>
      <c r="L158" s="1747"/>
      <c r="M158" s="1747"/>
      <c r="N158" s="1648"/>
      <c r="O158" s="1747"/>
      <c r="P158" s="1666"/>
      <c r="Q158" s="1748"/>
      <c r="R158" s="1747"/>
      <c r="S158" s="1747"/>
      <c r="T158" s="1665"/>
      <c r="U158" s="1623"/>
      <c r="V158" s="1747">
        <v>900</v>
      </c>
      <c r="W158" s="1747"/>
      <c r="X158" s="1665">
        <f t="shared" si="61"/>
        <v>900</v>
      </c>
      <c r="Y158" s="1623">
        <f t="shared" si="62"/>
        <v>900</v>
      </c>
      <c r="Z158" s="1665">
        <v>1200</v>
      </c>
      <c r="AA158" s="1623">
        <v>1200</v>
      </c>
      <c r="AB158" s="1623"/>
      <c r="AC158" s="1623"/>
      <c r="AD158" s="1591">
        <f t="shared" si="56"/>
        <v>1200</v>
      </c>
      <c r="AE158" s="1623">
        <f t="shared" si="60"/>
        <v>1200</v>
      </c>
      <c r="AF158" s="1580"/>
      <c r="AG158" s="1009">
        <f t="shared" si="64"/>
        <v>0</v>
      </c>
      <c r="AH158" s="1009">
        <f t="shared" si="65"/>
        <v>1</v>
      </c>
      <c r="AI158" s="1908">
        <f t="shared" si="49"/>
        <v>1</v>
      </c>
    </row>
    <row r="159" spans="1:35" ht="39.75" hidden="1" customHeight="1" x14ac:dyDescent="0.25">
      <c r="A159" s="1677" t="s">
        <v>3230</v>
      </c>
      <c r="B159" s="1677" t="s">
        <v>3230</v>
      </c>
      <c r="C159" s="1645" t="s">
        <v>2252</v>
      </c>
      <c r="D159" s="1608" t="s">
        <v>1713</v>
      </c>
      <c r="E159" s="1608" t="s">
        <v>2284</v>
      </c>
      <c r="F159" s="1588" t="s">
        <v>1354</v>
      </c>
      <c r="G159" s="1636"/>
      <c r="H159" s="1664">
        <v>6368</v>
      </c>
      <c r="I159" s="1613">
        <f>H159-442</f>
        <v>5926</v>
      </c>
      <c r="J159" s="1747"/>
      <c r="K159" s="1747"/>
      <c r="L159" s="1747"/>
      <c r="M159" s="1747"/>
      <c r="N159" s="1648"/>
      <c r="O159" s="1747"/>
      <c r="P159" s="1666"/>
      <c r="Q159" s="1748"/>
      <c r="R159" s="1747"/>
      <c r="S159" s="1747"/>
      <c r="T159" s="1665"/>
      <c r="U159" s="1623"/>
      <c r="V159" s="1747">
        <v>3800</v>
      </c>
      <c r="W159" s="1747"/>
      <c r="X159" s="1665">
        <f t="shared" si="61"/>
        <v>3800</v>
      </c>
      <c r="Y159" s="1623">
        <f t="shared" si="62"/>
        <v>3800</v>
      </c>
      <c r="Z159" s="1665">
        <v>5500</v>
      </c>
      <c r="AA159" s="1623">
        <v>5500</v>
      </c>
      <c r="AB159" s="1623"/>
      <c r="AC159" s="1623"/>
      <c r="AD159" s="1591">
        <f t="shared" si="56"/>
        <v>5500</v>
      </c>
      <c r="AE159" s="1623">
        <f t="shared" si="60"/>
        <v>5500</v>
      </c>
      <c r="AF159" s="1580"/>
      <c r="AG159" s="1009">
        <f t="shared" si="64"/>
        <v>0</v>
      </c>
      <c r="AH159" s="1009">
        <f t="shared" si="65"/>
        <v>1</v>
      </c>
      <c r="AI159" s="1908">
        <f t="shared" si="49"/>
        <v>1</v>
      </c>
    </row>
    <row r="160" spans="1:35" ht="56.25" hidden="1" customHeight="1" x14ac:dyDescent="0.25">
      <c r="A160" s="1677" t="s">
        <v>3231</v>
      </c>
      <c r="B160" s="1677" t="s">
        <v>3231</v>
      </c>
      <c r="C160" s="1645" t="s">
        <v>2253</v>
      </c>
      <c r="D160" s="1608" t="s">
        <v>2294</v>
      </c>
      <c r="E160" s="1608" t="s">
        <v>2285</v>
      </c>
      <c r="F160" s="1588" t="s">
        <v>1354</v>
      </c>
      <c r="G160" s="1636"/>
      <c r="H160" s="1664">
        <v>1129</v>
      </c>
      <c r="I160" s="1613">
        <f>H160-101</f>
        <v>1028</v>
      </c>
      <c r="J160" s="1747"/>
      <c r="K160" s="1747"/>
      <c r="L160" s="1747"/>
      <c r="M160" s="1747"/>
      <c r="N160" s="1648"/>
      <c r="O160" s="1747"/>
      <c r="P160" s="1666"/>
      <c r="Q160" s="1748"/>
      <c r="R160" s="1747"/>
      <c r="S160" s="1747"/>
      <c r="T160" s="1665"/>
      <c r="U160" s="1623"/>
      <c r="V160" s="1747">
        <v>700</v>
      </c>
      <c r="W160" s="1747"/>
      <c r="X160" s="1665">
        <f t="shared" si="61"/>
        <v>700</v>
      </c>
      <c r="Y160" s="1623">
        <f t="shared" si="62"/>
        <v>700</v>
      </c>
      <c r="Z160" s="1665">
        <v>900</v>
      </c>
      <c r="AA160" s="1623">
        <v>900</v>
      </c>
      <c r="AB160" s="1623"/>
      <c r="AC160" s="1623"/>
      <c r="AD160" s="1591">
        <f t="shared" si="56"/>
        <v>900</v>
      </c>
      <c r="AE160" s="1623">
        <f t="shared" si="60"/>
        <v>900</v>
      </c>
      <c r="AF160" s="1580"/>
      <c r="AG160" s="1009">
        <f t="shared" si="64"/>
        <v>0</v>
      </c>
      <c r="AH160" s="1009">
        <f t="shared" si="65"/>
        <v>1</v>
      </c>
      <c r="AI160" s="1908">
        <f t="shared" si="49"/>
        <v>1</v>
      </c>
    </row>
    <row r="161" spans="1:36" ht="75" hidden="1" customHeight="1" x14ac:dyDescent="0.25">
      <c r="A161" s="1677" t="s">
        <v>3232</v>
      </c>
      <c r="B161" s="1677" t="s">
        <v>3232</v>
      </c>
      <c r="C161" s="1645" t="s">
        <v>2254</v>
      </c>
      <c r="D161" s="1608" t="s">
        <v>2294</v>
      </c>
      <c r="E161" s="1608" t="s">
        <v>2286</v>
      </c>
      <c r="F161" s="1588" t="s">
        <v>1354</v>
      </c>
      <c r="G161" s="1636"/>
      <c r="H161" s="1664">
        <v>1133</v>
      </c>
      <c r="I161" s="1613">
        <f>H161-101</f>
        <v>1032</v>
      </c>
      <c r="J161" s="1747"/>
      <c r="K161" s="1747"/>
      <c r="L161" s="1747"/>
      <c r="M161" s="1747"/>
      <c r="N161" s="1648"/>
      <c r="O161" s="1747"/>
      <c r="P161" s="1666"/>
      <c r="Q161" s="1748"/>
      <c r="R161" s="1747"/>
      <c r="S161" s="1747"/>
      <c r="T161" s="1665"/>
      <c r="U161" s="1623"/>
      <c r="V161" s="1747">
        <v>700</v>
      </c>
      <c r="W161" s="1747"/>
      <c r="X161" s="1665">
        <f t="shared" si="61"/>
        <v>700</v>
      </c>
      <c r="Y161" s="1623">
        <f t="shared" si="62"/>
        <v>700</v>
      </c>
      <c r="Z161" s="1665">
        <v>900</v>
      </c>
      <c r="AA161" s="1623">
        <v>900</v>
      </c>
      <c r="AB161" s="1623"/>
      <c r="AC161" s="1623"/>
      <c r="AD161" s="1591">
        <f t="shared" si="56"/>
        <v>900</v>
      </c>
      <c r="AE161" s="1623">
        <f t="shared" si="60"/>
        <v>900</v>
      </c>
      <c r="AF161" s="1580"/>
      <c r="AG161" s="1009">
        <f t="shared" si="64"/>
        <v>0</v>
      </c>
      <c r="AH161" s="1009">
        <f t="shared" si="65"/>
        <v>1</v>
      </c>
      <c r="AI161" s="1908">
        <f t="shared" si="49"/>
        <v>1</v>
      </c>
    </row>
    <row r="162" spans="1:36" ht="47.25" hidden="1" customHeight="1" x14ac:dyDescent="0.25">
      <c r="A162" s="1677" t="s">
        <v>3233</v>
      </c>
      <c r="B162" s="1677" t="s">
        <v>3233</v>
      </c>
      <c r="C162" s="1645" t="s">
        <v>2255</v>
      </c>
      <c r="D162" s="1608" t="s">
        <v>2294</v>
      </c>
      <c r="E162" s="1608" t="s">
        <v>2287</v>
      </c>
      <c r="F162" s="1588" t="s">
        <v>1354</v>
      </c>
      <c r="G162" s="1636"/>
      <c r="H162" s="1664">
        <v>888</v>
      </c>
      <c r="I162" s="1613">
        <f>H162-79</f>
        <v>809</v>
      </c>
      <c r="J162" s="1747"/>
      <c r="K162" s="1747"/>
      <c r="L162" s="1747"/>
      <c r="M162" s="1747"/>
      <c r="N162" s="1648"/>
      <c r="O162" s="1747"/>
      <c r="P162" s="1666"/>
      <c r="Q162" s="1748"/>
      <c r="R162" s="1747"/>
      <c r="S162" s="1747"/>
      <c r="T162" s="1665"/>
      <c r="U162" s="1623"/>
      <c r="V162" s="1747">
        <v>500</v>
      </c>
      <c r="W162" s="1747"/>
      <c r="X162" s="1665">
        <f t="shared" si="61"/>
        <v>500</v>
      </c>
      <c r="Y162" s="1623">
        <f t="shared" si="62"/>
        <v>500</v>
      </c>
      <c r="Z162" s="1665">
        <v>700</v>
      </c>
      <c r="AA162" s="1623">
        <v>700</v>
      </c>
      <c r="AB162" s="1623"/>
      <c r="AC162" s="1623"/>
      <c r="AD162" s="1591">
        <f t="shared" si="56"/>
        <v>700</v>
      </c>
      <c r="AE162" s="1623">
        <f t="shared" si="60"/>
        <v>700</v>
      </c>
      <c r="AF162" s="1580"/>
      <c r="AG162" s="1009">
        <f t="shared" si="64"/>
        <v>0</v>
      </c>
      <c r="AH162" s="1009">
        <f t="shared" si="65"/>
        <v>1</v>
      </c>
      <c r="AI162" s="1908">
        <f t="shared" si="49"/>
        <v>1</v>
      </c>
    </row>
    <row r="163" spans="1:36" ht="66" hidden="1" customHeight="1" x14ac:dyDescent="0.25">
      <c r="A163" s="1677" t="s">
        <v>3234</v>
      </c>
      <c r="B163" s="1677"/>
      <c r="C163" s="1645" t="s">
        <v>2256</v>
      </c>
      <c r="D163" s="1608" t="s">
        <v>2294</v>
      </c>
      <c r="E163" s="1608" t="s">
        <v>2288</v>
      </c>
      <c r="F163" s="1588" t="s">
        <v>1354</v>
      </c>
      <c r="G163" s="1636"/>
      <c r="H163" s="1664">
        <v>1277</v>
      </c>
      <c r="I163" s="1613">
        <f>H163-114</f>
        <v>1163</v>
      </c>
      <c r="J163" s="1747"/>
      <c r="K163" s="1747"/>
      <c r="L163" s="1747"/>
      <c r="M163" s="1747"/>
      <c r="N163" s="1648"/>
      <c r="O163" s="1747"/>
      <c r="P163" s="1666"/>
      <c r="Q163" s="1748"/>
      <c r="R163" s="1747"/>
      <c r="S163" s="1747"/>
      <c r="T163" s="1665"/>
      <c r="U163" s="1623"/>
      <c r="V163" s="1747">
        <v>700</v>
      </c>
      <c r="W163" s="1747"/>
      <c r="X163" s="1665">
        <f t="shared" si="61"/>
        <v>700</v>
      </c>
      <c r="Y163" s="1623">
        <f t="shared" si="62"/>
        <v>700</v>
      </c>
      <c r="Z163" s="1665">
        <v>700</v>
      </c>
      <c r="AA163" s="1623">
        <v>700</v>
      </c>
      <c r="AB163" s="1623"/>
      <c r="AC163" s="1623"/>
      <c r="AD163" s="1591">
        <f t="shared" si="56"/>
        <v>700</v>
      </c>
      <c r="AE163" s="1623">
        <f t="shared" si="60"/>
        <v>700</v>
      </c>
      <c r="AF163" s="1580"/>
      <c r="AG163" s="1009">
        <f t="shared" si="64"/>
        <v>0</v>
      </c>
      <c r="AH163" s="1009">
        <f t="shared" si="65"/>
        <v>1</v>
      </c>
      <c r="AI163" s="1908">
        <f t="shared" si="49"/>
        <v>1</v>
      </c>
    </row>
    <row r="164" spans="1:36" ht="57.75" hidden="1" customHeight="1" x14ac:dyDescent="0.25">
      <c r="A164" s="1677" t="s">
        <v>3235</v>
      </c>
      <c r="B164" s="1677" t="s">
        <v>3234</v>
      </c>
      <c r="C164" s="1645" t="s">
        <v>2257</v>
      </c>
      <c r="D164" s="1608" t="s">
        <v>2295</v>
      </c>
      <c r="E164" s="1608" t="s">
        <v>2289</v>
      </c>
      <c r="F164" s="1588" t="s">
        <v>1354</v>
      </c>
      <c r="G164" s="1636"/>
      <c r="H164" s="1664">
        <v>2786</v>
      </c>
      <c r="I164" s="1613">
        <f>H164-268</f>
        <v>2518</v>
      </c>
      <c r="J164" s="1747"/>
      <c r="K164" s="1747"/>
      <c r="L164" s="1747"/>
      <c r="M164" s="1747"/>
      <c r="N164" s="1648"/>
      <c r="O164" s="1747"/>
      <c r="P164" s="1666"/>
      <c r="Q164" s="1748"/>
      <c r="R164" s="1747"/>
      <c r="S164" s="1747"/>
      <c r="T164" s="1665"/>
      <c r="U164" s="1623"/>
      <c r="V164" s="1747">
        <v>1000</v>
      </c>
      <c r="W164" s="1747"/>
      <c r="X164" s="1665">
        <f t="shared" si="61"/>
        <v>1000</v>
      </c>
      <c r="Y164" s="1623">
        <f t="shared" si="62"/>
        <v>1000</v>
      </c>
      <c r="Z164" s="1665">
        <v>1450</v>
      </c>
      <c r="AA164" s="1623">
        <v>1450</v>
      </c>
      <c r="AB164" s="1623"/>
      <c r="AC164" s="1623"/>
      <c r="AD164" s="1591">
        <f t="shared" si="56"/>
        <v>1450</v>
      </c>
      <c r="AE164" s="1623">
        <f t="shared" si="60"/>
        <v>1450</v>
      </c>
      <c r="AF164" s="1580"/>
      <c r="AG164" s="1009">
        <f t="shared" si="64"/>
        <v>0</v>
      </c>
      <c r="AH164" s="1009">
        <f t="shared" si="65"/>
        <v>1</v>
      </c>
      <c r="AI164" s="1908">
        <f t="shared" si="49"/>
        <v>1</v>
      </c>
    </row>
    <row r="165" spans="1:36" ht="68.25" hidden="1" customHeight="1" x14ac:dyDescent="0.25">
      <c r="A165" s="1677" t="s">
        <v>3236</v>
      </c>
      <c r="B165" s="1677"/>
      <c r="C165" s="1645" t="s">
        <v>2258</v>
      </c>
      <c r="D165" s="1608" t="s">
        <v>2296</v>
      </c>
      <c r="E165" s="1608" t="s">
        <v>2290</v>
      </c>
      <c r="F165" s="1588" t="s">
        <v>1354</v>
      </c>
      <c r="G165" s="1636"/>
      <c r="H165" s="1664">
        <v>1280</v>
      </c>
      <c r="I165" s="1613">
        <f>H165-123</f>
        <v>1157</v>
      </c>
      <c r="J165" s="1747"/>
      <c r="K165" s="1747"/>
      <c r="L165" s="1747"/>
      <c r="M165" s="1747"/>
      <c r="N165" s="1648"/>
      <c r="O165" s="1747"/>
      <c r="P165" s="1666"/>
      <c r="Q165" s="1748"/>
      <c r="R165" s="1747"/>
      <c r="S165" s="1747"/>
      <c r="T165" s="1665"/>
      <c r="U165" s="1623"/>
      <c r="V165" s="1747">
        <v>600</v>
      </c>
      <c r="W165" s="1747"/>
      <c r="X165" s="1665">
        <f t="shared" si="61"/>
        <v>600</v>
      </c>
      <c r="Y165" s="1623">
        <f t="shared" si="62"/>
        <v>600</v>
      </c>
      <c r="Z165" s="1665">
        <v>600</v>
      </c>
      <c r="AA165" s="1623">
        <v>600</v>
      </c>
      <c r="AB165" s="1623"/>
      <c r="AC165" s="1623"/>
      <c r="AD165" s="1591">
        <f t="shared" si="56"/>
        <v>600</v>
      </c>
      <c r="AE165" s="1623">
        <f t="shared" si="60"/>
        <v>600</v>
      </c>
      <c r="AF165" s="1580"/>
      <c r="AG165" s="1009">
        <f t="shared" si="64"/>
        <v>0</v>
      </c>
      <c r="AH165" s="1009">
        <f t="shared" si="65"/>
        <v>1</v>
      </c>
      <c r="AI165" s="1908">
        <f t="shared" si="49"/>
        <v>1</v>
      </c>
    </row>
    <row r="166" spans="1:36" ht="51" hidden="1" customHeight="1" x14ac:dyDescent="0.25">
      <c r="A166" s="1677" t="s">
        <v>3237</v>
      </c>
      <c r="B166" s="1677" t="s">
        <v>3235</v>
      </c>
      <c r="C166" s="1645" t="s">
        <v>2328</v>
      </c>
      <c r="D166" s="1608" t="s">
        <v>1246</v>
      </c>
      <c r="E166" s="1608" t="s">
        <v>2340</v>
      </c>
      <c r="F166" s="1588" t="s">
        <v>1354</v>
      </c>
      <c r="G166" s="1636"/>
      <c r="H166" s="1664">
        <v>6750</v>
      </c>
      <c r="I166" s="1613">
        <f>H166-504</f>
        <v>6246</v>
      </c>
      <c r="J166" s="1747"/>
      <c r="K166" s="1747"/>
      <c r="L166" s="1747"/>
      <c r="M166" s="1747"/>
      <c r="N166" s="1648"/>
      <c r="O166" s="1747"/>
      <c r="P166" s="1666"/>
      <c r="Q166" s="1748"/>
      <c r="R166" s="1747"/>
      <c r="S166" s="1747"/>
      <c r="T166" s="1665"/>
      <c r="U166" s="1623"/>
      <c r="V166" s="1747">
        <v>3500</v>
      </c>
      <c r="W166" s="1747"/>
      <c r="X166" s="1665">
        <f>Y166</f>
        <v>3500</v>
      </c>
      <c r="Y166" s="1623">
        <f>V166</f>
        <v>3500</v>
      </c>
      <c r="Z166" s="1665">
        <v>5700</v>
      </c>
      <c r="AA166" s="1623">
        <v>5700</v>
      </c>
      <c r="AB166" s="1623"/>
      <c r="AC166" s="1623"/>
      <c r="AD166" s="1591">
        <f t="shared" si="56"/>
        <v>5700</v>
      </c>
      <c r="AE166" s="1623">
        <f t="shared" si="60"/>
        <v>5700</v>
      </c>
      <c r="AF166" s="1580"/>
      <c r="AG166" s="1009">
        <f t="shared" si="64"/>
        <v>0</v>
      </c>
      <c r="AH166" s="1009">
        <f t="shared" si="65"/>
        <v>1</v>
      </c>
      <c r="AI166" s="1908">
        <f t="shared" si="49"/>
        <v>1</v>
      </c>
    </row>
    <row r="167" spans="1:36" ht="47.25" hidden="1" customHeight="1" x14ac:dyDescent="0.25">
      <c r="A167" s="1677" t="s">
        <v>3238</v>
      </c>
      <c r="B167" s="1677" t="s">
        <v>3236</v>
      </c>
      <c r="C167" s="1645" t="s">
        <v>2329</v>
      </c>
      <c r="D167" s="1608" t="s">
        <v>1246</v>
      </c>
      <c r="E167" s="1608" t="s">
        <v>2341</v>
      </c>
      <c r="F167" s="1588" t="s">
        <v>1354</v>
      </c>
      <c r="G167" s="1636"/>
      <c r="H167" s="1664">
        <v>5410</v>
      </c>
      <c r="I167" s="1613">
        <f>H167-361</f>
        <v>5049</v>
      </c>
      <c r="J167" s="1747"/>
      <c r="K167" s="1747"/>
      <c r="L167" s="1747"/>
      <c r="M167" s="1747"/>
      <c r="N167" s="1648"/>
      <c r="O167" s="1747"/>
      <c r="P167" s="1666"/>
      <c r="Q167" s="1748"/>
      <c r="R167" s="1747"/>
      <c r="S167" s="1747"/>
      <c r="T167" s="1665"/>
      <c r="U167" s="1623"/>
      <c r="V167" s="1747">
        <v>3500</v>
      </c>
      <c r="W167" s="1747"/>
      <c r="X167" s="1665">
        <f t="shared" ref="X167:X172" si="66">Y167</f>
        <v>3500</v>
      </c>
      <c r="Y167" s="1623">
        <v>3500</v>
      </c>
      <c r="Z167" s="1665">
        <v>4500</v>
      </c>
      <c r="AA167" s="1623">
        <v>4500</v>
      </c>
      <c r="AB167" s="1623"/>
      <c r="AC167" s="1623"/>
      <c r="AD167" s="1591">
        <f t="shared" si="56"/>
        <v>4500</v>
      </c>
      <c r="AE167" s="1623">
        <f t="shared" si="60"/>
        <v>4500</v>
      </c>
      <c r="AF167" s="1580"/>
      <c r="AG167" s="1009">
        <f t="shared" si="64"/>
        <v>0</v>
      </c>
      <c r="AH167" s="1009">
        <f t="shared" si="65"/>
        <v>1</v>
      </c>
      <c r="AI167" s="1908">
        <f t="shared" si="49"/>
        <v>1</v>
      </c>
    </row>
    <row r="168" spans="1:36" ht="56.25" hidden="1" customHeight="1" x14ac:dyDescent="0.25">
      <c r="A168" s="1677" t="s">
        <v>3239</v>
      </c>
      <c r="B168" s="1677"/>
      <c r="C168" s="1645" t="s">
        <v>2330</v>
      </c>
      <c r="D168" s="1608" t="s">
        <v>1246</v>
      </c>
      <c r="E168" s="1608" t="s">
        <v>2335</v>
      </c>
      <c r="F168" s="1588" t="s">
        <v>1354</v>
      </c>
      <c r="G168" s="1636"/>
      <c r="H168" s="1664">
        <v>1923</v>
      </c>
      <c r="I168" s="1613">
        <f>H168-172</f>
        <v>1751</v>
      </c>
      <c r="J168" s="1747"/>
      <c r="K168" s="1747"/>
      <c r="L168" s="1747"/>
      <c r="M168" s="1747"/>
      <c r="N168" s="1648"/>
      <c r="O168" s="1747"/>
      <c r="P168" s="1666"/>
      <c r="Q168" s="1748"/>
      <c r="R168" s="1747"/>
      <c r="S168" s="1747"/>
      <c r="T168" s="1665"/>
      <c r="U168" s="1623"/>
      <c r="V168" s="1747">
        <v>1400</v>
      </c>
      <c r="W168" s="1747"/>
      <c r="X168" s="1665">
        <f t="shared" si="66"/>
        <v>1400</v>
      </c>
      <c r="Y168" s="1623">
        <v>1400</v>
      </c>
      <c r="Z168" s="1665">
        <v>1400</v>
      </c>
      <c r="AA168" s="1623">
        <v>1400</v>
      </c>
      <c r="AB168" s="1623"/>
      <c r="AC168" s="1623"/>
      <c r="AD168" s="1591">
        <f t="shared" si="56"/>
        <v>1400</v>
      </c>
      <c r="AE168" s="1623">
        <f t="shared" si="60"/>
        <v>1400</v>
      </c>
      <c r="AF168" s="1580"/>
      <c r="AG168" s="1009">
        <f t="shared" si="64"/>
        <v>0</v>
      </c>
      <c r="AH168" s="1009">
        <f t="shared" si="65"/>
        <v>1</v>
      </c>
      <c r="AI168" s="1908">
        <f t="shared" si="49"/>
        <v>1</v>
      </c>
    </row>
    <row r="169" spans="1:36" ht="58.5" hidden="1" customHeight="1" x14ac:dyDescent="0.25">
      <c r="A169" s="1677" t="s">
        <v>3240</v>
      </c>
      <c r="B169" s="1677"/>
      <c r="C169" s="1645" t="s">
        <v>2331</v>
      </c>
      <c r="D169" s="1608" t="s">
        <v>1246</v>
      </c>
      <c r="E169" s="1608" t="s">
        <v>2336</v>
      </c>
      <c r="F169" s="1588" t="s">
        <v>1354</v>
      </c>
      <c r="G169" s="1636"/>
      <c r="H169" s="1664">
        <f t="shared" ref="H169:H172" si="67">I169</f>
        <v>4100</v>
      </c>
      <c r="I169" s="1613">
        <v>4100</v>
      </c>
      <c r="J169" s="1747"/>
      <c r="K169" s="1747"/>
      <c r="L169" s="1747"/>
      <c r="M169" s="1747"/>
      <c r="N169" s="1648"/>
      <c r="O169" s="1747"/>
      <c r="P169" s="1666"/>
      <c r="Q169" s="1748"/>
      <c r="R169" s="1747"/>
      <c r="S169" s="1747"/>
      <c r="T169" s="1665"/>
      <c r="U169" s="1623"/>
      <c r="V169" s="1747">
        <v>2500</v>
      </c>
      <c r="W169" s="1747"/>
      <c r="X169" s="1665">
        <f t="shared" si="66"/>
        <v>2500</v>
      </c>
      <c r="Y169" s="1623">
        <v>2500</v>
      </c>
      <c r="Z169" s="1665">
        <v>2500</v>
      </c>
      <c r="AA169" s="1623">
        <v>2500</v>
      </c>
      <c r="AB169" s="1623"/>
      <c r="AC169" s="1623"/>
      <c r="AD169" s="1591">
        <f t="shared" si="56"/>
        <v>2500</v>
      </c>
      <c r="AE169" s="1623">
        <f t="shared" si="60"/>
        <v>2500</v>
      </c>
      <c r="AF169" s="1580"/>
      <c r="AG169" s="1009">
        <f t="shared" si="64"/>
        <v>0</v>
      </c>
      <c r="AH169" s="1009">
        <f t="shared" si="65"/>
        <v>1</v>
      </c>
      <c r="AI169" s="1908">
        <f t="shared" si="49"/>
        <v>1</v>
      </c>
    </row>
    <row r="170" spans="1:36" ht="126" hidden="1" customHeight="1" x14ac:dyDescent="0.25">
      <c r="A170" s="1677" t="s">
        <v>3241</v>
      </c>
      <c r="B170" s="1677" t="s">
        <v>3237</v>
      </c>
      <c r="C170" s="1645" t="s">
        <v>2757</v>
      </c>
      <c r="D170" s="1608" t="s">
        <v>1246</v>
      </c>
      <c r="E170" s="1608" t="s">
        <v>2337</v>
      </c>
      <c r="F170" s="1588" t="s">
        <v>1354</v>
      </c>
      <c r="G170" s="1636" t="s">
        <v>3464</v>
      </c>
      <c r="H170" s="1664">
        <f t="shared" si="67"/>
        <v>5506</v>
      </c>
      <c r="I170" s="1613">
        <v>5506</v>
      </c>
      <c r="J170" s="1747"/>
      <c r="K170" s="1747"/>
      <c r="L170" s="1747"/>
      <c r="M170" s="1747"/>
      <c r="N170" s="1648"/>
      <c r="O170" s="1747"/>
      <c r="P170" s="1666"/>
      <c r="Q170" s="1748"/>
      <c r="R170" s="1747"/>
      <c r="S170" s="1747"/>
      <c r="T170" s="1665"/>
      <c r="U170" s="1623"/>
      <c r="V170" s="1747">
        <v>1500</v>
      </c>
      <c r="W170" s="1747"/>
      <c r="X170" s="1665">
        <f t="shared" si="66"/>
        <v>1500</v>
      </c>
      <c r="Y170" s="1623">
        <v>1500</v>
      </c>
      <c r="Z170" s="1665">
        <v>4500</v>
      </c>
      <c r="AA170" s="1623">
        <v>4500</v>
      </c>
      <c r="AB170" s="1623"/>
      <c r="AC170" s="1623"/>
      <c r="AD170" s="1591">
        <f t="shared" si="56"/>
        <v>4500</v>
      </c>
      <c r="AE170" s="1623">
        <f t="shared" si="60"/>
        <v>4500</v>
      </c>
      <c r="AF170" s="1580"/>
      <c r="AG170" s="1009">
        <f t="shared" si="64"/>
        <v>0</v>
      </c>
      <c r="AH170" s="1009">
        <f t="shared" si="65"/>
        <v>1</v>
      </c>
      <c r="AI170" s="1908">
        <f t="shared" si="49"/>
        <v>1</v>
      </c>
    </row>
    <row r="171" spans="1:36" ht="99" hidden="1" x14ac:dyDescent="0.25">
      <c r="A171" s="1677" t="s">
        <v>3242</v>
      </c>
      <c r="B171" s="1677" t="s">
        <v>3238</v>
      </c>
      <c r="C171" s="1645" t="s">
        <v>2332</v>
      </c>
      <c r="D171" s="1608" t="s">
        <v>1246</v>
      </c>
      <c r="E171" s="1608" t="s">
        <v>2338</v>
      </c>
      <c r="F171" s="1588" t="s">
        <v>1354</v>
      </c>
      <c r="G171" s="1636" t="s">
        <v>3466</v>
      </c>
      <c r="H171" s="1664">
        <f t="shared" si="67"/>
        <v>3672</v>
      </c>
      <c r="I171" s="1613">
        <v>3672</v>
      </c>
      <c r="J171" s="1747"/>
      <c r="K171" s="1747"/>
      <c r="L171" s="1747"/>
      <c r="M171" s="1747"/>
      <c r="N171" s="1648"/>
      <c r="O171" s="1747"/>
      <c r="P171" s="1666"/>
      <c r="Q171" s="1748"/>
      <c r="R171" s="1747"/>
      <c r="S171" s="1747"/>
      <c r="T171" s="1665"/>
      <c r="U171" s="1623"/>
      <c r="V171" s="1747">
        <v>1600</v>
      </c>
      <c r="W171" s="1747"/>
      <c r="X171" s="1665">
        <f t="shared" si="66"/>
        <v>1600</v>
      </c>
      <c r="Y171" s="1623">
        <v>1600</v>
      </c>
      <c r="Z171" s="1665">
        <v>2800</v>
      </c>
      <c r="AA171" s="1623">
        <v>2800</v>
      </c>
      <c r="AB171" s="1623"/>
      <c r="AC171" s="1623"/>
      <c r="AD171" s="1591">
        <f t="shared" si="56"/>
        <v>2800</v>
      </c>
      <c r="AE171" s="1623">
        <f t="shared" si="60"/>
        <v>2800</v>
      </c>
      <c r="AF171" s="1580"/>
      <c r="AG171" s="1009">
        <f t="shared" si="64"/>
        <v>0</v>
      </c>
      <c r="AH171" s="1009">
        <f t="shared" si="65"/>
        <v>1</v>
      </c>
      <c r="AI171" s="1908">
        <f t="shared" si="49"/>
        <v>1</v>
      </c>
    </row>
    <row r="172" spans="1:36" ht="53.25" hidden="1" customHeight="1" x14ac:dyDescent="0.25">
      <c r="A172" s="1677" t="s">
        <v>3243</v>
      </c>
      <c r="B172" s="1677" t="s">
        <v>3239</v>
      </c>
      <c r="C172" s="1645" t="s">
        <v>2333</v>
      </c>
      <c r="D172" s="1608" t="s">
        <v>1246</v>
      </c>
      <c r="E172" s="1608" t="s">
        <v>2339</v>
      </c>
      <c r="F172" s="1588" t="s">
        <v>1354</v>
      </c>
      <c r="G172" s="1636"/>
      <c r="H172" s="1664">
        <f t="shared" si="67"/>
        <v>2700</v>
      </c>
      <c r="I172" s="1613">
        <v>2700</v>
      </c>
      <c r="J172" s="1747"/>
      <c r="K172" s="1747"/>
      <c r="L172" s="1747"/>
      <c r="M172" s="1747"/>
      <c r="N172" s="1648"/>
      <c r="O172" s="1747"/>
      <c r="P172" s="1666"/>
      <c r="Q172" s="1748"/>
      <c r="R172" s="1747"/>
      <c r="S172" s="1747"/>
      <c r="T172" s="1665"/>
      <c r="U172" s="1623"/>
      <c r="V172" s="1747">
        <v>1700</v>
      </c>
      <c r="W172" s="1747"/>
      <c r="X172" s="1665">
        <f t="shared" si="66"/>
        <v>1700</v>
      </c>
      <c r="Y172" s="1623">
        <v>1700</v>
      </c>
      <c r="Z172" s="1665">
        <v>2200</v>
      </c>
      <c r="AA172" s="1623">
        <v>2200</v>
      </c>
      <c r="AB172" s="1623"/>
      <c r="AC172" s="1623"/>
      <c r="AD172" s="1591">
        <f t="shared" si="56"/>
        <v>2200</v>
      </c>
      <c r="AE172" s="1623">
        <f t="shared" si="60"/>
        <v>2200</v>
      </c>
      <c r="AF172" s="1580"/>
      <c r="AG172" s="1009">
        <f t="shared" si="64"/>
        <v>0</v>
      </c>
      <c r="AH172" s="1009">
        <f t="shared" si="65"/>
        <v>1</v>
      </c>
      <c r="AI172" s="1908">
        <f t="shared" si="49"/>
        <v>1</v>
      </c>
    </row>
    <row r="173" spans="1:36" ht="72" hidden="1" customHeight="1" x14ac:dyDescent="0.25">
      <c r="A173" s="1677" t="s">
        <v>3244</v>
      </c>
      <c r="B173" s="1677" t="s">
        <v>3240</v>
      </c>
      <c r="C173" s="1645" t="s">
        <v>2763</v>
      </c>
      <c r="D173" s="1914" t="s">
        <v>1709</v>
      </c>
      <c r="E173" s="1608" t="s">
        <v>2764</v>
      </c>
      <c r="F173" s="1608" t="s">
        <v>1354</v>
      </c>
      <c r="G173" s="1608" t="s">
        <v>2765</v>
      </c>
      <c r="H173" s="1837">
        <v>9999</v>
      </c>
      <c r="I173" s="1837">
        <v>9999</v>
      </c>
      <c r="J173" s="1747"/>
      <c r="K173" s="1747"/>
      <c r="L173" s="1747"/>
      <c r="M173" s="1747"/>
      <c r="N173" s="1648"/>
      <c r="O173" s="1747"/>
      <c r="P173" s="1666"/>
      <c r="Q173" s="1748"/>
      <c r="R173" s="1747"/>
      <c r="S173" s="1747"/>
      <c r="T173" s="1665"/>
      <c r="U173" s="1623"/>
      <c r="V173" s="1747"/>
      <c r="W173" s="1747"/>
      <c r="X173" s="1665"/>
      <c r="Y173" s="1623"/>
      <c r="Z173" s="1665">
        <v>9000</v>
      </c>
      <c r="AA173" s="1623">
        <v>7000</v>
      </c>
      <c r="AB173" s="1623"/>
      <c r="AC173" s="1623"/>
      <c r="AD173" s="1591">
        <v>9000</v>
      </c>
      <c r="AE173" s="1623">
        <v>7000</v>
      </c>
      <c r="AF173" s="1580" t="s">
        <v>2766</v>
      </c>
      <c r="AG173" s="1009">
        <f t="shared" si="64"/>
        <v>0</v>
      </c>
      <c r="AH173" s="1009"/>
      <c r="AI173" s="1908"/>
    </row>
    <row r="174" spans="1:36" ht="28.5" hidden="1" customHeight="1" x14ac:dyDescent="0.25">
      <c r="A174" s="1594">
        <v>2</v>
      </c>
      <c r="B174" s="1594">
        <v>2</v>
      </c>
      <c r="C174" s="1595" t="s">
        <v>1114</v>
      </c>
      <c r="D174" s="1596"/>
      <c r="E174" s="1594"/>
      <c r="F174" s="1594"/>
      <c r="G174" s="1597"/>
      <c r="H174" s="1598">
        <f t="shared" ref="H174:X174" si="68">H175+H183</f>
        <v>505021</v>
      </c>
      <c r="I174" s="1598">
        <f t="shared" si="68"/>
        <v>459229</v>
      </c>
      <c r="J174" s="1598">
        <f t="shared" si="68"/>
        <v>10500</v>
      </c>
      <c r="K174" s="1598">
        <f t="shared" si="68"/>
        <v>10500</v>
      </c>
      <c r="L174" s="1598">
        <f t="shared" si="68"/>
        <v>10500</v>
      </c>
      <c r="M174" s="1598">
        <f t="shared" si="68"/>
        <v>10500</v>
      </c>
      <c r="N174" s="1598">
        <f t="shared" si="68"/>
        <v>190000</v>
      </c>
      <c r="O174" s="1598">
        <f t="shared" si="68"/>
        <v>190000</v>
      </c>
      <c r="P174" s="1598">
        <f t="shared" si="68"/>
        <v>192073</v>
      </c>
      <c r="Q174" s="1598">
        <f t="shared" si="68"/>
        <v>192073</v>
      </c>
      <c r="R174" s="1598">
        <f t="shared" si="68"/>
        <v>40000</v>
      </c>
      <c r="S174" s="1598">
        <f t="shared" si="68"/>
        <v>40000</v>
      </c>
      <c r="T174" s="1598">
        <f t="shared" si="68"/>
        <v>190000</v>
      </c>
      <c r="U174" s="1598">
        <f t="shared" si="68"/>
        <v>190000</v>
      </c>
      <c r="V174" s="1598">
        <f t="shared" si="68"/>
        <v>119100</v>
      </c>
      <c r="W174" s="1598">
        <f t="shared" si="68"/>
        <v>23015</v>
      </c>
      <c r="X174" s="1598">
        <f t="shared" si="68"/>
        <v>286685</v>
      </c>
      <c r="Y174" s="1598">
        <f>Y175+Y183</f>
        <v>286085</v>
      </c>
      <c r="Z174" s="1598">
        <v>309334</v>
      </c>
      <c r="AA174" s="1598">
        <v>309334</v>
      </c>
      <c r="AB174" s="1598"/>
      <c r="AC174" s="1595"/>
      <c r="AD174" s="1598">
        <f t="shared" ref="AD174" si="69">AD175+AD183</f>
        <v>309334</v>
      </c>
      <c r="AE174" s="1598">
        <f>AE175+AE183</f>
        <v>309334</v>
      </c>
      <c r="AF174" s="1599"/>
      <c r="AG174" s="1009">
        <f t="shared" si="64"/>
        <v>0</v>
      </c>
      <c r="AH174" s="1009">
        <f t="shared" si="65"/>
        <v>1</v>
      </c>
      <c r="AI174" s="1908">
        <f t="shared" ref="AI174:AI237" si="70">IF(I174-Y174&gt;=0,1,0)</f>
        <v>1</v>
      </c>
      <c r="AJ174" s="1908"/>
    </row>
    <row r="175" spans="1:36" ht="51.75" hidden="1" x14ac:dyDescent="0.25">
      <c r="A175" s="1600" t="s">
        <v>2825</v>
      </c>
      <c r="B175" s="1600"/>
      <c r="C175" s="1602" t="s">
        <v>46</v>
      </c>
      <c r="D175" s="1603"/>
      <c r="E175" s="1603"/>
      <c r="F175" s="1603"/>
      <c r="G175" s="1603"/>
      <c r="H175" s="1604">
        <f t="shared" ref="H175:Y175" si="71">H176</f>
        <v>17774</v>
      </c>
      <c r="I175" s="1604">
        <f t="shared" si="71"/>
        <v>17774</v>
      </c>
      <c r="J175" s="1604">
        <f t="shared" si="71"/>
        <v>10500</v>
      </c>
      <c r="K175" s="1604">
        <f t="shared" si="71"/>
        <v>10500</v>
      </c>
      <c r="L175" s="1604">
        <f t="shared" si="71"/>
        <v>10500</v>
      </c>
      <c r="M175" s="1604">
        <f t="shared" si="71"/>
        <v>10500</v>
      </c>
      <c r="N175" s="1604">
        <f t="shared" si="71"/>
        <v>4370</v>
      </c>
      <c r="O175" s="1604">
        <f t="shared" si="71"/>
        <v>4370</v>
      </c>
      <c r="P175" s="1604">
        <f t="shared" si="71"/>
        <v>4370</v>
      </c>
      <c r="Q175" s="1604">
        <f t="shared" si="71"/>
        <v>4370</v>
      </c>
      <c r="R175" s="1604">
        <f t="shared" si="71"/>
        <v>0</v>
      </c>
      <c r="S175" s="1604">
        <f t="shared" si="71"/>
        <v>0</v>
      </c>
      <c r="T175" s="1604">
        <f t="shared" si="71"/>
        <v>4370</v>
      </c>
      <c r="U175" s="1604">
        <f t="shared" si="71"/>
        <v>4370</v>
      </c>
      <c r="V175" s="1604">
        <f t="shared" si="71"/>
        <v>0</v>
      </c>
      <c r="W175" s="1604">
        <f t="shared" si="71"/>
        <v>0</v>
      </c>
      <c r="X175" s="1604">
        <f t="shared" si="71"/>
        <v>4370</v>
      </c>
      <c r="Y175" s="1604">
        <f t="shared" si="71"/>
        <v>4370</v>
      </c>
      <c r="Z175" s="1604">
        <v>4370</v>
      </c>
      <c r="AA175" s="1604">
        <v>4370</v>
      </c>
      <c r="AB175" s="1604"/>
      <c r="AC175" s="1604"/>
      <c r="AD175" s="1604">
        <f t="shared" ref="AD175:AE175" si="72">AD176</f>
        <v>4370</v>
      </c>
      <c r="AE175" s="1604">
        <f t="shared" si="72"/>
        <v>4370</v>
      </c>
      <c r="AF175" s="1604"/>
      <c r="AG175" s="1009">
        <f t="shared" si="64"/>
        <v>0</v>
      </c>
      <c r="AH175" s="1009">
        <f t="shared" si="65"/>
        <v>1</v>
      </c>
      <c r="AI175" s="1908">
        <f t="shared" si="70"/>
        <v>1</v>
      </c>
    </row>
    <row r="176" spans="1:36" ht="34.5" hidden="1" x14ac:dyDescent="0.25">
      <c r="A176" s="1601"/>
      <c r="B176" s="1601"/>
      <c r="C176" s="1602" t="s">
        <v>48</v>
      </c>
      <c r="D176" s="1603"/>
      <c r="E176" s="1603"/>
      <c r="F176" s="1603"/>
      <c r="G176" s="1603"/>
      <c r="H176" s="1604">
        <f t="shared" ref="H176:Y176" si="73">SUM(H179:H182)</f>
        <v>17774</v>
      </c>
      <c r="I176" s="1604">
        <f t="shared" si="73"/>
        <v>17774</v>
      </c>
      <c r="J176" s="1604">
        <f t="shared" si="73"/>
        <v>10500</v>
      </c>
      <c r="K176" s="1604">
        <f t="shared" si="73"/>
        <v>10500</v>
      </c>
      <c r="L176" s="1604">
        <f t="shared" si="73"/>
        <v>10500</v>
      </c>
      <c r="M176" s="1604">
        <f t="shared" si="73"/>
        <v>10500</v>
      </c>
      <c r="N176" s="1604">
        <f t="shared" si="73"/>
        <v>4370</v>
      </c>
      <c r="O176" s="1604">
        <f t="shared" si="73"/>
        <v>4370</v>
      </c>
      <c r="P176" s="1604">
        <f t="shared" si="73"/>
        <v>4370</v>
      </c>
      <c r="Q176" s="1604">
        <f t="shared" si="73"/>
        <v>4370</v>
      </c>
      <c r="R176" s="1604">
        <f t="shared" si="73"/>
        <v>0</v>
      </c>
      <c r="S176" s="1604">
        <f t="shared" si="73"/>
        <v>0</v>
      </c>
      <c r="T176" s="1604">
        <f t="shared" si="73"/>
        <v>4370</v>
      </c>
      <c r="U176" s="1604">
        <f t="shared" si="73"/>
        <v>4370</v>
      </c>
      <c r="V176" s="1604">
        <f t="shared" si="73"/>
        <v>0</v>
      </c>
      <c r="W176" s="1604">
        <f t="shared" si="73"/>
        <v>0</v>
      </c>
      <c r="X176" s="1604">
        <f t="shared" si="73"/>
        <v>4370</v>
      </c>
      <c r="Y176" s="1604">
        <f t="shared" si="73"/>
        <v>4370</v>
      </c>
      <c r="Z176" s="1604">
        <v>4370</v>
      </c>
      <c r="AA176" s="1604">
        <v>4370</v>
      </c>
      <c r="AB176" s="1604"/>
      <c r="AC176" s="1604"/>
      <c r="AD176" s="1604">
        <f t="shared" ref="AD176:AE176" si="74">SUM(AD179:AD182)</f>
        <v>4370</v>
      </c>
      <c r="AE176" s="1604">
        <f t="shared" si="74"/>
        <v>4370</v>
      </c>
      <c r="AF176" s="1606"/>
      <c r="AG176" s="1009">
        <f t="shared" si="64"/>
        <v>0</v>
      </c>
      <c r="AH176" s="1009">
        <f t="shared" si="65"/>
        <v>1</v>
      </c>
      <c r="AI176" s="1908">
        <f t="shared" si="70"/>
        <v>1</v>
      </c>
    </row>
    <row r="177" spans="1:37" ht="17.25" hidden="1" x14ac:dyDescent="0.25">
      <c r="A177" s="1601"/>
      <c r="B177" s="1601"/>
      <c r="C177" s="1602" t="s">
        <v>49</v>
      </c>
      <c r="D177" s="1743"/>
      <c r="E177" s="1743"/>
      <c r="F177" s="1743"/>
      <c r="G177" s="1743"/>
      <c r="H177" s="1744"/>
      <c r="I177" s="1744"/>
      <c r="J177" s="1744"/>
      <c r="K177" s="1744"/>
      <c r="L177" s="1744"/>
      <c r="M177" s="1744"/>
      <c r="N177" s="1744"/>
      <c r="O177" s="1744"/>
      <c r="P177" s="1745"/>
      <c r="Q177" s="1745"/>
      <c r="R177" s="1591" t="e">
        <f>IF(#REF!&gt;0,#REF!,0)</f>
        <v>#REF!</v>
      </c>
      <c r="S177" s="1591" t="e">
        <f>IF(#REF!&lt;0,-#REF!,0)</f>
        <v>#REF!</v>
      </c>
      <c r="T177" s="1739"/>
      <c r="U177" s="1739"/>
      <c r="V177" s="1591"/>
      <c r="W177" s="1591"/>
      <c r="X177" s="1739"/>
      <c r="Y177" s="1739"/>
      <c r="Z177" s="1739"/>
      <c r="AA177" s="1739"/>
      <c r="AB177" s="1739"/>
      <c r="AC177" s="1739"/>
      <c r="AD177" s="1739"/>
      <c r="AE177" s="1739"/>
      <c r="AF177" s="1681"/>
      <c r="AG177" s="1009">
        <f t="shared" si="64"/>
        <v>0</v>
      </c>
      <c r="AH177" s="1009">
        <f t="shared" si="65"/>
        <v>0</v>
      </c>
      <c r="AI177" s="1908">
        <f t="shared" si="70"/>
        <v>1</v>
      </c>
    </row>
    <row r="178" spans="1:37" ht="70.5" hidden="1" customHeight="1" x14ac:dyDescent="0.25">
      <c r="A178" s="1601" t="s">
        <v>2826</v>
      </c>
      <c r="B178" s="1601"/>
      <c r="C178" s="1746" t="s">
        <v>50</v>
      </c>
      <c r="D178" s="1603"/>
      <c r="E178" s="1603"/>
      <c r="F178" s="1603"/>
      <c r="G178" s="1603"/>
      <c r="H178" s="1604"/>
      <c r="I178" s="1604"/>
      <c r="J178" s="1604"/>
      <c r="K178" s="1604"/>
      <c r="L178" s="1604"/>
      <c r="M178" s="1604"/>
      <c r="N178" s="1604"/>
      <c r="O178" s="1604"/>
      <c r="P178" s="1605"/>
      <c r="Q178" s="1605"/>
      <c r="R178" s="1591" t="e">
        <f>IF(#REF!&gt;0,#REF!,0)</f>
        <v>#REF!</v>
      </c>
      <c r="S178" s="1591" t="e">
        <f>IF(#REF!&lt;0,-#REF!,0)</f>
        <v>#REF!</v>
      </c>
      <c r="T178" s="1741"/>
      <c r="U178" s="1741"/>
      <c r="V178" s="1591"/>
      <c r="W178" s="1591"/>
      <c r="X178" s="1741"/>
      <c r="Y178" s="1741"/>
      <c r="Z178" s="1741"/>
      <c r="AA178" s="1741"/>
      <c r="AB178" s="1741"/>
      <c r="AC178" s="1741"/>
      <c r="AD178" s="1741"/>
      <c r="AE178" s="1741"/>
      <c r="AF178" s="1606"/>
      <c r="AG178" s="1009">
        <f t="shared" si="64"/>
        <v>0</v>
      </c>
      <c r="AH178" s="1009">
        <f t="shared" si="65"/>
        <v>0</v>
      </c>
      <c r="AI178" s="1908">
        <f t="shared" si="70"/>
        <v>1</v>
      </c>
    </row>
    <row r="179" spans="1:37" ht="49.5" hidden="1" x14ac:dyDescent="0.25">
      <c r="A179" s="1610" t="s">
        <v>2827</v>
      </c>
      <c r="B179" s="1610"/>
      <c r="C179" s="1621" t="s">
        <v>1708</v>
      </c>
      <c r="D179" s="1610" t="s">
        <v>1206</v>
      </c>
      <c r="E179" s="1757" t="s">
        <v>1707</v>
      </c>
      <c r="F179" s="1758">
        <v>2015</v>
      </c>
      <c r="G179" s="1588" t="s">
        <v>1706</v>
      </c>
      <c r="H179" s="1759">
        <v>5957</v>
      </c>
      <c r="I179" s="1613">
        <f>H179</f>
        <v>5957</v>
      </c>
      <c r="J179" s="1759">
        <v>3500</v>
      </c>
      <c r="K179" s="1747">
        <f>J179</f>
        <v>3500</v>
      </c>
      <c r="L179" s="1759">
        <v>3500</v>
      </c>
      <c r="M179" s="1747">
        <f>L179</f>
        <v>3500</v>
      </c>
      <c r="N179" s="1759">
        <f>O179</f>
        <v>1030</v>
      </c>
      <c r="O179" s="1759">
        <v>1030</v>
      </c>
      <c r="P179" s="1748">
        <f>Q179</f>
        <v>1030</v>
      </c>
      <c r="Q179" s="1760">
        <v>1030</v>
      </c>
      <c r="R179" s="1591"/>
      <c r="S179" s="1591"/>
      <c r="T179" s="1623">
        <f>U179</f>
        <v>1030</v>
      </c>
      <c r="U179" s="1625">
        <v>1030</v>
      </c>
      <c r="V179" s="1591"/>
      <c r="W179" s="1591"/>
      <c r="X179" s="1623">
        <f>Y179</f>
        <v>1030</v>
      </c>
      <c r="Y179" s="1625">
        <v>1030</v>
      </c>
      <c r="Z179" s="1623">
        <v>1030</v>
      </c>
      <c r="AA179" s="1625">
        <v>1030</v>
      </c>
      <c r="AB179" s="1625"/>
      <c r="AC179" s="1625"/>
      <c r="AD179" s="1623">
        <f>AE179</f>
        <v>1030</v>
      </c>
      <c r="AE179" s="1623">
        <f>AA179+AB179+AC179</f>
        <v>1030</v>
      </c>
      <c r="AF179" s="1580"/>
      <c r="AG179" s="1009">
        <f t="shared" si="64"/>
        <v>0</v>
      </c>
      <c r="AH179" s="1009">
        <f t="shared" si="65"/>
        <v>1</v>
      </c>
      <c r="AI179" s="1908">
        <f t="shared" si="70"/>
        <v>1</v>
      </c>
    </row>
    <row r="180" spans="1:37" ht="57.75" hidden="1" customHeight="1" x14ac:dyDescent="0.25">
      <c r="A180" s="1610" t="s">
        <v>2828</v>
      </c>
      <c r="B180" s="1610"/>
      <c r="C180" s="1621" t="s">
        <v>1705</v>
      </c>
      <c r="D180" s="1610" t="s">
        <v>1206</v>
      </c>
      <c r="E180" s="1588" t="s">
        <v>1704</v>
      </c>
      <c r="F180" s="1758">
        <v>2015</v>
      </c>
      <c r="G180" s="1608" t="s">
        <v>1703</v>
      </c>
      <c r="H180" s="1759">
        <v>2448</v>
      </c>
      <c r="I180" s="1613">
        <f>H180</f>
        <v>2448</v>
      </c>
      <c r="J180" s="1759">
        <v>1500</v>
      </c>
      <c r="K180" s="1747">
        <f>J180</f>
        <v>1500</v>
      </c>
      <c r="L180" s="1759">
        <v>1500</v>
      </c>
      <c r="M180" s="1747">
        <f>L180</f>
        <v>1500</v>
      </c>
      <c r="N180" s="1759">
        <f>O180</f>
        <v>500</v>
      </c>
      <c r="O180" s="1759">
        <v>500</v>
      </c>
      <c r="P180" s="1748">
        <f>Q180</f>
        <v>500</v>
      </c>
      <c r="Q180" s="1760">
        <v>500</v>
      </c>
      <c r="R180" s="1591"/>
      <c r="S180" s="1591"/>
      <c r="T180" s="1623">
        <f>U180</f>
        <v>500</v>
      </c>
      <c r="U180" s="1625">
        <v>500</v>
      </c>
      <c r="V180" s="1591"/>
      <c r="W180" s="1591"/>
      <c r="X180" s="1623">
        <f>Y180</f>
        <v>500</v>
      </c>
      <c r="Y180" s="1625">
        <v>500</v>
      </c>
      <c r="Z180" s="1623">
        <v>500</v>
      </c>
      <c r="AA180" s="1625">
        <v>500</v>
      </c>
      <c r="AB180" s="1625"/>
      <c r="AC180" s="1625"/>
      <c r="AD180" s="1623">
        <f t="shared" ref="AD180:AD182" si="75">AE180</f>
        <v>500</v>
      </c>
      <c r="AE180" s="1623">
        <f>AA180+AB180+AC180</f>
        <v>500</v>
      </c>
      <c r="AF180" s="1580"/>
      <c r="AG180" s="1009">
        <f t="shared" si="64"/>
        <v>0</v>
      </c>
      <c r="AH180" s="1009">
        <f t="shared" si="65"/>
        <v>1</v>
      </c>
      <c r="AI180" s="1908">
        <f t="shared" si="70"/>
        <v>1</v>
      </c>
    </row>
    <row r="181" spans="1:37" ht="53.25" hidden="1" customHeight="1" x14ac:dyDescent="0.25">
      <c r="A181" s="1610" t="s">
        <v>2829</v>
      </c>
      <c r="B181" s="1610"/>
      <c r="C181" s="1761" t="s">
        <v>1702</v>
      </c>
      <c r="D181" s="1610" t="s">
        <v>1206</v>
      </c>
      <c r="E181" s="1610" t="s">
        <v>1701</v>
      </c>
      <c r="F181" s="1758">
        <v>2015</v>
      </c>
      <c r="G181" s="1608" t="s">
        <v>1700</v>
      </c>
      <c r="H181" s="1759">
        <v>3528</v>
      </c>
      <c r="I181" s="1613">
        <f>H181</f>
        <v>3528</v>
      </c>
      <c r="J181" s="1759">
        <v>2000</v>
      </c>
      <c r="K181" s="1747">
        <f>J181</f>
        <v>2000</v>
      </c>
      <c r="L181" s="1759">
        <v>2000</v>
      </c>
      <c r="M181" s="1747">
        <f>L181</f>
        <v>2000</v>
      </c>
      <c r="N181" s="1759">
        <f>O181</f>
        <v>1390</v>
      </c>
      <c r="O181" s="1759">
        <v>1390</v>
      </c>
      <c r="P181" s="1748">
        <f>Q181</f>
        <v>1390</v>
      </c>
      <c r="Q181" s="1760">
        <v>1390</v>
      </c>
      <c r="R181" s="1591"/>
      <c r="S181" s="1591"/>
      <c r="T181" s="1623">
        <f>U181</f>
        <v>1390</v>
      </c>
      <c r="U181" s="1625">
        <v>1390</v>
      </c>
      <c r="V181" s="1591"/>
      <c r="W181" s="1591"/>
      <c r="X181" s="1623">
        <f>Y181</f>
        <v>1390</v>
      </c>
      <c r="Y181" s="1625">
        <v>1390</v>
      </c>
      <c r="Z181" s="1623">
        <v>1390</v>
      </c>
      <c r="AA181" s="1625">
        <v>1390</v>
      </c>
      <c r="AB181" s="1625"/>
      <c r="AC181" s="1625"/>
      <c r="AD181" s="1623">
        <f t="shared" si="75"/>
        <v>1390</v>
      </c>
      <c r="AE181" s="1623">
        <f>AA181+AB181+AC181</f>
        <v>1390</v>
      </c>
      <c r="AF181" s="1580"/>
      <c r="AG181" s="1009">
        <f t="shared" si="64"/>
        <v>0</v>
      </c>
      <c r="AH181" s="1009">
        <f t="shared" si="65"/>
        <v>1</v>
      </c>
      <c r="AI181" s="1908">
        <f t="shared" si="70"/>
        <v>1</v>
      </c>
    </row>
    <row r="182" spans="1:37" ht="53.25" hidden="1" customHeight="1" x14ac:dyDescent="0.25">
      <c r="A182" s="1610" t="s">
        <v>3245</v>
      </c>
      <c r="B182" s="1610"/>
      <c r="C182" s="1761" t="s">
        <v>1699</v>
      </c>
      <c r="D182" s="1610" t="s">
        <v>1206</v>
      </c>
      <c r="E182" s="1607" t="s">
        <v>1698</v>
      </c>
      <c r="F182" s="1758">
        <v>2015</v>
      </c>
      <c r="G182" s="1588" t="s">
        <v>1697</v>
      </c>
      <c r="H182" s="1759">
        <v>5841</v>
      </c>
      <c r="I182" s="1613">
        <f>H182</f>
        <v>5841</v>
      </c>
      <c r="J182" s="1759">
        <v>3500</v>
      </c>
      <c r="K182" s="1747">
        <f>J182</f>
        <v>3500</v>
      </c>
      <c r="L182" s="1759">
        <v>3500</v>
      </c>
      <c r="M182" s="1747">
        <f>L182</f>
        <v>3500</v>
      </c>
      <c r="N182" s="1759">
        <f>O182</f>
        <v>1450</v>
      </c>
      <c r="O182" s="1759">
        <v>1450</v>
      </c>
      <c r="P182" s="1748">
        <f>Q182</f>
        <v>1450</v>
      </c>
      <c r="Q182" s="1760">
        <v>1450</v>
      </c>
      <c r="R182" s="1591"/>
      <c r="S182" s="1591"/>
      <c r="T182" s="1623">
        <f>U182</f>
        <v>1450</v>
      </c>
      <c r="U182" s="1625">
        <v>1450</v>
      </c>
      <c r="V182" s="1591"/>
      <c r="W182" s="1591"/>
      <c r="X182" s="1623">
        <f>Y182</f>
        <v>1450</v>
      </c>
      <c r="Y182" s="1625">
        <v>1450</v>
      </c>
      <c r="Z182" s="1623">
        <v>1450</v>
      </c>
      <c r="AA182" s="1625">
        <v>1450</v>
      </c>
      <c r="AB182" s="1625"/>
      <c r="AC182" s="1625"/>
      <c r="AD182" s="1623">
        <f t="shared" si="75"/>
        <v>1450</v>
      </c>
      <c r="AE182" s="1623">
        <f>AA182+AB182+AC182</f>
        <v>1450</v>
      </c>
      <c r="AF182" s="1580"/>
      <c r="AG182" s="1009">
        <f t="shared" si="64"/>
        <v>0</v>
      </c>
      <c r="AH182" s="1009">
        <f t="shared" si="65"/>
        <v>1</v>
      </c>
      <c r="AI182" s="1908">
        <f t="shared" si="70"/>
        <v>1</v>
      </c>
    </row>
    <row r="183" spans="1:37" ht="43.5" hidden="1" customHeight="1" x14ac:dyDescent="0.25">
      <c r="A183" s="1600" t="s">
        <v>2830</v>
      </c>
      <c r="B183" s="1600" t="s">
        <v>2830</v>
      </c>
      <c r="C183" s="1602" t="s">
        <v>86</v>
      </c>
      <c r="D183" s="1603"/>
      <c r="E183" s="1603"/>
      <c r="F183" s="1603"/>
      <c r="G183" s="1603"/>
      <c r="H183" s="1604">
        <f t="shared" ref="H183:O183" si="76">H184+H217</f>
        <v>487247</v>
      </c>
      <c r="I183" s="1604">
        <f t="shared" si="76"/>
        <v>441455</v>
      </c>
      <c r="J183" s="1604">
        <f t="shared" si="76"/>
        <v>0</v>
      </c>
      <c r="K183" s="1604">
        <f t="shared" si="76"/>
        <v>0</v>
      </c>
      <c r="L183" s="1604">
        <f t="shared" si="76"/>
        <v>0</v>
      </c>
      <c r="M183" s="1604">
        <f t="shared" si="76"/>
        <v>0</v>
      </c>
      <c r="N183" s="1604">
        <f t="shared" si="76"/>
        <v>185630</v>
      </c>
      <c r="O183" s="1604">
        <f t="shared" si="76"/>
        <v>185630</v>
      </c>
      <c r="P183" s="1604">
        <f t="shared" ref="P183:U183" si="77">P184</f>
        <v>187703</v>
      </c>
      <c r="Q183" s="1604">
        <f t="shared" si="77"/>
        <v>187703</v>
      </c>
      <c r="R183" s="1604">
        <f t="shared" si="77"/>
        <v>40000</v>
      </c>
      <c r="S183" s="1604">
        <f t="shared" si="77"/>
        <v>40000</v>
      </c>
      <c r="T183" s="1604">
        <f t="shared" si="77"/>
        <v>185630</v>
      </c>
      <c r="U183" s="1604">
        <f t="shared" si="77"/>
        <v>185630</v>
      </c>
      <c r="V183" s="1604">
        <f t="shared" ref="V183:Y183" si="78">V184+V217</f>
        <v>119100</v>
      </c>
      <c r="W183" s="1604">
        <f t="shared" si="78"/>
        <v>23015</v>
      </c>
      <c r="X183" s="1604">
        <f t="shared" si="78"/>
        <v>282315</v>
      </c>
      <c r="Y183" s="1604">
        <f t="shared" si="78"/>
        <v>281715</v>
      </c>
      <c r="Z183" s="1604">
        <v>304964</v>
      </c>
      <c r="AA183" s="1604">
        <v>304964</v>
      </c>
      <c r="AB183" s="1604"/>
      <c r="AC183" s="1605"/>
      <c r="AD183" s="1604">
        <f t="shared" ref="AD183:AE183" si="79">AD184+AD217</f>
        <v>304964</v>
      </c>
      <c r="AE183" s="1604">
        <f t="shared" si="79"/>
        <v>304964</v>
      </c>
      <c r="AF183" s="1606"/>
      <c r="AG183" s="1009">
        <f t="shared" si="64"/>
        <v>0</v>
      </c>
      <c r="AH183" s="1009">
        <f t="shared" si="65"/>
        <v>1</v>
      </c>
      <c r="AI183" s="1908">
        <f t="shared" si="70"/>
        <v>1</v>
      </c>
    </row>
    <row r="184" spans="1:37" ht="56.25" hidden="1" customHeight="1" x14ac:dyDescent="0.25">
      <c r="A184" s="1601" t="s">
        <v>2831</v>
      </c>
      <c r="B184" s="1601" t="s">
        <v>2831</v>
      </c>
      <c r="C184" s="1602" t="s">
        <v>88</v>
      </c>
      <c r="D184" s="1603"/>
      <c r="E184" s="1603"/>
      <c r="F184" s="1603"/>
      <c r="G184" s="1603"/>
      <c r="H184" s="1604">
        <f t="shared" ref="H184:Y184" si="80">SUM(H185:H209)</f>
        <v>379544</v>
      </c>
      <c r="I184" s="1604">
        <f t="shared" si="80"/>
        <v>333752</v>
      </c>
      <c r="J184" s="1604">
        <f t="shared" si="80"/>
        <v>0</v>
      </c>
      <c r="K184" s="1604">
        <f t="shared" si="80"/>
        <v>0</v>
      </c>
      <c r="L184" s="1604">
        <f t="shared" si="80"/>
        <v>0</v>
      </c>
      <c r="M184" s="1604">
        <f t="shared" si="80"/>
        <v>0</v>
      </c>
      <c r="N184" s="1604">
        <f t="shared" si="80"/>
        <v>185630</v>
      </c>
      <c r="O184" s="1604">
        <f t="shared" si="80"/>
        <v>185630</v>
      </c>
      <c r="P184" s="1604">
        <f t="shared" si="80"/>
        <v>187703</v>
      </c>
      <c r="Q184" s="1604">
        <f t="shared" si="80"/>
        <v>187703</v>
      </c>
      <c r="R184" s="1604">
        <f t="shared" si="80"/>
        <v>40000</v>
      </c>
      <c r="S184" s="1604">
        <f t="shared" si="80"/>
        <v>40000</v>
      </c>
      <c r="T184" s="1604">
        <f t="shared" si="80"/>
        <v>185630</v>
      </c>
      <c r="U184" s="1604">
        <f t="shared" si="80"/>
        <v>185630</v>
      </c>
      <c r="V184" s="1604">
        <f t="shared" si="80"/>
        <v>78600</v>
      </c>
      <c r="W184" s="1604">
        <f t="shared" si="80"/>
        <v>23015</v>
      </c>
      <c r="X184" s="1604">
        <f t="shared" si="80"/>
        <v>241815</v>
      </c>
      <c r="Y184" s="1604">
        <f t="shared" si="80"/>
        <v>241215</v>
      </c>
      <c r="Z184" s="1604">
        <v>259666</v>
      </c>
      <c r="AA184" s="1604">
        <v>259666</v>
      </c>
      <c r="AB184" s="1604"/>
      <c r="AC184" s="1605"/>
      <c r="AD184" s="1604">
        <f t="shared" ref="AD184:AE184" si="81">SUM(AD185:AD209)</f>
        <v>259666</v>
      </c>
      <c r="AE184" s="1604">
        <f t="shared" si="81"/>
        <v>259666</v>
      </c>
      <c r="AF184" s="1606"/>
      <c r="AG184" s="1009">
        <f t="shared" si="64"/>
        <v>0</v>
      </c>
      <c r="AH184" s="1009">
        <f t="shared" si="65"/>
        <v>1</v>
      </c>
      <c r="AI184" s="1908">
        <f t="shared" si="70"/>
        <v>1</v>
      </c>
      <c r="AK184" s="1908"/>
    </row>
    <row r="185" spans="1:37" ht="52.5" hidden="1" customHeight="1" x14ac:dyDescent="0.25">
      <c r="A185" s="1607" t="s">
        <v>2832</v>
      </c>
      <c r="B185" s="1607"/>
      <c r="C185" s="1635" t="s">
        <v>1696</v>
      </c>
      <c r="D185" s="1610" t="s">
        <v>1206</v>
      </c>
      <c r="E185" s="1607" t="s">
        <v>1666</v>
      </c>
      <c r="F185" s="1758" t="s">
        <v>199</v>
      </c>
      <c r="G185" s="1588" t="s">
        <v>1695</v>
      </c>
      <c r="H185" s="1762">
        <v>538</v>
      </c>
      <c r="I185" s="1613">
        <f t="shared" ref="I185:I199" si="82">H185</f>
        <v>538</v>
      </c>
      <c r="J185" s="1747"/>
      <c r="K185" s="1747"/>
      <c r="L185" s="1747"/>
      <c r="M185" s="1747"/>
      <c r="N185" s="1759">
        <f>O185</f>
        <v>480</v>
      </c>
      <c r="O185" s="1759">
        <v>480</v>
      </c>
      <c r="P185" s="1748">
        <v>480</v>
      </c>
      <c r="Q185" s="1760">
        <v>480</v>
      </c>
      <c r="R185" s="1591"/>
      <c r="S185" s="1591">
        <f t="shared" ref="S185:S199" si="83">O185-U185</f>
        <v>0</v>
      </c>
      <c r="T185" s="1623">
        <v>480</v>
      </c>
      <c r="U185" s="1625">
        <v>480</v>
      </c>
      <c r="V185" s="1591"/>
      <c r="W185" s="1591"/>
      <c r="X185" s="1623">
        <v>480</v>
      </c>
      <c r="Y185" s="1625">
        <v>480</v>
      </c>
      <c r="Z185" s="1623">
        <v>480</v>
      </c>
      <c r="AA185" s="1625">
        <v>480</v>
      </c>
      <c r="AB185" s="1625"/>
      <c r="AC185" s="1625"/>
      <c r="AD185" s="1623">
        <f>AE185</f>
        <v>480</v>
      </c>
      <c r="AE185" s="1623">
        <f t="shared" ref="AE185:AE208" si="84">AA185+AB185+AC185</f>
        <v>480</v>
      </c>
      <c r="AF185" s="1580"/>
      <c r="AG185" s="1009">
        <f t="shared" si="64"/>
        <v>0</v>
      </c>
      <c r="AH185" s="1009">
        <f t="shared" si="65"/>
        <v>1</v>
      </c>
      <c r="AI185" s="1908">
        <f t="shared" si="70"/>
        <v>1</v>
      </c>
    </row>
    <row r="186" spans="1:37" ht="67.5" hidden="1" customHeight="1" x14ac:dyDescent="0.25">
      <c r="A186" s="1607" t="s">
        <v>2833</v>
      </c>
      <c r="B186" s="1610"/>
      <c r="C186" s="1621" t="s">
        <v>1694</v>
      </c>
      <c r="D186" s="1610" t="s">
        <v>1206</v>
      </c>
      <c r="E186" s="1749" t="s">
        <v>1693</v>
      </c>
      <c r="F186" s="1758" t="s">
        <v>199</v>
      </c>
      <c r="G186" s="1588" t="s">
        <v>1692</v>
      </c>
      <c r="H186" s="1763">
        <v>6689</v>
      </c>
      <c r="I186" s="1613">
        <f t="shared" si="82"/>
        <v>6689</v>
      </c>
      <c r="J186" s="1747"/>
      <c r="K186" s="1747"/>
      <c r="L186" s="1747"/>
      <c r="M186" s="1747"/>
      <c r="N186" s="1759">
        <f>O186</f>
        <v>5900</v>
      </c>
      <c r="O186" s="1759">
        <v>5900</v>
      </c>
      <c r="P186" s="1748">
        <v>5900</v>
      </c>
      <c r="Q186" s="1760">
        <v>5900</v>
      </c>
      <c r="R186" s="1591"/>
      <c r="S186" s="1591">
        <f t="shared" si="83"/>
        <v>0</v>
      </c>
      <c r="T186" s="1623">
        <v>5900</v>
      </c>
      <c r="U186" s="1625">
        <v>5900</v>
      </c>
      <c r="V186" s="1591"/>
      <c r="W186" s="1591"/>
      <c r="X186" s="1623">
        <v>5900</v>
      </c>
      <c r="Y186" s="1625">
        <v>5900</v>
      </c>
      <c r="Z186" s="1623">
        <v>5900</v>
      </c>
      <c r="AA186" s="1625">
        <v>5900</v>
      </c>
      <c r="AB186" s="1625"/>
      <c r="AC186" s="1625"/>
      <c r="AD186" s="1623">
        <f t="shared" ref="AD186:AD207" si="85">AE186</f>
        <v>5900</v>
      </c>
      <c r="AE186" s="1623">
        <f t="shared" si="84"/>
        <v>5900</v>
      </c>
      <c r="AF186" s="1580"/>
      <c r="AG186" s="1009">
        <f t="shared" si="64"/>
        <v>0</v>
      </c>
      <c r="AH186" s="1009">
        <f t="shared" si="65"/>
        <v>1</v>
      </c>
      <c r="AI186" s="1908">
        <f t="shared" si="70"/>
        <v>1</v>
      </c>
    </row>
    <row r="187" spans="1:37" ht="67.5" hidden="1" customHeight="1" x14ac:dyDescent="0.25">
      <c r="A187" s="1607" t="s">
        <v>2834</v>
      </c>
      <c r="B187" s="1610"/>
      <c r="C187" s="1621" t="s">
        <v>1691</v>
      </c>
      <c r="D187" s="1610" t="s">
        <v>1206</v>
      </c>
      <c r="E187" s="1608" t="s">
        <v>1690</v>
      </c>
      <c r="F187" s="1608" t="s">
        <v>199</v>
      </c>
      <c r="G187" s="1608" t="s">
        <v>1689</v>
      </c>
      <c r="H187" s="1756">
        <v>9864</v>
      </c>
      <c r="I187" s="1613">
        <f t="shared" si="82"/>
        <v>9864</v>
      </c>
      <c r="J187" s="1747"/>
      <c r="K187" s="1747"/>
      <c r="L187" s="1747"/>
      <c r="M187" s="1747"/>
      <c r="N187" s="1759">
        <v>8760</v>
      </c>
      <c r="O187" s="1759">
        <v>8760</v>
      </c>
      <c r="P187" s="1748">
        <v>8760</v>
      </c>
      <c r="Q187" s="1587">
        <v>8760</v>
      </c>
      <c r="R187" s="1591"/>
      <c r="S187" s="1591">
        <f t="shared" si="83"/>
        <v>0</v>
      </c>
      <c r="T187" s="1623">
        <v>8760</v>
      </c>
      <c r="U187" s="1623">
        <v>8760</v>
      </c>
      <c r="V187" s="1591"/>
      <c r="W187" s="1591"/>
      <c r="X187" s="1623">
        <v>8760</v>
      </c>
      <c r="Y187" s="1623">
        <v>8760</v>
      </c>
      <c r="Z187" s="1623">
        <v>8760</v>
      </c>
      <c r="AA187" s="1623">
        <v>8760</v>
      </c>
      <c r="AB187" s="1623"/>
      <c r="AC187" s="1623"/>
      <c r="AD187" s="1623">
        <f t="shared" si="85"/>
        <v>8760</v>
      </c>
      <c r="AE187" s="1623">
        <f t="shared" si="84"/>
        <v>8760</v>
      </c>
      <c r="AF187" s="1580"/>
      <c r="AG187" s="1009">
        <f t="shared" si="64"/>
        <v>0</v>
      </c>
      <c r="AH187" s="1009">
        <f t="shared" si="65"/>
        <v>1</v>
      </c>
      <c r="AI187" s="1908">
        <f t="shared" si="70"/>
        <v>1</v>
      </c>
    </row>
    <row r="188" spans="1:37" ht="58.5" hidden="1" customHeight="1" x14ac:dyDescent="0.25">
      <c r="A188" s="1607" t="s">
        <v>2835</v>
      </c>
      <c r="B188" s="1610"/>
      <c r="C188" s="1621" t="s">
        <v>1688</v>
      </c>
      <c r="D188" s="1610" t="s">
        <v>1206</v>
      </c>
      <c r="E188" s="1588" t="s">
        <v>1687</v>
      </c>
      <c r="F188" s="1608" t="s">
        <v>199</v>
      </c>
      <c r="G188" s="1608" t="s">
        <v>1686</v>
      </c>
      <c r="H188" s="1756">
        <v>4475</v>
      </c>
      <c r="I188" s="1613">
        <f t="shared" si="82"/>
        <v>4475</v>
      </c>
      <c r="J188" s="1747"/>
      <c r="K188" s="1747"/>
      <c r="L188" s="1747"/>
      <c r="M188" s="1747"/>
      <c r="N188" s="1759">
        <f t="shared" ref="N188:N203" si="86">O188</f>
        <v>3800</v>
      </c>
      <c r="O188" s="1759">
        <v>3800</v>
      </c>
      <c r="P188" s="1748">
        <v>3800</v>
      </c>
      <c r="Q188" s="1587">
        <v>3800</v>
      </c>
      <c r="R188" s="1591"/>
      <c r="S188" s="1591">
        <f t="shared" si="83"/>
        <v>0</v>
      </c>
      <c r="T188" s="1623">
        <v>3800</v>
      </c>
      <c r="U188" s="1623">
        <v>3800</v>
      </c>
      <c r="V188" s="1591"/>
      <c r="W188" s="1591">
        <v>35</v>
      </c>
      <c r="X188" s="1623">
        <f>Y188</f>
        <v>3765</v>
      </c>
      <c r="Y188" s="1623">
        <f>U188-W188</f>
        <v>3765</v>
      </c>
      <c r="Z188" s="1623">
        <v>3765</v>
      </c>
      <c r="AA188" s="1623">
        <v>3765</v>
      </c>
      <c r="AB188" s="1623"/>
      <c r="AC188" s="1623"/>
      <c r="AD188" s="1623">
        <f t="shared" si="85"/>
        <v>3765</v>
      </c>
      <c r="AE188" s="1623">
        <f t="shared" si="84"/>
        <v>3765</v>
      </c>
      <c r="AF188" s="1580"/>
      <c r="AG188" s="1009">
        <f t="shared" si="64"/>
        <v>0</v>
      </c>
      <c r="AH188" s="1009">
        <f t="shared" si="65"/>
        <v>1</v>
      </c>
      <c r="AI188" s="1908">
        <f t="shared" si="70"/>
        <v>1</v>
      </c>
    </row>
    <row r="189" spans="1:37" ht="53.25" hidden="1" customHeight="1" x14ac:dyDescent="0.25">
      <c r="A189" s="1607" t="s">
        <v>2836</v>
      </c>
      <c r="B189" s="1610"/>
      <c r="C189" s="1621" t="s">
        <v>1685</v>
      </c>
      <c r="D189" s="1610" t="s">
        <v>1206</v>
      </c>
      <c r="E189" s="1588" t="s">
        <v>1684</v>
      </c>
      <c r="F189" s="1608" t="s">
        <v>199</v>
      </c>
      <c r="G189" s="1608" t="s">
        <v>1683</v>
      </c>
      <c r="H189" s="1756">
        <v>8281</v>
      </c>
      <c r="I189" s="1613">
        <f t="shared" si="82"/>
        <v>8281</v>
      </c>
      <c r="J189" s="1747"/>
      <c r="K189" s="1747"/>
      <c r="L189" s="1747"/>
      <c r="M189" s="1747"/>
      <c r="N189" s="1759">
        <f t="shared" si="86"/>
        <v>7300</v>
      </c>
      <c r="O189" s="1759">
        <v>7300</v>
      </c>
      <c r="P189" s="1748">
        <v>7300</v>
      </c>
      <c r="Q189" s="1587">
        <v>7300</v>
      </c>
      <c r="R189" s="1591"/>
      <c r="S189" s="1591">
        <f t="shared" si="83"/>
        <v>0</v>
      </c>
      <c r="T189" s="1623">
        <v>7300</v>
      </c>
      <c r="U189" s="1623">
        <v>7300</v>
      </c>
      <c r="V189" s="1591"/>
      <c r="W189" s="1591"/>
      <c r="X189" s="1623">
        <v>7300</v>
      </c>
      <c r="Y189" s="1623">
        <v>7300</v>
      </c>
      <c r="Z189" s="1623">
        <v>7300</v>
      </c>
      <c r="AA189" s="1623">
        <v>7300</v>
      </c>
      <c r="AB189" s="1623"/>
      <c r="AC189" s="1623"/>
      <c r="AD189" s="1623">
        <f t="shared" si="85"/>
        <v>7300</v>
      </c>
      <c r="AE189" s="1623">
        <f t="shared" si="84"/>
        <v>7300</v>
      </c>
      <c r="AF189" s="1599"/>
      <c r="AG189" s="1009">
        <f t="shared" si="64"/>
        <v>0</v>
      </c>
      <c r="AH189" s="1009">
        <f t="shared" si="65"/>
        <v>1</v>
      </c>
      <c r="AI189" s="1908">
        <f t="shared" si="70"/>
        <v>1</v>
      </c>
    </row>
    <row r="190" spans="1:37" ht="55.5" hidden="1" customHeight="1" x14ac:dyDescent="0.25">
      <c r="A190" s="1607" t="s">
        <v>2837</v>
      </c>
      <c r="B190" s="1610"/>
      <c r="C190" s="1764" t="s">
        <v>1682</v>
      </c>
      <c r="D190" s="1610" t="s">
        <v>1206</v>
      </c>
      <c r="E190" s="1588" t="s">
        <v>1681</v>
      </c>
      <c r="F190" s="1608" t="s">
        <v>199</v>
      </c>
      <c r="G190" s="1608" t="s">
        <v>1680</v>
      </c>
      <c r="H190" s="1690">
        <v>1823</v>
      </c>
      <c r="I190" s="1613">
        <f t="shared" si="82"/>
        <v>1823</v>
      </c>
      <c r="J190" s="1747"/>
      <c r="K190" s="1747"/>
      <c r="L190" s="1747"/>
      <c r="M190" s="1747"/>
      <c r="N190" s="1759">
        <f t="shared" si="86"/>
        <v>1550</v>
      </c>
      <c r="O190" s="1759">
        <v>1550</v>
      </c>
      <c r="P190" s="1748">
        <v>1550</v>
      </c>
      <c r="Q190" s="1587">
        <v>1550</v>
      </c>
      <c r="R190" s="1591"/>
      <c r="S190" s="1591">
        <f t="shared" si="83"/>
        <v>0</v>
      </c>
      <c r="T190" s="1623">
        <v>1550</v>
      </c>
      <c r="U190" s="1623">
        <v>1550</v>
      </c>
      <c r="V190" s="1591"/>
      <c r="W190" s="1591"/>
      <c r="X190" s="1623">
        <v>1550</v>
      </c>
      <c r="Y190" s="1623">
        <v>1550</v>
      </c>
      <c r="Z190" s="1623">
        <v>1550</v>
      </c>
      <c r="AA190" s="1623">
        <v>1550</v>
      </c>
      <c r="AB190" s="1623"/>
      <c r="AC190" s="1623"/>
      <c r="AD190" s="1623">
        <f t="shared" si="85"/>
        <v>1550</v>
      </c>
      <c r="AE190" s="1623">
        <f t="shared" si="84"/>
        <v>1550</v>
      </c>
      <c r="AF190" s="1580"/>
      <c r="AG190" s="1009">
        <f t="shared" si="64"/>
        <v>0</v>
      </c>
      <c r="AH190" s="1009">
        <f t="shared" si="65"/>
        <v>1</v>
      </c>
      <c r="AI190" s="1908">
        <f t="shared" si="70"/>
        <v>1</v>
      </c>
    </row>
    <row r="191" spans="1:37" ht="56.25" hidden="1" customHeight="1" x14ac:dyDescent="0.25">
      <c r="A191" s="1607" t="s">
        <v>2838</v>
      </c>
      <c r="B191" s="1610"/>
      <c r="C191" s="1621" t="s">
        <v>1679</v>
      </c>
      <c r="D191" s="1610" t="s">
        <v>1206</v>
      </c>
      <c r="E191" s="1646" t="s">
        <v>1678</v>
      </c>
      <c r="F191" s="1608" t="s">
        <v>199</v>
      </c>
      <c r="G191" s="1608" t="s">
        <v>1677</v>
      </c>
      <c r="H191" s="1690">
        <v>333</v>
      </c>
      <c r="I191" s="1613">
        <f t="shared" si="82"/>
        <v>333</v>
      </c>
      <c r="J191" s="1747"/>
      <c r="K191" s="1747"/>
      <c r="L191" s="1747"/>
      <c r="M191" s="1747"/>
      <c r="N191" s="1759">
        <f t="shared" si="86"/>
        <v>290</v>
      </c>
      <c r="O191" s="1759">
        <v>290</v>
      </c>
      <c r="P191" s="1748">
        <v>290</v>
      </c>
      <c r="Q191" s="1587">
        <v>290</v>
      </c>
      <c r="R191" s="1591"/>
      <c r="S191" s="1591">
        <f t="shared" si="83"/>
        <v>0</v>
      </c>
      <c r="T191" s="1623">
        <v>290</v>
      </c>
      <c r="U191" s="1623">
        <v>290</v>
      </c>
      <c r="V191" s="1591"/>
      <c r="W191" s="1591">
        <v>8</v>
      </c>
      <c r="X191" s="1623">
        <f>Y191</f>
        <v>282</v>
      </c>
      <c r="Y191" s="1623">
        <f>U191-W191</f>
        <v>282</v>
      </c>
      <c r="Z191" s="1623">
        <v>282</v>
      </c>
      <c r="AA191" s="1623">
        <v>282</v>
      </c>
      <c r="AB191" s="1623"/>
      <c r="AC191" s="1623"/>
      <c r="AD191" s="1623">
        <f>AE191</f>
        <v>282</v>
      </c>
      <c r="AE191" s="1623">
        <f t="shared" si="84"/>
        <v>282</v>
      </c>
      <c r="AF191" s="1580"/>
      <c r="AG191" s="1009">
        <f t="shared" si="64"/>
        <v>0</v>
      </c>
      <c r="AH191" s="1009">
        <f t="shared" si="65"/>
        <v>1</v>
      </c>
      <c r="AI191" s="1908">
        <f t="shared" si="70"/>
        <v>1</v>
      </c>
    </row>
    <row r="192" spans="1:37" ht="52.5" hidden="1" customHeight="1" x14ac:dyDescent="0.25">
      <c r="A192" s="1607" t="s">
        <v>2839</v>
      </c>
      <c r="B192" s="1610"/>
      <c r="C192" s="1621" t="s">
        <v>1676</v>
      </c>
      <c r="D192" s="1610" t="s">
        <v>1206</v>
      </c>
      <c r="E192" s="1646" t="s">
        <v>1675</v>
      </c>
      <c r="F192" s="1608" t="s">
        <v>199</v>
      </c>
      <c r="G192" s="1608" t="s">
        <v>1674</v>
      </c>
      <c r="H192" s="1690">
        <v>1716</v>
      </c>
      <c r="I192" s="1613">
        <f t="shared" si="82"/>
        <v>1716</v>
      </c>
      <c r="J192" s="1747"/>
      <c r="K192" s="1747"/>
      <c r="L192" s="1747"/>
      <c r="M192" s="1747"/>
      <c r="N192" s="1759">
        <f t="shared" si="86"/>
        <v>1570</v>
      </c>
      <c r="O192" s="1759">
        <v>1570</v>
      </c>
      <c r="P192" s="1748">
        <v>1570</v>
      </c>
      <c r="Q192" s="1587">
        <v>1570</v>
      </c>
      <c r="R192" s="1591"/>
      <c r="S192" s="1591">
        <f t="shared" si="83"/>
        <v>0</v>
      </c>
      <c r="T192" s="1623">
        <v>1570</v>
      </c>
      <c r="U192" s="1623">
        <v>1570</v>
      </c>
      <c r="V192" s="1591"/>
      <c r="W192" s="1591">
        <v>271</v>
      </c>
      <c r="X192" s="1640">
        <f t="shared" ref="X192:X193" si="87">Y192</f>
        <v>1299</v>
      </c>
      <c r="Y192" s="1640">
        <f t="shared" ref="Y192:Y193" si="88">U192-W192</f>
        <v>1299</v>
      </c>
      <c r="Z192" s="1640">
        <v>1299</v>
      </c>
      <c r="AA192" s="1623">
        <v>1299</v>
      </c>
      <c r="AB192" s="1623"/>
      <c r="AC192" s="1623"/>
      <c r="AD192" s="1623">
        <f t="shared" si="85"/>
        <v>1299</v>
      </c>
      <c r="AE192" s="1623">
        <f t="shared" si="84"/>
        <v>1299</v>
      </c>
      <c r="AF192" s="1580"/>
      <c r="AG192" s="1009">
        <f t="shared" si="64"/>
        <v>0</v>
      </c>
      <c r="AH192" s="1009">
        <f t="shared" si="65"/>
        <v>1</v>
      </c>
      <c r="AI192" s="1908">
        <f t="shared" si="70"/>
        <v>1</v>
      </c>
    </row>
    <row r="193" spans="1:35 16361:16373" ht="53.25" hidden="1" customHeight="1" x14ac:dyDescent="0.25">
      <c r="A193" s="1607" t="s">
        <v>2840</v>
      </c>
      <c r="B193" s="1610"/>
      <c r="C193" s="1621" t="s">
        <v>1673</v>
      </c>
      <c r="D193" s="1610" t="s">
        <v>1206</v>
      </c>
      <c r="E193" s="1646" t="s">
        <v>1672</v>
      </c>
      <c r="F193" s="1608" t="s">
        <v>199</v>
      </c>
      <c r="G193" s="1608" t="s">
        <v>1671</v>
      </c>
      <c r="H193" s="1690">
        <v>1307</v>
      </c>
      <c r="I193" s="1613">
        <f t="shared" si="82"/>
        <v>1307</v>
      </c>
      <c r="J193" s="1747"/>
      <c r="K193" s="1747"/>
      <c r="L193" s="1747"/>
      <c r="M193" s="1747"/>
      <c r="N193" s="1759">
        <f t="shared" si="86"/>
        <v>1180</v>
      </c>
      <c r="O193" s="1759">
        <v>1180</v>
      </c>
      <c r="P193" s="1748">
        <v>1180</v>
      </c>
      <c r="Q193" s="1587">
        <v>1180</v>
      </c>
      <c r="R193" s="1591"/>
      <c r="S193" s="1591">
        <f t="shared" si="83"/>
        <v>0</v>
      </c>
      <c r="T193" s="1623">
        <v>1180</v>
      </c>
      <c r="U193" s="1623">
        <v>1180</v>
      </c>
      <c r="V193" s="1591"/>
      <c r="W193" s="1591">
        <v>113</v>
      </c>
      <c r="X193" s="1640">
        <f t="shared" si="87"/>
        <v>1067</v>
      </c>
      <c r="Y193" s="1640">
        <f t="shared" si="88"/>
        <v>1067</v>
      </c>
      <c r="Z193" s="1640">
        <v>1067</v>
      </c>
      <c r="AA193" s="1623">
        <v>1067</v>
      </c>
      <c r="AB193" s="1623"/>
      <c r="AC193" s="1623"/>
      <c r="AD193" s="1623">
        <f t="shared" si="85"/>
        <v>1067</v>
      </c>
      <c r="AE193" s="1623">
        <f t="shared" si="84"/>
        <v>1067</v>
      </c>
      <c r="AF193" s="1580"/>
      <c r="AG193" s="1009">
        <f t="shared" si="64"/>
        <v>0</v>
      </c>
      <c r="AH193" s="1009">
        <f t="shared" si="65"/>
        <v>1</v>
      </c>
      <c r="AI193" s="1908">
        <f t="shared" si="70"/>
        <v>1</v>
      </c>
    </row>
    <row r="194" spans="1:35 16361:16373" ht="53.25" hidden="1" customHeight="1" x14ac:dyDescent="0.25">
      <c r="A194" s="1607" t="s">
        <v>2841</v>
      </c>
      <c r="B194" s="1610"/>
      <c r="C194" s="1621" t="s">
        <v>1670</v>
      </c>
      <c r="D194" s="1610" t="s">
        <v>1206</v>
      </c>
      <c r="E194" s="1646" t="s">
        <v>1669</v>
      </c>
      <c r="F194" s="1608" t="s">
        <v>199</v>
      </c>
      <c r="G194" s="1608" t="s">
        <v>1668</v>
      </c>
      <c r="H194" s="1690">
        <v>418</v>
      </c>
      <c r="I194" s="1613">
        <f t="shared" si="82"/>
        <v>418</v>
      </c>
      <c r="J194" s="1747"/>
      <c r="K194" s="1747"/>
      <c r="L194" s="1747"/>
      <c r="M194" s="1747"/>
      <c r="N194" s="1759">
        <f t="shared" si="86"/>
        <v>370</v>
      </c>
      <c r="O194" s="1759">
        <v>370</v>
      </c>
      <c r="P194" s="1748">
        <v>370</v>
      </c>
      <c r="Q194" s="1587">
        <v>370</v>
      </c>
      <c r="R194" s="1591"/>
      <c r="S194" s="1591">
        <f t="shared" si="83"/>
        <v>0</v>
      </c>
      <c r="T194" s="1623">
        <v>370</v>
      </c>
      <c r="U194" s="1623">
        <v>370</v>
      </c>
      <c r="V194" s="1591"/>
      <c r="W194" s="1591"/>
      <c r="X194" s="1623">
        <v>370</v>
      </c>
      <c r="Y194" s="1623">
        <v>370</v>
      </c>
      <c r="Z194" s="1623">
        <v>370</v>
      </c>
      <c r="AA194" s="1623">
        <v>370</v>
      </c>
      <c r="AB194" s="1623"/>
      <c r="AC194" s="1623"/>
      <c r="AD194" s="1623">
        <f t="shared" si="85"/>
        <v>370</v>
      </c>
      <c r="AE194" s="1623">
        <f t="shared" si="84"/>
        <v>370</v>
      </c>
      <c r="AF194" s="1580"/>
      <c r="AG194" s="1009">
        <f t="shared" si="64"/>
        <v>0</v>
      </c>
      <c r="AH194" s="1009">
        <f t="shared" si="65"/>
        <v>1</v>
      </c>
      <c r="AI194" s="1908">
        <f t="shared" si="70"/>
        <v>1</v>
      </c>
    </row>
    <row r="195" spans="1:35 16361:16373" ht="54" hidden="1" customHeight="1" x14ac:dyDescent="0.25">
      <c r="A195" s="1607" t="s">
        <v>2842</v>
      </c>
      <c r="B195" s="1610"/>
      <c r="C195" s="1621" t="s">
        <v>1667</v>
      </c>
      <c r="D195" s="1610" t="s">
        <v>1206</v>
      </c>
      <c r="E195" s="1646" t="s">
        <v>1666</v>
      </c>
      <c r="F195" s="1608" t="s">
        <v>199</v>
      </c>
      <c r="G195" s="1608" t="s">
        <v>1665</v>
      </c>
      <c r="H195" s="1690">
        <v>379</v>
      </c>
      <c r="I195" s="1613">
        <f t="shared" si="82"/>
        <v>379</v>
      </c>
      <c r="J195" s="1747"/>
      <c r="K195" s="1747"/>
      <c r="L195" s="1747"/>
      <c r="M195" s="1747"/>
      <c r="N195" s="1759">
        <f t="shared" si="86"/>
        <v>330</v>
      </c>
      <c r="O195" s="1759">
        <v>330</v>
      </c>
      <c r="P195" s="1748">
        <v>330</v>
      </c>
      <c r="Q195" s="1635">
        <v>330</v>
      </c>
      <c r="R195" s="1591"/>
      <c r="S195" s="1591">
        <f t="shared" si="83"/>
        <v>0</v>
      </c>
      <c r="T195" s="1623">
        <v>330</v>
      </c>
      <c r="U195" s="1750">
        <v>330</v>
      </c>
      <c r="V195" s="1591"/>
      <c r="W195" s="1591"/>
      <c r="X195" s="1623">
        <v>330</v>
      </c>
      <c r="Y195" s="1750">
        <v>330</v>
      </c>
      <c r="Z195" s="1623">
        <v>330</v>
      </c>
      <c r="AA195" s="1623">
        <v>330</v>
      </c>
      <c r="AB195" s="1623"/>
      <c r="AC195" s="1623"/>
      <c r="AD195" s="1623">
        <f t="shared" si="85"/>
        <v>330</v>
      </c>
      <c r="AE195" s="1623">
        <f t="shared" si="84"/>
        <v>330</v>
      </c>
      <c r="AF195" s="1580"/>
      <c r="AG195" s="1009">
        <f t="shared" si="64"/>
        <v>0</v>
      </c>
      <c r="AH195" s="1009">
        <f t="shared" si="65"/>
        <v>1</v>
      </c>
      <c r="AI195" s="1908">
        <f t="shared" si="70"/>
        <v>1</v>
      </c>
    </row>
    <row r="196" spans="1:35 16361:16373" ht="87.75" hidden="1" customHeight="1" x14ac:dyDescent="0.25">
      <c r="A196" s="1607" t="s">
        <v>2843</v>
      </c>
      <c r="B196" s="1607"/>
      <c r="C196" s="1609" t="s">
        <v>1664</v>
      </c>
      <c r="D196" s="1610" t="s">
        <v>1206</v>
      </c>
      <c r="E196" s="1611" t="s">
        <v>2523</v>
      </c>
      <c r="F196" s="1608" t="s">
        <v>109</v>
      </c>
      <c r="G196" s="1608" t="s">
        <v>1662</v>
      </c>
      <c r="H196" s="1612">
        <v>13052</v>
      </c>
      <c r="I196" s="1613">
        <f t="shared" si="82"/>
        <v>13052</v>
      </c>
      <c r="J196" s="1604"/>
      <c r="K196" s="1604"/>
      <c r="L196" s="1604"/>
      <c r="M196" s="1604"/>
      <c r="N196" s="1759">
        <f t="shared" si="86"/>
        <v>11700</v>
      </c>
      <c r="O196" s="1759">
        <v>11700</v>
      </c>
      <c r="P196" s="1748">
        <v>11700</v>
      </c>
      <c r="Q196" s="1748">
        <v>11700</v>
      </c>
      <c r="R196" s="1591"/>
      <c r="S196" s="1591">
        <f t="shared" si="83"/>
        <v>0</v>
      </c>
      <c r="T196" s="1623">
        <v>11700</v>
      </c>
      <c r="U196" s="1623">
        <v>11700</v>
      </c>
      <c r="V196" s="1591"/>
      <c r="W196" s="1591"/>
      <c r="X196" s="1623">
        <v>11700</v>
      </c>
      <c r="Y196" s="1623">
        <v>11700</v>
      </c>
      <c r="Z196" s="1623">
        <v>11700</v>
      </c>
      <c r="AA196" s="1623">
        <v>11700</v>
      </c>
      <c r="AB196" s="1623"/>
      <c r="AC196" s="1623"/>
      <c r="AD196" s="1623">
        <f t="shared" si="85"/>
        <v>11700</v>
      </c>
      <c r="AE196" s="1623">
        <f t="shared" si="84"/>
        <v>11700</v>
      </c>
      <c r="AF196" s="1606"/>
      <c r="AG196" s="1009">
        <f t="shared" si="64"/>
        <v>0</v>
      </c>
      <c r="AH196" s="1009">
        <f t="shared" si="65"/>
        <v>1</v>
      </c>
      <c r="AI196" s="1908">
        <f t="shared" si="70"/>
        <v>1</v>
      </c>
    </row>
    <row r="197" spans="1:35 16361:16373" ht="77.25" hidden="1" customHeight="1" x14ac:dyDescent="0.25">
      <c r="A197" s="1607" t="s">
        <v>2844</v>
      </c>
      <c r="B197" s="1607"/>
      <c r="C197" s="1609" t="s">
        <v>1661</v>
      </c>
      <c r="D197" s="1610" t="s">
        <v>1206</v>
      </c>
      <c r="E197" s="1611" t="s">
        <v>1660</v>
      </c>
      <c r="F197" s="1608" t="s">
        <v>109</v>
      </c>
      <c r="G197" s="1608" t="s">
        <v>1659</v>
      </c>
      <c r="H197" s="1612">
        <v>14817</v>
      </c>
      <c r="I197" s="1613">
        <f t="shared" si="82"/>
        <v>14817</v>
      </c>
      <c r="J197" s="1581"/>
      <c r="K197" s="1581"/>
      <c r="L197" s="1581"/>
      <c r="M197" s="1581"/>
      <c r="N197" s="1759">
        <f t="shared" si="86"/>
        <v>13300</v>
      </c>
      <c r="O197" s="1759">
        <v>13300</v>
      </c>
      <c r="P197" s="1765">
        <v>13300</v>
      </c>
      <c r="Q197" s="1765">
        <v>13300</v>
      </c>
      <c r="R197" s="1591"/>
      <c r="S197" s="1591">
        <f t="shared" si="83"/>
        <v>0</v>
      </c>
      <c r="T197" s="1640">
        <v>13300</v>
      </c>
      <c r="U197" s="1640">
        <v>13300</v>
      </c>
      <c r="V197" s="1591"/>
      <c r="W197" s="1591">
        <v>694</v>
      </c>
      <c r="X197" s="1640">
        <f>Y197</f>
        <v>12606</v>
      </c>
      <c r="Y197" s="1640">
        <f>U197-W197</f>
        <v>12606</v>
      </c>
      <c r="Z197" s="1640">
        <v>12606</v>
      </c>
      <c r="AA197" s="1623">
        <v>12606</v>
      </c>
      <c r="AB197" s="1623"/>
      <c r="AC197" s="1623"/>
      <c r="AD197" s="1623">
        <f>AE197</f>
        <v>12606</v>
      </c>
      <c r="AE197" s="1623">
        <f t="shared" si="84"/>
        <v>12606</v>
      </c>
      <c r="AF197" s="1585"/>
      <c r="AG197" s="1009">
        <f t="shared" si="64"/>
        <v>0</v>
      </c>
      <c r="AH197" s="1009">
        <f t="shared" si="65"/>
        <v>1</v>
      </c>
      <c r="AI197" s="1908">
        <f t="shared" si="70"/>
        <v>1</v>
      </c>
    </row>
    <row r="198" spans="1:35 16361:16373" ht="56.25" hidden="1" customHeight="1" x14ac:dyDescent="0.25">
      <c r="A198" s="1607" t="s">
        <v>2845</v>
      </c>
      <c r="B198" s="1607"/>
      <c r="C198" s="1609" t="s">
        <v>1658</v>
      </c>
      <c r="D198" s="1610" t="s">
        <v>1206</v>
      </c>
      <c r="E198" s="1611"/>
      <c r="F198" s="1608" t="s">
        <v>109</v>
      </c>
      <c r="G198" s="1608" t="s">
        <v>1657</v>
      </c>
      <c r="H198" s="1612">
        <v>12800</v>
      </c>
      <c r="I198" s="1613">
        <f t="shared" si="82"/>
        <v>12800</v>
      </c>
      <c r="J198" s="1581"/>
      <c r="K198" s="1581"/>
      <c r="L198" s="1581"/>
      <c r="M198" s="1581"/>
      <c r="N198" s="1759">
        <f t="shared" si="86"/>
        <v>11800</v>
      </c>
      <c r="O198" s="1759">
        <v>11800</v>
      </c>
      <c r="P198" s="1765">
        <v>11800</v>
      </c>
      <c r="Q198" s="1765">
        <v>11800</v>
      </c>
      <c r="R198" s="1591"/>
      <c r="S198" s="1591">
        <f t="shared" si="83"/>
        <v>0</v>
      </c>
      <c r="T198" s="1640">
        <v>11800</v>
      </c>
      <c r="U198" s="1640">
        <v>11800</v>
      </c>
      <c r="V198" s="1591"/>
      <c r="W198" s="1591">
        <v>893</v>
      </c>
      <c r="X198" s="1640">
        <f>Y198</f>
        <v>10907</v>
      </c>
      <c r="Y198" s="1640">
        <f>U198-W198</f>
        <v>10907</v>
      </c>
      <c r="Z198" s="1640">
        <v>10907</v>
      </c>
      <c r="AA198" s="1623">
        <v>10907</v>
      </c>
      <c r="AB198" s="1623"/>
      <c r="AC198" s="1623"/>
      <c r="AD198" s="1623">
        <f t="shared" si="85"/>
        <v>10907</v>
      </c>
      <c r="AE198" s="1623">
        <f t="shared" si="84"/>
        <v>10907</v>
      </c>
      <c r="AF198" s="1585"/>
      <c r="AG198" s="1009">
        <f t="shared" si="64"/>
        <v>0</v>
      </c>
      <c r="AH198" s="1009">
        <f t="shared" si="65"/>
        <v>1</v>
      </c>
      <c r="AI198" s="1908">
        <f t="shared" si="70"/>
        <v>1</v>
      </c>
    </row>
    <row r="199" spans="1:35 16361:16373" ht="45" hidden="1" customHeight="1" x14ac:dyDescent="0.25">
      <c r="A199" s="1607" t="s">
        <v>2846</v>
      </c>
      <c r="B199" s="1607"/>
      <c r="C199" s="1609" t="s">
        <v>1656</v>
      </c>
      <c r="D199" s="1610" t="s">
        <v>1206</v>
      </c>
      <c r="E199" s="1611" t="s">
        <v>1655</v>
      </c>
      <c r="F199" s="1608" t="s">
        <v>109</v>
      </c>
      <c r="G199" s="1608"/>
      <c r="H199" s="1612">
        <v>14560</v>
      </c>
      <c r="I199" s="1613">
        <f t="shared" si="82"/>
        <v>14560</v>
      </c>
      <c r="J199" s="1604"/>
      <c r="K199" s="1604"/>
      <c r="L199" s="1604"/>
      <c r="M199" s="1604"/>
      <c r="N199" s="1759">
        <f t="shared" si="86"/>
        <v>13000</v>
      </c>
      <c r="O199" s="1759">
        <v>13000</v>
      </c>
      <c r="P199" s="1766"/>
      <c r="Q199" s="1766"/>
      <c r="R199" s="1591"/>
      <c r="S199" s="1591">
        <f t="shared" si="83"/>
        <v>13000</v>
      </c>
      <c r="T199" s="1728"/>
      <c r="U199" s="1728"/>
      <c r="V199" s="1591"/>
      <c r="W199" s="1591"/>
      <c r="X199" s="1728"/>
      <c r="Y199" s="1728"/>
      <c r="Z199" s="1728">
        <v>0</v>
      </c>
      <c r="AA199" s="1623">
        <v>0</v>
      </c>
      <c r="AB199" s="1623"/>
      <c r="AC199" s="1623"/>
      <c r="AD199" s="1623">
        <f t="shared" si="85"/>
        <v>0</v>
      </c>
      <c r="AE199" s="1623">
        <f t="shared" si="84"/>
        <v>0</v>
      </c>
      <c r="AF199" s="1580"/>
      <c r="AG199" s="1009">
        <f t="shared" si="64"/>
        <v>0</v>
      </c>
      <c r="AH199" s="1009">
        <f t="shared" si="65"/>
        <v>0</v>
      </c>
      <c r="AI199" s="1908">
        <f t="shared" si="70"/>
        <v>1</v>
      </c>
    </row>
    <row r="200" spans="1:35 16361:16373" ht="102.75" hidden="1" customHeight="1" x14ac:dyDescent="0.25">
      <c r="A200" s="1607" t="s">
        <v>2847</v>
      </c>
      <c r="B200" s="1607"/>
      <c r="C200" s="1609" t="s">
        <v>1654</v>
      </c>
      <c r="D200" s="1610" t="s">
        <v>1206</v>
      </c>
      <c r="E200" s="1611" t="s">
        <v>2351</v>
      </c>
      <c r="F200" s="1608" t="s">
        <v>248</v>
      </c>
      <c r="G200" s="1608" t="s">
        <v>2349</v>
      </c>
      <c r="H200" s="1612">
        <f>I200</f>
        <v>83800</v>
      </c>
      <c r="I200" s="1613">
        <v>83800</v>
      </c>
      <c r="J200" s="1604"/>
      <c r="K200" s="1604"/>
      <c r="L200" s="1604"/>
      <c r="M200" s="1604"/>
      <c r="N200" s="1759">
        <f t="shared" si="86"/>
        <v>68200</v>
      </c>
      <c r="O200" s="1759">
        <f>71400-3200</f>
        <v>68200</v>
      </c>
      <c r="P200" s="1765">
        <f>Q200</f>
        <v>82300</v>
      </c>
      <c r="Q200" s="1765">
        <v>82300</v>
      </c>
      <c r="R200" s="1591">
        <f>U200-O200</f>
        <v>14100</v>
      </c>
      <c r="S200" s="1591"/>
      <c r="T200" s="1640">
        <f>U200</f>
        <v>82300</v>
      </c>
      <c r="U200" s="1640">
        <v>82300</v>
      </c>
      <c r="V200" s="1591"/>
      <c r="W200" s="1591">
        <v>21001</v>
      </c>
      <c r="X200" s="1640">
        <f>Y200</f>
        <v>61299</v>
      </c>
      <c r="Y200" s="1640">
        <f>U200-W200</f>
        <v>61299</v>
      </c>
      <c r="Z200" s="1640">
        <v>61299</v>
      </c>
      <c r="AA200" s="1623">
        <v>61299</v>
      </c>
      <c r="AB200" s="1623"/>
      <c r="AC200" s="1623"/>
      <c r="AD200" s="1623">
        <f t="shared" si="85"/>
        <v>61299</v>
      </c>
      <c r="AE200" s="1623">
        <f t="shared" si="84"/>
        <v>61299</v>
      </c>
      <c r="AF200" s="1606"/>
      <c r="AG200" s="1009">
        <f t="shared" si="64"/>
        <v>0</v>
      </c>
      <c r="AH200" s="1009">
        <f t="shared" si="65"/>
        <v>1</v>
      </c>
      <c r="AI200" s="1908">
        <f t="shared" si="70"/>
        <v>1</v>
      </c>
    </row>
    <row r="201" spans="1:35 16361:16373" ht="32.25" hidden="1" customHeight="1" x14ac:dyDescent="0.25">
      <c r="A201" s="1607" t="s">
        <v>2848</v>
      </c>
      <c r="B201" s="1607"/>
      <c r="C201" s="1609" t="s">
        <v>1653</v>
      </c>
      <c r="D201" s="1610" t="s">
        <v>1206</v>
      </c>
      <c r="E201" s="1580" t="s">
        <v>1652</v>
      </c>
      <c r="F201" s="1608" t="s">
        <v>290</v>
      </c>
      <c r="G201" s="1608"/>
      <c r="H201" s="1612">
        <v>20000</v>
      </c>
      <c r="I201" s="1613">
        <f>H201</f>
        <v>20000</v>
      </c>
      <c r="J201" s="1744"/>
      <c r="K201" s="1744"/>
      <c r="L201" s="1744"/>
      <c r="M201" s="1744"/>
      <c r="N201" s="1759">
        <f t="shared" si="86"/>
        <v>18000</v>
      </c>
      <c r="O201" s="1759">
        <v>18000</v>
      </c>
      <c r="P201" s="1748"/>
      <c r="Q201" s="1748"/>
      <c r="R201" s="1591"/>
      <c r="S201" s="1591">
        <f>O201-U201</f>
        <v>18000</v>
      </c>
      <c r="T201" s="1623"/>
      <c r="U201" s="1623"/>
      <c r="V201" s="1591"/>
      <c r="W201" s="1591"/>
      <c r="X201" s="1623"/>
      <c r="Y201" s="1623"/>
      <c r="Z201" s="1623">
        <v>0</v>
      </c>
      <c r="AA201" s="1623">
        <v>0</v>
      </c>
      <c r="AB201" s="1623"/>
      <c r="AC201" s="1623"/>
      <c r="AD201" s="1623">
        <f>AE201</f>
        <v>0</v>
      </c>
      <c r="AE201" s="1623">
        <f t="shared" si="84"/>
        <v>0</v>
      </c>
      <c r="AF201" s="1580"/>
      <c r="AG201" s="1009">
        <f t="shared" si="64"/>
        <v>0</v>
      </c>
      <c r="AH201" s="1009">
        <f t="shared" si="65"/>
        <v>0</v>
      </c>
      <c r="AI201" s="1908">
        <f t="shared" si="70"/>
        <v>1</v>
      </c>
    </row>
    <row r="202" spans="1:35 16361:16373" ht="105" hidden="1" customHeight="1" x14ac:dyDescent="0.25">
      <c r="A202" s="1607" t="s">
        <v>2849</v>
      </c>
      <c r="B202" s="1607"/>
      <c r="C202" s="1609" t="s">
        <v>1651</v>
      </c>
      <c r="D202" s="1610" t="s">
        <v>1206</v>
      </c>
      <c r="E202" s="1611" t="s">
        <v>2350</v>
      </c>
      <c r="F202" s="1608" t="s">
        <v>116</v>
      </c>
      <c r="G202" s="1608" t="s">
        <v>2709</v>
      </c>
      <c r="H202" s="1612">
        <v>37073</v>
      </c>
      <c r="I202" s="1613">
        <f>H202</f>
        <v>37073</v>
      </c>
      <c r="J202" s="1604"/>
      <c r="K202" s="1604"/>
      <c r="L202" s="1604"/>
      <c r="M202" s="1604"/>
      <c r="N202" s="1759">
        <f t="shared" si="86"/>
        <v>9100</v>
      </c>
      <c r="O202" s="1759">
        <v>9100</v>
      </c>
      <c r="P202" s="1587">
        <f>H202</f>
        <v>37073</v>
      </c>
      <c r="Q202" s="1587">
        <f>I202</f>
        <v>37073</v>
      </c>
      <c r="R202" s="1591">
        <v>25900</v>
      </c>
      <c r="S202" s="1591"/>
      <c r="T202" s="1623">
        <f>U202</f>
        <v>35000</v>
      </c>
      <c r="U202" s="1623">
        <v>35000</v>
      </c>
      <c r="V202" s="1591"/>
      <c r="W202" s="1591"/>
      <c r="X202" s="1623">
        <f>Y202</f>
        <v>35000</v>
      </c>
      <c r="Y202" s="1623">
        <f>V202+U202</f>
        <v>35000</v>
      </c>
      <c r="Z202" s="1623">
        <v>35000</v>
      </c>
      <c r="AA202" s="1623">
        <v>35000</v>
      </c>
      <c r="AB202" s="1623"/>
      <c r="AC202" s="1623"/>
      <c r="AD202" s="1623">
        <f t="shared" si="85"/>
        <v>35000</v>
      </c>
      <c r="AE202" s="1623">
        <f t="shared" si="84"/>
        <v>35000</v>
      </c>
      <c r="AF202" s="1606"/>
      <c r="AG202" s="1009">
        <f t="shared" si="64"/>
        <v>0</v>
      </c>
      <c r="AH202" s="1009">
        <f t="shared" si="65"/>
        <v>1</v>
      </c>
      <c r="AI202" s="1908">
        <f t="shared" si="70"/>
        <v>1</v>
      </c>
    </row>
    <row r="203" spans="1:35 16361:16373" ht="44.25" hidden="1" customHeight="1" x14ac:dyDescent="0.25">
      <c r="A203" s="1607" t="s">
        <v>2850</v>
      </c>
      <c r="B203" s="1607"/>
      <c r="C203" s="1609" t="s">
        <v>1650</v>
      </c>
      <c r="D203" s="1610" t="s">
        <v>1206</v>
      </c>
      <c r="E203" s="1611"/>
      <c r="F203" s="1608" t="s">
        <v>290</v>
      </c>
      <c r="G203" s="1608"/>
      <c r="H203" s="1612">
        <f t="shared" ref="H203:H207" si="89">I203</f>
        <v>10000</v>
      </c>
      <c r="I203" s="1613">
        <v>10000</v>
      </c>
      <c r="J203" s="1604"/>
      <c r="K203" s="1604"/>
      <c r="L203" s="1604"/>
      <c r="M203" s="1604"/>
      <c r="N203" s="1759">
        <f t="shared" si="86"/>
        <v>9000</v>
      </c>
      <c r="O203" s="1759">
        <v>9000</v>
      </c>
      <c r="P203" s="1587"/>
      <c r="Q203" s="1587"/>
      <c r="R203" s="1591"/>
      <c r="S203" s="1591">
        <f>O203-U203</f>
        <v>9000</v>
      </c>
      <c r="T203" s="1623"/>
      <c r="U203" s="1623"/>
      <c r="V203" s="1591"/>
      <c r="W203" s="1591"/>
      <c r="X203" s="1623"/>
      <c r="Y203" s="1623"/>
      <c r="Z203" s="1623">
        <v>0</v>
      </c>
      <c r="AA203" s="1623">
        <v>0</v>
      </c>
      <c r="AB203" s="1623"/>
      <c r="AC203" s="1623"/>
      <c r="AD203" s="1623">
        <f t="shared" si="85"/>
        <v>0</v>
      </c>
      <c r="AE203" s="1623">
        <f t="shared" si="84"/>
        <v>0</v>
      </c>
      <c r="AF203" s="1606"/>
      <c r="AG203" s="1009">
        <f t="shared" si="64"/>
        <v>0</v>
      </c>
      <c r="AH203" s="1009">
        <f t="shared" si="65"/>
        <v>0</v>
      </c>
      <c r="AI203" s="1908">
        <f t="shared" si="70"/>
        <v>1</v>
      </c>
    </row>
    <row r="204" spans="1:35 16361:16373" ht="45.75" hidden="1" customHeight="1" x14ac:dyDescent="0.25">
      <c r="A204" s="1607" t="s">
        <v>2851</v>
      </c>
      <c r="B204" s="1607" t="s">
        <v>2832</v>
      </c>
      <c r="C204" s="1609" t="s">
        <v>2354</v>
      </c>
      <c r="D204" s="1610" t="s">
        <v>1206</v>
      </c>
      <c r="E204" s="1611" t="s">
        <v>2356</v>
      </c>
      <c r="F204" s="1608" t="s">
        <v>290</v>
      </c>
      <c r="G204" s="1608"/>
      <c r="H204" s="1612">
        <f t="shared" si="89"/>
        <v>7800</v>
      </c>
      <c r="I204" s="1613">
        <v>7800</v>
      </c>
      <c r="J204" s="1604"/>
      <c r="K204" s="1604"/>
      <c r="L204" s="1604"/>
      <c r="M204" s="1604"/>
      <c r="N204" s="1759"/>
      <c r="O204" s="1759"/>
      <c r="P204" s="1587"/>
      <c r="Q204" s="1587"/>
      <c r="R204" s="1591"/>
      <c r="S204" s="1591"/>
      <c r="T204" s="1623"/>
      <c r="U204" s="1623"/>
      <c r="V204" s="1591">
        <v>7000</v>
      </c>
      <c r="W204" s="1591"/>
      <c r="X204" s="1623">
        <f t="shared" ref="X204:X207" si="90">Y204</f>
        <v>7000</v>
      </c>
      <c r="Y204" s="1623">
        <f>V204</f>
        <v>7000</v>
      </c>
      <c r="Z204" s="1623">
        <v>7327</v>
      </c>
      <c r="AA204" s="1623">
        <v>7327</v>
      </c>
      <c r="AB204" s="1623"/>
      <c r="AC204" s="1623"/>
      <c r="AD204" s="1623">
        <f t="shared" si="85"/>
        <v>7327</v>
      </c>
      <c r="AE204" s="1623">
        <f t="shared" si="84"/>
        <v>7327</v>
      </c>
      <c r="AF204" s="1580"/>
      <c r="AG204" s="1009">
        <f t="shared" si="64"/>
        <v>0</v>
      </c>
      <c r="AH204" s="1009">
        <f t="shared" si="65"/>
        <v>1</v>
      </c>
      <c r="AI204" s="1908">
        <f t="shared" si="70"/>
        <v>1</v>
      </c>
    </row>
    <row r="205" spans="1:35 16361:16373" ht="69.75" hidden="1" customHeight="1" x14ac:dyDescent="0.25">
      <c r="A205" s="1607" t="s">
        <v>2852</v>
      </c>
      <c r="B205" s="1607" t="s">
        <v>2833</v>
      </c>
      <c r="C205" s="1609" t="s">
        <v>2352</v>
      </c>
      <c r="D205" s="1610" t="s">
        <v>1206</v>
      </c>
      <c r="E205" s="1611" t="s">
        <v>2353</v>
      </c>
      <c r="F205" s="1608" t="s">
        <v>290</v>
      </c>
      <c r="G205" s="1608"/>
      <c r="H205" s="1612">
        <f t="shared" si="89"/>
        <v>9332</v>
      </c>
      <c r="I205" s="1613">
        <v>9332</v>
      </c>
      <c r="J205" s="1604"/>
      <c r="K205" s="1604"/>
      <c r="L205" s="1604"/>
      <c r="M205" s="1604"/>
      <c r="N205" s="1623"/>
      <c r="O205" s="1623"/>
      <c r="P205" s="1591"/>
      <c r="Q205" s="1591"/>
      <c r="R205" s="1623"/>
      <c r="S205" s="1623"/>
      <c r="T205" s="1580"/>
      <c r="U205" s="1767"/>
      <c r="V205" s="1591">
        <v>3800</v>
      </c>
      <c r="W205" s="1591"/>
      <c r="X205" s="1591">
        <f t="shared" si="90"/>
        <v>3800</v>
      </c>
      <c r="Y205" s="1591">
        <f>V205+U205</f>
        <v>3800</v>
      </c>
      <c r="Z205" s="1591">
        <v>6230</v>
      </c>
      <c r="AA205" s="1623">
        <v>6230</v>
      </c>
      <c r="AB205" s="1623"/>
      <c r="AC205" s="1623"/>
      <c r="AD205" s="1623">
        <f t="shared" si="85"/>
        <v>6230</v>
      </c>
      <c r="AE205" s="1587">
        <f t="shared" si="84"/>
        <v>6230</v>
      </c>
      <c r="AF205" s="1580"/>
      <c r="AG205" s="1009">
        <f t="shared" si="64"/>
        <v>0</v>
      </c>
      <c r="AH205" s="1904">
        <f t="shared" si="65"/>
        <v>1</v>
      </c>
      <c r="AI205" s="1908">
        <f t="shared" si="70"/>
        <v>1</v>
      </c>
    </row>
    <row r="206" spans="1:35 16361:16373" ht="38.25" hidden="1" customHeight="1" x14ac:dyDescent="0.25">
      <c r="A206" s="1607" t="s">
        <v>2853</v>
      </c>
      <c r="B206" s="1607" t="s">
        <v>2834</v>
      </c>
      <c r="C206" s="1609" t="s">
        <v>2355</v>
      </c>
      <c r="D206" s="1610" t="s">
        <v>1206</v>
      </c>
      <c r="E206" s="1611"/>
      <c r="F206" s="1608" t="s">
        <v>290</v>
      </c>
      <c r="G206" s="1608"/>
      <c r="H206" s="1612">
        <f t="shared" si="89"/>
        <v>14800</v>
      </c>
      <c r="I206" s="1613">
        <v>14800</v>
      </c>
      <c r="J206" s="1604"/>
      <c r="K206" s="1604"/>
      <c r="L206" s="1604"/>
      <c r="M206" s="1604"/>
      <c r="N206" s="1759"/>
      <c r="O206" s="1759"/>
      <c r="P206" s="1587"/>
      <c r="Q206" s="1587"/>
      <c r="R206" s="1591"/>
      <c r="S206" s="1591"/>
      <c r="T206" s="1623"/>
      <c r="U206" s="1623"/>
      <c r="V206" s="1591">
        <v>13300</v>
      </c>
      <c r="W206" s="1591"/>
      <c r="X206" s="1623">
        <f t="shared" si="90"/>
        <v>13300</v>
      </c>
      <c r="Y206" s="1623">
        <f t="shared" ref="Y206:Y207" si="91">V206</f>
        <v>13300</v>
      </c>
      <c r="Z206" s="1623">
        <v>12400</v>
      </c>
      <c r="AA206" s="1623">
        <v>12400</v>
      </c>
      <c r="AB206" s="1623"/>
      <c r="AC206" s="1587"/>
      <c r="AD206" s="1623">
        <f>AE206</f>
        <v>12400</v>
      </c>
      <c r="AE206" s="1623">
        <f t="shared" si="84"/>
        <v>12400</v>
      </c>
      <c r="AF206" s="1580"/>
      <c r="AG206" s="1009">
        <f t="shared" si="64"/>
        <v>0</v>
      </c>
      <c r="AH206" s="1009">
        <f t="shared" si="65"/>
        <v>1</v>
      </c>
      <c r="AI206" s="1908">
        <f t="shared" si="70"/>
        <v>1</v>
      </c>
      <c r="XEG206" s="1037"/>
      <c r="XEH206" s="1037"/>
      <c r="XEI206" s="1038"/>
      <c r="XEJ206" s="1024"/>
      <c r="XEK206" s="1039"/>
      <c r="XEL206" s="1880"/>
      <c r="XEM206" s="1880"/>
      <c r="XEN206" s="1040"/>
      <c r="XEO206" s="1026"/>
      <c r="XEP206" s="1017"/>
      <c r="XEQ206" s="1017"/>
      <c r="XER206" s="1017"/>
      <c r="XES206" s="1017"/>
    </row>
    <row r="207" spans="1:35 16361:16373" ht="38.25" hidden="1" customHeight="1" x14ac:dyDescent="0.25">
      <c r="A207" s="1607" t="s">
        <v>2854</v>
      </c>
      <c r="B207" s="1607" t="s">
        <v>2835</v>
      </c>
      <c r="C207" s="1609" t="s">
        <v>2358</v>
      </c>
      <c r="D207" s="1610" t="s">
        <v>1206</v>
      </c>
      <c r="E207" s="1611"/>
      <c r="F207" s="1608" t="s">
        <v>290</v>
      </c>
      <c r="G207" s="1608"/>
      <c r="H207" s="1612">
        <f t="shared" si="89"/>
        <v>8600</v>
      </c>
      <c r="I207" s="1613">
        <v>8600</v>
      </c>
      <c r="J207" s="1604"/>
      <c r="K207" s="1604"/>
      <c r="L207" s="1604"/>
      <c r="M207" s="1604"/>
      <c r="N207" s="1759"/>
      <c r="O207" s="1759"/>
      <c r="P207" s="1587"/>
      <c r="Q207" s="1587"/>
      <c r="R207" s="1591"/>
      <c r="S207" s="1591"/>
      <c r="T207" s="1623"/>
      <c r="U207" s="1623"/>
      <c r="V207" s="1591">
        <v>7700</v>
      </c>
      <c r="W207" s="1591"/>
      <c r="X207" s="1623">
        <f t="shared" si="90"/>
        <v>7700</v>
      </c>
      <c r="Y207" s="1623">
        <f t="shared" si="91"/>
        <v>7700</v>
      </c>
      <c r="Z207" s="1623">
        <v>3800</v>
      </c>
      <c r="AA207" s="1623">
        <v>3800</v>
      </c>
      <c r="AB207" s="1623"/>
      <c r="AC207" s="1587"/>
      <c r="AD207" s="1623">
        <f t="shared" si="85"/>
        <v>3800</v>
      </c>
      <c r="AE207" s="1623">
        <f t="shared" si="84"/>
        <v>3800</v>
      </c>
      <c r="AF207" s="1580"/>
      <c r="AG207" s="1009">
        <f t="shared" si="64"/>
        <v>0</v>
      </c>
      <c r="AH207" s="1009">
        <f t="shared" si="65"/>
        <v>1</v>
      </c>
      <c r="AI207" s="1908">
        <f t="shared" si="70"/>
        <v>1</v>
      </c>
      <c r="XEG207" s="1037"/>
      <c r="XEH207" s="1037"/>
      <c r="XEI207" s="1038"/>
      <c r="XEJ207" s="1024"/>
      <c r="XEK207" s="1039"/>
      <c r="XEL207" s="1880"/>
      <c r="XEM207" s="1880"/>
      <c r="XEN207" s="1040"/>
      <c r="XEO207" s="1026"/>
      <c r="XEP207" s="1017"/>
      <c r="XEQ207" s="1017"/>
      <c r="XER207" s="1017"/>
      <c r="XES207" s="1017"/>
    </row>
    <row r="208" spans="1:35 16361:16373" ht="38.25" hidden="1" customHeight="1" x14ac:dyDescent="0.25">
      <c r="A208" s="1607" t="s">
        <v>2855</v>
      </c>
      <c r="B208" s="1607" t="s">
        <v>2836</v>
      </c>
      <c r="C208" s="1609" t="s">
        <v>2745</v>
      </c>
      <c r="D208" s="1610" t="s">
        <v>1206</v>
      </c>
      <c r="E208" s="1611"/>
      <c r="F208" s="1608" t="s">
        <v>290</v>
      </c>
      <c r="G208" s="1608"/>
      <c r="H208" s="1612">
        <v>6999</v>
      </c>
      <c r="I208" s="1613">
        <f t="shared" ref="I208" si="92">H208</f>
        <v>6999</v>
      </c>
      <c r="J208" s="1604"/>
      <c r="K208" s="1604"/>
      <c r="L208" s="1604"/>
      <c r="M208" s="1604"/>
      <c r="N208" s="1623"/>
      <c r="O208" s="1623"/>
      <c r="P208" s="1591"/>
      <c r="Q208" s="1591"/>
      <c r="R208" s="1623"/>
      <c r="S208" s="1623"/>
      <c r="T208" s="1604"/>
      <c r="U208" s="1604"/>
      <c r="V208" s="1591">
        <v>5800</v>
      </c>
      <c r="W208" s="1604"/>
      <c r="X208" s="1623">
        <v>6400</v>
      </c>
      <c r="Y208" s="1623">
        <f>V208</f>
        <v>5800</v>
      </c>
      <c r="Z208" s="1623">
        <v>4723</v>
      </c>
      <c r="AA208" s="1623">
        <v>4723</v>
      </c>
      <c r="AB208" s="1623"/>
      <c r="AC208" s="1587"/>
      <c r="AD208" s="1623">
        <f t="shared" ref="AD208" si="93">AE208</f>
        <v>4723</v>
      </c>
      <c r="AE208" s="1623">
        <f t="shared" si="84"/>
        <v>4723</v>
      </c>
      <c r="AF208" s="1580"/>
      <c r="AG208" s="1009">
        <f t="shared" si="64"/>
        <v>0</v>
      </c>
      <c r="AH208" s="1009">
        <f t="shared" si="65"/>
        <v>1</v>
      </c>
      <c r="AI208" s="1908">
        <f t="shared" si="70"/>
        <v>1</v>
      </c>
    </row>
    <row r="209" spans="1:36 16361:16378" s="1910" customFormat="1" ht="74.25" hidden="1" customHeight="1" x14ac:dyDescent="0.25">
      <c r="A209" s="1594"/>
      <c r="B209" s="1594"/>
      <c r="C209" s="1614" t="s">
        <v>2326</v>
      </c>
      <c r="D209" s="1596"/>
      <c r="E209" s="1615"/>
      <c r="F209" s="1616"/>
      <c r="G209" s="1616"/>
      <c r="H209" s="1617">
        <f>SUM(H210:H216)</f>
        <v>90088</v>
      </c>
      <c r="I209" s="1617">
        <f>SUM(I210:I216)</f>
        <v>44296</v>
      </c>
      <c r="J209" s="1667"/>
      <c r="K209" s="1620"/>
      <c r="L209" s="1667"/>
      <c r="M209" s="1620"/>
      <c r="N209" s="1651"/>
      <c r="O209" s="1651"/>
      <c r="P209" s="1652"/>
      <c r="Q209" s="1652"/>
      <c r="R209" s="1768"/>
      <c r="S209" s="1768"/>
      <c r="T209" s="1604"/>
      <c r="U209" s="1604"/>
      <c r="V209" s="1604">
        <f>SUM(V210:V216)</f>
        <v>41000</v>
      </c>
      <c r="W209" s="1604">
        <f t="shared" ref="W209:AE209" si="94">SUM(W210:W216)</f>
        <v>0</v>
      </c>
      <c r="X209" s="1604">
        <f t="shared" si="94"/>
        <v>41000</v>
      </c>
      <c r="Y209" s="1604">
        <f t="shared" si="94"/>
        <v>41000</v>
      </c>
      <c r="Z209" s="1604">
        <v>62571</v>
      </c>
      <c r="AA209" s="1604">
        <v>62571</v>
      </c>
      <c r="AB209" s="1604"/>
      <c r="AC209" s="1604"/>
      <c r="AD209" s="1604">
        <f t="shared" si="94"/>
        <v>62571</v>
      </c>
      <c r="AE209" s="1604">
        <f t="shared" si="94"/>
        <v>62571</v>
      </c>
      <c r="AF209" s="1624"/>
      <c r="AG209" s="1009">
        <f t="shared" ref="AG209:AG272" si="95">IF(AE209-AA209=0,0,1)</f>
        <v>0</v>
      </c>
      <c r="AH209" s="1219">
        <f t="shared" si="65"/>
        <v>1</v>
      </c>
      <c r="AI209" s="1908">
        <f t="shared" si="70"/>
        <v>1</v>
      </c>
      <c r="XEG209" s="1037"/>
      <c r="XEH209" s="1037"/>
      <c r="XEI209" s="1038"/>
      <c r="XEJ209" s="1024"/>
      <c r="XEK209" s="1039"/>
      <c r="XEL209" s="1880"/>
      <c r="XEM209" s="1880"/>
      <c r="XEN209" s="1040"/>
      <c r="XEO209" s="1026"/>
      <c r="XEP209" s="1017"/>
      <c r="XEQ209" s="1017"/>
      <c r="XER209" s="1017"/>
      <c r="XES209" s="1017"/>
    </row>
    <row r="210" spans="1:36 16361:16378" ht="43.5" hidden="1" customHeight="1" x14ac:dyDescent="0.25">
      <c r="A210" s="1607" t="s">
        <v>2855</v>
      </c>
      <c r="B210" s="1607" t="s">
        <v>2837</v>
      </c>
      <c r="C210" s="1609" t="s">
        <v>2363</v>
      </c>
      <c r="D210" s="1610" t="s">
        <v>1206</v>
      </c>
      <c r="E210" s="1611"/>
      <c r="F210" s="1608" t="s">
        <v>290</v>
      </c>
      <c r="G210" s="1608"/>
      <c r="H210" s="1613">
        <v>3613</v>
      </c>
      <c r="I210" s="1613">
        <v>1800</v>
      </c>
      <c r="J210" s="1747"/>
      <c r="K210" s="1622"/>
      <c r="L210" s="1747"/>
      <c r="M210" s="1622"/>
      <c r="N210" s="1759"/>
      <c r="O210" s="1759"/>
      <c r="P210" s="1760"/>
      <c r="Q210" s="1760"/>
      <c r="R210" s="1591"/>
      <c r="S210" s="1591"/>
      <c r="T210" s="1625"/>
      <c r="U210" s="1625"/>
      <c r="V210" s="1591">
        <v>1500</v>
      </c>
      <c r="W210" s="1591"/>
      <c r="X210" s="1625">
        <f t="shared" ref="X210:X216" si="96">V210+U210</f>
        <v>1500</v>
      </c>
      <c r="Y210" s="1625">
        <f t="shared" ref="Y210:Y216" si="97">X210</f>
        <v>1500</v>
      </c>
      <c r="Z210" s="1625">
        <v>2968</v>
      </c>
      <c r="AA210" s="1625">
        <v>2968</v>
      </c>
      <c r="AB210" s="1625"/>
      <c r="AC210" s="1625"/>
      <c r="AD210" s="1623">
        <f t="shared" ref="AD210:AD223" si="98">AE210</f>
        <v>2968</v>
      </c>
      <c r="AE210" s="1623">
        <f t="shared" ref="AE210:AE216" si="99">AA210+AB210+AC210</f>
        <v>2968</v>
      </c>
      <c r="AF210" s="1580"/>
      <c r="AG210" s="1009">
        <f t="shared" si="95"/>
        <v>0</v>
      </c>
      <c r="AH210" s="1219">
        <f t="shared" si="65"/>
        <v>1</v>
      </c>
      <c r="AI210" s="1908">
        <f t="shared" si="70"/>
        <v>1</v>
      </c>
    </row>
    <row r="211" spans="1:36 16361:16378" ht="36" hidden="1" customHeight="1" x14ac:dyDescent="0.25">
      <c r="A211" s="1607" t="s">
        <v>2856</v>
      </c>
      <c r="B211" s="1607" t="s">
        <v>2838</v>
      </c>
      <c r="C211" s="1609" t="s">
        <v>2364</v>
      </c>
      <c r="D211" s="1610" t="s">
        <v>1206</v>
      </c>
      <c r="E211" s="1611"/>
      <c r="F211" s="1608" t="s">
        <v>290</v>
      </c>
      <c r="G211" s="1608"/>
      <c r="H211" s="1613">
        <v>12418</v>
      </c>
      <c r="I211" s="1613">
        <v>5750</v>
      </c>
      <c r="J211" s="1747"/>
      <c r="K211" s="1622"/>
      <c r="L211" s="1747"/>
      <c r="M211" s="1622"/>
      <c r="N211" s="1759"/>
      <c r="O211" s="1759"/>
      <c r="P211" s="1760"/>
      <c r="Q211" s="1760"/>
      <c r="R211" s="1591"/>
      <c r="S211" s="1591"/>
      <c r="T211" s="1625"/>
      <c r="U211" s="1625"/>
      <c r="V211" s="1591">
        <v>5500</v>
      </c>
      <c r="W211" s="1591"/>
      <c r="X211" s="1625">
        <f t="shared" si="96"/>
        <v>5500</v>
      </c>
      <c r="Y211" s="1625">
        <f t="shared" si="97"/>
        <v>5500</v>
      </c>
      <c r="Z211" s="1625">
        <v>9344</v>
      </c>
      <c r="AA211" s="1625">
        <v>9344</v>
      </c>
      <c r="AB211" s="1625"/>
      <c r="AC211" s="1625"/>
      <c r="AD211" s="1623">
        <f t="shared" si="98"/>
        <v>9344</v>
      </c>
      <c r="AE211" s="1623">
        <f t="shared" si="99"/>
        <v>9344</v>
      </c>
      <c r="AF211" s="1580"/>
      <c r="AG211" s="1009">
        <f t="shared" si="95"/>
        <v>0</v>
      </c>
      <c r="AH211" s="1219">
        <f t="shared" si="65"/>
        <v>1</v>
      </c>
      <c r="AI211" s="1908">
        <f t="shared" si="70"/>
        <v>1</v>
      </c>
    </row>
    <row r="212" spans="1:36 16361:16378" ht="49.5" hidden="1" x14ac:dyDescent="0.25">
      <c r="A212" s="1607" t="s">
        <v>2857</v>
      </c>
      <c r="B212" s="1607" t="s">
        <v>2839</v>
      </c>
      <c r="C212" s="1609" t="s">
        <v>2536</v>
      </c>
      <c r="D212" s="1610" t="s">
        <v>2574</v>
      </c>
      <c r="E212" s="1611"/>
      <c r="F212" s="1608" t="s">
        <v>290</v>
      </c>
      <c r="G212" s="1608" t="s">
        <v>2710</v>
      </c>
      <c r="H212" s="1612">
        <v>29999</v>
      </c>
      <c r="I212" s="1613">
        <f>H212/2</f>
        <v>14999.5</v>
      </c>
      <c r="J212" s="1747"/>
      <c r="K212" s="1622"/>
      <c r="L212" s="1747"/>
      <c r="M212" s="1622"/>
      <c r="N212" s="1759"/>
      <c r="O212" s="1759"/>
      <c r="P212" s="1760"/>
      <c r="Q212" s="1760"/>
      <c r="R212" s="1591"/>
      <c r="S212" s="1591"/>
      <c r="T212" s="1625"/>
      <c r="U212" s="1625"/>
      <c r="V212" s="1591">
        <v>14000</v>
      </c>
      <c r="W212" s="1591"/>
      <c r="X212" s="1625">
        <f t="shared" si="96"/>
        <v>14000</v>
      </c>
      <c r="Y212" s="1625">
        <f t="shared" si="97"/>
        <v>14000</v>
      </c>
      <c r="Z212" s="1625">
        <v>15248</v>
      </c>
      <c r="AA212" s="1625">
        <v>15248</v>
      </c>
      <c r="AB212" s="1625"/>
      <c r="AC212" s="1625"/>
      <c r="AD212" s="1623">
        <f t="shared" si="98"/>
        <v>15248</v>
      </c>
      <c r="AE212" s="1623">
        <f t="shared" si="99"/>
        <v>15248</v>
      </c>
      <c r="AF212" s="1580"/>
      <c r="AG212" s="1009">
        <f t="shared" si="95"/>
        <v>0</v>
      </c>
      <c r="AH212" s="1219">
        <f t="shared" si="65"/>
        <v>1</v>
      </c>
      <c r="AI212" s="1908">
        <f t="shared" si="70"/>
        <v>1</v>
      </c>
    </row>
    <row r="213" spans="1:36 16361:16378" ht="67.5" hidden="1" customHeight="1" x14ac:dyDescent="0.25">
      <c r="A213" s="1607" t="s">
        <v>2858</v>
      </c>
      <c r="B213" s="1607" t="s">
        <v>2840</v>
      </c>
      <c r="C213" s="1609" t="s">
        <v>2365</v>
      </c>
      <c r="D213" s="1610" t="s">
        <v>2214</v>
      </c>
      <c r="E213" s="1611"/>
      <c r="F213" s="1608" t="s">
        <v>290</v>
      </c>
      <c r="G213" s="1608"/>
      <c r="H213" s="1612">
        <v>12926</v>
      </c>
      <c r="I213" s="1613">
        <v>6500</v>
      </c>
      <c r="J213" s="1747"/>
      <c r="K213" s="1622"/>
      <c r="L213" s="1747"/>
      <c r="M213" s="1622"/>
      <c r="N213" s="1759"/>
      <c r="O213" s="1759"/>
      <c r="P213" s="1760"/>
      <c r="Q213" s="1760"/>
      <c r="R213" s="1591"/>
      <c r="S213" s="1591"/>
      <c r="T213" s="1625"/>
      <c r="U213" s="1625"/>
      <c r="V213" s="1591">
        <v>6500</v>
      </c>
      <c r="W213" s="1591"/>
      <c r="X213" s="1625">
        <f t="shared" si="96"/>
        <v>6500</v>
      </c>
      <c r="Y213" s="1625">
        <f t="shared" si="97"/>
        <v>6500</v>
      </c>
      <c r="Z213" s="1625">
        <v>10768</v>
      </c>
      <c r="AA213" s="1625">
        <v>10768</v>
      </c>
      <c r="AB213" s="1625"/>
      <c r="AC213" s="1625"/>
      <c r="AD213" s="1623">
        <f t="shared" si="98"/>
        <v>10768</v>
      </c>
      <c r="AE213" s="1623">
        <f t="shared" si="99"/>
        <v>10768</v>
      </c>
      <c r="AF213" s="1580"/>
      <c r="AG213" s="1009">
        <f t="shared" si="95"/>
        <v>0</v>
      </c>
      <c r="AH213" s="1219">
        <f t="shared" si="65"/>
        <v>1</v>
      </c>
      <c r="AI213" s="1908">
        <f t="shared" si="70"/>
        <v>1</v>
      </c>
    </row>
    <row r="214" spans="1:36 16361:16378" ht="42" hidden="1" customHeight="1" x14ac:dyDescent="0.25">
      <c r="A214" s="1607" t="s">
        <v>2859</v>
      </c>
      <c r="B214" s="1607" t="s">
        <v>2841</v>
      </c>
      <c r="C214" s="1609" t="s">
        <v>2427</v>
      </c>
      <c r="D214" s="1610" t="s">
        <v>2372</v>
      </c>
      <c r="E214" s="1611"/>
      <c r="F214" s="1608" t="s">
        <v>290</v>
      </c>
      <c r="G214" s="1608"/>
      <c r="H214" s="1612">
        <v>9234</v>
      </c>
      <c r="I214" s="1613">
        <f t="shared" ref="I214:I215" si="100">H214/2</f>
        <v>4617</v>
      </c>
      <c r="J214" s="1747"/>
      <c r="K214" s="1622"/>
      <c r="L214" s="1747"/>
      <c r="M214" s="1622"/>
      <c r="N214" s="1759"/>
      <c r="O214" s="1759"/>
      <c r="P214" s="1760"/>
      <c r="Q214" s="1760"/>
      <c r="R214" s="1591"/>
      <c r="S214" s="1591"/>
      <c r="T214" s="1625"/>
      <c r="U214" s="1625"/>
      <c r="V214" s="1591">
        <v>4000</v>
      </c>
      <c r="W214" s="1591"/>
      <c r="X214" s="1625">
        <f t="shared" si="96"/>
        <v>4000</v>
      </c>
      <c r="Y214" s="1625">
        <f t="shared" si="97"/>
        <v>4000</v>
      </c>
      <c r="Z214" s="1625">
        <v>7063</v>
      </c>
      <c r="AA214" s="1625">
        <v>7063</v>
      </c>
      <c r="AB214" s="1625"/>
      <c r="AC214" s="1625"/>
      <c r="AD214" s="1623">
        <f t="shared" si="98"/>
        <v>7063</v>
      </c>
      <c r="AE214" s="1623">
        <f t="shared" si="99"/>
        <v>7063</v>
      </c>
      <c r="AF214" s="1580"/>
      <c r="AG214" s="1009">
        <f t="shared" si="95"/>
        <v>0</v>
      </c>
      <c r="AH214" s="1219">
        <f t="shared" si="65"/>
        <v>1</v>
      </c>
      <c r="AI214" s="1908">
        <f t="shared" si="70"/>
        <v>1</v>
      </c>
    </row>
    <row r="215" spans="1:36 16361:16378" ht="42" hidden="1" customHeight="1" x14ac:dyDescent="0.25">
      <c r="A215" s="1607" t="s">
        <v>2860</v>
      </c>
      <c r="B215" s="1607" t="s">
        <v>2842</v>
      </c>
      <c r="C215" s="1609" t="s">
        <v>2366</v>
      </c>
      <c r="D215" s="1610" t="s">
        <v>2372</v>
      </c>
      <c r="E215" s="1611"/>
      <c r="F215" s="1608" t="s">
        <v>290</v>
      </c>
      <c r="G215" s="1608"/>
      <c r="H215" s="1612">
        <v>12499</v>
      </c>
      <c r="I215" s="1613">
        <f t="shared" si="100"/>
        <v>6249.5</v>
      </c>
      <c r="J215" s="1747"/>
      <c r="K215" s="1622"/>
      <c r="L215" s="1747"/>
      <c r="M215" s="1622"/>
      <c r="N215" s="1759"/>
      <c r="O215" s="1759"/>
      <c r="P215" s="1760"/>
      <c r="Q215" s="1760"/>
      <c r="R215" s="1591"/>
      <c r="S215" s="1591"/>
      <c r="T215" s="1625"/>
      <c r="U215" s="1625"/>
      <c r="V215" s="1591">
        <v>5500</v>
      </c>
      <c r="W215" s="1591"/>
      <c r="X215" s="1625">
        <f t="shared" si="96"/>
        <v>5500</v>
      </c>
      <c r="Y215" s="1625">
        <f t="shared" si="97"/>
        <v>5500</v>
      </c>
      <c r="Z215" s="1625">
        <v>10180</v>
      </c>
      <c r="AA215" s="1625">
        <v>10180</v>
      </c>
      <c r="AB215" s="1625"/>
      <c r="AC215" s="1625"/>
      <c r="AD215" s="1623">
        <f t="shared" si="98"/>
        <v>10180</v>
      </c>
      <c r="AE215" s="1623">
        <f t="shared" si="99"/>
        <v>10180</v>
      </c>
      <c r="AF215" s="1580"/>
      <c r="AG215" s="1009">
        <f t="shared" si="95"/>
        <v>0</v>
      </c>
      <c r="AH215" s="1219">
        <f t="shared" si="65"/>
        <v>1</v>
      </c>
      <c r="AI215" s="1908">
        <f t="shared" si="70"/>
        <v>1</v>
      </c>
    </row>
    <row r="216" spans="1:36 16361:16378" ht="35.25" hidden="1" customHeight="1" x14ac:dyDescent="0.25">
      <c r="A216" s="1607" t="s">
        <v>2861</v>
      </c>
      <c r="B216" s="1607" t="s">
        <v>2843</v>
      </c>
      <c r="C216" s="1609" t="s">
        <v>2367</v>
      </c>
      <c r="D216" s="1610" t="s">
        <v>2575</v>
      </c>
      <c r="E216" s="1611"/>
      <c r="F216" s="1608" t="s">
        <v>290</v>
      </c>
      <c r="G216" s="1608"/>
      <c r="H216" s="1612">
        <v>9399</v>
      </c>
      <c r="I216" s="1612">
        <v>4380</v>
      </c>
      <c r="J216" s="1747"/>
      <c r="K216" s="1622"/>
      <c r="L216" s="1747"/>
      <c r="M216" s="1622"/>
      <c r="N216" s="1759"/>
      <c r="O216" s="1759"/>
      <c r="P216" s="1760"/>
      <c r="Q216" s="1760"/>
      <c r="R216" s="1591"/>
      <c r="S216" s="1591"/>
      <c r="T216" s="1625"/>
      <c r="U216" s="1625"/>
      <c r="V216" s="1591">
        <v>4000</v>
      </c>
      <c r="W216" s="1591"/>
      <c r="X216" s="1625">
        <f t="shared" si="96"/>
        <v>4000</v>
      </c>
      <c r="Y216" s="1625">
        <f t="shared" si="97"/>
        <v>4000</v>
      </c>
      <c r="Z216" s="1625">
        <v>7000</v>
      </c>
      <c r="AA216" s="1625">
        <v>7000</v>
      </c>
      <c r="AB216" s="1625"/>
      <c r="AC216" s="1625"/>
      <c r="AD216" s="1623">
        <f t="shared" si="98"/>
        <v>7000</v>
      </c>
      <c r="AE216" s="1623">
        <f t="shared" si="99"/>
        <v>7000</v>
      </c>
      <c r="AF216" s="1580"/>
      <c r="AG216" s="1009">
        <f t="shared" si="95"/>
        <v>0</v>
      </c>
      <c r="AH216" s="1219">
        <f t="shared" si="65"/>
        <v>1</v>
      </c>
      <c r="AI216" s="1908">
        <f t="shared" si="70"/>
        <v>1</v>
      </c>
    </row>
    <row r="217" spans="1:36 16361:16378" ht="57.75" hidden="1" customHeight="1" x14ac:dyDescent="0.25">
      <c r="A217" s="1601" t="s">
        <v>2884</v>
      </c>
      <c r="B217" s="1601" t="s">
        <v>2884</v>
      </c>
      <c r="C217" s="1602" t="s">
        <v>2074</v>
      </c>
      <c r="D217" s="1610"/>
      <c r="E217" s="1611"/>
      <c r="F217" s="1608"/>
      <c r="G217" s="1608"/>
      <c r="H217" s="1604">
        <f>SUM(H218:H223)</f>
        <v>107703</v>
      </c>
      <c r="I217" s="1604">
        <f>SUM(I218:I223)</f>
        <v>107703</v>
      </c>
      <c r="J217" s="1747"/>
      <c r="K217" s="1622"/>
      <c r="L217" s="1747"/>
      <c r="M217" s="1622"/>
      <c r="N217" s="1759"/>
      <c r="O217" s="1759"/>
      <c r="P217" s="1760"/>
      <c r="Q217" s="1760"/>
      <c r="R217" s="1591"/>
      <c r="S217" s="1591"/>
      <c r="T217" s="1625"/>
      <c r="U217" s="1625"/>
      <c r="V217" s="1604">
        <f>SUM(V218:V223)</f>
        <v>40500</v>
      </c>
      <c r="W217" s="1591"/>
      <c r="X217" s="1604">
        <f t="shared" ref="X217:Y217" si="101">SUM(X218:X223)</f>
        <v>40500</v>
      </c>
      <c r="Y217" s="1604">
        <f t="shared" si="101"/>
        <v>40500</v>
      </c>
      <c r="Z217" s="1604">
        <v>45298</v>
      </c>
      <c r="AA217" s="1604">
        <v>45298</v>
      </c>
      <c r="AB217" s="1604"/>
      <c r="AC217" s="1605"/>
      <c r="AD217" s="1604">
        <f t="shared" ref="AD217:AE217" si="102">SUM(AD218:AD223)</f>
        <v>45298</v>
      </c>
      <c r="AE217" s="1604">
        <f t="shared" si="102"/>
        <v>45298</v>
      </c>
      <c r="AF217" s="1580"/>
      <c r="AG217" s="1009">
        <f t="shared" si="95"/>
        <v>0</v>
      </c>
      <c r="AH217" s="1219">
        <f t="shared" si="65"/>
        <v>1</v>
      </c>
      <c r="AI217" s="1908">
        <f t="shared" si="70"/>
        <v>1</v>
      </c>
    </row>
    <row r="218" spans="1:36 16361:16378" ht="54.75" hidden="1" customHeight="1" x14ac:dyDescent="0.25">
      <c r="A218" s="1607" t="s">
        <v>3246</v>
      </c>
      <c r="B218" s="1607" t="s">
        <v>3246</v>
      </c>
      <c r="C218" s="1609" t="s">
        <v>2516</v>
      </c>
      <c r="D218" s="1610" t="s">
        <v>1206</v>
      </c>
      <c r="E218" s="1611"/>
      <c r="F218" s="1608" t="s">
        <v>168</v>
      </c>
      <c r="G218" s="1610" t="s">
        <v>2711</v>
      </c>
      <c r="H218" s="1612">
        <f t="shared" ref="H218" si="103">I218</f>
        <v>29050</v>
      </c>
      <c r="I218" s="1613">
        <v>29050</v>
      </c>
      <c r="J218" s="1747"/>
      <c r="K218" s="1622"/>
      <c r="L218" s="1747"/>
      <c r="M218" s="1622"/>
      <c r="N218" s="1759"/>
      <c r="O218" s="1759"/>
      <c r="P218" s="1760"/>
      <c r="Q218" s="1760"/>
      <c r="R218" s="1591"/>
      <c r="S218" s="1591"/>
      <c r="T218" s="1625"/>
      <c r="U218" s="1625"/>
      <c r="V218" s="1591">
        <f>8000+6500</f>
        <v>14500</v>
      </c>
      <c r="W218" s="1591"/>
      <c r="X218" s="1623">
        <f>Y218</f>
        <v>14500</v>
      </c>
      <c r="Y218" s="1623">
        <f>V218</f>
        <v>14500</v>
      </c>
      <c r="Z218" s="1623">
        <v>11000</v>
      </c>
      <c r="AA218" s="1623">
        <v>11000</v>
      </c>
      <c r="AB218" s="1623"/>
      <c r="AC218" s="1587"/>
      <c r="AD218" s="1623">
        <f t="shared" si="98"/>
        <v>11000</v>
      </c>
      <c r="AE218" s="1623">
        <f t="shared" ref="AE218:AE223" si="104">AA218+AB218+AC218</f>
        <v>11000</v>
      </c>
      <c r="AF218" s="1580"/>
      <c r="AG218" s="1009">
        <f t="shared" si="95"/>
        <v>0</v>
      </c>
      <c r="AH218" s="1904">
        <f t="shared" si="65"/>
        <v>1</v>
      </c>
      <c r="AI218" s="1908">
        <f t="shared" si="70"/>
        <v>1</v>
      </c>
    </row>
    <row r="219" spans="1:36 16361:16378" ht="52.5" hidden="1" customHeight="1" x14ac:dyDescent="0.25">
      <c r="A219" s="1607" t="s">
        <v>2885</v>
      </c>
      <c r="B219" s="1607" t="s">
        <v>2885</v>
      </c>
      <c r="C219" s="1609" t="s">
        <v>2359</v>
      </c>
      <c r="D219" s="1610" t="s">
        <v>1206</v>
      </c>
      <c r="E219" s="1611"/>
      <c r="F219" s="1608" t="s">
        <v>168</v>
      </c>
      <c r="G219" s="1608"/>
      <c r="H219" s="1612">
        <v>6796</v>
      </c>
      <c r="I219" s="1613">
        <f>H219</f>
        <v>6796</v>
      </c>
      <c r="J219" s="1604"/>
      <c r="K219" s="1604"/>
      <c r="L219" s="1604"/>
      <c r="M219" s="1604"/>
      <c r="N219" s="1759"/>
      <c r="O219" s="1759"/>
      <c r="P219" s="1587"/>
      <c r="Q219" s="1587"/>
      <c r="R219" s="1591"/>
      <c r="S219" s="1591"/>
      <c r="T219" s="1623"/>
      <c r="U219" s="1623"/>
      <c r="V219" s="1591">
        <v>2400</v>
      </c>
      <c r="W219" s="1591"/>
      <c r="X219" s="1623">
        <f>Y219</f>
        <v>2400</v>
      </c>
      <c r="Y219" s="1623">
        <f>V219</f>
        <v>2400</v>
      </c>
      <c r="Z219" s="1623">
        <v>2696</v>
      </c>
      <c r="AA219" s="1623">
        <v>2696</v>
      </c>
      <c r="AB219" s="1623"/>
      <c r="AC219" s="1623"/>
      <c r="AD219" s="1623">
        <f t="shared" si="98"/>
        <v>2696</v>
      </c>
      <c r="AE219" s="1623">
        <f t="shared" si="104"/>
        <v>2696</v>
      </c>
      <c r="AF219" s="1580"/>
      <c r="AG219" s="1009">
        <f t="shared" si="95"/>
        <v>0</v>
      </c>
      <c r="AH219" s="1009">
        <f t="shared" si="65"/>
        <v>1</v>
      </c>
      <c r="AI219" s="1908">
        <f>IF(I219-Y219&gt;=0,1,0)</f>
        <v>1</v>
      </c>
    </row>
    <row r="220" spans="1:36 16361:16378" ht="56.25" hidden="1" customHeight="1" x14ac:dyDescent="0.25">
      <c r="A220" s="1607" t="s">
        <v>2886</v>
      </c>
      <c r="B220" s="1607" t="s">
        <v>2886</v>
      </c>
      <c r="C220" s="1609" t="s">
        <v>2360</v>
      </c>
      <c r="D220" s="1610" t="s">
        <v>1206</v>
      </c>
      <c r="E220" s="1611"/>
      <c r="F220" s="1608" t="s">
        <v>168</v>
      </c>
      <c r="G220" s="1608"/>
      <c r="H220" s="1612">
        <v>12347</v>
      </c>
      <c r="I220" s="1613">
        <f>H220</f>
        <v>12347</v>
      </c>
      <c r="J220" s="1604"/>
      <c r="K220" s="1604"/>
      <c r="L220" s="1604"/>
      <c r="M220" s="1604"/>
      <c r="N220" s="1759"/>
      <c r="O220" s="1759"/>
      <c r="P220" s="1587"/>
      <c r="Q220" s="1587"/>
      <c r="R220" s="1591"/>
      <c r="S220" s="1591"/>
      <c r="T220" s="1623"/>
      <c r="U220" s="1623"/>
      <c r="V220" s="1591">
        <v>4800</v>
      </c>
      <c r="W220" s="1591"/>
      <c r="X220" s="1623">
        <f>Y220</f>
        <v>4800</v>
      </c>
      <c r="Y220" s="1623">
        <f>V220</f>
        <v>4800</v>
      </c>
      <c r="Z220" s="1623">
        <v>7626</v>
      </c>
      <c r="AA220" s="1623">
        <v>7626</v>
      </c>
      <c r="AB220" s="1623"/>
      <c r="AC220" s="1623"/>
      <c r="AD220" s="1623">
        <f t="shared" si="98"/>
        <v>7626</v>
      </c>
      <c r="AE220" s="1623">
        <f t="shared" si="104"/>
        <v>7626</v>
      </c>
      <c r="AF220" s="1580"/>
      <c r="AG220" s="1009">
        <f t="shared" si="95"/>
        <v>0</v>
      </c>
      <c r="AH220" s="1009">
        <f t="shared" si="65"/>
        <v>1</v>
      </c>
      <c r="AI220" s="1908">
        <f>IF(I220-Y220&gt;=0,1,0)</f>
        <v>1</v>
      </c>
    </row>
    <row r="221" spans="1:36 16361:16378" ht="46.5" hidden="1" customHeight="1" x14ac:dyDescent="0.25">
      <c r="A221" s="1607" t="s">
        <v>2887</v>
      </c>
      <c r="B221" s="1607" t="s">
        <v>2887</v>
      </c>
      <c r="C221" s="1609" t="s">
        <v>2361</v>
      </c>
      <c r="D221" s="1610" t="s">
        <v>1206</v>
      </c>
      <c r="E221" s="1611"/>
      <c r="F221" s="1608" t="s">
        <v>168</v>
      </c>
      <c r="G221" s="1608"/>
      <c r="H221" s="1612">
        <v>14792</v>
      </c>
      <c r="I221" s="1613">
        <f>H221</f>
        <v>14792</v>
      </c>
      <c r="J221" s="1604"/>
      <c r="K221" s="1604"/>
      <c r="L221" s="1604"/>
      <c r="M221" s="1604"/>
      <c r="N221" s="1759"/>
      <c r="O221" s="1759"/>
      <c r="P221" s="1587"/>
      <c r="Q221" s="1587"/>
      <c r="R221" s="1591"/>
      <c r="S221" s="1591"/>
      <c r="T221" s="1623"/>
      <c r="U221" s="1623"/>
      <c r="V221" s="1591">
        <v>5300</v>
      </c>
      <c r="W221" s="1591"/>
      <c r="X221" s="1623">
        <f>Y221</f>
        <v>5300</v>
      </c>
      <c r="Y221" s="1623">
        <f>V221</f>
        <v>5300</v>
      </c>
      <c r="Z221" s="1623">
        <v>6425</v>
      </c>
      <c r="AA221" s="1623">
        <v>6425</v>
      </c>
      <c r="AB221" s="1623"/>
      <c r="AC221" s="1623"/>
      <c r="AD221" s="1623">
        <f t="shared" si="98"/>
        <v>6425</v>
      </c>
      <c r="AE221" s="1623">
        <f t="shared" si="104"/>
        <v>6425</v>
      </c>
      <c r="AF221" s="1580"/>
      <c r="AG221" s="1009">
        <f t="shared" si="95"/>
        <v>0</v>
      </c>
      <c r="AH221" s="1009">
        <f t="shared" si="65"/>
        <v>1</v>
      </c>
      <c r="AI221" s="1908">
        <f>IF(I221-Y221&gt;=0,1,0)</f>
        <v>1</v>
      </c>
    </row>
    <row r="222" spans="1:36 16361:16378" ht="57.75" hidden="1" customHeight="1" x14ac:dyDescent="0.25">
      <c r="A222" s="1607" t="s">
        <v>2888</v>
      </c>
      <c r="B222" s="1607" t="s">
        <v>2888</v>
      </c>
      <c r="C222" s="1609" t="s">
        <v>2362</v>
      </c>
      <c r="D222" s="1610" t="s">
        <v>1206</v>
      </c>
      <c r="E222" s="1611"/>
      <c r="F222" s="1608" t="s">
        <v>168</v>
      </c>
      <c r="G222" s="1608"/>
      <c r="H222" s="1612">
        <v>14893</v>
      </c>
      <c r="I222" s="1613">
        <f>H222</f>
        <v>14893</v>
      </c>
      <c r="J222" s="1604"/>
      <c r="K222" s="1604"/>
      <c r="L222" s="1604"/>
      <c r="M222" s="1604"/>
      <c r="N222" s="1759"/>
      <c r="O222" s="1759"/>
      <c r="P222" s="1587"/>
      <c r="Q222" s="1587"/>
      <c r="R222" s="1591"/>
      <c r="S222" s="1591"/>
      <c r="T222" s="1623"/>
      <c r="U222" s="1623"/>
      <c r="V222" s="1591">
        <v>5300</v>
      </c>
      <c r="W222" s="1591"/>
      <c r="X222" s="1623">
        <f>Y222</f>
        <v>5300</v>
      </c>
      <c r="Y222" s="1623">
        <f>V222</f>
        <v>5300</v>
      </c>
      <c r="Z222" s="1623">
        <v>7051</v>
      </c>
      <c r="AA222" s="1623">
        <v>7051</v>
      </c>
      <c r="AB222" s="1623"/>
      <c r="AC222" s="1623"/>
      <c r="AD222" s="1623">
        <f t="shared" si="98"/>
        <v>7051</v>
      </c>
      <c r="AE222" s="1623">
        <f t="shared" si="104"/>
        <v>7051</v>
      </c>
      <c r="AF222" s="1580"/>
      <c r="AG222" s="1009">
        <f t="shared" si="95"/>
        <v>0</v>
      </c>
      <c r="AH222" s="1009">
        <f t="shared" si="65"/>
        <v>1</v>
      </c>
      <c r="AI222" s="1908">
        <f>IF(I222-Y222&gt;=0,1,0)</f>
        <v>1</v>
      </c>
    </row>
    <row r="223" spans="1:36 16361:16378" ht="54.75" hidden="1" customHeight="1" x14ac:dyDescent="0.25">
      <c r="A223" s="1607" t="s">
        <v>3247</v>
      </c>
      <c r="B223" s="1607" t="s">
        <v>3247</v>
      </c>
      <c r="C223" s="1609" t="s">
        <v>2210</v>
      </c>
      <c r="D223" s="1610" t="s">
        <v>1206</v>
      </c>
      <c r="E223" s="1611"/>
      <c r="F223" s="1608" t="s">
        <v>168</v>
      </c>
      <c r="G223" s="1608" t="s">
        <v>2712</v>
      </c>
      <c r="H223" s="1612">
        <f t="shared" ref="H223" si="105">I223</f>
        <v>29825</v>
      </c>
      <c r="I223" s="1613">
        <v>29825</v>
      </c>
      <c r="J223" s="1747"/>
      <c r="K223" s="1622"/>
      <c r="L223" s="1747"/>
      <c r="M223" s="1622"/>
      <c r="N223" s="1759"/>
      <c r="O223" s="1759"/>
      <c r="P223" s="1591"/>
      <c r="Q223" s="1591"/>
      <c r="R223" s="1625"/>
      <c r="S223" s="1625"/>
      <c r="T223" s="1622"/>
      <c r="U223" s="1769"/>
      <c r="V223" s="1591">
        <v>8200</v>
      </c>
      <c r="W223" s="1591"/>
      <c r="X223" s="1591">
        <f>V223</f>
        <v>8200</v>
      </c>
      <c r="Y223" s="1591">
        <f>X223</f>
        <v>8200</v>
      </c>
      <c r="Z223" s="1591">
        <v>10500</v>
      </c>
      <c r="AA223" s="1591">
        <v>10500</v>
      </c>
      <c r="AB223" s="1591"/>
      <c r="AC223" s="1591"/>
      <c r="AD223" s="1623">
        <f t="shared" si="98"/>
        <v>10500</v>
      </c>
      <c r="AE223" s="1623">
        <f t="shared" si="104"/>
        <v>10500</v>
      </c>
      <c r="AF223" s="1580"/>
      <c r="AG223" s="1009">
        <f t="shared" si="95"/>
        <v>0</v>
      </c>
      <c r="AH223" s="1904">
        <f t="shared" si="65"/>
        <v>1</v>
      </c>
      <c r="AI223" s="1908">
        <f t="shared" si="70"/>
        <v>1</v>
      </c>
    </row>
    <row r="224" spans="1:36 16361:16378" ht="28.5" customHeight="1" x14ac:dyDescent="0.25">
      <c r="A224" s="1596">
        <v>3</v>
      </c>
      <c r="B224" s="1596">
        <v>3</v>
      </c>
      <c r="C224" s="1618" t="s">
        <v>1239</v>
      </c>
      <c r="D224" s="1596"/>
      <c r="E224" s="1596"/>
      <c r="F224" s="1596"/>
      <c r="G224" s="1619"/>
      <c r="H224" s="1620">
        <f>H225</f>
        <v>381430.28500000003</v>
      </c>
      <c r="I224" s="1620">
        <f t="shared" ref="I224:AC224" si="106">I225</f>
        <v>381430.28500000003</v>
      </c>
      <c r="J224" s="1620">
        <f t="shared" si="106"/>
        <v>0</v>
      </c>
      <c r="K224" s="1620">
        <f t="shared" si="106"/>
        <v>0</v>
      </c>
      <c r="L224" s="1620">
        <f t="shared" si="106"/>
        <v>0</v>
      </c>
      <c r="M224" s="1620">
        <f t="shared" si="106"/>
        <v>0</v>
      </c>
      <c r="N224" s="1620">
        <f t="shared" si="106"/>
        <v>195199.52380952382</v>
      </c>
      <c r="O224" s="1620">
        <f t="shared" si="106"/>
        <v>195199.52380952382</v>
      </c>
      <c r="P224" s="1620">
        <f t="shared" si="106"/>
        <v>190000</v>
      </c>
      <c r="Q224" s="1620">
        <f t="shared" si="106"/>
        <v>190000</v>
      </c>
      <c r="R224" s="1620">
        <f t="shared" si="106"/>
        <v>87160</v>
      </c>
      <c r="S224" s="1620">
        <f t="shared" si="106"/>
        <v>92359.523809523802</v>
      </c>
      <c r="T224" s="1620">
        <f t="shared" si="106"/>
        <v>190000</v>
      </c>
      <c r="U224" s="1620">
        <f t="shared" si="106"/>
        <v>190000</v>
      </c>
      <c r="V224" s="1620">
        <f>V225</f>
        <v>13100</v>
      </c>
      <c r="W224" s="1620">
        <f>W225</f>
        <v>5200</v>
      </c>
      <c r="X224" s="1620">
        <f t="shared" si="106"/>
        <v>197900</v>
      </c>
      <c r="Y224" s="1620">
        <f t="shared" si="106"/>
        <v>197900</v>
      </c>
      <c r="Z224" s="1620">
        <v>206981</v>
      </c>
      <c r="AA224" s="1620">
        <v>206981</v>
      </c>
      <c r="AB224" s="1620">
        <f t="shared" si="106"/>
        <v>5040</v>
      </c>
      <c r="AC224" s="1626">
        <f t="shared" si="106"/>
        <v>0</v>
      </c>
      <c r="AD224" s="1620">
        <f t="shared" ref="AD224:AE224" si="107">AD225</f>
        <v>212021</v>
      </c>
      <c r="AE224" s="1620">
        <f t="shared" si="107"/>
        <v>212021</v>
      </c>
      <c r="AF224" s="1599"/>
      <c r="AG224" s="1009">
        <f t="shared" si="95"/>
        <v>1</v>
      </c>
      <c r="AH224" s="1009">
        <f t="shared" si="65"/>
        <v>1</v>
      </c>
      <c r="AI224" s="1908">
        <f t="shared" si="70"/>
        <v>1</v>
      </c>
      <c r="AJ224" s="1908"/>
      <c r="XEH224" s="1037"/>
      <c r="XEI224" s="1038"/>
      <c r="XEJ224" s="1024"/>
      <c r="XEK224" s="1039"/>
      <c r="XEL224" s="1880"/>
      <c r="XEM224" s="1880"/>
      <c r="XEN224" s="1040"/>
      <c r="XEO224" s="1026"/>
      <c r="XEP224" s="282"/>
      <c r="XEQ224" s="63"/>
      <c r="XER224" s="282"/>
      <c r="XES224" s="63"/>
      <c r="XET224" s="1031"/>
      <c r="XEU224" s="1031"/>
      <c r="XEV224" s="54"/>
      <c r="XEW224" s="54"/>
      <c r="XEX224" s="1033"/>
    </row>
    <row r="225" spans="1:36" ht="34.5" x14ac:dyDescent="0.25">
      <c r="A225" s="1600" t="s">
        <v>2889</v>
      </c>
      <c r="B225" s="1600" t="s">
        <v>2889</v>
      </c>
      <c r="C225" s="1602" t="s">
        <v>86</v>
      </c>
      <c r="D225" s="1603"/>
      <c r="E225" s="1603"/>
      <c r="F225" s="1603"/>
      <c r="G225" s="1603"/>
      <c r="H225" s="1604">
        <f t="shared" ref="H225:AE225" si="108">H226+H333</f>
        <v>381430.28500000003</v>
      </c>
      <c r="I225" s="1604">
        <f t="shared" si="108"/>
        <v>381430.28500000003</v>
      </c>
      <c r="J225" s="1604">
        <f t="shared" si="108"/>
        <v>0</v>
      </c>
      <c r="K225" s="1604">
        <f t="shared" si="108"/>
        <v>0</v>
      </c>
      <c r="L225" s="1604">
        <f t="shared" si="108"/>
        <v>0</v>
      </c>
      <c r="M225" s="1604">
        <f t="shared" si="108"/>
        <v>0</v>
      </c>
      <c r="N225" s="1604">
        <f t="shared" si="108"/>
        <v>195199.52380952382</v>
      </c>
      <c r="O225" s="1604">
        <f t="shared" si="108"/>
        <v>195199.52380952382</v>
      </c>
      <c r="P225" s="1604">
        <f t="shared" si="108"/>
        <v>190000</v>
      </c>
      <c r="Q225" s="1604">
        <f t="shared" si="108"/>
        <v>190000</v>
      </c>
      <c r="R225" s="1604">
        <f t="shared" si="108"/>
        <v>87160</v>
      </c>
      <c r="S225" s="1604">
        <f t="shared" si="108"/>
        <v>92359.523809523802</v>
      </c>
      <c r="T225" s="1604">
        <f t="shared" si="108"/>
        <v>190000</v>
      </c>
      <c r="U225" s="1604">
        <f t="shared" si="108"/>
        <v>190000</v>
      </c>
      <c r="V225" s="1604">
        <f t="shared" si="108"/>
        <v>13100</v>
      </c>
      <c r="W225" s="1604">
        <f t="shared" si="108"/>
        <v>5200</v>
      </c>
      <c r="X225" s="1604">
        <f t="shared" si="108"/>
        <v>197900</v>
      </c>
      <c r="Y225" s="1604">
        <f t="shared" si="108"/>
        <v>197900</v>
      </c>
      <c r="Z225" s="1604">
        <v>206981</v>
      </c>
      <c r="AA225" s="1604">
        <v>206981</v>
      </c>
      <c r="AB225" s="1604">
        <f t="shared" si="108"/>
        <v>5040</v>
      </c>
      <c r="AC225" s="1605">
        <f t="shared" si="108"/>
        <v>0</v>
      </c>
      <c r="AD225" s="1604">
        <f t="shared" si="108"/>
        <v>212021</v>
      </c>
      <c r="AE225" s="1604">
        <f t="shared" si="108"/>
        <v>212021</v>
      </c>
      <c r="AF225" s="1606"/>
      <c r="AG225" s="1009">
        <f t="shared" si="95"/>
        <v>1</v>
      </c>
      <c r="AH225" s="1009">
        <f t="shared" si="65"/>
        <v>1</v>
      </c>
      <c r="AI225" s="1908">
        <f t="shared" si="70"/>
        <v>1</v>
      </c>
      <c r="AJ225" s="1908"/>
    </row>
    <row r="226" spans="1:36" ht="58.5" customHeight="1" x14ac:dyDescent="0.25">
      <c r="A226" s="1601" t="s">
        <v>2890</v>
      </c>
      <c r="B226" s="1601" t="s">
        <v>2890</v>
      </c>
      <c r="C226" s="1602" t="s">
        <v>88</v>
      </c>
      <c r="D226" s="1603"/>
      <c r="E226" s="1603"/>
      <c r="F226" s="1603"/>
      <c r="G226" s="1603"/>
      <c r="H226" s="1604">
        <f t="shared" ref="H226:AD226" si="109">SUM(H227:H332)</f>
        <v>339613.28500000003</v>
      </c>
      <c r="I226" s="1604">
        <f t="shared" si="109"/>
        <v>339613.28500000003</v>
      </c>
      <c r="J226" s="1604">
        <f t="shared" si="109"/>
        <v>0</v>
      </c>
      <c r="K226" s="1604">
        <f t="shared" si="109"/>
        <v>0</v>
      </c>
      <c r="L226" s="1604">
        <f t="shared" si="109"/>
        <v>0</v>
      </c>
      <c r="M226" s="1604">
        <f t="shared" si="109"/>
        <v>0</v>
      </c>
      <c r="N226" s="1604">
        <f t="shared" si="109"/>
        <v>195199.52380952382</v>
      </c>
      <c r="O226" s="1604">
        <f t="shared" si="109"/>
        <v>195199.52380952382</v>
      </c>
      <c r="P226" s="1604">
        <f t="shared" si="109"/>
        <v>175730</v>
      </c>
      <c r="Q226" s="1604">
        <f t="shared" si="109"/>
        <v>175730</v>
      </c>
      <c r="R226" s="1604">
        <f t="shared" si="109"/>
        <v>72890</v>
      </c>
      <c r="S226" s="1604">
        <f t="shared" si="109"/>
        <v>92359.523809523802</v>
      </c>
      <c r="T226" s="1604">
        <f t="shared" si="109"/>
        <v>175730</v>
      </c>
      <c r="U226" s="1604">
        <f t="shared" si="109"/>
        <v>175730</v>
      </c>
      <c r="V226" s="1604">
        <f t="shared" si="109"/>
        <v>13100</v>
      </c>
      <c r="W226" s="1604">
        <f t="shared" si="109"/>
        <v>5200</v>
      </c>
      <c r="X226" s="1604">
        <f t="shared" si="109"/>
        <v>183630</v>
      </c>
      <c r="Y226" s="1604">
        <f t="shared" si="109"/>
        <v>183630</v>
      </c>
      <c r="Z226" s="1604">
        <v>191965</v>
      </c>
      <c r="AA226" s="1604">
        <v>191965</v>
      </c>
      <c r="AB226" s="1604">
        <f t="shared" si="109"/>
        <v>5040</v>
      </c>
      <c r="AC226" s="1604">
        <f t="shared" si="109"/>
        <v>0</v>
      </c>
      <c r="AD226" s="1604">
        <f t="shared" si="109"/>
        <v>197005</v>
      </c>
      <c r="AE226" s="1604">
        <f>SUM(AE227:AE332)</f>
        <v>197005</v>
      </c>
      <c r="AF226" s="1606"/>
      <c r="AG226" s="1009">
        <f t="shared" si="95"/>
        <v>1</v>
      </c>
      <c r="AH226" s="1009">
        <f t="shared" si="65"/>
        <v>1</v>
      </c>
      <c r="AI226" s="1908">
        <f t="shared" si="70"/>
        <v>1</v>
      </c>
    </row>
    <row r="227" spans="1:36" ht="57.75" hidden="1" customHeight="1" x14ac:dyDescent="0.25">
      <c r="A227" s="1608" t="s">
        <v>2891</v>
      </c>
      <c r="B227" s="1608" t="s">
        <v>2891</v>
      </c>
      <c r="C227" s="1621" t="s">
        <v>1648</v>
      </c>
      <c r="D227" s="1608" t="s">
        <v>1359</v>
      </c>
      <c r="E227" s="1608" t="s">
        <v>1647</v>
      </c>
      <c r="F227" s="1608">
        <v>2016</v>
      </c>
      <c r="G227" s="1608" t="s">
        <v>1646</v>
      </c>
      <c r="H227" s="1622">
        <v>9627</v>
      </c>
      <c r="I227" s="1613">
        <f t="shared" ref="I227:I266" si="110">H227</f>
        <v>9627</v>
      </c>
      <c r="J227" s="1747"/>
      <c r="K227" s="1622"/>
      <c r="L227" s="1747"/>
      <c r="M227" s="1622"/>
      <c r="N227" s="1759">
        <f t="shared" ref="N227:N279" si="111">O227</f>
        <v>8850</v>
      </c>
      <c r="O227" s="1622">
        <v>8850</v>
      </c>
      <c r="P227" s="1770">
        <v>8850</v>
      </c>
      <c r="Q227" s="1629">
        <v>8850</v>
      </c>
      <c r="R227" s="1591"/>
      <c r="S227" s="1591"/>
      <c r="T227" s="1627">
        <v>8850</v>
      </c>
      <c r="U227" s="1628">
        <v>8850</v>
      </c>
      <c r="V227" s="1591"/>
      <c r="W227" s="1591"/>
      <c r="X227" s="1627">
        <v>8850</v>
      </c>
      <c r="Y227" s="1628">
        <v>8850</v>
      </c>
      <c r="Z227" s="1627">
        <v>8206</v>
      </c>
      <c r="AA227" s="1628">
        <v>8206</v>
      </c>
      <c r="AB227" s="1628"/>
      <c r="AC227" s="1629"/>
      <c r="AD227" s="1623">
        <f t="shared" ref="AD227:AD290" si="112">AE227</f>
        <v>8206</v>
      </c>
      <c r="AE227" s="1623">
        <f t="shared" ref="AE227:AE258" si="113">AA227+AB227+AC227</f>
        <v>8206</v>
      </c>
      <c r="AF227" s="1599"/>
      <c r="AG227" s="1009">
        <f t="shared" si="95"/>
        <v>0</v>
      </c>
      <c r="AH227" s="1009">
        <f t="shared" si="65"/>
        <v>1</v>
      </c>
      <c r="AI227" s="1908">
        <f t="shared" si="70"/>
        <v>1</v>
      </c>
    </row>
    <row r="228" spans="1:36" ht="69.75" hidden="1" customHeight="1" x14ac:dyDescent="0.25">
      <c r="A228" s="1608" t="s">
        <v>2892</v>
      </c>
      <c r="B228" s="1608"/>
      <c r="C228" s="1630" t="s">
        <v>1645</v>
      </c>
      <c r="D228" s="1608" t="s">
        <v>1640</v>
      </c>
      <c r="E228" s="1608" t="s">
        <v>1644</v>
      </c>
      <c r="F228" s="1608">
        <v>2016</v>
      </c>
      <c r="G228" s="1608" t="s">
        <v>1643</v>
      </c>
      <c r="H228" s="1622">
        <v>1934</v>
      </c>
      <c r="I228" s="1613">
        <f t="shared" si="110"/>
        <v>1934</v>
      </c>
      <c r="J228" s="1747"/>
      <c r="K228" s="1622"/>
      <c r="L228" s="1747"/>
      <c r="M228" s="1622"/>
      <c r="N228" s="1759">
        <f t="shared" si="111"/>
        <v>1750</v>
      </c>
      <c r="O228" s="1622">
        <v>1750</v>
      </c>
      <c r="P228" s="1770">
        <f>Q228</f>
        <v>1520</v>
      </c>
      <c r="Q228" s="1629">
        <v>1520</v>
      </c>
      <c r="R228" s="1591"/>
      <c r="S228" s="1591">
        <f>O228-U228</f>
        <v>230</v>
      </c>
      <c r="T228" s="1627">
        <f>U228</f>
        <v>1520</v>
      </c>
      <c r="U228" s="1628">
        <v>1520</v>
      </c>
      <c r="V228" s="1591"/>
      <c r="W228" s="1591"/>
      <c r="X228" s="1627">
        <f>Y228</f>
        <v>1520</v>
      </c>
      <c r="Y228" s="1628">
        <v>1520</v>
      </c>
      <c r="Z228" s="1627">
        <v>1520</v>
      </c>
      <c r="AA228" s="1628">
        <v>1520</v>
      </c>
      <c r="AB228" s="1628"/>
      <c r="AC228" s="1629"/>
      <c r="AD228" s="1623">
        <f t="shared" si="112"/>
        <v>1520</v>
      </c>
      <c r="AE228" s="1623">
        <f t="shared" si="113"/>
        <v>1520</v>
      </c>
      <c r="AF228" s="1580"/>
      <c r="AG228" s="1009">
        <f t="shared" si="95"/>
        <v>0</v>
      </c>
      <c r="AH228" s="1009">
        <f t="shared" si="65"/>
        <v>1</v>
      </c>
      <c r="AI228" s="1908">
        <f t="shared" si="70"/>
        <v>1</v>
      </c>
    </row>
    <row r="229" spans="1:36" ht="58.5" hidden="1" customHeight="1" x14ac:dyDescent="0.25">
      <c r="A229" s="1608" t="s">
        <v>2893</v>
      </c>
      <c r="B229" s="1608" t="s">
        <v>2892</v>
      </c>
      <c r="C229" s="1630" t="s">
        <v>1641</v>
      </c>
      <c r="D229" s="1608" t="s">
        <v>1640</v>
      </c>
      <c r="E229" s="1608" t="s">
        <v>1639</v>
      </c>
      <c r="F229" s="1608">
        <v>2016</v>
      </c>
      <c r="G229" s="1608" t="s">
        <v>1638</v>
      </c>
      <c r="H229" s="1622">
        <v>8333</v>
      </c>
      <c r="I229" s="1613">
        <f t="shared" si="110"/>
        <v>8333</v>
      </c>
      <c r="J229" s="1747"/>
      <c r="K229" s="1622"/>
      <c r="L229" s="1747"/>
      <c r="M229" s="1622"/>
      <c r="N229" s="1759">
        <f t="shared" si="111"/>
        <v>7550</v>
      </c>
      <c r="O229" s="1622">
        <v>7550</v>
      </c>
      <c r="P229" s="1770">
        <v>7550</v>
      </c>
      <c r="Q229" s="1629">
        <v>7550</v>
      </c>
      <c r="R229" s="1591"/>
      <c r="S229" s="1591"/>
      <c r="T229" s="1627">
        <v>7550</v>
      </c>
      <c r="U229" s="1628">
        <v>7550</v>
      </c>
      <c r="V229" s="1591"/>
      <c r="W229" s="1591"/>
      <c r="X229" s="1627">
        <v>7550</v>
      </c>
      <c r="Y229" s="1628">
        <v>7550</v>
      </c>
      <c r="Z229" s="1627">
        <v>6414</v>
      </c>
      <c r="AA229" s="1628">
        <v>6414</v>
      </c>
      <c r="AB229" s="1628"/>
      <c r="AC229" s="1629"/>
      <c r="AD229" s="1623">
        <f t="shared" si="112"/>
        <v>6414</v>
      </c>
      <c r="AE229" s="1623">
        <f t="shared" si="113"/>
        <v>6414</v>
      </c>
      <c r="AF229" s="1599"/>
      <c r="AG229" s="1009">
        <f t="shared" si="95"/>
        <v>0</v>
      </c>
      <c r="AH229" s="1009">
        <f t="shared" si="65"/>
        <v>1</v>
      </c>
      <c r="AI229" s="1908">
        <f t="shared" si="70"/>
        <v>1</v>
      </c>
    </row>
    <row r="230" spans="1:36" ht="33" hidden="1" x14ac:dyDescent="0.25">
      <c r="A230" s="1608" t="s">
        <v>2894</v>
      </c>
      <c r="B230" s="1608" t="s">
        <v>2893</v>
      </c>
      <c r="C230" s="1631" t="s">
        <v>1637</v>
      </c>
      <c r="D230" s="1608" t="s">
        <v>1357</v>
      </c>
      <c r="E230" s="1608" t="s">
        <v>1636</v>
      </c>
      <c r="F230" s="1608">
        <v>2016</v>
      </c>
      <c r="G230" s="1608" t="s">
        <v>1635</v>
      </c>
      <c r="H230" s="1622">
        <v>2669</v>
      </c>
      <c r="I230" s="1613">
        <f t="shared" si="110"/>
        <v>2669</v>
      </c>
      <c r="J230" s="1604"/>
      <c r="K230" s="1604"/>
      <c r="L230" s="1604"/>
      <c r="M230" s="1604"/>
      <c r="N230" s="1759">
        <f t="shared" si="111"/>
        <v>2450</v>
      </c>
      <c r="O230" s="1622">
        <v>2450</v>
      </c>
      <c r="P230" s="1770">
        <v>2450</v>
      </c>
      <c r="Q230" s="1629">
        <v>2450</v>
      </c>
      <c r="R230" s="1591"/>
      <c r="S230" s="1591"/>
      <c r="T230" s="1627">
        <v>2450</v>
      </c>
      <c r="U230" s="1628">
        <v>2450</v>
      </c>
      <c r="V230" s="1591"/>
      <c r="W230" s="1591"/>
      <c r="X230" s="1627">
        <v>2450</v>
      </c>
      <c r="Y230" s="1628">
        <v>2450</v>
      </c>
      <c r="Z230" s="1627">
        <v>2128</v>
      </c>
      <c r="AA230" s="1628">
        <v>2128</v>
      </c>
      <c r="AB230" s="1628"/>
      <c r="AC230" s="1629"/>
      <c r="AD230" s="1623">
        <f t="shared" si="112"/>
        <v>2128</v>
      </c>
      <c r="AE230" s="1623">
        <f t="shared" si="113"/>
        <v>2128</v>
      </c>
      <c r="AF230" s="1606"/>
      <c r="AG230" s="1009">
        <f t="shared" si="95"/>
        <v>0</v>
      </c>
      <c r="AH230" s="1009">
        <f t="shared" si="65"/>
        <v>1</v>
      </c>
      <c r="AI230" s="1908">
        <f t="shared" si="70"/>
        <v>1</v>
      </c>
    </row>
    <row r="231" spans="1:36" ht="33" hidden="1" x14ac:dyDescent="0.25">
      <c r="A231" s="1608" t="s">
        <v>2895</v>
      </c>
      <c r="B231" s="1608" t="s">
        <v>2894</v>
      </c>
      <c r="C231" s="1631" t="s">
        <v>1634</v>
      </c>
      <c r="D231" s="1608" t="s">
        <v>1357</v>
      </c>
      <c r="E231" s="1608" t="s">
        <v>1633</v>
      </c>
      <c r="F231" s="1608">
        <v>2016</v>
      </c>
      <c r="G231" s="1608" t="s">
        <v>1632</v>
      </c>
      <c r="H231" s="1622">
        <v>2089</v>
      </c>
      <c r="I231" s="1613">
        <f t="shared" si="110"/>
        <v>2089</v>
      </c>
      <c r="J231" s="1581"/>
      <c r="K231" s="1581"/>
      <c r="L231" s="1581"/>
      <c r="M231" s="1581"/>
      <c r="N231" s="1759">
        <f t="shared" si="111"/>
        <v>1950</v>
      </c>
      <c r="O231" s="1622">
        <v>1950</v>
      </c>
      <c r="P231" s="1770">
        <f>Q231</f>
        <v>1720</v>
      </c>
      <c r="Q231" s="1629">
        <v>1720</v>
      </c>
      <c r="R231" s="1591"/>
      <c r="S231" s="1591">
        <f>O231-U231</f>
        <v>230</v>
      </c>
      <c r="T231" s="1627">
        <f>U231</f>
        <v>1720</v>
      </c>
      <c r="U231" s="1628">
        <v>1720</v>
      </c>
      <c r="V231" s="1591"/>
      <c r="W231" s="1591"/>
      <c r="X231" s="1627">
        <f>Y231</f>
        <v>1720</v>
      </c>
      <c r="Y231" s="1628">
        <v>1720</v>
      </c>
      <c r="Z231" s="1627">
        <v>1647</v>
      </c>
      <c r="AA231" s="1628">
        <v>1647</v>
      </c>
      <c r="AB231" s="1628"/>
      <c r="AC231" s="1629"/>
      <c r="AD231" s="1623">
        <f t="shared" si="112"/>
        <v>1647</v>
      </c>
      <c r="AE231" s="1623">
        <f t="shared" si="113"/>
        <v>1647</v>
      </c>
      <c r="AF231" s="1632"/>
      <c r="AG231" s="1009">
        <f t="shared" si="95"/>
        <v>0</v>
      </c>
      <c r="AH231" s="1009">
        <f t="shared" si="65"/>
        <v>1</v>
      </c>
      <c r="AI231" s="1908">
        <f t="shared" si="70"/>
        <v>1</v>
      </c>
    </row>
    <row r="232" spans="1:36" ht="50.25" hidden="1" customHeight="1" x14ac:dyDescent="0.25">
      <c r="A232" s="1608" t="s">
        <v>2896</v>
      </c>
      <c r="B232" s="1608"/>
      <c r="C232" s="1631" t="s">
        <v>1631</v>
      </c>
      <c r="D232" s="1608" t="s">
        <v>1357</v>
      </c>
      <c r="E232" s="1608" t="s">
        <v>1630</v>
      </c>
      <c r="F232" s="1608">
        <v>2016</v>
      </c>
      <c r="G232" s="1608" t="s">
        <v>1629</v>
      </c>
      <c r="H232" s="1622">
        <v>1706</v>
      </c>
      <c r="I232" s="1613">
        <f t="shared" si="110"/>
        <v>1706</v>
      </c>
      <c r="J232" s="1747"/>
      <c r="K232" s="1747"/>
      <c r="L232" s="1747"/>
      <c r="M232" s="1747"/>
      <c r="N232" s="1759">
        <f t="shared" si="111"/>
        <v>1600</v>
      </c>
      <c r="O232" s="1622">
        <v>1600</v>
      </c>
      <c r="P232" s="1770">
        <f>Q232</f>
        <v>1330</v>
      </c>
      <c r="Q232" s="1629">
        <v>1330</v>
      </c>
      <c r="R232" s="1591"/>
      <c r="S232" s="1591">
        <f>O232-U232</f>
        <v>270</v>
      </c>
      <c r="T232" s="1627">
        <f>U232</f>
        <v>1330</v>
      </c>
      <c r="U232" s="1628">
        <v>1330</v>
      </c>
      <c r="V232" s="1591"/>
      <c r="W232" s="1591"/>
      <c r="X232" s="1627">
        <f>Y232</f>
        <v>1330</v>
      </c>
      <c r="Y232" s="1628">
        <v>1330</v>
      </c>
      <c r="Z232" s="1627">
        <v>1330</v>
      </c>
      <c r="AA232" s="1628">
        <v>1330</v>
      </c>
      <c r="AB232" s="1628"/>
      <c r="AC232" s="1629"/>
      <c r="AD232" s="1623">
        <f t="shared" si="112"/>
        <v>1330</v>
      </c>
      <c r="AE232" s="1623">
        <f t="shared" si="113"/>
        <v>1330</v>
      </c>
      <c r="AF232" s="1599"/>
      <c r="AG232" s="1009">
        <f t="shared" si="95"/>
        <v>0</v>
      </c>
      <c r="AH232" s="1009">
        <f t="shared" si="65"/>
        <v>1</v>
      </c>
      <c r="AI232" s="1908">
        <f t="shared" si="70"/>
        <v>1</v>
      </c>
    </row>
    <row r="233" spans="1:36" ht="52.5" hidden="1" customHeight="1" x14ac:dyDescent="0.25">
      <c r="A233" s="1608" t="s">
        <v>2897</v>
      </c>
      <c r="B233" s="1608"/>
      <c r="C233" s="1631" t="s">
        <v>1628</v>
      </c>
      <c r="D233" s="1608" t="s">
        <v>1357</v>
      </c>
      <c r="E233" s="1608" t="s">
        <v>1627</v>
      </c>
      <c r="F233" s="1608">
        <v>2016</v>
      </c>
      <c r="G233" s="1608" t="s">
        <v>1626</v>
      </c>
      <c r="H233" s="1622">
        <v>1307</v>
      </c>
      <c r="I233" s="1613">
        <f t="shared" si="110"/>
        <v>1307</v>
      </c>
      <c r="J233" s="1747"/>
      <c r="K233" s="1747"/>
      <c r="L233" s="1747"/>
      <c r="M233" s="1747"/>
      <c r="N233" s="1759">
        <f t="shared" si="111"/>
        <v>1200</v>
      </c>
      <c r="O233" s="1622">
        <v>1200</v>
      </c>
      <c r="P233" s="1770">
        <v>1050</v>
      </c>
      <c r="Q233" s="1629">
        <v>1050</v>
      </c>
      <c r="R233" s="1591"/>
      <c r="S233" s="1591">
        <f>O233-U233</f>
        <v>150</v>
      </c>
      <c r="T233" s="1627">
        <v>1050</v>
      </c>
      <c r="U233" s="1628">
        <v>1050</v>
      </c>
      <c r="V233" s="1591"/>
      <c r="W233" s="1591"/>
      <c r="X233" s="1627">
        <v>1050</v>
      </c>
      <c r="Y233" s="1628">
        <v>1050</v>
      </c>
      <c r="Z233" s="1627">
        <v>1050</v>
      </c>
      <c r="AA233" s="1628">
        <v>1050</v>
      </c>
      <c r="AB233" s="1628"/>
      <c r="AC233" s="1629"/>
      <c r="AD233" s="1623">
        <f t="shared" si="112"/>
        <v>1050</v>
      </c>
      <c r="AE233" s="1623">
        <f t="shared" si="113"/>
        <v>1050</v>
      </c>
      <c r="AF233" s="1599"/>
      <c r="AG233" s="1009">
        <f t="shared" si="95"/>
        <v>0</v>
      </c>
      <c r="AH233" s="1009">
        <f t="shared" si="65"/>
        <v>1</v>
      </c>
      <c r="AI233" s="1908">
        <f t="shared" si="70"/>
        <v>1</v>
      </c>
    </row>
    <row r="234" spans="1:36" ht="50.25" hidden="1" customHeight="1" x14ac:dyDescent="0.25">
      <c r="A234" s="1608" t="s">
        <v>3248</v>
      </c>
      <c r="B234" s="1608" t="s">
        <v>2895</v>
      </c>
      <c r="C234" s="1630" t="s">
        <v>1625</v>
      </c>
      <c r="D234" s="1608" t="s">
        <v>1357</v>
      </c>
      <c r="E234" s="1608" t="s">
        <v>1624</v>
      </c>
      <c r="F234" s="1608">
        <v>2016</v>
      </c>
      <c r="G234" s="1608" t="s">
        <v>1623</v>
      </c>
      <c r="H234" s="1622">
        <v>2749</v>
      </c>
      <c r="I234" s="1613">
        <f t="shared" si="110"/>
        <v>2749</v>
      </c>
      <c r="J234" s="1747"/>
      <c r="K234" s="1747"/>
      <c r="L234" s="1747"/>
      <c r="M234" s="1747"/>
      <c r="N234" s="1759">
        <f t="shared" si="111"/>
        <v>2500</v>
      </c>
      <c r="O234" s="1622">
        <v>2500</v>
      </c>
      <c r="P234" s="1770">
        <v>2500</v>
      </c>
      <c r="Q234" s="1629">
        <v>2500</v>
      </c>
      <c r="R234" s="1591"/>
      <c r="S234" s="1591"/>
      <c r="T234" s="1627">
        <v>2500</v>
      </c>
      <c r="U234" s="1628">
        <v>2500</v>
      </c>
      <c r="V234" s="1591"/>
      <c r="W234" s="1591"/>
      <c r="X234" s="1627">
        <v>2500</v>
      </c>
      <c r="Y234" s="1628">
        <v>2500</v>
      </c>
      <c r="Z234" s="1627">
        <v>2236</v>
      </c>
      <c r="AA234" s="1628">
        <v>2236</v>
      </c>
      <c r="AB234" s="1628"/>
      <c r="AC234" s="1629"/>
      <c r="AD234" s="1623">
        <f t="shared" si="112"/>
        <v>2236</v>
      </c>
      <c r="AE234" s="1623">
        <f t="shared" si="113"/>
        <v>2236</v>
      </c>
      <c r="AF234" s="1599"/>
      <c r="AG234" s="1009">
        <f t="shared" si="95"/>
        <v>0</v>
      </c>
      <c r="AH234" s="1009">
        <f t="shared" si="65"/>
        <v>1</v>
      </c>
      <c r="AI234" s="1908">
        <f t="shared" si="70"/>
        <v>1</v>
      </c>
    </row>
    <row r="235" spans="1:36" ht="50.25" hidden="1" customHeight="1" x14ac:dyDescent="0.25">
      <c r="A235" s="1608" t="s">
        <v>3249</v>
      </c>
      <c r="B235" s="1608" t="s">
        <v>2896</v>
      </c>
      <c r="C235" s="1631" t="s">
        <v>1622</v>
      </c>
      <c r="D235" s="1608" t="s">
        <v>1357</v>
      </c>
      <c r="E235" s="1608" t="s">
        <v>1621</v>
      </c>
      <c r="F235" s="1608">
        <v>2016</v>
      </c>
      <c r="G235" s="1608" t="s">
        <v>1620</v>
      </c>
      <c r="H235" s="1622">
        <v>1653</v>
      </c>
      <c r="I235" s="1613">
        <f t="shared" si="110"/>
        <v>1653</v>
      </c>
      <c r="J235" s="1747"/>
      <c r="K235" s="1747"/>
      <c r="L235" s="1747"/>
      <c r="M235" s="1747"/>
      <c r="N235" s="1759">
        <f t="shared" si="111"/>
        <v>1500</v>
      </c>
      <c r="O235" s="1622">
        <v>1500</v>
      </c>
      <c r="P235" s="1770">
        <v>1500</v>
      </c>
      <c r="Q235" s="1629">
        <v>1500</v>
      </c>
      <c r="R235" s="1591"/>
      <c r="S235" s="1591"/>
      <c r="T235" s="1627">
        <v>1500</v>
      </c>
      <c r="U235" s="1628">
        <v>1500</v>
      </c>
      <c r="V235" s="1591"/>
      <c r="W235" s="1591"/>
      <c r="X235" s="1627">
        <v>1500</v>
      </c>
      <c r="Y235" s="1628">
        <v>1500</v>
      </c>
      <c r="Z235" s="1627">
        <v>1317</v>
      </c>
      <c r="AA235" s="1628">
        <v>1317</v>
      </c>
      <c r="AB235" s="1628"/>
      <c r="AC235" s="1629"/>
      <c r="AD235" s="1623">
        <f t="shared" si="112"/>
        <v>1317</v>
      </c>
      <c r="AE235" s="1623">
        <f t="shared" si="113"/>
        <v>1317</v>
      </c>
      <c r="AF235" s="1599"/>
      <c r="AG235" s="1009">
        <f t="shared" si="95"/>
        <v>0</v>
      </c>
      <c r="AH235" s="1009">
        <f t="shared" si="65"/>
        <v>1</v>
      </c>
      <c r="AI235" s="1908">
        <f t="shared" si="70"/>
        <v>1</v>
      </c>
    </row>
    <row r="236" spans="1:36" ht="52.5" hidden="1" customHeight="1" x14ac:dyDescent="0.25">
      <c r="A236" s="1608" t="s">
        <v>3250</v>
      </c>
      <c r="B236" s="1608"/>
      <c r="C236" s="1631" t="s">
        <v>1619</v>
      </c>
      <c r="D236" s="1608" t="s">
        <v>1357</v>
      </c>
      <c r="E236" s="1608" t="s">
        <v>1618</v>
      </c>
      <c r="F236" s="1608">
        <v>2016</v>
      </c>
      <c r="G236" s="1608" t="s">
        <v>1617</v>
      </c>
      <c r="H236" s="1622">
        <v>1842</v>
      </c>
      <c r="I236" s="1613">
        <f t="shared" si="110"/>
        <v>1842</v>
      </c>
      <c r="J236" s="1747"/>
      <c r="K236" s="1747"/>
      <c r="L236" s="1747"/>
      <c r="M236" s="1747"/>
      <c r="N236" s="1759">
        <f t="shared" si="111"/>
        <v>1700</v>
      </c>
      <c r="O236" s="1622">
        <v>1700</v>
      </c>
      <c r="P236" s="1770">
        <f>Q236</f>
        <v>1530</v>
      </c>
      <c r="Q236" s="1629">
        <v>1530</v>
      </c>
      <c r="R236" s="1591"/>
      <c r="S236" s="1591">
        <f>O236-U236</f>
        <v>170</v>
      </c>
      <c r="T236" s="1627">
        <f>U236</f>
        <v>1530</v>
      </c>
      <c r="U236" s="1628">
        <v>1530</v>
      </c>
      <c r="V236" s="1591"/>
      <c r="W236" s="1591"/>
      <c r="X236" s="1627">
        <f>Y236</f>
        <v>1530</v>
      </c>
      <c r="Y236" s="1628">
        <v>1530</v>
      </c>
      <c r="Z236" s="1627">
        <v>1530</v>
      </c>
      <c r="AA236" s="1628">
        <v>1530</v>
      </c>
      <c r="AB236" s="1628"/>
      <c r="AC236" s="1629"/>
      <c r="AD236" s="1623">
        <f t="shared" si="112"/>
        <v>1530</v>
      </c>
      <c r="AE236" s="1623">
        <f t="shared" si="113"/>
        <v>1530</v>
      </c>
      <c r="AF236" s="1608"/>
      <c r="AG236" s="1009">
        <f t="shared" si="95"/>
        <v>0</v>
      </c>
      <c r="AH236" s="1009">
        <f t="shared" si="65"/>
        <v>1</v>
      </c>
      <c r="AI236" s="1908">
        <f t="shared" si="70"/>
        <v>1</v>
      </c>
    </row>
    <row r="237" spans="1:36" ht="51.75" hidden="1" customHeight="1" x14ac:dyDescent="0.25">
      <c r="A237" s="1608" t="s">
        <v>3251</v>
      </c>
      <c r="B237" s="1608" t="s">
        <v>2897</v>
      </c>
      <c r="C237" s="1631" t="s">
        <v>1616</v>
      </c>
      <c r="D237" s="1608" t="s">
        <v>1357</v>
      </c>
      <c r="E237" s="1608" t="s">
        <v>1615</v>
      </c>
      <c r="F237" s="1608">
        <v>2016</v>
      </c>
      <c r="G237" s="1608" t="s">
        <v>1614</v>
      </c>
      <c r="H237" s="1622">
        <v>1305</v>
      </c>
      <c r="I237" s="1613">
        <f t="shared" si="110"/>
        <v>1305</v>
      </c>
      <c r="J237" s="1747"/>
      <c r="K237" s="1747"/>
      <c r="L237" s="1747"/>
      <c r="M237" s="1747"/>
      <c r="N237" s="1759">
        <f t="shared" si="111"/>
        <v>1200</v>
      </c>
      <c r="O237" s="1622">
        <v>1200</v>
      </c>
      <c r="P237" s="1770">
        <v>1200</v>
      </c>
      <c r="Q237" s="1629">
        <v>1200</v>
      </c>
      <c r="R237" s="1591"/>
      <c r="S237" s="1591"/>
      <c r="T237" s="1627">
        <v>1200</v>
      </c>
      <c r="U237" s="1628">
        <v>1200</v>
      </c>
      <c r="V237" s="1591"/>
      <c r="W237" s="1591"/>
      <c r="X237" s="1627">
        <v>1200</v>
      </c>
      <c r="Y237" s="1628">
        <v>1200</v>
      </c>
      <c r="Z237" s="1627">
        <v>1087</v>
      </c>
      <c r="AA237" s="1628">
        <v>1087</v>
      </c>
      <c r="AB237" s="1628"/>
      <c r="AC237" s="1629"/>
      <c r="AD237" s="1623">
        <f t="shared" si="112"/>
        <v>1087</v>
      </c>
      <c r="AE237" s="1623">
        <f t="shared" si="113"/>
        <v>1087</v>
      </c>
      <c r="AF237" s="1599"/>
      <c r="AG237" s="1009">
        <f t="shared" si="95"/>
        <v>0</v>
      </c>
      <c r="AH237" s="1009">
        <f t="shared" si="65"/>
        <v>1</v>
      </c>
      <c r="AI237" s="1908">
        <f t="shared" si="70"/>
        <v>1</v>
      </c>
    </row>
    <row r="238" spans="1:36" ht="52.5" hidden="1" customHeight="1" x14ac:dyDescent="0.25">
      <c r="A238" s="1608" t="s">
        <v>3252</v>
      </c>
      <c r="B238" s="1608" t="s">
        <v>3248</v>
      </c>
      <c r="C238" s="1631" t="s">
        <v>1613</v>
      </c>
      <c r="D238" s="1608" t="s">
        <v>1357</v>
      </c>
      <c r="E238" s="1608" t="s">
        <v>1612</v>
      </c>
      <c r="F238" s="1608">
        <v>2016</v>
      </c>
      <c r="G238" s="1608" t="s">
        <v>1611</v>
      </c>
      <c r="H238" s="1633">
        <v>1342</v>
      </c>
      <c r="I238" s="1613">
        <f t="shared" si="110"/>
        <v>1342</v>
      </c>
      <c r="J238" s="1747"/>
      <c r="K238" s="1747"/>
      <c r="L238" s="1747"/>
      <c r="M238" s="1747"/>
      <c r="N238" s="1759">
        <f t="shared" si="111"/>
        <v>1230</v>
      </c>
      <c r="O238" s="1622">
        <v>1230</v>
      </c>
      <c r="P238" s="1770">
        <v>1230</v>
      </c>
      <c r="Q238" s="1771">
        <v>1230</v>
      </c>
      <c r="R238" s="1591"/>
      <c r="S238" s="1591"/>
      <c r="T238" s="1627">
        <v>1230</v>
      </c>
      <c r="U238" s="1634">
        <v>1230</v>
      </c>
      <c r="V238" s="1591"/>
      <c r="W238" s="1591"/>
      <c r="X238" s="1627">
        <v>1230</v>
      </c>
      <c r="Y238" s="1634">
        <v>1230</v>
      </c>
      <c r="Z238" s="1627">
        <v>1095</v>
      </c>
      <c r="AA238" s="1634">
        <v>1095</v>
      </c>
      <c r="AB238" s="1634"/>
      <c r="AC238" s="1629"/>
      <c r="AD238" s="1623">
        <f t="shared" si="112"/>
        <v>1095</v>
      </c>
      <c r="AE238" s="1623">
        <f t="shared" si="113"/>
        <v>1095</v>
      </c>
      <c r="AF238" s="1599"/>
      <c r="AG238" s="1009">
        <f t="shared" si="95"/>
        <v>0</v>
      </c>
      <c r="AH238" s="1009">
        <f t="shared" si="65"/>
        <v>1</v>
      </c>
      <c r="AI238" s="1908">
        <f t="shared" ref="AI238:AI301" si="114">IF(I238-Y238&gt;=0,1,0)</f>
        <v>1</v>
      </c>
    </row>
    <row r="239" spans="1:36" ht="52.5" hidden="1" customHeight="1" x14ac:dyDescent="0.25">
      <c r="A239" s="1608" t="s">
        <v>3253</v>
      </c>
      <c r="B239" s="1608"/>
      <c r="C239" s="1772" t="s">
        <v>1610</v>
      </c>
      <c r="D239" s="1608" t="s">
        <v>1355</v>
      </c>
      <c r="E239" s="1608" t="s">
        <v>1609</v>
      </c>
      <c r="F239" s="1608">
        <v>2016</v>
      </c>
      <c r="G239" s="1608" t="s">
        <v>1608</v>
      </c>
      <c r="H239" s="1633">
        <v>2109</v>
      </c>
      <c r="I239" s="1613">
        <f t="shared" si="110"/>
        <v>2109</v>
      </c>
      <c r="J239" s="1747"/>
      <c r="K239" s="1747"/>
      <c r="L239" s="1747"/>
      <c r="M239" s="1747"/>
      <c r="N239" s="1759">
        <f t="shared" si="111"/>
        <v>1940</v>
      </c>
      <c r="O239" s="1622">
        <v>1940</v>
      </c>
      <c r="P239" s="1770">
        <f>Q239</f>
        <v>1740</v>
      </c>
      <c r="Q239" s="1771">
        <v>1740</v>
      </c>
      <c r="R239" s="1591"/>
      <c r="S239" s="1591">
        <f>O239-U239</f>
        <v>200</v>
      </c>
      <c r="T239" s="1627">
        <f>U239</f>
        <v>1740</v>
      </c>
      <c r="U239" s="1634">
        <v>1740</v>
      </c>
      <c r="V239" s="1591"/>
      <c r="W239" s="1591"/>
      <c r="X239" s="1627">
        <f>Y239</f>
        <v>1740</v>
      </c>
      <c r="Y239" s="1634">
        <v>1740</v>
      </c>
      <c r="Z239" s="1627">
        <v>1740</v>
      </c>
      <c r="AA239" s="1634">
        <v>1740</v>
      </c>
      <c r="AB239" s="1634"/>
      <c r="AC239" s="1629"/>
      <c r="AD239" s="1623">
        <f t="shared" si="112"/>
        <v>1740</v>
      </c>
      <c r="AE239" s="1623">
        <f t="shared" si="113"/>
        <v>1740</v>
      </c>
      <c r="AF239" s="1599"/>
      <c r="AG239" s="1009">
        <f t="shared" si="95"/>
        <v>0</v>
      </c>
      <c r="AH239" s="1009">
        <f t="shared" si="65"/>
        <v>1</v>
      </c>
      <c r="AI239" s="1908">
        <f t="shared" si="114"/>
        <v>1</v>
      </c>
    </row>
    <row r="240" spans="1:36" ht="56.25" hidden="1" customHeight="1" x14ac:dyDescent="0.25">
      <c r="A240" s="1608" t="s">
        <v>3254</v>
      </c>
      <c r="B240" s="1608"/>
      <c r="C240" s="1772" t="s">
        <v>1607</v>
      </c>
      <c r="D240" s="1608" t="s">
        <v>1355</v>
      </c>
      <c r="E240" s="1608" t="s">
        <v>1606</v>
      </c>
      <c r="F240" s="1608">
        <v>2016</v>
      </c>
      <c r="G240" s="1608" t="s">
        <v>1605</v>
      </c>
      <c r="H240" s="1633">
        <v>3221</v>
      </c>
      <c r="I240" s="1613">
        <f t="shared" si="110"/>
        <v>3221</v>
      </c>
      <c r="J240" s="1747"/>
      <c r="K240" s="1747"/>
      <c r="L240" s="1747"/>
      <c r="M240" s="1747"/>
      <c r="N240" s="1759">
        <f t="shared" si="111"/>
        <v>2960</v>
      </c>
      <c r="O240" s="1622">
        <v>2960</v>
      </c>
      <c r="P240" s="1770">
        <v>2700</v>
      </c>
      <c r="Q240" s="1771">
        <v>2700</v>
      </c>
      <c r="R240" s="1591"/>
      <c r="S240" s="1591">
        <f>O240-U240</f>
        <v>260</v>
      </c>
      <c r="T240" s="1627">
        <v>2700</v>
      </c>
      <c r="U240" s="1634">
        <v>2700</v>
      </c>
      <c r="V240" s="1591"/>
      <c r="W240" s="1591"/>
      <c r="X240" s="1627">
        <v>2700</v>
      </c>
      <c r="Y240" s="1634">
        <v>2700</v>
      </c>
      <c r="Z240" s="1627">
        <v>2700</v>
      </c>
      <c r="AA240" s="1634">
        <v>2700</v>
      </c>
      <c r="AB240" s="1634"/>
      <c r="AC240" s="1634"/>
      <c r="AD240" s="1623">
        <f t="shared" si="112"/>
        <v>2700</v>
      </c>
      <c r="AE240" s="1623">
        <f t="shared" si="113"/>
        <v>2700</v>
      </c>
      <c r="AF240" s="1599"/>
      <c r="AG240" s="1009">
        <f t="shared" si="95"/>
        <v>0</v>
      </c>
      <c r="AH240" s="1009">
        <f t="shared" si="65"/>
        <v>1</v>
      </c>
      <c r="AI240" s="1908">
        <f t="shared" si="114"/>
        <v>1</v>
      </c>
    </row>
    <row r="241" spans="1:35" ht="57.75" hidden="1" customHeight="1" x14ac:dyDescent="0.25">
      <c r="A241" s="1608" t="s">
        <v>3255</v>
      </c>
      <c r="B241" s="1608"/>
      <c r="C241" s="1772" t="s">
        <v>1604</v>
      </c>
      <c r="D241" s="1608" t="s">
        <v>1355</v>
      </c>
      <c r="E241" s="1608" t="s">
        <v>1603</v>
      </c>
      <c r="F241" s="1608">
        <v>2016</v>
      </c>
      <c r="G241" s="1608" t="s">
        <v>1602</v>
      </c>
      <c r="H241" s="1633">
        <v>1105</v>
      </c>
      <c r="I241" s="1613">
        <f t="shared" si="110"/>
        <v>1105</v>
      </c>
      <c r="J241" s="1747"/>
      <c r="K241" s="1747"/>
      <c r="L241" s="1747"/>
      <c r="M241" s="1747"/>
      <c r="N241" s="1759">
        <f t="shared" si="111"/>
        <v>1020</v>
      </c>
      <c r="O241" s="1622">
        <v>1020</v>
      </c>
      <c r="P241" s="1770">
        <f>Q241</f>
        <v>830</v>
      </c>
      <c r="Q241" s="1771">
        <v>830</v>
      </c>
      <c r="R241" s="1591"/>
      <c r="S241" s="1591">
        <f>O241-U241</f>
        <v>190</v>
      </c>
      <c r="T241" s="1627">
        <f>U241</f>
        <v>830</v>
      </c>
      <c r="U241" s="1634">
        <v>830</v>
      </c>
      <c r="V241" s="1591"/>
      <c r="W241" s="1591"/>
      <c r="X241" s="1627">
        <f>Y241</f>
        <v>830</v>
      </c>
      <c r="Y241" s="1634">
        <v>830</v>
      </c>
      <c r="Z241" s="1627">
        <v>830</v>
      </c>
      <c r="AA241" s="1634">
        <v>830</v>
      </c>
      <c r="AB241" s="1634"/>
      <c r="AC241" s="1629"/>
      <c r="AD241" s="1623">
        <f t="shared" si="112"/>
        <v>830</v>
      </c>
      <c r="AE241" s="1623">
        <f t="shared" si="113"/>
        <v>830</v>
      </c>
      <c r="AF241" s="1599"/>
      <c r="AG241" s="1009">
        <f t="shared" si="95"/>
        <v>0</v>
      </c>
      <c r="AH241" s="1009">
        <f t="shared" si="65"/>
        <v>1</v>
      </c>
      <c r="AI241" s="1908">
        <f t="shared" si="114"/>
        <v>1</v>
      </c>
    </row>
    <row r="242" spans="1:35" ht="51.75" hidden="1" customHeight="1" x14ac:dyDescent="0.25">
      <c r="A242" s="1608" t="s">
        <v>3256</v>
      </c>
      <c r="B242" s="1608" t="s">
        <v>3249</v>
      </c>
      <c r="C242" s="1630" t="s">
        <v>1601</v>
      </c>
      <c r="D242" s="1608" t="s">
        <v>1600</v>
      </c>
      <c r="E242" s="1608"/>
      <c r="F242" s="1608">
        <v>2016</v>
      </c>
      <c r="G242" s="1608" t="s">
        <v>1599</v>
      </c>
      <c r="H242" s="1633">
        <v>1455</v>
      </c>
      <c r="I242" s="1613">
        <f t="shared" si="110"/>
        <v>1455</v>
      </c>
      <c r="J242" s="1747"/>
      <c r="K242" s="1747"/>
      <c r="L242" s="1747"/>
      <c r="M242" s="1747"/>
      <c r="N242" s="1759">
        <f t="shared" si="111"/>
        <v>1390</v>
      </c>
      <c r="O242" s="1622">
        <v>1390</v>
      </c>
      <c r="P242" s="1770">
        <v>1390</v>
      </c>
      <c r="Q242" s="1771">
        <v>1390</v>
      </c>
      <c r="R242" s="1591"/>
      <c r="S242" s="1591"/>
      <c r="T242" s="1627">
        <v>1390</v>
      </c>
      <c r="U242" s="1634">
        <v>1390</v>
      </c>
      <c r="V242" s="1591"/>
      <c r="W242" s="1591"/>
      <c r="X242" s="1627">
        <v>1390</v>
      </c>
      <c r="Y242" s="1634">
        <v>1390</v>
      </c>
      <c r="Z242" s="1627">
        <v>1240</v>
      </c>
      <c r="AA242" s="1634">
        <v>1240</v>
      </c>
      <c r="AB242" s="1634"/>
      <c r="AC242" s="1629"/>
      <c r="AD242" s="1623">
        <f t="shared" si="112"/>
        <v>1240</v>
      </c>
      <c r="AE242" s="1623">
        <f t="shared" si="113"/>
        <v>1240</v>
      </c>
      <c r="AF242" s="1599"/>
      <c r="AG242" s="1009">
        <f t="shared" si="95"/>
        <v>0</v>
      </c>
      <c r="AH242" s="1009">
        <f t="shared" si="65"/>
        <v>1</v>
      </c>
      <c r="AI242" s="1908">
        <f t="shared" si="114"/>
        <v>1</v>
      </c>
    </row>
    <row r="243" spans="1:35" ht="50.25" hidden="1" customHeight="1" x14ac:dyDescent="0.25">
      <c r="A243" s="1608" t="s">
        <v>3257</v>
      </c>
      <c r="B243" s="1608" t="s">
        <v>3250</v>
      </c>
      <c r="C243" s="1621" t="s">
        <v>1598</v>
      </c>
      <c r="D243" s="1608" t="s">
        <v>1357</v>
      </c>
      <c r="E243" s="1608" t="s">
        <v>1597</v>
      </c>
      <c r="F243" s="1608">
        <v>2016</v>
      </c>
      <c r="G243" s="1608" t="s">
        <v>1596</v>
      </c>
      <c r="H243" s="1633">
        <v>962</v>
      </c>
      <c r="I243" s="1613">
        <f t="shared" si="110"/>
        <v>962</v>
      </c>
      <c r="J243" s="1747"/>
      <c r="K243" s="1747"/>
      <c r="L243" s="1747"/>
      <c r="M243" s="1747"/>
      <c r="N243" s="1759">
        <f t="shared" si="111"/>
        <v>880</v>
      </c>
      <c r="O243" s="1622">
        <v>880</v>
      </c>
      <c r="P243" s="1770">
        <v>880</v>
      </c>
      <c r="Q243" s="1771">
        <v>880</v>
      </c>
      <c r="R243" s="1591"/>
      <c r="S243" s="1591"/>
      <c r="T243" s="1627">
        <v>880</v>
      </c>
      <c r="U243" s="1634">
        <v>880</v>
      </c>
      <c r="V243" s="1591"/>
      <c r="W243" s="1591"/>
      <c r="X243" s="1627">
        <v>880</v>
      </c>
      <c r="Y243" s="1634">
        <v>880</v>
      </c>
      <c r="Z243" s="1627">
        <v>730</v>
      </c>
      <c r="AA243" s="1634">
        <v>730</v>
      </c>
      <c r="AB243" s="1634"/>
      <c r="AC243" s="1629"/>
      <c r="AD243" s="1623">
        <f t="shared" si="112"/>
        <v>730</v>
      </c>
      <c r="AE243" s="1623">
        <f t="shared" si="113"/>
        <v>730</v>
      </c>
      <c r="AF243" s="1599"/>
      <c r="AG243" s="1009">
        <f t="shared" si="95"/>
        <v>0</v>
      </c>
      <c r="AH243" s="1009">
        <f t="shared" si="65"/>
        <v>1</v>
      </c>
      <c r="AI243" s="1908">
        <f t="shared" si="114"/>
        <v>1</v>
      </c>
    </row>
    <row r="244" spans="1:35" ht="52.5" hidden="1" customHeight="1" x14ac:dyDescent="0.25">
      <c r="A244" s="1608" t="s">
        <v>3258</v>
      </c>
      <c r="B244" s="1608"/>
      <c r="C244" s="1635" t="s">
        <v>1595</v>
      </c>
      <c r="D244" s="1610" t="s">
        <v>1359</v>
      </c>
      <c r="E244" s="1610" t="s">
        <v>1594</v>
      </c>
      <c r="F244" s="1610" t="s">
        <v>199</v>
      </c>
      <c r="G244" s="1636" t="s">
        <v>1593</v>
      </c>
      <c r="H244" s="1622">
        <v>407</v>
      </c>
      <c r="I244" s="1613">
        <f t="shared" si="110"/>
        <v>407</v>
      </c>
      <c r="J244" s="1747"/>
      <c r="K244" s="1747"/>
      <c r="L244" s="1747"/>
      <c r="M244" s="1747"/>
      <c r="N244" s="1759">
        <f t="shared" si="111"/>
        <v>370</v>
      </c>
      <c r="O244" s="1622">
        <v>370</v>
      </c>
      <c r="P244" s="1770">
        <v>370</v>
      </c>
      <c r="Q244" s="1773">
        <v>370</v>
      </c>
      <c r="R244" s="1591"/>
      <c r="S244" s="1591"/>
      <c r="T244" s="1627">
        <v>370</v>
      </c>
      <c r="U244" s="1628">
        <v>370</v>
      </c>
      <c r="V244" s="1591"/>
      <c r="W244" s="1591"/>
      <c r="X244" s="1627">
        <v>370</v>
      </c>
      <c r="Y244" s="1628">
        <v>370</v>
      </c>
      <c r="Z244" s="1627">
        <v>370</v>
      </c>
      <c r="AA244" s="1628">
        <v>370</v>
      </c>
      <c r="AB244" s="1628"/>
      <c r="AC244" s="1629"/>
      <c r="AD244" s="1623">
        <f t="shared" si="112"/>
        <v>370</v>
      </c>
      <c r="AE244" s="1623">
        <f t="shared" si="113"/>
        <v>370</v>
      </c>
      <c r="AF244" s="1599"/>
      <c r="AG244" s="1009">
        <f t="shared" si="95"/>
        <v>0</v>
      </c>
      <c r="AH244" s="1009">
        <f t="shared" si="65"/>
        <v>1</v>
      </c>
      <c r="AI244" s="1908">
        <f t="shared" si="114"/>
        <v>1</v>
      </c>
    </row>
    <row r="245" spans="1:35" ht="49.5" hidden="1" x14ac:dyDescent="0.25">
      <c r="A245" s="1608" t="s">
        <v>3259</v>
      </c>
      <c r="B245" s="1608" t="s">
        <v>3251</v>
      </c>
      <c r="C245" s="1635" t="s">
        <v>1592</v>
      </c>
      <c r="D245" s="1610" t="s">
        <v>1359</v>
      </c>
      <c r="E245" s="1610" t="s">
        <v>1591</v>
      </c>
      <c r="F245" s="1610" t="s">
        <v>183</v>
      </c>
      <c r="G245" s="1636" t="s">
        <v>1590</v>
      </c>
      <c r="H245" s="1622">
        <v>1793</v>
      </c>
      <c r="I245" s="1613">
        <f t="shared" si="110"/>
        <v>1793</v>
      </c>
      <c r="J245" s="1747"/>
      <c r="K245" s="1747"/>
      <c r="L245" s="1747"/>
      <c r="M245" s="1747"/>
      <c r="N245" s="1759">
        <f t="shared" si="111"/>
        <v>1630</v>
      </c>
      <c r="O245" s="1622">
        <v>1630</v>
      </c>
      <c r="P245" s="1770">
        <f>Q245</f>
        <v>1590</v>
      </c>
      <c r="Q245" s="1773">
        <v>1590</v>
      </c>
      <c r="R245" s="1591"/>
      <c r="S245" s="1591">
        <f>O245-U245</f>
        <v>40</v>
      </c>
      <c r="T245" s="1627">
        <f>U245</f>
        <v>1590</v>
      </c>
      <c r="U245" s="1628">
        <v>1590</v>
      </c>
      <c r="V245" s="1591"/>
      <c r="W245" s="1591"/>
      <c r="X245" s="1627">
        <f>Y245</f>
        <v>1590</v>
      </c>
      <c r="Y245" s="1628">
        <v>1590</v>
      </c>
      <c r="Z245" s="1627">
        <v>1531</v>
      </c>
      <c r="AA245" s="1628">
        <v>1531</v>
      </c>
      <c r="AB245" s="1628"/>
      <c r="AC245" s="1629"/>
      <c r="AD245" s="1623">
        <f t="shared" si="112"/>
        <v>1531</v>
      </c>
      <c r="AE245" s="1623">
        <f t="shared" si="113"/>
        <v>1531</v>
      </c>
      <c r="AF245" s="1599"/>
      <c r="AG245" s="1009">
        <f t="shared" si="95"/>
        <v>0</v>
      </c>
      <c r="AH245" s="1009">
        <f t="shared" si="65"/>
        <v>1</v>
      </c>
      <c r="AI245" s="1908">
        <f t="shared" si="114"/>
        <v>1</v>
      </c>
    </row>
    <row r="246" spans="1:35" ht="53.25" hidden="1" customHeight="1" x14ac:dyDescent="0.25">
      <c r="A246" s="1608" t="s">
        <v>3260</v>
      </c>
      <c r="B246" s="1608" t="s">
        <v>3252</v>
      </c>
      <c r="C246" s="1635" t="s">
        <v>1589</v>
      </c>
      <c r="D246" s="1610" t="s">
        <v>1359</v>
      </c>
      <c r="E246" s="1610" t="s">
        <v>1556</v>
      </c>
      <c r="F246" s="1610" t="s">
        <v>97</v>
      </c>
      <c r="G246" s="1636" t="s">
        <v>1588</v>
      </c>
      <c r="H246" s="1622">
        <v>1046</v>
      </c>
      <c r="I246" s="1613">
        <f t="shared" si="110"/>
        <v>1046</v>
      </c>
      <c r="J246" s="1753"/>
      <c r="K246" s="1753"/>
      <c r="L246" s="1753"/>
      <c r="M246" s="1753"/>
      <c r="N246" s="1759">
        <f t="shared" si="111"/>
        <v>960</v>
      </c>
      <c r="O246" s="1622">
        <v>960</v>
      </c>
      <c r="P246" s="1770">
        <v>960</v>
      </c>
      <c r="Q246" s="1773">
        <v>960</v>
      </c>
      <c r="R246" s="1591"/>
      <c r="S246" s="1591"/>
      <c r="T246" s="1627">
        <v>960</v>
      </c>
      <c r="U246" s="1628">
        <v>960</v>
      </c>
      <c r="V246" s="1591"/>
      <c r="W246" s="1591"/>
      <c r="X246" s="1627">
        <v>960</v>
      </c>
      <c r="Y246" s="1628">
        <v>960</v>
      </c>
      <c r="Z246" s="1627">
        <v>879</v>
      </c>
      <c r="AA246" s="1628">
        <v>879</v>
      </c>
      <c r="AB246" s="1628"/>
      <c r="AC246" s="1629"/>
      <c r="AD246" s="1623">
        <f t="shared" si="112"/>
        <v>879</v>
      </c>
      <c r="AE246" s="1623">
        <f t="shared" si="113"/>
        <v>879</v>
      </c>
      <c r="AF246" s="1637"/>
      <c r="AG246" s="1009">
        <f t="shared" si="95"/>
        <v>0</v>
      </c>
      <c r="AH246" s="1009">
        <f t="shared" si="65"/>
        <v>1</v>
      </c>
      <c r="AI246" s="1908">
        <f t="shared" si="114"/>
        <v>1</v>
      </c>
    </row>
    <row r="247" spans="1:35" ht="51.75" hidden="1" customHeight="1" x14ac:dyDescent="0.25">
      <c r="A247" s="1608" t="s">
        <v>3261</v>
      </c>
      <c r="B247" s="1608"/>
      <c r="C247" s="1635" t="s">
        <v>1587</v>
      </c>
      <c r="D247" s="1610" t="s">
        <v>1359</v>
      </c>
      <c r="E247" s="1610" t="s">
        <v>1556</v>
      </c>
      <c r="F247" s="1610" t="s">
        <v>97</v>
      </c>
      <c r="G247" s="1636" t="s">
        <v>1586</v>
      </c>
      <c r="H247" s="1622">
        <v>1637</v>
      </c>
      <c r="I247" s="1613">
        <f t="shared" si="110"/>
        <v>1637</v>
      </c>
      <c r="J247" s="1747"/>
      <c r="K247" s="1747"/>
      <c r="L247" s="1747"/>
      <c r="M247" s="1747"/>
      <c r="N247" s="1759">
        <f t="shared" si="111"/>
        <v>1500</v>
      </c>
      <c r="O247" s="1622">
        <v>1500</v>
      </c>
      <c r="P247" s="1770">
        <f>Q247</f>
        <v>1370</v>
      </c>
      <c r="Q247" s="1773">
        <v>1370</v>
      </c>
      <c r="R247" s="1591"/>
      <c r="S247" s="1591">
        <f>O247-U247</f>
        <v>130</v>
      </c>
      <c r="T247" s="1627">
        <f>U247</f>
        <v>1370</v>
      </c>
      <c r="U247" s="1628">
        <v>1370</v>
      </c>
      <c r="V247" s="1591"/>
      <c r="W247" s="1591"/>
      <c r="X247" s="1627">
        <f>Y247</f>
        <v>1370</v>
      </c>
      <c r="Y247" s="1628">
        <v>1370</v>
      </c>
      <c r="Z247" s="1627">
        <v>1370</v>
      </c>
      <c r="AA247" s="1628">
        <v>1370</v>
      </c>
      <c r="AB247" s="1628"/>
      <c r="AC247" s="1629"/>
      <c r="AD247" s="1623">
        <f t="shared" si="112"/>
        <v>1370</v>
      </c>
      <c r="AE247" s="1623">
        <f t="shared" si="113"/>
        <v>1370</v>
      </c>
      <c r="AF247" s="1580"/>
      <c r="AG247" s="1009">
        <f t="shared" si="95"/>
        <v>0</v>
      </c>
      <c r="AH247" s="1009">
        <f t="shared" si="65"/>
        <v>1</v>
      </c>
      <c r="AI247" s="1908">
        <f t="shared" si="114"/>
        <v>1</v>
      </c>
    </row>
    <row r="248" spans="1:35" ht="49.5" hidden="1" x14ac:dyDescent="0.25">
      <c r="A248" s="1608" t="s">
        <v>3262</v>
      </c>
      <c r="B248" s="1608"/>
      <c r="C248" s="1635" t="s">
        <v>1585</v>
      </c>
      <c r="D248" s="1610" t="s">
        <v>1359</v>
      </c>
      <c r="E248" s="1610" t="s">
        <v>1556</v>
      </c>
      <c r="F248" s="1610" t="s">
        <v>97</v>
      </c>
      <c r="G248" s="1636" t="s">
        <v>1584</v>
      </c>
      <c r="H248" s="1622">
        <v>711</v>
      </c>
      <c r="I248" s="1613">
        <f t="shared" si="110"/>
        <v>711</v>
      </c>
      <c r="J248" s="1747"/>
      <c r="K248" s="1747"/>
      <c r="L248" s="1747"/>
      <c r="M248" s="1747"/>
      <c r="N248" s="1759">
        <f t="shared" si="111"/>
        <v>650</v>
      </c>
      <c r="O248" s="1622">
        <v>650</v>
      </c>
      <c r="P248" s="1770">
        <f>Q248</f>
        <v>660</v>
      </c>
      <c r="Q248" s="1773">
        <v>660</v>
      </c>
      <c r="R248" s="1591">
        <f>U248-O248</f>
        <v>10</v>
      </c>
      <c r="S248" s="1591"/>
      <c r="T248" s="1627">
        <f>U248</f>
        <v>660</v>
      </c>
      <c r="U248" s="1628">
        <v>660</v>
      </c>
      <c r="V248" s="1591"/>
      <c r="W248" s="1591"/>
      <c r="X248" s="1627">
        <f>Y248</f>
        <v>660</v>
      </c>
      <c r="Y248" s="1628">
        <v>660</v>
      </c>
      <c r="Z248" s="1627">
        <v>660</v>
      </c>
      <c r="AA248" s="1628">
        <v>660</v>
      </c>
      <c r="AB248" s="1628"/>
      <c r="AC248" s="1629"/>
      <c r="AD248" s="1623">
        <f t="shared" si="112"/>
        <v>660</v>
      </c>
      <c r="AE248" s="1623">
        <f t="shared" si="113"/>
        <v>660</v>
      </c>
      <c r="AF248" s="1599"/>
      <c r="AG248" s="1009">
        <f t="shared" si="95"/>
        <v>0</v>
      </c>
      <c r="AH248" s="1009">
        <f t="shared" si="65"/>
        <v>1</v>
      </c>
      <c r="AI248" s="1908">
        <f t="shared" si="114"/>
        <v>1</v>
      </c>
    </row>
    <row r="249" spans="1:35" ht="60.75" hidden="1" customHeight="1" x14ac:dyDescent="0.25">
      <c r="A249" s="1608" t="s">
        <v>3263</v>
      </c>
      <c r="B249" s="1608" t="s">
        <v>3253</v>
      </c>
      <c r="C249" s="1635" t="s">
        <v>1583</v>
      </c>
      <c r="D249" s="1610" t="s">
        <v>1357</v>
      </c>
      <c r="E249" s="1610" t="s">
        <v>1556</v>
      </c>
      <c r="F249" s="1610" t="s">
        <v>252</v>
      </c>
      <c r="G249" s="1636" t="s">
        <v>1582</v>
      </c>
      <c r="H249" s="1622">
        <v>838</v>
      </c>
      <c r="I249" s="1613">
        <f t="shared" si="110"/>
        <v>838</v>
      </c>
      <c r="J249" s="1581"/>
      <c r="K249" s="1581"/>
      <c r="L249" s="1581"/>
      <c r="M249" s="1581"/>
      <c r="N249" s="1759">
        <f t="shared" si="111"/>
        <v>770</v>
      </c>
      <c r="O249" s="1622">
        <v>770</v>
      </c>
      <c r="P249" s="1770">
        <v>770</v>
      </c>
      <c r="Q249" s="1773">
        <v>770</v>
      </c>
      <c r="R249" s="1591"/>
      <c r="S249" s="1591"/>
      <c r="T249" s="1627">
        <v>770</v>
      </c>
      <c r="U249" s="1628">
        <v>770</v>
      </c>
      <c r="V249" s="1591"/>
      <c r="W249" s="1591"/>
      <c r="X249" s="1627">
        <v>770</v>
      </c>
      <c r="Y249" s="1628">
        <v>770</v>
      </c>
      <c r="Z249" s="1627">
        <v>590</v>
      </c>
      <c r="AA249" s="1628">
        <v>590</v>
      </c>
      <c r="AB249" s="1628"/>
      <c r="AC249" s="1629"/>
      <c r="AD249" s="1623">
        <f t="shared" si="112"/>
        <v>590</v>
      </c>
      <c r="AE249" s="1623">
        <f t="shared" si="113"/>
        <v>590</v>
      </c>
      <c r="AF249" s="1585"/>
      <c r="AG249" s="1009">
        <f t="shared" si="95"/>
        <v>0</v>
      </c>
      <c r="AH249" s="1009">
        <f t="shared" si="65"/>
        <v>1</v>
      </c>
      <c r="AI249" s="1908">
        <f t="shared" si="114"/>
        <v>1</v>
      </c>
    </row>
    <row r="250" spans="1:35" ht="87.75" hidden="1" customHeight="1" x14ac:dyDescent="0.25">
      <c r="A250" s="1608" t="s">
        <v>3264</v>
      </c>
      <c r="B250" s="1608"/>
      <c r="C250" s="1635" t="s">
        <v>1581</v>
      </c>
      <c r="D250" s="1610" t="s">
        <v>1357</v>
      </c>
      <c r="E250" s="1610" t="s">
        <v>1580</v>
      </c>
      <c r="F250" s="1610" t="s">
        <v>252</v>
      </c>
      <c r="G250" s="1636" t="s">
        <v>1579</v>
      </c>
      <c r="H250" s="1622">
        <v>624</v>
      </c>
      <c r="I250" s="1613">
        <f t="shared" si="110"/>
        <v>624</v>
      </c>
      <c r="J250" s="1604"/>
      <c r="K250" s="1604"/>
      <c r="L250" s="1604"/>
      <c r="M250" s="1604"/>
      <c r="N250" s="1759">
        <f t="shared" si="111"/>
        <v>560</v>
      </c>
      <c r="O250" s="1622">
        <v>560</v>
      </c>
      <c r="P250" s="1770">
        <f>Q250</f>
        <v>520</v>
      </c>
      <c r="Q250" s="1773">
        <v>520</v>
      </c>
      <c r="R250" s="1591"/>
      <c r="S250" s="1591">
        <f>O250-U250</f>
        <v>40</v>
      </c>
      <c r="T250" s="1627">
        <f>U250</f>
        <v>520</v>
      </c>
      <c r="U250" s="1628">
        <v>520</v>
      </c>
      <c r="V250" s="1591"/>
      <c r="W250" s="1591"/>
      <c r="X250" s="1627">
        <f>Y250</f>
        <v>520</v>
      </c>
      <c r="Y250" s="1628">
        <v>520</v>
      </c>
      <c r="Z250" s="1627">
        <v>520</v>
      </c>
      <c r="AA250" s="1628">
        <v>520</v>
      </c>
      <c r="AB250" s="1628"/>
      <c r="AC250" s="1629"/>
      <c r="AD250" s="1623">
        <f t="shared" si="112"/>
        <v>520</v>
      </c>
      <c r="AE250" s="1623">
        <f t="shared" si="113"/>
        <v>520</v>
      </c>
      <c r="AF250" s="1606"/>
      <c r="AG250" s="1009">
        <f t="shared" si="95"/>
        <v>0</v>
      </c>
      <c r="AH250" s="1009">
        <f t="shared" ref="AH250:AH331" si="115">IF(Y250=0,0,1)</f>
        <v>1</v>
      </c>
      <c r="AI250" s="1908">
        <f t="shared" si="114"/>
        <v>1</v>
      </c>
    </row>
    <row r="251" spans="1:35" ht="74.25" hidden="1" customHeight="1" x14ac:dyDescent="0.25">
      <c r="A251" s="1608" t="s">
        <v>3265</v>
      </c>
      <c r="B251" s="1608" t="s">
        <v>3254</v>
      </c>
      <c r="C251" s="1635" t="s">
        <v>1578</v>
      </c>
      <c r="D251" s="1610" t="s">
        <v>1379</v>
      </c>
      <c r="E251" s="1610" t="s">
        <v>1556</v>
      </c>
      <c r="F251" s="1610" t="s">
        <v>252</v>
      </c>
      <c r="G251" s="1636" t="s">
        <v>1577</v>
      </c>
      <c r="H251" s="1622">
        <v>1548</v>
      </c>
      <c r="I251" s="1613">
        <f t="shared" si="110"/>
        <v>1548</v>
      </c>
      <c r="J251" s="1604"/>
      <c r="K251" s="1604"/>
      <c r="L251" s="1604"/>
      <c r="M251" s="1604"/>
      <c r="N251" s="1759">
        <f t="shared" si="111"/>
        <v>1450</v>
      </c>
      <c r="O251" s="1622">
        <v>1450</v>
      </c>
      <c r="P251" s="1770">
        <v>1450</v>
      </c>
      <c r="Q251" s="1773">
        <v>1450</v>
      </c>
      <c r="R251" s="1591"/>
      <c r="S251" s="1591"/>
      <c r="T251" s="1627">
        <v>1450</v>
      </c>
      <c r="U251" s="1628">
        <v>1450</v>
      </c>
      <c r="V251" s="1591"/>
      <c r="W251" s="1591"/>
      <c r="X251" s="1627">
        <v>1450</v>
      </c>
      <c r="Y251" s="1628">
        <v>1450</v>
      </c>
      <c r="Z251" s="1627">
        <v>1297</v>
      </c>
      <c r="AA251" s="1628">
        <v>1297</v>
      </c>
      <c r="AB251" s="1628"/>
      <c r="AC251" s="1629"/>
      <c r="AD251" s="1623">
        <f t="shared" si="112"/>
        <v>1297</v>
      </c>
      <c r="AE251" s="1623">
        <f t="shared" si="113"/>
        <v>1297</v>
      </c>
      <c r="AF251" s="1606"/>
      <c r="AG251" s="1009">
        <f t="shared" si="95"/>
        <v>0</v>
      </c>
      <c r="AH251" s="1009">
        <f t="shared" si="115"/>
        <v>1</v>
      </c>
      <c r="AI251" s="1908">
        <f t="shared" si="114"/>
        <v>1</v>
      </c>
    </row>
    <row r="252" spans="1:35" ht="55.5" hidden="1" customHeight="1" x14ac:dyDescent="0.25">
      <c r="A252" s="1608" t="s">
        <v>3266</v>
      </c>
      <c r="B252" s="1608"/>
      <c r="C252" s="1635" t="s">
        <v>1576</v>
      </c>
      <c r="D252" s="1610" t="s">
        <v>1355</v>
      </c>
      <c r="E252" s="1610" t="s">
        <v>1565</v>
      </c>
      <c r="F252" s="1610" t="s">
        <v>252</v>
      </c>
      <c r="G252" s="1636" t="s">
        <v>1575</v>
      </c>
      <c r="H252" s="1622">
        <v>819</v>
      </c>
      <c r="I252" s="1613">
        <f t="shared" si="110"/>
        <v>819</v>
      </c>
      <c r="J252" s="1744"/>
      <c r="K252" s="1744"/>
      <c r="L252" s="1744"/>
      <c r="M252" s="1744"/>
      <c r="N252" s="1759">
        <f t="shared" si="111"/>
        <v>750</v>
      </c>
      <c r="O252" s="1622">
        <v>750</v>
      </c>
      <c r="P252" s="1770">
        <f t="shared" ref="P252:P262" si="116">Q252</f>
        <v>690</v>
      </c>
      <c r="Q252" s="1773">
        <v>690</v>
      </c>
      <c r="R252" s="1591"/>
      <c r="S252" s="1591">
        <f t="shared" ref="S252:S268" si="117">O252-U252</f>
        <v>60</v>
      </c>
      <c r="T252" s="1627">
        <f t="shared" ref="T252:T262" si="118">U252</f>
        <v>690</v>
      </c>
      <c r="U252" s="1628">
        <v>690</v>
      </c>
      <c r="V252" s="1591"/>
      <c r="W252" s="1591"/>
      <c r="X252" s="1627">
        <f t="shared" ref="X252:X262" si="119">Y252</f>
        <v>690</v>
      </c>
      <c r="Y252" s="1628">
        <v>690</v>
      </c>
      <c r="Z252" s="1627">
        <v>690</v>
      </c>
      <c r="AA252" s="1628">
        <v>690</v>
      </c>
      <c r="AB252" s="1628"/>
      <c r="AC252" s="1629"/>
      <c r="AD252" s="1623">
        <f t="shared" si="112"/>
        <v>690</v>
      </c>
      <c r="AE252" s="1623">
        <f t="shared" si="113"/>
        <v>690</v>
      </c>
      <c r="AF252" s="1681"/>
      <c r="AG252" s="1009">
        <f t="shared" si="95"/>
        <v>0</v>
      </c>
      <c r="AH252" s="1009">
        <f t="shared" si="115"/>
        <v>1</v>
      </c>
      <c r="AI252" s="1908">
        <f t="shared" si="114"/>
        <v>1</v>
      </c>
    </row>
    <row r="253" spans="1:35" ht="55.5" hidden="1" customHeight="1" x14ac:dyDescent="0.25">
      <c r="A253" s="1608" t="s">
        <v>3267</v>
      </c>
      <c r="B253" s="1608"/>
      <c r="C253" s="1635" t="s">
        <v>1574</v>
      </c>
      <c r="D253" s="1610" t="s">
        <v>1355</v>
      </c>
      <c r="E253" s="1610" t="s">
        <v>1565</v>
      </c>
      <c r="F253" s="1610" t="s">
        <v>252</v>
      </c>
      <c r="G253" s="1636" t="s">
        <v>1573</v>
      </c>
      <c r="H253" s="1622">
        <v>598</v>
      </c>
      <c r="I253" s="1613">
        <f t="shared" si="110"/>
        <v>598</v>
      </c>
      <c r="J253" s="1604"/>
      <c r="K253" s="1604"/>
      <c r="L253" s="1604"/>
      <c r="M253" s="1604"/>
      <c r="N253" s="1759">
        <f t="shared" si="111"/>
        <v>550</v>
      </c>
      <c r="O253" s="1622">
        <v>550</v>
      </c>
      <c r="P253" s="1770">
        <f t="shared" si="116"/>
        <v>520</v>
      </c>
      <c r="Q253" s="1773">
        <v>520</v>
      </c>
      <c r="R253" s="1591"/>
      <c r="S253" s="1591">
        <f t="shared" si="117"/>
        <v>30</v>
      </c>
      <c r="T253" s="1627">
        <f t="shared" si="118"/>
        <v>520</v>
      </c>
      <c r="U253" s="1628">
        <v>520</v>
      </c>
      <c r="V253" s="1591"/>
      <c r="W253" s="1591"/>
      <c r="X253" s="1627">
        <f t="shared" si="119"/>
        <v>520</v>
      </c>
      <c r="Y253" s="1628">
        <v>520</v>
      </c>
      <c r="Z253" s="1627">
        <v>520</v>
      </c>
      <c r="AA253" s="1628">
        <v>520</v>
      </c>
      <c r="AB253" s="1628"/>
      <c r="AC253" s="1629"/>
      <c r="AD253" s="1623">
        <f t="shared" si="112"/>
        <v>520</v>
      </c>
      <c r="AE253" s="1623">
        <f t="shared" si="113"/>
        <v>520</v>
      </c>
      <c r="AF253" s="1606"/>
      <c r="AG253" s="1009">
        <f t="shared" si="95"/>
        <v>0</v>
      </c>
      <c r="AH253" s="1009">
        <f t="shared" si="115"/>
        <v>1</v>
      </c>
      <c r="AI253" s="1908">
        <f t="shared" si="114"/>
        <v>1</v>
      </c>
    </row>
    <row r="254" spans="1:35" ht="55.5" hidden="1" customHeight="1" x14ac:dyDescent="0.25">
      <c r="A254" s="1608" t="s">
        <v>3268</v>
      </c>
      <c r="B254" s="1608"/>
      <c r="C254" s="1635" t="s">
        <v>1572</v>
      </c>
      <c r="D254" s="1610" t="s">
        <v>1355</v>
      </c>
      <c r="E254" s="1610" t="s">
        <v>1565</v>
      </c>
      <c r="F254" s="1610" t="s">
        <v>252</v>
      </c>
      <c r="G254" s="1636" t="s">
        <v>1571</v>
      </c>
      <c r="H254" s="1622">
        <v>862</v>
      </c>
      <c r="I254" s="1613">
        <f t="shared" si="110"/>
        <v>862</v>
      </c>
      <c r="J254" s="1747"/>
      <c r="K254" s="1622"/>
      <c r="L254" s="1747"/>
      <c r="M254" s="1622"/>
      <c r="N254" s="1759">
        <f t="shared" si="111"/>
        <v>790</v>
      </c>
      <c r="O254" s="1622">
        <v>790</v>
      </c>
      <c r="P254" s="1770">
        <f t="shared" si="116"/>
        <v>680</v>
      </c>
      <c r="Q254" s="1773">
        <v>680</v>
      </c>
      <c r="R254" s="1591"/>
      <c r="S254" s="1591">
        <f t="shared" si="117"/>
        <v>110</v>
      </c>
      <c r="T254" s="1627">
        <f t="shared" si="118"/>
        <v>680</v>
      </c>
      <c r="U254" s="1628">
        <v>680</v>
      </c>
      <c r="V254" s="1591"/>
      <c r="W254" s="1591"/>
      <c r="X254" s="1627">
        <f t="shared" si="119"/>
        <v>680</v>
      </c>
      <c r="Y254" s="1628">
        <v>680</v>
      </c>
      <c r="Z254" s="1627">
        <v>680</v>
      </c>
      <c r="AA254" s="1628">
        <v>680</v>
      </c>
      <c r="AB254" s="1628"/>
      <c r="AC254" s="1629"/>
      <c r="AD254" s="1623">
        <f t="shared" si="112"/>
        <v>680</v>
      </c>
      <c r="AE254" s="1623">
        <f t="shared" si="113"/>
        <v>680</v>
      </c>
      <c r="AF254" s="1599"/>
      <c r="AG254" s="1009">
        <f t="shared" si="95"/>
        <v>0</v>
      </c>
      <c r="AH254" s="1009">
        <f t="shared" si="115"/>
        <v>1</v>
      </c>
      <c r="AI254" s="1908">
        <f t="shared" si="114"/>
        <v>1</v>
      </c>
    </row>
    <row r="255" spans="1:35" ht="55.5" hidden="1" customHeight="1" x14ac:dyDescent="0.25">
      <c r="A255" s="1608" t="s">
        <v>3269</v>
      </c>
      <c r="B255" s="1608"/>
      <c r="C255" s="1635" t="s">
        <v>1570</v>
      </c>
      <c r="D255" s="1610" t="s">
        <v>1355</v>
      </c>
      <c r="E255" s="1610" t="s">
        <v>1565</v>
      </c>
      <c r="F255" s="1610" t="s">
        <v>252</v>
      </c>
      <c r="G255" s="1636" t="s">
        <v>1569</v>
      </c>
      <c r="H255" s="1622">
        <v>1697</v>
      </c>
      <c r="I255" s="1613">
        <f t="shared" si="110"/>
        <v>1697</v>
      </c>
      <c r="J255" s="1747"/>
      <c r="K255" s="1622"/>
      <c r="L255" s="1747"/>
      <c r="M255" s="1622"/>
      <c r="N255" s="1759">
        <f t="shared" si="111"/>
        <v>1560</v>
      </c>
      <c r="O255" s="1622">
        <v>1560</v>
      </c>
      <c r="P255" s="1770">
        <f t="shared" si="116"/>
        <v>1420</v>
      </c>
      <c r="Q255" s="1773">
        <v>1420</v>
      </c>
      <c r="R255" s="1591"/>
      <c r="S255" s="1591">
        <f t="shared" si="117"/>
        <v>140</v>
      </c>
      <c r="T255" s="1627">
        <f t="shared" si="118"/>
        <v>1420</v>
      </c>
      <c r="U255" s="1628">
        <v>1420</v>
      </c>
      <c r="V255" s="1591"/>
      <c r="W255" s="1591"/>
      <c r="X255" s="1627">
        <f t="shared" si="119"/>
        <v>1420</v>
      </c>
      <c r="Y255" s="1628">
        <v>1420</v>
      </c>
      <c r="Z255" s="1627">
        <v>1420</v>
      </c>
      <c r="AA255" s="1628">
        <v>1420</v>
      </c>
      <c r="AB255" s="1628"/>
      <c r="AC255" s="1629"/>
      <c r="AD255" s="1623">
        <f t="shared" si="112"/>
        <v>1420</v>
      </c>
      <c r="AE255" s="1623">
        <f t="shared" si="113"/>
        <v>1420</v>
      </c>
      <c r="AF255" s="1599"/>
      <c r="AG255" s="1009">
        <f t="shared" si="95"/>
        <v>0</v>
      </c>
      <c r="AH255" s="1009">
        <f t="shared" si="115"/>
        <v>1</v>
      </c>
      <c r="AI255" s="1908">
        <f t="shared" si="114"/>
        <v>1</v>
      </c>
    </row>
    <row r="256" spans="1:35" ht="49.5" hidden="1" x14ac:dyDescent="0.25">
      <c r="A256" s="1608" t="s">
        <v>3270</v>
      </c>
      <c r="B256" s="1608" t="s">
        <v>3255</v>
      </c>
      <c r="C256" s="1635" t="s">
        <v>1568</v>
      </c>
      <c r="D256" s="1610" t="s">
        <v>1379</v>
      </c>
      <c r="E256" s="1610" t="s">
        <v>1556</v>
      </c>
      <c r="F256" s="1610" t="s">
        <v>252</v>
      </c>
      <c r="G256" s="1636" t="s">
        <v>1567</v>
      </c>
      <c r="H256" s="1622">
        <v>934</v>
      </c>
      <c r="I256" s="1613">
        <f t="shared" si="110"/>
        <v>934</v>
      </c>
      <c r="J256" s="1747"/>
      <c r="K256" s="1622"/>
      <c r="L256" s="1747"/>
      <c r="M256" s="1622"/>
      <c r="N256" s="1759">
        <f t="shared" si="111"/>
        <v>860</v>
      </c>
      <c r="O256" s="1622">
        <v>860</v>
      </c>
      <c r="P256" s="1770">
        <f t="shared" si="116"/>
        <v>830</v>
      </c>
      <c r="Q256" s="1773">
        <v>830</v>
      </c>
      <c r="R256" s="1591"/>
      <c r="S256" s="1591">
        <f t="shared" si="117"/>
        <v>30</v>
      </c>
      <c r="T256" s="1627">
        <f t="shared" si="118"/>
        <v>830</v>
      </c>
      <c r="U256" s="1628">
        <v>830</v>
      </c>
      <c r="V256" s="1591"/>
      <c r="W256" s="1591"/>
      <c r="X256" s="1627">
        <f t="shared" si="119"/>
        <v>830</v>
      </c>
      <c r="Y256" s="1628">
        <v>830</v>
      </c>
      <c r="Z256" s="1627">
        <v>782</v>
      </c>
      <c r="AA256" s="1628">
        <v>782</v>
      </c>
      <c r="AB256" s="1628"/>
      <c r="AC256" s="1629"/>
      <c r="AD256" s="1623">
        <f t="shared" si="112"/>
        <v>782</v>
      </c>
      <c r="AE256" s="1623">
        <f t="shared" si="113"/>
        <v>782</v>
      </c>
      <c r="AF256" s="1599"/>
      <c r="AG256" s="1009">
        <f t="shared" si="95"/>
        <v>0</v>
      </c>
      <c r="AH256" s="1009">
        <f t="shared" si="115"/>
        <v>1</v>
      </c>
      <c r="AI256" s="1908">
        <f t="shared" si="114"/>
        <v>1</v>
      </c>
    </row>
    <row r="257" spans="1:35" ht="49.5" hidden="1" x14ac:dyDescent="0.25">
      <c r="A257" s="1608" t="s">
        <v>3271</v>
      </c>
      <c r="B257" s="1608"/>
      <c r="C257" s="1635" t="s">
        <v>1566</v>
      </c>
      <c r="D257" s="1610" t="s">
        <v>1379</v>
      </c>
      <c r="E257" s="1610" t="s">
        <v>1565</v>
      </c>
      <c r="F257" s="1610" t="s">
        <v>252</v>
      </c>
      <c r="G257" s="1636" t="s">
        <v>1564</v>
      </c>
      <c r="H257" s="1622">
        <v>676</v>
      </c>
      <c r="I257" s="1613">
        <f t="shared" si="110"/>
        <v>676</v>
      </c>
      <c r="J257" s="1747"/>
      <c r="K257" s="1622"/>
      <c r="L257" s="1747"/>
      <c r="M257" s="1622"/>
      <c r="N257" s="1759">
        <f t="shared" si="111"/>
        <v>620</v>
      </c>
      <c r="O257" s="1622">
        <v>620</v>
      </c>
      <c r="P257" s="1770">
        <f t="shared" si="116"/>
        <v>550</v>
      </c>
      <c r="Q257" s="1773">
        <v>550</v>
      </c>
      <c r="R257" s="1591"/>
      <c r="S257" s="1591">
        <f t="shared" si="117"/>
        <v>70</v>
      </c>
      <c r="T257" s="1627">
        <f t="shared" si="118"/>
        <v>550</v>
      </c>
      <c r="U257" s="1628">
        <v>550</v>
      </c>
      <c r="V257" s="1591"/>
      <c r="W257" s="1591"/>
      <c r="X257" s="1627">
        <f t="shared" si="119"/>
        <v>550</v>
      </c>
      <c r="Y257" s="1628">
        <v>550</v>
      </c>
      <c r="Z257" s="1627">
        <v>550</v>
      </c>
      <c r="AA257" s="1628">
        <v>550</v>
      </c>
      <c r="AB257" s="1628"/>
      <c r="AC257" s="1629"/>
      <c r="AD257" s="1623">
        <f t="shared" si="112"/>
        <v>550</v>
      </c>
      <c r="AE257" s="1623">
        <f t="shared" si="113"/>
        <v>550</v>
      </c>
      <c r="AF257" s="1599"/>
      <c r="AG257" s="1009">
        <f t="shared" si="95"/>
        <v>0</v>
      </c>
      <c r="AH257" s="1009">
        <f t="shared" si="115"/>
        <v>1</v>
      </c>
      <c r="AI257" s="1908">
        <f t="shared" si="114"/>
        <v>1</v>
      </c>
    </row>
    <row r="258" spans="1:35" ht="93" hidden="1" customHeight="1" x14ac:dyDescent="0.25">
      <c r="A258" s="1608" t="s">
        <v>3272</v>
      </c>
      <c r="B258" s="1608"/>
      <c r="C258" s="1635" t="s">
        <v>1563</v>
      </c>
      <c r="D258" s="1610" t="s">
        <v>1379</v>
      </c>
      <c r="E258" s="1610" t="s">
        <v>1556</v>
      </c>
      <c r="F258" s="1610" t="s">
        <v>252</v>
      </c>
      <c r="G258" s="1636" t="s">
        <v>1562</v>
      </c>
      <c r="H258" s="1633">
        <v>431</v>
      </c>
      <c r="I258" s="1613">
        <f t="shared" si="110"/>
        <v>431</v>
      </c>
      <c r="J258" s="1604"/>
      <c r="K258" s="1604"/>
      <c r="L258" s="1604"/>
      <c r="M258" s="1604"/>
      <c r="N258" s="1759">
        <f t="shared" si="111"/>
        <v>400</v>
      </c>
      <c r="O258" s="1622">
        <v>400</v>
      </c>
      <c r="P258" s="1770">
        <f t="shared" si="116"/>
        <v>360</v>
      </c>
      <c r="Q258" s="1771">
        <v>360</v>
      </c>
      <c r="R258" s="1591"/>
      <c r="S258" s="1591">
        <f t="shared" si="117"/>
        <v>40</v>
      </c>
      <c r="T258" s="1627">
        <f t="shared" si="118"/>
        <v>360</v>
      </c>
      <c r="U258" s="1634">
        <v>360</v>
      </c>
      <c r="V258" s="1591"/>
      <c r="W258" s="1591"/>
      <c r="X258" s="1627">
        <f t="shared" si="119"/>
        <v>360</v>
      </c>
      <c r="Y258" s="1634">
        <v>360</v>
      </c>
      <c r="Z258" s="1627">
        <v>360</v>
      </c>
      <c r="AA258" s="1634">
        <v>360</v>
      </c>
      <c r="AB258" s="1634"/>
      <c r="AC258" s="1629"/>
      <c r="AD258" s="1623">
        <f t="shared" si="112"/>
        <v>360</v>
      </c>
      <c r="AE258" s="1623">
        <f t="shared" si="113"/>
        <v>360</v>
      </c>
      <c r="AF258" s="1606"/>
      <c r="AG258" s="1009">
        <f t="shared" si="95"/>
        <v>0</v>
      </c>
      <c r="AH258" s="1009">
        <f t="shared" si="115"/>
        <v>1</v>
      </c>
      <c r="AI258" s="1908">
        <f t="shared" si="114"/>
        <v>1</v>
      </c>
    </row>
    <row r="259" spans="1:35" ht="49.5" hidden="1" x14ac:dyDescent="0.25">
      <c r="A259" s="1608" t="s">
        <v>3273</v>
      </c>
      <c r="B259" s="1608"/>
      <c r="C259" s="1635" t="s">
        <v>1561</v>
      </c>
      <c r="D259" s="1610" t="s">
        <v>1379</v>
      </c>
      <c r="E259" s="1610" t="s">
        <v>1556</v>
      </c>
      <c r="F259" s="1610" t="s">
        <v>97</v>
      </c>
      <c r="G259" s="1636" t="s">
        <v>1560</v>
      </c>
      <c r="H259" s="1633">
        <v>1022</v>
      </c>
      <c r="I259" s="1613">
        <f t="shared" si="110"/>
        <v>1022</v>
      </c>
      <c r="J259" s="1581"/>
      <c r="K259" s="1581"/>
      <c r="L259" s="1581"/>
      <c r="M259" s="1581"/>
      <c r="N259" s="1759">
        <f t="shared" si="111"/>
        <v>940</v>
      </c>
      <c r="O259" s="1622">
        <v>940</v>
      </c>
      <c r="P259" s="1770">
        <f t="shared" si="116"/>
        <v>850</v>
      </c>
      <c r="Q259" s="1771">
        <v>850</v>
      </c>
      <c r="R259" s="1591"/>
      <c r="S259" s="1591">
        <f t="shared" si="117"/>
        <v>90</v>
      </c>
      <c r="T259" s="1627">
        <f t="shared" si="118"/>
        <v>850</v>
      </c>
      <c r="U259" s="1634">
        <v>850</v>
      </c>
      <c r="V259" s="1591"/>
      <c r="W259" s="1591"/>
      <c r="X259" s="1627">
        <f t="shared" si="119"/>
        <v>850</v>
      </c>
      <c r="Y259" s="1634">
        <v>850</v>
      </c>
      <c r="Z259" s="1627">
        <v>850</v>
      </c>
      <c r="AA259" s="1634">
        <v>850</v>
      </c>
      <c r="AB259" s="1634"/>
      <c r="AC259" s="1629"/>
      <c r="AD259" s="1623">
        <f t="shared" si="112"/>
        <v>850</v>
      </c>
      <c r="AE259" s="1623">
        <f t="shared" ref="AE259:AE290" si="120">AA259+AB259+AC259</f>
        <v>850</v>
      </c>
      <c r="AF259" s="1632"/>
      <c r="AG259" s="1009">
        <f t="shared" si="95"/>
        <v>0</v>
      </c>
      <c r="AH259" s="1009">
        <f t="shared" si="115"/>
        <v>1</v>
      </c>
      <c r="AI259" s="1908">
        <f t="shared" si="114"/>
        <v>1</v>
      </c>
    </row>
    <row r="260" spans="1:35" ht="49.5" hidden="1" x14ac:dyDescent="0.25">
      <c r="A260" s="1608" t="s">
        <v>3274</v>
      </c>
      <c r="B260" s="1608"/>
      <c r="C260" s="1635" t="s">
        <v>1559</v>
      </c>
      <c r="D260" s="1610" t="s">
        <v>1355</v>
      </c>
      <c r="E260" s="1610" t="s">
        <v>1553</v>
      </c>
      <c r="F260" s="1610" t="s">
        <v>252</v>
      </c>
      <c r="G260" s="1636" t="s">
        <v>1558</v>
      </c>
      <c r="H260" s="1633">
        <v>612</v>
      </c>
      <c r="I260" s="1613">
        <f t="shared" si="110"/>
        <v>612</v>
      </c>
      <c r="J260" s="1682"/>
      <c r="K260" s="1682"/>
      <c r="L260" s="1682"/>
      <c r="M260" s="1682"/>
      <c r="N260" s="1759">
        <f t="shared" si="111"/>
        <v>560</v>
      </c>
      <c r="O260" s="1622">
        <v>560</v>
      </c>
      <c r="P260" s="1770">
        <f t="shared" si="116"/>
        <v>500</v>
      </c>
      <c r="Q260" s="1771">
        <v>500</v>
      </c>
      <c r="R260" s="1591"/>
      <c r="S260" s="1591">
        <f t="shared" si="117"/>
        <v>60</v>
      </c>
      <c r="T260" s="1627">
        <f t="shared" si="118"/>
        <v>500</v>
      </c>
      <c r="U260" s="1634">
        <v>500</v>
      </c>
      <c r="V260" s="1591"/>
      <c r="W260" s="1591"/>
      <c r="X260" s="1627">
        <f t="shared" si="119"/>
        <v>500</v>
      </c>
      <c r="Y260" s="1634">
        <v>500</v>
      </c>
      <c r="Z260" s="1627">
        <v>500</v>
      </c>
      <c r="AA260" s="1634">
        <v>500</v>
      </c>
      <c r="AB260" s="1634"/>
      <c r="AC260" s="1629"/>
      <c r="AD260" s="1623">
        <f t="shared" si="112"/>
        <v>500</v>
      </c>
      <c r="AE260" s="1623">
        <f t="shared" si="120"/>
        <v>500</v>
      </c>
      <c r="AF260" s="1585"/>
      <c r="AG260" s="1009">
        <f t="shared" si="95"/>
        <v>0</v>
      </c>
      <c r="AH260" s="1009">
        <f t="shared" si="115"/>
        <v>1</v>
      </c>
      <c r="AI260" s="1908">
        <f t="shared" si="114"/>
        <v>1</v>
      </c>
    </row>
    <row r="261" spans="1:35" ht="49.5" hidden="1" x14ac:dyDescent="0.25">
      <c r="A261" s="1608" t="s">
        <v>3275</v>
      </c>
      <c r="B261" s="1608"/>
      <c r="C261" s="1635" t="s">
        <v>1557</v>
      </c>
      <c r="D261" s="1610" t="s">
        <v>1379</v>
      </c>
      <c r="E261" s="1610" t="s">
        <v>1556</v>
      </c>
      <c r="F261" s="1610" t="s">
        <v>252</v>
      </c>
      <c r="G261" s="1636" t="s">
        <v>1555</v>
      </c>
      <c r="H261" s="1633">
        <v>1062</v>
      </c>
      <c r="I261" s="1613">
        <f t="shared" si="110"/>
        <v>1062</v>
      </c>
      <c r="J261" s="1682"/>
      <c r="K261" s="1682"/>
      <c r="L261" s="1682"/>
      <c r="M261" s="1682"/>
      <c r="N261" s="1759">
        <f t="shared" si="111"/>
        <v>980</v>
      </c>
      <c r="O261" s="1622">
        <v>980</v>
      </c>
      <c r="P261" s="1770">
        <f t="shared" si="116"/>
        <v>890</v>
      </c>
      <c r="Q261" s="1771">
        <v>890</v>
      </c>
      <c r="R261" s="1591"/>
      <c r="S261" s="1591">
        <f t="shared" si="117"/>
        <v>90</v>
      </c>
      <c r="T261" s="1627">
        <f t="shared" si="118"/>
        <v>890</v>
      </c>
      <c r="U261" s="1634">
        <v>890</v>
      </c>
      <c r="V261" s="1591"/>
      <c r="W261" s="1591"/>
      <c r="X261" s="1627">
        <f t="shared" si="119"/>
        <v>890</v>
      </c>
      <c r="Y261" s="1634">
        <v>890</v>
      </c>
      <c r="Z261" s="1627">
        <v>890</v>
      </c>
      <c r="AA261" s="1634">
        <v>890</v>
      </c>
      <c r="AB261" s="1634"/>
      <c r="AC261" s="1629"/>
      <c r="AD261" s="1623">
        <f t="shared" si="112"/>
        <v>890</v>
      </c>
      <c r="AE261" s="1623">
        <f t="shared" si="120"/>
        <v>890</v>
      </c>
      <c r="AF261" s="1585"/>
      <c r="AG261" s="1009">
        <f t="shared" si="95"/>
        <v>0</v>
      </c>
      <c r="AH261" s="1009">
        <f t="shared" si="115"/>
        <v>1</v>
      </c>
      <c r="AI261" s="1908">
        <f t="shared" si="114"/>
        <v>1</v>
      </c>
    </row>
    <row r="262" spans="1:35" ht="49.5" hidden="1" x14ac:dyDescent="0.25">
      <c r="A262" s="1608" t="s">
        <v>3276</v>
      </c>
      <c r="B262" s="1608"/>
      <c r="C262" s="1635" t="s">
        <v>1554</v>
      </c>
      <c r="D262" s="1610" t="s">
        <v>1355</v>
      </c>
      <c r="E262" s="1610" t="s">
        <v>1553</v>
      </c>
      <c r="F262" s="1610" t="s">
        <v>252</v>
      </c>
      <c r="G262" s="1636" t="s">
        <v>1552</v>
      </c>
      <c r="H262" s="1622">
        <v>668</v>
      </c>
      <c r="I262" s="1613">
        <f t="shared" si="110"/>
        <v>668</v>
      </c>
      <c r="J262" s="1682"/>
      <c r="K262" s="1682"/>
      <c r="L262" s="1682"/>
      <c r="M262" s="1682"/>
      <c r="N262" s="1759">
        <f t="shared" si="111"/>
        <v>620</v>
      </c>
      <c r="O262" s="1622">
        <v>620</v>
      </c>
      <c r="P262" s="1770">
        <f t="shared" si="116"/>
        <v>560</v>
      </c>
      <c r="Q262" s="1773">
        <v>560</v>
      </c>
      <c r="R262" s="1591"/>
      <c r="S262" s="1591">
        <f t="shared" si="117"/>
        <v>60</v>
      </c>
      <c r="T262" s="1627">
        <f t="shared" si="118"/>
        <v>560</v>
      </c>
      <c r="U262" s="1628">
        <v>560</v>
      </c>
      <c r="V262" s="1591"/>
      <c r="W262" s="1591"/>
      <c r="X262" s="1627">
        <f t="shared" si="119"/>
        <v>560</v>
      </c>
      <c r="Y262" s="1628">
        <v>560</v>
      </c>
      <c r="Z262" s="1627">
        <v>560</v>
      </c>
      <c r="AA262" s="1628">
        <v>560</v>
      </c>
      <c r="AB262" s="1628"/>
      <c r="AC262" s="1629"/>
      <c r="AD262" s="1623">
        <f t="shared" si="112"/>
        <v>560</v>
      </c>
      <c r="AE262" s="1623">
        <f t="shared" si="120"/>
        <v>560</v>
      </c>
      <c r="AF262" s="1585"/>
      <c r="AG262" s="1009">
        <f t="shared" si="95"/>
        <v>0</v>
      </c>
      <c r="AH262" s="1009">
        <f t="shared" si="115"/>
        <v>1</v>
      </c>
      <c r="AI262" s="1908">
        <f t="shared" si="114"/>
        <v>1</v>
      </c>
    </row>
    <row r="263" spans="1:35" ht="102.75" hidden="1" customHeight="1" x14ac:dyDescent="0.25">
      <c r="A263" s="1608" t="s">
        <v>3277</v>
      </c>
      <c r="B263" s="1608" t="s">
        <v>3256</v>
      </c>
      <c r="C263" s="1638" t="s">
        <v>1551</v>
      </c>
      <c r="D263" s="1610"/>
      <c r="E263" s="1608" t="s">
        <v>1550</v>
      </c>
      <c r="F263" s="1610"/>
      <c r="G263" s="1610"/>
      <c r="H263" s="1639">
        <v>714</v>
      </c>
      <c r="I263" s="1613">
        <f t="shared" si="110"/>
        <v>714</v>
      </c>
      <c r="J263" s="1682"/>
      <c r="K263" s="1682"/>
      <c r="L263" s="1682"/>
      <c r="M263" s="1682"/>
      <c r="N263" s="1759">
        <f t="shared" si="111"/>
        <v>680</v>
      </c>
      <c r="O263" s="1633">
        <f>I263/1.05</f>
        <v>680</v>
      </c>
      <c r="P263" s="1765">
        <v>680</v>
      </c>
      <c r="Q263" s="1765">
        <v>680</v>
      </c>
      <c r="R263" s="1591"/>
      <c r="S263" s="1591">
        <f t="shared" si="117"/>
        <v>0</v>
      </c>
      <c r="T263" s="1640">
        <v>680</v>
      </c>
      <c r="U263" s="1640">
        <v>680</v>
      </c>
      <c r="V263" s="1591"/>
      <c r="W263" s="1591"/>
      <c r="X263" s="1640">
        <v>680</v>
      </c>
      <c r="Y263" s="1640">
        <v>680</v>
      </c>
      <c r="Z263" s="1640">
        <v>467</v>
      </c>
      <c r="AA263" s="1640">
        <v>467</v>
      </c>
      <c r="AB263" s="1640"/>
      <c r="AC263" s="1629"/>
      <c r="AD263" s="1623">
        <f t="shared" si="112"/>
        <v>467</v>
      </c>
      <c r="AE263" s="1623">
        <f t="shared" si="120"/>
        <v>467</v>
      </c>
      <c r="AF263" s="1585"/>
      <c r="AG263" s="1009">
        <f t="shared" si="95"/>
        <v>0</v>
      </c>
      <c r="AH263" s="1009">
        <f t="shared" si="115"/>
        <v>1</v>
      </c>
      <c r="AI263" s="1908">
        <f t="shared" si="114"/>
        <v>1</v>
      </c>
    </row>
    <row r="264" spans="1:35" ht="21.75" hidden="1" customHeight="1" x14ac:dyDescent="0.25">
      <c r="A264" s="1608" t="s">
        <v>3278</v>
      </c>
      <c r="B264" s="1608"/>
      <c r="C264" s="1638" t="s">
        <v>1549</v>
      </c>
      <c r="D264" s="1610"/>
      <c r="E264" s="1608"/>
      <c r="F264" s="1610"/>
      <c r="G264" s="1610"/>
      <c r="H264" s="1639">
        <v>766</v>
      </c>
      <c r="I264" s="1613">
        <f t="shared" si="110"/>
        <v>766</v>
      </c>
      <c r="J264" s="1682"/>
      <c r="K264" s="1682"/>
      <c r="L264" s="1682"/>
      <c r="M264" s="1682"/>
      <c r="N264" s="1759">
        <f t="shared" si="111"/>
        <v>729.52380952380952</v>
      </c>
      <c r="O264" s="1633">
        <f>I264/1.05</f>
        <v>729.52380952380952</v>
      </c>
      <c r="P264" s="1765"/>
      <c r="Q264" s="1765"/>
      <c r="R264" s="1591"/>
      <c r="S264" s="1591">
        <f t="shared" si="117"/>
        <v>729.52380952380952</v>
      </c>
      <c r="T264" s="1640"/>
      <c r="U264" s="1640"/>
      <c r="V264" s="1591"/>
      <c r="W264" s="1591"/>
      <c r="X264" s="1640"/>
      <c r="Y264" s="1640"/>
      <c r="Z264" s="1640">
        <v>0</v>
      </c>
      <c r="AA264" s="1640">
        <v>0</v>
      </c>
      <c r="AB264" s="1640"/>
      <c r="AC264" s="1629"/>
      <c r="AD264" s="1623">
        <f t="shared" si="112"/>
        <v>0</v>
      </c>
      <c r="AE264" s="1623">
        <f t="shared" si="120"/>
        <v>0</v>
      </c>
      <c r="AF264" s="1580"/>
      <c r="AG264" s="1009">
        <f t="shared" si="95"/>
        <v>0</v>
      </c>
      <c r="AH264" s="1009">
        <f t="shared" si="115"/>
        <v>0</v>
      </c>
      <c r="AI264" s="1908">
        <f t="shared" si="114"/>
        <v>1</v>
      </c>
    </row>
    <row r="265" spans="1:35" ht="69.75" hidden="1" customHeight="1" x14ac:dyDescent="0.25">
      <c r="A265" s="1608" t="s">
        <v>3279</v>
      </c>
      <c r="B265" s="1608"/>
      <c r="C265" s="1638" t="s">
        <v>1548</v>
      </c>
      <c r="D265" s="1610"/>
      <c r="E265" s="1608"/>
      <c r="F265" s="1610"/>
      <c r="G265" s="1610"/>
      <c r="H265" s="1639">
        <v>32000</v>
      </c>
      <c r="I265" s="1613">
        <f t="shared" si="110"/>
        <v>32000</v>
      </c>
      <c r="J265" s="1682"/>
      <c r="K265" s="1682"/>
      <c r="L265" s="1682"/>
      <c r="M265" s="1682"/>
      <c r="N265" s="1759">
        <f t="shared" si="111"/>
        <v>29570</v>
      </c>
      <c r="O265" s="1633">
        <v>29570</v>
      </c>
      <c r="P265" s="1765"/>
      <c r="Q265" s="1765"/>
      <c r="R265" s="1591"/>
      <c r="S265" s="1591">
        <f t="shared" si="117"/>
        <v>29570</v>
      </c>
      <c r="T265" s="1640"/>
      <c r="U265" s="1640"/>
      <c r="V265" s="1591"/>
      <c r="W265" s="1591"/>
      <c r="X265" s="1640"/>
      <c r="Y265" s="1640"/>
      <c r="Z265" s="1640">
        <v>0</v>
      </c>
      <c r="AA265" s="1640">
        <v>0</v>
      </c>
      <c r="AB265" s="1640"/>
      <c r="AC265" s="1629"/>
      <c r="AD265" s="1623">
        <f t="shared" si="112"/>
        <v>0</v>
      </c>
      <c r="AE265" s="1623">
        <f t="shared" si="120"/>
        <v>0</v>
      </c>
      <c r="AF265" s="1580"/>
      <c r="AG265" s="1009">
        <f t="shared" si="95"/>
        <v>0</v>
      </c>
      <c r="AH265" s="1009">
        <f t="shared" si="115"/>
        <v>0</v>
      </c>
      <c r="AI265" s="1908">
        <f t="shared" si="114"/>
        <v>1</v>
      </c>
    </row>
    <row r="266" spans="1:35" ht="36.75" hidden="1" customHeight="1" x14ac:dyDescent="0.25">
      <c r="A266" s="1608" t="s">
        <v>3280</v>
      </c>
      <c r="B266" s="1608"/>
      <c r="C266" s="1638" t="s">
        <v>1546</v>
      </c>
      <c r="D266" s="1610"/>
      <c r="E266" s="1608"/>
      <c r="F266" s="1610"/>
      <c r="G266" s="1610"/>
      <c r="H266" s="1639">
        <v>55000</v>
      </c>
      <c r="I266" s="1613">
        <f t="shared" si="110"/>
        <v>55000</v>
      </c>
      <c r="J266" s="1682"/>
      <c r="K266" s="1682"/>
      <c r="L266" s="1682"/>
      <c r="M266" s="1682"/>
      <c r="N266" s="1759">
        <f t="shared" si="111"/>
        <v>49999.999999999993</v>
      </c>
      <c r="O266" s="1633">
        <f>I266/1.1</f>
        <v>49999.999999999993</v>
      </c>
      <c r="P266" s="1765"/>
      <c r="Q266" s="1765"/>
      <c r="R266" s="1591"/>
      <c r="S266" s="1591">
        <f t="shared" si="117"/>
        <v>49999.999999999993</v>
      </c>
      <c r="T266" s="1640"/>
      <c r="U266" s="1640"/>
      <c r="V266" s="1591"/>
      <c r="W266" s="1591"/>
      <c r="X266" s="1640"/>
      <c r="Y266" s="1640"/>
      <c r="Z266" s="1640">
        <v>0</v>
      </c>
      <c r="AA266" s="1640">
        <v>0</v>
      </c>
      <c r="AB266" s="1640"/>
      <c r="AC266" s="1629"/>
      <c r="AD266" s="1623">
        <f t="shared" si="112"/>
        <v>0</v>
      </c>
      <c r="AE266" s="1623">
        <f t="shared" si="120"/>
        <v>0</v>
      </c>
      <c r="AF266" s="1580"/>
      <c r="AG266" s="1009">
        <f t="shared" si="95"/>
        <v>0</v>
      </c>
      <c r="AH266" s="1009">
        <f t="shared" si="115"/>
        <v>0</v>
      </c>
      <c r="AI266" s="1908">
        <f t="shared" si="114"/>
        <v>1</v>
      </c>
    </row>
    <row r="267" spans="1:35" ht="70.5" hidden="1" customHeight="1" x14ac:dyDescent="0.25">
      <c r="A267" s="1608" t="s">
        <v>3281</v>
      </c>
      <c r="B267" s="1608"/>
      <c r="C267" s="1638" t="s">
        <v>1544</v>
      </c>
      <c r="D267" s="1610" t="s">
        <v>1355</v>
      </c>
      <c r="E267" s="1611" t="s">
        <v>1543</v>
      </c>
      <c r="F267" s="1610" t="s">
        <v>109</v>
      </c>
      <c r="G267" s="1636" t="s">
        <v>1542</v>
      </c>
      <c r="H267" s="1639">
        <f>I267</f>
        <v>4688</v>
      </c>
      <c r="I267" s="1613">
        <v>4688</v>
      </c>
      <c r="J267" s="1682"/>
      <c r="K267" s="1682"/>
      <c r="L267" s="1682"/>
      <c r="M267" s="1682"/>
      <c r="N267" s="1759">
        <f t="shared" si="111"/>
        <v>4760</v>
      </c>
      <c r="O267" s="1633">
        <v>4760</v>
      </c>
      <c r="P267" s="1765">
        <f>Q267</f>
        <v>3380</v>
      </c>
      <c r="Q267" s="1765">
        <v>3380</v>
      </c>
      <c r="R267" s="1591"/>
      <c r="S267" s="1591">
        <f t="shared" si="117"/>
        <v>1380</v>
      </c>
      <c r="T267" s="1640">
        <f>U267</f>
        <v>3380</v>
      </c>
      <c r="U267" s="1640">
        <v>3380</v>
      </c>
      <c r="V267" s="1591"/>
      <c r="W267" s="1591"/>
      <c r="X267" s="1640">
        <f>Y267</f>
        <v>3380</v>
      </c>
      <c r="Y267" s="1640">
        <v>3380</v>
      </c>
      <c r="Z267" s="1640">
        <v>3380</v>
      </c>
      <c r="AA267" s="1640">
        <v>3380</v>
      </c>
      <c r="AB267" s="1640"/>
      <c r="AC267" s="1629"/>
      <c r="AD267" s="1623">
        <f t="shared" si="112"/>
        <v>3380</v>
      </c>
      <c r="AE267" s="1623">
        <f t="shared" si="120"/>
        <v>3380</v>
      </c>
      <c r="AF267" s="1585"/>
      <c r="AG267" s="1009">
        <f t="shared" si="95"/>
        <v>0</v>
      </c>
      <c r="AH267" s="1009">
        <f t="shared" si="115"/>
        <v>1</v>
      </c>
      <c r="AI267" s="1908">
        <f t="shared" si="114"/>
        <v>1</v>
      </c>
    </row>
    <row r="268" spans="1:35" ht="69.75" hidden="1" customHeight="1" x14ac:dyDescent="0.25">
      <c r="A268" s="1608" t="s">
        <v>3282</v>
      </c>
      <c r="B268" s="1608"/>
      <c r="C268" s="1609" t="s">
        <v>1541</v>
      </c>
      <c r="D268" s="1610" t="s">
        <v>1379</v>
      </c>
      <c r="E268" s="1611" t="s">
        <v>1540</v>
      </c>
      <c r="F268" s="1610" t="s">
        <v>109</v>
      </c>
      <c r="G268" s="1610" t="s">
        <v>1539</v>
      </c>
      <c r="H268" s="1774">
        <v>3853</v>
      </c>
      <c r="I268" s="1641">
        <f t="shared" ref="I268:I329" si="121">H268</f>
        <v>3853</v>
      </c>
      <c r="J268" s="1682"/>
      <c r="K268" s="1682"/>
      <c r="L268" s="1682"/>
      <c r="M268" s="1682"/>
      <c r="N268" s="1759">
        <f t="shared" si="111"/>
        <v>4760</v>
      </c>
      <c r="O268" s="1633">
        <v>4760</v>
      </c>
      <c r="P268" s="1765">
        <f>Q268</f>
        <v>3000</v>
      </c>
      <c r="Q268" s="1765">
        <v>3000</v>
      </c>
      <c r="R268" s="1591"/>
      <c r="S268" s="1591">
        <f t="shared" si="117"/>
        <v>1760</v>
      </c>
      <c r="T268" s="1640">
        <f>U268</f>
        <v>3000</v>
      </c>
      <c r="U268" s="1640">
        <v>3000</v>
      </c>
      <c r="V268" s="1591"/>
      <c r="W268" s="1591"/>
      <c r="X268" s="1640">
        <f>Y268</f>
        <v>3000</v>
      </c>
      <c r="Y268" s="1640">
        <v>3000</v>
      </c>
      <c r="Z268" s="1640">
        <v>3000</v>
      </c>
      <c r="AA268" s="1640">
        <v>3000</v>
      </c>
      <c r="AB268" s="1640"/>
      <c r="AC268" s="1629"/>
      <c r="AD268" s="1623">
        <f t="shared" si="112"/>
        <v>3000</v>
      </c>
      <c r="AE268" s="1623">
        <f t="shared" si="120"/>
        <v>3000</v>
      </c>
      <c r="AF268" s="1585"/>
      <c r="AG268" s="1009">
        <f t="shared" si="95"/>
        <v>0</v>
      </c>
      <c r="AH268" s="1009">
        <f t="shared" si="115"/>
        <v>1</v>
      </c>
      <c r="AI268" s="1908">
        <f t="shared" si="114"/>
        <v>1</v>
      </c>
    </row>
    <row r="269" spans="1:35" ht="77.25" hidden="1" customHeight="1" x14ac:dyDescent="0.25">
      <c r="A269" s="1608" t="s">
        <v>3283</v>
      </c>
      <c r="B269" s="1608" t="s">
        <v>3257</v>
      </c>
      <c r="C269" s="1609" t="s">
        <v>1538</v>
      </c>
      <c r="D269" s="1610" t="s">
        <v>1355</v>
      </c>
      <c r="E269" s="1611" t="s">
        <v>1537</v>
      </c>
      <c r="F269" s="1610" t="s">
        <v>109</v>
      </c>
      <c r="G269" s="1610" t="s">
        <v>1536</v>
      </c>
      <c r="H269" s="1635">
        <v>27628</v>
      </c>
      <c r="I269" s="1641">
        <f t="shared" si="121"/>
        <v>27628</v>
      </c>
      <c r="J269" s="1682"/>
      <c r="K269" s="1682"/>
      <c r="L269" s="1682"/>
      <c r="M269" s="1682"/>
      <c r="N269" s="1759">
        <f t="shared" si="111"/>
        <v>18000</v>
      </c>
      <c r="O269" s="1633">
        <v>18000</v>
      </c>
      <c r="P269" s="1765">
        <f>Q269</f>
        <v>20500</v>
      </c>
      <c r="Q269" s="1765">
        <v>20500</v>
      </c>
      <c r="R269" s="1591">
        <f>U269-O269</f>
        <v>2500</v>
      </c>
      <c r="S269" s="1591"/>
      <c r="T269" s="1640">
        <f>U269</f>
        <v>20500</v>
      </c>
      <c r="U269" s="1640">
        <v>20500</v>
      </c>
      <c r="V269" s="1591"/>
      <c r="W269" s="1591"/>
      <c r="X269" s="1640">
        <f>Y269</f>
        <v>20500</v>
      </c>
      <c r="Y269" s="1640">
        <v>20500</v>
      </c>
      <c r="Z269" s="1640">
        <v>21123</v>
      </c>
      <c r="AA269" s="1640">
        <v>21123</v>
      </c>
      <c r="AB269" s="1640"/>
      <c r="AC269" s="1629"/>
      <c r="AD269" s="1623">
        <f t="shared" si="112"/>
        <v>21123</v>
      </c>
      <c r="AE269" s="1623">
        <f t="shared" si="120"/>
        <v>21123</v>
      </c>
      <c r="AF269" s="1585"/>
      <c r="AG269" s="1009">
        <f t="shared" si="95"/>
        <v>0</v>
      </c>
      <c r="AH269" s="1009">
        <f t="shared" si="115"/>
        <v>1</v>
      </c>
      <c r="AI269" s="1908">
        <f t="shared" si="114"/>
        <v>1</v>
      </c>
    </row>
    <row r="270" spans="1:35" ht="69" hidden="1" customHeight="1" x14ac:dyDescent="0.25">
      <c r="A270" s="1608" t="s">
        <v>3284</v>
      </c>
      <c r="B270" s="1608"/>
      <c r="C270" s="1609" t="s">
        <v>1535</v>
      </c>
      <c r="D270" s="1610" t="s">
        <v>1355</v>
      </c>
      <c r="E270" s="1611" t="s">
        <v>1534</v>
      </c>
      <c r="F270" s="1610" t="s">
        <v>109</v>
      </c>
      <c r="G270" s="1610" t="s">
        <v>1533</v>
      </c>
      <c r="H270" s="1635">
        <v>4462</v>
      </c>
      <c r="I270" s="1641">
        <f t="shared" si="121"/>
        <v>4462</v>
      </c>
      <c r="J270" s="1747"/>
      <c r="K270" s="1747"/>
      <c r="L270" s="1747"/>
      <c r="M270" s="1747"/>
      <c r="N270" s="1759">
        <f t="shared" si="111"/>
        <v>2670</v>
      </c>
      <c r="O270" s="1633">
        <v>2670</v>
      </c>
      <c r="P270" s="1773">
        <v>3450</v>
      </c>
      <c r="Q270" s="1765">
        <f t="shared" ref="Q270:Q286" si="122">P270</f>
        <v>3450</v>
      </c>
      <c r="R270" s="1591">
        <f>U270-O270</f>
        <v>780</v>
      </c>
      <c r="S270" s="1591"/>
      <c r="T270" s="1628">
        <v>3450</v>
      </c>
      <c r="U270" s="1640">
        <v>3450</v>
      </c>
      <c r="V270" s="1591"/>
      <c r="W270" s="1591"/>
      <c r="X270" s="1628">
        <v>3450</v>
      </c>
      <c r="Y270" s="1640">
        <v>3450</v>
      </c>
      <c r="Z270" s="1628">
        <v>3450</v>
      </c>
      <c r="AA270" s="1640">
        <v>3450</v>
      </c>
      <c r="AB270" s="1640"/>
      <c r="AC270" s="1629"/>
      <c r="AD270" s="1623">
        <f t="shared" si="112"/>
        <v>3450</v>
      </c>
      <c r="AE270" s="1623">
        <f t="shared" si="120"/>
        <v>3450</v>
      </c>
      <c r="AF270" s="1599"/>
      <c r="AG270" s="1009">
        <f t="shared" si="95"/>
        <v>0</v>
      </c>
      <c r="AH270" s="1009">
        <f t="shared" si="115"/>
        <v>1</v>
      </c>
      <c r="AI270" s="1908">
        <f t="shared" si="114"/>
        <v>1</v>
      </c>
    </row>
    <row r="271" spans="1:35" ht="69.75" hidden="1" customHeight="1" x14ac:dyDescent="0.25">
      <c r="A271" s="1608" t="s">
        <v>3285</v>
      </c>
      <c r="B271" s="1608"/>
      <c r="C271" s="1609" t="s">
        <v>1532</v>
      </c>
      <c r="D271" s="1610" t="s">
        <v>1355</v>
      </c>
      <c r="E271" s="1611" t="s">
        <v>1531</v>
      </c>
      <c r="F271" s="1610" t="s">
        <v>109</v>
      </c>
      <c r="G271" s="1610" t="s">
        <v>1530</v>
      </c>
      <c r="H271" s="1635">
        <v>2600</v>
      </c>
      <c r="I271" s="1641">
        <f t="shared" si="121"/>
        <v>2600</v>
      </c>
      <c r="J271" s="1747"/>
      <c r="K271" s="1747"/>
      <c r="L271" s="1747"/>
      <c r="M271" s="1747"/>
      <c r="N271" s="1759">
        <f t="shared" si="111"/>
        <v>1330</v>
      </c>
      <c r="O271" s="1633">
        <v>1330</v>
      </c>
      <c r="P271" s="1773">
        <v>2040</v>
      </c>
      <c r="Q271" s="1765">
        <f t="shared" si="122"/>
        <v>2040</v>
      </c>
      <c r="R271" s="1591">
        <f>U271-O271</f>
        <v>710</v>
      </c>
      <c r="S271" s="1591"/>
      <c r="T271" s="1628">
        <v>2040</v>
      </c>
      <c r="U271" s="1640">
        <v>2040</v>
      </c>
      <c r="V271" s="1591"/>
      <c r="W271" s="1591"/>
      <c r="X271" s="1628">
        <v>2040</v>
      </c>
      <c r="Y271" s="1640">
        <v>2040</v>
      </c>
      <c r="Z271" s="1628">
        <v>2040</v>
      </c>
      <c r="AA271" s="1640">
        <v>2040</v>
      </c>
      <c r="AB271" s="1640"/>
      <c r="AC271" s="1629"/>
      <c r="AD271" s="1623">
        <f t="shared" si="112"/>
        <v>2040</v>
      </c>
      <c r="AE271" s="1623">
        <f t="shared" si="120"/>
        <v>2040</v>
      </c>
      <c r="AF271" s="1599"/>
      <c r="AG271" s="1009">
        <f t="shared" si="95"/>
        <v>0</v>
      </c>
      <c r="AH271" s="1009">
        <f t="shared" si="115"/>
        <v>1</v>
      </c>
      <c r="AI271" s="1908">
        <f t="shared" si="114"/>
        <v>1</v>
      </c>
    </row>
    <row r="272" spans="1:35" ht="85.5" hidden="1" customHeight="1" x14ac:dyDescent="0.25">
      <c r="A272" s="1608" t="s">
        <v>3286</v>
      </c>
      <c r="B272" s="1608"/>
      <c r="C272" s="1609" t="s">
        <v>1529</v>
      </c>
      <c r="D272" s="1610" t="s">
        <v>1355</v>
      </c>
      <c r="E272" s="1611" t="s">
        <v>1528</v>
      </c>
      <c r="F272" s="1610" t="s">
        <v>109</v>
      </c>
      <c r="G272" s="1610" t="s">
        <v>1527</v>
      </c>
      <c r="H272" s="1635">
        <v>487</v>
      </c>
      <c r="I272" s="1641">
        <f t="shared" si="121"/>
        <v>487</v>
      </c>
      <c r="J272" s="1747"/>
      <c r="K272" s="1747"/>
      <c r="L272" s="1747"/>
      <c r="M272" s="1747"/>
      <c r="N272" s="1759">
        <f t="shared" si="111"/>
        <v>1000</v>
      </c>
      <c r="O272" s="1633">
        <v>1000</v>
      </c>
      <c r="P272" s="1773">
        <v>380</v>
      </c>
      <c r="Q272" s="1765">
        <f t="shared" si="122"/>
        <v>380</v>
      </c>
      <c r="R272" s="1591"/>
      <c r="S272" s="1591">
        <f>O272-U272</f>
        <v>620</v>
      </c>
      <c r="T272" s="1628">
        <v>380</v>
      </c>
      <c r="U272" s="1640">
        <v>380</v>
      </c>
      <c r="V272" s="1591"/>
      <c r="W272" s="1591"/>
      <c r="X272" s="1628">
        <v>380</v>
      </c>
      <c r="Y272" s="1640">
        <v>380</v>
      </c>
      <c r="Z272" s="1628">
        <v>380</v>
      </c>
      <c r="AA272" s="1640">
        <v>380</v>
      </c>
      <c r="AB272" s="1640"/>
      <c r="AC272" s="1629"/>
      <c r="AD272" s="1623">
        <f t="shared" si="112"/>
        <v>380</v>
      </c>
      <c r="AE272" s="1623">
        <f t="shared" si="120"/>
        <v>380</v>
      </c>
      <c r="AF272" s="1599"/>
      <c r="AG272" s="1009">
        <f t="shared" si="95"/>
        <v>0</v>
      </c>
      <c r="AH272" s="1009">
        <f t="shared" si="115"/>
        <v>1</v>
      </c>
      <c r="AI272" s="1908">
        <f t="shared" si="114"/>
        <v>1</v>
      </c>
    </row>
    <row r="273" spans="1:35" ht="89.25" hidden="1" customHeight="1" x14ac:dyDescent="0.25">
      <c r="A273" s="1608" t="s">
        <v>3287</v>
      </c>
      <c r="B273" s="1608"/>
      <c r="C273" s="1609" t="s">
        <v>1526</v>
      </c>
      <c r="D273" s="1610" t="s">
        <v>1355</v>
      </c>
      <c r="E273" s="1611" t="s">
        <v>1525</v>
      </c>
      <c r="F273" s="1610" t="s">
        <v>109</v>
      </c>
      <c r="G273" s="1610" t="s">
        <v>1524</v>
      </c>
      <c r="H273" s="1635">
        <v>1055</v>
      </c>
      <c r="I273" s="1641">
        <f t="shared" si="121"/>
        <v>1055</v>
      </c>
      <c r="J273" s="1747"/>
      <c r="K273" s="1747"/>
      <c r="L273" s="1747"/>
      <c r="M273" s="1747"/>
      <c r="N273" s="1759">
        <f t="shared" si="111"/>
        <v>500</v>
      </c>
      <c r="O273" s="1633">
        <v>500</v>
      </c>
      <c r="P273" s="1773">
        <v>820</v>
      </c>
      <c r="Q273" s="1765">
        <f t="shared" si="122"/>
        <v>820</v>
      </c>
      <c r="R273" s="1591">
        <f>U273-O273</f>
        <v>320</v>
      </c>
      <c r="S273" s="1591"/>
      <c r="T273" s="1628">
        <v>820</v>
      </c>
      <c r="U273" s="1640">
        <v>820</v>
      </c>
      <c r="V273" s="1591"/>
      <c r="W273" s="1591"/>
      <c r="X273" s="1628">
        <v>820</v>
      </c>
      <c r="Y273" s="1640">
        <v>820</v>
      </c>
      <c r="Z273" s="1628">
        <v>820</v>
      </c>
      <c r="AA273" s="1640">
        <v>820</v>
      </c>
      <c r="AB273" s="1640"/>
      <c r="AC273" s="1629"/>
      <c r="AD273" s="1623">
        <f t="shared" si="112"/>
        <v>820</v>
      </c>
      <c r="AE273" s="1623">
        <f t="shared" si="120"/>
        <v>820</v>
      </c>
      <c r="AF273" s="1599"/>
      <c r="AG273" s="1009">
        <f t="shared" ref="AG273:AG331" si="123">IF(AE273-AA273=0,0,1)</f>
        <v>0</v>
      </c>
      <c r="AH273" s="1009">
        <f t="shared" si="115"/>
        <v>1</v>
      </c>
      <c r="AI273" s="1908">
        <f t="shared" si="114"/>
        <v>1</v>
      </c>
    </row>
    <row r="274" spans="1:35" ht="66" hidden="1" x14ac:dyDescent="0.25">
      <c r="A274" s="1608" t="s">
        <v>3288</v>
      </c>
      <c r="B274" s="1608"/>
      <c r="C274" s="1609" t="s">
        <v>1523</v>
      </c>
      <c r="D274" s="1610" t="s">
        <v>1355</v>
      </c>
      <c r="E274" s="1611" t="s">
        <v>1522</v>
      </c>
      <c r="F274" s="1610" t="s">
        <v>109</v>
      </c>
      <c r="G274" s="1610" t="s">
        <v>1521</v>
      </c>
      <c r="H274" s="1635">
        <v>473</v>
      </c>
      <c r="I274" s="1641">
        <f t="shared" si="121"/>
        <v>473</v>
      </c>
      <c r="J274" s="1747"/>
      <c r="K274" s="1747"/>
      <c r="L274" s="1747"/>
      <c r="M274" s="1747"/>
      <c r="N274" s="1759">
        <f t="shared" si="111"/>
        <v>500</v>
      </c>
      <c r="O274" s="1633">
        <v>500</v>
      </c>
      <c r="P274" s="1773">
        <v>350</v>
      </c>
      <c r="Q274" s="1765">
        <f t="shared" si="122"/>
        <v>350</v>
      </c>
      <c r="R274" s="1591"/>
      <c r="S274" s="1591">
        <f>O274-U274</f>
        <v>150</v>
      </c>
      <c r="T274" s="1628">
        <v>350</v>
      </c>
      <c r="U274" s="1640">
        <v>350</v>
      </c>
      <c r="V274" s="1591"/>
      <c r="W274" s="1591"/>
      <c r="X274" s="1628">
        <v>350</v>
      </c>
      <c r="Y274" s="1640">
        <v>350</v>
      </c>
      <c r="Z274" s="1628">
        <v>350</v>
      </c>
      <c r="AA274" s="1640">
        <v>350</v>
      </c>
      <c r="AB274" s="1640"/>
      <c r="AC274" s="1629"/>
      <c r="AD274" s="1623">
        <f t="shared" si="112"/>
        <v>350</v>
      </c>
      <c r="AE274" s="1623">
        <f t="shared" si="120"/>
        <v>350</v>
      </c>
      <c r="AF274" s="1599"/>
      <c r="AG274" s="1009">
        <f t="shared" si="123"/>
        <v>0</v>
      </c>
      <c r="AH274" s="1009">
        <f t="shared" si="115"/>
        <v>1</v>
      </c>
      <c r="AI274" s="1908">
        <f t="shared" si="114"/>
        <v>1</v>
      </c>
    </row>
    <row r="275" spans="1:35" ht="99" hidden="1" x14ac:dyDescent="0.25">
      <c r="A275" s="1608" t="s">
        <v>3289</v>
      </c>
      <c r="B275" s="1608"/>
      <c r="C275" s="1609" t="s">
        <v>1520</v>
      </c>
      <c r="D275" s="1610" t="s">
        <v>1355</v>
      </c>
      <c r="E275" s="1611" t="s">
        <v>1519</v>
      </c>
      <c r="F275" s="1610" t="s">
        <v>109</v>
      </c>
      <c r="G275" s="1610" t="s">
        <v>1518</v>
      </c>
      <c r="H275" s="1635">
        <v>1392</v>
      </c>
      <c r="I275" s="1641">
        <f t="shared" si="121"/>
        <v>1392</v>
      </c>
      <c r="J275" s="1747"/>
      <c r="K275" s="1747"/>
      <c r="L275" s="1747"/>
      <c r="M275" s="1747"/>
      <c r="N275" s="1759">
        <f t="shared" si="111"/>
        <v>830</v>
      </c>
      <c r="O275" s="1633">
        <v>830</v>
      </c>
      <c r="P275" s="1773">
        <v>1090</v>
      </c>
      <c r="Q275" s="1765">
        <f t="shared" si="122"/>
        <v>1090</v>
      </c>
      <c r="R275" s="1591">
        <f>U275-O275</f>
        <v>260</v>
      </c>
      <c r="S275" s="1591"/>
      <c r="T275" s="1628">
        <v>1090</v>
      </c>
      <c r="U275" s="1640">
        <v>1090</v>
      </c>
      <c r="V275" s="1591"/>
      <c r="W275" s="1591"/>
      <c r="X275" s="1628">
        <v>1090</v>
      </c>
      <c r="Y275" s="1640">
        <v>1090</v>
      </c>
      <c r="Z275" s="1628">
        <v>1090</v>
      </c>
      <c r="AA275" s="1640">
        <v>1090</v>
      </c>
      <c r="AB275" s="1640"/>
      <c r="AC275" s="1629"/>
      <c r="AD275" s="1623">
        <f t="shared" si="112"/>
        <v>1090</v>
      </c>
      <c r="AE275" s="1623">
        <f t="shared" si="120"/>
        <v>1090</v>
      </c>
      <c r="AF275" s="1599"/>
      <c r="AG275" s="1009">
        <f t="shared" si="123"/>
        <v>0</v>
      </c>
      <c r="AH275" s="1009">
        <f t="shared" si="115"/>
        <v>1</v>
      </c>
      <c r="AI275" s="1908">
        <f t="shared" si="114"/>
        <v>1</v>
      </c>
    </row>
    <row r="276" spans="1:35" ht="99" hidden="1" x14ac:dyDescent="0.25">
      <c r="A276" s="1608" t="s">
        <v>3290</v>
      </c>
      <c r="B276" s="1608"/>
      <c r="C276" s="1609" t="s">
        <v>1517</v>
      </c>
      <c r="D276" s="1610" t="s">
        <v>1355</v>
      </c>
      <c r="E276" s="1611" t="s">
        <v>1516</v>
      </c>
      <c r="F276" s="1610" t="s">
        <v>109</v>
      </c>
      <c r="G276" s="1610" t="s">
        <v>1515</v>
      </c>
      <c r="H276" s="1635">
        <v>726</v>
      </c>
      <c r="I276" s="1641">
        <f t="shared" si="121"/>
        <v>726</v>
      </c>
      <c r="J276" s="1747"/>
      <c r="K276" s="1747"/>
      <c r="L276" s="1747"/>
      <c r="M276" s="1747"/>
      <c r="N276" s="1759">
        <f t="shared" si="111"/>
        <v>1000</v>
      </c>
      <c r="O276" s="1633">
        <v>1000</v>
      </c>
      <c r="P276" s="1773">
        <v>550</v>
      </c>
      <c r="Q276" s="1765">
        <f t="shared" si="122"/>
        <v>550</v>
      </c>
      <c r="R276" s="1591"/>
      <c r="S276" s="1591">
        <f t="shared" ref="S276:S286" si="124">O276-U276</f>
        <v>450</v>
      </c>
      <c r="T276" s="1628">
        <v>550</v>
      </c>
      <c r="U276" s="1640">
        <v>550</v>
      </c>
      <c r="V276" s="1591"/>
      <c r="W276" s="1591"/>
      <c r="X276" s="1628">
        <v>550</v>
      </c>
      <c r="Y276" s="1640">
        <v>550</v>
      </c>
      <c r="Z276" s="1628">
        <v>550</v>
      </c>
      <c r="AA276" s="1640">
        <v>550</v>
      </c>
      <c r="AB276" s="1640"/>
      <c r="AC276" s="1629"/>
      <c r="AD276" s="1623">
        <f t="shared" si="112"/>
        <v>550</v>
      </c>
      <c r="AE276" s="1623">
        <f t="shared" si="120"/>
        <v>550</v>
      </c>
      <c r="AF276" s="1599"/>
      <c r="AG276" s="1009">
        <f t="shared" si="123"/>
        <v>0</v>
      </c>
      <c r="AH276" s="1009">
        <f t="shared" si="115"/>
        <v>1</v>
      </c>
      <c r="AI276" s="1908">
        <f t="shared" si="114"/>
        <v>1</v>
      </c>
    </row>
    <row r="277" spans="1:35" ht="99" hidden="1" x14ac:dyDescent="0.25">
      <c r="A277" s="1608" t="s">
        <v>3291</v>
      </c>
      <c r="B277" s="1608"/>
      <c r="C277" s="1609" t="s">
        <v>1514</v>
      </c>
      <c r="D277" s="1610" t="s">
        <v>1355</v>
      </c>
      <c r="E277" s="1611" t="s">
        <v>1513</v>
      </c>
      <c r="F277" s="1610" t="s">
        <v>109</v>
      </c>
      <c r="G277" s="1610" t="s">
        <v>1512</v>
      </c>
      <c r="H277" s="1635">
        <v>494</v>
      </c>
      <c r="I277" s="1641">
        <f t="shared" si="121"/>
        <v>494</v>
      </c>
      <c r="J277" s="1747"/>
      <c r="K277" s="1747"/>
      <c r="L277" s="1747"/>
      <c r="M277" s="1747"/>
      <c r="N277" s="1759">
        <f t="shared" si="111"/>
        <v>500</v>
      </c>
      <c r="O277" s="1633">
        <v>500</v>
      </c>
      <c r="P277" s="1773">
        <v>390</v>
      </c>
      <c r="Q277" s="1765">
        <f t="shared" si="122"/>
        <v>390</v>
      </c>
      <c r="R277" s="1591"/>
      <c r="S277" s="1591">
        <f t="shared" si="124"/>
        <v>110</v>
      </c>
      <c r="T277" s="1628">
        <v>390</v>
      </c>
      <c r="U277" s="1640">
        <v>390</v>
      </c>
      <c r="V277" s="1591"/>
      <c r="W277" s="1591"/>
      <c r="X277" s="1628">
        <v>390</v>
      </c>
      <c r="Y277" s="1640">
        <v>390</v>
      </c>
      <c r="Z277" s="1628">
        <v>390</v>
      </c>
      <c r="AA277" s="1640">
        <v>390</v>
      </c>
      <c r="AB277" s="1640"/>
      <c r="AC277" s="1629"/>
      <c r="AD277" s="1623">
        <f t="shared" si="112"/>
        <v>390</v>
      </c>
      <c r="AE277" s="1623">
        <f t="shared" si="120"/>
        <v>390</v>
      </c>
      <c r="AF277" s="1599"/>
      <c r="AG277" s="1009">
        <f t="shared" si="123"/>
        <v>0</v>
      </c>
      <c r="AH277" s="1009">
        <f t="shared" si="115"/>
        <v>1</v>
      </c>
      <c r="AI277" s="1908">
        <f t="shared" si="114"/>
        <v>1</v>
      </c>
    </row>
    <row r="278" spans="1:35" ht="99" hidden="1" x14ac:dyDescent="0.25">
      <c r="A278" s="1608" t="s">
        <v>3292</v>
      </c>
      <c r="B278" s="1608"/>
      <c r="C278" s="1609" t="s">
        <v>1511</v>
      </c>
      <c r="D278" s="1610" t="s">
        <v>1355</v>
      </c>
      <c r="E278" s="1611" t="s">
        <v>1510</v>
      </c>
      <c r="F278" s="1610" t="s">
        <v>109</v>
      </c>
      <c r="G278" s="1610" t="s">
        <v>1509</v>
      </c>
      <c r="H278" s="1635">
        <v>685</v>
      </c>
      <c r="I278" s="1641">
        <f t="shared" si="121"/>
        <v>685</v>
      </c>
      <c r="J278" s="1747"/>
      <c r="K278" s="1747"/>
      <c r="L278" s="1747"/>
      <c r="M278" s="1747"/>
      <c r="N278" s="1759">
        <f t="shared" si="111"/>
        <v>830</v>
      </c>
      <c r="O278" s="1633">
        <v>830</v>
      </c>
      <c r="P278" s="1773">
        <v>530</v>
      </c>
      <c r="Q278" s="1765">
        <f t="shared" si="122"/>
        <v>530</v>
      </c>
      <c r="R278" s="1591"/>
      <c r="S278" s="1591">
        <f t="shared" si="124"/>
        <v>300</v>
      </c>
      <c r="T278" s="1628">
        <v>530</v>
      </c>
      <c r="U278" s="1640">
        <v>530</v>
      </c>
      <c r="V278" s="1591"/>
      <c r="W278" s="1591"/>
      <c r="X278" s="1628">
        <v>530</v>
      </c>
      <c r="Y278" s="1640">
        <v>530</v>
      </c>
      <c r="Z278" s="1628">
        <v>530</v>
      </c>
      <c r="AA278" s="1640">
        <v>530</v>
      </c>
      <c r="AB278" s="1640"/>
      <c r="AC278" s="1629"/>
      <c r="AD278" s="1623">
        <f t="shared" si="112"/>
        <v>530</v>
      </c>
      <c r="AE278" s="1623">
        <f t="shared" si="120"/>
        <v>530</v>
      </c>
      <c r="AF278" s="1599"/>
      <c r="AG278" s="1009">
        <f t="shared" si="123"/>
        <v>0</v>
      </c>
      <c r="AH278" s="1009">
        <f t="shared" si="115"/>
        <v>1</v>
      </c>
      <c r="AI278" s="1908">
        <f t="shared" si="114"/>
        <v>1</v>
      </c>
    </row>
    <row r="279" spans="1:35" ht="99" hidden="1" x14ac:dyDescent="0.25">
      <c r="A279" s="1608" t="s">
        <v>3293</v>
      </c>
      <c r="B279" s="1608"/>
      <c r="C279" s="1609" t="s">
        <v>1508</v>
      </c>
      <c r="D279" s="1610" t="s">
        <v>1355</v>
      </c>
      <c r="E279" s="1611" t="s">
        <v>1507</v>
      </c>
      <c r="F279" s="1610" t="s">
        <v>109</v>
      </c>
      <c r="G279" s="1610" t="s">
        <v>1506</v>
      </c>
      <c r="H279" s="1635">
        <v>1027</v>
      </c>
      <c r="I279" s="1641">
        <f t="shared" si="121"/>
        <v>1027</v>
      </c>
      <c r="J279" s="1747"/>
      <c r="K279" s="1747"/>
      <c r="L279" s="1747"/>
      <c r="M279" s="1747"/>
      <c r="N279" s="1759">
        <f t="shared" si="111"/>
        <v>2670</v>
      </c>
      <c r="O279" s="1633">
        <v>2670</v>
      </c>
      <c r="P279" s="1773">
        <v>800</v>
      </c>
      <c r="Q279" s="1765">
        <f t="shared" si="122"/>
        <v>800</v>
      </c>
      <c r="R279" s="1591"/>
      <c r="S279" s="1591">
        <f t="shared" si="124"/>
        <v>1870</v>
      </c>
      <c r="T279" s="1628">
        <v>800</v>
      </c>
      <c r="U279" s="1640">
        <v>800</v>
      </c>
      <c r="V279" s="1591"/>
      <c r="W279" s="1591"/>
      <c r="X279" s="1628">
        <v>800</v>
      </c>
      <c r="Y279" s="1640">
        <v>800</v>
      </c>
      <c r="Z279" s="1628">
        <v>800</v>
      </c>
      <c r="AA279" s="1640">
        <v>800</v>
      </c>
      <c r="AB279" s="1640"/>
      <c r="AC279" s="1629"/>
      <c r="AD279" s="1623">
        <f t="shared" si="112"/>
        <v>800</v>
      </c>
      <c r="AE279" s="1623">
        <f t="shared" si="120"/>
        <v>800</v>
      </c>
      <c r="AF279" s="1599"/>
      <c r="AG279" s="1009">
        <f t="shared" si="123"/>
        <v>0</v>
      </c>
      <c r="AH279" s="1009">
        <f t="shared" si="115"/>
        <v>1</v>
      </c>
      <c r="AI279" s="1908">
        <f t="shared" si="114"/>
        <v>1</v>
      </c>
    </row>
    <row r="280" spans="1:35" ht="99" hidden="1" x14ac:dyDescent="0.25">
      <c r="A280" s="1608" t="s">
        <v>3294</v>
      </c>
      <c r="B280" s="1608"/>
      <c r="C280" s="1609" t="s">
        <v>1505</v>
      </c>
      <c r="D280" s="1610" t="s">
        <v>1355</v>
      </c>
      <c r="E280" s="1611" t="s">
        <v>1504</v>
      </c>
      <c r="F280" s="1610" t="s">
        <v>109</v>
      </c>
      <c r="G280" s="1610" t="s">
        <v>1503</v>
      </c>
      <c r="H280" s="1635">
        <v>656</v>
      </c>
      <c r="I280" s="1641">
        <f t="shared" si="121"/>
        <v>656</v>
      </c>
      <c r="J280" s="1747"/>
      <c r="K280" s="1747"/>
      <c r="L280" s="1747"/>
      <c r="M280" s="1747"/>
      <c r="N280" s="1759">
        <v>1170</v>
      </c>
      <c r="O280" s="1633">
        <v>1170</v>
      </c>
      <c r="P280" s="1773">
        <v>500</v>
      </c>
      <c r="Q280" s="1765">
        <f t="shared" si="122"/>
        <v>500</v>
      </c>
      <c r="R280" s="1591"/>
      <c r="S280" s="1591">
        <f t="shared" si="124"/>
        <v>670</v>
      </c>
      <c r="T280" s="1628">
        <v>500</v>
      </c>
      <c r="U280" s="1640">
        <v>500</v>
      </c>
      <c r="V280" s="1591"/>
      <c r="W280" s="1591"/>
      <c r="X280" s="1628">
        <v>500</v>
      </c>
      <c r="Y280" s="1640">
        <v>500</v>
      </c>
      <c r="Z280" s="1628">
        <v>500</v>
      </c>
      <c r="AA280" s="1640">
        <v>500</v>
      </c>
      <c r="AB280" s="1640"/>
      <c r="AC280" s="1629"/>
      <c r="AD280" s="1623">
        <f t="shared" si="112"/>
        <v>500</v>
      </c>
      <c r="AE280" s="1623">
        <f t="shared" si="120"/>
        <v>500</v>
      </c>
      <c r="AF280" s="1599"/>
      <c r="AG280" s="1009">
        <f t="shared" si="123"/>
        <v>0</v>
      </c>
      <c r="AH280" s="1009">
        <f t="shared" si="115"/>
        <v>1</v>
      </c>
      <c r="AI280" s="1908">
        <f t="shared" si="114"/>
        <v>1</v>
      </c>
    </row>
    <row r="281" spans="1:35" ht="49.5" hidden="1" x14ac:dyDescent="0.25">
      <c r="A281" s="1608" t="s">
        <v>3295</v>
      </c>
      <c r="B281" s="1608"/>
      <c r="C281" s="1609" t="s">
        <v>1502</v>
      </c>
      <c r="D281" s="1610" t="s">
        <v>1357</v>
      </c>
      <c r="E281" s="1611" t="s">
        <v>1501</v>
      </c>
      <c r="F281" s="1610" t="s">
        <v>109</v>
      </c>
      <c r="G281" s="1610" t="s">
        <v>1500</v>
      </c>
      <c r="H281" s="1635">
        <v>1534</v>
      </c>
      <c r="I281" s="1641">
        <f t="shared" si="121"/>
        <v>1534</v>
      </c>
      <c r="J281" s="1753"/>
      <c r="K281" s="1753"/>
      <c r="L281" s="1753"/>
      <c r="M281" s="1753"/>
      <c r="N281" s="1759">
        <f t="shared" ref="N281:N286" si="125">O281</f>
        <v>1310</v>
      </c>
      <c r="O281" s="1633">
        <v>1310</v>
      </c>
      <c r="P281" s="1773">
        <v>1150</v>
      </c>
      <c r="Q281" s="1765">
        <f t="shared" si="122"/>
        <v>1150</v>
      </c>
      <c r="R281" s="1591"/>
      <c r="S281" s="1591">
        <f t="shared" si="124"/>
        <v>160</v>
      </c>
      <c r="T281" s="1628">
        <v>1150</v>
      </c>
      <c r="U281" s="1640">
        <v>1150</v>
      </c>
      <c r="V281" s="1591"/>
      <c r="W281" s="1591"/>
      <c r="X281" s="1628">
        <v>1150</v>
      </c>
      <c r="Y281" s="1640">
        <v>1150</v>
      </c>
      <c r="Z281" s="1628">
        <v>1150</v>
      </c>
      <c r="AA281" s="1640">
        <v>1150</v>
      </c>
      <c r="AB281" s="1640"/>
      <c r="AC281" s="1629"/>
      <c r="AD281" s="1623">
        <f t="shared" si="112"/>
        <v>1150</v>
      </c>
      <c r="AE281" s="1623">
        <f t="shared" si="120"/>
        <v>1150</v>
      </c>
      <c r="AF281" s="1637"/>
      <c r="AG281" s="1009">
        <f t="shared" si="123"/>
        <v>0</v>
      </c>
      <c r="AH281" s="1009">
        <f t="shared" si="115"/>
        <v>1</v>
      </c>
      <c r="AI281" s="1908">
        <f t="shared" si="114"/>
        <v>1</v>
      </c>
    </row>
    <row r="282" spans="1:35" ht="49.5" hidden="1" x14ac:dyDescent="0.25">
      <c r="A282" s="1608" t="s">
        <v>3296</v>
      </c>
      <c r="B282" s="1608"/>
      <c r="C282" s="1609" t="s">
        <v>1499</v>
      </c>
      <c r="D282" s="1610" t="s">
        <v>1357</v>
      </c>
      <c r="E282" s="1611" t="s">
        <v>1498</v>
      </c>
      <c r="F282" s="1610" t="s">
        <v>109</v>
      </c>
      <c r="G282" s="1610" t="s">
        <v>1497</v>
      </c>
      <c r="H282" s="1635">
        <v>1406</v>
      </c>
      <c r="I282" s="1641">
        <f t="shared" si="121"/>
        <v>1406</v>
      </c>
      <c r="J282" s="1747"/>
      <c r="K282" s="1747"/>
      <c r="L282" s="1747"/>
      <c r="M282" s="1747"/>
      <c r="N282" s="1759">
        <f t="shared" si="125"/>
        <v>1390</v>
      </c>
      <c r="O282" s="1633">
        <v>1390</v>
      </c>
      <c r="P282" s="1773">
        <v>1060</v>
      </c>
      <c r="Q282" s="1765">
        <f t="shared" si="122"/>
        <v>1060</v>
      </c>
      <c r="R282" s="1591"/>
      <c r="S282" s="1591">
        <f t="shared" si="124"/>
        <v>330</v>
      </c>
      <c r="T282" s="1628">
        <v>1060</v>
      </c>
      <c r="U282" s="1640">
        <v>1060</v>
      </c>
      <c r="V282" s="1591"/>
      <c r="W282" s="1591"/>
      <c r="X282" s="1628">
        <v>1060</v>
      </c>
      <c r="Y282" s="1640">
        <v>1060</v>
      </c>
      <c r="Z282" s="1628">
        <v>1060</v>
      </c>
      <c r="AA282" s="1640">
        <v>1060</v>
      </c>
      <c r="AB282" s="1640"/>
      <c r="AC282" s="1629"/>
      <c r="AD282" s="1623">
        <f t="shared" si="112"/>
        <v>1060</v>
      </c>
      <c r="AE282" s="1623">
        <f t="shared" si="120"/>
        <v>1060</v>
      </c>
      <c r="AF282" s="1599"/>
      <c r="AG282" s="1009">
        <f t="shared" si="123"/>
        <v>0</v>
      </c>
      <c r="AH282" s="1009">
        <f t="shared" si="115"/>
        <v>1</v>
      </c>
      <c r="AI282" s="1908">
        <f t="shared" si="114"/>
        <v>1</v>
      </c>
    </row>
    <row r="283" spans="1:35" ht="49.5" hidden="1" x14ac:dyDescent="0.25">
      <c r="A283" s="1608" t="s">
        <v>3297</v>
      </c>
      <c r="B283" s="1608"/>
      <c r="C283" s="1609" t="s">
        <v>1496</v>
      </c>
      <c r="D283" s="1610" t="s">
        <v>1357</v>
      </c>
      <c r="E283" s="1611" t="s">
        <v>1495</v>
      </c>
      <c r="F283" s="1610" t="s">
        <v>109</v>
      </c>
      <c r="G283" s="1610" t="s">
        <v>1494</v>
      </c>
      <c r="H283" s="1635">
        <v>1185</v>
      </c>
      <c r="I283" s="1641">
        <f t="shared" si="121"/>
        <v>1185</v>
      </c>
      <c r="J283" s="1581"/>
      <c r="K283" s="1581"/>
      <c r="L283" s="1581"/>
      <c r="M283" s="1581"/>
      <c r="N283" s="1759">
        <f t="shared" si="125"/>
        <v>1200</v>
      </c>
      <c r="O283" s="1633">
        <v>1200</v>
      </c>
      <c r="P283" s="1765">
        <v>920</v>
      </c>
      <c r="Q283" s="1765">
        <f t="shared" si="122"/>
        <v>920</v>
      </c>
      <c r="R283" s="1591"/>
      <c r="S283" s="1591">
        <f t="shared" si="124"/>
        <v>280</v>
      </c>
      <c r="T283" s="1640">
        <v>920</v>
      </c>
      <c r="U283" s="1640">
        <v>920</v>
      </c>
      <c r="V283" s="1591"/>
      <c r="W283" s="1591"/>
      <c r="X283" s="1640">
        <v>920</v>
      </c>
      <c r="Y283" s="1640">
        <v>920</v>
      </c>
      <c r="Z283" s="1640">
        <v>920</v>
      </c>
      <c r="AA283" s="1640">
        <v>920</v>
      </c>
      <c r="AB283" s="1640"/>
      <c r="AC283" s="1629"/>
      <c r="AD283" s="1623">
        <f t="shared" si="112"/>
        <v>920</v>
      </c>
      <c r="AE283" s="1623">
        <f t="shared" si="120"/>
        <v>920</v>
      </c>
      <c r="AF283" s="1585"/>
      <c r="AG283" s="1009">
        <f t="shared" si="123"/>
        <v>0</v>
      </c>
      <c r="AH283" s="1009">
        <f t="shared" si="115"/>
        <v>1</v>
      </c>
      <c r="AI283" s="1908">
        <f t="shared" si="114"/>
        <v>1</v>
      </c>
    </row>
    <row r="284" spans="1:35" ht="49.5" hidden="1" x14ac:dyDescent="0.25">
      <c r="A284" s="1608" t="s">
        <v>3298</v>
      </c>
      <c r="B284" s="1608"/>
      <c r="C284" s="1609" t="s">
        <v>1493</v>
      </c>
      <c r="D284" s="1610" t="s">
        <v>1357</v>
      </c>
      <c r="E284" s="1611" t="s">
        <v>1492</v>
      </c>
      <c r="F284" s="1610" t="s">
        <v>109</v>
      </c>
      <c r="G284" s="1610" t="s">
        <v>1491</v>
      </c>
      <c r="H284" s="1635">
        <v>2914</v>
      </c>
      <c r="I284" s="1641">
        <f t="shared" si="121"/>
        <v>2914</v>
      </c>
      <c r="J284" s="1604"/>
      <c r="K284" s="1604"/>
      <c r="L284" s="1604"/>
      <c r="M284" s="1604"/>
      <c r="N284" s="1759">
        <f t="shared" si="125"/>
        <v>2280</v>
      </c>
      <c r="O284" s="1633">
        <v>2280</v>
      </c>
      <c r="P284" s="1765">
        <v>2260</v>
      </c>
      <c r="Q284" s="1765">
        <f t="shared" si="122"/>
        <v>2260</v>
      </c>
      <c r="R284" s="1591"/>
      <c r="S284" s="1591">
        <f t="shared" si="124"/>
        <v>20</v>
      </c>
      <c r="T284" s="1640">
        <v>2260</v>
      </c>
      <c r="U284" s="1640">
        <v>2260</v>
      </c>
      <c r="V284" s="1591"/>
      <c r="W284" s="1591"/>
      <c r="X284" s="1640">
        <v>2260</v>
      </c>
      <c r="Y284" s="1640">
        <v>2260</v>
      </c>
      <c r="Z284" s="1640">
        <v>2260</v>
      </c>
      <c r="AA284" s="1640">
        <v>2260</v>
      </c>
      <c r="AB284" s="1640"/>
      <c r="AC284" s="1629"/>
      <c r="AD284" s="1623">
        <f t="shared" si="112"/>
        <v>2260</v>
      </c>
      <c r="AE284" s="1623">
        <f t="shared" si="120"/>
        <v>2260</v>
      </c>
      <c r="AF284" s="1606"/>
      <c r="AG284" s="1009">
        <f t="shared" si="123"/>
        <v>0</v>
      </c>
      <c r="AH284" s="1009">
        <f t="shared" si="115"/>
        <v>1</v>
      </c>
      <c r="AI284" s="1908">
        <f t="shared" si="114"/>
        <v>1</v>
      </c>
    </row>
    <row r="285" spans="1:35" ht="49.5" hidden="1" x14ac:dyDescent="0.25">
      <c r="A285" s="1608" t="s">
        <v>3299</v>
      </c>
      <c r="B285" s="1608"/>
      <c r="C285" s="1609" t="s">
        <v>1490</v>
      </c>
      <c r="D285" s="1610" t="s">
        <v>1357</v>
      </c>
      <c r="E285" s="1611" t="s">
        <v>1489</v>
      </c>
      <c r="F285" s="1610" t="s">
        <v>109</v>
      </c>
      <c r="G285" s="1610" t="s">
        <v>1488</v>
      </c>
      <c r="H285" s="1635">
        <v>1760</v>
      </c>
      <c r="I285" s="1641">
        <f t="shared" si="121"/>
        <v>1760</v>
      </c>
      <c r="J285" s="1604"/>
      <c r="K285" s="1604"/>
      <c r="L285" s="1604"/>
      <c r="M285" s="1604"/>
      <c r="N285" s="1759">
        <f t="shared" si="125"/>
        <v>1960</v>
      </c>
      <c r="O285" s="1633">
        <v>1960</v>
      </c>
      <c r="P285" s="1765">
        <v>1380</v>
      </c>
      <c r="Q285" s="1765">
        <f t="shared" si="122"/>
        <v>1380</v>
      </c>
      <c r="R285" s="1591"/>
      <c r="S285" s="1591">
        <f t="shared" si="124"/>
        <v>580</v>
      </c>
      <c r="T285" s="1640">
        <v>1380</v>
      </c>
      <c r="U285" s="1640">
        <v>1380</v>
      </c>
      <c r="V285" s="1591"/>
      <c r="W285" s="1591"/>
      <c r="X285" s="1640">
        <v>1380</v>
      </c>
      <c r="Y285" s="1640">
        <v>1380</v>
      </c>
      <c r="Z285" s="1640">
        <v>1380</v>
      </c>
      <c r="AA285" s="1640">
        <v>1380</v>
      </c>
      <c r="AB285" s="1640"/>
      <c r="AC285" s="1629"/>
      <c r="AD285" s="1623">
        <f t="shared" si="112"/>
        <v>1380</v>
      </c>
      <c r="AE285" s="1623">
        <f t="shared" si="120"/>
        <v>1380</v>
      </c>
      <c r="AF285" s="1606"/>
      <c r="AG285" s="1009">
        <f t="shared" si="123"/>
        <v>0</v>
      </c>
      <c r="AH285" s="1009">
        <f t="shared" si="115"/>
        <v>1</v>
      </c>
      <c r="AI285" s="1908">
        <f t="shared" si="114"/>
        <v>1</v>
      </c>
    </row>
    <row r="286" spans="1:35" ht="49.5" hidden="1" x14ac:dyDescent="0.25">
      <c r="A286" s="1608" t="s">
        <v>3300</v>
      </c>
      <c r="B286" s="1608"/>
      <c r="C286" s="1609" t="s">
        <v>1487</v>
      </c>
      <c r="D286" s="1610" t="s">
        <v>1357</v>
      </c>
      <c r="E286" s="1611" t="s">
        <v>1486</v>
      </c>
      <c r="F286" s="1610" t="s">
        <v>109</v>
      </c>
      <c r="G286" s="1610" t="s">
        <v>1485</v>
      </c>
      <c r="H286" s="1635">
        <v>1891</v>
      </c>
      <c r="I286" s="1641">
        <f t="shared" si="121"/>
        <v>1891</v>
      </c>
      <c r="J286" s="1744"/>
      <c r="K286" s="1744"/>
      <c r="L286" s="1744"/>
      <c r="M286" s="1744"/>
      <c r="N286" s="1759">
        <f t="shared" si="125"/>
        <v>2170</v>
      </c>
      <c r="O286" s="1633">
        <v>2170</v>
      </c>
      <c r="P286" s="1765">
        <v>1480</v>
      </c>
      <c r="Q286" s="1765">
        <f t="shared" si="122"/>
        <v>1480</v>
      </c>
      <c r="R286" s="1591"/>
      <c r="S286" s="1591">
        <f t="shared" si="124"/>
        <v>690</v>
      </c>
      <c r="T286" s="1640">
        <v>1480</v>
      </c>
      <c r="U286" s="1640">
        <v>1480</v>
      </c>
      <c r="V286" s="1591"/>
      <c r="W286" s="1591"/>
      <c r="X286" s="1640">
        <v>1480</v>
      </c>
      <c r="Y286" s="1640">
        <v>1480</v>
      </c>
      <c r="Z286" s="1640">
        <v>1480</v>
      </c>
      <c r="AA286" s="1640">
        <v>1480</v>
      </c>
      <c r="AB286" s="1640"/>
      <c r="AC286" s="1629"/>
      <c r="AD286" s="1623">
        <f t="shared" si="112"/>
        <v>1480</v>
      </c>
      <c r="AE286" s="1623">
        <f t="shared" si="120"/>
        <v>1480</v>
      </c>
      <c r="AF286" s="1681"/>
      <c r="AG286" s="1009">
        <f t="shared" si="123"/>
        <v>0</v>
      </c>
      <c r="AH286" s="1009">
        <f t="shared" si="115"/>
        <v>1</v>
      </c>
      <c r="AI286" s="1908">
        <f t="shared" si="114"/>
        <v>1</v>
      </c>
    </row>
    <row r="287" spans="1:35" ht="66" hidden="1" x14ac:dyDescent="0.25">
      <c r="A287" s="1608" t="s">
        <v>3301</v>
      </c>
      <c r="B287" s="1608" t="s">
        <v>3258</v>
      </c>
      <c r="C287" s="1609" t="s">
        <v>1484</v>
      </c>
      <c r="D287" s="1610" t="s">
        <v>1359</v>
      </c>
      <c r="E287" s="1611" t="s">
        <v>1483</v>
      </c>
      <c r="F287" s="1610" t="s">
        <v>461</v>
      </c>
      <c r="G287" s="1610" t="s">
        <v>1482</v>
      </c>
      <c r="H287" s="1635">
        <v>9171.2569999999996</v>
      </c>
      <c r="I287" s="1641">
        <f t="shared" si="121"/>
        <v>9171.2569999999996</v>
      </c>
      <c r="J287" s="1744"/>
      <c r="K287" s="1744"/>
      <c r="L287" s="1744"/>
      <c r="M287" s="1744"/>
      <c r="N287" s="1759"/>
      <c r="O287" s="1633"/>
      <c r="P287" s="1765">
        <v>7700</v>
      </c>
      <c r="Q287" s="1765">
        <v>7700</v>
      </c>
      <c r="R287" s="1591">
        <f t="shared" ref="R287:R329" si="126">U287-O287</f>
        <v>7700</v>
      </c>
      <c r="S287" s="1591"/>
      <c r="T287" s="1640">
        <v>7700</v>
      </c>
      <c r="U287" s="1640">
        <v>7700</v>
      </c>
      <c r="V287" s="1591"/>
      <c r="W287" s="1591"/>
      <c r="X287" s="1640">
        <v>7700</v>
      </c>
      <c r="Y287" s="1640">
        <v>7700</v>
      </c>
      <c r="Z287" s="1640">
        <v>7136</v>
      </c>
      <c r="AA287" s="1640">
        <v>7136</v>
      </c>
      <c r="AB287" s="1640"/>
      <c r="AC287" s="1629"/>
      <c r="AD287" s="1623">
        <f t="shared" si="112"/>
        <v>7136</v>
      </c>
      <c r="AE287" s="1623">
        <f t="shared" si="120"/>
        <v>7136</v>
      </c>
      <c r="AF287" s="1642"/>
      <c r="AG287" s="1009">
        <f t="shared" si="123"/>
        <v>0</v>
      </c>
      <c r="AH287" s="1009">
        <f t="shared" si="115"/>
        <v>1</v>
      </c>
      <c r="AI287" s="1908">
        <f t="shared" si="114"/>
        <v>1</v>
      </c>
    </row>
    <row r="288" spans="1:35" ht="66" hidden="1" x14ac:dyDescent="0.25">
      <c r="A288" s="1608" t="s">
        <v>3302</v>
      </c>
      <c r="B288" s="1608" t="s">
        <v>3259</v>
      </c>
      <c r="C288" s="1609" t="s">
        <v>1481</v>
      </c>
      <c r="D288" s="1610" t="s">
        <v>1359</v>
      </c>
      <c r="E288" s="1611" t="s">
        <v>1480</v>
      </c>
      <c r="F288" s="1610" t="s">
        <v>461</v>
      </c>
      <c r="G288" s="1610" t="s">
        <v>1479</v>
      </c>
      <c r="H288" s="1635">
        <v>8059.91</v>
      </c>
      <c r="I288" s="1641">
        <f t="shared" si="121"/>
        <v>8059.91</v>
      </c>
      <c r="J288" s="1744"/>
      <c r="K288" s="1744"/>
      <c r="L288" s="1744"/>
      <c r="M288" s="1744"/>
      <c r="N288" s="1759"/>
      <c r="O288" s="1633"/>
      <c r="P288" s="1765">
        <f>Q288</f>
        <v>6950</v>
      </c>
      <c r="Q288" s="1765">
        <v>6950</v>
      </c>
      <c r="R288" s="1591">
        <f t="shared" si="126"/>
        <v>6950</v>
      </c>
      <c r="S288" s="1591"/>
      <c r="T288" s="1640">
        <f>U288</f>
        <v>6950</v>
      </c>
      <c r="U288" s="1640">
        <v>6950</v>
      </c>
      <c r="V288" s="1591"/>
      <c r="W288" s="1591"/>
      <c r="X288" s="1640">
        <f>Y288</f>
        <v>6950</v>
      </c>
      <c r="Y288" s="1640">
        <v>6950</v>
      </c>
      <c r="Z288" s="1640">
        <v>6691</v>
      </c>
      <c r="AA288" s="1640">
        <v>6691</v>
      </c>
      <c r="AB288" s="1640"/>
      <c r="AC288" s="1629"/>
      <c r="AD288" s="1623">
        <f t="shared" si="112"/>
        <v>6691</v>
      </c>
      <c r="AE288" s="1623">
        <f t="shared" si="120"/>
        <v>6691</v>
      </c>
      <c r="AF288" s="1642"/>
      <c r="AG288" s="1009">
        <f t="shared" si="123"/>
        <v>0</v>
      </c>
      <c r="AH288" s="1009">
        <f t="shared" si="115"/>
        <v>1</v>
      </c>
      <c r="AI288" s="1908">
        <f t="shared" si="114"/>
        <v>1</v>
      </c>
    </row>
    <row r="289" spans="1:35" ht="66" hidden="1" x14ac:dyDescent="0.25">
      <c r="A289" s="1608" t="s">
        <v>3303</v>
      </c>
      <c r="B289" s="1608" t="s">
        <v>3260</v>
      </c>
      <c r="C289" s="1609" t="s">
        <v>1478</v>
      </c>
      <c r="D289" s="1610" t="s">
        <v>1379</v>
      </c>
      <c r="E289" s="1611" t="s">
        <v>1477</v>
      </c>
      <c r="F289" s="1610" t="s">
        <v>461</v>
      </c>
      <c r="G289" s="1610" t="s">
        <v>1476</v>
      </c>
      <c r="H289" s="1635">
        <v>943.69899999999996</v>
      </c>
      <c r="I289" s="1641">
        <f t="shared" si="121"/>
        <v>943.69899999999996</v>
      </c>
      <c r="J289" s="1744"/>
      <c r="K289" s="1744"/>
      <c r="L289" s="1744"/>
      <c r="M289" s="1744"/>
      <c r="N289" s="1759"/>
      <c r="O289" s="1633"/>
      <c r="P289" s="1765">
        <f>Q289</f>
        <v>770</v>
      </c>
      <c r="Q289" s="1765">
        <v>770</v>
      </c>
      <c r="R289" s="1591">
        <f t="shared" si="126"/>
        <v>770</v>
      </c>
      <c r="S289" s="1591"/>
      <c r="T289" s="1640">
        <f>U289</f>
        <v>770</v>
      </c>
      <c r="U289" s="1640">
        <v>770</v>
      </c>
      <c r="V289" s="1591"/>
      <c r="W289" s="1591"/>
      <c r="X289" s="1640">
        <f>Y289</f>
        <v>770</v>
      </c>
      <c r="Y289" s="1640">
        <v>770</v>
      </c>
      <c r="Z289" s="1640">
        <v>810</v>
      </c>
      <c r="AA289" s="1640">
        <v>810</v>
      </c>
      <c r="AB289" s="1640"/>
      <c r="AC289" s="1629"/>
      <c r="AD289" s="1623">
        <f t="shared" si="112"/>
        <v>810</v>
      </c>
      <c r="AE289" s="1623">
        <f t="shared" si="120"/>
        <v>810</v>
      </c>
      <c r="AF289" s="1642"/>
      <c r="AG289" s="1009">
        <f t="shared" si="123"/>
        <v>0</v>
      </c>
      <c r="AH289" s="1009">
        <f t="shared" si="115"/>
        <v>1</v>
      </c>
      <c r="AI289" s="1908">
        <f t="shared" si="114"/>
        <v>1</v>
      </c>
    </row>
    <row r="290" spans="1:35" ht="99" hidden="1" x14ac:dyDescent="0.25">
      <c r="A290" s="1608" t="s">
        <v>3304</v>
      </c>
      <c r="B290" s="1608" t="s">
        <v>3261</v>
      </c>
      <c r="C290" s="1609" t="s">
        <v>1475</v>
      </c>
      <c r="D290" s="1610" t="s">
        <v>1379</v>
      </c>
      <c r="E290" s="1611" t="s">
        <v>1474</v>
      </c>
      <c r="F290" s="1610" t="s">
        <v>461</v>
      </c>
      <c r="G290" s="1610" t="s">
        <v>1473</v>
      </c>
      <c r="H290" s="1635">
        <v>2272.511</v>
      </c>
      <c r="I290" s="1641">
        <f t="shared" si="121"/>
        <v>2272.511</v>
      </c>
      <c r="J290" s="1744"/>
      <c r="K290" s="1744"/>
      <c r="L290" s="1744"/>
      <c r="M290" s="1744"/>
      <c r="N290" s="1759"/>
      <c r="O290" s="1633"/>
      <c r="P290" s="1765">
        <v>1860</v>
      </c>
      <c r="Q290" s="1765">
        <f t="shared" ref="Q290:Q329" si="127">P290</f>
        <v>1860</v>
      </c>
      <c r="R290" s="1591">
        <f t="shared" si="126"/>
        <v>1860</v>
      </c>
      <c r="S290" s="1591"/>
      <c r="T290" s="1640">
        <v>1860</v>
      </c>
      <c r="U290" s="1640">
        <v>1860</v>
      </c>
      <c r="V290" s="1591"/>
      <c r="W290" s="1591"/>
      <c r="X290" s="1640">
        <v>1860</v>
      </c>
      <c r="Y290" s="1640">
        <v>1860</v>
      </c>
      <c r="Z290" s="1640">
        <v>2029</v>
      </c>
      <c r="AA290" s="1640">
        <v>2029</v>
      </c>
      <c r="AB290" s="1640"/>
      <c r="AC290" s="1629"/>
      <c r="AD290" s="1623">
        <f t="shared" si="112"/>
        <v>2029</v>
      </c>
      <c r="AE290" s="1623">
        <f t="shared" si="120"/>
        <v>2029</v>
      </c>
      <c r="AF290" s="1642"/>
      <c r="AG290" s="1009">
        <f t="shared" si="123"/>
        <v>0</v>
      </c>
      <c r="AH290" s="1009">
        <f t="shared" si="115"/>
        <v>1</v>
      </c>
      <c r="AI290" s="1908">
        <f t="shared" si="114"/>
        <v>1</v>
      </c>
    </row>
    <row r="291" spans="1:35" ht="99" hidden="1" x14ac:dyDescent="0.25">
      <c r="A291" s="1608" t="s">
        <v>3305</v>
      </c>
      <c r="B291" s="1608" t="s">
        <v>3262</v>
      </c>
      <c r="C291" s="1609" t="s">
        <v>1472</v>
      </c>
      <c r="D291" s="1610" t="s">
        <v>1379</v>
      </c>
      <c r="E291" s="1611" t="s">
        <v>1471</v>
      </c>
      <c r="F291" s="1610" t="s">
        <v>461</v>
      </c>
      <c r="G291" s="1610" t="s">
        <v>1470</v>
      </c>
      <c r="H291" s="1635">
        <v>1928.723</v>
      </c>
      <c r="I291" s="1641">
        <f t="shared" si="121"/>
        <v>1928.723</v>
      </c>
      <c r="J291" s="1744"/>
      <c r="K291" s="1744"/>
      <c r="L291" s="1744"/>
      <c r="M291" s="1744"/>
      <c r="N291" s="1759"/>
      <c r="O291" s="1633"/>
      <c r="P291" s="1765">
        <v>1580</v>
      </c>
      <c r="Q291" s="1765">
        <f t="shared" si="127"/>
        <v>1580</v>
      </c>
      <c r="R291" s="1591">
        <f t="shared" si="126"/>
        <v>1580</v>
      </c>
      <c r="S291" s="1591"/>
      <c r="T291" s="1640">
        <v>1580</v>
      </c>
      <c r="U291" s="1640">
        <v>1580</v>
      </c>
      <c r="V291" s="1591"/>
      <c r="W291" s="1591"/>
      <c r="X291" s="1640">
        <v>1580</v>
      </c>
      <c r="Y291" s="1640">
        <v>1580</v>
      </c>
      <c r="Z291" s="1640">
        <v>1701</v>
      </c>
      <c r="AA291" s="1640">
        <v>1701</v>
      </c>
      <c r="AB291" s="1640"/>
      <c r="AC291" s="1629"/>
      <c r="AD291" s="1623">
        <f t="shared" ref="AD291:AD336" si="128">AE291</f>
        <v>1701</v>
      </c>
      <c r="AE291" s="1623">
        <f t="shared" ref="AE291:AE322" si="129">AA291+AB291+AC291</f>
        <v>1701</v>
      </c>
      <c r="AF291" s="1642"/>
      <c r="AG291" s="1009">
        <f t="shared" si="123"/>
        <v>0</v>
      </c>
      <c r="AH291" s="1009">
        <f t="shared" si="115"/>
        <v>1</v>
      </c>
      <c r="AI291" s="1908">
        <f t="shared" si="114"/>
        <v>1</v>
      </c>
    </row>
    <row r="292" spans="1:35" ht="99" hidden="1" x14ac:dyDescent="0.25">
      <c r="A292" s="1608" t="s">
        <v>3306</v>
      </c>
      <c r="B292" s="1608" t="s">
        <v>3263</v>
      </c>
      <c r="C292" s="1609" t="s">
        <v>1469</v>
      </c>
      <c r="D292" s="1610" t="s">
        <v>1379</v>
      </c>
      <c r="E292" s="1611" t="s">
        <v>1468</v>
      </c>
      <c r="F292" s="1610" t="s">
        <v>461</v>
      </c>
      <c r="G292" s="1610" t="s">
        <v>1467</v>
      </c>
      <c r="H292" s="1635">
        <v>1794.9259999999999</v>
      </c>
      <c r="I292" s="1641">
        <f t="shared" si="121"/>
        <v>1794.9259999999999</v>
      </c>
      <c r="J292" s="1744"/>
      <c r="K292" s="1744"/>
      <c r="L292" s="1744"/>
      <c r="M292" s="1744"/>
      <c r="N292" s="1759"/>
      <c r="O292" s="1633"/>
      <c r="P292" s="1765">
        <v>1470</v>
      </c>
      <c r="Q292" s="1765">
        <f t="shared" si="127"/>
        <v>1470</v>
      </c>
      <c r="R292" s="1591">
        <f t="shared" si="126"/>
        <v>1470</v>
      </c>
      <c r="S292" s="1591"/>
      <c r="T292" s="1640">
        <v>1470</v>
      </c>
      <c r="U292" s="1640">
        <v>1470</v>
      </c>
      <c r="V292" s="1591"/>
      <c r="W292" s="1591"/>
      <c r="X292" s="1640">
        <v>1470</v>
      </c>
      <c r="Y292" s="1640">
        <v>1470</v>
      </c>
      <c r="Z292" s="1640">
        <v>1596</v>
      </c>
      <c r="AA292" s="1640">
        <v>1596</v>
      </c>
      <c r="AB292" s="1640"/>
      <c r="AC292" s="1629"/>
      <c r="AD292" s="1623">
        <f t="shared" si="128"/>
        <v>1596</v>
      </c>
      <c r="AE292" s="1623">
        <f t="shared" si="129"/>
        <v>1596</v>
      </c>
      <c r="AF292" s="1642"/>
      <c r="AG292" s="1009">
        <f t="shared" si="123"/>
        <v>0</v>
      </c>
      <c r="AH292" s="1009">
        <f t="shared" si="115"/>
        <v>1</v>
      </c>
      <c r="AI292" s="1908">
        <f t="shared" si="114"/>
        <v>1</v>
      </c>
    </row>
    <row r="293" spans="1:35" ht="99" hidden="1" x14ac:dyDescent="0.25">
      <c r="A293" s="1608" t="s">
        <v>3307</v>
      </c>
      <c r="B293" s="1608" t="s">
        <v>3264</v>
      </c>
      <c r="C293" s="1609" t="s">
        <v>1466</v>
      </c>
      <c r="D293" s="1610" t="s">
        <v>1379</v>
      </c>
      <c r="E293" s="1611" t="s">
        <v>1465</v>
      </c>
      <c r="F293" s="1610" t="s">
        <v>461</v>
      </c>
      <c r="G293" s="1610" t="s">
        <v>1464</v>
      </c>
      <c r="H293" s="1635">
        <v>1778.587</v>
      </c>
      <c r="I293" s="1641">
        <f t="shared" si="121"/>
        <v>1778.587</v>
      </c>
      <c r="J293" s="1744"/>
      <c r="K293" s="1744"/>
      <c r="L293" s="1744"/>
      <c r="M293" s="1744"/>
      <c r="N293" s="1759"/>
      <c r="O293" s="1633"/>
      <c r="P293" s="1765">
        <v>1460</v>
      </c>
      <c r="Q293" s="1765">
        <f t="shared" si="127"/>
        <v>1460</v>
      </c>
      <c r="R293" s="1591">
        <f t="shared" si="126"/>
        <v>1460</v>
      </c>
      <c r="S293" s="1591"/>
      <c r="T293" s="1640">
        <v>1460</v>
      </c>
      <c r="U293" s="1640">
        <v>1460</v>
      </c>
      <c r="V293" s="1591"/>
      <c r="W293" s="1591"/>
      <c r="X293" s="1640">
        <v>1460</v>
      </c>
      <c r="Y293" s="1640">
        <v>1460</v>
      </c>
      <c r="Z293" s="1640">
        <v>1564</v>
      </c>
      <c r="AA293" s="1640">
        <v>1564</v>
      </c>
      <c r="AB293" s="1640"/>
      <c r="AC293" s="1629"/>
      <c r="AD293" s="1623">
        <f t="shared" si="128"/>
        <v>1564</v>
      </c>
      <c r="AE293" s="1623">
        <f t="shared" si="129"/>
        <v>1564</v>
      </c>
      <c r="AF293" s="1642"/>
      <c r="AG293" s="1009">
        <f t="shared" si="123"/>
        <v>0</v>
      </c>
      <c r="AH293" s="1009">
        <f t="shared" si="115"/>
        <v>1</v>
      </c>
      <c r="AI293" s="1908">
        <f t="shared" si="114"/>
        <v>1</v>
      </c>
    </row>
    <row r="294" spans="1:35" ht="99" hidden="1" x14ac:dyDescent="0.25">
      <c r="A294" s="1608" t="s">
        <v>3308</v>
      </c>
      <c r="B294" s="1608" t="s">
        <v>3265</v>
      </c>
      <c r="C294" s="1609" t="s">
        <v>1463</v>
      </c>
      <c r="D294" s="1610" t="s">
        <v>1379</v>
      </c>
      <c r="E294" s="1611" t="s">
        <v>1462</v>
      </c>
      <c r="F294" s="1610" t="s">
        <v>461</v>
      </c>
      <c r="G294" s="1610" t="s">
        <v>1461</v>
      </c>
      <c r="H294" s="1635">
        <v>2036.423</v>
      </c>
      <c r="I294" s="1641">
        <f t="shared" si="121"/>
        <v>2036.423</v>
      </c>
      <c r="J294" s="1744"/>
      <c r="K294" s="1744"/>
      <c r="L294" s="1744"/>
      <c r="M294" s="1744"/>
      <c r="N294" s="1759"/>
      <c r="O294" s="1633"/>
      <c r="P294" s="1765">
        <v>1670</v>
      </c>
      <c r="Q294" s="1765">
        <f t="shared" si="127"/>
        <v>1670</v>
      </c>
      <c r="R294" s="1591">
        <f t="shared" si="126"/>
        <v>1670</v>
      </c>
      <c r="S294" s="1591"/>
      <c r="T294" s="1640">
        <v>1670</v>
      </c>
      <c r="U294" s="1640">
        <v>1670</v>
      </c>
      <c r="V294" s="1591"/>
      <c r="W294" s="1591"/>
      <c r="X294" s="1640">
        <v>1670</v>
      </c>
      <c r="Y294" s="1640">
        <v>1670</v>
      </c>
      <c r="Z294" s="1640">
        <v>1815</v>
      </c>
      <c r="AA294" s="1640">
        <v>1815</v>
      </c>
      <c r="AB294" s="1640"/>
      <c r="AC294" s="1629"/>
      <c r="AD294" s="1623">
        <f t="shared" si="128"/>
        <v>1815</v>
      </c>
      <c r="AE294" s="1623">
        <f t="shared" si="129"/>
        <v>1815</v>
      </c>
      <c r="AF294" s="1642"/>
      <c r="AG294" s="1009">
        <f t="shared" si="123"/>
        <v>0</v>
      </c>
      <c r="AH294" s="1009">
        <f t="shared" si="115"/>
        <v>1</v>
      </c>
      <c r="AI294" s="1908">
        <f t="shared" si="114"/>
        <v>1</v>
      </c>
    </row>
    <row r="295" spans="1:35" ht="99" hidden="1" x14ac:dyDescent="0.25">
      <c r="A295" s="1608" t="s">
        <v>3309</v>
      </c>
      <c r="B295" s="1608" t="s">
        <v>3266</v>
      </c>
      <c r="C295" s="1609" t="s">
        <v>1460</v>
      </c>
      <c r="D295" s="1610" t="s">
        <v>1379</v>
      </c>
      <c r="E295" s="1611" t="s">
        <v>1459</v>
      </c>
      <c r="F295" s="1610" t="s">
        <v>461</v>
      </c>
      <c r="G295" s="1610" t="s">
        <v>1458</v>
      </c>
      <c r="H295" s="1635">
        <v>2023</v>
      </c>
      <c r="I295" s="1641">
        <f t="shared" si="121"/>
        <v>2023</v>
      </c>
      <c r="J295" s="1744"/>
      <c r="K295" s="1744"/>
      <c r="L295" s="1744"/>
      <c r="M295" s="1744"/>
      <c r="N295" s="1759"/>
      <c r="O295" s="1633"/>
      <c r="P295" s="1765">
        <v>1660</v>
      </c>
      <c r="Q295" s="1765">
        <f t="shared" si="127"/>
        <v>1660</v>
      </c>
      <c r="R295" s="1591">
        <f t="shared" si="126"/>
        <v>1660</v>
      </c>
      <c r="S295" s="1591"/>
      <c r="T295" s="1640">
        <v>1660</v>
      </c>
      <c r="U295" s="1640">
        <v>1660</v>
      </c>
      <c r="V295" s="1591"/>
      <c r="W295" s="1591"/>
      <c r="X295" s="1640">
        <v>1660</v>
      </c>
      <c r="Y295" s="1640">
        <v>1660</v>
      </c>
      <c r="Z295" s="1640">
        <v>1384</v>
      </c>
      <c r="AA295" s="1640">
        <v>1384</v>
      </c>
      <c r="AB295" s="1640"/>
      <c r="AC295" s="1629"/>
      <c r="AD295" s="1623">
        <f t="shared" si="128"/>
        <v>1384</v>
      </c>
      <c r="AE295" s="1623">
        <f t="shared" si="129"/>
        <v>1384</v>
      </c>
      <c r="AF295" s="1642"/>
      <c r="AG295" s="1009">
        <f t="shared" si="123"/>
        <v>0</v>
      </c>
      <c r="AH295" s="1009">
        <f t="shared" si="115"/>
        <v>1</v>
      </c>
      <c r="AI295" s="1908">
        <f t="shared" si="114"/>
        <v>1</v>
      </c>
    </row>
    <row r="296" spans="1:35" ht="88.5" hidden="1" customHeight="1" x14ac:dyDescent="0.25">
      <c r="A296" s="1608" t="s">
        <v>3310</v>
      </c>
      <c r="B296" s="1608" t="s">
        <v>3267</v>
      </c>
      <c r="C296" s="1609" t="s">
        <v>1457</v>
      </c>
      <c r="D296" s="1610" t="s">
        <v>1379</v>
      </c>
      <c r="E296" s="1611" t="s">
        <v>1456</v>
      </c>
      <c r="F296" s="1610" t="s">
        <v>461</v>
      </c>
      <c r="G296" s="1610" t="s">
        <v>1455</v>
      </c>
      <c r="H296" s="1635">
        <v>1824</v>
      </c>
      <c r="I296" s="1641">
        <f t="shared" si="121"/>
        <v>1824</v>
      </c>
      <c r="J296" s="1744"/>
      <c r="K296" s="1744"/>
      <c r="L296" s="1744"/>
      <c r="M296" s="1744"/>
      <c r="N296" s="1759"/>
      <c r="O296" s="1633"/>
      <c r="P296" s="1765">
        <v>1490</v>
      </c>
      <c r="Q296" s="1765">
        <f t="shared" si="127"/>
        <v>1490</v>
      </c>
      <c r="R296" s="1591">
        <f t="shared" si="126"/>
        <v>1490</v>
      </c>
      <c r="S296" s="1591"/>
      <c r="T296" s="1640">
        <v>1490</v>
      </c>
      <c r="U296" s="1640">
        <v>1490</v>
      </c>
      <c r="V296" s="1591"/>
      <c r="W296" s="1591"/>
      <c r="X296" s="1640">
        <v>1490</v>
      </c>
      <c r="Y296" s="1640">
        <v>1490</v>
      </c>
      <c r="Z296" s="1640">
        <v>1636</v>
      </c>
      <c r="AA296" s="1640">
        <v>1636</v>
      </c>
      <c r="AB296" s="1640"/>
      <c r="AC296" s="1629"/>
      <c r="AD296" s="1623">
        <f t="shared" si="128"/>
        <v>1636</v>
      </c>
      <c r="AE296" s="1623">
        <f t="shared" si="129"/>
        <v>1636</v>
      </c>
      <c r="AF296" s="1642"/>
      <c r="AG296" s="1009">
        <f t="shared" si="123"/>
        <v>0</v>
      </c>
      <c r="AH296" s="1009">
        <f t="shared" si="115"/>
        <v>1</v>
      </c>
      <c r="AI296" s="1908">
        <f t="shared" si="114"/>
        <v>1</v>
      </c>
    </row>
    <row r="297" spans="1:35" ht="93" hidden="1" customHeight="1" x14ac:dyDescent="0.25">
      <c r="A297" s="1608" t="s">
        <v>3311</v>
      </c>
      <c r="B297" s="1608" t="s">
        <v>3268</v>
      </c>
      <c r="C297" s="1609" t="s">
        <v>1454</v>
      </c>
      <c r="D297" s="1610" t="s">
        <v>1379</v>
      </c>
      <c r="E297" s="1611" t="s">
        <v>1453</v>
      </c>
      <c r="F297" s="1610" t="s">
        <v>461</v>
      </c>
      <c r="G297" s="1610" t="s">
        <v>1452</v>
      </c>
      <c r="H297" s="1635">
        <v>1568</v>
      </c>
      <c r="I297" s="1641">
        <f t="shared" si="121"/>
        <v>1568</v>
      </c>
      <c r="J297" s="1744"/>
      <c r="K297" s="1744"/>
      <c r="L297" s="1744"/>
      <c r="M297" s="1744"/>
      <c r="N297" s="1759"/>
      <c r="O297" s="1633"/>
      <c r="P297" s="1765">
        <v>1290</v>
      </c>
      <c r="Q297" s="1765">
        <f t="shared" si="127"/>
        <v>1290</v>
      </c>
      <c r="R297" s="1591">
        <f t="shared" si="126"/>
        <v>1290</v>
      </c>
      <c r="S297" s="1591"/>
      <c r="T297" s="1640">
        <v>1290</v>
      </c>
      <c r="U297" s="1640">
        <v>1290</v>
      </c>
      <c r="V297" s="1591"/>
      <c r="W297" s="1591"/>
      <c r="X297" s="1640">
        <v>1290</v>
      </c>
      <c r="Y297" s="1640">
        <v>1290</v>
      </c>
      <c r="Z297" s="1640">
        <v>1341</v>
      </c>
      <c r="AA297" s="1640">
        <v>1341</v>
      </c>
      <c r="AB297" s="1640"/>
      <c r="AC297" s="1629"/>
      <c r="AD297" s="1623">
        <f t="shared" si="128"/>
        <v>1341</v>
      </c>
      <c r="AE297" s="1623">
        <f t="shared" si="129"/>
        <v>1341</v>
      </c>
      <c r="AF297" s="1642"/>
      <c r="AG297" s="1009">
        <f t="shared" si="123"/>
        <v>0</v>
      </c>
      <c r="AH297" s="1009">
        <f t="shared" si="115"/>
        <v>1</v>
      </c>
      <c r="AI297" s="1908">
        <f t="shared" si="114"/>
        <v>1</v>
      </c>
    </row>
    <row r="298" spans="1:35" ht="84.75" hidden="1" customHeight="1" x14ac:dyDescent="0.25">
      <c r="A298" s="1608" t="s">
        <v>3312</v>
      </c>
      <c r="B298" s="1608"/>
      <c r="C298" s="1609" t="s">
        <v>1451</v>
      </c>
      <c r="D298" s="1610" t="s">
        <v>1379</v>
      </c>
      <c r="E298" s="1611" t="s">
        <v>1448</v>
      </c>
      <c r="F298" s="1610" t="s">
        <v>461</v>
      </c>
      <c r="G298" s="1610" t="s">
        <v>1450</v>
      </c>
      <c r="H298" s="1635">
        <v>1336</v>
      </c>
      <c r="I298" s="1641">
        <f t="shared" si="121"/>
        <v>1336</v>
      </c>
      <c r="J298" s="1744"/>
      <c r="K298" s="1744"/>
      <c r="L298" s="1744"/>
      <c r="M298" s="1744"/>
      <c r="N298" s="1759"/>
      <c r="O298" s="1633"/>
      <c r="P298" s="1765">
        <v>1100</v>
      </c>
      <c r="Q298" s="1765">
        <f t="shared" si="127"/>
        <v>1100</v>
      </c>
      <c r="R298" s="1591">
        <f t="shared" si="126"/>
        <v>1100</v>
      </c>
      <c r="S298" s="1591"/>
      <c r="T298" s="1640">
        <v>1100</v>
      </c>
      <c r="U298" s="1640">
        <v>1100</v>
      </c>
      <c r="V298" s="1591"/>
      <c r="W298" s="1591"/>
      <c r="X298" s="1640">
        <v>1100</v>
      </c>
      <c r="Y298" s="1640">
        <v>1100</v>
      </c>
      <c r="Z298" s="1640">
        <v>1100</v>
      </c>
      <c r="AA298" s="1640">
        <v>1100</v>
      </c>
      <c r="AB298" s="1640"/>
      <c r="AC298" s="1629"/>
      <c r="AD298" s="1623">
        <f t="shared" si="128"/>
        <v>1100</v>
      </c>
      <c r="AE298" s="1623">
        <f t="shared" si="129"/>
        <v>1100</v>
      </c>
      <c r="AF298" s="1642"/>
      <c r="AG298" s="1009">
        <f t="shared" si="123"/>
        <v>0</v>
      </c>
      <c r="AH298" s="1009">
        <f t="shared" si="115"/>
        <v>1</v>
      </c>
      <c r="AI298" s="1908">
        <f t="shared" si="114"/>
        <v>1</v>
      </c>
    </row>
    <row r="299" spans="1:35" ht="87.75" hidden="1" customHeight="1" x14ac:dyDescent="0.25">
      <c r="A299" s="1608" t="s">
        <v>3313</v>
      </c>
      <c r="B299" s="1608"/>
      <c r="C299" s="1609" t="s">
        <v>1449</v>
      </c>
      <c r="D299" s="1610" t="s">
        <v>1379</v>
      </c>
      <c r="E299" s="1611" t="s">
        <v>1448</v>
      </c>
      <c r="F299" s="1610" t="s">
        <v>461</v>
      </c>
      <c r="G299" s="1610" t="s">
        <v>1447</v>
      </c>
      <c r="H299" s="1635">
        <v>1391</v>
      </c>
      <c r="I299" s="1641">
        <f t="shared" si="121"/>
        <v>1391</v>
      </c>
      <c r="J299" s="1744"/>
      <c r="K299" s="1744"/>
      <c r="L299" s="1744"/>
      <c r="M299" s="1744"/>
      <c r="N299" s="1759"/>
      <c r="O299" s="1633"/>
      <c r="P299" s="1765">
        <v>1150</v>
      </c>
      <c r="Q299" s="1765">
        <f t="shared" si="127"/>
        <v>1150</v>
      </c>
      <c r="R299" s="1591">
        <f t="shared" si="126"/>
        <v>1150</v>
      </c>
      <c r="S299" s="1591"/>
      <c r="T299" s="1640">
        <v>1150</v>
      </c>
      <c r="U299" s="1640">
        <v>1150</v>
      </c>
      <c r="V299" s="1591"/>
      <c r="W299" s="1591"/>
      <c r="X299" s="1640">
        <v>1150</v>
      </c>
      <c r="Y299" s="1640">
        <v>1150</v>
      </c>
      <c r="Z299" s="1640">
        <v>1150</v>
      </c>
      <c r="AA299" s="1640">
        <v>1150</v>
      </c>
      <c r="AB299" s="1640"/>
      <c r="AC299" s="1629"/>
      <c r="AD299" s="1623">
        <f t="shared" si="128"/>
        <v>1150</v>
      </c>
      <c r="AE299" s="1623">
        <f t="shared" si="129"/>
        <v>1150</v>
      </c>
      <c r="AF299" s="1642"/>
      <c r="AG299" s="1009">
        <f t="shared" si="123"/>
        <v>0</v>
      </c>
      <c r="AH299" s="1009">
        <f t="shared" si="115"/>
        <v>1</v>
      </c>
      <c r="AI299" s="1908">
        <f t="shared" si="114"/>
        <v>1</v>
      </c>
    </row>
    <row r="300" spans="1:35" ht="99" hidden="1" x14ac:dyDescent="0.25">
      <c r="A300" s="1608" t="s">
        <v>3314</v>
      </c>
      <c r="B300" s="1608" t="s">
        <v>3269</v>
      </c>
      <c r="C300" s="1609" t="s">
        <v>1446</v>
      </c>
      <c r="D300" s="1610" t="s">
        <v>1379</v>
      </c>
      <c r="E300" s="1611" t="s">
        <v>1445</v>
      </c>
      <c r="F300" s="1610" t="s">
        <v>461</v>
      </c>
      <c r="G300" s="1610" t="s">
        <v>1444</v>
      </c>
      <c r="H300" s="1635">
        <v>2204</v>
      </c>
      <c r="I300" s="1641">
        <f t="shared" si="121"/>
        <v>2204</v>
      </c>
      <c r="J300" s="1744"/>
      <c r="K300" s="1744"/>
      <c r="L300" s="1744"/>
      <c r="M300" s="1744"/>
      <c r="N300" s="1759"/>
      <c r="O300" s="1633"/>
      <c r="P300" s="1765">
        <v>1820</v>
      </c>
      <c r="Q300" s="1765">
        <f t="shared" si="127"/>
        <v>1820</v>
      </c>
      <c r="R300" s="1591">
        <f t="shared" si="126"/>
        <v>1820</v>
      </c>
      <c r="S300" s="1591"/>
      <c r="T300" s="1640">
        <v>1820</v>
      </c>
      <c r="U300" s="1640">
        <v>1820</v>
      </c>
      <c r="V300" s="1591"/>
      <c r="W300" s="1591"/>
      <c r="X300" s="1640">
        <v>1820</v>
      </c>
      <c r="Y300" s="1640">
        <v>1820</v>
      </c>
      <c r="Z300" s="1640">
        <v>1718</v>
      </c>
      <c r="AA300" s="1640">
        <v>1718</v>
      </c>
      <c r="AB300" s="1640"/>
      <c r="AC300" s="1629"/>
      <c r="AD300" s="1623">
        <f t="shared" si="128"/>
        <v>1718</v>
      </c>
      <c r="AE300" s="1623">
        <f t="shared" si="129"/>
        <v>1718</v>
      </c>
      <c r="AF300" s="1642"/>
      <c r="AG300" s="1009">
        <f t="shared" si="123"/>
        <v>0</v>
      </c>
      <c r="AH300" s="1009">
        <f t="shared" si="115"/>
        <v>1</v>
      </c>
      <c r="AI300" s="1908">
        <f t="shared" si="114"/>
        <v>1</v>
      </c>
    </row>
    <row r="301" spans="1:35" ht="99" hidden="1" x14ac:dyDescent="0.25">
      <c r="A301" s="1608" t="s">
        <v>3315</v>
      </c>
      <c r="B301" s="1608" t="s">
        <v>3270</v>
      </c>
      <c r="C301" s="1609" t="s">
        <v>1443</v>
      </c>
      <c r="D301" s="1610" t="s">
        <v>1379</v>
      </c>
      <c r="E301" s="1611" t="s">
        <v>1442</v>
      </c>
      <c r="F301" s="1610" t="s">
        <v>461</v>
      </c>
      <c r="G301" s="1610" t="s">
        <v>1441</v>
      </c>
      <c r="H301" s="1635">
        <v>1755</v>
      </c>
      <c r="I301" s="1641">
        <f t="shared" si="121"/>
        <v>1755</v>
      </c>
      <c r="J301" s="1744"/>
      <c r="K301" s="1744"/>
      <c r="L301" s="1744"/>
      <c r="M301" s="1744"/>
      <c r="N301" s="1759"/>
      <c r="O301" s="1633"/>
      <c r="P301" s="1765">
        <v>1450</v>
      </c>
      <c r="Q301" s="1765">
        <f t="shared" si="127"/>
        <v>1450</v>
      </c>
      <c r="R301" s="1591">
        <f t="shared" si="126"/>
        <v>1450</v>
      </c>
      <c r="S301" s="1591"/>
      <c r="T301" s="1640">
        <v>1450</v>
      </c>
      <c r="U301" s="1640">
        <v>1450</v>
      </c>
      <c r="V301" s="1591"/>
      <c r="W301" s="1591"/>
      <c r="X301" s="1640">
        <v>1450</v>
      </c>
      <c r="Y301" s="1640">
        <v>1450</v>
      </c>
      <c r="Z301" s="1640">
        <v>1546</v>
      </c>
      <c r="AA301" s="1640">
        <v>1546</v>
      </c>
      <c r="AB301" s="1640"/>
      <c r="AC301" s="1629"/>
      <c r="AD301" s="1623">
        <f t="shared" si="128"/>
        <v>1546</v>
      </c>
      <c r="AE301" s="1623">
        <f t="shared" si="129"/>
        <v>1546</v>
      </c>
      <c r="AF301" s="1642"/>
      <c r="AG301" s="1009">
        <f t="shared" si="123"/>
        <v>0</v>
      </c>
      <c r="AH301" s="1009">
        <f t="shared" si="115"/>
        <v>1</v>
      </c>
      <c r="AI301" s="1908">
        <f t="shared" si="114"/>
        <v>1</v>
      </c>
    </row>
    <row r="302" spans="1:35" ht="90.75" hidden="1" customHeight="1" x14ac:dyDescent="0.25">
      <c r="A302" s="1608" t="s">
        <v>3316</v>
      </c>
      <c r="B302" s="1608"/>
      <c r="C302" s="1609" t="s">
        <v>1440</v>
      </c>
      <c r="D302" s="1610" t="s">
        <v>1379</v>
      </c>
      <c r="E302" s="1611" t="s">
        <v>1439</v>
      </c>
      <c r="F302" s="1610" t="s">
        <v>461</v>
      </c>
      <c r="G302" s="1610" t="s">
        <v>1438</v>
      </c>
      <c r="H302" s="1635">
        <v>723</v>
      </c>
      <c r="I302" s="1641">
        <f t="shared" si="121"/>
        <v>723</v>
      </c>
      <c r="J302" s="1744"/>
      <c r="K302" s="1744"/>
      <c r="L302" s="1744"/>
      <c r="M302" s="1744"/>
      <c r="N302" s="1759"/>
      <c r="O302" s="1633"/>
      <c r="P302" s="1765">
        <v>600</v>
      </c>
      <c r="Q302" s="1765">
        <f t="shared" si="127"/>
        <v>600</v>
      </c>
      <c r="R302" s="1591">
        <f t="shared" si="126"/>
        <v>600</v>
      </c>
      <c r="S302" s="1591"/>
      <c r="T302" s="1640">
        <v>600</v>
      </c>
      <c r="U302" s="1640">
        <v>600</v>
      </c>
      <c r="V302" s="1591"/>
      <c r="W302" s="1591"/>
      <c r="X302" s="1640">
        <v>600</v>
      </c>
      <c r="Y302" s="1640">
        <v>600</v>
      </c>
      <c r="Z302" s="1640">
        <v>600</v>
      </c>
      <c r="AA302" s="1640">
        <v>600</v>
      </c>
      <c r="AB302" s="1640"/>
      <c r="AC302" s="1629"/>
      <c r="AD302" s="1623">
        <f t="shared" si="128"/>
        <v>600</v>
      </c>
      <c r="AE302" s="1623">
        <f t="shared" si="129"/>
        <v>600</v>
      </c>
      <c r="AF302" s="1642"/>
      <c r="AG302" s="1009">
        <f t="shared" si="123"/>
        <v>0</v>
      </c>
      <c r="AH302" s="1009">
        <f t="shared" si="115"/>
        <v>1</v>
      </c>
      <c r="AI302" s="1908">
        <f t="shared" ref="AI302:AI367" si="130">IF(I302-Y302&gt;=0,1,0)</f>
        <v>1</v>
      </c>
    </row>
    <row r="303" spans="1:35" ht="96" hidden="1" customHeight="1" x14ac:dyDescent="0.25">
      <c r="A303" s="1608" t="s">
        <v>3317</v>
      </c>
      <c r="B303" s="1608" t="s">
        <v>3271</v>
      </c>
      <c r="C303" s="1609" t="s">
        <v>1437</v>
      </c>
      <c r="D303" s="1610" t="s">
        <v>1379</v>
      </c>
      <c r="E303" s="1611" t="s">
        <v>1436</v>
      </c>
      <c r="F303" s="1610" t="s">
        <v>461</v>
      </c>
      <c r="G303" s="1610" t="s">
        <v>1435</v>
      </c>
      <c r="H303" s="1635">
        <v>967</v>
      </c>
      <c r="I303" s="1641">
        <f t="shared" si="121"/>
        <v>967</v>
      </c>
      <c r="J303" s="1744"/>
      <c r="K303" s="1744"/>
      <c r="L303" s="1744"/>
      <c r="M303" s="1744"/>
      <c r="N303" s="1759"/>
      <c r="O303" s="1633"/>
      <c r="P303" s="1765">
        <v>800</v>
      </c>
      <c r="Q303" s="1765">
        <f t="shared" si="127"/>
        <v>800</v>
      </c>
      <c r="R303" s="1591">
        <f t="shared" si="126"/>
        <v>800</v>
      </c>
      <c r="S303" s="1591"/>
      <c r="T303" s="1640">
        <v>800</v>
      </c>
      <c r="U303" s="1640">
        <v>800</v>
      </c>
      <c r="V303" s="1591"/>
      <c r="W303" s="1591"/>
      <c r="X303" s="1640">
        <v>800</v>
      </c>
      <c r="Y303" s="1640">
        <v>800</v>
      </c>
      <c r="Z303" s="1640">
        <v>739</v>
      </c>
      <c r="AA303" s="1640">
        <v>739</v>
      </c>
      <c r="AB303" s="1640"/>
      <c r="AC303" s="1629"/>
      <c r="AD303" s="1623">
        <f t="shared" si="128"/>
        <v>739</v>
      </c>
      <c r="AE303" s="1623">
        <f t="shared" si="129"/>
        <v>739</v>
      </c>
      <c r="AF303" s="1642"/>
      <c r="AG303" s="1009">
        <f t="shared" si="123"/>
        <v>0</v>
      </c>
      <c r="AH303" s="1009">
        <f t="shared" si="115"/>
        <v>1</v>
      </c>
      <c r="AI303" s="1908">
        <f t="shared" si="130"/>
        <v>1</v>
      </c>
    </row>
    <row r="304" spans="1:35" ht="76.5" hidden="1" customHeight="1" x14ac:dyDescent="0.25">
      <c r="A304" s="1608" t="s">
        <v>3318</v>
      </c>
      <c r="B304" s="1608"/>
      <c r="C304" s="1609" t="s">
        <v>1434</v>
      </c>
      <c r="D304" s="1610" t="s">
        <v>1379</v>
      </c>
      <c r="E304" s="1611" t="s">
        <v>1433</v>
      </c>
      <c r="F304" s="1610" t="s">
        <v>461</v>
      </c>
      <c r="G304" s="1610" t="s">
        <v>1432</v>
      </c>
      <c r="H304" s="1635">
        <v>189</v>
      </c>
      <c r="I304" s="1641">
        <f t="shared" si="121"/>
        <v>189</v>
      </c>
      <c r="J304" s="1744"/>
      <c r="K304" s="1744"/>
      <c r="L304" s="1744"/>
      <c r="M304" s="1744"/>
      <c r="N304" s="1759"/>
      <c r="O304" s="1633"/>
      <c r="P304" s="1765">
        <v>150</v>
      </c>
      <c r="Q304" s="1765">
        <f t="shared" si="127"/>
        <v>150</v>
      </c>
      <c r="R304" s="1591">
        <f t="shared" si="126"/>
        <v>150</v>
      </c>
      <c r="S304" s="1591"/>
      <c r="T304" s="1640">
        <v>150</v>
      </c>
      <c r="U304" s="1640">
        <v>150</v>
      </c>
      <c r="V304" s="1591"/>
      <c r="W304" s="1591"/>
      <c r="X304" s="1640">
        <v>150</v>
      </c>
      <c r="Y304" s="1640">
        <v>150</v>
      </c>
      <c r="Z304" s="1640">
        <v>150</v>
      </c>
      <c r="AA304" s="1640">
        <v>150</v>
      </c>
      <c r="AB304" s="1640"/>
      <c r="AC304" s="1629"/>
      <c r="AD304" s="1623">
        <f t="shared" si="128"/>
        <v>150</v>
      </c>
      <c r="AE304" s="1623">
        <f t="shared" si="129"/>
        <v>150</v>
      </c>
      <c r="AF304" s="1642"/>
      <c r="AG304" s="1009">
        <f t="shared" si="123"/>
        <v>0</v>
      </c>
      <c r="AH304" s="1009">
        <f t="shared" si="115"/>
        <v>1</v>
      </c>
      <c r="AI304" s="1908">
        <f t="shared" si="130"/>
        <v>1</v>
      </c>
    </row>
    <row r="305" spans="1:35" ht="83.25" hidden="1" customHeight="1" x14ac:dyDescent="0.25">
      <c r="A305" s="1608" t="s">
        <v>3319</v>
      </c>
      <c r="B305" s="1608"/>
      <c r="C305" s="1609" t="s">
        <v>1431</v>
      </c>
      <c r="D305" s="1610" t="s">
        <v>1379</v>
      </c>
      <c r="E305" s="1611" t="s">
        <v>1430</v>
      </c>
      <c r="F305" s="1610" t="s">
        <v>461</v>
      </c>
      <c r="G305" s="1610" t="s">
        <v>1429</v>
      </c>
      <c r="H305" s="1635">
        <v>400</v>
      </c>
      <c r="I305" s="1641">
        <f t="shared" si="121"/>
        <v>400</v>
      </c>
      <c r="J305" s="1744"/>
      <c r="K305" s="1744"/>
      <c r="L305" s="1744"/>
      <c r="M305" s="1744"/>
      <c r="N305" s="1759"/>
      <c r="O305" s="1633"/>
      <c r="P305" s="1765">
        <v>320</v>
      </c>
      <c r="Q305" s="1765">
        <f t="shared" si="127"/>
        <v>320</v>
      </c>
      <c r="R305" s="1591">
        <f t="shared" si="126"/>
        <v>320</v>
      </c>
      <c r="S305" s="1591"/>
      <c r="T305" s="1640">
        <v>320</v>
      </c>
      <c r="U305" s="1640">
        <v>320</v>
      </c>
      <c r="V305" s="1591"/>
      <c r="W305" s="1591"/>
      <c r="X305" s="1640">
        <v>320</v>
      </c>
      <c r="Y305" s="1640">
        <v>320</v>
      </c>
      <c r="Z305" s="1640">
        <v>320</v>
      </c>
      <c r="AA305" s="1640">
        <v>320</v>
      </c>
      <c r="AB305" s="1640"/>
      <c r="AC305" s="1629"/>
      <c r="AD305" s="1623">
        <f t="shared" si="128"/>
        <v>320</v>
      </c>
      <c r="AE305" s="1623">
        <f t="shared" si="129"/>
        <v>320</v>
      </c>
      <c r="AF305" s="1642"/>
      <c r="AG305" s="1009">
        <f t="shared" si="123"/>
        <v>0</v>
      </c>
      <c r="AH305" s="1009">
        <f t="shared" si="115"/>
        <v>1</v>
      </c>
      <c r="AI305" s="1908">
        <f t="shared" si="130"/>
        <v>1</v>
      </c>
    </row>
    <row r="306" spans="1:35" ht="72" hidden="1" customHeight="1" x14ac:dyDescent="0.25">
      <c r="A306" s="1608" t="s">
        <v>3320</v>
      </c>
      <c r="B306" s="1608"/>
      <c r="C306" s="1609" t="s">
        <v>1428</v>
      </c>
      <c r="D306" s="1610" t="s">
        <v>1379</v>
      </c>
      <c r="E306" s="1611" t="s">
        <v>1427</v>
      </c>
      <c r="F306" s="1610" t="s">
        <v>461</v>
      </c>
      <c r="G306" s="1610" t="s">
        <v>1426</v>
      </c>
      <c r="H306" s="1635">
        <v>251</v>
      </c>
      <c r="I306" s="1641">
        <f t="shared" si="121"/>
        <v>251</v>
      </c>
      <c r="J306" s="1744"/>
      <c r="K306" s="1744"/>
      <c r="L306" s="1744"/>
      <c r="M306" s="1744"/>
      <c r="N306" s="1759"/>
      <c r="O306" s="1633"/>
      <c r="P306" s="1765">
        <v>200</v>
      </c>
      <c r="Q306" s="1765">
        <f t="shared" si="127"/>
        <v>200</v>
      </c>
      <c r="R306" s="1591">
        <f t="shared" si="126"/>
        <v>200</v>
      </c>
      <c r="S306" s="1591"/>
      <c r="T306" s="1640">
        <v>200</v>
      </c>
      <c r="U306" s="1640">
        <v>200</v>
      </c>
      <c r="V306" s="1591"/>
      <c r="W306" s="1591"/>
      <c r="X306" s="1640">
        <v>200</v>
      </c>
      <c r="Y306" s="1640">
        <v>200</v>
      </c>
      <c r="Z306" s="1640">
        <v>200</v>
      </c>
      <c r="AA306" s="1640">
        <v>200</v>
      </c>
      <c r="AB306" s="1640"/>
      <c r="AC306" s="1629"/>
      <c r="AD306" s="1623">
        <f t="shared" si="128"/>
        <v>200</v>
      </c>
      <c r="AE306" s="1623">
        <f t="shared" si="129"/>
        <v>200</v>
      </c>
      <c r="AF306" s="1642"/>
      <c r="AG306" s="1009">
        <f t="shared" si="123"/>
        <v>0</v>
      </c>
      <c r="AH306" s="1009">
        <f t="shared" si="115"/>
        <v>1</v>
      </c>
      <c r="AI306" s="1908">
        <f t="shared" si="130"/>
        <v>1</v>
      </c>
    </row>
    <row r="307" spans="1:35" ht="76.5" hidden="1" customHeight="1" x14ac:dyDescent="0.25">
      <c r="A307" s="1608" t="s">
        <v>3321</v>
      </c>
      <c r="B307" s="1608"/>
      <c r="C307" s="1609" t="s">
        <v>1425</v>
      </c>
      <c r="D307" s="1610" t="s">
        <v>1379</v>
      </c>
      <c r="E307" s="1611" t="s">
        <v>1424</v>
      </c>
      <c r="F307" s="1610" t="s">
        <v>461</v>
      </c>
      <c r="G307" s="1610" t="s">
        <v>1423</v>
      </c>
      <c r="H307" s="1635">
        <v>209</v>
      </c>
      <c r="I307" s="1641">
        <f t="shared" si="121"/>
        <v>209</v>
      </c>
      <c r="J307" s="1744"/>
      <c r="K307" s="1744"/>
      <c r="L307" s="1744"/>
      <c r="M307" s="1744"/>
      <c r="N307" s="1759"/>
      <c r="O307" s="1633"/>
      <c r="P307" s="1765">
        <v>170</v>
      </c>
      <c r="Q307" s="1765">
        <f t="shared" si="127"/>
        <v>170</v>
      </c>
      <c r="R307" s="1591">
        <f t="shared" si="126"/>
        <v>170</v>
      </c>
      <c r="S307" s="1591"/>
      <c r="T307" s="1640">
        <v>170</v>
      </c>
      <c r="U307" s="1640">
        <v>170</v>
      </c>
      <c r="V307" s="1591"/>
      <c r="W307" s="1591"/>
      <c r="X307" s="1640">
        <v>170</v>
      </c>
      <c r="Y307" s="1640">
        <v>170</v>
      </c>
      <c r="Z307" s="1640">
        <v>170</v>
      </c>
      <c r="AA307" s="1640">
        <v>170</v>
      </c>
      <c r="AB307" s="1640"/>
      <c r="AC307" s="1629"/>
      <c r="AD307" s="1623">
        <f t="shared" si="128"/>
        <v>170</v>
      </c>
      <c r="AE307" s="1623">
        <f t="shared" si="129"/>
        <v>170</v>
      </c>
      <c r="AF307" s="1642"/>
      <c r="AG307" s="1009">
        <f t="shared" si="123"/>
        <v>0</v>
      </c>
      <c r="AH307" s="1009">
        <f t="shared" si="115"/>
        <v>1</v>
      </c>
      <c r="AI307" s="1908">
        <f t="shared" si="130"/>
        <v>1</v>
      </c>
    </row>
    <row r="308" spans="1:35" ht="82.5" hidden="1" x14ac:dyDescent="0.25">
      <c r="A308" s="1608" t="s">
        <v>3322</v>
      </c>
      <c r="B308" s="1608"/>
      <c r="C308" s="1609" t="s">
        <v>1422</v>
      </c>
      <c r="D308" s="1610" t="s">
        <v>1379</v>
      </c>
      <c r="E308" s="1611" t="s">
        <v>1421</v>
      </c>
      <c r="F308" s="1610" t="s">
        <v>461</v>
      </c>
      <c r="G308" s="1610" t="s">
        <v>1420</v>
      </c>
      <c r="H308" s="1635">
        <v>434</v>
      </c>
      <c r="I308" s="1641">
        <f t="shared" si="121"/>
        <v>434</v>
      </c>
      <c r="J308" s="1744"/>
      <c r="K308" s="1744"/>
      <c r="L308" s="1744"/>
      <c r="M308" s="1744"/>
      <c r="N308" s="1759"/>
      <c r="O308" s="1633"/>
      <c r="P308" s="1765">
        <v>350</v>
      </c>
      <c r="Q308" s="1765">
        <f t="shared" si="127"/>
        <v>350</v>
      </c>
      <c r="R308" s="1591">
        <f t="shared" si="126"/>
        <v>350</v>
      </c>
      <c r="S308" s="1591"/>
      <c r="T308" s="1640">
        <v>350</v>
      </c>
      <c r="U308" s="1640">
        <v>350</v>
      </c>
      <c r="V308" s="1591"/>
      <c r="W308" s="1591"/>
      <c r="X308" s="1640">
        <v>350</v>
      </c>
      <c r="Y308" s="1640">
        <v>350</v>
      </c>
      <c r="Z308" s="1640">
        <v>350</v>
      </c>
      <c r="AA308" s="1640">
        <v>350</v>
      </c>
      <c r="AB308" s="1640"/>
      <c r="AC308" s="1629"/>
      <c r="AD308" s="1623">
        <f t="shared" si="128"/>
        <v>350</v>
      </c>
      <c r="AE308" s="1623">
        <f t="shared" si="129"/>
        <v>350</v>
      </c>
      <c r="AF308" s="1642"/>
      <c r="AG308" s="1009">
        <f t="shared" si="123"/>
        <v>0</v>
      </c>
      <c r="AH308" s="1009">
        <f t="shared" si="115"/>
        <v>1</v>
      </c>
      <c r="AI308" s="1908">
        <f t="shared" si="130"/>
        <v>1</v>
      </c>
    </row>
    <row r="309" spans="1:35" ht="82.5" hidden="1" x14ac:dyDescent="0.25">
      <c r="A309" s="1608" t="s">
        <v>3323</v>
      </c>
      <c r="B309" s="1608"/>
      <c r="C309" s="1609" t="s">
        <v>1419</v>
      </c>
      <c r="D309" s="1610" t="s">
        <v>1379</v>
      </c>
      <c r="E309" s="1611" t="s">
        <v>1418</v>
      </c>
      <c r="F309" s="1610" t="s">
        <v>461</v>
      </c>
      <c r="G309" s="1610" t="s">
        <v>1417</v>
      </c>
      <c r="H309" s="1635">
        <v>662</v>
      </c>
      <c r="I309" s="1641">
        <f t="shared" si="121"/>
        <v>662</v>
      </c>
      <c r="J309" s="1744"/>
      <c r="K309" s="1744"/>
      <c r="L309" s="1744"/>
      <c r="M309" s="1744"/>
      <c r="N309" s="1759"/>
      <c r="O309" s="1633"/>
      <c r="P309" s="1765">
        <v>530</v>
      </c>
      <c r="Q309" s="1765">
        <f t="shared" si="127"/>
        <v>530</v>
      </c>
      <c r="R309" s="1591">
        <f t="shared" si="126"/>
        <v>530</v>
      </c>
      <c r="S309" s="1591"/>
      <c r="T309" s="1640">
        <v>530</v>
      </c>
      <c r="U309" s="1640">
        <v>530</v>
      </c>
      <c r="V309" s="1591"/>
      <c r="W309" s="1591"/>
      <c r="X309" s="1640">
        <v>530</v>
      </c>
      <c r="Y309" s="1640">
        <v>530</v>
      </c>
      <c r="Z309" s="1640">
        <v>530</v>
      </c>
      <c r="AA309" s="1640">
        <v>530</v>
      </c>
      <c r="AB309" s="1640"/>
      <c r="AC309" s="1629"/>
      <c r="AD309" s="1623">
        <f t="shared" si="128"/>
        <v>530</v>
      </c>
      <c r="AE309" s="1623">
        <f t="shared" si="129"/>
        <v>530</v>
      </c>
      <c r="AF309" s="1642"/>
      <c r="AG309" s="1009">
        <f t="shared" si="123"/>
        <v>0</v>
      </c>
      <c r="AH309" s="1009">
        <f t="shared" si="115"/>
        <v>1</v>
      </c>
      <c r="AI309" s="1908">
        <f t="shared" si="130"/>
        <v>1</v>
      </c>
    </row>
    <row r="310" spans="1:35" ht="99" hidden="1" x14ac:dyDescent="0.25">
      <c r="A310" s="1608" t="s">
        <v>3324</v>
      </c>
      <c r="B310" s="1608"/>
      <c r="C310" s="1609" t="s">
        <v>1416</v>
      </c>
      <c r="D310" s="1610" t="s">
        <v>1379</v>
      </c>
      <c r="E310" s="1611" t="s">
        <v>1415</v>
      </c>
      <c r="F310" s="1610" t="s">
        <v>461</v>
      </c>
      <c r="G310" s="1610" t="s">
        <v>1414</v>
      </c>
      <c r="H310" s="1635">
        <v>1580.249</v>
      </c>
      <c r="I310" s="1641">
        <f t="shared" si="121"/>
        <v>1580.249</v>
      </c>
      <c r="J310" s="1744"/>
      <c r="K310" s="1744"/>
      <c r="L310" s="1744"/>
      <c r="M310" s="1744"/>
      <c r="N310" s="1759"/>
      <c r="O310" s="1633"/>
      <c r="P310" s="1765">
        <v>1350</v>
      </c>
      <c r="Q310" s="1765">
        <f t="shared" si="127"/>
        <v>1350</v>
      </c>
      <c r="R310" s="1591">
        <f t="shared" si="126"/>
        <v>1350</v>
      </c>
      <c r="S310" s="1591"/>
      <c r="T310" s="1640">
        <v>1350</v>
      </c>
      <c r="U310" s="1640">
        <v>1350</v>
      </c>
      <c r="V310" s="1591"/>
      <c r="W310" s="1591"/>
      <c r="X310" s="1640">
        <v>1350</v>
      </c>
      <c r="Y310" s="1640">
        <v>1350</v>
      </c>
      <c r="Z310" s="1640">
        <v>1350</v>
      </c>
      <c r="AA310" s="1640">
        <v>1350</v>
      </c>
      <c r="AB310" s="1640"/>
      <c r="AC310" s="1629"/>
      <c r="AD310" s="1623">
        <f t="shared" si="128"/>
        <v>1350</v>
      </c>
      <c r="AE310" s="1623">
        <f t="shared" si="129"/>
        <v>1350</v>
      </c>
      <c r="AF310" s="1642"/>
      <c r="AG310" s="1009">
        <f t="shared" si="123"/>
        <v>0</v>
      </c>
      <c r="AH310" s="1009">
        <f t="shared" si="115"/>
        <v>1</v>
      </c>
      <c r="AI310" s="1908">
        <f t="shared" si="130"/>
        <v>1</v>
      </c>
    </row>
    <row r="311" spans="1:35" ht="87.75" hidden="1" customHeight="1" x14ac:dyDescent="0.25">
      <c r="A311" s="1608" t="s">
        <v>3325</v>
      </c>
      <c r="B311" s="1608" t="s">
        <v>3272</v>
      </c>
      <c r="C311" s="1609" t="s">
        <v>1413</v>
      </c>
      <c r="D311" s="1610" t="s">
        <v>1379</v>
      </c>
      <c r="E311" s="1611" t="s">
        <v>1412</v>
      </c>
      <c r="F311" s="1610" t="s">
        <v>461</v>
      </c>
      <c r="G311" s="1610" t="s">
        <v>1411</v>
      </c>
      <c r="H311" s="1635">
        <v>1634</v>
      </c>
      <c r="I311" s="1641">
        <f t="shared" si="121"/>
        <v>1634</v>
      </c>
      <c r="J311" s="1744"/>
      <c r="K311" s="1744"/>
      <c r="L311" s="1744"/>
      <c r="M311" s="1744"/>
      <c r="N311" s="1759"/>
      <c r="O311" s="1633"/>
      <c r="P311" s="1765">
        <v>1390</v>
      </c>
      <c r="Q311" s="1765">
        <f t="shared" si="127"/>
        <v>1390</v>
      </c>
      <c r="R311" s="1591">
        <f t="shared" si="126"/>
        <v>1390</v>
      </c>
      <c r="S311" s="1591"/>
      <c r="T311" s="1640">
        <v>1390</v>
      </c>
      <c r="U311" s="1640">
        <v>1390</v>
      </c>
      <c r="V311" s="1591"/>
      <c r="W311" s="1591"/>
      <c r="X311" s="1640">
        <v>1390</v>
      </c>
      <c r="Y311" s="1640">
        <v>1390</v>
      </c>
      <c r="Z311" s="1640">
        <v>1033</v>
      </c>
      <c r="AA311" s="1640">
        <v>1033</v>
      </c>
      <c r="AB311" s="1640"/>
      <c r="AC311" s="1629"/>
      <c r="AD311" s="1623">
        <f t="shared" si="128"/>
        <v>1033</v>
      </c>
      <c r="AE311" s="1623">
        <f t="shared" si="129"/>
        <v>1033</v>
      </c>
      <c r="AF311" s="1642"/>
      <c r="AG311" s="1009">
        <f t="shared" si="123"/>
        <v>0</v>
      </c>
      <c r="AH311" s="1009">
        <f t="shared" si="115"/>
        <v>1</v>
      </c>
      <c r="AI311" s="1908">
        <f t="shared" si="130"/>
        <v>1</v>
      </c>
    </row>
    <row r="312" spans="1:35" ht="99" hidden="1" x14ac:dyDescent="0.25">
      <c r="A312" s="1608" t="s">
        <v>3326</v>
      </c>
      <c r="B312" s="1608"/>
      <c r="C312" s="1609" t="s">
        <v>1410</v>
      </c>
      <c r="D312" s="1610" t="s">
        <v>1379</v>
      </c>
      <c r="E312" s="1611" t="s">
        <v>1409</v>
      </c>
      <c r="F312" s="1610" t="s">
        <v>461</v>
      </c>
      <c r="G312" s="1610" t="s">
        <v>1408</v>
      </c>
      <c r="H312" s="1635">
        <v>593</v>
      </c>
      <c r="I312" s="1641">
        <f t="shared" si="121"/>
        <v>593</v>
      </c>
      <c r="J312" s="1744"/>
      <c r="K312" s="1744"/>
      <c r="L312" s="1744"/>
      <c r="M312" s="1744"/>
      <c r="N312" s="1759"/>
      <c r="O312" s="1633"/>
      <c r="P312" s="1765">
        <v>500</v>
      </c>
      <c r="Q312" s="1765">
        <f t="shared" si="127"/>
        <v>500</v>
      </c>
      <c r="R312" s="1591">
        <f t="shared" si="126"/>
        <v>500</v>
      </c>
      <c r="S312" s="1591"/>
      <c r="T312" s="1640">
        <v>500</v>
      </c>
      <c r="U312" s="1640">
        <v>500</v>
      </c>
      <c r="V312" s="1591"/>
      <c r="W312" s="1591"/>
      <c r="X312" s="1640">
        <v>500</v>
      </c>
      <c r="Y312" s="1640">
        <v>500</v>
      </c>
      <c r="Z312" s="1640">
        <v>500</v>
      </c>
      <c r="AA312" s="1640">
        <v>500</v>
      </c>
      <c r="AB312" s="1640"/>
      <c r="AC312" s="1629"/>
      <c r="AD312" s="1623">
        <f t="shared" si="128"/>
        <v>500</v>
      </c>
      <c r="AE312" s="1623">
        <f t="shared" si="129"/>
        <v>500</v>
      </c>
      <c r="AF312" s="1642"/>
      <c r="AG312" s="1009">
        <f t="shared" si="123"/>
        <v>0</v>
      </c>
      <c r="AH312" s="1009">
        <f t="shared" si="115"/>
        <v>1</v>
      </c>
      <c r="AI312" s="1908">
        <f t="shared" si="130"/>
        <v>1</v>
      </c>
    </row>
    <row r="313" spans="1:35" ht="99" hidden="1" x14ac:dyDescent="0.25">
      <c r="A313" s="1608" t="s">
        <v>3327</v>
      </c>
      <c r="B313" s="1608" t="s">
        <v>3273</v>
      </c>
      <c r="C313" s="1609" t="s">
        <v>1407</v>
      </c>
      <c r="D313" s="1610" t="s">
        <v>1379</v>
      </c>
      <c r="E313" s="1611" t="s">
        <v>1406</v>
      </c>
      <c r="F313" s="1610" t="s">
        <v>461</v>
      </c>
      <c r="G313" s="1610" t="s">
        <v>1405</v>
      </c>
      <c r="H313" s="1635">
        <v>1138</v>
      </c>
      <c r="I313" s="1641">
        <f t="shared" si="121"/>
        <v>1138</v>
      </c>
      <c r="J313" s="1744"/>
      <c r="K313" s="1744"/>
      <c r="L313" s="1744"/>
      <c r="M313" s="1744"/>
      <c r="N313" s="1759"/>
      <c r="O313" s="1633"/>
      <c r="P313" s="1765">
        <v>940</v>
      </c>
      <c r="Q313" s="1765">
        <f t="shared" si="127"/>
        <v>940</v>
      </c>
      <c r="R313" s="1591">
        <f t="shared" si="126"/>
        <v>940</v>
      </c>
      <c r="S313" s="1591"/>
      <c r="T313" s="1640">
        <v>940</v>
      </c>
      <c r="U313" s="1640">
        <v>940</v>
      </c>
      <c r="V313" s="1591"/>
      <c r="W313" s="1591"/>
      <c r="X313" s="1640">
        <v>940</v>
      </c>
      <c r="Y313" s="1640">
        <v>940</v>
      </c>
      <c r="Z313" s="1640">
        <v>1017</v>
      </c>
      <c r="AA313" s="1640">
        <v>1017</v>
      </c>
      <c r="AB313" s="1640"/>
      <c r="AC313" s="1629"/>
      <c r="AD313" s="1623">
        <f t="shared" si="128"/>
        <v>1017</v>
      </c>
      <c r="AE313" s="1623">
        <f t="shared" si="129"/>
        <v>1017</v>
      </c>
      <c r="AF313" s="1642"/>
      <c r="AG313" s="1009">
        <f t="shared" si="123"/>
        <v>0</v>
      </c>
      <c r="AH313" s="1009">
        <f t="shared" si="115"/>
        <v>1</v>
      </c>
      <c r="AI313" s="1908">
        <f t="shared" si="130"/>
        <v>1</v>
      </c>
    </row>
    <row r="314" spans="1:35" ht="85.5" hidden="1" customHeight="1" x14ac:dyDescent="0.25">
      <c r="A314" s="1608" t="s">
        <v>3328</v>
      </c>
      <c r="B314" s="1608"/>
      <c r="C314" s="1609" t="s">
        <v>1404</v>
      </c>
      <c r="D314" s="1610" t="s">
        <v>1379</v>
      </c>
      <c r="E314" s="1611" t="s">
        <v>1403</v>
      </c>
      <c r="F314" s="1610" t="s">
        <v>461</v>
      </c>
      <c r="G314" s="1610" t="s">
        <v>1402</v>
      </c>
      <c r="H314" s="1635">
        <v>662</v>
      </c>
      <c r="I314" s="1641">
        <f t="shared" si="121"/>
        <v>662</v>
      </c>
      <c r="J314" s="1744"/>
      <c r="K314" s="1744"/>
      <c r="L314" s="1744"/>
      <c r="M314" s="1744"/>
      <c r="N314" s="1759"/>
      <c r="O314" s="1633"/>
      <c r="P314" s="1765">
        <v>550</v>
      </c>
      <c r="Q314" s="1765">
        <f t="shared" si="127"/>
        <v>550</v>
      </c>
      <c r="R314" s="1591">
        <f t="shared" si="126"/>
        <v>550</v>
      </c>
      <c r="S314" s="1591"/>
      <c r="T314" s="1640">
        <v>550</v>
      </c>
      <c r="U314" s="1640">
        <v>550</v>
      </c>
      <c r="V314" s="1591"/>
      <c r="W314" s="1591"/>
      <c r="X314" s="1640">
        <v>550</v>
      </c>
      <c r="Y314" s="1640">
        <v>550</v>
      </c>
      <c r="Z314" s="1640">
        <v>550</v>
      </c>
      <c r="AA314" s="1640">
        <v>550</v>
      </c>
      <c r="AB314" s="1640"/>
      <c r="AC314" s="1629"/>
      <c r="AD314" s="1623">
        <f t="shared" si="128"/>
        <v>550</v>
      </c>
      <c r="AE314" s="1623">
        <f t="shared" si="129"/>
        <v>550</v>
      </c>
      <c r="AF314" s="1642"/>
      <c r="AG314" s="1009">
        <f t="shared" si="123"/>
        <v>0</v>
      </c>
      <c r="AH314" s="1009">
        <f t="shared" si="115"/>
        <v>1</v>
      </c>
      <c r="AI314" s="1908">
        <f t="shared" si="130"/>
        <v>1</v>
      </c>
    </row>
    <row r="315" spans="1:35" ht="73.5" hidden="1" customHeight="1" x14ac:dyDescent="0.25">
      <c r="A315" s="1608" t="s">
        <v>3329</v>
      </c>
      <c r="B315" s="1608"/>
      <c r="C315" s="1609" t="s">
        <v>1401</v>
      </c>
      <c r="D315" s="1610" t="s">
        <v>1379</v>
      </c>
      <c r="E315" s="1611" t="s">
        <v>1400</v>
      </c>
      <c r="F315" s="1610" t="s">
        <v>461</v>
      </c>
      <c r="G315" s="1610" t="s">
        <v>1399</v>
      </c>
      <c r="H315" s="1635">
        <v>894</v>
      </c>
      <c r="I315" s="1641">
        <f t="shared" si="121"/>
        <v>894</v>
      </c>
      <c r="J315" s="1744"/>
      <c r="K315" s="1744"/>
      <c r="L315" s="1744"/>
      <c r="M315" s="1744"/>
      <c r="N315" s="1759"/>
      <c r="O315" s="1633"/>
      <c r="P315" s="1765">
        <v>740</v>
      </c>
      <c r="Q315" s="1765">
        <f t="shared" si="127"/>
        <v>740</v>
      </c>
      <c r="R315" s="1591">
        <f t="shared" si="126"/>
        <v>740</v>
      </c>
      <c r="S315" s="1591"/>
      <c r="T315" s="1640">
        <v>740</v>
      </c>
      <c r="U315" s="1640">
        <v>740</v>
      </c>
      <c r="V315" s="1591"/>
      <c r="W315" s="1591"/>
      <c r="X315" s="1640">
        <v>740</v>
      </c>
      <c r="Y315" s="1640">
        <v>740</v>
      </c>
      <c r="Z315" s="1640">
        <v>740</v>
      </c>
      <c r="AA315" s="1640">
        <v>740</v>
      </c>
      <c r="AB315" s="1640"/>
      <c r="AC315" s="1629"/>
      <c r="AD315" s="1623">
        <f t="shared" si="128"/>
        <v>740</v>
      </c>
      <c r="AE315" s="1623">
        <f t="shared" si="129"/>
        <v>740</v>
      </c>
      <c r="AF315" s="1642"/>
      <c r="AG315" s="1009">
        <f t="shared" si="123"/>
        <v>0</v>
      </c>
      <c r="AH315" s="1009">
        <f t="shared" si="115"/>
        <v>1</v>
      </c>
      <c r="AI315" s="1908">
        <f t="shared" si="130"/>
        <v>1</v>
      </c>
    </row>
    <row r="316" spans="1:35" ht="73.5" hidden="1" customHeight="1" x14ac:dyDescent="0.25">
      <c r="A316" s="1608" t="s">
        <v>3330</v>
      </c>
      <c r="B316" s="1608"/>
      <c r="C316" s="1609" t="s">
        <v>1398</v>
      </c>
      <c r="D316" s="1610" t="s">
        <v>1379</v>
      </c>
      <c r="E316" s="1611" t="s">
        <v>1397</v>
      </c>
      <c r="F316" s="1610" t="s">
        <v>461</v>
      </c>
      <c r="G316" s="1610" t="s">
        <v>1396</v>
      </c>
      <c r="H316" s="1635">
        <v>258</v>
      </c>
      <c r="I316" s="1641">
        <f t="shared" si="121"/>
        <v>258</v>
      </c>
      <c r="J316" s="1744"/>
      <c r="K316" s="1744"/>
      <c r="L316" s="1744"/>
      <c r="M316" s="1744"/>
      <c r="N316" s="1759"/>
      <c r="O316" s="1633"/>
      <c r="P316" s="1765">
        <v>210</v>
      </c>
      <c r="Q316" s="1765">
        <f t="shared" si="127"/>
        <v>210</v>
      </c>
      <c r="R316" s="1591">
        <f t="shared" si="126"/>
        <v>210</v>
      </c>
      <c r="S316" s="1591"/>
      <c r="T316" s="1640">
        <v>210</v>
      </c>
      <c r="U316" s="1640">
        <v>210</v>
      </c>
      <c r="V316" s="1591"/>
      <c r="W316" s="1591"/>
      <c r="X316" s="1640">
        <v>210</v>
      </c>
      <c r="Y316" s="1640">
        <v>210</v>
      </c>
      <c r="Z316" s="1640">
        <v>210</v>
      </c>
      <c r="AA316" s="1640">
        <v>210</v>
      </c>
      <c r="AB316" s="1640"/>
      <c r="AC316" s="1629"/>
      <c r="AD316" s="1623">
        <f t="shared" si="128"/>
        <v>210</v>
      </c>
      <c r="AE316" s="1623">
        <f t="shared" si="129"/>
        <v>210</v>
      </c>
      <c r="AF316" s="1642"/>
      <c r="AG316" s="1009">
        <f t="shared" si="123"/>
        <v>0</v>
      </c>
      <c r="AH316" s="1009">
        <f t="shared" si="115"/>
        <v>1</v>
      </c>
      <c r="AI316" s="1908">
        <f t="shared" si="130"/>
        <v>1</v>
      </c>
    </row>
    <row r="317" spans="1:35" ht="71.25" hidden="1" customHeight="1" x14ac:dyDescent="0.25">
      <c r="A317" s="1608" t="s">
        <v>3331</v>
      </c>
      <c r="B317" s="1608"/>
      <c r="C317" s="1609" t="s">
        <v>1395</v>
      </c>
      <c r="D317" s="1610" t="s">
        <v>1379</v>
      </c>
      <c r="E317" s="1611" t="s">
        <v>1394</v>
      </c>
      <c r="F317" s="1610" t="s">
        <v>461</v>
      </c>
      <c r="G317" s="1610" t="s">
        <v>1393</v>
      </c>
      <c r="H317" s="1635">
        <v>549</v>
      </c>
      <c r="I317" s="1641">
        <f t="shared" si="121"/>
        <v>549</v>
      </c>
      <c r="J317" s="1744"/>
      <c r="K317" s="1744"/>
      <c r="L317" s="1744"/>
      <c r="M317" s="1744"/>
      <c r="N317" s="1759"/>
      <c r="O317" s="1633"/>
      <c r="P317" s="1765">
        <v>450</v>
      </c>
      <c r="Q317" s="1765">
        <f t="shared" si="127"/>
        <v>450</v>
      </c>
      <c r="R317" s="1591">
        <f t="shared" si="126"/>
        <v>450</v>
      </c>
      <c r="S317" s="1591"/>
      <c r="T317" s="1640">
        <v>450</v>
      </c>
      <c r="U317" s="1640">
        <v>450</v>
      </c>
      <c r="V317" s="1591"/>
      <c r="W317" s="1591"/>
      <c r="X317" s="1640">
        <v>450</v>
      </c>
      <c r="Y317" s="1640">
        <v>450</v>
      </c>
      <c r="Z317" s="1640">
        <v>450</v>
      </c>
      <c r="AA317" s="1640">
        <v>450</v>
      </c>
      <c r="AB317" s="1640"/>
      <c r="AC317" s="1629"/>
      <c r="AD317" s="1623">
        <f t="shared" si="128"/>
        <v>450</v>
      </c>
      <c r="AE317" s="1623">
        <f t="shared" si="129"/>
        <v>450</v>
      </c>
      <c r="AF317" s="1642"/>
      <c r="AG317" s="1009">
        <f t="shared" si="123"/>
        <v>0</v>
      </c>
      <c r="AH317" s="1009">
        <f t="shared" si="115"/>
        <v>1</v>
      </c>
      <c r="AI317" s="1908">
        <f t="shared" si="130"/>
        <v>1</v>
      </c>
    </row>
    <row r="318" spans="1:35" ht="74.25" hidden="1" customHeight="1" x14ac:dyDescent="0.25">
      <c r="A318" s="1608" t="s">
        <v>3332</v>
      </c>
      <c r="B318" s="1608"/>
      <c r="C318" s="1609" t="s">
        <v>1392</v>
      </c>
      <c r="D318" s="1610" t="s">
        <v>1379</v>
      </c>
      <c r="E318" s="1611" t="s">
        <v>1391</v>
      </c>
      <c r="F318" s="1610" t="s">
        <v>461</v>
      </c>
      <c r="G318" s="1610" t="s">
        <v>1390</v>
      </c>
      <c r="H318" s="1635">
        <v>351</v>
      </c>
      <c r="I318" s="1641">
        <f t="shared" si="121"/>
        <v>351</v>
      </c>
      <c r="J318" s="1744"/>
      <c r="K318" s="1744"/>
      <c r="L318" s="1744"/>
      <c r="M318" s="1744"/>
      <c r="N318" s="1759"/>
      <c r="O318" s="1633"/>
      <c r="P318" s="1765">
        <v>290</v>
      </c>
      <c r="Q318" s="1765">
        <f t="shared" si="127"/>
        <v>290</v>
      </c>
      <c r="R318" s="1591">
        <f t="shared" si="126"/>
        <v>290</v>
      </c>
      <c r="S318" s="1591"/>
      <c r="T318" s="1640">
        <v>290</v>
      </c>
      <c r="U318" s="1640">
        <v>290</v>
      </c>
      <c r="V318" s="1591"/>
      <c r="W318" s="1591"/>
      <c r="X318" s="1640">
        <v>290</v>
      </c>
      <c r="Y318" s="1640">
        <v>290</v>
      </c>
      <c r="Z318" s="1640">
        <v>290</v>
      </c>
      <c r="AA318" s="1640">
        <v>290</v>
      </c>
      <c r="AB318" s="1640"/>
      <c r="AC318" s="1629"/>
      <c r="AD318" s="1623">
        <f t="shared" si="128"/>
        <v>290</v>
      </c>
      <c r="AE318" s="1623">
        <f t="shared" si="129"/>
        <v>290</v>
      </c>
      <c r="AF318" s="1642"/>
      <c r="AG318" s="1009">
        <f t="shared" si="123"/>
        <v>0</v>
      </c>
      <c r="AH318" s="1009">
        <f t="shared" si="115"/>
        <v>1</v>
      </c>
      <c r="AI318" s="1908">
        <f t="shared" si="130"/>
        <v>1</v>
      </c>
    </row>
    <row r="319" spans="1:35" ht="82.5" hidden="1" x14ac:dyDescent="0.25">
      <c r="A319" s="1608" t="s">
        <v>3333</v>
      </c>
      <c r="B319" s="1608"/>
      <c r="C319" s="1609" t="s">
        <v>1389</v>
      </c>
      <c r="D319" s="1610" t="s">
        <v>1379</v>
      </c>
      <c r="E319" s="1611" t="s">
        <v>1388</v>
      </c>
      <c r="F319" s="1610" t="s">
        <v>461</v>
      </c>
      <c r="G319" s="1610" t="s">
        <v>1387</v>
      </c>
      <c r="H319" s="1635">
        <v>398</v>
      </c>
      <c r="I319" s="1641">
        <f t="shared" si="121"/>
        <v>398</v>
      </c>
      <c r="J319" s="1744"/>
      <c r="K319" s="1744"/>
      <c r="L319" s="1744"/>
      <c r="M319" s="1744"/>
      <c r="N319" s="1759"/>
      <c r="O319" s="1633"/>
      <c r="P319" s="1765">
        <v>330</v>
      </c>
      <c r="Q319" s="1765">
        <f t="shared" si="127"/>
        <v>330</v>
      </c>
      <c r="R319" s="1591">
        <f t="shared" si="126"/>
        <v>330</v>
      </c>
      <c r="S319" s="1591"/>
      <c r="T319" s="1640">
        <v>330</v>
      </c>
      <c r="U319" s="1640">
        <v>330</v>
      </c>
      <c r="V319" s="1591"/>
      <c r="W319" s="1591"/>
      <c r="X319" s="1640">
        <v>330</v>
      </c>
      <c r="Y319" s="1640">
        <v>330</v>
      </c>
      <c r="Z319" s="1640">
        <v>330</v>
      </c>
      <c r="AA319" s="1640">
        <v>330</v>
      </c>
      <c r="AB319" s="1640"/>
      <c r="AC319" s="1629"/>
      <c r="AD319" s="1623">
        <f t="shared" si="128"/>
        <v>330</v>
      </c>
      <c r="AE319" s="1623">
        <f t="shared" si="129"/>
        <v>330</v>
      </c>
      <c r="AF319" s="1642"/>
      <c r="AG319" s="1009">
        <f t="shared" si="123"/>
        <v>0</v>
      </c>
      <c r="AH319" s="1009">
        <f t="shared" si="115"/>
        <v>1</v>
      </c>
      <c r="AI319" s="1908">
        <f t="shared" si="130"/>
        <v>1</v>
      </c>
    </row>
    <row r="320" spans="1:35" ht="72" hidden="1" customHeight="1" x14ac:dyDescent="0.25">
      <c r="A320" s="1608" t="s">
        <v>3334</v>
      </c>
      <c r="B320" s="1608"/>
      <c r="C320" s="1609" t="s">
        <v>1386</v>
      </c>
      <c r="D320" s="1610" t="s">
        <v>1379</v>
      </c>
      <c r="E320" s="1611" t="s">
        <v>1385</v>
      </c>
      <c r="F320" s="1610" t="s">
        <v>461</v>
      </c>
      <c r="G320" s="1610" t="s">
        <v>1384</v>
      </c>
      <c r="H320" s="1635">
        <v>324</v>
      </c>
      <c r="I320" s="1641">
        <f t="shared" si="121"/>
        <v>324</v>
      </c>
      <c r="J320" s="1744"/>
      <c r="K320" s="1744"/>
      <c r="L320" s="1744"/>
      <c r="M320" s="1744"/>
      <c r="N320" s="1759"/>
      <c r="O320" s="1633"/>
      <c r="P320" s="1765">
        <v>270</v>
      </c>
      <c r="Q320" s="1765">
        <f t="shared" si="127"/>
        <v>270</v>
      </c>
      <c r="R320" s="1591">
        <f t="shared" si="126"/>
        <v>270</v>
      </c>
      <c r="S320" s="1591"/>
      <c r="T320" s="1640">
        <v>270</v>
      </c>
      <c r="U320" s="1640">
        <v>270</v>
      </c>
      <c r="V320" s="1591"/>
      <c r="W320" s="1591"/>
      <c r="X320" s="1640">
        <v>270</v>
      </c>
      <c r="Y320" s="1640">
        <v>270</v>
      </c>
      <c r="Z320" s="1640">
        <v>270</v>
      </c>
      <c r="AA320" s="1640">
        <v>270</v>
      </c>
      <c r="AB320" s="1640"/>
      <c r="AC320" s="1629"/>
      <c r="AD320" s="1623">
        <f t="shared" si="128"/>
        <v>270</v>
      </c>
      <c r="AE320" s="1623">
        <f t="shared" si="129"/>
        <v>270</v>
      </c>
      <c r="AF320" s="1642"/>
      <c r="AG320" s="1009">
        <f t="shared" si="123"/>
        <v>0</v>
      </c>
      <c r="AH320" s="1009">
        <f t="shared" si="115"/>
        <v>1</v>
      </c>
      <c r="AI320" s="1908">
        <f t="shared" si="130"/>
        <v>1</v>
      </c>
    </row>
    <row r="321" spans="1:48" ht="75" hidden="1" customHeight="1" x14ac:dyDescent="0.25">
      <c r="A321" s="1608" t="s">
        <v>3335</v>
      </c>
      <c r="B321" s="1608"/>
      <c r="C321" s="1609" t="s">
        <v>1383</v>
      </c>
      <c r="D321" s="1610" t="s">
        <v>1379</v>
      </c>
      <c r="E321" s="1611" t="s">
        <v>1382</v>
      </c>
      <c r="F321" s="1610" t="s">
        <v>461</v>
      </c>
      <c r="G321" s="1610" t="s">
        <v>1381</v>
      </c>
      <c r="H321" s="1635">
        <v>161</v>
      </c>
      <c r="I321" s="1641">
        <f t="shared" si="121"/>
        <v>161</v>
      </c>
      <c r="J321" s="1744"/>
      <c r="K321" s="1744"/>
      <c r="L321" s="1744"/>
      <c r="M321" s="1744"/>
      <c r="N321" s="1759"/>
      <c r="O321" s="1633"/>
      <c r="P321" s="1765">
        <v>130</v>
      </c>
      <c r="Q321" s="1765">
        <f t="shared" si="127"/>
        <v>130</v>
      </c>
      <c r="R321" s="1591">
        <f t="shared" si="126"/>
        <v>130</v>
      </c>
      <c r="S321" s="1591"/>
      <c r="T321" s="1640">
        <v>130</v>
      </c>
      <c r="U321" s="1640">
        <v>130</v>
      </c>
      <c r="V321" s="1591"/>
      <c r="W321" s="1591"/>
      <c r="X321" s="1640">
        <v>130</v>
      </c>
      <c r="Y321" s="1640">
        <v>130</v>
      </c>
      <c r="Z321" s="1640">
        <v>130</v>
      </c>
      <c r="AA321" s="1640">
        <v>130</v>
      </c>
      <c r="AB321" s="1640"/>
      <c r="AC321" s="1629"/>
      <c r="AD321" s="1623">
        <f t="shared" si="128"/>
        <v>130</v>
      </c>
      <c r="AE321" s="1623">
        <f t="shared" si="129"/>
        <v>130</v>
      </c>
      <c r="AF321" s="1642"/>
      <c r="AG321" s="1009">
        <f t="shared" si="123"/>
        <v>0</v>
      </c>
      <c r="AH321" s="1009">
        <f t="shared" si="115"/>
        <v>1</v>
      </c>
      <c r="AI321" s="1908">
        <f t="shared" si="130"/>
        <v>1</v>
      </c>
    </row>
    <row r="322" spans="1:48" ht="73.5" hidden="1" customHeight="1" x14ac:dyDescent="0.25">
      <c r="A322" s="1608" t="s">
        <v>3336</v>
      </c>
      <c r="B322" s="1608"/>
      <c r="C322" s="1609" t="s">
        <v>1380</v>
      </c>
      <c r="D322" s="1610" t="s">
        <v>1379</v>
      </c>
      <c r="E322" s="1611" t="s">
        <v>1378</v>
      </c>
      <c r="F322" s="1610" t="s">
        <v>461</v>
      </c>
      <c r="G322" s="1610" t="s">
        <v>1377</v>
      </c>
      <c r="H322" s="1635">
        <v>162</v>
      </c>
      <c r="I322" s="1641">
        <f t="shared" si="121"/>
        <v>162</v>
      </c>
      <c r="J322" s="1744"/>
      <c r="K322" s="1744"/>
      <c r="L322" s="1744"/>
      <c r="M322" s="1744"/>
      <c r="N322" s="1759"/>
      <c r="O322" s="1633"/>
      <c r="P322" s="1765">
        <v>130</v>
      </c>
      <c r="Q322" s="1765">
        <f t="shared" si="127"/>
        <v>130</v>
      </c>
      <c r="R322" s="1591">
        <f t="shared" si="126"/>
        <v>130</v>
      </c>
      <c r="S322" s="1591"/>
      <c r="T322" s="1640">
        <v>130</v>
      </c>
      <c r="U322" s="1640">
        <v>130</v>
      </c>
      <c r="V322" s="1591"/>
      <c r="W322" s="1591"/>
      <c r="X322" s="1640">
        <v>130</v>
      </c>
      <c r="Y322" s="1640">
        <v>130</v>
      </c>
      <c r="Z322" s="1640">
        <v>130</v>
      </c>
      <c r="AA322" s="1640">
        <v>130</v>
      </c>
      <c r="AB322" s="1640"/>
      <c r="AC322" s="1629"/>
      <c r="AD322" s="1623">
        <f t="shared" si="128"/>
        <v>130</v>
      </c>
      <c r="AE322" s="1623">
        <f t="shared" si="129"/>
        <v>130</v>
      </c>
      <c r="AF322" s="1642"/>
      <c r="AG322" s="1009">
        <f t="shared" si="123"/>
        <v>0</v>
      </c>
      <c r="AH322" s="1009">
        <f t="shared" si="115"/>
        <v>1</v>
      </c>
      <c r="AI322" s="1908">
        <f t="shared" si="130"/>
        <v>1</v>
      </c>
    </row>
    <row r="323" spans="1:48" ht="69" hidden="1" customHeight="1" x14ac:dyDescent="0.25">
      <c r="A323" s="1608" t="s">
        <v>3337</v>
      </c>
      <c r="B323" s="1608"/>
      <c r="C323" s="1609" t="s">
        <v>1376</v>
      </c>
      <c r="D323" s="1610" t="s">
        <v>1355</v>
      </c>
      <c r="E323" s="1611" t="s">
        <v>1375</v>
      </c>
      <c r="F323" s="1610" t="s">
        <v>461</v>
      </c>
      <c r="G323" s="1610" t="s">
        <v>1374</v>
      </c>
      <c r="H323" s="1635">
        <v>427</v>
      </c>
      <c r="I323" s="1641">
        <f t="shared" si="121"/>
        <v>427</v>
      </c>
      <c r="J323" s="1744"/>
      <c r="K323" s="1744"/>
      <c r="L323" s="1744"/>
      <c r="M323" s="1744"/>
      <c r="N323" s="1759"/>
      <c r="O323" s="1633"/>
      <c r="P323" s="1765">
        <v>340</v>
      </c>
      <c r="Q323" s="1765">
        <f t="shared" si="127"/>
        <v>340</v>
      </c>
      <c r="R323" s="1591">
        <f t="shared" si="126"/>
        <v>340</v>
      </c>
      <c r="S323" s="1591"/>
      <c r="T323" s="1640">
        <v>340</v>
      </c>
      <c r="U323" s="1640">
        <v>340</v>
      </c>
      <c r="V323" s="1591"/>
      <c r="W323" s="1591"/>
      <c r="X323" s="1640">
        <v>340</v>
      </c>
      <c r="Y323" s="1640">
        <v>340</v>
      </c>
      <c r="Z323" s="1640">
        <v>340</v>
      </c>
      <c r="AA323" s="1640">
        <v>340</v>
      </c>
      <c r="AB323" s="1640"/>
      <c r="AC323" s="1629"/>
      <c r="AD323" s="1623">
        <f t="shared" si="128"/>
        <v>340</v>
      </c>
      <c r="AE323" s="1623">
        <f t="shared" ref="AE323:AE331" si="131">AA323+AB323+AC323</f>
        <v>340</v>
      </c>
      <c r="AF323" s="1642"/>
      <c r="AG323" s="1009">
        <f t="shared" si="123"/>
        <v>0</v>
      </c>
      <c r="AH323" s="1009">
        <f t="shared" si="115"/>
        <v>1</v>
      </c>
      <c r="AI323" s="1908">
        <f t="shared" si="130"/>
        <v>1</v>
      </c>
    </row>
    <row r="324" spans="1:48" ht="73.5" hidden="1" customHeight="1" x14ac:dyDescent="0.25">
      <c r="A324" s="1608" t="s">
        <v>3338</v>
      </c>
      <c r="B324" s="1608" t="s">
        <v>3274</v>
      </c>
      <c r="C324" s="1609" t="s">
        <v>1373</v>
      </c>
      <c r="D324" s="1610" t="s">
        <v>1372</v>
      </c>
      <c r="E324" s="1611"/>
      <c r="F324" s="1610" t="s">
        <v>461</v>
      </c>
      <c r="G324" s="1610" t="s">
        <v>1371</v>
      </c>
      <c r="H324" s="1635">
        <v>2715</v>
      </c>
      <c r="I324" s="1641">
        <f t="shared" si="121"/>
        <v>2715</v>
      </c>
      <c r="J324" s="1744"/>
      <c r="K324" s="1744"/>
      <c r="L324" s="1744"/>
      <c r="M324" s="1744"/>
      <c r="N324" s="1759"/>
      <c r="O324" s="1633"/>
      <c r="P324" s="1765">
        <v>2200</v>
      </c>
      <c r="Q324" s="1765">
        <f t="shared" si="127"/>
        <v>2200</v>
      </c>
      <c r="R324" s="1591">
        <f t="shared" si="126"/>
        <v>2200</v>
      </c>
      <c r="S324" s="1591"/>
      <c r="T324" s="1640">
        <v>2200</v>
      </c>
      <c r="U324" s="1640">
        <v>2200</v>
      </c>
      <c r="V324" s="1591"/>
      <c r="W324" s="1591"/>
      <c r="X324" s="1640">
        <v>2200</v>
      </c>
      <c r="Y324" s="1640">
        <v>2200</v>
      </c>
      <c r="Z324" s="1640">
        <v>2010</v>
      </c>
      <c r="AA324" s="1640">
        <v>2010</v>
      </c>
      <c r="AB324" s="1640"/>
      <c r="AC324" s="1629"/>
      <c r="AD324" s="1623">
        <f t="shared" si="128"/>
        <v>2010</v>
      </c>
      <c r="AE324" s="1623">
        <f t="shared" si="131"/>
        <v>2010</v>
      </c>
      <c r="AF324" s="1642"/>
      <c r="AG324" s="1009">
        <f t="shared" si="123"/>
        <v>0</v>
      </c>
      <c r="AH324" s="1009">
        <f t="shared" si="115"/>
        <v>1</v>
      </c>
      <c r="AI324" s="1908">
        <f t="shared" si="130"/>
        <v>1</v>
      </c>
    </row>
    <row r="325" spans="1:48" ht="73.5" hidden="1" customHeight="1" x14ac:dyDescent="0.25">
      <c r="A325" s="1608" t="s">
        <v>3339</v>
      </c>
      <c r="B325" s="1608" t="s">
        <v>3275</v>
      </c>
      <c r="C325" s="1609" t="s">
        <v>1370</v>
      </c>
      <c r="D325" s="1610" t="s">
        <v>1369</v>
      </c>
      <c r="E325" s="1611"/>
      <c r="F325" s="1610" t="s">
        <v>461</v>
      </c>
      <c r="G325" s="1610" t="s">
        <v>1368</v>
      </c>
      <c r="H325" s="1635">
        <v>2307</v>
      </c>
      <c r="I325" s="1641">
        <f t="shared" si="121"/>
        <v>2307</v>
      </c>
      <c r="J325" s="1744"/>
      <c r="K325" s="1744"/>
      <c r="L325" s="1744"/>
      <c r="M325" s="1744"/>
      <c r="N325" s="1759"/>
      <c r="O325" s="1633"/>
      <c r="P325" s="1765">
        <v>1870</v>
      </c>
      <c r="Q325" s="1765">
        <f t="shared" si="127"/>
        <v>1870</v>
      </c>
      <c r="R325" s="1591">
        <f t="shared" si="126"/>
        <v>1870</v>
      </c>
      <c r="S325" s="1591"/>
      <c r="T325" s="1640">
        <v>1870</v>
      </c>
      <c r="U325" s="1640">
        <v>1870</v>
      </c>
      <c r="V325" s="1591"/>
      <c r="W325" s="1591"/>
      <c r="X325" s="1640">
        <v>1870</v>
      </c>
      <c r="Y325" s="1640">
        <v>1870</v>
      </c>
      <c r="Z325" s="1640">
        <v>1700</v>
      </c>
      <c r="AA325" s="1640">
        <v>1700</v>
      </c>
      <c r="AB325" s="1640"/>
      <c r="AC325" s="1629"/>
      <c r="AD325" s="1623">
        <f t="shared" si="128"/>
        <v>1700</v>
      </c>
      <c r="AE325" s="1623">
        <f t="shared" si="131"/>
        <v>1700</v>
      </c>
      <c r="AF325" s="1642"/>
      <c r="AG325" s="1009">
        <f t="shared" si="123"/>
        <v>0</v>
      </c>
      <c r="AH325" s="1009">
        <f t="shared" si="115"/>
        <v>1</v>
      </c>
      <c r="AI325" s="1908">
        <f t="shared" si="130"/>
        <v>1</v>
      </c>
    </row>
    <row r="326" spans="1:48" ht="66" x14ac:dyDescent="0.25">
      <c r="A326" s="1608" t="s">
        <v>3340</v>
      </c>
      <c r="B326" s="1608" t="s">
        <v>3276</v>
      </c>
      <c r="C326" s="1609" t="s">
        <v>1367</v>
      </c>
      <c r="D326" s="1610" t="s">
        <v>1366</v>
      </c>
      <c r="E326" s="1611"/>
      <c r="F326" s="1610" t="s">
        <v>290</v>
      </c>
      <c r="G326" s="1610"/>
      <c r="H326" s="1635">
        <v>37372</v>
      </c>
      <c r="I326" s="1641">
        <f t="shared" si="121"/>
        <v>37372</v>
      </c>
      <c r="J326" s="1744"/>
      <c r="K326" s="1744"/>
      <c r="L326" s="1744"/>
      <c r="M326" s="1744"/>
      <c r="N326" s="1759"/>
      <c r="O326" s="1633"/>
      <c r="P326" s="1775">
        <v>14900</v>
      </c>
      <c r="Q326" s="1775">
        <f t="shared" si="127"/>
        <v>14900</v>
      </c>
      <c r="R326" s="1591">
        <f t="shared" si="126"/>
        <v>14900</v>
      </c>
      <c r="S326" s="1591"/>
      <c r="T326" s="1643">
        <v>14900</v>
      </c>
      <c r="U326" s="1643">
        <v>14900</v>
      </c>
      <c r="V326" s="1591"/>
      <c r="W326" s="1591"/>
      <c r="X326" s="1643">
        <v>14900</v>
      </c>
      <c r="Y326" s="1643">
        <v>14900</v>
      </c>
      <c r="Z326" s="1643">
        <v>26636</v>
      </c>
      <c r="AA326" s="1643">
        <v>26636</v>
      </c>
      <c r="AB326" s="1643">
        <v>5040</v>
      </c>
      <c r="AC326" s="1629"/>
      <c r="AD326" s="1623">
        <f t="shared" si="128"/>
        <v>31676</v>
      </c>
      <c r="AE326" s="1623">
        <f t="shared" si="131"/>
        <v>31676</v>
      </c>
      <c r="AF326" s="1642"/>
      <c r="AG326" s="1009">
        <f t="shared" si="123"/>
        <v>1</v>
      </c>
      <c r="AH326" s="1009">
        <f t="shared" si="115"/>
        <v>1</v>
      </c>
      <c r="AI326" s="1908">
        <f t="shared" si="130"/>
        <v>1</v>
      </c>
    </row>
    <row r="327" spans="1:48" ht="49.5" hidden="1" x14ac:dyDescent="0.25">
      <c r="A327" s="1608" t="s">
        <v>3341</v>
      </c>
      <c r="B327" s="1608" t="s">
        <v>3277</v>
      </c>
      <c r="C327" s="1609" t="s">
        <v>1365</v>
      </c>
      <c r="D327" s="1610" t="s">
        <v>1364</v>
      </c>
      <c r="E327" s="1611"/>
      <c r="F327" s="1610" t="s">
        <v>290</v>
      </c>
      <c r="G327" s="1610"/>
      <c r="H327" s="1635">
        <v>1302</v>
      </c>
      <c r="I327" s="1641">
        <f t="shared" si="121"/>
        <v>1302</v>
      </c>
      <c r="J327" s="1744"/>
      <c r="K327" s="1744"/>
      <c r="L327" s="1744"/>
      <c r="M327" s="1744"/>
      <c r="N327" s="1759"/>
      <c r="O327" s="1633"/>
      <c r="P327" s="1765">
        <v>1790</v>
      </c>
      <c r="Q327" s="1765">
        <f t="shared" si="127"/>
        <v>1790</v>
      </c>
      <c r="R327" s="1591">
        <f t="shared" si="126"/>
        <v>1790</v>
      </c>
      <c r="S327" s="1591"/>
      <c r="T327" s="1640">
        <v>1790</v>
      </c>
      <c r="U327" s="1640">
        <v>1790</v>
      </c>
      <c r="V327" s="1591"/>
      <c r="W327" s="1591"/>
      <c r="X327" s="1640">
        <v>1790</v>
      </c>
      <c r="Y327" s="1640">
        <v>1790</v>
      </c>
      <c r="Z327" s="1640">
        <v>1100</v>
      </c>
      <c r="AA327" s="1640">
        <v>1100</v>
      </c>
      <c r="AB327" s="1640"/>
      <c r="AC327" s="1629"/>
      <c r="AD327" s="1623">
        <f t="shared" si="128"/>
        <v>1100</v>
      </c>
      <c r="AE327" s="1623">
        <f t="shared" si="131"/>
        <v>1100</v>
      </c>
      <c r="AF327" s="1642"/>
      <c r="AG327" s="1009">
        <f t="shared" si="123"/>
        <v>0</v>
      </c>
      <c r="AH327" s="1009">
        <f t="shared" si="115"/>
        <v>1</v>
      </c>
      <c r="AI327" s="1908">
        <f t="shared" si="130"/>
        <v>0</v>
      </c>
    </row>
    <row r="328" spans="1:48" ht="84.75" hidden="1" customHeight="1" x14ac:dyDescent="0.25">
      <c r="A328" s="1608" t="s">
        <v>3342</v>
      </c>
      <c r="B328" s="1608" t="s">
        <v>3278</v>
      </c>
      <c r="C328" s="1609" t="s">
        <v>1363</v>
      </c>
      <c r="D328" s="1610" t="s">
        <v>1359</v>
      </c>
      <c r="E328" s="1611"/>
      <c r="F328" s="1610" t="s">
        <v>290</v>
      </c>
      <c r="G328" s="1610"/>
      <c r="H328" s="1635">
        <v>6965</v>
      </c>
      <c r="I328" s="1641">
        <f t="shared" si="121"/>
        <v>6965</v>
      </c>
      <c r="J328" s="1744"/>
      <c r="K328" s="1744"/>
      <c r="L328" s="1744"/>
      <c r="M328" s="1744"/>
      <c r="N328" s="1759"/>
      <c r="O328" s="1633"/>
      <c r="P328" s="1775">
        <v>3390</v>
      </c>
      <c r="Q328" s="1775">
        <f t="shared" si="127"/>
        <v>3390</v>
      </c>
      <c r="R328" s="1591">
        <f t="shared" si="126"/>
        <v>3390</v>
      </c>
      <c r="S328" s="1591"/>
      <c r="T328" s="1643">
        <v>3390</v>
      </c>
      <c r="U328" s="1643">
        <v>3390</v>
      </c>
      <c r="V328" s="1591"/>
      <c r="W328" s="1591"/>
      <c r="X328" s="1643">
        <f>Y328</f>
        <v>3390</v>
      </c>
      <c r="Y328" s="1643">
        <f>U328-W328</f>
        <v>3390</v>
      </c>
      <c r="Z328" s="1643">
        <v>4553</v>
      </c>
      <c r="AA328" s="1643">
        <v>4553</v>
      </c>
      <c r="AB328" s="1643"/>
      <c r="AC328" s="1629"/>
      <c r="AD328" s="1623">
        <f t="shared" si="128"/>
        <v>4553</v>
      </c>
      <c r="AE328" s="1623">
        <f t="shared" si="131"/>
        <v>4553</v>
      </c>
      <c r="AF328" s="1644"/>
      <c r="AG328" s="1009">
        <f t="shared" si="123"/>
        <v>0</v>
      </c>
      <c r="AH328" s="1009">
        <f t="shared" si="115"/>
        <v>1</v>
      </c>
      <c r="AI328" s="1908">
        <f t="shared" si="130"/>
        <v>1</v>
      </c>
    </row>
    <row r="329" spans="1:48" ht="51.75" hidden="1" customHeight="1" x14ac:dyDescent="0.25">
      <c r="A329" s="1608" t="s">
        <v>3343</v>
      </c>
      <c r="B329" s="1608"/>
      <c r="C329" s="1609" t="s">
        <v>1362</v>
      </c>
      <c r="D329" s="1610" t="s">
        <v>1361</v>
      </c>
      <c r="E329" s="1611"/>
      <c r="F329" s="1610" t="s">
        <v>290</v>
      </c>
      <c r="G329" s="1610"/>
      <c r="H329" s="1635">
        <v>8510</v>
      </c>
      <c r="I329" s="1641">
        <f t="shared" si="121"/>
        <v>8510</v>
      </c>
      <c r="J329" s="1744"/>
      <c r="K329" s="1744"/>
      <c r="L329" s="1744"/>
      <c r="M329" s="1744"/>
      <c r="N329" s="1759">
        <v>5200</v>
      </c>
      <c r="O329" s="1633">
        <v>5200</v>
      </c>
      <c r="P329" s="1765">
        <v>5200</v>
      </c>
      <c r="Q329" s="1765">
        <f t="shared" si="127"/>
        <v>5200</v>
      </c>
      <c r="R329" s="1591">
        <f t="shared" si="126"/>
        <v>0</v>
      </c>
      <c r="S329" s="1591"/>
      <c r="T329" s="1640">
        <v>5200</v>
      </c>
      <c r="U329" s="1640">
        <v>5200</v>
      </c>
      <c r="V329" s="1591"/>
      <c r="W329" s="1591">
        <v>5200</v>
      </c>
      <c r="X329" s="1640">
        <f>Y329</f>
        <v>0</v>
      </c>
      <c r="Y329" s="1640">
        <f>U329-W329</f>
        <v>0</v>
      </c>
      <c r="Z329" s="1640">
        <v>0</v>
      </c>
      <c r="AA329" s="1640">
        <v>0</v>
      </c>
      <c r="AB329" s="1640"/>
      <c r="AC329" s="1629"/>
      <c r="AD329" s="1623">
        <f t="shared" si="128"/>
        <v>0</v>
      </c>
      <c r="AE329" s="1623">
        <f t="shared" si="131"/>
        <v>0</v>
      </c>
      <c r="AF329" s="1644"/>
      <c r="AG329" s="1009">
        <f t="shared" si="123"/>
        <v>0</v>
      </c>
      <c r="AH329" s="1009">
        <f t="shared" si="115"/>
        <v>0</v>
      </c>
      <c r="AI329" s="1908">
        <f t="shared" si="130"/>
        <v>1</v>
      </c>
    </row>
    <row r="330" spans="1:48" s="1911" customFormat="1" ht="48.75" hidden="1" customHeight="1" x14ac:dyDescent="0.25">
      <c r="A330" s="1608" t="s">
        <v>3344</v>
      </c>
      <c r="B330" s="1608" t="s">
        <v>3279</v>
      </c>
      <c r="C330" s="1645" t="s">
        <v>2414</v>
      </c>
      <c r="D330" s="1608" t="s">
        <v>1357</v>
      </c>
      <c r="E330" s="1608"/>
      <c r="F330" s="1646" t="s">
        <v>290</v>
      </c>
      <c r="G330" s="1608"/>
      <c r="H330" s="1647">
        <v>5000</v>
      </c>
      <c r="I330" s="1648">
        <v>5000</v>
      </c>
      <c r="J330" s="1622"/>
      <c r="K330" s="1622"/>
      <c r="L330" s="1622"/>
      <c r="M330" s="1622"/>
      <c r="N330" s="1648"/>
      <c r="O330" s="1648"/>
      <c r="P330" s="1648"/>
      <c r="Q330" s="1648"/>
      <c r="R330" s="1648"/>
      <c r="S330" s="1648"/>
      <c r="T330" s="1648"/>
      <c r="U330" s="1648"/>
      <c r="V330" s="1648">
        <v>4500</v>
      </c>
      <c r="W330" s="1648"/>
      <c r="X330" s="1648">
        <f>Y330</f>
        <v>4500</v>
      </c>
      <c r="Y330" s="1648">
        <f>V330+U330</f>
        <v>4500</v>
      </c>
      <c r="Z330" s="1648">
        <v>3845</v>
      </c>
      <c r="AA330" s="1648">
        <v>3845</v>
      </c>
      <c r="AB330" s="1648"/>
      <c r="AC330" s="1629"/>
      <c r="AD330" s="1623">
        <f t="shared" si="128"/>
        <v>3845</v>
      </c>
      <c r="AE330" s="1623">
        <f t="shared" si="131"/>
        <v>3845</v>
      </c>
      <c r="AF330" s="1580"/>
      <c r="AG330" s="1009">
        <f t="shared" si="123"/>
        <v>0</v>
      </c>
      <c r="AH330" s="1009">
        <f t="shared" si="115"/>
        <v>1</v>
      </c>
      <c r="AI330" s="1908">
        <f t="shared" si="130"/>
        <v>1</v>
      </c>
      <c r="AJ330" s="19"/>
      <c r="AK330" s="1531"/>
      <c r="AL330" s="1531"/>
      <c r="AM330" s="1532"/>
      <c r="AN330" s="1532"/>
      <c r="AO330" s="1532"/>
      <c r="AP330" s="1532"/>
      <c r="AQ330" s="1532"/>
      <c r="AR330" s="1532"/>
      <c r="AS330" s="1532"/>
      <c r="AT330" s="1532"/>
      <c r="AU330" s="1532"/>
      <c r="AV330" s="1532"/>
    </row>
    <row r="331" spans="1:48" ht="36.75" hidden="1" customHeight="1" x14ac:dyDescent="0.25">
      <c r="A331" s="1608" t="s">
        <v>3345</v>
      </c>
      <c r="B331" s="1608" t="s">
        <v>3280</v>
      </c>
      <c r="C331" s="1609" t="s">
        <v>2425</v>
      </c>
      <c r="D331" s="1610" t="s">
        <v>1355</v>
      </c>
      <c r="E331" s="1611"/>
      <c r="F331" s="1610" t="s">
        <v>290</v>
      </c>
      <c r="G331" s="1610"/>
      <c r="H331" s="1635">
        <f>I331</f>
        <v>9600</v>
      </c>
      <c r="I331" s="1641">
        <v>9600</v>
      </c>
      <c r="J331" s="1744"/>
      <c r="K331" s="1744"/>
      <c r="L331" s="1744"/>
      <c r="M331" s="1744"/>
      <c r="N331" s="1759"/>
      <c r="O331" s="1633"/>
      <c r="P331" s="1765"/>
      <c r="Q331" s="1765"/>
      <c r="R331" s="1591"/>
      <c r="S331" s="1591"/>
      <c r="T331" s="1640"/>
      <c r="U331" s="1640"/>
      <c r="V331" s="1591">
        <v>8600</v>
      </c>
      <c r="W331" s="1591"/>
      <c r="X331" s="1648">
        <f>Y331</f>
        <v>8600</v>
      </c>
      <c r="Y331" s="1648">
        <f>V331+U331</f>
        <v>8600</v>
      </c>
      <c r="Z331" s="1648">
        <v>9100</v>
      </c>
      <c r="AA331" s="1648">
        <v>9100</v>
      </c>
      <c r="AB331" s="1648"/>
      <c r="AC331" s="1629"/>
      <c r="AD331" s="1623">
        <f t="shared" si="128"/>
        <v>9100</v>
      </c>
      <c r="AE331" s="1623">
        <f t="shared" si="131"/>
        <v>9100</v>
      </c>
      <c r="AF331" s="1650"/>
      <c r="AG331" s="1009">
        <f t="shared" si="123"/>
        <v>0</v>
      </c>
      <c r="AH331" s="1009">
        <f t="shared" si="115"/>
        <v>1</v>
      </c>
      <c r="AI331" s="1908">
        <f t="shared" si="130"/>
        <v>1</v>
      </c>
    </row>
    <row r="332" spans="1:48" ht="69.75" hidden="1" customHeight="1" x14ac:dyDescent="0.25">
      <c r="A332" s="1608" t="s">
        <v>3346</v>
      </c>
      <c r="B332" s="1608"/>
      <c r="C332" s="1609" t="s">
        <v>2767</v>
      </c>
      <c r="D332" s="1610"/>
      <c r="E332" s="1611"/>
      <c r="F332" s="1610"/>
      <c r="G332" s="1610"/>
      <c r="H332" s="1635"/>
      <c r="I332" s="1641"/>
      <c r="J332" s="1744"/>
      <c r="K332" s="1744"/>
      <c r="L332" s="1744"/>
      <c r="M332" s="1744"/>
      <c r="N332" s="1759"/>
      <c r="O332" s="1633"/>
      <c r="P332" s="1765"/>
      <c r="Q332" s="1765"/>
      <c r="R332" s="1591"/>
      <c r="S332" s="1591"/>
      <c r="T332" s="1640"/>
      <c r="U332" s="1640"/>
      <c r="V332" s="1591"/>
      <c r="W332" s="1591"/>
      <c r="X332" s="1648"/>
      <c r="Y332" s="1648"/>
      <c r="Z332" s="1648">
        <v>466</v>
      </c>
      <c r="AA332" s="1648">
        <v>466</v>
      </c>
      <c r="AB332" s="1648"/>
      <c r="AC332" s="1648"/>
      <c r="AD332" s="1648">
        <v>466</v>
      </c>
      <c r="AE332" s="1648">
        <v>466</v>
      </c>
      <c r="AF332" s="1650"/>
      <c r="AG332" s="1009"/>
      <c r="AH332" s="1009"/>
      <c r="AI332" s="1908"/>
    </row>
    <row r="333" spans="1:48" ht="57" hidden="1" customHeight="1" x14ac:dyDescent="0.25">
      <c r="A333" s="1601" t="s">
        <v>3347</v>
      </c>
      <c r="B333" s="1601" t="s">
        <v>3347</v>
      </c>
      <c r="C333" s="1602" t="s">
        <v>2074</v>
      </c>
      <c r="D333" s="1603"/>
      <c r="E333" s="1603"/>
      <c r="F333" s="1603"/>
      <c r="G333" s="1603"/>
      <c r="H333" s="1604">
        <f>SUM(H334:H336)</f>
        <v>41817</v>
      </c>
      <c r="I333" s="1604">
        <f t="shared" ref="I333:Y333" si="132">SUM(I334:I336)</f>
        <v>41817</v>
      </c>
      <c r="J333" s="1604">
        <f t="shared" si="132"/>
        <v>0</v>
      </c>
      <c r="K333" s="1604">
        <f t="shared" si="132"/>
        <v>0</v>
      </c>
      <c r="L333" s="1604">
        <f t="shared" si="132"/>
        <v>0</v>
      </c>
      <c r="M333" s="1604">
        <f t="shared" si="132"/>
        <v>0</v>
      </c>
      <c r="N333" s="1604">
        <f t="shared" si="132"/>
        <v>0</v>
      </c>
      <c r="O333" s="1604">
        <f t="shared" si="132"/>
        <v>0</v>
      </c>
      <c r="P333" s="1604">
        <f t="shared" si="132"/>
        <v>14270</v>
      </c>
      <c r="Q333" s="1604">
        <f t="shared" si="132"/>
        <v>14270</v>
      </c>
      <c r="R333" s="1604">
        <f t="shared" si="132"/>
        <v>14270</v>
      </c>
      <c r="S333" s="1604">
        <f t="shared" si="132"/>
        <v>0</v>
      </c>
      <c r="T333" s="1604">
        <f t="shared" si="132"/>
        <v>14270</v>
      </c>
      <c r="U333" s="1604">
        <f t="shared" si="132"/>
        <v>14270</v>
      </c>
      <c r="V333" s="1604">
        <f t="shared" si="132"/>
        <v>0</v>
      </c>
      <c r="W333" s="1604">
        <f t="shared" si="132"/>
        <v>0</v>
      </c>
      <c r="X333" s="1604">
        <f t="shared" si="132"/>
        <v>14270</v>
      </c>
      <c r="Y333" s="1604">
        <f t="shared" si="132"/>
        <v>14270</v>
      </c>
      <c r="Z333" s="1604">
        <v>15016</v>
      </c>
      <c r="AA333" s="1604">
        <v>15016</v>
      </c>
      <c r="AB333" s="1604">
        <f t="shared" ref="AB333:AC333" si="133">SUM(AB334:AB336)</f>
        <v>0</v>
      </c>
      <c r="AC333" s="1604">
        <f t="shared" si="133"/>
        <v>0</v>
      </c>
      <c r="AD333" s="1604">
        <f t="shared" ref="AD333:AE333" si="134">SUM(AD334:AD336)</f>
        <v>15016</v>
      </c>
      <c r="AE333" s="1604">
        <f t="shared" si="134"/>
        <v>15016</v>
      </c>
      <c r="AF333" s="1606"/>
      <c r="AG333" s="1009">
        <f t="shared" ref="AG333:AG394" si="135">IF(AE333-AA333=0,0,1)</f>
        <v>0</v>
      </c>
      <c r="AH333" s="1009">
        <f t="shared" ref="AH333" si="136">IF(Y333=0,0,1)</f>
        <v>1</v>
      </c>
      <c r="AI333" s="1908">
        <f t="shared" si="130"/>
        <v>1</v>
      </c>
    </row>
    <row r="334" spans="1:48" ht="52.5" hidden="1" customHeight="1" x14ac:dyDescent="0.25">
      <c r="A334" s="1608" t="s">
        <v>3348</v>
      </c>
      <c r="B334" s="1608"/>
      <c r="C334" s="1609" t="s">
        <v>1360</v>
      </c>
      <c r="D334" s="1610" t="s">
        <v>1359</v>
      </c>
      <c r="E334" s="1611"/>
      <c r="F334" s="1610" t="s">
        <v>168</v>
      </c>
      <c r="G334" s="1610" t="s">
        <v>2713</v>
      </c>
      <c r="H334" s="1635">
        <v>39522</v>
      </c>
      <c r="I334" s="1641">
        <f>H334</f>
        <v>39522</v>
      </c>
      <c r="J334" s="1744"/>
      <c r="K334" s="1744"/>
      <c r="L334" s="1744"/>
      <c r="M334" s="1744"/>
      <c r="N334" s="1759"/>
      <c r="O334" s="1633"/>
      <c r="P334" s="1775">
        <v>13130</v>
      </c>
      <c r="Q334" s="1775">
        <f>P334</f>
        <v>13130</v>
      </c>
      <c r="R334" s="1591">
        <f>U334-O334</f>
        <v>13130</v>
      </c>
      <c r="S334" s="1591"/>
      <c r="T334" s="1643">
        <v>13130</v>
      </c>
      <c r="U334" s="1643">
        <v>13130</v>
      </c>
      <c r="V334" s="1591"/>
      <c r="W334" s="1591"/>
      <c r="X334" s="1643">
        <v>13130</v>
      </c>
      <c r="Y334" s="1643">
        <v>13130</v>
      </c>
      <c r="Z334" s="1643">
        <v>13130</v>
      </c>
      <c r="AA334" s="1643">
        <v>13130</v>
      </c>
      <c r="AB334" s="1643"/>
      <c r="AC334" s="1643"/>
      <c r="AD334" s="1623">
        <f t="shared" si="128"/>
        <v>13130</v>
      </c>
      <c r="AE334" s="1623">
        <f>AA334+AB334+AC334</f>
        <v>13130</v>
      </c>
      <c r="AF334" s="1642"/>
      <c r="AG334" s="1009">
        <f t="shared" si="135"/>
        <v>0</v>
      </c>
      <c r="AH334" s="1009">
        <f>IF(Y334=0,0,1)</f>
        <v>1</v>
      </c>
      <c r="AI334" s="1908">
        <f>IF(I334-Y334&gt;=0,1,0)</f>
        <v>1</v>
      </c>
    </row>
    <row r="335" spans="1:48" ht="51" hidden="1" customHeight="1" x14ac:dyDescent="0.25">
      <c r="A335" s="1608" t="s">
        <v>3349</v>
      </c>
      <c r="B335" s="1608" t="s">
        <v>3348</v>
      </c>
      <c r="C335" s="1609" t="s">
        <v>1358</v>
      </c>
      <c r="D335" s="1610" t="s">
        <v>1357</v>
      </c>
      <c r="E335" s="1611"/>
      <c r="F335" s="1610" t="s">
        <v>1354</v>
      </c>
      <c r="G335" s="1610"/>
      <c r="H335" s="1635">
        <v>978</v>
      </c>
      <c r="I335" s="1641">
        <f>H335</f>
        <v>978</v>
      </c>
      <c r="J335" s="1744"/>
      <c r="K335" s="1744"/>
      <c r="L335" s="1744"/>
      <c r="M335" s="1744"/>
      <c r="N335" s="1759"/>
      <c r="O335" s="1633"/>
      <c r="P335" s="1765">
        <v>380</v>
      </c>
      <c r="Q335" s="1765">
        <f>P335</f>
        <v>380</v>
      </c>
      <c r="R335" s="1591">
        <f>U335-O335</f>
        <v>380</v>
      </c>
      <c r="S335" s="1591"/>
      <c r="T335" s="1640">
        <v>380</v>
      </c>
      <c r="U335" s="1640">
        <v>380</v>
      </c>
      <c r="V335" s="1591"/>
      <c r="W335" s="1591"/>
      <c r="X335" s="1640">
        <v>380</v>
      </c>
      <c r="Y335" s="1640">
        <v>380</v>
      </c>
      <c r="Z335" s="1640">
        <v>796</v>
      </c>
      <c r="AA335" s="1640">
        <v>796</v>
      </c>
      <c r="AB335" s="1640"/>
      <c r="AC335" s="1640"/>
      <c r="AD335" s="1623">
        <f t="shared" si="128"/>
        <v>796</v>
      </c>
      <c r="AE335" s="1623">
        <f>AA335+AB335+AC335</f>
        <v>796</v>
      </c>
      <c r="AF335" s="1642"/>
      <c r="AG335" s="1009">
        <f t="shared" si="135"/>
        <v>0</v>
      </c>
      <c r="AH335" s="1009">
        <f>IF(Y335=0,0,1)</f>
        <v>1</v>
      </c>
      <c r="AI335" s="1908">
        <f>IF(I335-Y335&gt;=0,1,0)</f>
        <v>1</v>
      </c>
    </row>
    <row r="336" spans="1:48" ht="36.75" hidden="1" customHeight="1" x14ac:dyDescent="0.25">
      <c r="A336" s="1608" t="s">
        <v>3350</v>
      </c>
      <c r="B336" s="1608" t="s">
        <v>3349</v>
      </c>
      <c r="C336" s="1609" t="s">
        <v>1356</v>
      </c>
      <c r="D336" s="1610" t="s">
        <v>1355</v>
      </c>
      <c r="E336" s="1611"/>
      <c r="F336" s="1610" t="s">
        <v>1354</v>
      </c>
      <c r="G336" s="1610"/>
      <c r="H336" s="1635">
        <v>1317</v>
      </c>
      <c r="I336" s="1641">
        <f t="shared" ref="I336" si="137">H336</f>
        <v>1317</v>
      </c>
      <c r="J336" s="1744"/>
      <c r="K336" s="1744"/>
      <c r="L336" s="1744"/>
      <c r="M336" s="1744"/>
      <c r="N336" s="1759"/>
      <c r="O336" s="1633"/>
      <c r="P336" s="1765">
        <f>Q336</f>
        <v>760</v>
      </c>
      <c r="Q336" s="1765">
        <v>760</v>
      </c>
      <c r="R336" s="1591">
        <f t="shared" ref="R336" si="138">U336-O336</f>
        <v>760</v>
      </c>
      <c r="S336" s="1591"/>
      <c r="T336" s="1640">
        <v>760</v>
      </c>
      <c r="U336" s="1640">
        <v>760</v>
      </c>
      <c r="V336" s="1591"/>
      <c r="W336" s="1591"/>
      <c r="X336" s="1640">
        <v>760</v>
      </c>
      <c r="Y336" s="1640">
        <v>760</v>
      </c>
      <c r="Z336" s="1640">
        <v>1090</v>
      </c>
      <c r="AA336" s="1640">
        <v>1090</v>
      </c>
      <c r="AB336" s="1640"/>
      <c r="AC336" s="1640"/>
      <c r="AD336" s="1623">
        <f t="shared" si="128"/>
        <v>1090</v>
      </c>
      <c r="AE336" s="1623">
        <f>AA336+AB336+AC336</f>
        <v>1090</v>
      </c>
      <c r="AF336" s="1642"/>
      <c r="AG336" s="1009">
        <f t="shared" si="135"/>
        <v>0</v>
      </c>
      <c r="AH336" s="1009">
        <f>IF(Y336=0,0,1)</f>
        <v>1</v>
      </c>
      <c r="AI336" s="1908">
        <f>IF(I336-Y336&gt;=0,1,0)</f>
        <v>1</v>
      </c>
    </row>
    <row r="337" spans="1:36" ht="29.25" hidden="1" customHeight="1" x14ac:dyDescent="0.25">
      <c r="A337" s="1616">
        <v>4</v>
      </c>
      <c r="B337" s="1616">
        <v>4</v>
      </c>
      <c r="C337" s="1618" t="s">
        <v>1086</v>
      </c>
      <c r="D337" s="1596"/>
      <c r="E337" s="1596"/>
      <c r="F337" s="1596"/>
      <c r="G337" s="1619"/>
      <c r="H337" s="1651">
        <f>H338</f>
        <v>245746</v>
      </c>
      <c r="I337" s="1651">
        <f>I338</f>
        <v>245746</v>
      </c>
      <c r="J337" s="1651">
        <f t="shared" ref="J337:Y338" si="139">J338</f>
        <v>0</v>
      </c>
      <c r="K337" s="1651">
        <f t="shared" si="139"/>
        <v>0</v>
      </c>
      <c r="L337" s="1651">
        <f t="shared" si="139"/>
        <v>0</v>
      </c>
      <c r="M337" s="1651">
        <f t="shared" si="139"/>
        <v>0</v>
      </c>
      <c r="N337" s="1651">
        <f t="shared" si="139"/>
        <v>60000</v>
      </c>
      <c r="O337" s="1651">
        <f t="shared" si="139"/>
        <v>60000</v>
      </c>
      <c r="P337" s="1651">
        <f t="shared" si="139"/>
        <v>85000</v>
      </c>
      <c r="Q337" s="1651">
        <f t="shared" si="139"/>
        <v>85000</v>
      </c>
      <c r="R337" s="1651">
        <f t="shared" si="139"/>
        <v>50180</v>
      </c>
      <c r="S337" s="1651">
        <f t="shared" si="139"/>
        <v>25180</v>
      </c>
      <c r="T337" s="1651">
        <f t="shared" si="139"/>
        <v>85000</v>
      </c>
      <c r="U337" s="1651">
        <f t="shared" si="139"/>
        <v>85000</v>
      </c>
      <c r="V337" s="1651">
        <f t="shared" si="139"/>
        <v>77800</v>
      </c>
      <c r="W337" s="1651">
        <f t="shared" si="139"/>
        <v>0</v>
      </c>
      <c r="X337" s="1651">
        <f t="shared" si="139"/>
        <v>162800</v>
      </c>
      <c r="Y337" s="1651">
        <f t="shared" si="139"/>
        <v>162800</v>
      </c>
      <c r="Z337" s="1651">
        <v>170505</v>
      </c>
      <c r="AA337" s="1651">
        <v>170505</v>
      </c>
      <c r="AB337" s="1651"/>
      <c r="AC337" s="1652"/>
      <c r="AD337" s="1651">
        <f t="shared" ref="AD337:AE337" si="140">AD338</f>
        <v>170505</v>
      </c>
      <c r="AE337" s="1651">
        <f t="shared" si="140"/>
        <v>170505</v>
      </c>
      <c r="AF337" s="1632"/>
      <c r="AG337" s="1009">
        <f t="shared" si="135"/>
        <v>0</v>
      </c>
      <c r="AH337" s="1009">
        <f t="shared" ref="AH337:AH402" si="141">IF(Y337=0,0,1)</f>
        <v>1</v>
      </c>
      <c r="AI337" s="1908">
        <f t="shared" si="130"/>
        <v>1</v>
      </c>
      <c r="AJ337" s="1908"/>
    </row>
    <row r="338" spans="1:36" ht="37.5" hidden="1" customHeight="1" x14ac:dyDescent="0.25">
      <c r="A338" s="1600" t="s">
        <v>2920</v>
      </c>
      <c r="B338" s="1600" t="s">
        <v>2920</v>
      </c>
      <c r="C338" s="1602" t="s">
        <v>86</v>
      </c>
      <c r="D338" s="1603"/>
      <c r="E338" s="1603"/>
      <c r="F338" s="1603"/>
      <c r="G338" s="1603"/>
      <c r="H338" s="1604">
        <f>H339+H398</f>
        <v>245746</v>
      </c>
      <c r="I338" s="1604">
        <f t="shared" ref="I338:O338" si="142">I339+I398</f>
        <v>245746</v>
      </c>
      <c r="J338" s="1604">
        <f t="shared" si="142"/>
        <v>0</v>
      </c>
      <c r="K338" s="1604">
        <f t="shared" si="142"/>
        <v>0</v>
      </c>
      <c r="L338" s="1604">
        <f t="shared" si="142"/>
        <v>0</v>
      </c>
      <c r="M338" s="1604">
        <f t="shared" si="142"/>
        <v>0</v>
      </c>
      <c r="N338" s="1604">
        <f t="shared" si="142"/>
        <v>60000</v>
      </c>
      <c r="O338" s="1604">
        <f t="shared" si="142"/>
        <v>60000</v>
      </c>
      <c r="P338" s="1604">
        <f t="shared" si="139"/>
        <v>85000</v>
      </c>
      <c r="Q338" s="1604">
        <f t="shared" si="139"/>
        <v>85000</v>
      </c>
      <c r="R338" s="1604">
        <f t="shared" si="139"/>
        <v>50180</v>
      </c>
      <c r="S338" s="1604">
        <f t="shared" si="139"/>
        <v>25180</v>
      </c>
      <c r="T338" s="1604">
        <f t="shared" si="139"/>
        <v>85000</v>
      </c>
      <c r="U338" s="1604">
        <f t="shared" si="139"/>
        <v>85000</v>
      </c>
      <c r="V338" s="1604">
        <f t="shared" ref="V338:Y338" si="143">V339+V398</f>
        <v>77800</v>
      </c>
      <c r="W338" s="1604">
        <f t="shared" si="143"/>
        <v>0</v>
      </c>
      <c r="X338" s="1604">
        <f t="shared" si="143"/>
        <v>162800</v>
      </c>
      <c r="Y338" s="1604">
        <f t="shared" si="143"/>
        <v>162800</v>
      </c>
      <c r="Z338" s="1604">
        <v>170505</v>
      </c>
      <c r="AA338" s="1604">
        <v>170505</v>
      </c>
      <c r="AB338" s="1604"/>
      <c r="AC338" s="1605"/>
      <c r="AD338" s="1604">
        <f t="shared" ref="AD338:AE338" si="144">AD339+AD398</f>
        <v>170505</v>
      </c>
      <c r="AE338" s="1604">
        <f t="shared" si="144"/>
        <v>170505</v>
      </c>
      <c r="AF338" s="1606"/>
      <c r="AG338" s="1009">
        <f t="shared" si="135"/>
        <v>0</v>
      </c>
      <c r="AH338" s="1009">
        <f t="shared" si="141"/>
        <v>1</v>
      </c>
      <c r="AI338" s="1908">
        <f t="shared" si="130"/>
        <v>1</v>
      </c>
    </row>
    <row r="339" spans="1:36" ht="55.5" hidden="1" customHeight="1" x14ac:dyDescent="0.25">
      <c r="A339" s="1601" t="s">
        <v>2921</v>
      </c>
      <c r="B339" s="1601" t="s">
        <v>2921</v>
      </c>
      <c r="C339" s="1602" t="s">
        <v>88</v>
      </c>
      <c r="D339" s="1603"/>
      <c r="E339" s="1603"/>
      <c r="F339" s="1603"/>
      <c r="G339" s="1603"/>
      <c r="H339" s="1604">
        <f>SUM(H340:H397)</f>
        <v>208747</v>
      </c>
      <c r="I339" s="1604">
        <f t="shared" ref="I339:X339" si="145">SUM(I340:I397)</f>
        <v>208747</v>
      </c>
      <c r="J339" s="1604">
        <f t="shared" si="145"/>
        <v>0</v>
      </c>
      <c r="K339" s="1604">
        <f t="shared" si="145"/>
        <v>0</v>
      </c>
      <c r="L339" s="1604">
        <f t="shared" si="145"/>
        <v>0</v>
      </c>
      <c r="M339" s="1604">
        <f t="shared" si="145"/>
        <v>0</v>
      </c>
      <c r="N339" s="1604">
        <f t="shared" si="145"/>
        <v>60000</v>
      </c>
      <c r="O339" s="1604">
        <f t="shared" si="145"/>
        <v>60000</v>
      </c>
      <c r="P339" s="1604">
        <f t="shared" si="145"/>
        <v>85000</v>
      </c>
      <c r="Q339" s="1604">
        <f t="shared" si="145"/>
        <v>85000</v>
      </c>
      <c r="R339" s="1604">
        <f t="shared" si="145"/>
        <v>50180</v>
      </c>
      <c r="S339" s="1604">
        <f t="shared" si="145"/>
        <v>25180</v>
      </c>
      <c r="T339" s="1604">
        <f t="shared" si="145"/>
        <v>85000</v>
      </c>
      <c r="U339" s="1604">
        <f t="shared" si="145"/>
        <v>85000</v>
      </c>
      <c r="V339" s="1604">
        <f t="shared" si="145"/>
        <v>57800</v>
      </c>
      <c r="W339" s="1604">
        <f t="shared" si="145"/>
        <v>0</v>
      </c>
      <c r="X339" s="1604">
        <f t="shared" si="145"/>
        <v>142800</v>
      </c>
      <c r="Y339" s="1604">
        <f>SUM(Y340:Y397)</f>
        <v>142800</v>
      </c>
      <c r="Z339" s="1604">
        <v>138698</v>
      </c>
      <c r="AA339" s="1604">
        <v>138698</v>
      </c>
      <c r="AB339" s="1604"/>
      <c r="AC339" s="1605"/>
      <c r="AD339" s="1604">
        <f t="shared" ref="AD339" si="146">SUM(AD340:AD397)</f>
        <v>138698</v>
      </c>
      <c r="AE339" s="1604">
        <f>SUM(AE340:AE397)</f>
        <v>138698</v>
      </c>
      <c r="AF339" s="1606"/>
      <c r="AG339" s="1009">
        <f t="shared" si="135"/>
        <v>0</v>
      </c>
      <c r="AH339" s="1009">
        <f t="shared" si="141"/>
        <v>1</v>
      </c>
      <c r="AI339" s="1908">
        <f t="shared" si="130"/>
        <v>1</v>
      </c>
    </row>
    <row r="340" spans="1:36" ht="72.75" hidden="1" customHeight="1" x14ac:dyDescent="0.25">
      <c r="A340" s="1653" t="s">
        <v>2922</v>
      </c>
      <c r="B340" s="1653"/>
      <c r="C340" s="1635" t="s">
        <v>1067</v>
      </c>
      <c r="D340" s="1610" t="s">
        <v>1066</v>
      </c>
      <c r="E340" s="1610" t="s">
        <v>1065</v>
      </c>
      <c r="F340" s="1610" t="s">
        <v>109</v>
      </c>
      <c r="G340" s="1636" t="s">
        <v>1064</v>
      </c>
      <c r="H340" s="1622">
        <f t="shared" ref="H340:H346" si="147">I340</f>
        <v>29974</v>
      </c>
      <c r="I340" s="1613">
        <v>29974</v>
      </c>
      <c r="J340" s="1604"/>
      <c r="K340" s="1604"/>
      <c r="L340" s="1604"/>
      <c r="M340" s="1604"/>
      <c r="N340" s="1759">
        <f t="shared" ref="N340:N359" si="148">O340</f>
        <v>15000</v>
      </c>
      <c r="O340" s="1622">
        <v>15000</v>
      </c>
      <c r="P340" s="1765">
        <v>15000</v>
      </c>
      <c r="Q340" s="1765">
        <v>15000</v>
      </c>
      <c r="R340" s="1591"/>
      <c r="S340" s="1591"/>
      <c r="T340" s="1640">
        <v>15000</v>
      </c>
      <c r="U340" s="1640">
        <v>15000</v>
      </c>
      <c r="V340" s="1591"/>
      <c r="W340" s="1591"/>
      <c r="X340" s="1640">
        <v>15000</v>
      </c>
      <c r="Y340" s="1640">
        <v>15000</v>
      </c>
      <c r="Z340" s="1640">
        <v>15000</v>
      </c>
      <c r="AA340" s="1640">
        <v>15000</v>
      </c>
      <c r="AB340" s="1640"/>
      <c r="AC340" s="1640"/>
      <c r="AD340" s="1623">
        <f t="shared" ref="AD340:AD403" si="149">AE340</f>
        <v>15000</v>
      </c>
      <c r="AE340" s="1623">
        <f t="shared" ref="AE340:AE371" si="150">AA340+AB340+AC340</f>
        <v>15000</v>
      </c>
      <c r="AF340" s="1580"/>
      <c r="AG340" s="1009">
        <f t="shared" si="135"/>
        <v>0</v>
      </c>
      <c r="AH340" s="1009">
        <f t="shared" si="141"/>
        <v>1</v>
      </c>
      <c r="AI340" s="1908">
        <f t="shared" si="130"/>
        <v>1</v>
      </c>
    </row>
    <row r="341" spans="1:36" ht="70.5" hidden="1" customHeight="1" x14ac:dyDescent="0.25">
      <c r="A341" s="1653" t="s">
        <v>2923</v>
      </c>
      <c r="B341" s="1653"/>
      <c r="C341" s="1776" t="s">
        <v>1352</v>
      </c>
      <c r="D341" s="1610" t="s">
        <v>1066</v>
      </c>
      <c r="E341" s="1777" t="s">
        <v>1351</v>
      </c>
      <c r="F341" s="1653" t="s">
        <v>938</v>
      </c>
      <c r="G341" s="1610" t="s">
        <v>1350</v>
      </c>
      <c r="H341" s="1778">
        <f t="shared" si="147"/>
        <v>674</v>
      </c>
      <c r="I341" s="1613">
        <v>674</v>
      </c>
      <c r="J341" s="1744"/>
      <c r="K341" s="1744"/>
      <c r="L341" s="1744"/>
      <c r="M341" s="1744"/>
      <c r="N341" s="1759">
        <f t="shared" si="148"/>
        <v>640</v>
      </c>
      <c r="O341" s="1633">
        <v>640</v>
      </c>
      <c r="P341" s="1765">
        <v>640</v>
      </c>
      <c r="Q341" s="1765">
        <v>640</v>
      </c>
      <c r="R341" s="1591"/>
      <c r="S341" s="1591">
        <f>O341-U341</f>
        <v>110</v>
      </c>
      <c r="T341" s="1640">
        <f>U341</f>
        <v>530</v>
      </c>
      <c r="U341" s="1640">
        <v>530</v>
      </c>
      <c r="V341" s="1591"/>
      <c r="W341" s="1591"/>
      <c r="X341" s="1640">
        <f>Y341</f>
        <v>530</v>
      </c>
      <c r="Y341" s="1640">
        <v>530</v>
      </c>
      <c r="Z341" s="1640">
        <v>530</v>
      </c>
      <c r="AA341" s="1640">
        <v>530</v>
      </c>
      <c r="AB341" s="1640"/>
      <c r="AC341" s="1640"/>
      <c r="AD341" s="1623">
        <f t="shared" si="149"/>
        <v>530</v>
      </c>
      <c r="AE341" s="1623">
        <f t="shared" si="150"/>
        <v>530</v>
      </c>
      <c r="AF341" s="1580"/>
      <c r="AG341" s="1009">
        <f t="shared" si="135"/>
        <v>0</v>
      </c>
      <c r="AH341" s="1009">
        <f t="shared" si="141"/>
        <v>1</v>
      </c>
      <c r="AI341" s="1908">
        <f t="shared" si="130"/>
        <v>1</v>
      </c>
    </row>
    <row r="342" spans="1:36" ht="99" hidden="1" x14ac:dyDescent="0.25">
      <c r="A342" s="1653" t="s">
        <v>2924</v>
      </c>
      <c r="B342" s="1653"/>
      <c r="C342" s="1776" t="s">
        <v>1349</v>
      </c>
      <c r="D342" s="1610" t="s">
        <v>1066</v>
      </c>
      <c r="E342" s="1777" t="s">
        <v>1348</v>
      </c>
      <c r="F342" s="1653" t="s">
        <v>938</v>
      </c>
      <c r="G342" s="1610" t="s">
        <v>1347</v>
      </c>
      <c r="H342" s="1778">
        <f t="shared" si="147"/>
        <v>2240</v>
      </c>
      <c r="I342" s="1613">
        <v>2240</v>
      </c>
      <c r="J342" s="1604"/>
      <c r="K342" s="1604"/>
      <c r="L342" s="1604"/>
      <c r="M342" s="1604"/>
      <c r="N342" s="1759">
        <f t="shared" si="148"/>
        <v>2060</v>
      </c>
      <c r="O342" s="1633">
        <v>2060</v>
      </c>
      <c r="P342" s="1765">
        <v>2060</v>
      </c>
      <c r="Q342" s="1765">
        <v>2060</v>
      </c>
      <c r="R342" s="1591"/>
      <c r="S342" s="1591">
        <f t="shared" ref="S342:S346" si="151">O342-U342</f>
        <v>150</v>
      </c>
      <c r="T342" s="1640">
        <f t="shared" ref="T342:T392" si="152">U342</f>
        <v>1910</v>
      </c>
      <c r="U342" s="1640">
        <v>1910</v>
      </c>
      <c r="V342" s="1591"/>
      <c r="W342" s="1591"/>
      <c r="X342" s="1640">
        <f t="shared" ref="X342:X346" si="153">Y342</f>
        <v>1910</v>
      </c>
      <c r="Y342" s="1640">
        <v>1910</v>
      </c>
      <c r="Z342" s="1640">
        <v>1910</v>
      </c>
      <c r="AA342" s="1640">
        <v>1910</v>
      </c>
      <c r="AB342" s="1640"/>
      <c r="AC342" s="1640"/>
      <c r="AD342" s="1623">
        <f t="shared" si="149"/>
        <v>1910</v>
      </c>
      <c r="AE342" s="1623">
        <f t="shared" si="150"/>
        <v>1910</v>
      </c>
      <c r="AF342" s="1580"/>
      <c r="AG342" s="1009">
        <f t="shared" si="135"/>
        <v>0</v>
      </c>
      <c r="AH342" s="1009">
        <f t="shared" si="141"/>
        <v>1</v>
      </c>
      <c r="AI342" s="1908">
        <f t="shared" si="130"/>
        <v>1</v>
      </c>
    </row>
    <row r="343" spans="1:36" ht="119.25" hidden="1" customHeight="1" x14ac:dyDescent="0.25">
      <c r="A343" s="1653" t="s">
        <v>2925</v>
      </c>
      <c r="B343" s="1653"/>
      <c r="C343" s="1776" t="s">
        <v>1346</v>
      </c>
      <c r="D343" s="1610" t="s">
        <v>1066</v>
      </c>
      <c r="E343" s="1777" t="s">
        <v>1345</v>
      </c>
      <c r="F343" s="1653" t="s">
        <v>938</v>
      </c>
      <c r="G343" s="1610" t="s">
        <v>1344</v>
      </c>
      <c r="H343" s="1778">
        <f t="shared" si="147"/>
        <v>3211</v>
      </c>
      <c r="I343" s="1613">
        <v>3211</v>
      </c>
      <c r="J343" s="1747"/>
      <c r="K343" s="1779"/>
      <c r="L343" s="1747"/>
      <c r="M343" s="1747"/>
      <c r="N343" s="1759">
        <f t="shared" si="148"/>
        <v>2960</v>
      </c>
      <c r="O343" s="1633">
        <v>2960</v>
      </c>
      <c r="P343" s="1773">
        <f>Q343</f>
        <v>3060</v>
      </c>
      <c r="Q343" s="1773">
        <v>3060</v>
      </c>
      <c r="R343" s="1591"/>
      <c r="S343" s="1591">
        <f t="shared" si="151"/>
        <v>220</v>
      </c>
      <c r="T343" s="1640">
        <f t="shared" si="152"/>
        <v>2740</v>
      </c>
      <c r="U343" s="1640">
        <v>2740</v>
      </c>
      <c r="V343" s="1591"/>
      <c r="W343" s="1591"/>
      <c r="X343" s="1640">
        <f t="shared" si="153"/>
        <v>2740</v>
      </c>
      <c r="Y343" s="1640">
        <v>2740</v>
      </c>
      <c r="Z343" s="1640">
        <v>2740</v>
      </c>
      <c r="AA343" s="1640">
        <v>2740</v>
      </c>
      <c r="AB343" s="1640"/>
      <c r="AC343" s="1640"/>
      <c r="AD343" s="1623">
        <f t="shared" si="149"/>
        <v>2740</v>
      </c>
      <c r="AE343" s="1623">
        <f t="shared" si="150"/>
        <v>2740</v>
      </c>
      <c r="AF343" s="1580"/>
      <c r="AG343" s="1009">
        <f t="shared" si="135"/>
        <v>0</v>
      </c>
      <c r="AH343" s="1009">
        <f t="shared" si="141"/>
        <v>1</v>
      </c>
      <c r="AI343" s="1908">
        <f t="shared" si="130"/>
        <v>1</v>
      </c>
    </row>
    <row r="344" spans="1:36" ht="57" hidden="1" customHeight="1" x14ac:dyDescent="0.25">
      <c r="A344" s="1653" t="s">
        <v>3351</v>
      </c>
      <c r="B344" s="1653"/>
      <c r="C344" s="1776" t="s">
        <v>1343</v>
      </c>
      <c r="D344" s="1610" t="s">
        <v>1066</v>
      </c>
      <c r="E344" s="1777" t="s">
        <v>1342</v>
      </c>
      <c r="F344" s="1653" t="s">
        <v>938</v>
      </c>
      <c r="G344" s="1610" t="s">
        <v>1341</v>
      </c>
      <c r="H344" s="1778">
        <f t="shared" si="147"/>
        <v>986</v>
      </c>
      <c r="I344" s="1613">
        <v>986</v>
      </c>
      <c r="J344" s="1747"/>
      <c r="K344" s="1779"/>
      <c r="L344" s="1747"/>
      <c r="M344" s="1747"/>
      <c r="N344" s="1759">
        <f t="shared" si="148"/>
        <v>990</v>
      </c>
      <c r="O344" s="1633">
        <v>990</v>
      </c>
      <c r="P344" s="1773">
        <f>Q344</f>
        <v>900</v>
      </c>
      <c r="Q344" s="1773">
        <v>900</v>
      </c>
      <c r="R344" s="1591"/>
      <c r="S344" s="1591">
        <f t="shared" si="151"/>
        <v>160</v>
      </c>
      <c r="T344" s="1640">
        <f t="shared" si="152"/>
        <v>830</v>
      </c>
      <c r="U344" s="1640">
        <v>830</v>
      </c>
      <c r="V344" s="1591"/>
      <c r="W344" s="1591"/>
      <c r="X344" s="1640">
        <f t="shared" si="153"/>
        <v>830</v>
      </c>
      <c r="Y344" s="1640">
        <v>830</v>
      </c>
      <c r="Z344" s="1640">
        <v>830</v>
      </c>
      <c r="AA344" s="1640">
        <v>830</v>
      </c>
      <c r="AB344" s="1640"/>
      <c r="AC344" s="1640"/>
      <c r="AD344" s="1623">
        <f t="shared" si="149"/>
        <v>830</v>
      </c>
      <c r="AE344" s="1623">
        <f t="shared" si="150"/>
        <v>830</v>
      </c>
      <c r="AF344" s="1580"/>
      <c r="AG344" s="1009">
        <f t="shared" si="135"/>
        <v>0</v>
      </c>
      <c r="AH344" s="1009">
        <f t="shared" si="141"/>
        <v>1</v>
      </c>
      <c r="AI344" s="1908">
        <f t="shared" si="130"/>
        <v>1</v>
      </c>
    </row>
    <row r="345" spans="1:36" ht="122.25" hidden="1" customHeight="1" x14ac:dyDescent="0.25">
      <c r="A345" s="1653" t="s">
        <v>3352</v>
      </c>
      <c r="B345" s="1653"/>
      <c r="C345" s="1776" t="s">
        <v>1340</v>
      </c>
      <c r="D345" s="1610" t="s">
        <v>1066</v>
      </c>
      <c r="E345" s="1777" t="s">
        <v>2157</v>
      </c>
      <c r="F345" s="1653" t="s">
        <v>938</v>
      </c>
      <c r="G345" s="1610" t="s">
        <v>1338</v>
      </c>
      <c r="H345" s="1778">
        <f t="shared" si="147"/>
        <v>549</v>
      </c>
      <c r="I345" s="1613">
        <v>549</v>
      </c>
      <c r="J345" s="1604"/>
      <c r="K345" s="1604"/>
      <c r="L345" s="1604"/>
      <c r="M345" s="1604"/>
      <c r="N345" s="1759">
        <f t="shared" si="148"/>
        <v>640</v>
      </c>
      <c r="O345" s="1633">
        <v>640</v>
      </c>
      <c r="P345" s="1765">
        <f>Q345</f>
        <v>540</v>
      </c>
      <c r="Q345" s="1765">
        <v>540</v>
      </c>
      <c r="R345" s="1591"/>
      <c r="S345" s="1591">
        <f t="shared" si="151"/>
        <v>150</v>
      </c>
      <c r="T345" s="1640">
        <f t="shared" si="152"/>
        <v>490</v>
      </c>
      <c r="U345" s="1640">
        <v>490</v>
      </c>
      <c r="V345" s="1591"/>
      <c r="W345" s="1591"/>
      <c r="X345" s="1640">
        <f t="shared" si="153"/>
        <v>490</v>
      </c>
      <c r="Y345" s="1640">
        <v>490</v>
      </c>
      <c r="Z345" s="1640">
        <v>490</v>
      </c>
      <c r="AA345" s="1640">
        <v>490</v>
      </c>
      <c r="AB345" s="1640"/>
      <c r="AC345" s="1640"/>
      <c r="AD345" s="1623">
        <f t="shared" si="149"/>
        <v>490</v>
      </c>
      <c r="AE345" s="1623">
        <f t="shared" si="150"/>
        <v>490</v>
      </c>
      <c r="AF345" s="1580"/>
      <c r="AG345" s="1009">
        <f t="shared" si="135"/>
        <v>0</v>
      </c>
      <c r="AH345" s="1009">
        <f t="shared" si="141"/>
        <v>1</v>
      </c>
      <c r="AI345" s="1908">
        <f t="shared" si="130"/>
        <v>1</v>
      </c>
    </row>
    <row r="346" spans="1:36" ht="102" hidden="1" x14ac:dyDescent="0.25">
      <c r="A346" s="1653" t="s">
        <v>3353</v>
      </c>
      <c r="B346" s="1653"/>
      <c r="C346" s="1776" t="s">
        <v>1337</v>
      </c>
      <c r="D346" s="1610" t="s">
        <v>1066</v>
      </c>
      <c r="E346" s="1777" t="s">
        <v>2158</v>
      </c>
      <c r="F346" s="1610" t="s">
        <v>116</v>
      </c>
      <c r="G346" s="1610" t="s">
        <v>1335</v>
      </c>
      <c r="H346" s="1613">
        <f t="shared" si="147"/>
        <v>13812</v>
      </c>
      <c r="I346" s="1613">
        <v>13812</v>
      </c>
      <c r="J346" s="1581"/>
      <c r="K346" s="1581"/>
      <c r="L346" s="1581"/>
      <c r="M346" s="1581"/>
      <c r="N346" s="1759">
        <f t="shared" si="148"/>
        <v>13800</v>
      </c>
      <c r="O346" s="1633">
        <v>13800</v>
      </c>
      <c r="P346" s="1765">
        <f>Q346</f>
        <v>13000</v>
      </c>
      <c r="Q346" s="1765">
        <v>13000</v>
      </c>
      <c r="R346" s="1591"/>
      <c r="S346" s="1591">
        <f t="shared" si="151"/>
        <v>1480</v>
      </c>
      <c r="T346" s="1640">
        <f t="shared" si="152"/>
        <v>12320</v>
      </c>
      <c r="U346" s="1640">
        <v>12320</v>
      </c>
      <c r="V346" s="1591"/>
      <c r="W346" s="1591"/>
      <c r="X346" s="1640">
        <f t="shared" si="153"/>
        <v>12320</v>
      </c>
      <c r="Y346" s="1640">
        <v>12320</v>
      </c>
      <c r="Z346" s="1640">
        <v>12320</v>
      </c>
      <c r="AA346" s="1640">
        <v>12320</v>
      </c>
      <c r="AB346" s="1640"/>
      <c r="AC346" s="1640"/>
      <c r="AD346" s="1623">
        <f t="shared" si="149"/>
        <v>12320</v>
      </c>
      <c r="AE346" s="1623">
        <f t="shared" si="150"/>
        <v>12320</v>
      </c>
      <c r="AF346" s="1580"/>
      <c r="AG346" s="1009">
        <f t="shared" si="135"/>
        <v>0</v>
      </c>
      <c r="AH346" s="1009">
        <f t="shared" si="141"/>
        <v>1</v>
      </c>
      <c r="AI346" s="1908">
        <f t="shared" si="130"/>
        <v>1</v>
      </c>
    </row>
    <row r="347" spans="1:36" ht="69" hidden="1" customHeight="1" x14ac:dyDescent="0.25">
      <c r="A347" s="1653" t="s">
        <v>3354</v>
      </c>
      <c r="B347" s="1653"/>
      <c r="C347" s="1654" t="s">
        <v>1334</v>
      </c>
      <c r="D347" s="1610" t="s">
        <v>1066</v>
      </c>
      <c r="E347" s="1655" t="s">
        <v>1333</v>
      </c>
      <c r="F347" s="1610" t="s">
        <v>116</v>
      </c>
      <c r="G347" s="1610"/>
      <c r="H347" s="1656">
        <v>8000</v>
      </c>
      <c r="I347" s="1613">
        <f t="shared" ref="I347:I359" si="154">H347</f>
        <v>8000</v>
      </c>
      <c r="J347" s="1747"/>
      <c r="K347" s="1747"/>
      <c r="L347" s="1747"/>
      <c r="M347" s="1747"/>
      <c r="N347" s="1759">
        <f t="shared" si="148"/>
        <v>8000</v>
      </c>
      <c r="O347" s="1656">
        <v>8000</v>
      </c>
      <c r="P347" s="1773"/>
      <c r="Q347" s="1629"/>
      <c r="R347" s="1591"/>
      <c r="S347" s="1591">
        <f>O347-U347</f>
        <v>8000</v>
      </c>
      <c r="T347" s="1640"/>
      <c r="U347" s="1640"/>
      <c r="V347" s="1591"/>
      <c r="W347" s="1591"/>
      <c r="X347" s="1640"/>
      <c r="Y347" s="1640"/>
      <c r="Z347" s="1640">
        <v>0</v>
      </c>
      <c r="AA347" s="1640">
        <v>0</v>
      </c>
      <c r="AB347" s="1640"/>
      <c r="AC347" s="1640"/>
      <c r="AD347" s="1623">
        <f t="shared" si="149"/>
        <v>0</v>
      </c>
      <c r="AE347" s="1623">
        <f t="shared" si="150"/>
        <v>0</v>
      </c>
      <c r="AF347" s="1580"/>
      <c r="AG347" s="1009">
        <f t="shared" si="135"/>
        <v>0</v>
      </c>
      <c r="AH347" s="1009">
        <f t="shared" si="141"/>
        <v>0</v>
      </c>
      <c r="AI347" s="1908">
        <f t="shared" si="130"/>
        <v>1</v>
      </c>
    </row>
    <row r="348" spans="1:36" ht="36" hidden="1" customHeight="1" x14ac:dyDescent="0.25">
      <c r="A348" s="1653" t="s">
        <v>3355</v>
      </c>
      <c r="B348" s="1653"/>
      <c r="C348" s="1654" t="s">
        <v>1332</v>
      </c>
      <c r="D348" s="1610" t="s">
        <v>1066</v>
      </c>
      <c r="E348" s="1655" t="s">
        <v>1331</v>
      </c>
      <c r="F348" s="1610" t="s">
        <v>116</v>
      </c>
      <c r="G348" s="1610"/>
      <c r="H348" s="1656">
        <v>3000</v>
      </c>
      <c r="I348" s="1613">
        <f t="shared" si="154"/>
        <v>3000</v>
      </c>
      <c r="J348" s="1747"/>
      <c r="K348" s="1747"/>
      <c r="L348" s="1747"/>
      <c r="M348" s="1747"/>
      <c r="N348" s="1759">
        <f t="shared" si="148"/>
        <v>3000</v>
      </c>
      <c r="O348" s="1656">
        <v>3000</v>
      </c>
      <c r="P348" s="1773">
        <v>3000</v>
      </c>
      <c r="Q348" s="1629">
        <v>3000</v>
      </c>
      <c r="R348" s="1591"/>
      <c r="S348" s="1591">
        <f>O348-U348</f>
        <v>3000</v>
      </c>
      <c r="T348" s="1640">
        <f t="shared" si="152"/>
        <v>0</v>
      </c>
      <c r="U348" s="1640">
        <v>0</v>
      </c>
      <c r="V348" s="1591"/>
      <c r="W348" s="1591"/>
      <c r="X348" s="1640">
        <f t="shared" ref="X348:X397" si="155">Y348</f>
        <v>0</v>
      </c>
      <c r="Y348" s="1640">
        <v>0</v>
      </c>
      <c r="Z348" s="1640">
        <v>0</v>
      </c>
      <c r="AA348" s="1640">
        <v>0</v>
      </c>
      <c r="AB348" s="1640"/>
      <c r="AC348" s="1640"/>
      <c r="AD348" s="1623">
        <f t="shared" si="149"/>
        <v>0</v>
      </c>
      <c r="AE348" s="1623">
        <f t="shared" si="150"/>
        <v>0</v>
      </c>
      <c r="AF348" s="1580"/>
      <c r="AG348" s="1009">
        <f t="shared" si="135"/>
        <v>0</v>
      </c>
      <c r="AH348" s="1009">
        <f t="shared" si="141"/>
        <v>0</v>
      </c>
      <c r="AI348" s="1908">
        <f t="shared" si="130"/>
        <v>1</v>
      </c>
    </row>
    <row r="349" spans="1:36" ht="53.25" hidden="1" customHeight="1" x14ac:dyDescent="0.25">
      <c r="A349" s="1653" t="s">
        <v>3356</v>
      </c>
      <c r="B349" s="1653"/>
      <c r="C349" s="1654" t="s">
        <v>1330</v>
      </c>
      <c r="D349" s="1610" t="s">
        <v>1066</v>
      </c>
      <c r="E349" s="1655" t="s">
        <v>1329</v>
      </c>
      <c r="F349" s="1610" t="s">
        <v>116</v>
      </c>
      <c r="G349" s="1610"/>
      <c r="H349" s="1656">
        <v>1200</v>
      </c>
      <c r="I349" s="1613">
        <f t="shared" si="154"/>
        <v>1200</v>
      </c>
      <c r="J349" s="1747"/>
      <c r="K349" s="1747"/>
      <c r="L349" s="1747"/>
      <c r="M349" s="1747"/>
      <c r="N349" s="1759">
        <f t="shared" si="148"/>
        <v>1200</v>
      </c>
      <c r="O349" s="1656">
        <v>1200</v>
      </c>
      <c r="P349" s="1773"/>
      <c r="Q349" s="1629"/>
      <c r="R349" s="1591"/>
      <c r="S349" s="1591">
        <f t="shared" ref="S349:S353" si="156">O349-U349</f>
        <v>1200</v>
      </c>
      <c r="T349" s="1640">
        <f t="shared" si="152"/>
        <v>0</v>
      </c>
      <c r="U349" s="1640">
        <v>0</v>
      </c>
      <c r="V349" s="1591"/>
      <c r="W349" s="1591"/>
      <c r="X349" s="1640">
        <f t="shared" si="155"/>
        <v>0</v>
      </c>
      <c r="Y349" s="1640">
        <v>0</v>
      </c>
      <c r="Z349" s="1640">
        <v>0</v>
      </c>
      <c r="AA349" s="1640">
        <v>0</v>
      </c>
      <c r="AB349" s="1640"/>
      <c r="AC349" s="1640"/>
      <c r="AD349" s="1623">
        <f t="shared" si="149"/>
        <v>0</v>
      </c>
      <c r="AE349" s="1623">
        <f t="shared" si="150"/>
        <v>0</v>
      </c>
      <c r="AF349" s="1580"/>
      <c r="AG349" s="1009">
        <f t="shared" si="135"/>
        <v>0</v>
      </c>
      <c r="AH349" s="1009">
        <f t="shared" si="141"/>
        <v>0</v>
      </c>
      <c r="AI349" s="1908">
        <f t="shared" si="130"/>
        <v>1</v>
      </c>
    </row>
    <row r="350" spans="1:36" ht="54.75" hidden="1" customHeight="1" x14ac:dyDescent="0.25">
      <c r="A350" s="1653" t="s">
        <v>3357</v>
      </c>
      <c r="B350" s="1653"/>
      <c r="C350" s="1654" t="s">
        <v>1328</v>
      </c>
      <c r="D350" s="1610" t="s">
        <v>1066</v>
      </c>
      <c r="E350" s="1655" t="s">
        <v>1327</v>
      </c>
      <c r="F350" s="1610" t="s">
        <v>116</v>
      </c>
      <c r="G350" s="1610"/>
      <c r="H350" s="1656">
        <v>2000</v>
      </c>
      <c r="I350" s="1613">
        <f t="shared" si="154"/>
        <v>2000</v>
      </c>
      <c r="J350" s="1747"/>
      <c r="K350" s="1747"/>
      <c r="L350" s="1747"/>
      <c r="M350" s="1747"/>
      <c r="N350" s="1759">
        <f t="shared" si="148"/>
        <v>2000</v>
      </c>
      <c r="O350" s="1656">
        <v>2000</v>
      </c>
      <c r="P350" s="1773"/>
      <c r="Q350" s="1629"/>
      <c r="R350" s="1591"/>
      <c r="S350" s="1591">
        <f t="shared" si="156"/>
        <v>2000</v>
      </c>
      <c r="T350" s="1640">
        <f t="shared" si="152"/>
        <v>0</v>
      </c>
      <c r="U350" s="1640">
        <v>0</v>
      </c>
      <c r="V350" s="1591"/>
      <c r="W350" s="1591"/>
      <c r="X350" s="1640">
        <f t="shared" si="155"/>
        <v>0</v>
      </c>
      <c r="Y350" s="1640">
        <v>0</v>
      </c>
      <c r="Z350" s="1640">
        <v>0</v>
      </c>
      <c r="AA350" s="1640">
        <v>0</v>
      </c>
      <c r="AB350" s="1640"/>
      <c r="AC350" s="1640"/>
      <c r="AD350" s="1623">
        <f t="shared" si="149"/>
        <v>0</v>
      </c>
      <c r="AE350" s="1623">
        <f t="shared" si="150"/>
        <v>0</v>
      </c>
      <c r="AF350" s="1599"/>
      <c r="AG350" s="1009">
        <f t="shared" si="135"/>
        <v>0</v>
      </c>
      <c r="AH350" s="1009">
        <f t="shared" si="141"/>
        <v>0</v>
      </c>
      <c r="AI350" s="1908">
        <f t="shared" si="130"/>
        <v>1</v>
      </c>
    </row>
    <row r="351" spans="1:36" ht="53.25" hidden="1" customHeight="1" x14ac:dyDescent="0.25">
      <c r="A351" s="1653" t="s">
        <v>3358</v>
      </c>
      <c r="B351" s="1653"/>
      <c r="C351" s="1654" t="s">
        <v>1326</v>
      </c>
      <c r="D351" s="1610" t="s">
        <v>1066</v>
      </c>
      <c r="E351" s="1655" t="s">
        <v>1325</v>
      </c>
      <c r="F351" s="1610" t="s">
        <v>116</v>
      </c>
      <c r="G351" s="1610"/>
      <c r="H351" s="1656">
        <v>1400</v>
      </c>
      <c r="I351" s="1613">
        <f t="shared" si="154"/>
        <v>1400</v>
      </c>
      <c r="J351" s="1747"/>
      <c r="K351" s="1747"/>
      <c r="L351" s="1747"/>
      <c r="M351" s="1747"/>
      <c r="N351" s="1759">
        <f t="shared" si="148"/>
        <v>1400</v>
      </c>
      <c r="O351" s="1656">
        <v>1400</v>
      </c>
      <c r="P351" s="1773"/>
      <c r="Q351" s="1773"/>
      <c r="R351" s="1591"/>
      <c r="S351" s="1591">
        <f t="shared" si="156"/>
        <v>1400</v>
      </c>
      <c r="T351" s="1640">
        <f t="shared" si="152"/>
        <v>0</v>
      </c>
      <c r="U351" s="1640">
        <v>0</v>
      </c>
      <c r="V351" s="1591"/>
      <c r="W351" s="1591"/>
      <c r="X351" s="1640">
        <f t="shared" si="155"/>
        <v>0</v>
      </c>
      <c r="Y351" s="1640">
        <v>0</v>
      </c>
      <c r="Z351" s="1640">
        <v>0</v>
      </c>
      <c r="AA351" s="1640">
        <v>0</v>
      </c>
      <c r="AB351" s="1640"/>
      <c r="AC351" s="1640"/>
      <c r="AD351" s="1623">
        <f t="shared" si="149"/>
        <v>0</v>
      </c>
      <c r="AE351" s="1623">
        <f t="shared" si="150"/>
        <v>0</v>
      </c>
      <c r="AF351" s="1599"/>
      <c r="AG351" s="1009">
        <f t="shared" si="135"/>
        <v>0</v>
      </c>
      <c r="AH351" s="1009">
        <f t="shared" si="141"/>
        <v>0</v>
      </c>
      <c r="AI351" s="1908">
        <f t="shared" si="130"/>
        <v>1</v>
      </c>
    </row>
    <row r="352" spans="1:36" ht="52.5" hidden="1" customHeight="1" x14ac:dyDescent="0.25">
      <c r="A352" s="1653" t="s">
        <v>3359</v>
      </c>
      <c r="B352" s="1653"/>
      <c r="C352" s="1654" t="s">
        <v>1324</v>
      </c>
      <c r="D352" s="1610" t="s">
        <v>1066</v>
      </c>
      <c r="E352" s="1655" t="s">
        <v>1323</v>
      </c>
      <c r="F352" s="1610" t="s">
        <v>290</v>
      </c>
      <c r="G352" s="1610"/>
      <c r="H352" s="1656">
        <v>800</v>
      </c>
      <c r="I352" s="1613">
        <f t="shared" si="154"/>
        <v>800</v>
      </c>
      <c r="J352" s="1747"/>
      <c r="K352" s="1747"/>
      <c r="L352" s="1747"/>
      <c r="M352" s="1747"/>
      <c r="N352" s="1759">
        <f t="shared" si="148"/>
        <v>800</v>
      </c>
      <c r="O352" s="1656">
        <v>800</v>
      </c>
      <c r="P352" s="1773"/>
      <c r="Q352" s="1773"/>
      <c r="R352" s="1591"/>
      <c r="S352" s="1591">
        <f t="shared" si="156"/>
        <v>800</v>
      </c>
      <c r="T352" s="1640">
        <f t="shared" si="152"/>
        <v>0</v>
      </c>
      <c r="U352" s="1640">
        <v>0</v>
      </c>
      <c r="V352" s="1591"/>
      <c r="W352" s="1591"/>
      <c r="X352" s="1640">
        <f t="shared" si="155"/>
        <v>0</v>
      </c>
      <c r="Y352" s="1640">
        <v>0</v>
      </c>
      <c r="Z352" s="1640">
        <v>0</v>
      </c>
      <c r="AA352" s="1640">
        <v>0</v>
      </c>
      <c r="AB352" s="1640"/>
      <c r="AC352" s="1640"/>
      <c r="AD352" s="1623">
        <f t="shared" si="149"/>
        <v>0</v>
      </c>
      <c r="AE352" s="1623">
        <f t="shared" si="150"/>
        <v>0</v>
      </c>
      <c r="AF352" s="1599"/>
      <c r="AG352" s="1009">
        <f t="shared" si="135"/>
        <v>0</v>
      </c>
      <c r="AH352" s="1009">
        <f t="shared" si="141"/>
        <v>0</v>
      </c>
      <c r="AI352" s="1908">
        <f t="shared" si="130"/>
        <v>1</v>
      </c>
    </row>
    <row r="353" spans="1:35" ht="49.5" hidden="1" x14ac:dyDescent="0.25">
      <c r="A353" s="1653" t="s">
        <v>3360</v>
      </c>
      <c r="B353" s="1653"/>
      <c r="C353" s="1654" t="s">
        <v>1322</v>
      </c>
      <c r="D353" s="1610" t="s">
        <v>1066</v>
      </c>
      <c r="E353" s="1655" t="s">
        <v>1321</v>
      </c>
      <c r="F353" s="1610" t="s">
        <v>290</v>
      </c>
      <c r="G353" s="1610"/>
      <c r="H353" s="1656">
        <v>700</v>
      </c>
      <c r="I353" s="1613">
        <f t="shared" si="154"/>
        <v>700</v>
      </c>
      <c r="J353" s="1747"/>
      <c r="K353" s="1747"/>
      <c r="L353" s="1747"/>
      <c r="M353" s="1747"/>
      <c r="N353" s="1759">
        <f t="shared" si="148"/>
        <v>700</v>
      </c>
      <c r="O353" s="1656">
        <v>700</v>
      </c>
      <c r="P353" s="1773"/>
      <c r="Q353" s="1773"/>
      <c r="R353" s="1591"/>
      <c r="S353" s="1591">
        <f t="shared" si="156"/>
        <v>700</v>
      </c>
      <c r="T353" s="1640">
        <f t="shared" si="152"/>
        <v>0</v>
      </c>
      <c r="U353" s="1640">
        <v>0</v>
      </c>
      <c r="V353" s="1591"/>
      <c r="W353" s="1591"/>
      <c r="X353" s="1640">
        <f t="shared" si="155"/>
        <v>0</v>
      </c>
      <c r="Y353" s="1640">
        <v>0</v>
      </c>
      <c r="Z353" s="1640">
        <v>0</v>
      </c>
      <c r="AA353" s="1640">
        <v>0</v>
      </c>
      <c r="AB353" s="1640"/>
      <c r="AC353" s="1640"/>
      <c r="AD353" s="1623">
        <f t="shared" si="149"/>
        <v>0</v>
      </c>
      <c r="AE353" s="1623">
        <f t="shared" si="150"/>
        <v>0</v>
      </c>
      <c r="AF353" s="1599"/>
      <c r="AG353" s="1009">
        <f t="shared" si="135"/>
        <v>0</v>
      </c>
      <c r="AH353" s="1009">
        <f t="shared" si="141"/>
        <v>0</v>
      </c>
      <c r="AI353" s="1908">
        <f t="shared" si="130"/>
        <v>1</v>
      </c>
    </row>
    <row r="354" spans="1:35" ht="49.5" hidden="1" x14ac:dyDescent="0.25">
      <c r="A354" s="1653" t="s">
        <v>3361</v>
      </c>
      <c r="B354" s="1653" t="s">
        <v>2922</v>
      </c>
      <c r="C354" s="1654" t="s">
        <v>1320</v>
      </c>
      <c r="D354" s="1610" t="s">
        <v>1066</v>
      </c>
      <c r="E354" s="1655" t="s">
        <v>1319</v>
      </c>
      <c r="F354" s="1610" t="s">
        <v>290</v>
      </c>
      <c r="G354" s="1610"/>
      <c r="H354" s="1656">
        <v>2600</v>
      </c>
      <c r="I354" s="1613">
        <f t="shared" si="154"/>
        <v>2600</v>
      </c>
      <c r="J354" s="1747"/>
      <c r="K354" s="1747"/>
      <c r="L354" s="1747"/>
      <c r="M354" s="1747"/>
      <c r="N354" s="1759">
        <f t="shared" si="148"/>
        <v>2600</v>
      </c>
      <c r="O354" s="1656">
        <v>2600</v>
      </c>
      <c r="P354" s="1773">
        <f>Q354</f>
        <v>3200</v>
      </c>
      <c r="Q354" s="1773">
        <v>3200</v>
      </c>
      <c r="R354" s="1591"/>
      <c r="S354" s="1591">
        <f>O354-U354</f>
        <v>1600</v>
      </c>
      <c r="T354" s="1640">
        <f t="shared" si="152"/>
        <v>1000</v>
      </c>
      <c r="U354" s="1640">
        <v>1000</v>
      </c>
      <c r="V354" s="1591">
        <f>370+800-U354</f>
        <v>170</v>
      </c>
      <c r="W354" s="1591"/>
      <c r="X354" s="1640">
        <f t="shared" si="155"/>
        <v>1170</v>
      </c>
      <c r="Y354" s="1640">
        <f>V354+U354</f>
        <v>1170</v>
      </c>
      <c r="Z354" s="1640">
        <v>1113</v>
      </c>
      <c r="AA354" s="1640">
        <v>1113</v>
      </c>
      <c r="AB354" s="1640"/>
      <c r="AC354" s="1593"/>
      <c r="AD354" s="1623">
        <f t="shared" si="149"/>
        <v>1113</v>
      </c>
      <c r="AE354" s="1623">
        <f t="shared" si="150"/>
        <v>1113</v>
      </c>
      <c r="AF354" s="1580"/>
      <c r="AG354" s="1009">
        <f t="shared" si="135"/>
        <v>0</v>
      </c>
      <c r="AH354" s="1009">
        <f>IF(Y354=0,0,1)</f>
        <v>1</v>
      </c>
      <c r="AI354" s="1908">
        <f t="shared" si="130"/>
        <v>1</v>
      </c>
    </row>
    <row r="355" spans="1:35" ht="49.5" hidden="1" x14ac:dyDescent="0.25">
      <c r="A355" s="1653" t="s">
        <v>3362</v>
      </c>
      <c r="B355" s="1653"/>
      <c r="C355" s="1654" t="s">
        <v>1318</v>
      </c>
      <c r="D355" s="1610" t="s">
        <v>1066</v>
      </c>
      <c r="E355" s="1655" t="s">
        <v>1317</v>
      </c>
      <c r="F355" s="1610" t="s">
        <v>290</v>
      </c>
      <c r="G355" s="1610"/>
      <c r="H355" s="1656">
        <v>1500</v>
      </c>
      <c r="I355" s="1613">
        <f t="shared" si="154"/>
        <v>1500</v>
      </c>
      <c r="J355" s="1747"/>
      <c r="K355" s="1747"/>
      <c r="L355" s="1747"/>
      <c r="M355" s="1747"/>
      <c r="N355" s="1759">
        <f t="shared" si="148"/>
        <v>1500</v>
      </c>
      <c r="O355" s="1656">
        <v>1500</v>
      </c>
      <c r="P355" s="1773"/>
      <c r="Q355" s="1773"/>
      <c r="R355" s="1591"/>
      <c r="S355" s="1591">
        <f t="shared" ref="S355:S359" si="157">O355-U355</f>
        <v>1500</v>
      </c>
      <c r="T355" s="1640">
        <f t="shared" si="152"/>
        <v>0</v>
      </c>
      <c r="U355" s="1640">
        <v>0</v>
      </c>
      <c r="V355" s="1591"/>
      <c r="W355" s="1591"/>
      <c r="X355" s="1640">
        <f t="shared" si="155"/>
        <v>0</v>
      </c>
      <c r="Y355" s="1640">
        <v>0</v>
      </c>
      <c r="Z355" s="1640">
        <v>0</v>
      </c>
      <c r="AA355" s="1640">
        <v>0</v>
      </c>
      <c r="AB355" s="1640"/>
      <c r="AC355" s="1640"/>
      <c r="AD355" s="1623">
        <f t="shared" si="149"/>
        <v>0</v>
      </c>
      <c r="AE355" s="1623">
        <f t="shared" si="150"/>
        <v>0</v>
      </c>
      <c r="AF355" s="1599"/>
      <c r="AG355" s="1009">
        <f t="shared" si="135"/>
        <v>0</v>
      </c>
      <c r="AH355" s="1009">
        <f t="shared" si="141"/>
        <v>0</v>
      </c>
      <c r="AI355" s="1908">
        <f t="shared" si="130"/>
        <v>1</v>
      </c>
    </row>
    <row r="356" spans="1:35" ht="49.5" hidden="1" x14ac:dyDescent="0.25">
      <c r="A356" s="1653" t="s">
        <v>3363</v>
      </c>
      <c r="B356" s="1653"/>
      <c r="C356" s="1654" t="s">
        <v>1316</v>
      </c>
      <c r="D356" s="1610" t="s">
        <v>1066</v>
      </c>
      <c r="E356" s="1655" t="s">
        <v>1315</v>
      </c>
      <c r="F356" s="1610" t="s">
        <v>290</v>
      </c>
      <c r="G356" s="1610"/>
      <c r="H356" s="1656">
        <v>1000</v>
      </c>
      <c r="I356" s="1613">
        <f t="shared" si="154"/>
        <v>1000</v>
      </c>
      <c r="J356" s="1747"/>
      <c r="K356" s="1747"/>
      <c r="L356" s="1747"/>
      <c r="M356" s="1747"/>
      <c r="N356" s="1759">
        <f t="shared" si="148"/>
        <v>1000</v>
      </c>
      <c r="O356" s="1656">
        <v>1000</v>
      </c>
      <c r="P356" s="1773"/>
      <c r="Q356" s="1773"/>
      <c r="R356" s="1591"/>
      <c r="S356" s="1591">
        <f t="shared" si="157"/>
        <v>1000</v>
      </c>
      <c r="T356" s="1640">
        <f t="shared" si="152"/>
        <v>0</v>
      </c>
      <c r="U356" s="1640">
        <v>0</v>
      </c>
      <c r="V356" s="1591"/>
      <c r="W356" s="1591"/>
      <c r="X356" s="1640">
        <f t="shared" si="155"/>
        <v>0</v>
      </c>
      <c r="Y356" s="1640">
        <v>0</v>
      </c>
      <c r="Z356" s="1640">
        <v>0</v>
      </c>
      <c r="AA356" s="1640">
        <v>0</v>
      </c>
      <c r="AB356" s="1640"/>
      <c r="AC356" s="1640"/>
      <c r="AD356" s="1623">
        <f t="shared" si="149"/>
        <v>0</v>
      </c>
      <c r="AE356" s="1623">
        <f t="shared" si="150"/>
        <v>0</v>
      </c>
      <c r="AF356" s="1599"/>
      <c r="AG356" s="1009">
        <f t="shared" si="135"/>
        <v>0</v>
      </c>
      <c r="AH356" s="1009">
        <f t="shared" si="141"/>
        <v>0</v>
      </c>
      <c r="AI356" s="1908">
        <f t="shared" si="130"/>
        <v>1</v>
      </c>
    </row>
    <row r="357" spans="1:35" ht="35.25" hidden="1" customHeight="1" x14ac:dyDescent="0.25">
      <c r="A357" s="1653" t="s">
        <v>3364</v>
      </c>
      <c r="B357" s="1653"/>
      <c r="C357" s="1654" t="s">
        <v>2531</v>
      </c>
      <c r="D357" s="1610" t="s">
        <v>1066</v>
      </c>
      <c r="E357" s="1780" t="s">
        <v>1313</v>
      </c>
      <c r="F357" s="1610" t="s">
        <v>290</v>
      </c>
      <c r="G357" s="1610"/>
      <c r="H357" s="1656">
        <v>3000</v>
      </c>
      <c r="I357" s="1613">
        <v>3000</v>
      </c>
      <c r="J357" s="1747"/>
      <c r="K357" s="1747"/>
      <c r="L357" s="1747"/>
      <c r="M357" s="1747"/>
      <c r="N357" s="1759">
        <f t="shared" si="148"/>
        <v>360</v>
      </c>
      <c r="O357" s="1656">
        <v>360</v>
      </c>
      <c r="P357" s="1773"/>
      <c r="Q357" s="1773"/>
      <c r="R357" s="1591"/>
      <c r="S357" s="1591">
        <f t="shared" si="157"/>
        <v>360</v>
      </c>
      <c r="T357" s="1640">
        <f t="shared" si="152"/>
        <v>0</v>
      </c>
      <c r="U357" s="1640">
        <v>0</v>
      </c>
      <c r="V357" s="1591"/>
      <c r="W357" s="1591"/>
      <c r="X357" s="1640">
        <f t="shared" si="155"/>
        <v>0</v>
      </c>
      <c r="Y357" s="1640">
        <v>0</v>
      </c>
      <c r="Z357" s="1640">
        <v>0</v>
      </c>
      <c r="AA357" s="1640">
        <v>0</v>
      </c>
      <c r="AB357" s="1640"/>
      <c r="AC357" s="1640"/>
      <c r="AD357" s="1623">
        <f t="shared" si="149"/>
        <v>0</v>
      </c>
      <c r="AE357" s="1623">
        <f t="shared" si="150"/>
        <v>0</v>
      </c>
      <c r="AF357" s="1599"/>
      <c r="AG357" s="1009">
        <f t="shared" si="135"/>
        <v>0</v>
      </c>
      <c r="AH357" s="1009">
        <f t="shared" si="141"/>
        <v>0</v>
      </c>
      <c r="AI357" s="1908">
        <f t="shared" si="130"/>
        <v>1</v>
      </c>
    </row>
    <row r="358" spans="1:35" ht="49.5" hidden="1" x14ac:dyDescent="0.25">
      <c r="A358" s="1653" t="s">
        <v>3365</v>
      </c>
      <c r="B358" s="1653"/>
      <c r="C358" s="1654" t="s">
        <v>1312</v>
      </c>
      <c r="D358" s="1610" t="s">
        <v>1066</v>
      </c>
      <c r="E358" s="1657" t="s">
        <v>1311</v>
      </c>
      <c r="F358" s="1610" t="s">
        <v>290</v>
      </c>
      <c r="G358" s="1610"/>
      <c r="H358" s="1656">
        <v>250</v>
      </c>
      <c r="I358" s="1613">
        <f t="shared" si="154"/>
        <v>250</v>
      </c>
      <c r="J358" s="1747"/>
      <c r="K358" s="1747"/>
      <c r="L358" s="1747"/>
      <c r="M358" s="1747"/>
      <c r="N358" s="1759">
        <f t="shared" si="148"/>
        <v>250</v>
      </c>
      <c r="O358" s="1656">
        <v>250</v>
      </c>
      <c r="P358" s="1773"/>
      <c r="Q358" s="1773"/>
      <c r="R358" s="1591"/>
      <c r="S358" s="1591">
        <f t="shared" si="157"/>
        <v>250</v>
      </c>
      <c r="T358" s="1640">
        <f t="shared" si="152"/>
        <v>0</v>
      </c>
      <c r="U358" s="1640">
        <v>0</v>
      </c>
      <c r="V358" s="1591"/>
      <c r="W358" s="1591"/>
      <c r="X358" s="1640">
        <f t="shared" si="155"/>
        <v>0</v>
      </c>
      <c r="Y358" s="1640">
        <v>0</v>
      </c>
      <c r="Z358" s="1640">
        <v>0</v>
      </c>
      <c r="AA358" s="1640">
        <v>0</v>
      </c>
      <c r="AB358" s="1640"/>
      <c r="AC358" s="1640"/>
      <c r="AD358" s="1623">
        <f t="shared" si="149"/>
        <v>0</v>
      </c>
      <c r="AE358" s="1623">
        <f t="shared" si="150"/>
        <v>0</v>
      </c>
      <c r="AF358" s="1599"/>
      <c r="AG358" s="1009">
        <f t="shared" si="135"/>
        <v>0</v>
      </c>
      <c r="AH358" s="1009">
        <f t="shared" si="141"/>
        <v>0</v>
      </c>
      <c r="AI358" s="1908">
        <f t="shared" si="130"/>
        <v>1</v>
      </c>
    </row>
    <row r="359" spans="1:35" ht="35.25" hidden="1" customHeight="1" x14ac:dyDescent="0.25">
      <c r="A359" s="1653" t="s">
        <v>3366</v>
      </c>
      <c r="B359" s="1653"/>
      <c r="C359" s="1654" t="s">
        <v>1310</v>
      </c>
      <c r="D359" s="1610" t="s">
        <v>1066</v>
      </c>
      <c r="E359" s="1657"/>
      <c r="F359" s="1610" t="s">
        <v>290</v>
      </c>
      <c r="G359" s="1610"/>
      <c r="H359" s="1656">
        <v>1100</v>
      </c>
      <c r="I359" s="1613">
        <f t="shared" si="154"/>
        <v>1100</v>
      </c>
      <c r="J359" s="1747"/>
      <c r="K359" s="1747"/>
      <c r="L359" s="1747"/>
      <c r="M359" s="1747"/>
      <c r="N359" s="1759">
        <f t="shared" si="148"/>
        <v>1100</v>
      </c>
      <c r="O359" s="1656">
        <v>1100</v>
      </c>
      <c r="P359" s="1773"/>
      <c r="Q359" s="1773"/>
      <c r="R359" s="1591"/>
      <c r="S359" s="1591">
        <f t="shared" si="157"/>
        <v>1100</v>
      </c>
      <c r="T359" s="1640">
        <f t="shared" si="152"/>
        <v>0</v>
      </c>
      <c r="U359" s="1640">
        <v>0</v>
      </c>
      <c r="V359" s="1591"/>
      <c r="W359" s="1591"/>
      <c r="X359" s="1640">
        <f t="shared" si="155"/>
        <v>0</v>
      </c>
      <c r="Y359" s="1640">
        <v>0</v>
      </c>
      <c r="Z359" s="1640">
        <v>0</v>
      </c>
      <c r="AA359" s="1640">
        <v>0</v>
      </c>
      <c r="AB359" s="1640"/>
      <c r="AC359" s="1640"/>
      <c r="AD359" s="1623">
        <f t="shared" si="149"/>
        <v>0</v>
      </c>
      <c r="AE359" s="1623">
        <f t="shared" si="150"/>
        <v>0</v>
      </c>
      <c r="AF359" s="1599"/>
      <c r="AG359" s="1009">
        <f t="shared" si="135"/>
        <v>0</v>
      </c>
      <c r="AH359" s="1009">
        <f t="shared" si="141"/>
        <v>0</v>
      </c>
      <c r="AI359" s="1908">
        <f t="shared" si="130"/>
        <v>1</v>
      </c>
    </row>
    <row r="360" spans="1:35" ht="41.25" hidden="1" customHeight="1" x14ac:dyDescent="0.25">
      <c r="A360" s="1653" t="s">
        <v>3367</v>
      </c>
      <c r="B360" s="1653" t="s">
        <v>2923</v>
      </c>
      <c r="C360" s="1654" t="s">
        <v>2095</v>
      </c>
      <c r="D360" s="1610" t="s">
        <v>1066</v>
      </c>
      <c r="E360" s="1657"/>
      <c r="F360" s="1610" t="s">
        <v>290</v>
      </c>
      <c r="G360" s="1610"/>
      <c r="H360" s="1656">
        <f t="shared" ref="H360:H397" si="158">I360</f>
        <v>3490</v>
      </c>
      <c r="I360" s="1613">
        <v>3490</v>
      </c>
      <c r="J360" s="1747"/>
      <c r="K360" s="1747"/>
      <c r="L360" s="1747"/>
      <c r="M360" s="1747"/>
      <c r="N360" s="1759"/>
      <c r="O360" s="1656"/>
      <c r="P360" s="1773">
        <f t="shared" ref="P360:P369" si="159">Q360</f>
        <v>5000</v>
      </c>
      <c r="Q360" s="1773">
        <v>5000</v>
      </c>
      <c r="R360" s="1591">
        <f>U360-O360</f>
        <v>2300</v>
      </c>
      <c r="S360" s="1591"/>
      <c r="T360" s="1640">
        <f t="shared" si="152"/>
        <v>2300</v>
      </c>
      <c r="U360" s="1640">
        <v>2300</v>
      </c>
      <c r="V360" s="1591">
        <f>1450+1800-U360</f>
        <v>950</v>
      </c>
      <c r="W360" s="1591"/>
      <c r="X360" s="1640">
        <f t="shared" si="155"/>
        <v>3250</v>
      </c>
      <c r="Y360" s="1640">
        <f>V360+U360</f>
        <v>3250</v>
      </c>
      <c r="Z360" s="1640">
        <v>2587</v>
      </c>
      <c r="AA360" s="1640">
        <v>2587</v>
      </c>
      <c r="AB360" s="1640"/>
      <c r="AC360" s="1593"/>
      <c r="AD360" s="1623">
        <f t="shared" si="149"/>
        <v>2587</v>
      </c>
      <c r="AE360" s="1623">
        <f t="shared" si="150"/>
        <v>2587</v>
      </c>
      <c r="AF360" s="1580"/>
      <c r="AG360" s="1009">
        <f t="shared" si="135"/>
        <v>0</v>
      </c>
      <c r="AH360" s="1009">
        <f>IF(Y360=0,0,1)</f>
        <v>1</v>
      </c>
      <c r="AI360" s="1908">
        <f t="shared" si="130"/>
        <v>1</v>
      </c>
    </row>
    <row r="361" spans="1:35" ht="50.25" hidden="1" customHeight="1" x14ac:dyDescent="0.25">
      <c r="A361" s="1653" t="s">
        <v>3368</v>
      </c>
      <c r="B361" s="1653"/>
      <c r="C361" s="1654" t="s">
        <v>1308</v>
      </c>
      <c r="D361" s="1610" t="s">
        <v>1066</v>
      </c>
      <c r="E361" s="1657"/>
      <c r="F361" s="1610" t="s">
        <v>461</v>
      </c>
      <c r="G361" s="1610" t="s">
        <v>1307</v>
      </c>
      <c r="H361" s="1656">
        <f t="shared" si="158"/>
        <v>1094</v>
      </c>
      <c r="I361" s="1613">
        <v>1094</v>
      </c>
      <c r="J361" s="1747"/>
      <c r="K361" s="1747"/>
      <c r="L361" s="1747"/>
      <c r="M361" s="1747"/>
      <c r="N361" s="1759"/>
      <c r="O361" s="1656"/>
      <c r="P361" s="1773">
        <f t="shared" si="159"/>
        <v>1000</v>
      </c>
      <c r="Q361" s="1773">
        <v>1000</v>
      </c>
      <c r="R361" s="1591">
        <f t="shared" ref="R361:R392" si="160">U361-O361</f>
        <v>950</v>
      </c>
      <c r="S361" s="1591"/>
      <c r="T361" s="1640">
        <f t="shared" si="152"/>
        <v>950</v>
      </c>
      <c r="U361" s="1640">
        <v>950</v>
      </c>
      <c r="V361" s="1591"/>
      <c r="W361" s="1591"/>
      <c r="X361" s="1640">
        <f t="shared" si="155"/>
        <v>950</v>
      </c>
      <c r="Y361" s="1640">
        <v>950</v>
      </c>
      <c r="Z361" s="1640">
        <v>950</v>
      </c>
      <c r="AA361" s="1640">
        <v>950</v>
      </c>
      <c r="AB361" s="1640"/>
      <c r="AC361" s="1640"/>
      <c r="AD361" s="1623">
        <f t="shared" si="149"/>
        <v>950</v>
      </c>
      <c r="AE361" s="1623">
        <f t="shared" si="150"/>
        <v>950</v>
      </c>
      <c r="AF361" s="1580"/>
      <c r="AG361" s="1009">
        <f t="shared" si="135"/>
        <v>0</v>
      </c>
      <c r="AH361" s="1009">
        <f t="shared" si="141"/>
        <v>1</v>
      </c>
      <c r="AI361" s="1908">
        <f t="shared" si="130"/>
        <v>1</v>
      </c>
    </row>
    <row r="362" spans="1:35" ht="51.75" hidden="1" customHeight="1" x14ac:dyDescent="0.25">
      <c r="A362" s="1653" t="s">
        <v>3369</v>
      </c>
      <c r="B362" s="1653" t="s">
        <v>2924</v>
      </c>
      <c r="C362" s="1654" t="s">
        <v>1306</v>
      </c>
      <c r="D362" s="1610" t="s">
        <v>1066</v>
      </c>
      <c r="E362" s="1657"/>
      <c r="F362" s="1610" t="s">
        <v>461</v>
      </c>
      <c r="G362" s="1610" t="s">
        <v>1305</v>
      </c>
      <c r="H362" s="1656">
        <f t="shared" si="158"/>
        <v>1296</v>
      </c>
      <c r="I362" s="1613">
        <v>1296</v>
      </c>
      <c r="J362" s="1747"/>
      <c r="K362" s="1747"/>
      <c r="L362" s="1747"/>
      <c r="M362" s="1747"/>
      <c r="N362" s="1759"/>
      <c r="O362" s="1656"/>
      <c r="P362" s="1773">
        <f t="shared" si="159"/>
        <v>1200</v>
      </c>
      <c r="Q362" s="1773">
        <v>1200</v>
      </c>
      <c r="R362" s="1591">
        <f t="shared" si="160"/>
        <v>1140</v>
      </c>
      <c r="S362" s="1591"/>
      <c r="T362" s="1640">
        <f t="shared" si="152"/>
        <v>1140</v>
      </c>
      <c r="U362" s="1640">
        <v>1140</v>
      </c>
      <c r="V362" s="1591"/>
      <c r="W362" s="1591"/>
      <c r="X362" s="1640">
        <f t="shared" si="155"/>
        <v>1140</v>
      </c>
      <c r="Y362" s="1640">
        <v>1140</v>
      </c>
      <c r="Z362" s="1640">
        <v>1102</v>
      </c>
      <c r="AA362" s="1640">
        <v>1102</v>
      </c>
      <c r="AB362" s="1640"/>
      <c r="AC362" s="1593"/>
      <c r="AD362" s="1623">
        <f t="shared" si="149"/>
        <v>1102</v>
      </c>
      <c r="AE362" s="1623">
        <f t="shared" si="150"/>
        <v>1102</v>
      </c>
      <c r="AF362" s="1580"/>
      <c r="AG362" s="1009">
        <f t="shared" si="135"/>
        <v>0</v>
      </c>
      <c r="AH362" s="1009">
        <f t="shared" si="141"/>
        <v>1</v>
      </c>
      <c r="AI362" s="1908">
        <f t="shared" si="130"/>
        <v>1</v>
      </c>
    </row>
    <row r="363" spans="1:35" ht="52.5" hidden="1" customHeight="1" x14ac:dyDescent="0.25">
      <c r="A363" s="1653" t="s">
        <v>3370</v>
      </c>
      <c r="B363" s="1653" t="s">
        <v>2925</v>
      </c>
      <c r="C363" s="1654" t="s">
        <v>1304</v>
      </c>
      <c r="D363" s="1610" t="s">
        <v>1066</v>
      </c>
      <c r="E363" s="1657"/>
      <c r="F363" s="1610" t="s">
        <v>461</v>
      </c>
      <c r="G363" s="1610" t="s">
        <v>1303</v>
      </c>
      <c r="H363" s="1656">
        <f t="shared" si="158"/>
        <v>1710</v>
      </c>
      <c r="I363" s="1613">
        <v>1710</v>
      </c>
      <c r="J363" s="1747"/>
      <c r="K363" s="1747"/>
      <c r="L363" s="1747"/>
      <c r="M363" s="1747"/>
      <c r="N363" s="1759"/>
      <c r="O363" s="1656"/>
      <c r="P363" s="1773">
        <f t="shared" si="159"/>
        <v>1550</v>
      </c>
      <c r="Q363" s="1773">
        <v>1550</v>
      </c>
      <c r="R363" s="1591">
        <f t="shared" si="160"/>
        <v>1470</v>
      </c>
      <c r="S363" s="1591"/>
      <c r="T363" s="1640">
        <f t="shared" si="152"/>
        <v>1470</v>
      </c>
      <c r="U363" s="1640">
        <v>1470</v>
      </c>
      <c r="V363" s="1591"/>
      <c r="W363" s="1591"/>
      <c r="X363" s="1640">
        <f t="shared" si="155"/>
        <v>1470</v>
      </c>
      <c r="Y363" s="1640">
        <v>1470</v>
      </c>
      <c r="Z363" s="1640">
        <v>1397</v>
      </c>
      <c r="AA363" s="1640">
        <v>1397</v>
      </c>
      <c r="AB363" s="1640"/>
      <c r="AC363" s="1593"/>
      <c r="AD363" s="1623">
        <f t="shared" si="149"/>
        <v>1397</v>
      </c>
      <c r="AE363" s="1623">
        <f t="shared" si="150"/>
        <v>1397</v>
      </c>
      <c r="AF363" s="1580"/>
      <c r="AG363" s="1009">
        <f t="shared" si="135"/>
        <v>0</v>
      </c>
      <c r="AH363" s="1009">
        <f t="shared" si="141"/>
        <v>1</v>
      </c>
      <c r="AI363" s="1908">
        <f t="shared" si="130"/>
        <v>1</v>
      </c>
    </row>
    <row r="364" spans="1:35" ht="52.5" hidden="1" customHeight="1" x14ac:dyDescent="0.25">
      <c r="A364" s="1653" t="s">
        <v>3371</v>
      </c>
      <c r="B364" s="1653" t="s">
        <v>3351</v>
      </c>
      <c r="C364" s="1654" t="s">
        <v>1302</v>
      </c>
      <c r="D364" s="1610" t="s">
        <v>1066</v>
      </c>
      <c r="E364" s="1657"/>
      <c r="F364" s="1610" t="s">
        <v>461</v>
      </c>
      <c r="G364" s="1610" t="s">
        <v>1301</v>
      </c>
      <c r="H364" s="1656">
        <f t="shared" si="158"/>
        <v>713</v>
      </c>
      <c r="I364" s="1613">
        <v>713</v>
      </c>
      <c r="J364" s="1747"/>
      <c r="K364" s="1747"/>
      <c r="L364" s="1747"/>
      <c r="M364" s="1747"/>
      <c r="N364" s="1759"/>
      <c r="O364" s="1656"/>
      <c r="P364" s="1773">
        <f t="shared" si="159"/>
        <v>650</v>
      </c>
      <c r="Q364" s="1773">
        <v>650</v>
      </c>
      <c r="R364" s="1591">
        <f t="shared" si="160"/>
        <v>620</v>
      </c>
      <c r="S364" s="1591"/>
      <c r="T364" s="1640">
        <f t="shared" si="152"/>
        <v>620</v>
      </c>
      <c r="U364" s="1640">
        <v>620</v>
      </c>
      <c r="V364" s="1591"/>
      <c r="W364" s="1591"/>
      <c r="X364" s="1640">
        <f t="shared" si="155"/>
        <v>620</v>
      </c>
      <c r="Y364" s="1640">
        <v>620</v>
      </c>
      <c r="Z364" s="1640">
        <v>518</v>
      </c>
      <c r="AA364" s="1640">
        <v>518</v>
      </c>
      <c r="AB364" s="1640"/>
      <c r="AC364" s="1593"/>
      <c r="AD364" s="1623">
        <f t="shared" si="149"/>
        <v>518</v>
      </c>
      <c r="AE364" s="1623">
        <f t="shared" si="150"/>
        <v>518</v>
      </c>
      <c r="AF364" s="1580"/>
      <c r="AG364" s="1009">
        <f t="shared" si="135"/>
        <v>0</v>
      </c>
      <c r="AH364" s="1009">
        <f t="shared" si="141"/>
        <v>1</v>
      </c>
      <c r="AI364" s="1908">
        <f t="shared" si="130"/>
        <v>1</v>
      </c>
    </row>
    <row r="365" spans="1:35" ht="35.25" hidden="1" customHeight="1" x14ac:dyDescent="0.25">
      <c r="A365" s="1653" t="s">
        <v>3372</v>
      </c>
      <c r="B365" s="1653"/>
      <c r="C365" s="1654" t="s">
        <v>1300</v>
      </c>
      <c r="D365" s="1610" t="s">
        <v>1066</v>
      </c>
      <c r="E365" s="1657"/>
      <c r="F365" s="1610"/>
      <c r="G365" s="1610"/>
      <c r="H365" s="1656">
        <f t="shared" si="158"/>
        <v>3740.0000000000005</v>
      </c>
      <c r="I365" s="1613">
        <f>Q365*1.1</f>
        <v>3740.0000000000005</v>
      </c>
      <c r="J365" s="1747"/>
      <c r="K365" s="1747"/>
      <c r="L365" s="1747"/>
      <c r="M365" s="1747"/>
      <c r="N365" s="1759"/>
      <c r="O365" s="1656"/>
      <c r="P365" s="1773">
        <f t="shared" si="159"/>
        <v>3400</v>
      </c>
      <c r="Q365" s="1773">
        <v>3400</v>
      </c>
      <c r="R365" s="1591">
        <f t="shared" si="160"/>
        <v>0</v>
      </c>
      <c r="S365" s="1591"/>
      <c r="T365" s="1640">
        <f t="shared" si="152"/>
        <v>0</v>
      </c>
      <c r="U365" s="1640">
        <v>0</v>
      </c>
      <c r="V365" s="1591">
        <f t="shared" ref="V365:V368" si="161">Y365-S365</f>
        <v>0</v>
      </c>
      <c r="W365" s="1591"/>
      <c r="X365" s="1640">
        <f t="shared" si="155"/>
        <v>0</v>
      </c>
      <c r="Y365" s="1640">
        <v>0</v>
      </c>
      <c r="Z365" s="1640">
        <v>0</v>
      </c>
      <c r="AA365" s="1640">
        <v>0</v>
      </c>
      <c r="AB365" s="1640"/>
      <c r="AC365" s="1640"/>
      <c r="AD365" s="1623">
        <f t="shared" si="149"/>
        <v>0</v>
      </c>
      <c r="AE365" s="1623">
        <f t="shared" si="150"/>
        <v>0</v>
      </c>
      <c r="AF365" s="1580"/>
      <c r="AG365" s="1009">
        <f t="shared" si="135"/>
        <v>0</v>
      </c>
      <c r="AH365" s="1009">
        <f t="shared" si="141"/>
        <v>0</v>
      </c>
      <c r="AI365" s="1908">
        <f t="shared" si="130"/>
        <v>1</v>
      </c>
    </row>
    <row r="366" spans="1:35" ht="36" hidden="1" customHeight="1" x14ac:dyDescent="0.25">
      <c r="A366" s="1653" t="s">
        <v>3373</v>
      </c>
      <c r="B366" s="1653"/>
      <c r="C366" s="1654" t="s">
        <v>1299</v>
      </c>
      <c r="D366" s="1610" t="s">
        <v>1066</v>
      </c>
      <c r="E366" s="1657"/>
      <c r="F366" s="1610"/>
      <c r="G366" s="1610"/>
      <c r="H366" s="1656">
        <f t="shared" si="158"/>
        <v>1320</v>
      </c>
      <c r="I366" s="1613">
        <f>Q366*1.1</f>
        <v>1320</v>
      </c>
      <c r="J366" s="1747"/>
      <c r="K366" s="1747"/>
      <c r="L366" s="1747"/>
      <c r="M366" s="1747"/>
      <c r="N366" s="1759"/>
      <c r="O366" s="1656"/>
      <c r="P366" s="1773">
        <f t="shared" si="159"/>
        <v>1200</v>
      </c>
      <c r="Q366" s="1773">
        <v>1200</v>
      </c>
      <c r="R366" s="1591">
        <f t="shared" si="160"/>
        <v>0</v>
      </c>
      <c r="S366" s="1591"/>
      <c r="T366" s="1640">
        <f t="shared" si="152"/>
        <v>0</v>
      </c>
      <c r="U366" s="1640">
        <v>0</v>
      </c>
      <c r="V366" s="1591">
        <f t="shared" si="161"/>
        <v>0</v>
      </c>
      <c r="W366" s="1591"/>
      <c r="X366" s="1640">
        <f t="shared" si="155"/>
        <v>0</v>
      </c>
      <c r="Y366" s="1640">
        <v>0</v>
      </c>
      <c r="Z366" s="1640">
        <v>0</v>
      </c>
      <c r="AA366" s="1640">
        <v>0</v>
      </c>
      <c r="AB366" s="1640"/>
      <c r="AC366" s="1640"/>
      <c r="AD366" s="1623">
        <f t="shared" si="149"/>
        <v>0</v>
      </c>
      <c r="AE366" s="1623">
        <f t="shared" si="150"/>
        <v>0</v>
      </c>
      <c r="AF366" s="1580"/>
      <c r="AG366" s="1009">
        <f t="shared" si="135"/>
        <v>0</v>
      </c>
      <c r="AH366" s="1009">
        <f t="shared" si="141"/>
        <v>0</v>
      </c>
      <c r="AI366" s="1908">
        <f t="shared" si="130"/>
        <v>1</v>
      </c>
    </row>
    <row r="367" spans="1:35" ht="35.25" hidden="1" customHeight="1" x14ac:dyDescent="0.25">
      <c r="A367" s="1653" t="s">
        <v>3374</v>
      </c>
      <c r="B367" s="1653"/>
      <c r="C367" s="1654" t="s">
        <v>1297</v>
      </c>
      <c r="D367" s="1610" t="s">
        <v>1066</v>
      </c>
      <c r="E367" s="1657"/>
      <c r="F367" s="1610"/>
      <c r="G367" s="1610"/>
      <c r="H367" s="1656">
        <f t="shared" si="158"/>
        <v>1760.0000000000002</v>
      </c>
      <c r="I367" s="1613">
        <f>Q367*1.1</f>
        <v>1760.0000000000002</v>
      </c>
      <c r="J367" s="1747"/>
      <c r="K367" s="1747"/>
      <c r="L367" s="1747"/>
      <c r="M367" s="1747"/>
      <c r="N367" s="1759"/>
      <c r="O367" s="1656"/>
      <c r="P367" s="1773">
        <f t="shared" si="159"/>
        <v>1600</v>
      </c>
      <c r="Q367" s="1773">
        <v>1600</v>
      </c>
      <c r="R367" s="1591">
        <f t="shared" si="160"/>
        <v>0</v>
      </c>
      <c r="S367" s="1591"/>
      <c r="T367" s="1640">
        <f t="shared" si="152"/>
        <v>0</v>
      </c>
      <c r="U367" s="1640">
        <v>0</v>
      </c>
      <c r="V367" s="1591">
        <f t="shared" si="161"/>
        <v>0</v>
      </c>
      <c r="W367" s="1591"/>
      <c r="X367" s="1640">
        <f t="shared" si="155"/>
        <v>0</v>
      </c>
      <c r="Y367" s="1640">
        <v>0</v>
      </c>
      <c r="Z367" s="1640">
        <v>0</v>
      </c>
      <c r="AA367" s="1640">
        <v>0</v>
      </c>
      <c r="AB367" s="1640"/>
      <c r="AC367" s="1640"/>
      <c r="AD367" s="1623">
        <f t="shared" si="149"/>
        <v>0</v>
      </c>
      <c r="AE367" s="1623">
        <f t="shared" si="150"/>
        <v>0</v>
      </c>
      <c r="AF367" s="1580"/>
      <c r="AG367" s="1009">
        <f t="shared" si="135"/>
        <v>0</v>
      </c>
      <c r="AH367" s="1009">
        <f t="shared" si="141"/>
        <v>0</v>
      </c>
      <c r="AI367" s="1908">
        <f t="shared" si="130"/>
        <v>1</v>
      </c>
    </row>
    <row r="368" spans="1:35" ht="52.5" hidden="1" customHeight="1" x14ac:dyDescent="0.25">
      <c r="A368" s="1653" t="s">
        <v>3375</v>
      </c>
      <c r="B368" s="1653"/>
      <c r="C368" s="1654" t="s">
        <v>1295</v>
      </c>
      <c r="D368" s="1610" t="s">
        <v>1066</v>
      </c>
      <c r="E368" s="1657"/>
      <c r="F368" s="1610"/>
      <c r="G368" s="1610"/>
      <c r="H368" s="1656">
        <f t="shared" si="158"/>
        <v>3300.0000000000005</v>
      </c>
      <c r="I368" s="1613">
        <f>Q368*1.1</f>
        <v>3300.0000000000005</v>
      </c>
      <c r="J368" s="1747"/>
      <c r="K368" s="1747"/>
      <c r="L368" s="1747"/>
      <c r="M368" s="1747"/>
      <c r="N368" s="1759"/>
      <c r="O368" s="1656"/>
      <c r="P368" s="1773">
        <f t="shared" si="159"/>
        <v>3000</v>
      </c>
      <c r="Q368" s="1773">
        <v>3000</v>
      </c>
      <c r="R368" s="1591">
        <f t="shared" si="160"/>
        <v>0</v>
      </c>
      <c r="S368" s="1591"/>
      <c r="T368" s="1640">
        <f t="shared" si="152"/>
        <v>0</v>
      </c>
      <c r="U368" s="1640">
        <v>0</v>
      </c>
      <c r="V368" s="1591">
        <f t="shared" si="161"/>
        <v>0</v>
      </c>
      <c r="W368" s="1591"/>
      <c r="X368" s="1640">
        <f t="shared" si="155"/>
        <v>0</v>
      </c>
      <c r="Y368" s="1640">
        <v>0</v>
      </c>
      <c r="Z368" s="1640">
        <v>0</v>
      </c>
      <c r="AA368" s="1640">
        <v>0</v>
      </c>
      <c r="AB368" s="1640"/>
      <c r="AC368" s="1640"/>
      <c r="AD368" s="1623">
        <f t="shared" si="149"/>
        <v>0</v>
      </c>
      <c r="AE368" s="1623">
        <f t="shared" si="150"/>
        <v>0</v>
      </c>
      <c r="AF368" s="1580"/>
      <c r="AG368" s="1009">
        <f t="shared" si="135"/>
        <v>0</v>
      </c>
      <c r="AH368" s="1009">
        <f t="shared" si="141"/>
        <v>0</v>
      </c>
      <c r="AI368" s="1908">
        <f t="shared" ref="AI368:AI431" si="162">IF(I368-Y368&gt;=0,1,0)</f>
        <v>1</v>
      </c>
    </row>
    <row r="369" spans="1:35" ht="42" hidden="1" customHeight="1" x14ac:dyDescent="0.25">
      <c r="A369" s="1653" t="s">
        <v>3376</v>
      </c>
      <c r="B369" s="1653"/>
      <c r="C369" s="1654" t="s">
        <v>1293</v>
      </c>
      <c r="D369" s="1610" t="s">
        <v>1066</v>
      </c>
      <c r="E369" s="1657"/>
      <c r="F369" s="1610" t="s">
        <v>290</v>
      </c>
      <c r="G369" s="1610"/>
      <c r="H369" s="1656">
        <f t="shared" si="158"/>
        <v>43224</v>
      </c>
      <c r="I369" s="1613">
        <v>43224</v>
      </c>
      <c r="J369" s="1747"/>
      <c r="K369" s="1747"/>
      <c r="L369" s="1747"/>
      <c r="M369" s="1747"/>
      <c r="N369" s="1759"/>
      <c r="O369" s="1656"/>
      <c r="P369" s="1773">
        <f t="shared" si="159"/>
        <v>25000</v>
      </c>
      <c r="Q369" s="1773">
        <v>25000</v>
      </c>
      <c r="R369" s="1591">
        <f t="shared" si="160"/>
        <v>25000</v>
      </c>
      <c r="S369" s="1591"/>
      <c r="T369" s="1640">
        <f t="shared" si="152"/>
        <v>25000</v>
      </c>
      <c r="U369" s="1640">
        <v>25000</v>
      </c>
      <c r="V369" s="1591">
        <v>15000</v>
      </c>
      <c r="W369" s="1591"/>
      <c r="X369" s="1640">
        <f t="shared" si="155"/>
        <v>40000</v>
      </c>
      <c r="Y369" s="1640">
        <f>V369+U369</f>
        <v>40000</v>
      </c>
      <c r="Z369" s="1640">
        <v>40000</v>
      </c>
      <c r="AA369" s="1640">
        <v>40000</v>
      </c>
      <c r="AB369" s="1640"/>
      <c r="AC369" s="1640"/>
      <c r="AD369" s="1623">
        <f t="shared" si="149"/>
        <v>40000</v>
      </c>
      <c r="AE369" s="1623">
        <f t="shared" si="150"/>
        <v>40000</v>
      </c>
      <c r="AF369" s="1580"/>
      <c r="AG369" s="1009">
        <f t="shared" si="135"/>
        <v>0</v>
      </c>
      <c r="AH369" s="1009">
        <f t="shared" si="141"/>
        <v>1</v>
      </c>
      <c r="AI369" s="1908">
        <f t="shared" si="162"/>
        <v>1</v>
      </c>
    </row>
    <row r="370" spans="1:35" ht="39.75" hidden="1" customHeight="1" x14ac:dyDescent="0.25">
      <c r="A370" s="1653" t="s">
        <v>3377</v>
      </c>
      <c r="B370" s="1653"/>
      <c r="C370" s="1658" t="s">
        <v>1881</v>
      </c>
      <c r="D370" s="1610" t="s">
        <v>1066</v>
      </c>
      <c r="E370" s="1657"/>
      <c r="F370" s="1610" t="s">
        <v>290</v>
      </c>
      <c r="G370" s="1610"/>
      <c r="H370" s="1656">
        <f t="shared" si="158"/>
        <v>198</v>
      </c>
      <c r="I370" s="1613">
        <v>198</v>
      </c>
      <c r="J370" s="1747"/>
      <c r="K370" s="1747"/>
      <c r="L370" s="1747"/>
      <c r="M370" s="1747"/>
      <c r="N370" s="1759"/>
      <c r="O370" s="1656"/>
      <c r="P370" s="1773"/>
      <c r="Q370" s="1773"/>
      <c r="R370" s="1591">
        <f t="shared" si="160"/>
        <v>150</v>
      </c>
      <c r="S370" s="1591"/>
      <c r="T370" s="1640">
        <f t="shared" si="152"/>
        <v>150</v>
      </c>
      <c r="U370" s="1640">
        <v>150</v>
      </c>
      <c r="V370" s="1591">
        <f>100+90-U370</f>
        <v>40</v>
      </c>
      <c r="W370" s="1591"/>
      <c r="X370" s="1640">
        <f t="shared" si="155"/>
        <v>190</v>
      </c>
      <c r="Y370" s="1640">
        <f>V370+U370</f>
        <v>190</v>
      </c>
      <c r="Z370" s="1640">
        <v>190</v>
      </c>
      <c r="AA370" s="1640">
        <v>190</v>
      </c>
      <c r="AB370" s="1640"/>
      <c r="AC370" s="1593"/>
      <c r="AD370" s="1623">
        <f t="shared" si="149"/>
        <v>190</v>
      </c>
      <c r="AE370" s="1623">
        <f t="shared" si="150"/>
        <v>190</v>
      </c>
      <c r="AF370" s="1580"/>
      <c r="AG370" s="1009">
        <f t="shared" si="135"/>
        <v>0</v>
      </c>
      <c r="AH370" s="1009">
        <f t="shared" si="141"/>
        <v>1</v>
      </c>
      <c r="AI370" s="1908">
        <f t="shared" si="162"/>
        <v>1</v>
      </c>
    </row>
    <row r="371" spans="1:35" ht="56.25" hidden="1" x14ac:dyDescent="0.25">
      <c r="A371" s="1653" t="s">
        <v>3378</v>
      </c>
      <c r="B371" s="1653"/>
      <c r="C371" s="1658" t="s">
        <v>1882</v>
      </c>
      <c r="D371" s="1610" t="s">
        <v>1066</v>
      </c>
      <c r="E371" s="1657"/>
      <c r="F371" s="1610" t="s">
        <v>290</v>
      </c>
      <c r="G371" s="1610"/>
      <c r="H371" s="1656">
        <f t="shared" si="158"/>
        <v>279</v>
      </c>
      <c r="I371" s="1613">
        <v>279</v>
      </c>
      <c r="J371" s="1747"/>
      <c r="K371" s="1747"/>
      <c r="L371" s="1747"/>
      <c r="M371" s="1747"/>
      <c r="N371" s="1759"/>
      <c r="O371" s="1656"/>
      <c r="P371" s="1773"/>
      <c r="Q371" s="1773"/>
      <c r="R371" s="1591">
        <f t="shared" si="160"/>
        <v>200</v>
      </c>
      <c r="S371" s="1591"/>
      <c r="T371" s="1640">
        <f t="shared" si="152"/>
        <v>200</v>
      </c>
      <c r="U371" s="1640">
        <v>200</v>
      </c>
      <c r="V371" s="1591">
        <f>150+120-200</f>
        <v>70</v>
      </c>
      <c r="W371" s="1591"/>
      <c r="X371" s="1640">
        <f t="shared" si="155"/>
        <v>270</v>
      </c>
      <c r="Y371" s="1640">
        <f t="shared" ref="Y371:Y397" si="163">V371+U371</f>
        <v>270</v>
      </c>
      <c r="Z371" s="1640">
        <v>270</v>
      </c>
      <c r="AA371" s="1640">
        <v>270</v>
      </c>
      <c r="AB371" s="1640"/>
      <c r="AC371" s="1640"/>
      <c r="AD371" s="1623">
        <f t="shared" si="149"/>
        <v>270</v>
      </c>
      <c r="AE371" s="1623">
        <f t="shared" si="150"/>
        <v>270</v>
      </c>
      <c r="AF371" s="1580"/>
      <c r="AG371" s="1009">
        <f t="shared" si="135"/>
        <v>0</v>
      </c>
      <c r="AH371" s="1009">
        <f t="shared" si="141"/>
        <v>1</v>
      </c>
      <c r="AI371" s="1908">
        <f t="shared" si="162"/>
        <v>1</v>
      </c>
    </row>
    <row r="372" spans="1:35" ht="41.25" hidden="1" customHeight="1" x14ac:dyDescent="0.25">
      <c r="A372" s="1653" t="s">
        <v>3379</v>
      </c>
      <c r="B372" s="1653" t="s">
        <v>3352</v>
      </c>
      <c r="C372" s="1658" t="s">
        <v>1883</v>
      </c>
      <c r="D372" s="1610" t="s">
        <v>1066</v>
      </c>
      <c r="E372" s="1657"/>
      <c r="F372" s="1610" t="s">
        <v>290</v>
      </c>
      <c r="G372" s="1610"/>
      <c r="H372" s="1656">
        <f t="shared" si="158"/>
        <v>1676</v>
      </c>
      <c r="I372" s="1613">
        <v>1676</v>
      </c>
      <c r="J372" s="1747"/>
      <c r="K372" s="1747"/>
      <c r="L372" s="1747"/>
      <c r="M372" s="1747"/>
      <c r="N372" s="1759"/>
      <c r="O372" s="1656"/>
      <c r="P372" s="1773"/>
      <c r="Q372" s="1773"/>
      <c r="R372" s="1591">
        <f t="shared" si="160"/>
        <v>1300</v>
      </c>
      <c r="S372" s="1591"/>
      <c r="T372" s="1640">
        <f t="shared" si="152"/>
        <v>1300</v>
      </c>
      <c r="U372" s="1640">
        <v>1300</v>
      </c>
      <c r="V372" s="1591">
        <f>1000+540-1300</f>
        <v>240</v>
      </c>
      <c r="W372" s="1591"/>
      <c r="X372" s="1640">
        <f t="shared" si="155"/>
        <v>1540</v>
      </c>
      <c r="Y372" s="1640">
        <f t="shared" si="163"/>
        <v>1540</v>
      </c>
      <c r="Z372" s="1640">
        <v>1481</v>
      </c>
      <c r="AA372" s="1640">
        <v>1481</v>
      </c>
      <c r="AB372" s="1640"/>
      <c r="AC372" s="1593"/>
      <c r="AD372" s="1623">
        <f t="shared" si="149"/>
        <v>1481</v>
      </c>
      <c r="AE372" s="1623">
        <f t="shared" ref="AE372:AE397" si="164">AA372+AB372+AC372</f>
        <v>1481</v>
      </c>
      <c r="AF372" s="1580"/>
      <c r="AG372" s="1009">
        <f t="shared" si="135"/>
        <v>0</v>
      </c>
      <c r="AH372" s="1009">
        <f t="shared" si="141"/>
        <v>1</v>
      </c>
      <c r="AI372" s="1908">
        <f t="shared" si="162"/>
        <v>1</v>
      </c>
    </row>
    <row r="373" spans="1:35" ht="56.25" hidden="1" x14ac:dyDescent="0.25">
      <c r="A373" s="1653" t="s">
        <v>3380</v>
      </c>
      <c r="B373" s="1653" t="s">
        <v>3353</v>
      </c>
      <c r="C373" s="1458" t="s">
        <v>1884</v>
      </c>
      <c r="D373" s="1610" t="s">
        <v>1066</v>
      </c>
      <c r="E373" s="1657"/>
      <c r="F373" s="1610" t="s">
        <v>290</v>
      </c>
      <c r="G373" s="1610"/>
      <c r="H373" s="1656">
        <f t="shared" si="158"/>
        <v>968</v>
      </c>
      <c r="I373" s="1613">
        <v>968</v>
      </c>
      <c r="J373" s="1747"/>
      <c r="K373" s="1747"/>
      <c r="L373" s="1747"/>
      <c r="M373" s="1747"/>
      <c r="N373" s="1759"/>
      <c r="O373" s="1656"/>
      <c r="P373" s="1773"/>
      <c r="Q373" s="1773"/>
      <c r="R373" s="1591">
        <f t="shared" si="160"/>
        <v>650</v>
      </c>
      <c r="S373" s="1591"/>
      <c r="T373" s="1640">
        <f t="shared" si="152"/>
        <v>650</v>
      </c>
      <c r="U373" s="1640">
        <v>650</v>
      </c>
      <c r="V373" s="1591">
        <f>500+390-650</f>
        <v>240</v>
      </c>
      <c r="W373" s="1591"/>
      <c r="X373" s="1640">
        <f t="shared" si="155"/>
        <v>890</v>
      </c>
      <c r="Y373" s="1640">
        <f t="shared" si="163"/>
        <v>890</v>
      </c>
      <c r="Z373" s="1640">
        <v>858</v>
      </c>
      <c r="AA373" s="1640">
        <v>858</v>
      </c>
      <c r="AB373" s="1640"/>
      <c r="AC373" s="1593"/>
      <c r="AD373" s="1623">
        <f t="shared" si="149"/>
        <v>858</v>
      </c>
      <c r="AE373" s="1623">
        <f t="shared" si="164"/>
        <v>858</v>
      </c>
      <c r="AF373" s="1580"/>
      <c r="AG373" s="1009">
        <f t="shared" si="135"/>
        <v>0</v>
      </c>
      <c r="AH373" s="1009">
        <f t="shared" si="141"/>
        <v>1</v>
      </c>
      <c r="AI373" s="1908">
        <f t="shared" si="162"/>
        <v>1</v>
      </c>
    </row>
    <row r="374" spans="1:35" ht="93.75" hidden="1" x14ac:dyDescent="0.25">
      <c r="A374" s="1653" t="s">
        <v>3381</v>
      </c>
      <c r="B374" s="1653"/>
      <c r="C374" s="1458" t="s">
        <v>1885</v>
      </c>
      <c r="D374" s="1610" t="s">
        <v>1066</v>
      </c>
      <c r="E374" s="1657"/>
      <c r="F374" s="1610" t="s">
        <v>290</v>
      </c>
      <c r="G374" s="1610"/>
      <c r="H374" s="1656">
        <f t="shared" si="158"/>
        <v>855</v>
      </c>
      <c r="I374" s="1613">
        <v>855</v>
      </c>
      <c r="J374" s="1747"/>
      <c r="K374" s="1747"/>
      <c r="L374" s="1747"/>
      <c r="M374" s="1747"/>
      <c r="N374" s="1759"/>
      <c r="O374" s="1656"/>
      <c r="P374" s="1773"/>
      <c r="Q374" s="1773"/>
      <c r="R374" s="1591">
        <f t="shared" si="160"/>
        <v>600</v>
      </c>
      <c r="S374" s="1591"/>
      <c r="T374" s="1640">
        <f t="shared" si="152"/>
        <v>600</v>
      </c>
      <c r="U374" s="1640">
        <v>600</v>
      </c>
      <c r="V374" s="1591">
        <f>450+300-600</f>
        <v>150</v>
      </c>
      <c r="W374" s="1591"/>
      <c r="X374" s="1640">
        <f t="shared" si="155"/>
        <v>750</v>
      </c>
      <c r="Y374" s="1640">
        <f t="shared" si="163"/>
        <v>750</v>
      </c>
      <c r="Z374" s="1640">
        <v>750</v>
      </c>
      <c r="AA374" s="1640">
        <v>750</v>
      </c>
      <c r="AB374" s="1640"/>
      <c r="AC374" s="1593"/>
      <c r="AD374" s="1623">
        <f t="shared" si="149"/>
        <v>750</v>
      </c>
      <c r="AE374" s="1623">
        <f t="shared" si="164"/>
        <v>750</v>
      </c>
      <c r="AF374" s="1580"/>
      <c r="AG374" s="1009">
        <f t="shared" si="135"/>
        <v>0</v>
      </c>
      <c r="AH374" s="1009">
        <f t="shared" si="141"/>
        <v>1</v>
      </c>
      <c r="AI374" s="1908">
        <f t="shared" si="162"/>
        <v>1</v>
      </c>
    </row>
    <row r="375" spans="1:35" ht="39.75" hidden="1" customHeight="1" x14ac:dyDescent="0.25">
      <c r="A375" s="1653" t="s">
        <v>3382</v>
      </c>
      <c r="B375" s="1653"/>
      <c r="C375" s="1458" t="s">
        <v>1886</v>
      </c>
      <c r="D375" s="1610" t="s">
        <v>1066</v>
      </c>
      <c r="E375" s="1657"/>
      <c r="F375" s="1610" t="s">
        <v>290</v>
      </c>
      <c r="G375" s="1610"/>
      <c r="H375" s="1656">
        <f t="shared" si="158"/>
        <v>700</v>
      </c>
      <c r="I375" s="1613">
        <v>700</v>
      </c>
      <c r="J375" s="1747"/>
      <c r="K375" s="1747"/>
      <c r="L375" s="1747"/>
      <c r="M375" s="1747"/>
      <c r="N375" s="1759"/>
      <c r="O375" s="1656"/>
      <c r="P375" s="1773"/>
      <c r="Q375" s="1773"/>
      <c r="R375" s="1591">
        <f t="shared" si="160"/>
        <v>500</v>
      </c>
      <c r="S375" s="1591"/>
      <c r="T375" s="1640">
        <f t="shared" si="152"/>
        <v>500</v>
      </c>
      <c r="U375" s="1640">
        <v>500</v>
      </c>
      <c r="V375" s="1591">
        <f>400+200-500</f>
        <v>100</v>
      </c>
      <c r="W375" s="1591"/>
      <c r="X375" s="1640">
        <f t="shared" si="155"/>
        <v>600</v>
      </c>
      <c r="Y375" s="1640">
        <f t="shared" si="163"/>
        <v>600</v>
      </c>
      <c r="Z375" s="1640">
        <v>600</v>
      </c>
      <c r="AA375" s="1640">
        <v>600</v>
      </c>
      <c r="AB375" s="1640"/>
      <c r="AC375" s="1593"/>
      <c r="AD375" s="1623">
        <f t="shared" si="149"/>
        <v>600</v>
      </c>
      <c r="AE375" s="1623">
        <f t="shared" si="164"/>
        <v>600</v>
      </c>
      <c r="AF375" s="1580"/>
      <c r="AG375" s="1009">
        <f t="shared" si="135"/>
        <v>0</v>
      </c>
      <c r="AH375" s="1009">
        <f t="shared" si="141"/>
        <v>1</v>
      </c>
      <c r="AI375" s="1908">
        <f t="shared" si="162"/>
        <v>1</v>
      </c>
    </row>
    <row r="376" spans="1:35" ht="43.5" hidden="1" customHeight="1" x14ac:dyDescent="0.25">
      <c r="A376" s="1653" t="s">
        <v>3383</v>
      </c>
      <c r="B376" s="1653"/>
      <c r="C376" s="1458" t="s">
        <v>1887</v>
      </c>
      <c r="D376" s="1610" t="s">
        <v>1066</v>
      </c>
      <c r="E376" s="1657"/>
      <c r="F376" s="1610" t="s">
        <v>290</v>
      </c>
      <c r="G376" s="1610"/>
      <c r="H376" s="1656">
        <f t="shared" si="158"/>
        <v>776</v>
      </c>
      <c r="I376" s="1613">
        <v>776</v>
      </c>
      <c r="J376" s="1747"/>
      <c r="K376" s="1747"/>
      <c r="L376" s="1747"/>
      <c r="M376" s="1747"/>
      <c r="N376" s="1759"/>
      <c r="O376" s="1656"/>
      <c r="P376" s="1773"/>
      <c r="Q376" s="1773"/>
      <c r="R376" s="1591">
        <f t="shared" si="160"/>
        <v>550</v>
      </c>
      <c r="S376" s="1591"/>
      <c r="T376" s="1640">
        <f t="shared" si="152"/>
        <v>550</v>
      </c>
      <c r="U376" s="1640">
        <v>550</v>
      </c>
      <c r="V376" s="1591">
        <f>400+280-550</f>
        <v>130</v>
      </c>
      <c r="W376" s="1591"/>
      <c r="X376" s="1640">
        <f t="shared" si="155"/>
        <v>680</v>
      </c>
      <c r="Y376" s="1640">
        <f t="shared" si="163"/>
        <v>680</v>
      </c>
      <c r="Z376" s="1640">
        <v>680</v>
      </c>
      <c r="AA376" s="1640">
        <v>680</v>
      </c>
      <c r="AB376" s="1640"/>
      <c r="AC376" s="1593"/>
      <c r="AD376" s="1623">
        <f t="shared" si="149"/>
        <v>680</v>
      </c>
      <c r="AE376" s="1623">
        <f t="shared" si="164"/>
        <v>680</v>
      </c>
      <c r="AF376" s="1580"/>
      <c r="AG376" s="1009">
        <f t="shared" si="135"/>
        <v>0</v>
      </c>
      <c r="AH376" s="1009">
        <f t="shared" si="141"/>
        <v>1</v>
      </c>
      <c r="AI376" s="1908">
        <f t="shared" si="162"/>
        <v>1</v>
      </c>
    </row>
    <row r="377" spans="1:35" ht="59.25" hidden="1" customHeight="1" x14ac:dyDescent="0.25">
      <c r="A377" s="1653" t="s">
        <v>3384</v>
      </c>
      <c r="B377" s="1653" t="s">
        <v>3354</v>
      </c>
      <c r="C377" s="1458" t="s">
        <v>1888</v>
      </c>
      <c r="D377" s="1610" t="s">
        <v>1066</v>
      </c>
      <c r="E377" s="1657"/>
      <c r="F377" s="1610" t="s">
        <v>290</v>
      </c>
      <c r="G377" s="1610"/>
      <c r="H377" s="1656">
        <f t="shared" si="158"/>
        <v>783</v>
      </c>
      <c r="I377" s="1613">
        <v>783</v>
      </c>
      <c r="J377" s="1747"/>
      <c r="K377" s="1747"/>
      <c r="L377" s="1747"/>
      <c r="M377" s="1747"/>
      <c r="N377" s="1759"/>
      <c r="O377" s="1656"/>
      <c r="P377" s="1773"/>
      <c r="Q377" s="1773"/>
      <c r="R377" s="1591">
        <f t="shared" si="160"/>
        <v>550</v>
      </c>
      <c r="S377" s="1591"/>
      <c r="T377" s="1640">
        <f t="shared" si="152"/>
        <v>550</v>
      </c>
      <c r="U377" s="1640">
        <v>550</v>
      </c>
      <c r="V377" s="1591">
        <f>400+280-550</f>
        <v>130</v>
      </c>
      <c r="W377" s="1591"/>
      <c r="X377" s="1640">
        <f t="shared" si="155"/>
        <v>680</v>
      </c>
      <c r="Y377" s="1640">
        <f t="shared" si="163"/>
        <v>680</v>
      </c>
      <c r="Z377" s="1640">
        <v>646</v>
      </c>
      <c r="AA377" s="1640">
        <v>646</v>
      </c>
      <c r="AB377" s="1640"/>
      <c r="AC377" s="1593"/>
      <c r="AD377" s="1623">
        <f t="shared" si="149"/>
        <v>646</v>
      </c>
      <c r="AE377" s="1623">
        <f t="shared" si="164"/>
        <v>646</v>
      </c>
      <c r="AF377" s="1580"/>
      <c r="AG377" s="1009">
        <f t="shared" si="135"/>
        <v>0</v>
      </c>
      <c r="AH377" s="1009">
        <f t="shared" si="141"/>
        <v>1</v>
      </c>
      <c r="AI377" s="1908">
        <f t="shared" si="162"/>
        <v>1</v>
      </c>
    </row>
    <row r="378" spans="1:35" ht="112.5" hidden="1" x14ac:dyDescent="0.25">
      <c r="A378" s="1653" t="s">
        <v>3385</v>
      </c>
      <c r="B378" s="1653" t="s">
        <v>3355</v>
      </c>
      <c r="C378" s="1458" t="s">
        <v>1889</v>
      </c>
      <c r="D378" s="1610" t="s">
        <v>1066</v>
      </c>
      <c r="E378" s="1657"/>
      <c r="F378" s="1610" t="s">
        <v>290</v>
      </c>
      <c r="G378" s="1610"/>
      <c r="H378" s="1656">
        <f t="shared" si="158"/>
        <v>1239</v>
      </c>
      <c r="I378" s="1613">
        <v>1239</v>
      </c>
      <c r="J378" s="1747"/>
      <c r="K378" s="1747"/>
      <c r="L378" s="1747"/>
      <c r="M378" s="1747"/>
      <c r="N378" s="1759"/>
      <c r="O378" s="1656"/>
      <c r="P378" s="1773"/>
      <c r="Q378" s="1773"/>
      <c r="R378" s="1591">
        <f t="shared" si="160"/>
        <v>900</v>
      </c>
      <c r="S378" s="1591"/>
      <c r="T378" s="1640">
        <f t="shared" si="152"/>
        <v>900</v>
      </c>
      <c r="U378" s="1640">
        <v>900</v>
      </c>
      <c r="V378" s="1591">
        <f>700+440-900</f>
        <v>240</v>
      </c>
      <c r="W378" s="1591"/>
      <c r="X378" s="1640">
        <f t="shared" si="155"/>
        <v>1140</v>
      </c>
      <c r="Y378" s="1640">
        <f t="shared" si="163"/>
        <v>1140</v>
      </c>
      <c r="Z378" s="1640">
        <v>1071</v>
      </c>
      <c r="AA378" s="1640">
        <v>1071</v>
      </c>
      <c r="AB378" s="1640"/>
      <c r="AC378" s="1593"/>
      <c r="AD378" s="1623">
        <f t="shared" si="149"/>
        <v>1071</v>
      </c>
      <c r="AE378" s="1623">
        <f t="shared" si="164"/>
        <v>1071</v>
      </c>
      <c r="AF378" s="1580"/>
      <c r="AG378" s="1009">
        <f t="shared" si="135"/>
        <v>0</v>
      </c>
      <c r="AH378" s="1009">
        <f t="shared" si="141"/>
        <v>1</v>
      </c>
      <c r="AI378" s="1908">
        <f t="shared" si="162"/>
        <v>1</v>
      </c>
    </row>
    <row r="379" spans="1:35" ht="115.5" hidden="1" customHeight="1" x14ac:dyDescent="0.25">
      <c r="A379" s="1653" t="s">
        <v>3386</v>
      </c>
      <c r="B379" s="1653" t="s">
        <v>3356</v>
      </c>
      <c r="C379" s="1658" t="s">
        <v>1890</v>
      </c>
      <c r="D379" s="1610" t="s">
        <v>1066</v>
      </c>
      <c r="E379" s="1657"/>
      <c r="F379" s="1610" t="s">
        <v>290</v>
      </c>
      <c r="G379" s="1610"/>
      <c r="H379" s="1656">
        <f t="shared" si="158"/>
        <v>1264</v>
      </c>
      <c r="I379" s="1613">
        <v>1264</v>
      </c>
      <c r="J379" s="1747"/>
      <c r="K379" s="1747"/>
      <c r="L379" s="1747"/>
      <c r="M379" s="1747"/>
      <c r="N379" s="1759"/>
      <c r="O379" s="1656"/>
      <c r="P379" s="1773"/>
      <c r="Q379" s="1773"/>
      <c r="R379" s="1591">
        <f t="shared" si="160"/>
        <v>950</v>
      </c>
      <c r="S379" s="1591"/>
      <c r="T379" s="1640">
        <f t="shared" si="152"/>
        <v>950</v>
      </c>
      <c r="U379" s="1640">
        <v>950</v>
      </c>
      <c r="V379" s="1591">
        <f>700+460-U379</f>
        <v>210</v>
      </c>
      <c r="W379" s="1591"/>
      <c r="X379" s="1640">
        <f t="shared" si="155"/>
        <v>1160</v>
      </c>
      <c r="Y379" s="1640">
        <f t="shared" si="163"/>
        <v>1160</v>
      </c>
      <c r="Z379" s="1640">
        <v>1129</v>
      </c>
      <c r="AA379" s="1640">
        <v>1129</v>
      </c>
      <c r="AB379" s="1640"/>
      <c r="AC379" s="1593"/>
      <c r="AD379" s="1623">
        <f t="shared" si="149"/>
        <v>1129</v>
      </c>
      <c r="AE379" s="1623">
        <f t="shared" si="164"/>
        <v>1129</v>
      </c>
      <c r="AF379" s="1580"/>
      <c r="AG379" s="1009">
        <f t="shared" si="135"/>
        <v>0</v>
      </c>
      <c r="AH379" s="1009">
        <f t="shared" si="141"/>
        <v>1</v>
      </c>
      <c r="AI379" s="1908">
        <f t="shared" si="162"/>
        <v>1</v>
      </c>
    </row>
    <row r="380" spans="1:35" ht="59.25" hidden="1" customHeight="1" x14ac:dyDescent="0.25">
      <c r="A380" s="1653" t="s">
        <v>3387</v>
      </c>
      <c r="B380" s="1653" t="s">
        <v>3357</v>
      </c>
      <c r="C380" s="1458" t="s">
        <v>1891</v>
      </c>
      <c r="D380" s="1610" t="s">
        <v>1066</v>
      </c>
      <c r="E380" s="1657"/>
      <c r="F380" s="1610" t="s">
        <v>290</v>
      </c>
      <c r="G380" s="1610"/>
      <c r="H380" s="1656">
        <f t="shared" si="158"/>
        <v>1238</v>
      </c>
      <c r="I380" s="1613">
        <v>1238</v>
      </c>
      <c r="J380" s="1747"/>
      <c r="K380" s="1747"/>
      <c r="L380" s="1747"/>
      <c r="M380" s="1747"/>
      <c r="N380" s="1759"/>
      <c r="O380" s="1656"/>
      <c r="P380" s="1773"/>
      <c r="Q380" s="1773"/>
      <c r="R380" s="1591">
        <f t="shared" si="160"/>
        <v>900</v>
      </c>
      <c r="S380" s="1591"/>
      <c r="T380" s="1640">
        <f t="shared" si="152"/>
        <v>900</v>
      </c>
      <c r="U380" s="1640">
        <v>900</v>
      </c>
      <c r="V380" s="1591">
        <f>700+400-U380</f>
        <v>200</v>
      </c>
      <c r="W380" s="1591"/>
      <c r="X380" s="1640">
        <f t="shared" si="155"/>
        <v>1100</v>
      </c>
      <c r="Y380" s="1640">
        <f t="shared" si="163"/>
        <v>1100</v>
      </c>
      <c r="Z380" s="1640">
        <v>1049</v>
      </c>
      <c r="AA380" s="1640">
        <v>1049</v>
      </c>
      <c r="AB380" s="1640"/>
      <c r="AC380" s="1593"/>
      <c r="AD380" s="1623">
        <f t="shared" si="149"/>
        <v>1049</v>
      </c>
      <c r="AE380" s="1623">
        <f t="shared" si="164"/>
        <v>1049</v>
      </c>
      <c r="AF380" s="1580"/>
      <c r="AG380" s="1009">
        <f t="shared" si="135"/>
        <v>0</v>
      </c>
      <c r="AH380" s="1009">
        <f t="shared" si="141"/>
        <v>1</v>
      </c>
      <c r="AI380" s="1908">
        <f t="shared" si="162"/>
        <v>1</v>
      </c>
    </row>
    <row r="381" spans="1:35" ht="96.75" hidden="1" customHeight="1" x14ac:dyDescent="0.25">
      <c r="A381" s="1653" t="s">
        <v>3388</v>
      </c>
      <c r="B381" s="1653" t="s">
        <v>3358</v>
      </c>
      <c r="C381" s="1458" t="s">
        <v>1892</v>
      </c>
      <c r="D381" s="1610" t="s">
        <v>1066</v>
      </c>
      <c r="E381" s="1657"/>
      <c r="F381" s="1610" t="s">
        <v>290</v>
      </c>
      <c r="G381" s="1610"/>
      <c r="H381" s="1656">
        <f t="shared" si="158"/>
        <v>1262</v>
      </c>
      <c r="I381" s="1613">
        <v>1262</v>
      </c>
      <c r="J381" s="1747"/>
      <c r="K381" s="1747"/>
      <c r="L381" s="1747"/>
      <c r="M381" s="1747"/>
      <c r="N381" s="1759"/>
      <c r="O381" s="1656"/>
      <c r="P381" s="1773"/>
      <c r="Q381" s="1773"/>
      <c r="R381" s="1591">
        <f t="shared" si="160"/>
        <v>950</v>
      </c>
      <c r="S381" s="1591"/>
      <c r="T381" s="1640">
        <f t="shared" si="152"/>
        <v>950</v>
      </c>
      <c r="U381" s="1640">
        <v>950</v>
      </c>
      <c r="V381" s="1591">
        <f>700+460-U381</f>
        <v>210</v>
      </c>
      <c r="W381" s="1591"/>
      <c r="X381" s="1640">
        <f t="shared" si="155"/>
        <v>1160</v>
      </c>
      <c r="Y381" s="1640">
        <f t="shared" si="163"/>
        <v>1160</v>
      </c>
      <c r="Z381" s="1640">
        <v>1071</v>
      </c>
      <c r="AA381" s="1640">
        <v>1071</v>
      </c>
      <c r="AB381" s="1640"/>
      <c r="AC381" s="1593"/>
      <c r="AD381" s="1623">
        <f t="shared" si="149"/>
        <v>1071</v>
      </c>
      <c r="AE381" s="1623">
        <f t="shared" si="164"/>
        <v>1071</v>
      </c>
      <c r="AF381" s="1580"/>
      <c r="AG381" s="1009">
        <f t="shared" si="135"/>
        <v>0</v>
      </c>
      <c r="AH381" s="1009">
        <f t="shared" si="141"/>
        <v>1</v>
      </c>
      <c r="AI381" s="1908">
        <f t="shared" si="162"/>
        <v>1</v>
      </c>
    </row>
    <row r="382" spans="1:35" ht="116.25" hidden="1" customHeight="1" x14ac:dyDescent="0.25">
      <c r="A382" s="1653" t="s">
        <v>3389</v>
      </c>
      <c r="B382" s="1653" t="s">
        <v>3359</v>
      </c>
      <c r="C382" s="1658" t="s">
        <v>1893</v>
      </c>
      <c r="D382" s="1610" t="s">
        <v>1066</v>
      </c>
      <c r="E382" s="1657"/>
      <c r="F382" s="1610" t="s">
        <v>290</v>
      </c>
      <c r="G382" s="1610"/>
      <c r="H382" s="1656">
        <f t="shared" si="158"/>
        <v>1221</v>
      </c>
      <c r="I382" s="1613">
        <v>1221</v>
      </c>
      <c r="J382" s="1747"/>
      <c r="K382" s="1747"/>
      <c r="L382" s="1747"/>
      <c r="M382" s="1747"/>
      <c r="N382" s="1759"/>
      <c r="O382" s="1656"/>
      <c r="P382" s="1773"/>
      <c r="Q382" s="1773"/>
      <c r="R382" s="1591">
        <f t="shared" si="160"/>
        <v>800</v>
      </c>
      <c r="S382" s="1591"/>
      <c r="T382" s="1640">
        <f t="shared" si="152"/>
        <v>800</v>
      </c>
      <c r="U382" s="1640">
        <v>800</v>
      </c>
      <c r="V382" s="1591">
        <f>520+600-U382</f>
        <v>320</v>
      </c>
      <c r="W382" s="1591"/>
      <c r="X382" s="1640">
        <f t="shared" si="155"/>
        <v>1120</v>
      </c>
      <c r="Y382" s="1640">
        <f t="shared" si="163"/>
        <v>1120</v>
      </c>
      <c r="Z382" s="1640">
        <v>1065</v>
      </c>
      <c r="AA382" s="1640">
        <v>1065</v>
      </c>
      <c r="AB382" s="1640"/>
      <c r="AC382" s="1593"/>
      <c r="AD382" s="1623">
        <f t="shared" si="149"/>
        <v>1065</v>
      </c>
      <c r="AE382" s="1623">
        <f t="shared" si="164"/>
        <v>1065</v>
      </c>
      <c r="AF382" s="1580"/>
      <c r="AG382" s="1009">
        <f t="shared" si="135"/>
        <v>0</v>
      </c>
      <c r="AH382" s="1009">
        <f t="shared" si="141"/>
        <v>1</v>
      </c>
      <c r="AI382" s="1908">
        <f t="shared" si="162"/>
        <v>1</v>
      </c>
    </row>
    <row r="383" spans="1:35" ht="116.25" hidden="1" customHeight="1" x14ac:dyDescent="0.25">
      <c r="A383" s="1653" t="s">
        <v>3390</v>
      </c>
      <c r="B383" s="1653" t="s">
        <v>3360</v>
      </c>
      <c r="C383" s="1525" t="s">
        <v>2096</v>
      </c>
      <c r="D383" s="1610" t="s">
        <v>1066</v>
      </c>
      <c r="E383" s="1657"/>
      <c r="F383" s="1610" t="s">
        <v>290</v>
      </c>
      <c r="G383" s="1610"/>
      <c r="H383" s="1656">
        <f t="shared" si="158"/>
        <v>1226</v>
      </c>
      <c r="I383" s="1613">
        <v>1226</v>
      </c>
      <c r="J383" s="1747"/>
      <c r="K383" s="1747"/>
      <c r="L383" s="1747"/>
      <c r="M383" s="1747"/>
      <c r="N383" s="1759"/>
      <c r="O383" s="1656"/>
      <c r="P383" s="1773"/>
      <c r="Q383" s="1773"/>
      <c r="R383" s="1591">
        <f t="shared" si="160"/>
        <v>900</v>
      </c>
      <c r="S383" s="1591"/>
      <c r="T383" s="1640">
        <f t="shared" si="152"/>
        <v>900</v>
      </c>
      <c r="U383" s="1640">
        <v>900</v>
      </c>
      <c r="V383" s="1591">
        <f>430+700-U383</f>
        <v>230</v>
      </c>
      <c r="W383" s="1591"/>
      <c r="X383" s="1640">
        <f t="shared" si="155"/>
        <v>1130</v>
      </c>
      <c r="Y383" s="1640">
        <f t="shared" si="163"/>
        <v>1130</v>
      </c>
      <c r="Z383" s="1640">
        <v>1078</v>
      </c>
      <c r="AA383" s="1640">
        <v>1078</v>
      </c>
      <c r="AB383" s="1640"/>
      <c r="AC383" s="1593"/>
      <c r="AD383" s="1623">
        <f t="shared" si="149"/>
        <v>1078</v>
      </c>
      <c r="AE383" s="1623">
        <f t="shared" si="164"/>
        <v>1078</v>
      </c>
      <c r="AF383" s="1580"/>
      <c r="AG383" s="1009">
        <f t="shared" si="135"/>
        <v>0</v>
      </c>
      <c r="AH383" s="1009">
        <f t="shared" si="141"/>
        <v>1</v>
      </c>
      <c r="AI383" s="1908">
        <f t="shared" si="162"/>
        <v>1</v>
      </c>
    </row>
    <row r="384" spans="1:35" ht="93.75" hidden="1" x14ac:dyDescent="0.25">
      <c r="A384" s="1653" t="s">
        <v>3391</v>
      </c>
      <c r="B384" s="1653" t="s">
        <v>3361</v>
      </c>
      <c r="C384" s="1458" t="s">
        <v>1894</v>
      </c>
      <c r="D384" s="1610" t="s">
        <v>1066</v>
      </c>
      <c r="E384" s="1657"/>
      <c r="F384" s="1610" t="s">
        <v>290</v>
      </c>
      <c r="G384" s="1610"/>
      <c r="H384" s="1656">
        <f t="shared" si="158"/>
        <v>921</v>
      </c>
      <c r="I384" s="1613">
        <v>921</v>
      </c>
      <c r="J384" s="1747"/>
      <c r="K384" s="1747"/>
      <c r="L384" s="1747"/>
      <c r="M384" s="1747"/>
      <c r="N384" s="1759"/>
      <c r="O384" s="1656"/>
      <c r="P384" s="1773"/>
      <c r="Q384" s="1773"/>
      <c r="R384" s="1591">
        <f t="shared" si="160"/>
        <v>700</v>
      </c>
      <c r="S384" s="1591"/>
      <c r="T384" s="1640">
        <f t="shared" si="152"/>
        <v>700</v>
      </c>
      <c r="U384" s="1640">
        <v>700</v>
      </c>
      <c r="V384" s="1591">
        <f>280+550-U384</f>
        <v>130</v>
      </c>
      <c r="W384" s="1591"/>
      <c r="X384" s="1640">
        <f t="shared" si="155"/>
        <v>830</v>
      </c>
      <c r="Y384" s="1640">
        <f t="shared" si="163"/>
        <v>830</v>
      </c>
      <c r="Z384" s="1640">
        <v>760</v>
      </c>
      <c r="AA384" s="1640">
        <v>760</v>
      </c>
      <c r="AB384" s="1640"/>
      <c r="AC384" s="1593"/>
      <c r="AD384" s="1623">
        <f t="shared" si="149"/>
        <v>760</v>
      </c>
      <c r="AE384" s="1623">
        <f t="shared" si="164"/>
        <v>760</v>
      </c>
      <c r="AF384" s="1580"/>
      <c r="AG384" s="1009">
        <f t="shared" si="135"/>
        <v>0</v>
      </c>
      <c r="AH384" s="1009">
        <f t="shared" si="141"/>
        <v>1</v>
      </c>
      <c r="AI384" s="1908">
        <f t="shared" si="162"/>
        <v>1</v>
      </c>
    </row>
    <row r="385" spans="1:36" ht="56.25" hidden="1" x14ac:dyDescent="0.25">
      <c r="A385" s="1653" t="s">
        <v>3392</v>
      </c>
      <c r="B385" s="1653" t="s">
        <v>3362</v>
      </c>
      <c r="C385" s="1458" t="s">
        <v>1895</v>
      </c>
      <c r="D385" s="1610" t="s">
        <v>1066</v>
      </c>
      <c r="E385" s="1657"/>
      <c r="F385" s="1610" t="s">
        <v>290</v>
      </c>
      <c r="G385" s="1610"/>
      <c r="H385" s="1656">
        <f t="shared" si="158"/>
        <v>1750</v>
      </c>
      <c r="I385" s="1613">
        <v>1750</v>
      </c>
      <c r="J385" s="1747"/>
      <c r="K385" s="1747"/>
      <c r="L385" s="1747"/>
      <c r="M385" s="1747"/>
      <c r="N385" s="1759"/>
      <c r="O385" s="1656"/>
      <c r="P385" s="1773"/>
      <c r="Q385" s="1773"/>
      <c r="R385" s="1591">
        <f t="shared" si="160"/>
        <v>1200</v>
      </c>
      <c r="S385" s="1591"/>
      <c r="T385" s="1640">
        <f t="shared" si="152"/>
        <v>1200</v>
      </c>
      <c r="U385" s="1640">
        <v>1200</v>
      </c>
      <c r="V385" s="1591">
        <f>460+900-U385</f>
        <v>160</v>
      </c>
      <c r="W385" s="1591"/>
      <c r="X385" s="1640">
        <f t="shared" si="155"/>
        <v>1360</v>
      </c>
      <c r="Y385" s="1640">
        <f t="shared" si="163"/>
        <v>1360</v>
      </c>
      <c r="Z385" s="1640">
        <v>1320</v>
      </c>
      <c r="AA385" s="1640">
        <v>1320</v>
      </c>
      <c r="AB385" s="1640"/>
      <c r="AC385" s="1593"/>
      <c r="AD385" s="1623">
        <f t="shared" si="149"/>
        <v>1320</v>
      </c>
      <c r="AE385" s="1623">
        <f t="shared" si="164"/>
        <v>1320</v>
      </c>
      <c r="AF385" s="1580"/>
      <c r="AG385" s="1009">
        <f t="shared" si="135"/>
        <v>0</v>
      </c>
      <c r="AH385" s="1009">
        <f t="shared" si="141"/>
        <v>1</v>
      </c>
      <c r="AI385" s="1908">
        <f t="shared" si="162"/>
        <v>1</v>
      </c>
    </row>
    <row r="386" spans="1:36" ht="93.75" hidden="1" x14ac:dyDescent="0.25">
      <c r="A386" s="1653" t="s">
        <v>3393</v>
      </c>
      <c r="B386" s="1653" t="s">
        <v>3363</v>
      </c>
      <c r="C386" s="1659" t="s">
        <v>1896</v>
      </c>
      <c r="D386" s="1610" t="s">
        <v>1066</v>
      </c>
      <c r="E386" s="1657"/>
      <c r="F386" s="1610" t="s">
        <v>290</v>
      </c>
      <c r="G386" s="1610"/>
      <c r="H386" s="1656">
        <f t="shared" si="158"/>
        <v>716</v>
      </c>
      <c r="I386" s="1613">
        <v>716</v>
      </c>
      <c r="J386" s="1747"/>
      <c r="K386" s="1747"/>
      <c r="L386" s="1747"/>
      <c r="M386" s="1747"/>
      <c r="N386" s="1759"/>
      <c r="O386" s="1656"/>
      <c r="P386" s="1773"/>
      <c r="Q386" s="1773"/>
      <c r="R386" s="1591">
        <f t="shared" si="160"/>
        <v>550</v>
      </c>
      <c r="S386" s="1591"/>
      <c r="T386" s="1640">
        <f t="shared" si="152"/>
        <v>550</v>
      </c>
      <c r="U386" s="1640">
        <v>550</v>
      </c>
      <c r="V386" s="1591">
        <f>200+400-U386</f>
        <v>50</v>
      </c>
      <c r="W386" s="1591"/>
      <c r="X386" s="1640">
        <f t="shared" si="155"/>
        <v>600</v>
      </c>
      <c r="Y386" s="1640">
        <f t="shared" si="163"/>
        <v>600</v>
      </c>
      <c r="Z386" s="1640">
        <v>504</v>
      </c>
      <c r="AA386" s="1640">
        <v>504</v>
      </c>
      <c r="AB386" s="1640"/>
      <c r="AC386" s="1593"/>
      <c r="AD386" s="1623">
        <f t="shared" si="149"/>
        <v>504</v>
      </c>
      <c r="AE386" s="1623">
        <f t="shared" si="164"/>
        <v>504</v>
      </c>
      <c r="AF386" s="1580"/>
      <c r="AG386" s="1009">
        <f t="shared" si="135"/>
        <v>0</v>
      </c>
      <c r="AH386" s="1009">
        <f t="shared" si="141"/>
        <v>1</v>
      </c>
      <c r="AI386" s="1908">
        <f t="shared" si="162"/>
        <v>1</v>
      </c>
    </row>
    <row r="387" spans="1:36" ht="37.5" hidden="1" x14ac:dyDescent="0.25">
      <c r="A387" s="1653" t="s">
        <v>3394</v>
      </c>
      <c r="B387" s="1653" t="s">
        <v>3364</v>
      </c>
      <c r="C387" s="1458" t="s">
        <v>1897</v>
      </c>
      <c r="D387" s="1610" t="s">
        <v>1066</v>
      </c>
      <c r="E387" s="1657"/>
      <c r="F387" s="1610" t="s">
        <v>290</v>
      </c>
      <c r="G387" s="1610"/>
      <c r="H387" s="1656">
        <f t="shared" si="158"/>
        <v>2858</v>
      </c>
      <c r="I387" s="1613">
        <v>2858</v>
      </c>
      <c r="J387" s="1747"/>
      <c r="K387" s="1747"/>
      <c r="L387" s="1747"/>
      <c r="M387" s="1747"/>
      <c r="N387" s="1759"/>
      <c r="O387" s="1656"/>
      <c r="P387" s="1773"/>
      <c r="Q387" s="1773"/>
      <c r="R387" s="1591">
        <f t="shared" si="160"/>
        <v>2200</v>
      </c>
      <c r="S387" s="1591"/>
      <c r="T387" s="1640">
        <f t="shared" si="152"/>
        <v>2200</v>
      </c>
      <c r="U387" s="1640">
        <v>2200</v>
      </c>
      <c r="V387" s="1591">
        <f>660+1800-U387</f>
        <v>260</v>
      </c>
      <c r="W387" s="1591"/>
      <c r="X387" s="1640">
        <f t="shared" si="155"/>
        <v>2460</v>
      </c>
      <c r="Y387" s="1640">
        <f t="shared" si="163"/>
        <v>2460</v>
      </c>
      <c r="Z387" s="1640">
        <v>2302</v>
      </c>
      <c r="AA387" s="1640">
        <v>2302</v>
      </c>
      <c r="AB387" s="1640"/>
      <c r="AC387" s="1593"/>
      <c r="AD387" s="1623">
        <f t="shared" si="149"/>
        <v>2302</v>
      </c>
      <c r="AE387" s="1623">
        <f t="shared" si="164"/>
        <v>2302</v>
      </c>
      <c r="AF387" s="1580"/>
      <c r="AG387" s="1009">
        <f t="shared" si="135"/>
        <v>0</v>
      </c>
      <c r="AH387" s="1009">
        <f t="shared" si="141"/>
        <v>1</v>
      </c>
      <c r="AI387" s="1908">
        <f t="shared" si="162"/>
        <v>1</v>
      </c>
    </row>
    <row r="388" spans="1:36" ht="37.5" hidden="1" x14ac:dyDescent="0.25">
      <c r="A388" s="1653" t="s">
        <v>3395</v>
      </c>
      <c r="B388" s="1653" t="s">
        <v>3365</v>
      </c>
      <c r="C388" s="1458" t="s">
        <v>1898</v>
      </c>
      <c r="D388" s="1610" t="s">
        <v>1066</v>
      </c>
      <c r="E388" s="1657"/>
      <c r="F388" s="1610" t="s">
        <v>290</v>
      </c>
      <c r="G388" s="1610"/>
      <c r="H388" s="1656">
        <f t="shared" si="158"/>
        <v>1923</v>
      </c>
      <c r="I388" s="1613">
        <v>1923</v>
      </c>
      <c r="J388" s="1747"/>
      <c r="K388" s="1747"/>
      <c r="L388" s="1747"/>
      <c r="M388" s="1747"/>
      <c r="N388" s="1759"/>
      <c r="O388" s="1656"/>
      <c r="P388" s="1773"/>
      <c r="Q388" s="1773"/>
      <c r="R388" s="1591">
        <f t="shared" si="160"/>
        <v>1500</v>
      </c>
      <c r="S388" s="1591"/>
      <c r="T388" s="1640">
        <f t="shared" si="152"/>
        <v>1500</v>
      </c>
      <c r="U388" s="1640">
        <v>1500</v>
      </c>
      <c r="V388" s="1591">
        <f>590+1200-U388</f>
        <v>290</v>
      </c>
      <c r="W388" s="1591"/>
      <c r="X388" s="1640">
        <f t="shared" si="155"/>
        <v>1790</v>
      </c>
      <c r="Y388" s="1640">
        <f t="shared" si="163"/>
        <v>1790</v>
      </c>
      <c r="Z388" s="1640">
        <v>1273</v>
      </c>
      <c r="AA388" s="1640">
        <v>1273</v>
      </c>
      <c r="AB388" s="1640"/>
      <c r="AC388" s="1593"/>
      <c r="AD388" s="1623">
        <f t="shared" si="149"/>
        <v>1273</v>
      </c>
      <c r="AE388" s="1623">
        <f t="shared" si="164"/>
        <v>1273</v>
      </c>
      <c r="AF388" s="1580"/>
      <c r="AG388" s="1009">
        <f t="shared" si="135"/>
        <v>0</v>
      </c>
      <c r="AH388" s="1009">
        <f t="shared" si="141"/>
        <v>1</v>
      </c>
      <c r="AI388" s="1908">
        <f t="shared" si="162"/>
        <v>1</v>
      </c>
    </row>
    <row r="389" spans="1:36" ht="75" hidden="1" x14ac:dyDescent="0.25">
      <c r="A389" s="1653" t="s">
        <v>3396</v>
      </c>
      <c r="B389" s="1653" t="s">
        <v>3366</v>
      </c>
      <c r="C389" s="1458" t="s">
        <v>1899</v>
      </c>
      <c r="D389" s="1610" t="s">
        <v>1066</v>
      </c>
      <c r="E389" s="1657"/>
      <c r="F389" s="1610" t="s">
        <v>290</v>
      </c>
      <c r="G389" s="1610"/>
      <c r="H389" s="1656">
        <f t="shared" si="158"/>
        <v>1248</v>
      </c>
      <c r="I389" s="1613">
        <v>1248</v>
      </c>
      <c r="J389" s="1747"/>
      <c r="K389" s="1747"/>
      <c r="L389" s="1747"/>
      <c r="M389" s="1747"/>
      <c r="N389" s="1759"/>
      <c r="O389" s="1656"/>
      <c r="P389" s="1773"/>
      <c r="Q389" s="1773"/>
      <c r="R389" s="1591">
        <f t="shared" si="160"/>
        <v>950</v>
      </c>
      <c r="S389" s="1591"/>
      <c r="T389" s="1640">
        <f t="shared" si="152"/>
        <v>950</v>
      </c>
      <c r="U389" s="1640">
        <v>950</v>
      </c>
      <c r="V389" s="1591">
        <f>220+800-U389</f>
        <v>70</v>
      </c>
      <c r="W389" s="1591"/>
      <c r="X389" s="1640">
        <f t="shared" si="155"/>
        <v>1020</v>
      </c>
      <c r="Y389" s="1640">
        <f t="shared" si="163"/>
        <v>1020</v>
      </c>
      <c r="Z389" s="1640">
        <v>963</v>
      </c>
      <c r="AA389" s="1640">
        <v>963</v>
      </c>
      <c r="AB389" s="1640"/>
      <c r="AC389" s="1593"/>
      <c r="AD389" s="1623">
        <f t="shared" si="149"/>
        <v>963</v>
      </c>
      <c r="AE389" s="1623">
        <f t="shared" si="164"/>
        <v>963</v>
      </c>
      <c r="AF389" s="1580"/>
      <c r="AG389" s="1009">
        <f t="shared" si="135"/>
        <v>0</v>
      </c>
      <c r="AH389" s="1009">
        <f t="shared" si="141"/>
        <v>1</v>
      </c>
      <c r="AI389" s="1908">
        <f t="shared" si="162"/>
        <v>1</v>
      </c>
    </row>
    <row r="390" spans="1:36" ht="56.25" hidden="1" x14ac:dyDescent="0.25">
      <c r="A390" s="1653" t="s">
        <v>3397</v>
      </c>
      <c r="B390" s="1653" t="s">
        <v>3367</v>
      </c>
      <c r="C390" s="1458" t="s">
        <v>1900</v>
      </c>
      <c r="D390" s="1610" t="s">
        <v>1066</v>
      </c>
      <c r="E390" s="1657"/>
      <c r="F390" s="1610" t="s">
        <v>290</v>
      </c>
      <c r="G390" s="1610"/>
      <c r="H390" s="1656">
        <f t="shared" si="158"/>
        <v>866</v>
      </c>
      <c r="I390" s="1613">
        <v>866</v>
      </c>
      <c r="J390" s="1747"/>
      <c r="K390" s="1747"/>
      <c r="L390" s="1747"/>
      <c r="M390" s="1747"/>
      <c r="N390" s="1759"/>
      <c r="O390" s="1656"/>
      <c r="P390" s="1773"/>
      <c r="Q390" s="1773"/>
      <c r="R390" s="1591">
        <f t="shared" si="160"/>
        <v>550</v>
      </c>
      <c r="S390" s="1591"/>
      <c r="T390" s="1640">
        <f t="shared" si="152"/>
        <v>550</v>
      </c>
      <c r="U390" s="1640">
        <v>550</v>
      </c>
      <c r="V390" s="1591">
        <f>250+400-U390</f>
        <v>100</v>
      </c>
      <c r="W390" s="1591"/>
      <c r="X390" s="1640">
        <f t="shared" si="155"/>
        <v>650</v>
      </c>
      <c r="Y390" s="1640">
        <f t="shared" si="163"/>
        <v>650</v>
      </c>
      <c r="Z390" s="1640">
        <v>565</v>
      </c>
      <c r="AA390" s="1640">
        <v>565</v>
      </c>
      <c r="AB390" s="1640"/>
      <c r="AC390" s="1593"/>
      <c r="AD390" s="1623">
        <f t="shared" si="149"/>
        <v>565</v>
      </c>
      <c r="AE390" s="1623">
        <f t="shared" si="164"/>
        <v>565</v>
      </c>
      <c r="AF390" s="1580"/>
      <c r="AG390" s="1009">
        <f t="shared" si="135"/>
        <v>0</v>
      </c>
      <c r="AH390" s="1009">
        <f t="shared" si="141"/>
        <v>1</v>
      </c>
      <c r="AI390" s="1908">
        <f t="shared" si="162"/>
        <v>1</v>
      </c>
    </row>
    <row r="391" spans="1:36" ht="37.5" hidden="1" x14ac:dyDescent="0.25">
      <c r="A391" s="1653" t="s">
        <v>3398</v>
      </c>
      <c r="B391" s="1653" t="s">
        <v>3368</v>
      </c>
      <c r="C391" s="1458" t="s">
        <v>1901</v>
      </c>
      <c r="D391" s="1610" t="s">
        <v>1066</v>
      </c>
      <c r="E391" s="1657"/>
      <c r="F391" s="1610" t="s">
        <v>290</v>
      </c>
      <c r="G391" s="1610"/>
      <c r="H391" s="1656">
        <f t="shared" si="158"/>
        <v>1107</v>
      </c>
      <c r="I391" s="1613">
        <v>1107</v>
      </c>
      <c r="J391" s="1747"/>
      <c r="K391" s="1747"/>
      <c r="L391" s="1747"/>
      <c r="M391" s="1747"/>
      <c r="N391" s="1759"/>
      <c r="O391" s="1656"/>
      <c r="P391" s="1773"/>
      <c r="Q391" s="1773"/>
      <c r="R391" s="1591">
        <f t="shared" si="160"/>
        <v>800</v>
      </c>
      <c r="S391" s="1591"/>
      <c r="T391" s="1640">
        <f t="shared" si="152"/>
        <v>800</v>
      </c>
      <c r="U391" s="1640">
        <v>800</v>
      </c>
      <c r="V391" s="1591">
        <f>430+600-U391</f>
        <v>230</v>
      </c>
      <c r="W391" s="1591"/>
      <c r="X391" s="1640">
        <f t="shared" si="155"/>
        <v>1030</v>
      </c>
      <c r="Y391" s="1640">
        <f t="shared" si="163"/>
        <v>1030</v>
      </c>
      <c r="Z391" s="1640">
        <v>829</v>
      </c>
      <c r="AA391" s="1640">
        <v>829</v>
      </c>
      <c r="AB391" s="1640"/>
      <c r="AC391" s="1593"/>
      <c r="AD391" s="1623">
        <f t="shared" si="149"/>
        <v>829</v>
      </c>
      <c r="AE391" s="1623">
        <f t="shared" si="164"/>
        <v>829</v>
      </c>
      <c r="AF391" s="1580"/>
      <c r="AG391" s="1009">
        <f t="shared" si="135"/>
        <v>0</v>
      </c>
      <c r="AH391" s="1009">
        <f t="shared" si="141"/>
        <v>1</v>
      </c>
      <c r="AI391" s="1908">
        <f t="shared" si="162"/>
        <v>1</v>
      </c>
    </row>
    <row r="392" spans="1:36" ht="37.5" hidden="1" x14ac:dyDescent="0.25">
      <c r="A392" s="1653" t="s">
        <v>3399</v>
      </c>
      <c r="B392" s="1653"/>
      <c r="C392" s="1458" t="s">
        <v>1902</v>
      </c>
      <c r="D392" s="1610" t="s">
        <v>1066</v>
      </c>
      <c r="E392" s="1657"/>
      <c r="F392" s="1610" t="s">
        <v>290</v>
      </c>
      <c r="G392" s="1610"/>
      <c r="H392" s="1656">
        <f t="shared" si="158"/>
        <v>430</v>
      </c>
      <c r="I392" s="1613">
        <v>430</v>
      </c>
      <c r="J392" s="1747"/>
      <c r="K392" s="1747"/>
      <c r="L392" s="1747"/>
      <c r="M392" s="1747"/>
      <c r="N392" s="1759"/>
      <c r="O392" s="1656"/>
      <c r="P392" s="1773"/>
      <c r="Q392" s="1773"/>
      <c r="R392" s="1591">
        <f t="shared" si="160"/>
        <v>350</v>
      </c>
      <c r="S392" s="1591"/>
      <c r="T392" s="1640">
        <f t="shared" si="152"/>
        <v>350</v>
      </c>
      <c r="U392" s="1640">
        <v>350</v>
      </c>
      <c r="V392" s="1591">
        <f>180+250-U392</f>
        <v>80</v>
      </c>
      <c r="W392" s="1591"/>
      <c r="X392" s="1640">
        <f t="shared" si="155"/>
        <v>430</v>
      </c>
      <c r="Y392" s="1640">
        <f t="shared" si="163"/>
        <v>430</v>
      </c>
      <c r="Z392" s="1640">
        <v>430</v>
      </c>
      <c r="AA392" s="1640">
        <v>430</v>
      </c>
      <c r="AB392" s="1640"/>
      <c r="AC392" s="1593"/>
      <c r="AD392" s="1623">
        <f t="shared" si="149"/>
        <v>430</v>
      </c>
      <c r="AE392" s="1623">
        <f t="shared" si="164"/>
        <v>430</v>
      </c>
      <c r="AF392" s="1580"/>
      <c r="AG392" s="1009">
        <f t="shared" si="135"/>
        <v>0</v>
      </c>
      <c r="AH392" s="1009">
        <f t="shared" si="141"/>
        <v>1</v>
      </c>
      <c r="AI392" s="1908">
        <f t="shared" si="162"/>
        <v>1</v>
      </c>
      <c r="AJ392" s="1908"/>
    </row>
    <row r="393" spans="1:36" ht="37.5" hidden="1" x14ac:dyDescent="0.25">
      <c r="A393" s="1653" t="s">
        <v>3400</v>
      </c>
      <c r="B393" s="1653" t="s">
        <v>3369</v>
      </c>
      <c r="C393" s="1458" t="s">
        <v>2190</v>
      </c>
      <c r="D393" s="1610" t="s">
        <v>1066</v>
      </c>
      <c r="E393" s="1657" t="s">
        <v>2192</v>
      </c>
      <c r="F393" s="1610" t="s">
        <v>290</v>
      </c>
      <c r="G393" s="1610"/>
      <c r="H393" s="1656">
        <f t="shared" si="158"/>
        <v>14900</v>
      </c>
      <c r="I393" s="1613">
        <v>14900</v>
      </c>
      <c r="J393" s="1747"/>
      <c r="K393" s="1747"/>
      <c r="L393" s="1747"/>
      <c r="M393" s="1747"/>
      <c r="N393" s="1759"/>
      <c r="O393" s="1656"/>
      <c r="P393" s="1773"/>
      <c r="Q393" s="1773"/>
      <c r="R393" s="1591"/>
      <c r="S393" s="1591"/>
      <c r="T393" s="1640"/>
      <c r="U393" s="1640"/>
      <c r="V393" s="1591">
        <v>14000</v>
      </c>
      <c r="W393" s="1591"/>
      <c r="X393" s="1640">
        <f t="shared" si="155"/>
        <v>14000</v>
      </c>
      <c r="Y393" s="1640">
        <f t="shared" si="163"/>
        <v>14000</v>
      </c>
      <c r="Z393" s="1640">
        <v>13900</v>
      </c>
      <c r="AA393" s="1640">
        <v>13900</v>
      </c>
      <c r="AB393" s="1640"/>
      <c r="AC393" s="1593"/>
      <c r="AD393" s="1623">
        <f t="shared" si="149"/>
        <v>13900</v>
      </c>
      <c r="AE393" s="1623">
        <f t="shared" si="164"/>
        <v>13900</v>
      </c>
      <c r="AF393" s="1580"/>
      <c r="AG393" s="1009">
        <f t="shared" si="135"/>
        <v>0</v>
      </c>
      <c r="AH393" s="1009">
        <f t="shared" si="141"/>
        <v>1</v>
      </c>
      <c r="AI393" s="1908">
        <f t="shared" si="162"/>
        <v>1</v>
      </c>
      <c r="AJ393" s="1908"/>
    </row>
    <row r="394" spans="1:36" ht="37.5" hidden="1" customHeight="1" x14ac:dyDescent="0.25">
      <c r="A394" s="1653" t="s">
        <v>3401</v>
      </c>
      <c r="B394" s="1653" t="s">
        <v>3370</v>
      </c>
      <c r="C394" s="1654" t="s">
        <v>2529</v>
      </c>
      <c r="D394" s="1610" t="s">
        <v>1066</v>
      </c>
      <c r="E394" s="1657" t="s">
        <v>2193</v>
      </c>
      <c r="F394" s="1610" t="s">
        <v>290</v>
      </c>
      <c r="G394" s="1610"/>
      <c r="H394" s="1656">
        <f t="shared" si="158"/>
        <v>5000</v>
      </c>
      <c r="I394" s="1613">
        <v>5000</v>
      </c>
      <c r="J394" s="1747"/>
      <c r="K394" s="1747"/>
      <c r="L394" s="1747"/>
      <c r="M394" s="1747"/>
      <c r="N394" s="1759"/>
      <c r="O394" s="1656"/>
      <c r="P394" s="1773"/>
      <c r="Q394" s="1773"/>
      <c r="R394" s="1591"/>
      <c r="S394" s="1591"/>
      <c r="T394" s="1640"/>
      <c r="U394" s="1640"/>
      <c r="V394" s="1591">
        <v>2700</v>
      </c>
      <c r="W394" s="1591"/>
      <c r="X394" s="1640">
        <f t="shared" si="155"/>
        <v>2700</v>
      </c>
      <c r="Y394" s="1640">
        <f t="shared" si="163"/>
        <v>2700</v>
      </c>
      <c r="Z394" s="1640">
        <v>4300</v>
      </c>
      <c r="AA394" s="1640">
        <v>4300</v>
      </c>
      <c r="AB394" s="1640"/>
      <c r="AC394" s="1640"/>
      <c r="AD394" s="1623">
        <f t="shared" si="149"/>
        <v>4300</v>
      </c>
      <c r="AE394" s="1623">
        <f t="shared" si="164"/>
        <v>4300</v>
      </c>
      <c r="AF394" s="1580"/>
      <c r="AG394" s="1009">
        <f t="shared" si="135"/>
        <v>0</v>
      </c>
      <c r="AH394" s="1009">
        <f t="shared" si="141"/>
        <v>1</v>
      </c>
      <c r="AI394" s="1908">
        <f t="shared" si="162"/>
        <v>1</v>
      </c>
    </row>
    <row r="395" spans="1:36" ht="37.5" hidden="1" x14ac:dyDescent="0.25">
      <c r="A395" s="1653" t="s">
        <v>3402</v>
      </c>
      <c r="B395" s="1653"/>
      <c r="C395" s="1458" t="s">
        <v>2530</v>
      </c>
      <c r="D395" s="1610" t="s">
        <v>1066</v>
      </c>
      <c r="E395" s="1657" t="s">
        <v>2193</v>
      </c>
      <c r="F395" s="1610" t="s">
        <v>290</v>
      </c>
      <c r="G395" s="1610"/>
      <c r="H395" s="1656">
        <f t="shared" si="158"/>
        <v>2200</v>
      </c>
      <c r="I395" s="1613">
        <v>2200</v>
      </c>
      <c r="J395" s="1747"/>
      <c r="K395" s="1747"/>
      <c r="L395" s="1747"/>
      <c r="M395" s="1747"/>
      <c r="N395" s="1759"/>
      <c r="O395" s="1656"/>
      <c r="P395" s="1773"/>
      <c r="Q395" s="1773"/>
      <c r="R395" s="1591"/>
      <c r="S395" s="1591"/>
      <c r="T395" s="1640"/>
      <c r="U395" s="1640"/>
      <c r="V395" s="1591">
        <v>1500</v>
      </c>
      <c r="W395" s="1591"/>
      <c r="X395" s="1640">
        <f t="shared" si="155"/>
        <v>1500</v>
      </c>
      <c r="Y395" s="1640">
        <f t="shared" si="163"/>
        <v>1500</v>
      </c>
      <c r="Z395" s="1640">
        <v>1500</v>
      </c>
      <c r="AA395" s="1640">
        <v>1500</v>
      </c>
      <c r="AB395" s="1640"/>
      <c r="AC395" s="1640"/>
      <c r="AD395" s="1623">
        <f t="shared" si="149"/>
        <v>1500</v>
      </c>
      <c r="AE395" s="1623">
        <f t="shared" si="164"/>
        <v>1500</v>
      </c>
      <c r="AF395" s="1580"/>
      <c r="AG395" s="1009">
        <f t="shared" ref="AG395:AG458" si="165">IF(AE395-AA395=0,0,1)</f>
        <v>0</v>
      </c>
      <c r="AH395" s="1009">
        <f t="shared" si="141"/>
        <v>1</v>
      </c>
      <c r="AI395" s="1908">
        <f t="shared" si="162"/>
        <v>1</v>
      </c>
    </row>
    <row r="396" spans="1:36" ht="54" hidden="1" customHeight="1" x14ac:dyDescent="0.25">
      <c r="A396" s="1653" t="s">
        <v>3403</v>
      </c>
      <c r="B396" s="1653" t="s">
        <v>3371</v>
      </c>
      <c r="C396" s="1458" t="s">
        <v>2189</v>
      </c>
      <c r="D396" s="1610" t="s">
        <v>1066</v>
      </c>
      <c r="E396" s="1657"/>
      <c r="F396" s="1610" t="s">
        <v>290</v>
      </c>
      <c r="G396" s="1610" t="s">
        <v>2586</v>
      </c>
      <c r="H396" s="1656">
        <f t="shared" si="158"/>
        <v>19000</v>
      </c>
      <c r="I396" s="1613">
        <v>19000</v>
      </c>
      <c r="J396" s="1747"/>
      <c r="K396" s="1747"/>
      <c r="L396" s="1747"/>
      <c r="M396" s="1747"/>
      <c r="N396" s="1759"/>
      <c r="O396" s="1656"/>
      <c r="P396" s="1773"/>
      <c r="Q396" s="1773"/>
      <c r="R396" s="1591"/>
      <c r="S396" s="1591"/>
      <c r="T396" s="1640"/>
      <c r="U396" s="1640"/>
      <c r="V396" s="1591">
        <v>18000</v>
      </c>
      <c r="W396" s="1591"/>
      <c r="X396" s="1640">
        <f t="shared" si="155"/>
        <v>18000</v>
      </c>
      <c r="Y396" s="1640">
        <f t="shared" si="163"/>
        <v>18000</v>
      </c>
      <c r="Z396" s="1640">
        <v>15027</v>
      </c>
      <c r="AA396" s="1640">
        <v>15027</v>
      </c>
      <c r="AB396" s="1640"/>
      <c r="AC396" s="1593"/>
      <c r="AD396" s="1623">
        <f t="shared" si="149"/>
        <v>15027</v>
      </c>
      <c r="AE396" s="1623">
        <f t="shared" si="164"/>
        <v>15027</v>
      </c>
      <c r="AF396" s="1580"/>
      <c r="AG396" s="1009">
        <f t="shared" si="165"/>
        <v>0</v>
      </c>
      <c r="AH396" s="1009">
        <f t="shared" si="141"/>
        <v>1</v>
      </c>
      <c r="AI396" s="1908">
        <f t="shared" si="162"/>
        <v>1</v>
      </c>
    </row>
    <row r="397" spans="1:36" ht="37.5" hidden="1" x14ac:dyDescent="0.25">
      <c r="A397" s="1653" t="s">
        <v>3404</v>
      </c>
      <c r="B397" s="1653"/>
      <c r="C397" s="1458" t="s">
        <v>2532</v>
      </c>
      <c r="D397" s="1610" t="s">
        <v>1066</v>
      </c>
      <c r="E397" s="1657" t="s">
        <v>2193</v>
      </c>
      <c r="F397" s="1610" t="s">
        <v>290</v>
      </c>
      <c r="G397" s="1610"/>
      <c r="H397" s="1656">
        <f t="shared" si="158"/>
        <v>2500</v>
      </c>
      <c r="I397" s="1613">
        <v>2500</v>
      </c>
      <c r="J397" s="1747"/>
      <c r="K397" s="1747"/>
      <c r="L397" s="1747"/>
      <c r="M397" s="1747"/>
      <c r="N397" s="1759"/>
      <c r="O397" s="1656"/>
      <c r="P397" s="1773"/>
      <c r="Q397" s="1773"/>
      <c r="R397" s="1591"/>
      <c r="S397" s="1591"/>
      <c r="T397" s="1640"/>
      <c r="U397" s="1640"/>
      <c r="V397" s="1591">
        <v>1600</v>
      </c>
      <c r="W397" s="1591"/>
      <c r="X397" s="1640">
        <f t="shared" si="155"/>
        <v>1600</v>
      </c>
      <c r="Y397" s="1640">
        <f t="shared" si="163"/>
        <v>1600</v>
      </c>
      <c r="Z397" s="1640">
        <v>1600</v>
      </c>
      <c r="AA397" s="1640">
        <v>1600</v>
      </c>
      <c r="AB397" s="1640"/>
      <c r="AC397" s="1640"/>
      <c r="AD397" s="1623">
        <f t="shared" si="149"/>
        <v>1600</v>
      </c>
      <c r="AE397" s="1623">
        <f t="shared" si="164"/>
        <v>1600</v>
      </c>
      <c r="AF397" s="1580"/>
      <c r="AG397" s="1009">
        <f t="shared" si="165"/>
        <v>0</v>
      </c>
      <c r="AH397" s="1009">
        <f t="shared" si="141"/>
        <v>1</v>
      </c>
      <c r="AI397" s="1908">
        <f t="shared" si="162"/>
        <v>1</v>
      </c>
    </row>
    <row r="398" spans="1:36" ht="55.5" hidden="1" customHeight="1" x14ac:dyDescent="0.25">
      <c r="A398" s="1601" t="s">
        <v>3405</v>
      </c>
      <c r="B398" s="1601" t="s">
        <v>3405</v>
      </c>
      <c r="C398" s="1602" t="s">
        <v>2074</v>
      </c>
      <c r="D398" s="1610"/>
      <c r="E398" s="1657"/>
      <c r="F398" s="1610"/>
      <c r="G398" s="1610"/>
      <c r="H398" s="1660">
        <f>H399</f>
        <v>36999</v>
      </c>
      <c r="I398" s="1660">
        <f>I399</f>
        <v>36999</v>
      </c>
      <c r="J398" s="1747"/>
      <c r="K398" s="1747"/>
      <c r="L398" s="1747"/>
      <c r="M398" s="1747"/>
      <c r="N398" s="1759"/>
      <c r="O398" s="1656"/>
      <c r="P398" s="1773"/>
      <c r="Q398" s="1773"/>
      <c r="R398" s="1591"/>
      <c r="S398" s="1591"/>
      <c r="T398" s="1640"/>
      <c r="U398" s="1640"/>
      <c r="V398" s="1781">
        <f>V399</f>
        <v>20000</v>
      </c>
      <c r="W398" s="1781"/>
      <c r="X398" s="1663">
        <f>X399</f>
        <v>20000</v>
      </c>
      <c r="Y398" s="1663">
        <f>Y399</f>
        <v>20000</v>
      </c>
      <c r="Z398" s="1663">
        <v>31807</v>
      </c>
      <c r="AA398" s="1663">
        <v>31807</v>
      </c>
      <c r="AB398" s="1663"/>
      <c r="AC398" s="1663"/>
      <c r="AD398" s="1663">
        <f>AD399</f>
        <v>31807</v>
      </c>
      <c r="AE398" s="1663">
        <f>AE399</f>
        <v>31807</v>
      </c>
      <c r="AF398" s="1580"/>
      <c r="AG398" s="1009">
        <f t="shared" si="165"/>
        <v>0</v>
      </c>
      <c r="AH398" s="1009">
        <f t="shared" si="141"/>
        <v>1</v>
      </c>
      <c r="AI398" s="1908">
        <f t="shared" si="162"/>
        <v>1</v>
      </c>
    </row>
    <row r="399" spans="1:36" ht="84" hidden="1" customHeight="1" x14ac:dyDescent="0.25">
      <c r="A399" s="1653" t="s">
        <v>3406</v>
      </c>
      <c r="B399" s="1653" t="s">
        <v>3406</v>
      </c>
      <c r="C399" s="1458" t="s">
        <v>2188</v>
      </c>
      <c r="D399" s="1610" t="s">
        <v>2191</v>
      </c>
      <c r="E399" s="1657"/>
      <c r="F399" s="1610" t="s">
        <v>162</v>
      </c>
      <c r="G399" s="1610" t="s">
        <v>3481</v>
      </c>
      <c r="H399" s="1656">
        <f t="shared" ref="H399" si="166">I399</f>
        <v>36999</v>
      </c>
      <c r="I399" s="1613">
        <v>36999</v>
      </c>
      <c r="J399" s="1747"/>
      <c r="K399" s="1747"/>
      <c r="L399" s="1747"/>
      <c r="M399" s="1747"/>
      <c r="N399" s="1759"/>
      <c r="O399" s="1656"/>
      <c r="P399" s="1773"/>
      <c r="Q399" s="1773"/>
      <c r="R399" s="1591"/>
      <c r="S399" s="1591"/>
      <c r="T399" s="1640"/>
      <c r="U399" s="1640"/>
      <c r="V399" s="1591">
        <v>20000</v>
      </c>
      <c r="W399" s="1591"/>
      <c r="X399" s="1640">
        <f t="shared" ref="X399" si="167">Y399</f>
        <v>20000</v>
      </c>
      <c r="Y399" s="1640">
        <f t="shared" ref="Y399" si="168">V399+U399</f>
        <v>20000</v>
      </c>
      <c r="Z399" s="1640">
        <v>31807</v>
      </c>
      <c r="AA399" s="1640">
        <v>31807</v>
      </c>
      <c r="AB399" s="1640"/>
      <c r="AC399" s="1640"/>
      <c r="AD399" s="1623">
        <f t="shared" si="149"/>
        <v>31807</v>
      </c>
      <c r="AE399" s="1623">
        <f>AA399+AB399+AC399</f>
        <v>31807</v>
      </c>
      <c r="AF399" s="1580"/>
      <c r="AG399" s="1009">
        <f t="shared" si="165"/>
        <v>0</v>
      </c>
      <c r="AH399" s="1009">
        <f t="shared" si="141"/>
        <v>1</v>
      </c>
      <c r="AI399" s="1908">
        <f t="shared" si="162"/>
        <v>1</v>
      </c>
    </row>
    <row r="400" spans="1:36" ht="51.75" hidden="1" customHeight="1" x14ac:dyDescent="0.25">
      <c r="A400" s="1576" t="s">
        <v>879</v>
      </c>
      <c r="B400" s="1576" t="s">
        <v>879</v>
      </c>
      <c r="C400" s="1579" t="s">
        <v>1292</v>
      </c>
      <c r="D400" s="1580"/>
      <c r="E400" s="1661"/>
      <c r="F400" s="1662"/>
      <c r="G400" s="1580"/>
      <c r="H400" s="1583">
        <f t="shared" ref="H400:W400" si="169">SUM(H401:H412)</f>
        <v>161540</v>
      </c>
      <c r="I400" s="1583">
        <f t="shared" si="169"/>
        <v>161540</v>
      </c>
      <c r="J400" s="1583">
        <f t="shared" si="169"/>
        <v>0</v>
      </c>
      <c r="K400" s="1583">
        <f t="shared" si="169"/>
        <v>0</v>
      </c>
      <c r="L400" s="1583">
        <f t="shared" si="169"/>
        <v>0</v>
      </c>
      <c r="M400" s="1583">
        <f t="shared" si="169"/>
        <v>0</v>
      </c>
      <c r="N400" s="1583">
        <f t="shared" si="169"/>
        <v>134500</v>
      </c>
      <c r="O400" s="1583">
        <f t="shared" si="169"/>
        <v>128500</v>
      </c>
      <c r="P400" s="1583">
        <f t="shared" si="169"/>
        <v>124500</v>
      </c>
      <c r="Q400" s="1583">
        <f t="shared" si="169"/>
        <v>124500</v>
      </c>
      <c r="R400" s="1583">
        <f t="shared" si="169"/>
        <v>0</v>
      </c>
      <c r="S400" s="1583">
        <f t="shared" si="169"/>
        <v>0</v>
      </c>
      <c r="T400" s="1583">
        <f t="shared" si="169"/>
        <v>124500</v>
      </c>
      <c r="U400" s="1583">
        <f t="shared" si="169"/>
        <v>124500</v>
      </c>
      <c r="V400" s="1583">
        <f t="shared" si="169"/>
        <v>4000</v>
      </c>
      <c r="W400" s="1583">
        <f t="shared" si="169"/>
        <v>4000</v>
      </c>
      <c r="X400" s="1583">
        <f>SUM(X401:X412)</f>
        <v>124500</v>
      </c>
      <c r="Y400" s="1583">
        <f>SUM(Y401:Y412)</f>
        <v>124500</v>
      </c>
      <c r="Z400" s="1583">
        <v>115721</v>
      </c>
      <c r="AA400" s="1583">
        <v>115721</v>
      </c>
      <c r="AB400" s="1583"/>
      <c r="AC400" s="1584"/>
      <c r="AD400" s="1583">
        <f>SUM(AD401:AD412)</f>
        <v>115721</v>
      </c>
      <c r="AE400" s="1583">
        <f>SUM(AE401:AE412)</f>
        <v>115721</v>
      </c>
      <c r="AF400" s="1585"/>
      <c r="AG400" s="1009">
        <f t="shared" si="165"/>
        <v>0</v>
      </c>
      <c r="AH400" s="1009">
        <f t="shared" si="141"/>
        <v>1</v>
      </c>
      <c r="AI400" s="1908">
        <f t="shared" si="162"/>
        <v>1</v>
      </c>
    </row>
    <row r="401" spans="1:35" ht="16.5" hidden="1" x14ac:dyDescent="0.25">
      <c r="A401" s="1586">
        <v>1</v>
      </c>
      <c r="B401" s="1586"/>
      <c r="C401" s="1621" t="s">
        <v>1291</v>
      </c>
      <c r="D401" s="1608" t="s">
        <v>194</v>
      </c>
      <c r="E401" s="1611" t="s">
        <v>1290</v>
      </c>
      <c r="F401" s="1608" t="s">
        <v>248</v>
      </c>
      <c r="G401" s="1588"/>
      <c r="H401" s="1759">
        <v>7313</v>
      </c>
      <c r="I401" s="1759">
        <v>7313</v>
      </c>
      <c r="J401" s="1647"/>
      <c r="K401" s="1647"/>
      <c r="L401" s="1647"/>
      <c r="M401" s="1647"/>
      <c r="N401" s="1648">
        <f>O401</f>
        <v>6000</v>
      </c>
      <c r="O401" s="1648">
        <v>6000</v>
      </c>
      <c r="P401" s="1666">
        <f>Q401</f>
        <v>6000</v>
      </c>
      <c r="Q401" s="1666">
        <v>6000</v>
      </c>
      <c r="R401" s="1591"/>
      <c r="S401" s="1591"/>
      <c r="T401" s="1665">
        <f>U401</f>
        <v>6000</v>
      </c>
      <c r="U401" s="1665">
        <v>6000</v>
      </c>
      <c r="V401" s="1591"/>
      <c r="W401" s="1591"/>
      <c r="X401" s="1665">
        <f>Y401</f>
        <v>6000</v>
      </c>
      <c r="Y401" s="1665">
        <v>6000</v>
      </c>
      <c r="Z401" s="1665">
        <v>6000</v>
      </c>
      <c r="AA401" s="1665">
        <v>6000</v>
      </c>
      <c r="AB401" s="1665"/>
      <c r="AC401" s="1665"/>
      <c r="AD401" s="1623">
        <f t="shared" si="149"/>
        <v>6000</v>
      </c>
      <c r="AE401" s="1623">
        <f t="shared" ref="AE401:AE412" si="170">AA401+AB401+AC401</f>
        <v>6000</v>
      </c>
      <c r="AF401" s="1592"/>
      <c r="AG401" s="1009">
        <f t="shared" si="165"/>
        <v>0</v>
      </c>
      <c r="AH401" s="1009">
        <f t="shared" si="141"/>
        <v>1</v>
      </c>
      <c r="AI401" s="1908">
        <f t="shared" si="162"/>
        <v>1</v>
      </c>
    </row>
    <row r="402" spans="1:35" ht="22.5" hidden="1" customHeight="1" x14ac:dyDescent="0.25">
      <c r="A402" s="1586">
        <v>2</v>
      </c>
      <c r="B402" s="1586"/>
      <c r="C402" s="1621" t="s">
        <v>1289</v>
      </c>
      <c r="D402" s="1608" t="s">
        <v>194</v>
      </c>
      <c r="E402" s="1611" t="s">
        <v>1288</v>
      </c>
      <c r="F402" s="1608" t="s">
        <v>248</v>
      </c>
      <c r="G402" s="1588"/>
      <c r="H402" s="1759">
        <v>3734</v>
      </c>
      <c r="I402" s="1759">
        <v>3734</v>
      </c>
      <c r="J402" s="1647"/>
      <c r="K402" s="1647"/>
      <c r="L402" s="1647"/>
      <c r="M402" s="1647"/>
      <c r="N402" s="1648">
        <f>O402</f>
        <v>3200</v>
      </c>
      <c r="O402" s="1648">
        <v>3200</v>
      </c>
      <c r="P402" s="1666">
        <f>Q402</f>
        <v>3200</v>
      </c>
      <c r="Q402" s="1666">
        <v>3200</v>
      </c>
      <c r="R402" s="1591"/>
      <c r="S402" s="1591"/>
      <c r="T402" s="1665">
        <f>U402</f>
        <v>3200</v>
      </c>
      <c r="U402" s="1665">
        <v>3200</v>
      </c>
      <c r="V402" s="1591"/>
      <c r="W402" s="1591"/>
      <c r="X402" s="1665">
        <f>Y402</f>
        <v>3200</v>
      </c>
      <c r="Y402" s="1665">
        <v>3200</v>
      </c>
      <c r="Z402" s="1665">
        <v>3200</v>
      </c>
      <c r="AA402" s="1665">
        <v>3200</v>
      </c>
      <c r="AB402" s="1665"/>
      <c r="AC402" s="1665"/>
      <c r="AD402" s="1623">
        <f t="shared" si="149"/>
        <v>3200</v>
      </c>
      <c r="AE402" s="1623">
        <f t="shared" si="170"/>
        <v>3200</v>
      </c>
      <c r="AF402" s="1592"/>
      <c r="AG402" s="1009">
        <f t="shared" si="165"/>
        <v>0</v>
      </c>
      <c r="AH402" s="1009">
        <f t="shared" si="141"/>
        <v>1</v>
      </c>
      <c r="AI402" s="1908">
        <f t="shared" si="162"/>
        <v>1</v>
      </c>
    </row>
    <row r="403" spans="1:35" ht="16.5" hidden="1" x14ac:dyDescent="0.25">
      <c r="A403" s="1586">
        <v>3</v>
      </c>
      <c r="B403" s="1586"/>
      <c r="C403" s="1621" t="s">
        <v>1287</v>
      </c>
      <c r="D403" s="1608" t="s">
        <v>194</v>
      </c>
      <c r="E403" s="1611" t="s">
        <v>1286</v>
      </c>
      <c r="F403" s="1608" t="s">
        <v>248</v>
      </c>
      <c r="G403" s="1588"/>
      <c r="H403" s="1759">
        <v>6342</v>
      </c>
      <c r="I403" s="1759">
        <v>6342</v>
      </c>
      <c r="J403" s="1647"/>
      <c r="K403" s="1647"/>
      <c r="L403" s="1647"/>
      <c r="M403" s="1647"/>
      <c r="N403" s="1648">
        <f>O403</f>
        <v>4800</v>
      </c>
      <c r="O403" s="1648">
        <v>4800</v>
      </c>
      <c r="P403" s="1666">
        <f>Q403</f>
        <v>4800</v>
      </c>
      <c r="Q403" s="1666">
        <v>4800</v>
      </c>
      <c r="R403" s="1591"/>
      <c r="S403" s="1591"/>
      <c r="T403" s="1665">
        <f>U403</f>
        <v>4800</v>
      </c>
      <c r="U403" s="1665">
        <v>4800</v>
      </c>
      <c r="V403" s="1591"/>
      <c r="W403" s="1591"/>
      <c r="X403" s="1665">
        <f>Y403</f>
        <v>4800</v>
      </c>
      <c r="Y403" s="1665">
        <v>4800</v>
      </c>
      <c r="Z403" s="1665">
        <v>4800</v>
      </c>
      <c r="AA403" s="1665">
        <v>4800</v>
      </c>
      <c r="AB403" s="1665"/>
      <c r="AC403" s="1665"/>
      <c r="AD403" s="1623">
        <f t="shared" si="149"/>
        <v>4800</v>
      </c>
      <c r="AE403" s="1623">
        <f t="shared" si="170"/>
        <v>4800</v>
      </c>
      <c r="AF403" s="1592"/>
      <c r="AG403" s="1009">
        <f t="shared" si="165"/>
        <v>0</v>
      </c>
      <c r="AH403" s="1009">
        <f t="shared" ref="AH403:AH468" si="171">IF(Y403=0,0,1)</f>
        <v>1</v>
      </c>
      <c r="AI403" s="1908">
        <f t="shared" si="162"/>
        <v>1</v>
      </c>
    </row>
    <row r="404" spans="1:35" ht="66" hidden="1" x14ac:dyDescent="0.25">
      <c r="A404" s="1586">
        <v>4</v>
      </c>
      <c r="B404" s="1586"/>
      <c r="C404" s="1621" t="s">
        <v>1285</v>
      </c>
      <c r="D404" s="1608" t="s">
        <v>1284</v>
      </c>
      <c r="E404" s="1611"/>
      <c r="F404" s="1608" t="s">
        <v>116</v>
      </c>
      <c r="G404" s="1588"/>
      <c r="H404" s="1664">
        <v>15500</v>
      </c>
      <c r="I404" s="1664">
        <v>15500</v>
      </c>
      <c r="J404" s="1647"/>
      <c r="K404" s="1647"/>
      <c r="L404" s="1647"/>
      <c r="M404" s="1647"/>
      <c r="N404" s="1648">
        <v>15000</v>
      </c>
      <c r="O404" s="1648">
        <v>15000</v>
      </c>
      <c r="P404" s="1666">
        <v>15000</v>
      </c>
      <c r="Q404" s="1666">
        <v>15000</v>
      </c>
      <c r="R404" s="1591"/>
      <c r="S404" s="1591"/>
      <c r="T404" s="1665">
        <v>15000</v>
      </c>
      <c r="U404" s="1665">
        <v>15000</v>
      </c>
      <c r="V404" s="1591"/>
      <c r="W404" s="1591"/>
      <c r="X404" s="1665">
        <v>15000</v>
      </c>
      <c r="Y404" s="1665">
        <v>15000</v>
      </c>
      <c r="Z404" s="1665">
        <v>15000</v>
      </c>
      <c r="AA404" s="1665">
        <v>15000</v>
      </c>
      <c r="AB404" s="1665"/>
      <c r="AC404" s="1665"/>
      <c r="AD404" s="1623">
        <f t="shared" ref="AD404:AD412" si="172">AE404</f>
        <v>15000</v>
      </c>
      <c r="AE404" s="1623">
        <f t="shared" si="170"/>
        <v>15000</v>
      </c>
      <c r="AF404" s="1592"/>
      <c r="AG404" s="1009">
        <f t="shared" si="165"/>
        <v>0</v>
      </c>
      <c r="AH404" s="1009">
        <f t="shared" si="171"/>
        <v>1</v>
      </c>
      <c r="AI404" s="1908">
        <f t="shared" si="162"/>
        <v>1</v>
      </c>
    </row>
    <row r="405" spans="1:35" ht="51.75" hidden="1" customHeight="1" x14ac:dyDescent="0.25">
      <c r="A405" s="1586">
        <v>5</v>
      </c>
      <c r="B405" s="1586"/>
      <c r="C405" s="1621" t="s">
        <v>1283</v>
      </c>
      <c r="D405" s="1608" t="s">
        <v>1282</v>
      </c>
      <c r="E405" s="1611"/>
      <c r="F405" s="1608" t="s">
        <v>116</v>
      </c>
      <c r="G405" s="1588"/>
      <c r="H405" s="1664">
        <v>15000</v>
      </c>
      <c r="I405" s="1664">
        <v>15000</v>
      </c>
      <c r="J405" s="1647"/>
      <c r="K405" s="1647"/>
      <c r="L405" s="1647"/>
      <c r="M405" s="1647"/>
      <c r="N405" s="1648">
        <v>15000</v>
      </c>
      <c r="O405" s="1648">
        <v>15000</v>
      </c>
      <c r="P405" s="1666">
        <v>15000</v>
      </c>
      <c r="Q405" s="1666">
        <v>15000</v>
      </c>
      <c r="R405" s="1591"/>
      <c r="S405" s="1591"/>
      <c r="T405" s="1665">
        <v>15000</v>
      </c>
      <c r="U405" s="1665">
        <v>15000</v>
      </c>
      <c r="V405" s="1591"/>
      <c r="W405" s="1591">
        <v>4000</v>
      </c>
      <c r="X405" s="1665">
        <f>Y405</f>
        <v>11000</v>
      </c>
      <c r="Y405" s="1665">
        <f>U405-W405</f>
        <v>11000</v>
      </c>
      <c r="Z405" s="1665">
        <v>11000</v>
      </c>
      <c r="AA405" s="1665">
        <v>11000</v>
      </c>
      <c r="AB405" s="1665"/>
      <c r="AC405" s="1665"/>
      <c r="AD405" s="1623">
        <f t="shared" si="172"/>
        <v>11000</v>
      </c>
      <c r="AE405" s="1623">
        <f t="shared" si="170"/>
        <v>11000</v>
      </c>
      <c r="AF405" s="1592"/>
      <c r="AG405" s="1009">
        <f t="shared" si="165"/>
        <v>0</v>
      </c>
      <c r="AH405" s="1009">
        <f t="shared" si="171"/>
        <v>1</v>
      </c>
      <c r="AI405" s="1908">
        <f t="shared" si="162"/>
        <v>1</v>
      </c>
    </row>
    <row r="406" spans="1:35" ht="52.5" hidden="1" customHeight="1" x14ac:dyDescent="0.25">
      <c r="A406" s="1586">
        <v>6</v>
      </c>
      <c r="B406" s="1586"/>
      <c r="C406" s="1621" t="s">
        <v>1281</v>
      </c>
      <c r="D406" s="1608" t="s">
        <v>1280</v>
      </c>
      <c r="E406" s="1611"/>
      <c r="F406" s="1608" t="s">
        <v>116</v>
      </c>
      <c r="G406" s="1588"/>
      <c r="H406" s="1664">
        <v>15000</v>
      </c>
      <c r="I406" s="1664">
        <v>15000</v>
      </c>
      <c r="J406" s="1647"/>
      <c r="K406" s="1647"/>
      <c r="L406" s="1647"/>
      <c r="M406" s="1647"/>
      <c r="N406" s="1648">
        <v>15000</v>
      </c>
      <c r="O406" s="1648">
        <v>15000</v>
      </c>
      <c r="P406" s="1666">
        <v>15000</v>
      </c>
      <c r="Q406" s="1666">
        <v>15000</v>
      </c>
      <c r="R406" s="1591"/>
      <c r="S406" s="1591"/>
      <c r="T406" s="1665">
        <v>15000</v>
      </c>
      <c r="U406" s="1665">
        <v>15000</v>
      </c>
      <c r="V406" s="1591"/>
      <c r="W406" s="1591"/>
      <c r="X406" s="1665">
        <v>15000</v>
      </c>
      <c r="Y406" s="1665">
        <v>15000</v>
      </c>
      <c r="Z406" s="1665">
        <v>10888</v>
      </c>
      <c r="AA406" s="1665">
        <v>10888</v>
      </c>
      <c r="AB406" s="1665"/>
      <c r="AC406" s="1666"/>
      <c r="AD406" s="1623">
        <f t="shared" si="172"/>
        <v>10888</v>
      </c>
      <c r="AE406" s="1623">
        <f t="shared" si="170"/>
        <v>10888</v>
      </c>
      <c r="AF406" s="1592"/>
      <c r="AG406" s="1009">
        <f t="shared" si="165"/>
        <v>0</v>
      </c>
      <c r="AH406" s="1009">
        <f t="shared" si="171"/>
        <v>1</v>
      </c>
      <c r="AI406" s="1908">
        <f t="shared" si="162"/>
        <v>1</v>
      </c>
    </row>
    <row r="407" spans="1:35" ht="52.5" hidden="1" customHeight="1" x14ac:dyDescent="0.25">
      <c r="A407" s="1586">
        <v>7</v>
      </c>
      <c r="B407" s="1586"/>
      <c r="C407" s="1621" t="s">
        <v>1279</v>
      </c>
      <c r="D407" s="1608" t="s">
        <v>1278</v>
      </c>
      <c r="E407" s="1611"/>
      <c r="F407" s="1608" t="s">
        <v>116</v>
      </c>
      <c r="G407" s="1608" t="s">
        <v>1277</v>
      </c>
      <c r="H407" s="1664">
        <v>13747</v>
      </c>
      <c r="I407" s="1664">
        <v>13747</v>
      </c>
      <c r="J407" s="1647"/>
      <c r="K407" s="1647"/>
      <c r="L407" s="1647"/>
      <c r="M407" s="1647"/>
      <c r="N407" s="1648">
        <v>12500</v>
      </c>
      <c r="O407" s="1648">
        <v>12500</v>
      </c>
      <c r="P407" s="1666">
        <v>12500</v>
      </c>
      <c r="Q407" s="1666">
        <v>12500</v>
      </c>
      <c r="R407" s="1591"/>
      <c r="S407" s="1591"/>
      <c r="T407" s="1665">
        <v>12500</v>
      </c>
      <c r="U407" s="1665">
        <v>12500</v>
      </c>
      <c r="V407" s="1591"/>
      <c r="W407" s="1591"/>
      <c r="X407" s="1665">
        <v>12500</v>
      </c>
      <c r="Y407" s="1665">
        <v>12500</v>
      </c>
      <c r="Z407" s="1665">
        <v>12500</v>
      </c>
      <c r="AA407" s="1665">
        <v>12500</v>
      </c>
      <c r="AB407" s="1665"/>
      <c r="AC407" s="1665"/>
      <c r="AD407" s="1623">
        <f t="shared" si="172"/>
        <v>12500</v>
      </c>
      <c r="AE407" s="1623">
        <f t="shared" si="170"/>
        <v>12500</v>
      </c>
      <c r="AF407" s="1592"/>
      <c r="AG407" s="1009">
        <f t="shared" si="165"/>
        <v>0</v>
      </c>
      <c r="AH407" s="1009">
        <f t="shared" si="171"/>
        <v>1</v>
      </c>
      <c r="AI407" s="1908">
        <f t="shared" si="162"/>
        <v>1</v>
      </c>
    </row>
    <row r="408" spans="1:35" ht="54.75" hidden="1" customHeight="1" x14ac:dyDescent="0.25">
      <c r="A408" s="1586">
        <v>8</v>
      </c>
      <c r="B408" s="1586"/>
      <c r="C408" s="1621" t="s">
        <v>1276</v>
      </c>
      <c r="D408" s="1608" t="s">
        <v>1275</v>
      </c>
      <c r="E408" s="1611"/>
      <c r="F408" s="1608" t="s">
        <v>116</v>
      </c>
      <c r="G408" s="1588"/>
      <c r="H408" s="1664">
        <v>15000</v>
      </c>
      <c r="I408" s="1664">
        <v>15000</v>
      </c>
      <c r="J408" s="1647"/>
      <c r="K408" s="1647"/>
      <c r="L408" s="1647"/>
      <c r="M408" s="1647"/>
      <c r="N408" s="1648">
        <v>15000</v>
      </c>
      <c r="O408" s="1648">
        <v>15000</v>
      </c>
      <c r="P408" s="1666">
        <v>15000</v>
      </c>
      <c r="Q408" s="1666">
        <v>15000</v>
      </c>
      <c r="R408" s="1591"/>
      <c r="S408" s="1591"/>
      <c r="T408" s="1665">
        <v>15000</v>
      </c>
      <c r="U408" s="1665">
        <v>15000</v>
      </c>
      <c r="V408" s="1591"/>
      <c r="W408" s="1591"/>
      <c r="X408" s="1665">
        <v>15000</v>
      </c>
      <c r="Y408" s="1665">
        <v>15000</v>
      </c>
      <c r="Z408" s="1665">
        <v>15000</v>
      </c>
      <c r="AA408" s="1665">
        <v>15000</v>
      </c>
      <c r="AB408" s="1665"/>
      <c r="AC408" s="1665"/>
      <c r="AD408" s="1623">
        <f t="shared" si="172"/>
        <v>15000</v>
      </c>
      <c r="AE408" s="1623">
        <f t="shared" si="170"/>
        <v>15000</v>
      </c>
      <c r="AF408" s="1592"/>
      <c r="AG408" s="1009">
        <f t="shared" si="165"/>
        <v>0</v>
      </c>
      <c r="AH408" s="1009">
        <f t="shared" si="171"/>
        <v>1</v>
      </c>
      <c r="AI408" s="1908">
        <f t="shared" si="162"/>
        <v>1</v>
      </c>
    </row>
    <row r="409" spans="1:35" ht="38.25" hidden="1" customHeight="1" x14ac:dyDescent="0.25">
      <c r="A409" s="1586">
        <v>9</v>
      </c>
      <c r="B409" s="1586"/>
      <c r="C409" s="1621" t="s">
        <v>1274</v>
      </c>
      <c r="D409" s="1608" t="s">
        <v>1273</v>
      </c>
      <c r="E409" s="1611"/>
      <c r="F409" s="1608" t="s">
        <v>116</v>
      </c>
      <c r="G409" s="1588"/>
      <c r="H409" s="1664">
        <v>12000</v>
      </c>
      <c r="I409" s="1664">
        <v>12000</v>
      </c>
      <c r="J409" s="1647"/>
      <c r="K409" s="1647"/>
      <c r="L409" s="1647"/>
      <c r="M409" s="1647"/>
      <c r="N409" s="1648">
        <v>12000</v>
      </c>
      <c r="O409" s="1648">
        <v>12000</v>
      </c>
      <c r="P409" s="1666">
        <v>12000</v>
      </c>
      <c r="Q409" s="1666">
        <v>12000</v>
      </c>
      <c r="R409" s="1591"/>
      <c r="S409" s="1591"/>
      <c r="T409" s="1665">
        <v>12000</v>
      </c>
      <c r="U409" s="1665">
        <v>12000</v>
      </c>
      <c r="V409" s="1591"/>
      <c r="W409" s="1591"/>
      <c r="X409" s="1665">
        <v>12000</v>
      </c>
      <c r="Y409" s="1665">
        <v>12000</v>
      </c>
      <c r="Z409" s="1665">
        <v>12000</v>
      </c>
      <c r="AA409" s="1665">
        <v>12000</v>
      </c>
      <c r="AB409" s="1665"/>
      <c r="AC409" s="1665"/>
      <c r="AD409" s="1623">
        <f t="shared" si="172"/>
        <v>12000</v>
      </c>
      <c r="AE409" s="1623">
        <f t="shared" si="170"/>
        <v>12000</v>
      </c>
      <c r="AF409" s="1592"/>
      <c r="AG409" s="1009">
        <f t="shared" si="165"/>
        <v>0</v>
      </c>
      <c r="AH409" s="1009">
        <f t="shared" si="171"/>
        <v>1</v>
      </c>
      <c r="AI409" s="1908">
        <f t="shared" si="162"/>
        <v>1</v>
      </c>
    </row>
    <row r="410" spans="1:35" ht="53.25" hidden="1" customHeight="1" x14ac:dyDescent="0.25">
      <c r="A410" s="1586">
        <v>10</v>
      </c>
      <c r="B410" s="1586"/>
      <c r="C410" s="1621" t="s">
        <v>1272</v>
      </c>
      <c r="D410" s="1608" t="s">
        <v>1271</v>
      </c>
      <c r="E410" s="1611"/>
      <c r="F410" s="1608" t="s">
        <v>116</v>
      </c>
      <c r="G410" s="1588"/>
      <c r="H410" s="1664">
        <v>11000</v>
      </c>
      <c r="I410" s="1664">
        <v>11000</v>
      </c>
      <c r="J410" s="1647"/>
      <c r="K410" s="1647"/>
      <c r="L410" s="1647"/>
      <c r="M410" s="1647"/>
      <c r="N410" s="1648">
        <v>11000</v>
      </c>
      <c r="O410" s="1648">
        <v>11000</v>
      </c>
      <c r="P410" s="1666">
        <v>11000</v>
      </c>
      <c r="Q410" s="1666">
        <v>11000</v>
      </c>
      <c r="R410" s="1591"/>
      <c r="S410" s="1591"/>
      <c r="T410" s="1665">
        <v>11000</v>
      </c>
      <c r="U410" s="1665">
        <v>11000</v>
      </c>
      <c r="V410" s="1591"/>
      <c r="W410" s="1591"/>
      <c r="X410" s="1665">
        <v>11000</v>
      </c>
      <c r="Y410" s="1665">
        <v>11000</v>
      </c>
      <c r="Z410" s="1665">
        <v>6333</v>
      </c>
      <c r="AA410" s="1665">
        <v>6333</v>
      </c>
      <c r="AB410" s="1665"/>
      <c r="AC410" s="1666"/>
      <c r="AD410" s="1623">
        <f t="shared" si="172"/>
        <v>6333</v>
      </c>
      <c r="AE410" s="1623">
        <f t="shared" si="170"/>
        <v>6333</v>
      </c>
      <c r="AF410" s="1592"/>
      <c r="AG410" s="1009">
        <f t="shared" si="165"/>
        <v>0</v>
      </c>
      <c r="AH410" s="1009">
        <f t="shared" si="171"/>
        <v>1</v>
      </c>
      <c r="AI410" s="1908">
        <f t="shared" si="162"/>
        <v>1</v>
      </c>
    </row>
    <row r="411" spans="1:35" ht="24" hidden="1" customHeight="1" x14ac:dyDescent="0.25">
      <c r="A411" s="1586">
        <v>11</v>
      </c>
      <c r="B411" s="1586"/>
      <c r="C411" s="1621" t="s">
        <v>1270</v>
      </c>
      <c r="D411" s="1608" t="s">
        <v>58</v>
      </c>
      <c r="E411" s="1611"/>
      <c r="F411" s="1608" t="s">
        <v>116</v>
      </c>
      <c r="G411" s="1588"/>
      <c r="H411" s="1759">
        <v>31904</v>
      </c>
      <c r="I411" s="1759">
        <v>31904</v>
      </c>
      <c r="J411" s="1647"/>
      <c r="K411" s="1647"/>
      <c r="L411" s="1647"/>
      <c r="M411" s="1647"/>
      <c r="N411" s="1648">
        <v>15000</v>
      </c>
      <c r="O411" s="1648">
        <v>15000</v>
      </c>
      <c r="P411" s="1666">
        <v>15000</v>
      </c>
      <c r="Q411" s="1666">
        <v>15000</v>
      </c>
      <c r="R411" s="1591"/>
      <c r="S411" s="1591"/>
      <c r="T411" s="1665">
        <v>15000</v>
      </c>
      <c r="U411" s="1665">
        <v>15000</v>
      </c>
      <c r="V411" s="1591"/>
      <c r="W411" s="1591"/>
      <c r="X411" s="1665">
        <v>15000</v>
      </c>
      <c r="Y411" s="1665">
        <v>15000</v>
      </c>
      <c r="Z411" s="1665">
        <v>15000</v>
      </c>
      <c r="AA411" s="1665">
        <v>15000</v>
      </c>
      <c r="AB411" s="1665"/>
      <c r="AC411" s="1665"/>
      <c r="AD411" s="1623">
        <f t="shared" si="172"/>
        <v>15000</v>
      </c>
      <c r="AE411" s="1623">
        <f t="shared" si="170"/>
        <v>15000</v>
      </c>
      <c r="AF411" s="1592"/>
      <c r="AG411" s="1009">
        <f t="shared" si="165"/>
        <v>0</v>
      </c>
      <c r="AH411" s="1009">
        <f t="shared" si="171"/>
        <v>1</v>
      </c>
      <c r="AI411" s="1908">
        <f t="shared" si="162"/>
        <v>1</v>
      </c>
    </row>
    <row r="412" spans="1:35" ht="62.25" hidden="1" customHeight="1" x14ac:dyDescent="0.25">
      <c r="A412" s="1586">
        <v>12</v>
      </c>
      <c r="B412" s="1586"/>
      <c r="C412" s="1621" t="s">
        <v>2378</v>
      </c>
      <c r="D412" s="1608" t="s">
        <v>2380</v>
      </c>
      <c r="E412" s="1611"/>
      <c r="F412" s="1608" t="s">
        <v>116</v>
      </c>
      <c r="G412" s="1588"/>
      <c r="H412" s="1664">
        <v>15000</v>
      </c>
      <c r="I412" s="1664">
        <v>15000</v>
      </c>
      <c r="J412" s="1647"/>
      <c r="K412" s="1647"/>
      <c r="L412" s="1647"/>
      <c r="M412" s="1647"/>
      <c r="N412" s="1648">
        <v>10000</v>
      </c>
      <c r="O412" s="1648">
        <v>4000</v>
      </c>
      <c r="P412" s="1666"/>
      <c r="Q412" s="1666"/>
      <c r="R412" s="1591"/>
      <c r="S412" s="1591"/>
      <c r="T412" s="1665"/>
      <c r="U412" s="1665"/>
      <c r="V412" s="1591">
        <v>4000</v>
      </c>
      <c r="W412" s="1591"/>
      <c r="X412" s="1665">
        <v>4000</v>
      </c>
      <c r="Y412" s="1665">
        <f>V412+U412</f>
        <v>4000</v>
      </c>
      <c r="Z412" s="1665">
        <v>4000</v>
      </c>
      <c r="AA412" s="1665">
        <v>4000</v>
      </c>
      <c r="AB412" s="1665"/>
      <c r="AC412" s="1665"/>
      <c r="AD412" s="1623">
        <f t="shared" si="172"/>
        <v>4000</v>
      </c>
      <c r="AE412" s="1623">
        <f t="shared" si="170"/>
        <v>4000</v>
      </c>
      <c r="AF412" s="1580"/>
      <c r="AG412" s="1009">
        <f t="shared" si="165"/>
        <v>0</v>
      </c>
      <c r="AH412" s="1009">
        <f t="shared" si="171"/>
        <v>1</v>
      </c>
      <c r="AI412" s="1908">
        <f t="shared" si="162"/>
        <v>1</v>
      </c>
    </row>
    <row r="413" spans="1:35" ht="44.25" hidden="1" customHeight="1" x14ac:dyDescent="0.25">
      <c r="A413" s="1576" t="s">
        <v>881</v>
      </c>
      <c r="B413" s="1576"/>
      <c r="C413" s="1579" t="s">
        <v>1269</v>
      </c>
      <c r="D413" s="1580"/>
      <c r="E413" s="1661"/>
      <c r="F413" s="1662"/>
      <c r="G413" s="1580"/>
      <c r="H413" s="1667">
        <v>75560</v>
      </c>
      <c r="I413" s="1667">
        <v>20000</v>
      </c>
      <c r="J413" s="1581"/>
      <c r="K413" s="1581"/>
      <c r="L413" s="1581"/>
      <c r="M413" s="1581"/>
      <c r="N413" s="1667">
        <f>48000+O413</f>
        <v>68000</v>
      </c>
      <c r="O413" s="1667">
        <v>20000</v>
      </c>
      <c r="P413" s="1742"/>
      <c r="Q413" s="1742"/>
      <c r="R413" s="1591"/>
      <c r="S413" s="1667">
        <f>O413</f>
        <v>20000</v>
      </c>
      <c r="T413" s="1782"/>
      <c r="U413" s="1782"/>
      <c r="V413" s="1591"/>
      <c r="W413" s="1667"/>
      <c r="X413" s="1782"/>
      <c r="Y413" s="1782"/>
      <c r="Z413" s="1782"/>
      <c r="AA413" s="1782"/>
      <c r="AB413" s="1782"/>
      <c r="AC413" s="1782"/>
      <c r="AD413" s="1782"/>
      <c r="AE413" s="1782"/>
      <c r="AF413" s="1580"/>
      <c r="AG413" s="1009">
        <f t="shared" si="165"/>
        <v>0</v>
      </c>
      <c r="AH413" s="1009">
        <f t="shared" si="171"/>
        <v>0</v>
      </c>
      <c r="AI413" s="1908">
        <f t="shared" si="162"/>
        <v>1</v>
      </c>
    </row>
    <row r="414" spans="1:35" ht="104.25" hidden="1" customHeight="1" x14ac:dyDescent="0.25">
      <c r="A414" s="1576" t="s">
        <v>1267</v>
      </c>
      <c r="B414" s="1576" t="s">
        <v>1267</v>
      </c>
      <c r="C414" s="1579" t="s">
        <v>1266</v>
      </c>
      <c r="D414" s="1580"/>
      <c r="E414" s="1661"/>
      <c r="F414" s="1662"/>
      <c r="G414" s="1580"/>
      <c r="H414" s="1667"/>
      <c r="I414" s="1667"/>
      <c r="J414" s="1581"/>
      <c r="K414" s="1581"/>
      <c r="L414" s="1581"/>
      <c r="M414" s="1581"/>
      <c r="N414" s="1667">
        <v>98000</v>
      </c>
      <c r="O414" s="1667">
        <f>N414</f>
        <v>98000</v>
      </c>
      <c r="P414" s="1742">
        <f>Q414</f>
        <v>98000</v>
      </c>
      <c r="Q414" s="1742">
        <v>98000</v>
      </c>
      <c r="R414" s="1591"/>
      <c r="S414" s="1591"/>
      <c r="T414" s="1583">
        <f>U414</f>
        <v>98000</v>
      </c>
      <c r="U414" s="1583">
        <v>98000</v>
      </c>
      <c r="V414" s="1591"/>
      <c r="W414" s="1591"/>
      <c r="X414" s="1583">
        <f>Y414</f>
        <v>98000</v>
      </c>
      <c r="Y414" s="1583">
        <v>98000</v>
      </c>
      <c r="Z414" s="1583">
        <v>98238</v>
      </c>
      <c r="AA414" s="1583">
        <v>98238</v>
      </c>
      <c r="AB414" s="1583"/>
      <c r="AC414" s="1583"/>
      <c r="AD414" s="1583">
        <f>AE414</f>
        <v>98238</v>
      </c>
      <c r="AE414" s="1583">
        <f>AA414+AB414</f>
        <v>98238</v>
      </c>
      <c r="AF414" s="1585"/>
      <c r="AG414" s="1009">
        <f t="shared" si="165"/>
        <v>0</v>
      </c>
      <c r="AH414" s="1009">
        <f t="shared" si="171"/>
        <v>1</v>
      </c>
      <c r="AI414" s="1908"/>
    </row>
    <row r="415" spans="1:35" ht="27" customHeight="1" x14ac:dyDescent="0.25">
      <c r="A415" s="1576" t="s">
        <v>1265</v>
      </c>
      <c r="B415" s="1576" t="s">
        <v>1265</v>
      </c>
      <c r="C415" s="1579" t="s">
        <v>1264</v>
      </c>
      <c r="D415" s="1580"/>
      <c r="E415" s="1580"/>
      <c r="F415" s="1580"/>
      <c r="G415" s="1580"/>
      <c r="H415" s="1583">
        <f t="shared" ref="H415:AD415" si="173">H416+H446+H464+H500+H523+H544+H565+H602+H643</f>
        <v>2180773</v>
      </c>
      <c r="I415" s="1583">
        <f t="shared" si="173"/>
        <v>2122788</v>
      </c>
      <c r="J415" s="1583">
        <f t="shared" si="173"/>
        <v>144200</v>
      </c>
      <c r="K415" s="1583">
        <f t="shared" si="173"/>
        <v>144200</v>
      </c>
      <c r="L415" s="1583">
        <f t="shared" si="173"/>
        <v>144200</v>
      </c>
      <c r="M415" s="1583">
        <f t="shared" si="173"/>
        <v>144200</v>
      </c>
      <c r="N415" s="1583">
        <f t="shared" si="173"/>
        <v>848182</v>
      </c>
      <c r="O415" s="1583">
        <f t="shared" si="173"/>
        <v>839287</v>
      </c>
      <c r="P415" s="1583">
        <f t="shared" si="173"/>
        <v>848182</v>
      </c>
      <c r="Q415" s="1583">
        <f t="shared" si="173"/>
        <v>839287</v>
      </c>
      <c r="R415" s="1583">
        <f t="shared" si="173"/>
        <v>132645</v>
      </c>
      <c r="S415" s="1583">
        <f t="shared" si="173"/>
        <v>132645</v>
      </c>
      <c r="T415" s="1583">
        <f t="shared" si="173"/>
        <v>863182</v>
      </c>
      <c r="U415" s="1583">
        <f t="shared" si="173"/>
        <v>801897</v>
      </c>
      <c r="V415" s="1583">
        <f t="shared" si="173"/>
        <v>457999</v>
      </c>
      <c r="W415" s="1583">
        <f t="shared" si="173"/>
        <v>50710</v>
      </c>
      <c r="X415" s="1583">
        <f t="shared" si="173"/>
        <v>1270471</v>
      </c>
      <c r="Y415" s="1583">
        <f t="shared" si="173"/>
        <v>1246576</v>
      </c>
      <c r="Z415" s="1583">
        <v>1272544</v>
      </c>
      <c r="AA415" s="1583">
        <v>1248040</v>
      </c>
      <c r="AB415" s="1583">
        <f>AB643</f>
        <v>16957</v>
      </c>
      <c r="AC415" s="1925">
        <f>AC446</f>
        <v>-3300</v>
      </c>
      <c r="AD415" s="1583">
        <f t="shared" si="173"/>
        <v>1286201</v>
      </c>
      <c r="AE415" s="1583">
        <f>AE416+AE446+AE464+AE500+AE523+AE544+AE565+AE602+AE643</f>
        <v>1261697</v>
      </c>
      <c r="AF415" s="1585"/>
      <c r="AG415" s="1009">
        <f t="shared" si="165"/>
        <v>1</v>
      </c>
      <c r="AH415" s="1009">
        <f t="shared" si="171"/>
        <v>1</v>
      </c>
      <c r="AI415" s="1908">
        <f t="shared" si="162"/>
        <v>1</v>
      </c>
    </row>
    <row r="416" spans="1:35" ht="28.5" hidden="1" customHeight="1" x14ac:dyDescent="0.25">
      <c r="A416" s="1576">
        <v>1</v>
      </c>
      <c r="B416" s="1576">
        <v>1</v>
      </c>
      <c r="C416" s="1668" t="s">
        <v>1263</v>
      </c>
      <c r="D416" s="1616"/>
      <c r="E416" s="1669"/>
      <c r="F416" s="1669"/>
      <c r="G416" s="1669"/>
      <c r="H416" s="1667">
        <f t="shared" ref="H416:M416" si="174">H417+H423</f>
        <v>211165</v>
      </c>
      <c r="I416" s="1667">
        <f t="shared" si="174"/>
        <v>211165</v>
      </c>
      <c r="J416" s="1667">
        <f t="shared" si="174"/>
        <v>31200</v>
      </c>
      <c r="K416" s="1667">
        <f t="shared" si="174"/>
        <v>31200</v>
      </c>
      <c r="L416" s="1667">
        <f t="shared" si="174"/>
        <v>31200</v>
      </c>
      <c r="M416" s="1670">
        <f t="shared" si="174"/>
        <v>31200</v>
      </c>
      <c r="N416" s="1670">
        <f t="shared" ref="N416:AE416" si="175">N417+N423</f>
        <v>80000</v>
      </c>
      <c r="O416" s="1670">
        <f t="shared" si="175"/>
        <v>80000</v>
      </c>
      <c r="P416" s="1670">
        <f t="shared" si="175"/>
        <v>80000</v>
      </c>
      <c r="Q416" s="1670">
        <f t="shared" si="175"/>
        <v>80000</v>
      </c>
      <c r="R416" s="1670">
        <f t="shared" si="175"/>
        <v>9088</v>
      </c>
      <c r="S416" s="1670">
        <f t="shared" si="175"/>
        <v>9088</v>
      </c>
      <c r="T416" s="1670">
        <f t="shared" si="175"/>
        <v>80000</v>
      </c>
      <c r="U416" s="1670">
        <f t="shared" si="175"/>
        <v>80000</v>
      </c>
      <c r="V416" s="1670">
        <f t="shared" si="175"/>
        <v>30700</v>
      </c>
      <c r="W416" s="1670">
        <f t="shared" si="175"/>
        <v>0</v>
      </c>
      <c r="X416" s="1670">
        <f t="shared" si="175"/>
        <v>110700</v>
      </c>
      <c r="Y416" s="1670">
        <f t="shared" si="175"/>
        <v>110700</v>
      </c>
      <c r="Z416" s="1670">
        <v>105700</v>
      </c>
      <c r="AA416" s="1670">
        <v>105700</v>
      </c>
      <c r="AB416" s="1676">
        <v>93846</v>
      </c>
      <c r="AC416" s="1676">
        <v>93846</v>
      </c>
      <c r="AD416" s="1670">
        <f t="shared" si="175"/>
        <v>105700</v>
      </c>
      <c r="AE416" s="1670">
        <f t="shared" si="175"/>
        <v>105700</v>
      </c>
      <c r="AF416" s="1671"/>
      <c r="AG416" s="1009">
        <f t="shared" si="165"/>
        <v>0</v>
      </c>
      <c r="AH416" s="1009">
        <f t="shared" si="171"/>
        <v>1</v>
      </c>
      <c r="AI416" s="1908">
        <f t="shared" si="162"/>
        <v>1</v>
      </c>
    </row>
    <row r="417" spans="1:35" ht="57.75" hidden="1" customHeight="1" x14ac:dyDescent="0.25">
      <c r="A417" s="1600" t="s">
        <v>2781</v>
      </c>
      <c r="B417" s="1600"/>
      <c r="C417" s="1602" t="s">
        <v>46</v>
      </c>
      <c r="D417" s="1603"/>
      <c r="E417" s="1603"/>
      <c r="F417" s="1603"/>
      <c r="G417" s="1603"/>
      <c r="H417" s="1604">
        <f t="shared" ref="H417:AE417" si="176">H418</f>
        <v>53470</v>
      </c>
      <c r="I417" s="1604">
        <f t="shared" si="176"/>
        <v>53470</v>
      </c>
      <c r="J417" s="1604">
        <f t="shared" si="176"/>
        <v>31200</v>
      </c>
      <c r="K417" s="1604">
        <f t="shared" si="176"/>
        <v>31200</v>
      </c>
      <c r="L417" s="1604">
        <f t="shared" si="176"/>
        <v>31200</v>
      </c>
      <c r="M417" s="1605">
        <f t="shared" si="176"/>
        <v>31200</v>
      </c>
      <c r="N417" s="1605">
        <f t="shared" si="176"/>
        <v>11880</v>
      </c>
      <c r="O417" s="1605">
        <f t="shared" si="176"/>
        <v>11880</v>
      </c>
      <c r="P417" s="1605">
        <f t="shared" si="176"/>
        <v>11880</v>
      </c>
      <c r="Q417" s="1605">
        <f t="shared" si="176"/>
        <v>11880</v>
      </c>
      <c r="R417" s="1605">
        <f t="shared" si="176"/>
        <v>0</v>
      </c>
      <c r="S417" s="1605">
        <f t="shared" si="176"/>
        <v>0</v>
      </c>
      <c r="T417" s="1605">
        <f t="shared" si="176"/>
        <v>11880</v>
      </c>
      <c r="U417" s="1605">
        <f t="shared" si="176"/>
        <v>11880</v>
      </c>
      <c r="V417" s="1605">
        <f t="shared" si="176"/>
        <v>0</v>
      </c>
      <c r="W417" s="1605">
        <f t="shared" si="176"/>
        <v>0</v>
      </c>
      <c r="X417" s="1605">
        <f t="shared" si="176"/>
        <v>11880</v>
      </c>
      <c r="Y417" s="1605">
        <f t="shared" si="176"/>
        <v>11880</v>
      </c>
      <c r="Z417" s="1605">
        <v>11880</v>
      </c>
      <c r="AA417" s="1605">
        <v>11880</v>
      </c>
      <c r="AB417" s="1604">
        <v>93846</v>
      </c>
      <c r="AC417" s="1604">
        <v>93846</v>
      </c>
      <c r="AD417" s="1605">
        <f t="shared" si="176"/>
        <v>11880</v>
      </c>
      <c r="AE417" s="1605">
        <f t="shared" si="176"/>
        <v>11880</v>
      </c>
      <c r="AF417" s="1606"/>
      <c r="AG417" s="1009">
        <f t="shared" si="165"/>
        <v>0</v>
      </c>
      <c r="AH417" s="1009">
        <f t="shared" si="171"/>
        <v>1</v>
      </c>
      <c r="AI417" s="1908">
        <f t="shared" si="162"/>
        <v>1</v>
      </c>
    </row>
    <row r="418" spans="1:35" ht="39.75" hidden="1" customHeight="1" x14ac:dyDescent="0.25">
      <c r="A418" s="1601"/>
      <c r="B418" s="1601"/>
      <c r="C418" s="1602" t="s">
        <v>48</v>
      </c>
      <c r="D418" s="1603"/>
      <c r="E418" s="1603"/>
      <c r="F418" s="1603"/>
      <c r="G418" s="1603"/>
      <c r="H418" s="1604">
        <f t="shared" ref="H418:M418" si="177">SUM(H421:H422)</f>
        <v>53470</v>
      </c>
      <c r="I418" s="1604">
        <f t="shared" si="177"/>
        <v>53470</v>
      </c>
      <c r="J418" s="1604">
        <f t="shared" si="177"/>
        <v>31200</v>
      </c>
      <c r="K418" s="1604">
        <f t="shared" si="177"/>
        <v>31200</v>
      </c>
      <c r="L418" s="1604">
        <f t="shared" si="177"/>
        <v>31200</v>
      </c>
      <c r="M418" s="1605">
        <f t="shared" si="177"/>
        <v>31200</v>
      </c>
      <c r="N418" s="1605">
        <f t="shared" ref="N418:AE418" si="178">SUM(N421:N422)</f>
        <v>11880</v>
      </c>
      <c r="O418" s="1605">
        <f t="shared" si="178"/>
        <v>11880</v>
      </c>
      <c r="P418" s="1605">
        <f t="shared" si="178"/>
        <v>11880</v>
      </c>
      <c r="Q418" s="1605">
        <f t="shared" si="178"/>
        <v>11880</v>
      </c>
      <c r="R418" s="1605">
        <f t="shared" si="178"/>
        <v>0</v>
      </c>
      <c r="S418" s="1605">
        <f t="shared" si="178"/>
        <v>0</v>
      </c>
      <c r="T418" s="1605">
        <f t="shared" si="178"/>
        <v>11880</v>
      </c>
      <c r="U418" s="1605">
        <f t="shared" si="178"/>
        <v>11880</v>
      </c>
      <c r="V418" s="1605">
        <f t="shared" si="178"/>
        <v>0</v>
      </c>
      <c r="W418" s="1605">
        <f t="shared" si="178"/>
        <v>0</v>
      </c>
      <c r="X418" s="1605">
        <f t="shared" si="178"/>
        <v>11880</v>
      </c>
      <c r="Y418" s="1605">
        <f t="shared" si="178"/>
        <v>11880</v>
      </c>
      <c r="Z418" s="1605">
        <v>11880</v>
      </c>
      <c r="AA418" s="1605">
        <v>11880</v>
      </c>
      <c r="AB418" s="1789">
        <v>15000</v>
      </c>
      <c r="AC418" s="1789">
        <v>15000</v>
      </c>
      <c r="AD418" s="1605">
        <f t="shared" si="178"/>
        <v>11880</v>
      </c>
      <c r="AE418" s="1605">
        <f t="shared" si="178"/>
        <v>11880</v>
      </c>
      <c r="AF418" s="1606"/>
      <c r="AG418" s="1009">
        <f t="shared" si="165"/>
        <v>0</v>
      </c>
      <c r="AH418" s="1009">
        <f t="shared" si="171"/>
        <v>1</v>
      </c>
      <c r="AI418" s="1908">
        <f t="shared" si="162"/>
        <v>1</v>
      </c>
    </row>
    <row r="419" spans="1:35" ht="22.5" hidden="1" customHeight="1" x14ac:dyDescent="0.25">
      <c r="A419" s="1601"/>
      <c r="B419" s="1601"/>
      <c r="C419" s="1602" t="s">
        <v>49</v>
      </c>
      <c r="D419" s="1743"/>
      <c r="E419" s="1743"/>
      <c r="F419" s="1743"/>
      <c r="G419" s="1743"/>
      <c r="H419" s="1744"/>
      <c r="I419" s="1744"/>
      <c r="J419" s="1744"/>
      <c r="K419" s="1744"/>
      <c r="L419" s="1744"/>
      <c r="M419" s="1744"/>
      <c r="N419" s="1744"/>
      <c r="O419" s="1744"/>
      <c r="P419" s="1745"/>
      <c r="Q419" s="1745"/>
      <c r="R419" s="1591"/>
      <c r="S419" s="1591"/>
      <c r="T419" s="1739"/>
      <c r="U419" s="1739"/>
      <c r="V419" s="1591"/>
      <c r="W419" s="1591"/>
      <c r="X419" s="1739"/>
      <c r="Y419" s="1739"/>
      <c r="Z419" s="1739"/>
      <c r="AA419" s="1739"/>
      <c r="AB419" s="1739"/>
      <c r="AC419" s="1739"/>
      <c r="AD419" s="1739"/>
      <c r="AE419" s="1739"/>
      <c r="AF419" s="1681"/>
      <c r="AG419" s="1009">
        <f t="shared" si="165"/>
        <v>0</v>
      </c>
      <c r="AH419" s="1009">
        <f t="shared" si="171"/>
        <v>0</v>
      </c>
      <c r="AI419" s="1908">
        <f t="shared" si="162"/>
        <v>1</v>
      </c>
    </row>
    <row r="420" spans="1:35" ht="72.75" hidden="1" customHeight="1" x14ac:dyDescent="0.25">
      <c r="A420" s="1601" t="s">
        <v>2782</v>
      </c>
      <c r="B420" s="1601"/>
      <c r="C420" s="1746" t="s">
        <v>50</v>
      </c>
      <c r="D420" s="1603"/>
      <c r="E420" s="1603"/>
      <c r="F420" s="1603"/>
      <c r="G420" s="1603"/>
      <c r="H420" s="1604"/>
      <c r="I420" s="1604"/>
      <c r="J420" s="1604"/>
      <c r="K420" s="1604"/>
      <c r="L420" s="1604"/>
      <c r="M420" s="1604"/>
      <c r="N420" s="1604"/>
      <c r="O420" s="1604"/>
      <c r="P420" s="1605"/>
      <c r="Q420" s="1605"/>
      <c r="R420" s="1591"/>
      <c r="S420" s="1591"/>
      <c r="T420" s="1741"/>
      <c r="U420" s="1741"/>
      <c r="V420" s="1591"/>
      <c r="W420" s="1591"/>
      <c r="X420" s="1741"/>
      <c r="Y420" s="1741"/>
      <c r="Z420" s="1741"/>
      <c r="AA420" s="1741"/>
      <c r="AB420" s="1741"/>
      <c r="AC420" s="1741"/>
      <c r="AD420" s="1741"/>
      <c r="AE420" s="1741"/>
      <c r="AF420" s="1606"/>
      <c r="AG420" s="1009">
        <f t="shared" si="165"/>
        <v>0</v>
      </c>
      <c r="AH420" s="1009">
        <f t="shared" si="171"/>
        <v>0</v>
      </c>
      <c r="AI420" s="1908">
        <f t="shared" si="162"/>
        <v>1</v>
      </c>
    </row>
    <row r="421" spans="1:35" ht="33" hidden="1" x14ac:dyDescent="0.25">
      <c r="A421" s="1677" t="s">
        <v>2783</v>
      </c>
      <c r="B421" s="1677"/>
      <c r="C421" s="1587" t="s">
        <v>1262</v>
      </c>
      <c r="D421" s="1608" t="s">
        <v>1249</v>
      </c>
      <c r="E421" s="1608"/>
      <c r="F421" s="1646" t="s">
        <v>97</v>
      </c>
      <c r="G421" s="1608" t="s">
        <v>1261</v>
      </c>
      <c r="H421" s="1673">
        <v>47970</v>
      </c>
      <c r="I421" s="1756">
        <f>H421</f>
        <v>47970</v>
      </c>
      <c r="J421" s="1747">
        <f>K421</f>
        <v>30000</v>
      </c>
      <c r="K421" s="1747">
        <v>30000</v>
      </c>
      <c r="L421" s="1747">
        <f>M421</f>
        <v>30000</v>
      </c>
      <c r="M421" s="1747">
        <v>30000</v>
      </c>
      <c r="N421" s="1664">
        <v>8400</v>
      </c>
      <c r="O421" s="1664">
        <f>N421</f>
        <v>8400</v>
      </c>
      <c r="P421" s="1748">
        <v>8400</v>
      </c>
      <c r="Q421" s="1748">
        <v>8400</v>
      </c>
      <c r="R421" s="1591"/>
      <c r="S421" s="1591"/>
      <c r="T421" s="1623">
        <v>8400</v>
      </c>
      <c r="U421" s="1623">
        <v>8400</v>
      </c>
      <c r="V421" s="1591"/>
      <c r="W421" s="1591"/>
      <c r="X421" s="1623">
        <v>8400</v>
      </c>
      <c r="Y421" s="1623">
        <v>8400</v>
      </c>
      <c r="Z421" s="1623">
        <v>8400</v>
      </c>
      <c r="AA421" s="1623">
        <v>8400</v>
      </c>
      <c r="AB421" s="1623"/>
      <c r="AC421" s="1623"/>
      <c r="AD421" s="1623">
        <f t="shared" ref="AD421:AD422" si="179">AE421</f>
        <v>8400</v>
      </c>
      <c r="AE421" s="1623">
        <f>AA421+AB421+AC421</f>
        <v>8400</v>
      </c>
      <c r="AF421" s="1599"/>
      <c r="AG421" s="1009">
        <f t="shared" si="165"/>
        <v>0</v>
      </c>
      <c r="AH421" s="1009">
        <f t="shared" si="171"/>
        <v>1</v>
      </c>
      <c r="AI421" s="1908">
        <f t="shared" si="162"/>
        <v>1</v>
      </c>
    </row>
    <row r="422" spans="1:35" ht="69.75" hidden="1" customHeight="1" x14ac:dyDescent="0.25">
      <c r="A422" s="1677" t="s">
        <v>2784</v>
      </c>
      <c r="B422" s="1677"/>
      <c r="C422" s="1587" t="s">
        <v>1260</v>
      </c>
      <c r="D422" s="1608" t="s">
        <v>1259</v>
      </c>
      <c r="E422" s="1608" t="s">
        <v>1258</v>
      </c>
      <c r="F422" s="1646" t="s">
        <v>248</v>
      </c>
      <c r="G422" s="1608"/>
      <c r="H422" s="1673">
        <v>5500</v>
      </c>
      <c r="I422" s="1756">
        <f>H422</f>
        <v>5500</v>
      </c>
      <c r="J422" s="1747">
        <v>1200</v>
      </c>
      <c r="K422" s="1747">
        <f>J422</f>
        <v>1200</v>
      </c>
      <c r="L422" s="1747">
        <v>1200</v>
      </c>
      <c r="M422" s="1747">
        <f>L422</f>
        <v>1200</v>
      </c>
      <c r="N422" s="1664">
        <f>O422</f>
        <v>3480</v>
      </c>
      <c r="O422" s="1664">
        <v>3480</v>
      </c>
      <c r="P422" s="1748">
        <v>3480</v>
      </c>
      <c r="Q422" s="1748">
        <v>3480</v>
      </c>
      <c r="R422" s="1591"/>
      <c r="S422" s="1591"/>
      <c r="T422" s="1623">
        <v>3480</v>
      </c>
      <c r="U422" s="1623">
        <v>3480</v>
      </c>
      <c r="V422" s="1591"/>
      <c r="W422" s="1591"/>
      <c r="X422" s="1623">
        <v>3480</v>
      </c>
      <c r="Y422" s="1623">
        <v>3480</v>
      </c>
      <c r="Z422" s="1623">
        <v>3480</v>
      </c>
      <c r="AA422" s="1623">
        <v>3480</v>
      </c>
      <c r="AB422" s="1623"/>
      <c r="AC422" s="1623"/>
      <c r="AD422" s="1623">
        <f t="shared" si="179"/>
        <v>3480</v>
      </c>
      <c r="AE422" s="1623">
        <f>AA422+AB422+AC422</f>
        <v>3480</v>
      </c>
      <c r="AF422" s="1599"/>
      <c r="AG422" s="1009">
        <f t="shared" si="165"/>
        <v>0</v>
      </c>
      <c r="AH422" s="1009">
        <f t="shared" si="171"/>
        <v>1</v>
      </c>
      <c r="AI422" s="1908">
        <f t="shared" si="162"/>
        <v>1</v>
      </c>
    </row>
    <row r="423" spans="1:35" ht="34.5" hidden="1" x14ac:dyDescent="0.25">
      <c r="A423" s="1600" t="s">
        <v>2789</v>
      </c>
      <c r="B423" s="1600" t="s">
        <v>2789</v>
      </c>
      <c r="C423" s="1602" t="s">
        <v>86</v>
      </c>
      <c r="D423" s="1603"/>
      <c r="E423" s="1603"/>
      <c r="F423" s="1603"/>
      <c r="G423" s="1603"/>
      <c r="H423" s="1604">
        <f t="shared" ref="H423:X423" si="180">H424+H432</f>
        <v>157695</v>
      </c>
      <c r="I423" s="1604">
        <f t="shared" si="180"/>
        <v>157695</v>
      </c>
      <c r="J423" s="1604">
        <f t="shared" si="180"/>
        <v>0</v>
      </c>
      <c r="K423" s="1604">
        <f t="shared" si="180"/>
        <v>0</v>
      </c>
      <c r="L423" s="1604">
        <f t="shared" si="180"/>
        <v>0</v>
      </c>
      <c r="M423" s="1604">
        <f t="shared" si="180"/>
        <v>0</v>
      </c>
      <c r="N423" s="1604">
        <f t="shared" si="180"/>
        <v>68120</v>
      </c>
      <c r="O423" s="1604">
        <f t="shared" si="180"/>
        <v>68120</v>
      </c>
      <c r="P423" s="1604">
        <f t="shared" si="180"/>
        <v>68120</v>
      </c>
      <c r="Q423" s="1604">
        <f t="shared" si="180"/>
        <v>68120</v>
      </c>
      <c r="R423" s="1604">
        <f t="shared" si="180"/>
        <v>9088</v>
      </c>
      <c r="S423" s="1604">
        <f t="shared" si="180"/>
        <v>9088</v>
      </c>
      <c r="T423" s="1604">
        <f t="shared" si="180"/>
        <v>68120</v>
      </c>
      <c r="U423" s="1604">
        <f t="shared" si="180"/>
        <v>68120</v>
      </c>
      <c r="V423" s="1604">
        <f t="shared" si="180"/>
        <v>30700</v>
      </c>
      <c r="W423" s="1604">
        <f t="shared" si="180"/>
        <v>0</v>
      </c>
      <c r="X423" s="1604">
        <f t="shared" si="180"/>
        <v>98820</v>
      </c>
      <c r="Y423" s="1604">
        <f>Y424+Y432</f>
        <v>98820</v>
      </c>
      <c r="Z423" s="1604">
        <v>93820</v>
      </c>
      <c r="AA423" s="1604">
        <v>93820</v>
      </c>
      <c r="AB423" s="1604"/>
      <c r="AC423" s="1605"/>
      <c r="AD423" s="1604">
        <f t="shared" ref="AD423" si="181">AD424+AD432</f>
        <v>93820</v>
      </c>
      <c r="AE423" s="1604">
        <f>AE424+AE432</f>
        <v>93820</v>
      </c>
      <c r="AF423" s="1606"/>
      <c r="AG423" s="1009">
        <f t="shared" si="165"/>
        <v>0</v>
      </c>
      <c r="AH423" s="1009">
        <f>IF(Y423=0,0,1)</f>
        <v>1</v>
      </c>
      <c r="AI423" s="1908">
        <f t="shared" si="162"/>
        <v>1</v>
      </c>
    </row>
    <row r="424" spans="1:35" ht="55.5" hidden="1" customHeight="1" x14ac:dyDescent="0.25">
      <c r="A424" s="1601" t="s">
        <v>2790</v>
      </c>
      <c r="B424" s="1601" t="s">
        <v>2790</v>
      </c>
      <c r="C424" s="1602" t="s">
        <v>88</v>
      </c>
      <c r="D424" s="1603"/>
      <c r="E424" s="1603"/>
      <c r="F424" s="1603"/>
      <c r="G424" s="1603"/>
      <c r="H424" s="1604">
        <f t="shared" ref="H424:X424" si="182">SUM(H425:H431)</f>
        <v>99834</v>
      </c>
      <c r="I424" s="1604">
        <f t="shared" si="182"/>
        <v>99834</v>
      </c>
      <c r="J424" s="1604">
        <f t="shared" si="182"/>
        <v>0</v>
      </c>
      <c r="K424" s="1604">
        <f t="shared" si="182"/>
        <v>0</v>
      </c>
      <c r="L424" s="1604">
        <f t="shared" si="182"/>
        <v>0</v>
      </c>
      <c r="M424" s="1604">
        <f t="shared" si="182"/>
        <v>0</v>
      </c>
      <c r="N424" s="1604">
        <f t="shared" si="182"/>
        <v>68120</v>
      </c>
      <c r="O424" s="1604">
        <f t="shared" si="182"/>
        <v>68120</v>
      </c>
      <c r="P424" s="1604">
        <f t="shared" si="182"/>
        <v>68120</v>
      </c>
      <c r="Q424" s="1604">
        <f t="shared" si="182"/>
        <v>68120</v>
      </c>
      <c r="R424" s="1604">
        <f t="shared" si="182"/>
        <v>9088</v>
      </c>
      <c r="S424" s="1604">
        <f t="shared" si="182"/>
        <v>9088</v>
      </c>
      <c r="T424" s="1604">
        <f t="shared" si="182"/>
        <v>68120</v>
      </c>
      <c r="U424" s="1604">
        <f t="shared" si="182"/>
        <v>68120</v>
      </c>
      <c r="V424" s="1604">
        <f t="shared" si="182"/>
        <v>0</v>
      </c>
      <c r="W424" s="1604">
        <f t="shared" si="182"/>
        <v>0</v>
      </c>
      <c r="X424" s="1604">
        <f t="shared" si="182"/>
        <v>68120</v>
      </c>
      <c r="Y424" s="1604">
        <f>SUM(Y425:Y431)</f>
        <v>68120</v>
      </c>
      <c r="Z424" s="1604">
        <v>59620</v>
      </c>
      <c r="AA424" s="1604">
        <v>59620</v>
      </c>
      <c r="AB424" s="1604"/>
      <c r="AC424" s="1605"/>
      <c r="AD424" s="1604">
        <f t="shared" ref="AD424" si="183">SUM(AD425:AD431)</f>
        <v>59620</v>
      </c>
      <c r="AE424" s="1604">
        <f>SUM(AE425:AE431)</f>
        <v>59620</v>
      </c>
      <c r="AF424" s="1606"/>
      <c r="AG424" s="1009">
        <f t="shared" si="165"/>
        <v>0</v>
      </c>
      <c r="AH424" s="1009">
        <f t="shared" si="171"/>
        <v>1</v>
      </c>
      <c r="AI424" s="1908">
        <f t="shared" si="162"/>
        <v>1</v>
      </c>
    </row>
    <row r="425" spans="1:35" ht="108" hidden="1" customHeight="1" x14ac:dyDescent="0.25">
      <c r="A425" s="1672" t="s">
        <v>2791</v>
      </c>
      <c r="B425" s="1672"/>
      <c r="C425" s="1587" t="s">
        <v>1257</v>
      </c>
      <c r="D425" s="1608" t="s">
        <v>1256</v>
      </c>
      <c r="E425" s="1611" t="s">
        <v>2159</v>
      </c>
      <c r="F425" s="1646" t="s">
        <v>116</v>
      </c>
      <c r="G425" s="1608"/>
      <c r="H425" s="1673">
        <v>4591</v>
      </c>
      <c r="I425" s="1673">
        <v>4591</v>
      </c>
      <c r="J425" s="1753"/>
      <c r="K425" s="1753"/>
      <c r="L425" s="1753"/>
      <c r="M425" s="1753"/>
      <c r="N425" s="1648">
        <v>4000</v>
      </c>
      <c r="O425" s="1690">
        <f>N425</f>
        <v>4000</v>
      </c>
      <c r="P425" s="1773">
        <v>4000</v>
      </c>
      <c r="Q425" s="1773">
        <v>4000</v>
      </c>
      <c r="R425" s="1591"/>
      <c r="S425" s="1591"/>
      <c r="T425" s="1628">
        <v>4000</v>
      </c>
      <c r="U425" s="1628">
        <v>4000</v>
      </c>
      <c r="V425" s="1591"/>
      <c r="W425" s="1591"/>
      <c r="X425" s="1628">
        <v>4000</v>
      </c>
      <c r="Y425" s="1628">
        <v>4000</v>
      </c>
      <c r="Z425" s="1628">
        <v>4000</v>
      </c>
      <c r="AA425" s="1628">
        <v>4000</v>
      </c>
      <c r="AB425" s="1628"/>
      <c r="AC425" s="1628"/>
      <c r="AD425" s="1623">
        <f t="shared" ref="AD425:AD431" si="184">AE425</f>
        <v>4000</v>
      </c>
      <c r="AE425" s="1623">
        <f t="shared" ref="AE425:AE431" si="185">AA425+AB425+AC425</f>
        <v>4000</v>
      </c>
      <c r="AF425" s="1637"/>
      <c r="AG425" s="1009">
        <f t="shared" si="165"/>
        <v>0</v>
      </c>
      <c r="AH425" s="1009">
        <f t="shared" si="171"/>
        <v>1</v>
      </c>
      <c r="AI425" s="1908">
        <f t="shared" si="162"/>
        <v>1</v>
      </c>
    </row>
    <row r="426" spans="1:35" ht="66" hidden="1" x14ac:dyDescent="0.25">
      <c r="A426" s="1672" t="s">
        <v>2792</v>
      </c>
      <c r="B426" s="1672"/>
      <c r="C426" s="1754" t="s">
        <v>1253</v>
      </c>
      <c r="D426" s="1608" t="s">
        <v>1252</v>
      </c>
      <c r="E426" s="1611" t="s">
        <v>1251</v>
      </c>
      <c r="F426" s="1646" t="s">
        <v>248</v>
      </c>
      <c r="G426" s="1608"/>
      <c r="H426" s="1783">
        <v>24000</v>
      </c>
      <c r="I426" s="1783">
        <v>24000</v>
      </c>
      <c r="J426" s="1747"/>
      <c r="K426" s="1747"/>
      <c r="L426" s="1747"/>
      <c r="M426" s="1747"/>
      <c r="N426" s="1648">
        <v>20000</v>
      </c>
      <c r="O426" s="1690">
        <f>N426</f>
        <v>20000</v>
      </c>
      <c r="P426" s="1748">
        <f>20000-1830</f>
        <v>18170</v>
      </c>
      <c r="Q426" s="1748">
        <f>20000-1830</f>
        <v>18170</v>
      </c>
      <c r="R426" s="1591"/>
      <c r="S426" s="1591">
        <f>O426-U426</f>
        <v>5168</v>
      </c>
      <c r="T426" s="1623">
        <f t="shared" ref="T426:T431" si="186">U426</f>
        <v>14832</v>
      </c>
      <c r="U426" s="1623">
        <v>14832</v>
      </c>
      <c r="V426" s="1591"/>
      <c r="W426" s="1591"/>
      <c r="X426" s="1623">
        <f t="shared" ref="X426:X431" si="187">Y426</f>
        <v>14832</v>
      </c>
      <c r="Y426" s="1623">
        <v>14832</v>
      </c>
      <c r="Z426" s="1623">
        <v>14832</v>
      </c>
      <c r="AA426" s="1623">
        <v>14832</v>
      </c>
      <c r="AB426" s="1623"/>
      <c r="AC426" s="1623"/>
      <c r="AD426" s="1623">
        <f t="shared" si="184"/>
        <v>14832</v>
      </c>
      <c r="AE426" s="1623">
        <f t="shared" si="185"/>
        <v>14832</v>
      </c>
      <c r="AF426" s="1599"/>
      <c r="AG426" s="1009">
        <f t="shared" si="165"/>
        <v>0</v>
      </c>
      <c r="AH426" s="1009">
        <f t="shared" si="171"/>
        <v>1</v>
      </c>
      <c r="AI426" s="1908">
        <f t="shared" si="162"/>
        <v>1</v>
      </c>
    </row>
    <row r="427" spans="1:35" ht="54" hidden="1" customHeight="1" x14ac:dyDescent="0.25">
      <c r="A427" s="1672" t="s">
        <v>2793</v>
      </c>
      <c r="B427" s="1672"/>
      <c r="C427" s="1754" t="s">
        <v>1250</v>
      </c>
      <c r="D427" s="1608" t="s">
        <v>1249</v>
      </c>
      <c r="E427" s="1611" t="s">
        <v>1248</v>
      </c>
      <c r="F427" s="1646" t="s">
        <v>248</v>
      </c>
      <c r="G427" s="1608"/>
      <c r="H427" s="1783">
        <v>13874</v>
      </c>
      <c r="I427" s="1783">
        <v>13874</v>
      </c>
      <c r="J427" s="1747"/>
      <c r="K427" s="1747"/>
      <c r="L427" s="1747"/>
      <c r="M427" s="1747"/>
      <c r="N427" s="1648">
        <v>11600</v>
      </c>
      <c r="O427" s="1690">
        <f>N427</f>
        <v>11600</v>
      </c>
      <c r="P427" s="1748">
        <f>Q427</f>
        <v>11000</v>
      </c>
      <c r="Q427" s="1748">
        <v>11000</v>
      </c>
      <c r="R427" s="1591"/>
      <c r="S427" s="1591">
        <f>O427-U427</f>
        <v>600</v>
      </c>
      <c r="T427" s="1623">
        <f t="shared" si="186"/>
        <v>11000</v>
      </c>
      <c r="U427" s="1623">
        <v>11000</v>
      </c>
      <c r="V427" s="1591"/>
      <c r="W427" s="1591"/>
      <c r="X427" s="1623">
        <f t="shared" si="187"/>
        <v>11000</v>
      </c>
      <c r="Y427" s="1623">
        <v>11000</v>
      </c>
      <c r="Z427" s="1623">
        <v>11000</v>
      </c>
      <c r="AA427" s="1623">
        <v>11000</v>
      </c>
      <c r="AB427" s="1623"/>
      <c r="AC427" s="1623"/>
      <c r="AD427" s="1623">
        <f t="shared" si="184"/>
        <v>11000</v>
      </c>
      <c r="AE427" s="1623">
        <f t="shared" si="185"/>
        <v>11000</v>
      </c>
      <c r="AF427" s="1599"/>
      <c r="AG427" s="1009">
        <f t="shared" si="165"/>
        <v>0</v>
      </c>
      <c r="AH427" s="1009">
        <f t="shared" si="171"/>
        <v>1</v>
      </c>
      <c r="AI427" s="1908">
        <f t="shared" si="162"/>
        <v>1</v>
      </c>
    </row>
    <row r="428" spans="1:35" ht="54.75" hidden="1" customHeight="1" x14ac:dyDescent="0.25">
      <c r="A428" s="1672" t="s">
        <v>2794</v>
      </c>
      <c r="B428" s="1672"/>
      <c r="C428" s="1754" t="s">
        <v>1247</v>
      </c>
      <c r="D428" s="1608" t="s">
        <v>1246</v>
      </c>
      <c r="E428" s="1611" t="s">
        <v>1245</v>
      </c>
      <c r="F428" s="1646" t="s">
        <v>248</v>
      </c>
      <c r="G428" s="1608"/>
      <c r="H428" s="1783">
        <v>32000</v>
      </c>
      <c r="I428" s="1783">
        <v>32000</v>
      </c>
      <c r="J428" s="1747"/>
      <c r="K428" s="1747"/>
      <c r="L428" s="1747"/>
      <c r="M428" s="1747"/>
      <c r="N428" s="1648">
        <v>23000</v>
      </c>
      <c r="O428" s="1690">
        <f>N428</f>
        <v>23000</v>
      </c>
      <c r="P428" s="1748">
        <f>Q428</f>
        <v>20200</v>
      </c>
      <c r="Q428" s="1748">
        <v>20200</v>
      </c>
      <c r="R428" s="1591"/>
      <c r="S428" s="1591">
        <f>O428-U428</f>
        <v>2800</v>
      </c>
      <c r="T428" s="1623">
        <f t="shared" si="186"/>
        <v>20200</v>
      </c>
      <c r="U428" s="1623">
        <v>20200</v>
      </c>
      <c r="V428" s="1591"/>
      <c r="W428" s="1591"/>
      <c r="X428" s="1623">
        <f t="shared" si="187"/>
        <v>20200</v>
      </c>
      <c r="Y428" s="1623">
        <v>20200</v>
      </c>
      <c r="Z428" s="1623">
        <v>20200</v>
      </c>
      <c r="AA428" s="1623">
        <v>20200</v>
      </c>
      <c r="AB428" s="1623"/>
      <c r="AC428" s="1623"/>
      <c r="AD428" s="1623">
        <f t="shared" si="184"/>
        <v>20200</v>
      </c>
      <c r="AE428" s="1623">
        <f t="shared" si="185"/>
        <v>20200</v>
      </c>
      <c r="AF428" s="1599"/>
      <c r="AG428" s="1009">
        <f t="shared" si="165"/>
        <v>0</v>
      </c>
      <c r="AH428" s="1009">
        <f t="shared" si="171"/>
        <v>1</v>
      </c>
      <c r="AI428" s="1908">
        <f t="shared" si="162"/>
        <v>1</v>
      </c>
    </row>
    <row r="429" spans="1:35" ht="39" hidden="1" customHeight="1" x14ac:dyDescent="0.25">
      <c r="A429" s="1672" t="s">
        <v>2795</v>
      </c>
      <c r="B429" s="1672" t="s">
        <v>2791</v>
      </c>
      <c r="C429" s="1587" t="s">
        <v>1244</v>
      </c>
      <c r="D429" s="1608" t="s">
        <v>1241</v>
      </c>
      <c r="E429" s="1646" t="s">
        <v>1240</v>
      </c>
      <c r="F429" s="1646" t="s">
        <v>116</v>
      </c>
      <c r="G429" s="1608"/>
      <c r="H429" s="1673">
        <v>14869</v>
      </c>
      <c r="I429" s="1673">
        <v>14869</v>
      </c>
      <c r="J429" s="1747"/>
      <c r="K429" s="1747"/>
      <c r="L429" s="1747"/>
      <c r="M429" s="1747"/>
      <c r="N429" s="1648">
        <v>9520</v>
      </c>
      <c r="O429" s="1690">
        <f>N429</f>
        <v>9520</v>
      </c>
      <c r="P429" s="1748">
        <f>Q429</f>
        <v>5300</v>
      </c>
      <c r="Q429" s="1748">
        <v>5300</v>
      </c>
      <c r="R429" s="1591"/>
      <c r="S429" s="1591">
        <f>O429-U429</f>
        <v>520</v>
      </c>
      <c r="T429" s="1623">
        <f t="shared" si="186"/>
        <v>9000</v>
      </c>
      <c r="U429" s="1623">
        <v>9000</v>
      </c>
      <c r="V429" s="1591"/>
      <c r="W429" s="1591"/>
      <c r="X429" s="1623">
        <f t="shared" si="187"/>
        <v>9000</v>
      </c>
      <c r="Y429" s="1623">
        <v>9000</v>
      </c>
      <c r="Z429" s="1623">
        <v>0</v>
      </c>
      <c r="AA429" s="1623">
        <v>0</v>
      </c>
      <c r="AB429" s="1623"/>
      <c r="AC429" s="1587"/>
      <c r="AD429" s="1623">
        <f t="shared" si="184"/>
        <v>0</v>
      </c>
      <c r="AE429" s="1623">
        <f t="shared" si="185"/>
        <v>0</v>
      </c>
      <c r="AF429" s="1580" t="s">
        <v>284</v>
      </c>
      <c r="AG429" s="1009">
        <f t="shared" si="165"/>
        <v>0</v>
      </c>
      <c r="AH429" s="1009">
        <f t="shared" si="171"/>
        <v>1</v>
      </c>
      <c r="AI429" s="1908">
        <f t="shared" si="162"/>
        <v>1</v>
      </c>
    </row>
    <row r="430" spans="1:35" ht="19.5" hidden="1" customHeight="1" x14ac:dyDescent="0.25">
      <c r="A430" s="1672" t="s">
        <v>2796</v>
      </c>
      <c r="B430" s="1672"/>
      <c r="C430" s="1587" t="s">
        <v>1243</v>
      </c>
      <c r="D430" s="1608" t="s">
        <v>1241</v>
      </c>
      <c r="E430" s="1646" t="s">
        <v>1240</v>
      </c>
      <c r="F430" s="1646" t="s">
        <v>116</v>
      </c>
      <c r="G430" s="1608"/>
      <c r="H430" s="1673">
        <f>I430</f>
        <v>6500</v>
      </c>
      <c r="I430" s="1673">
        <v>6500</v>
      </c>
      <c r="J430" s="1747"/>
      <c r="K430" s="1747"/>
      <c r="L430" s="1747"/>
      <c r="M430" s="1747"/>
      <c r="N430" s="1648"/>
      <c r="O430" s="1690"/>
      <c r="P430" s="1748">
        <f>Q430</f>
        <v>5850</v>
      </c>
      <c r="Q430" s="1748">
        <f>I430*0.9</f>
        <v>5850</v>
      </c>
      <c r="R430" s="1591">
        <f>U430-O430</f>
        <v>5850</v>
      </c>
      <c r="S430" s="1591"/>
      <c r="T430" s="1623">
        <f t="shared" si="186"/>
        <v>5850</v>
      </c>
      <c r="U430" s="1623">
        <v>5850</v>
      </c>
      <c r="V430" s="1591"/>
      <c r="W430" s="1591"/>
      <c r="X430" s="1623">
        <f t="shared" si="187"/>
        <v>5850</v>
      </c>
      <c r="Y430" s="1623">
        <v>5850</v>
      </c>
      <c r="Z430" s="1623">
        <v>5850</v>
      </c>
      <c r="AA430" s="1623">
        <v>5850</v>
      </c>
      <c r="AB430" s="1623"/>
      <c r="AC430" s="1587"/>
      <c r="AD430" s="1623">
        <f t="shared" si="184"/>
        <v>5850</v>
      </c>
      <c r="AE430" s="1623">
        <f t="shared" si="185"/>
        <v>5850</v>
      </c>
      <c r="AF430" s="1599"/>
      <c r="AG430" s="1009">
        <f t="shared" si="165"/>
        <v>0</v>
      </c>
      <c r="AH430" s="1009">
        <f t="shared" si="171"/>
        <v>1</v>
      </c>
      <c r="AI430" s="1908">
        <f t="shared" si="162"/>
        <v>1</v>
      </c>
    </row>
    <row r="431" spans="1:35" ht="28.5" hidden="1" customHeight="1" x14ac:dyDescent="0.25">
      <c r="A431" s="1672" t="s">
        <v>2797</v>
      </c>
      <c r="B431" s="1672" t="s">
        <v>2792</v>
      </c>
      <c r="C431" s="1587" t="s">
        <v>1242</v>
      </c>
      <c r="D431" s="1608" t="s">
        <v>1241</v>
      </c>
      <c r="E431" s="1646" t="s">
        <v>1240</v>
      </c>
      <c r="F431" s="1646" t="s">
        <v>116</v>
      </c>
      <c r="G431" s="1608"/>
      <c r="H431" s="1673">
        <f>I431</f>
        <v>4000</v>
      </c>
      <c r="I431" s="1673">
        <v>4000</v>
      </c>
      <c r="J431" s="1747"/>
      <c r="K431" s="1747"/>
      <c r="L431" s="1747"/>
      <c r="M431" s="1747"/>
      <c r="N431" s="1648"/>
      <c r="O431" s="1690"/>
      <c r="P431" s="1748">
        <f>Q431</f>
        <v>3600</v>
      </c>
      <c r="Q431" s="1748">
        <f>I431*0.9</f>
        <v>3600</v>
      </c>
      <c r="R431" s="1591">
        <f>U431-O431</f>
        <v>3238</v>
      </c>
      <c r="S431" s="1591"/>
      <c r="T431" s="1623">
        <f t="shared" si="186"/>
        <v>3238</v>
      </c>
      <c r="U431" s="1623">
        <v>3238</v>
      </c>
      <c r="V431" s="1591"/>
      <c r="W431" s="1591"/>
      <c r="X431" s="1623">
        <f t="shared" si="187"/>
        <v>3238</v>
      </c>
      <c r="Y431" s="1623">
        <v>3238</v>
      </c>
      <c r="Z431" s="1623">
        <v>3738</v>
      </c>
      <c r="AA431" s="1623">
        <v>3738</v>
      </c>
      <c r="AB431" s="1623"/>
      <c r="AC431" s="1587"/>
      <c r="AD431" s="1623">
        <f t="shared" si="184"/>
        <v>3738</v>
      </c>
      <c r="AE431" s="1623">
        <f t="shared" si="185"/>
        <v>3738</v>
      </c>
      <c r="AF431" s="1599"/>
      <c r="AG431" s="1009">
        <f t="shared" si="165"/>
        <v>0</v>
      </c>
      <c r="AH431" s="1009">
        <f t="shared" si="171"/>
        <v>1</v>
      </c>
      <c r="AI431" s="1908">
        <f t="shared" si="162"/>
        <v>1</v>
      </c>
    </row>
    <row r="432" spans="1:35" ht="54" hidden="1" customHeight="1" x14ac:dyDescent="0.25">
      <c r="A432" s="1601" t="s">
        <v>2807</v>
      </c>
      <c r="B432" s="1601" t="s">
        <v>2807</v>
      </c>
      <c r="C432" s="1602" t="s">
        <v>2074</v>
      </c>
      <c r="D432" s="1603"/>
      <c r="E432" s="1603"/>
      <c r="F432" s="1603"/>
      <c r="G432" s="1603"/>
      <c r="H432" s="1604">
        <f>SUM(H433:H445)</f>
        <v>57861</v>
      </c>
      <c r="I432" s="1604">
        <f>SUM(I433:I445)</f>
        <v>57861</v>
      </c>
      <c r="J432" s="1604">
        <f t="shared" ref="J432:W432" si="188">SUM(J433:J440)</f>
        <v>0</v>
      </c>
      <c r="K432" s="1604">
        <f t="shared" si="188"/>
        <v>0</v>
      </c>
      <c r="L432" s="1604">
        <f t="shared" si="188"/>
        <v>0</v>
      </c>
      <c r="M432" s="1604">
        <f t="shared" si="188"/>
        <v>0</v>
      </c>
      <c r="N432" s="1604">
        <f t="shared" si="188"/>
        <v>0</v>
      </c>
      <c r="O432" s="1604">
        <f t="shared" si="188"/>
        <v>0</v>
      </c>
      <c r="P432" s="1604">
        <f t="shared" si="188"/>
        <v>0</v>
      </c>
      <c r="Q432" s="1604">
        <f t="shared" si="188"/>
        <v>0</v>
      </c>
      <c r="R432" s="1604">
        <f t="shared" si="188"/>
        <v>0</v>
      </c>
      <c r="S432" s="1604">
        <f t="shared" si="188"/>
        <v>0</v>
      </c>
      <c r="T432" s="1604">
        <f t="shared" si="188"/>
        <v>0</v>
      </c>
      <c r="U432" s="1604">
        <f t="shared" si="188"/>
        <v>0</v>
      </c>
      <c r="V432" s="1604">
        <f>SUM(V433:V445)</f>
        <v>30700</v>
      </c>
      <c r="W432" s="1604">
        <f t="shared" si="188"/>
        <v>0</v>
      </c>
      <c r="X432" s="1604">
        <f>SUM(X433:X445)</f>
        <v>30700</v>
      </c>
      <c r="Y432" s="1604">
        <f>SUM(Y433:Y445)</f>
        <v>30700</v>
      </c>
      <c r="Z432" s="1604">
        <v>34200</v>
      </c>
      <c r="AA432" s="1604">
        <v>34200</v>
      </c>
      <c r="AB432" s="1604"/>
      <c r="AC432" s="1605"/>
      <c r="AD432" s="1604">
        <f>SUM(AD433:AD445)</f>
        <v>34200</v>
      </c>
      <c r="AE432" s="1604">
        <f>SUM(AE433:AE445)</f>
        <v>34200</v>
      </c>
      <c r="AF432" s="1606"/>
      <c r="AG432" s="1009">
        <f t="shared" si="165"/>
        <v>0</v>
      </c>
      <c r="AH432" s="1009">
        <f t="shared" si="171"/>
        <v>1</v>
      </c>
      <c r="AI432" s="1908">
        <f t="shared" ref="AI432:AI498" si="189">IF(I432-Y432&gt;=0,1,0)</f>
        <v>1</v>
      </c>
    </row>
    <row r="433" spans="1:35" ht="68.25" hidden="1" customHeight="1" x14ac:dyDescent="0.25">
      <c r="A433" s="1672" t="s">
        <v>2808</v>
      </c>
      <c r="B433" s="1672" t="s">
        <v>2808</v>
      </c>
      <c r="C433" s="1674" t="s">
        <v>2298</v>
      </c>
      <c r="D433" s="1588" t="s">
        <v>2313</v>
      </c>
      <c r="E433" s="1588" t="s">
        <v>398</v>
      </c>
      <c r="F433" s="1588" t="s">
        <v>1354</v>
      </c>
      <c r="G433" s="1608"/>
      <c r="H433" s="1587">
        <v>6400</v>
      </c>
      <c r="I433" s="1673">
        <f>H433</f>
        <v>6400</v>
      </c>
      <c r="J433" s="1747"/>
      <c r="K433" s="1747"/>
      <c r="L433" s="1747"/>
      <c r="M433" s="1747"/>
      <c r="N433" s="1648"/>
      <c r="O433" s="1690"/>
      <c r="P433" s="1748"/>
      <c r="Q433" s="1748"/>
      <c r="R433" s="1591"/>
      <c r="S433" s="1591"/>
      <c r="T433" s="1623"/>
      <c r="U433" s="1623"/>
      <c r="V433" s="1591">
        <v>3800</v>
      </c>
      <c r="W433" s="1591"/>
      <c r="X433" s="1623">
        <f>Y433</f>
        <v>3800</v>
      </c>
      <c r="Y433" s="1623">
        <f>V433</f>
        <v>3800</v>
      </c>
      <c r="Z433" s="1623">
        <v>6000</v>
      </c>
      <c r="AA433" s="1623">
        <v>6000</v>
      </c>
      <c r="AB433" s="1623"/>
      <c r="AC433" s="1587"/>
      <c r="AD433" s="1623">
        <f t="shared" ref="AD433:AD445" si="190">AE433</f>
        <v>6000</v>
      </c>
      <c r="AE433" s="1623">
        <f t="shared" ref="AE433:AE445" si="191">AA433+AB433+AC433</f>
        <v>6000</v>
      </c>
      <c r="AF433" s="1580"/>
      <c r="AG433" s="1009">
        <f t="shared" si="165"/>
        <v>0</v>
      </c>
      <c r="AH433" s="1009">
        <f t="shared" si="171"/>
        <v>1</v>
      </c>
      <c r="AI433" s="1908">
        <f t="shared" si="189"/>
        <v>1</v>
      </c>
    </row>
    <row r="434" spans="1:35" ht="35.25" hidden="1" customHeight="1" x14ac:dyDescent="0.25">
      <c r="A434" s="1672" t="s">
        <v>2809</v>
      </c>
      <c r="B434" s="1672" t="s">
        <v>2809</v>
      </c>
      <c r="C434" s="1674" t="s">
        <v>2299</v>
      </c>
      <c r="D434" s="1588" t="s">
        <v>2295</v>
      </c>
      <c r="E434" s="1588" t="s">
        <v>2309</v>
      </c>
      <c r="F434" s="1588" t="s">
        <v>1354</v>
      </c>
      <c r="G434" s="1608"/>
      <c r="H434" s="1587">
        <v>6000</v>
      </c>
      <c r="I434" s="1673">
        <f>H434</f>
        <v>6000</v>
      </c>
      <c r="J434" s="1747"/>
      <c r="K434" s="1747"/>
      <c r="L434" s="1747"/>
      <c r="M434" s="1747"/>
      <c r="N434" s="1648"/>
      <c r="O434" s="1690"/>
      <c r="P434" s="1748"/>
      <c r="Q434" s="1748"/>
      <c r="R434" s="1591"/>
      <c r="S434" s="1591"/>
      <c r="T434" s="1623"/>
      <c r="U434" s="1623"/>
      <c r="V434" s="1591">
        <v>3600</v>
      </c>
      <c r="W434" s="1591"/>
      <c r="X434" s="1623">
        <f t="shared" ref="X434:X445" si="192">Y434</f>
        <v>3600</v>
      </c>
      <c r="Y434" s="1623">
        <f t="shared" ref="Y434:Y445" si="193">V434</f>
        <v>3600</v>
      </c>
      <c r="Z434" s="1623">
        <v>4350</v>
      </c>
      <c r="AA434" s="1623">
        <v>4350</v>
      </c>
      <c r="AB434" s="1623"/>
      <c r="AC434" s="1587"/>
      <c r="AD434" s="1623">
        <f t="shared" si="190"/>
        <v>4350</v>
      </c>
      <c r="AE434" s="1623">
        <f t="shared" si="191"/>
        <v>4350</v>
      </c>
      <c r="AF434" s="1580"/>
      <c r="AG434" s="1009">
        <f t="shared" si="165"/>
        <v>0</v>
      </c>
      <c r="AH434" s="1009">
        <f t="shared" si="171"/>
        <v>1</v>
      </c>
      <c r="AI434" s="1908">
        <f t="shared" si="189"/>
        <v>1</v>
      </c>
    </row>
    <row r="435" spans="1:35" ht="53.25" hidden="1" customHeight="1" x14ac:dyDescent="0.25">
      <c r="A435" s="1672" t="s">
        <v>2810</v>
      </c>
      <c r="B435" s="1672" t="s">
        <v>2810</v>
      </c>
      <c r="C435" s="1674" t="s">
        <v>2342</v>
      </c>
      <c r="D435" s="1588" t="s">
        <v>1737</v>
      </c>
      <c r="E435" s="1588" t="s">
        <v>2344</v>
      </c>
      <c r="F435" s="1588" t="s">
        <v>162</v>
      </c>
      <c r="G435" s="1608"/>
      <c r="H435" s="1587">
        <f>I435</f>
        <v>13000</v>
      </c>
      <c r="I435" s="1587">
        <v>13000</v>
      </c>
      <c r="J435" s="1747"/>
      <c r="K435" s="1747"/>
      <c r="L435" s="1747"/>
      <c r="M435" s="1747"/>
      <c r="N435" s="1648"/>
      <c r="O435" s="1690"/>
      <c r="P435" s="1748"/>
      <c r="Q435" s="1748"/>
      <c r="R435" s="1591"/>
      <c r="S435" s="1591"/>
      <c r="T435" s="1623"/>
      <c r="U435" s="1623"/>
      <c r="V435" s="1591">
        <v>5000</v>
      </c>
      <c r="W435" s="1591"/>
      <c r="X435" s="1623">
        <f t="shared" si="192"/>
        <v>5000</v>
      </c>
      <c r="Y435" s="1623">
        <f t="shared" si="193"/>
        <v>5000</v>
      </c>
      <c r="Z435" s="1623">
        <v>7000</v>
      </c>
      <c r="AA435" s="1623">
        <v>7000</v>
      </c>
      <c r="AB435" s="1623"/>
      <c r="AC435" s="1587"/>
      <c r="AD435" s="1623">
        <f t="shared" si="190"/>
        <v>7000</v>
      </c>
      <c r="AE435" s="1623">
        <f t="shared" si="191"/>
        <v>7000</v>
      </c>
      <c r="AF435" s="1580"/>
      <c r="AG435" s="1009">
        <f t="shared" si="165"/>
        <v>0</v>
      </c>
      <c r="AH435" s="1009">
        <f t="shared" si="171"/>
        <v>1</v>
      </c>
      <c r="AI435" s="1908">
        <f t="shared" si="189"/>
        <v>1</v>
      </c>
    </row>
    <row r="436" spans="1:35" ht="46.5" hidden="1" customHeight="1" x14ac:dyDescent="0.25">
      <c r="A436" s="1672" t="s">
        <v>2811</v>
      </c>
      <c r="B436" s="1672" t="s">
        <v>2811</v>
      </c>
      <c r="C436" s="1674" t="s">
        <v>2343</v>
      </c>
      <c r="D436" s="1588" t="s">
        <v>2140</v>
      </c>
      <c r="E436" s="1588" t="s">
        <v>398</v>
      </c>
      <c r="F436" s="1588" t="s">
        <v>1354</v>
      </c>
      <c r="G436" s="1608"/>
      <c r="H436" s="1587">
        <f>I436</f>
        <v>10000</v>
      </c>
      <c r="I436" s="1587">
        <v>10000</v>
      </c>
      <c r="J436" s="1747"/>
      <c r="K436" s="1747"/>
      <c r="L436" s="1747"/>
      <c r="M436" s="1747"/>
      <c r="N436" s="1648"/>
      <c r="O436" s="1690"/>
      <c r="P436" s="1748"/>
      <c r="Q436" s="1748"/>
      <c r="R436" s="1591"/>
      <c r="S436" s="1591"/>
      <c r="T436" s="1623"/>
      <c r="U436" s="1623"/>
      <c r="V436" s="1591">
        <v>5000</v>
      </c>
      <c r="W436" s="1591"/>
      <c r="X436" s="1623">
        <f t="shared" si="192"/>
        <v>5000</v>
      </c>
      <c r="Y436" s="1623">
        <f t="shared" si="193"/>
        <v>5000</v>
      </c>
      <c r="Z436" s="1623">
        <v>0</v>
      </c>
      <c r="AA436" s="1623">
        <v>0</v>
      </c>
      <c r="AB436" s="1623"/>
      <c r="AC436" s="1587"/>
      <c r="AD436" s="1623">
        <f t="shared" si="190"/>
        <v>0</v>
      </c>
      <c r="AE436" s="1623">
        <f t="shared" si="191"/>
        <v>0</v>
      </c>
      <c r="AF436" s="1580" t="s">
        <v>284</v>
      </c>
      <c r="AG436" s="1009">
        <f t="shared" si="165"/>
        <v>0</v>
      </c>
      <c r="AH436" s="1009">
        <f t="shared" si="171"/>
        <v>1</v>
      </c>
      <c r="AI436" s="1908">
        <f t="shared" si="189"/>
        <v>1</v>
      </c>
    </row>
    <row r="437" spans="1:35" ht="69.75" hidden="1" customHeight="1" x14ac:dyDescent="0.25">
      <c r="A437" s="1672" t="s">
        <v>2812</v>
      </c>
      <c r="B437" s="1672" t="s">
        <v>2812</v>
      </c>
      <c r="C437" s="1674" t="s">
        <v>2301</v>
      </c>
      <c r="D437" s="1588" t="s">
        <v>2314</v>
      </c>
      <c r="E437" s="1588" t="s">
        <v>479</v>
      </c>
      <c r="F437" s="1588" t="s">
        <v>1354</v>
      </c>
      <c r="G437" s="1608"/>
      <c r="H437" s="1587">
        <v>2041</v>
      </c>
      <c r="I437" s="1673">
        <f t="shared" ref="I437:I445" si="194">H437</f>
        <v>2041</v>
      </c>
      <c r="J437" s="1747"/>
      <c r="K437" s="1747"/>
      <c r="L437" s="1747"/>
      <c r="M437" s="1747"/>
      <c r="N437" s="1648"/>
      <c r="O437" s="1690"/>
      <c r="P437" s="1748"/>
      <c r="Q437" s="1748"/>
      <c r="R437" s="1591"/>
      <c r="S437" s="1591"/>
      <c r="T437" s="1623"/>
      <c r="U437" s="1623"/>
      <c r="V437" s="1591">
        <v>1200</v>
      </c>
      <c r="W437" s="1591"/>
      <c r="X437" s="1623">
        <f t="shared" si="192"/>
        <v>1200</v>
      </c>
      <c r="Y437" s="1623">
        <f t="shared" si="193"/>
        <v>1200</v>
      </c>
      <c r="Z437" s="1623">
        <v>1600</v>
      </c>
      <c r="AA437" s="1623">
        <v>1600</v>
      </c>
      <c r="AB437" s="1623"/>
      <c r="AC437" s="1623"/>
      <c r="AD437" s="1623">
        <f t="shared" si="190"/>
        <v>1600</v>
      </c>
      <c r="AE437" s="1623">
        <f t="shared" si="191"/>
        <v>1600</v>
      </c>
      <c r="AF437" s="1580"/>
      <c r="AG437" s="1009">
        <f t="shared" si="165"/>
        <v>0</v>
      </c>
      <c r="AH437" s="1009">
        <f t="shared" si="171"/>
        <v>1</v>
      </c>
      <c r="AI437" s="1908">
        <f t="shared" si="189"/>
        <v>1</v>
      </c>
    </row>
    <row r="438" spans="1:35" ht="54.75" hidden="1" customHeight="1" x14ac:dyDescent="0.25">
      <c r="A438" s="1672" t="s">
        <v>2813</v>
      </c>
      <c r="B438" s="1672" t="s">
        <v>2813</v>
      </c>
      <c r="C438" s="1674" t="s">
        <v>2302</v>
      </c>
      <c r="D438" s="1588" t="s">
        <v>2294</v>
      </c>
      <c r="E438" s="1588" t="s">
        <v>2309</v>
      </c>
      <c r="F438" s="1588" t="s">
        <v>1354</v>
      </c>
      <c r="G438" s="1608"/>
      <c r="H438" s="1587">
        <v>3726</v>
      </c>
      <c r="I438" s="1673">
        <f t="shared" si="194"/>
        <v>3726</v>
      </c>
      <c r="J438" s="1747"/>
      <c r="K438" s="1747"/>
      <c r="L438" s="1747"/>
      <c r="M438" s="1747"/>
      <c r="N438" s="1648"/>
      <c r="O438" s="1690"/>
      <c r="P438" s="1748"/>
      <c r="Q438" s="1748"/>
      <c r="R438" s="1591"/>
      <c r="S438" s="1591"/>
      <c r="T438" s="1623"/>
      <c r="U438" s="1623"/>
      <c r="V438" s="1591">
        <v>2200</v>
      </c>
      <c r="W438" s="1591"/>
      <c r="X438" s="1623">
        <f t="shared" si="192"/>
        <v>2200</v>
      </c>
      <c r="Y438" s="1623">
        <f t="shared" si="193"/>
        <v>2200</v>
      </c>
      <c r="Z438" s="1623">
        <v>3000</v>
      </c>
      <c r="AA438" s="1623">
        <v>3000</v>
      </c>
      <c r="AB438" s="1623"/>
      <c r="AC438" s="1623"/>
      <c r="AD438" s="1623">
        <f t="shared" si="190"/>
        <v>3000</v>
      </c>
      <c r="AE438" s="1623">
        <f t="shared" si="191"/>
        <v>3000</v>
      </c>
      <c r="AF438" s="1580"/>
      <c r="AG438" s="1009">
        <f t="shared" si="165"/>
        <v>0</v>
      </c>
      <c r="AH438" s="1009">
        <f t="shared" si="171"/>
        <v>1</v>
      </c>
      <c r="AI438" s="1908">
        <f t="shared" si="189"/>
        <v>1</v>
      </c>
    </row>
    <row r="439" spans="1:35" ht="49.5" hidden="1" customHeight="1" x14ac:dyDescent="0.25">
      <c r="A439" s="1672" t="s">
        <v>2814</v>
      </c>
      <c r="B439" s="1672" t="s">
        <v>2814</v>
      </c>
      <c r="C439" s="1674" t="s">
        <v>2303</v>
      </c>
      <c r="D439" s="1588" t="s">
        <v>2296</v>
      </c>
      <c r="E439" s="1588" t="s">
        <v>2309</v>
      </c>
      <c r="F439" s="1588" t="s">
        <v>1354</v>
      </c>
      <c r="G439" s="1608"/>
      <c r="H439" s="1587">
        <v>1241</v>
      </c>
      <c r="I439" s="1673">
        <f t="shared" si="194"/>
        <v>1241</v>
      </c>
      <c r="J439" s="1747"/>
      <c r="K439" s="1747"/>
      <c r="L439" s="1747"/>
      <c r="M439" s="1747"/>
      <c r="N439" s="1648"/>
      <c r="O439" s="1690"/>
      <c r="P439" s="1748"/>
      <c r="Q439" s="1748"/>
      <c r="R439" s="1591"/>
      <c r="S439" s="1591"/>
      <c r="T439" s="1623"/>
      <c r="U439" s="1623"/>
      <c r="V439" s="1591">
        <v>700</v>
      </c>
      <c r="W439" s="1591"/>
      <c r="X439" s="1623">
        <f t="shared" si="192"/>
        <v>700</v>
      </c>
      <c r="Y439" s="1623">
        <f t="shared" si="193"/>
        <v>700</v>
      </c>
      <c r="Z439" s="1623">
        <v>1000</v>
      </c>
      <c r="AA439" s="1623">
        <v>1000</v>
      </c>
      <c r="AB439" s="1623"/>
      <c r="AC439" s="1623"/>
      <c r="AD439" s="1623">
        <f t="shared" si="190"/>
        <v>1000</v>
      </c>
      <c r="AE439" s="1623">
        <f t="shared" si="191"/>
        <v>1000</v>
      </c>
      <c r="AF439" s="1580"/>
      <c r="AG439" s="1009">
        <f t="shared" si="165"/>
        <v>0</v>
      </c>
      <c r="AH439" s="1009">
        <f t="shared" si="171"/>
        <v>1</v>
      </c>
      <c r="AI439" s="1908">
        <f t="shared" si="189"/>
        <v>1</v>
      </c>
    </row>
    <row r="440" spans="1:35" ht="53.25" hidden="1" customHeight="1" x14ac:dyDescent="0.25">
      <c r="A440" s="1672" t="s">
        <v>2815</v>
      </c>
      <c r="B440" s="1672"/>
      <c r="C440" s="1674" t="s">
        <v>2304</v>
      </c>
      <c r="D440" s="1588" t="s">
        <v>2296</v>
      </c>
      <c r="E440" s="1588" t="s">
        <v>2310</v>
      </c>
      <c r="F440" s="1588" t="s">
        <v>1354</v>
      </c>
      <c r="G440" s="1608"/>
      <c r="H440" s="1587">
        <v>1865</v>
      </c>
      <c r="I440" s="1673">
        <f t="shared" si="194"/>
        <v>1865</v>
      </c>
      <c r="J440" s="1747"/>
      <c r="K440" s="1747"/>
      <c r="L440" s="1747"/>
      <c r="M440" s="1747"/>
      <c r="N440" s="1648"/>
      <c r="O440" s="1690"/>
      <c r="P440" s="1748"/>
      <c r="Q440" s="1748"/>
      <c r="R440" s="1591"/>
      <c r="S440" s="1591"/>
      <c r="T440" s="1623"/>
      <c r="U440" s="1623"/>
      <c r="V440" s="1591">
        <v>1100</v>
      </c>
      <c r="W440" s="1591"/>
      <c r="X440" s="1623">
        <f t="shared" si="192"/>
        <v>1100</v>
      </c>
      <c r="Y440" s="1623">
        <f t="shared" si="193"/>
        <v>1100</v>
      </c>
      <c r="Z440" s="1623">
        <v>1100</v>
      </c>
      <c r="AA440" s="1623">
        <v>1100</v>
      </c>
      <c r="AB440" s="1623"/>
      <c r="AC440" s="1623"/>
      <c r="AD440" s="1623">
        <f t="shared" si="190"/>
        <v>1100</v>
      </c>
      <c r="AE440" s="1623">
        <f t="shared" si="191"/>
        <v>1100</v>
      </c>
      <c r="AF440" s="1580"/>
      <c r="AG440" s="1009">
        <f t="shared" si="165"/>
        <v>0</v>
      </c>
      <c r="AH440" s="1009">
        <f t="shared" si="171"/>
        <v>1</v>
      </c>
      <c r="AI440" s="1908">
        <f t="shared" si="189"/>
        <v>1</v>
      </c>
    </row>
    <row r="441" spans="1:35" ht="74.25" hidden="1" customHeight="1" x14ac:dyDescent="0.25">
      <c r="A441" s="1672" t="s">
        <v>2816</v>
      </c>
      <c r="B441" s="1672" t="s">
        <v>2815</v>
      </c>
      <c r="C441" s="1674" t="s">
        <v>2305</v>
      </c>
      <c r="D441" s="1588" t="s">
        <v>2313</v>
      </c>
      <c r="E441" s="1588" t="s">
        <v>398</v>
      </c>
      <c r="F441" s="1588" t="s">
        <v>1354</v>
      </c>
      <c r="G441" s="1608"/>
      <c r="H441" s="1587">
        <v>3868</v>
      </c>
      <c r="I441" s="1673">
        <f t="shared" si="194"/>
        <v>3868</v>
      </c>
      <c r="J441" s="1747"/>
      <c r="K441" s="1747"/>
      <c r="L441" s="1747"/>
      <c r="M441" s="1747"/>
      <c r="N441" s="1648"/>
      <c r="O441" s="1690"/>
      <c r="P441" s="1748"/>
      <c r="Q441" s="1748"/>
      <c r="R441" s="1591"/>
      <c r="S441" s="1591"/>
      <c r="T441" s="1623"/>
      <c r="U441" s="1623"/>
      <c r="V441" s="1591">
        <v>2300</v>
      </c>
      <c r="W441" s="1591"/>
      <c r="X441" s="1623">
        <f t="shared" si="192"/>
        <v>2300</v>
      </c>
      <c r="Y441" s="1623">
        <f t="shared" si="193"/>
        <v>2300</v>
      </c>
      <c r="Z441" s="1623">
        <v>3100</v>
      </c>
      <c r="AA441" s="1623">
        <v>3100</v>
      </c>
      <c r="AB441" s="1623"/>
      <c r="AC441" s="1623"/>
      <c r="AD441" s="1623">
        <f t="shared" si="190"/>
        <v>3100</v>
      </c>
      <c r="AE441" s="1623">
        <f t="shared" si="191"/>
        <v>3100</v>
      </c>
      <c r="AF441" s="1580"/>
      <c r="AG441" s="1009">
        <f t="shared" si="165"/>
        <v>0</v>
      </c>
      <c r="AH441" s="1009">
        <f t="shared" si="171"/>
        <v>1</v>
      </c>
      <c r="AI441" s="1908">
        <f t="shared" si="189"/>
        <v>1</v>
      </c>
    </row>
    <row r="442" spans="1:35" ht="49.5" hidden="1" customHeight="1" x14ac:dyDescent="0.25">
      <c r="A442" s="1672" t="s">
        <v>2817</v>
      </c>
      <c r="B442" s="1672"/>
      <c r="C442" s="1674" t="s">
        <v>2306</v>
      </c>
      <c r="D442" s="1588" t="s">
        <v>2315</v>
      </c>
      <c r="E442" s="1588" t="s">
        <v>2311</v>
      </c>
      <c r="F442" s="1588" t="s">
        <v>1354</v>
      </c>
      <c r="G442" s="1608"/>
      <c r="H442" s="1587">
        <v>1199</v>
      </c>
      <c r="I442" s="1673">
        <f t="shared" si="194"/>
        <v>1199</v>
      </c>
      <c r="J442" s="1747"/>
      <c r="K442" s="1747"/>
      <c r="L442" s="1747"/>
      <c r="M442" s="1747"/>
      <c r="N442" s="1648"/>
      <c r="O442" s="1690"/>
      <c r="P442" s="1748"/>
      <c r="Q442" s="1748"/>
      <c r="R442" s="1591"/>
      <c r="S442" s="1591"/>
      <c r="T442" s="1623"/>
      <c r="U442" s="1623"/>
      <c r="V442" s="1591">
        <v>700</v>
      </c>
      <c r="W442" s="1591"/>
      <c r="X442" s="1623">
        <f t="shared" si="192"/>
        <v>700</v>
      </c>
      <c r="Y442" s="1623">
        <f t="shared" si="193"/>
        <v>700</v>
      </c>
      <c r="Z442" s="1623">
        <v>700</v>
      </c>
      <c r="AA442" s="1623">
        <v>700</v>
      </c>
      <c r="AB442" s="1623"/>
      <c r="AC442" s="1623"/>
      <c r="AD442" s="1623">
        <f t="shared" si="190"/>
        <v>700</v>
      </c>
      <c r="AE442" s="1623">
        <f t="shared" si="191"/>
        <v>700</v>
      </c>
      <c r="AF442" s="1580"/>
      <c r="AG442" s="1009">
        <f t="shared" si="165"/>
        <v>0</v>
      </c>
      <c r="AH442" s="1009">
        <f t="shared" si="171"/>
        <v>1</v>
      </c>
      <c r="AI442" s="1908">
        <f t="shared" si="189"/>
        <v>1</v>
      </c>
    </row>
    <row r="443" spans="1:35" ht="49.5" hidden="1" customHeight="1" x14ac:dyDescent="0.25">
      <c r="A443" s="1672" t="s">
        <v>2818</v>
      </c>
      <c r="B443" s="1672" t="s">
        <v>2816</v>
      </c>
      <c r="C443" s="1674" t="s">
        <v>2307</v>
      </c>
      <c r="D443" s="1588" t="s">
        <v>2316</v>
      </c>
      <c r="E443" s="1588" t="s">
        <v>2312</v>
      </c>
      <c r="F443" s="1588" t="s">
        <v>1354</v>
      </c>
      <c r="G443" s="1608"/>
      <c r="H443" s="1587">
        <v>1158</v>
      </c>
      <c r="I443" s="1673">
        <f t="shared" si="194"/>
        <v>1158</v>
      </c>
      <c r="J443" s="1747"/>
      <c r="K443" s="1747"/>
      <c r="L443" s="1747"/>
      <c r="M443" s="1747"/>
      <c r="N443" s="1648"/>
      <c r="O443" s="1690"/>
      <c r="P443" s="1748"/>
      <c r="Q443" s="1748"/>
      <c r="R443" s="1591"/>
      <c r="S443" s="1591"/>
      <c r="T443" s="1623"/>
      <c r="U443" s="1623"/>
      <c r="V443" s="1591">
        <v>700</v>
      </c>
      <c r="W443" s="1591"/>
      <c r="X443" s="1623">
        <f t="shared" si="192"/>
        <v>700</v>
      </c>
      <c r="Y443" s="1623">
        <f t="shared" si="193"/>
        <v>700</v>
      </c>
      <c r="Z443" s="1623">
        <v>950</v>
      </c>
      <c r="AA443" s="1623">
        <v>950</v>
      </c>
      <c r="AB443" s="1623"/>
      <c r="AC443" s="1623"/>
      <c r="AD443" s="1623">
        <f t="shared" si="190"/>
        <v>950</v>
      </c>
      <c r="AE443" s="1623">
        <f t="shared" si="191"/>
        <v>950</v>
      </c>
      <c r="AF443" s="1580"/>
      <c r="AG443" s="1009">
        <f t="shared" si="165"/>
        <v>0</v>
      </c>
      <c r="AH443" s="1009">
        <f t="shared" si="171"/>
        <v>1</v>
      </c>
      <c r="AI443" s="1908">
        <f t="shared" si="189"/>
        <v>1</v>
      </c>
    </row>
    <row r="444" spans="1:35" ht="49.5" hidden="1" customHeight="1" x14ac:dyDescent="0.25">
      <c r="A444" s="1672" t="s">
        <v>2819</v>
      </c>
      <c r="B444" s="1672"/>
      <c r="C444" s="1674" t="s">
        <v>2308</v>
      </c>
      <c r="D444" s="1588" t="s">
        <v>2317</v>
      </c>
      <c r="E444" s="1588" t="s">
        <v>2312</v>
      </c>
      <c r="F444" s="1588" t="s">
        <v>1354</v>
      </c>
      <c r="G444" s="1608"/>
      <c r="H444" s="1587">
        <v>1163</v>
      </c>
      <c r="I444" s="1673">
        <f t="shared" si="194"/>
        <v>1163</v>
      </c>
      <c r="J444" s="1747"/>
      <c r="K444" s="1747"/>
      <c r="L444" s="1747"/>
      <c r="M444" s="1747"/>
      <c r="N444" s="1648"/>
      <c r="O444" s="1690"/>
      <c r="P444" s="1748"/>
      <c r="Q444" s="1748"/>
      <c r="R444" s="1591"/>
      <c r="S444" s="1591"/>
      <c r="T444" s="1623"/>
      <c r="U444" s="1623"/>
      <c r="V444" s="1591">
        <v>700</v>
      </c>
      <c r="W444" s="1591"/>
      <c r="X444" s="1623">
        <f t="shared" si="192"/>
        <v>700</v>
      </c>
      <c r="Y444" s="1623">
        <f t="shared" si="193"/>
        <v>700</v>
      </c>
      <c r="Z444" s="1623">
        <v>700</v>
      </c>
      <c r="AA444" s="1623">
        <v>700</v>
      </c>
      <c r="AB444" s="1623"/>
      <c r="AC444" s="1623"/>
      <c r="AD444" s="1623">
        <f t="shared" si="190"/>
        <v>700</v>
      </c>
      <c r="AE444" s="1623">
        <f t="shared" si="191"/>
        <v>700</v>
      </c>
      <c r="AF444" s="1580"/>
      <c r="AG444" s="1009">
        <f t="shared" si="165"/>
        <v>0</v>
      </c>
      <c r="AH444" s="1009">
        <f t="shared" si="171"/>
        <v>1</v>
      </c>
      <c r="AI444" s="1908">
        <f t="shared" si="189"/>
        <v>1</v>
      </c>
    </row>
    <row r="445" spans="1:35" ht="49.5" hidden="1" customHeight="1" x14ac:dyDescent="0.25">
      <c r="A445" s="1672" t="s">
        <v>2820</v>
      </c>
      <c r="B445" s="1672" t="s">
        <v>2817</v>
      </c>
      <c r="C445" s="1674" t="s">
        <v>2345</v>
      </c>
      <c r="D445" s="1588" t="s">
        <v>2317</v>
      </c>
      <c r="E445" s="1588" t="s">
        <v>2346</v>
      </c>
      <c r="F445" s="1588" t="s">
        <v>1354</v>
      </c>
      <c r="G445" s="1608"/>
      <c r="H445" s="1587">
        <v>6200</v>
      </c>
      <c r="I445" s="1673">
        <f t="shared" si="194"/>
        <v>6200</v>
      </c>
      <c r="J445" s="1747"/>
      <c r="K445" s="1747"/>
      <c r="L445" s="1747"/>
      <c r="M445" s="1747"/>
      <c r="N445" s="1648"/>
      <c r="O445" s="1690"/>
      <c r="P445" s="1748"/>
      <c r="Q445" s="1748"/>
      <c r="R445" s="1591"/>
      <c r="S445" s="1591"/>
      <c r="T445" s="1623"/>
      <c r="U445" s="1623"/>
      <c r="V445" s="1591">
        <v>3700</v>
      </c>
      <c r="W445" s="1591"/>
      <c r="X445" s="1623">
        <f t="shared" si="192"/>
        <v>3700</v>
      </c>
      <c r="Y445" s="1623">
        <f t="shared" si="193"/>
        <v>3700</v>
      </c>
      <c r="Z445" s="1623">
        <v>4700</v>
      </c>
      <c r="AA445" s="1623">
        <v>4700</v>
      </c>
      <c r="AB445" s="1623"/>
      <c r="AC445" s="1623"/>
      <c r="AD445" s="1623">
        <f t="shared" si="190"/>
        <v>4700</v>
      </c>
      <c r="AE445" s="1623">
        <f t="shared" si="191"/>
        <v>4700</v>
      </c>
      <c r="AF445" s="1580"/>
      <c r="AG445" s="1009">
        <f t="shared" si="165"/>
        <v>0</v>
      </c>
      <c r="AH445" s="1009">
        <f t="shared" si="171"/>
        <v>1</v>
      </c>
      <c r="AI445" s="1908">
        <f t="shared" si="189"/>
        <v>1</v>
      </c>
    </row>
    <row r="446" spans="1:35" ht="26.25" customHeight="1" x14ac:dyDescent="0.25">
      <c r="A446" s="1576">
        <v>2</v>
      </c>
      <c r="B446" s="1576">
        <v>2</v>
      </c>
      <c r="C446" s="1675" t="s">
        <v>1239</v>
      </c>
      <c r="D446" s="1616"/>
      <c r="E446" s="1669"/>
      <c r="F446" s="1669"/>
      <c r="G446" s="1669"/>
      <c r="H446" s="1676">
        <f t="shared" ref="H446:J446" si="195">H447</f>
        <v>132945</v>
      </c>
      <c r="I446" s="1676">
        <f t="shared" si="195"/>
        <v>132945</v>
      </c>
      <c r="J446" s="1676">
        <f t="shared" si="195"/>
        <v>0</v>
      </c>
      <c r="K446" s="1676">
        <f>K447</f>
        <v>0</v>
      </c>
      <c r="L446" s="1676">
        <f t="shared" ref="L446:Y446" si="196">L447</f>
        <v>0</v>
      </c>
      <c r="M446" s="1676">
        <f t="shared" si="196"/>
        <v>0</v>
      </c>
      <c r="N446" s="1676">
        <f t="shared" si="196"/>
        <v>80000</v>
      </c>
      <c r="O446" s="1676">
        <f t="shared" si="196"/>
        <v>80000</v>
      </c>
      <c r="P446" s="1676">
        <f t="shared" si="196"/>
        <v>80000</v>
      </c>
      <c r="Q446" s="1676">
        <f t="shared" si="196"/>
        <v>80000</v>
      </c>
      <c r="R446" s="1676">
        <f t="shared" si="196"/>
        <v>19540</v>
      </c>
      <c r="S446" s="1676">
        <f t="shared" si="196"/>
        <v>19540</v>
      </c>
      <c r="T446" s="1676">
        <f t="shared" si="196"/>
        <v>80000</v>
      </c>
      <c r="U446" s="1676">
        <f t="shared" si="196"/>
        <v>80000</v>
      </c>
      <c r="V446" s="1676">
        <f t="shared" si="196"/>
        <v>15000</v>
      </c>
      <c r="W446" s="1676">
        <f t="shared" si="196"/>
        <v>0</v>
      </c>
      <c r="X446" s="1676">
        <f t="shared" si="196"/>
        <v>95000</v>
      </c>
      <c r="Y446" s="1676">
        <f t="shared" si="196"/>
        <v>95000</v>
      </c>
      <c r="Z446" s="1676">
        <v>93846</v>
      </c>
      <c r="AA446" s="1676">
        <v>93846</v>
      </c>
      <c r="AB446" s="1676">
        <f t="shared" ref="AB446:AE446" si="197">AB447</f>
        <v>0</v>
      </c>
      <c r="AC446" s="1925">
        <f t="shared" si="197"/>
        <v>-3300</v>
      </c>
      <c r="AD446" s="1676">
        <f t="shared" si="197"/>
        <v>90546</v>
      </c>
      <c r="AE446" s="1676">
        <f t="shared" si="197"/>
        <v>90546</v>
      </c>
      <c r="AF446" s="1671"/>
      <c r="AG446" s="1009">
        <f t="shared" si="165"/>
        <v>1</v>
      </c>
      <c r="AH446" s="1009">
        <f t="shared" si="171"/>
        <v>1</v>
      </c>
      <c r="AI446" s="1908">
        <f t="shared" si="189"/>
        <v>1</v>
      </c>
    </row>
    <row r="447" spans="1:35" ht="38.25" customHeight="1" x14ac:dyDescent="0.25">
      <c r="A447" s="1600" t="s">
        <v>2825</v>
      </c>
      <c r="B447" s="1600" t="s">
        <v>2825</v>
      </c>
      <c r="C447" s="1602" t="s">
        <v>86</v>
      </c>
      <c r="D447" s="1603"/>
      <c r="E447" s="1603"/>
      <c r="F447" s="1603"/>
      <c r="G447" s="1603"/>
      <c r="H447" s="1604">
        <f>H448+H462</f>
        <v>132945</v>
      </c>
      <c r="I447" s="1604">
        <f t="shared" ref="I447:Y447" si="198">I448+I462</f>
        <v>132945</v>
      </c>
      <c r="J447" s="1604">
        <f t="shared" si="198"/>
        <v>0</v>
      </c>
      <c r="K447" s="1604">
        <f t="shared" si="198"/>
        <v>0</v>
      </c>
      <c r="L447" s="1604">
        <f t="shared" si="198"/>
        <v>0</v>
      </c>
      <c r="M447" s="1604">
        <f t="shared" si="198"/>
        <v>0</v>
      </c>
      <c r="N447" s="1604">
        <f t="shared" si="198"/>
        <v>80000</v>
      </c>
      <c r="O447" s="1604">
        <f t="shared" si="198"/>
        <v>80000</v>
      </c>
      <c r="P447" s="1604">
        <f t="shared" si="198"/>
        <v>80000</v>
      </c>
      <c r="Q447" s="1604">
        <f t="shared" si="198"/>
        <v>80000</v>
      </c>
      <c r="R447" s="1604">
        <f t="shared" si="198"/>
        <v>19540</v>
      </c>
      <c r="S447" s="1604">
        <f t="shared" si="198"/>
        <v>19540</v>
      </c>
      <c r="T447" s="1604">
        <f t="shared" si="198"/>
        <v>80000</v>
      </c>
      <c r="U447" s="1604">
        <f t="shared" si="198"/>
        <v>80000</v>
      </c>
      <c r="V447" s="1604">
        <f t="shared" si="198"/>
        <v>15000</v>
      </c>
      <c r="W447" s="1604">
        <f t="shared" si="198"/>
        <v>0</v>
      </c>
      <c r="X447" s="1604">
        <f t="shared" si="198"/>
        <v>95000</v>
      </c>
      <c r="Y447" s="1604">
        <f t="shared" si="198"/>
        <v>95000</v>
      </c>
      <c r="Z447" s="1604">
        <v>93846</v>
      </c>
      <c r="AA447" s="1604">
        <v>93846</v>
      </c>
      <c r="AB447" s="1604">
        <f t="shared" ref="AB447:AC447" si="199">AB448+AB462</f>
        <v>0</v>
      </c>
      <c r="AC447" s="1926">
        <f t="shared" si="199"/>
        <v>-3300</v>
      </c>
      <c r="AD447" s="1604">
        <f t="shared" ref="AD447:AE447" si="200">AD448+AD462</f>
        <v>90546</v>
      </c>
      <c r="AE447" s="1604">
        <f t="shared" si="200"/>
        <v>90546</v>
      </c>
      <c r="AF447" s="1606"/>
      <c r="AG447" s="1009">
        <f t="shared" si="165"/>
        <v>1</v>
      </c>
      <c r="AH447" s="1009">
        <f t="shared" si="171"/>
        <v>1</v>
      </c>
      <c r="AI447" s="1908">
        <f t="shared" si="189"/>
        <v>1</v>
      </c>
    </row>
    <row r="448" spans="1:35" ht="55.5" hidden="1" customHeight="1" x14ac:dyDescent="0.25">
      <c r="A448" s="1601" t="s">
        <v>2826</v>
      </c>
      <c r="B448" s="1601" t="s">
        <v>2826</v>
      </c>
      <c r="C448" s="1602" t="s">
        <v>88</v>
      </c>
      <c r="D448" s="1603"/>
      <c r="E448" s="1603"/>
      <c r="F448" s="1603"/>
      <c r="G448" s="1603"/>
      <c r="H448" s="1604">
        <f>SUM(H449:H461)</f>
        <v>111318</v>
      </c>
      <c r="I448" s="1604">
        <f t="shared" ref="I448:Y448" si="201">SUM(I449:I461)</f>
        <v>111318</v>
      </c>
      <c r="J448" s="1604">
        <f t="shared" si="201"/>
        <v>0</v>
      </c>
      <c r="K448" s="1604">
        <f t="shared" si="201"/>
        <v>0</v>
      </c>
      <c r="L448" s="1604">
        <f t="shared" si="201"/>
        <v>0</v>
      </c>
      <c r="M448" s="1604">
        <f t="shared" si="201"/>
        <v>0</v>
      </c>
      <c r="N448" s="1604">
        <f t="shared" si="201"/>
        <v>80000</v>
      </c>
      <c r="O448" s="1604">
        <f t="shared" si="201"/>
        <v>80000</v>
      </c>
      <c r="P448" s="1604">
        <f t="shared" si="201"/>
        <v>80000</v>
      </c>
      <c r="Q448" s="1604">
        <f t="shared" si="201"/>
        <v>80000</v>
      </c>
      <c r="R448" s="1604">
        <f t="shared" si="201"/>
        <v>19540</v>
      </c>
      <c r="S448" s="1604">
        <f t="shared" si="201"/>
        <v>19540</v>
      </c>
      <c r="T448" s="1604">
        <f t="shared" si="201"/>
        <v>80000</v>
      </c>
      <c r="U448" s="1604">
        <f t="shared" si="201"/>
        <v>80000</v>
      </c>
      <c r="V448" s="1604">
        <f t="shared" si="201"/>
        <v>0</v>
      </c>
      <c r="W448" s="1604">
        <f t="shared" si="201"/>
        <v>0</v>
      </c>
      <c r="X448" s="1604">
        <f t="shared" si="201"/>
        <v>80000</v>
      </c>
      <c r="Y448" s="1604">
        <f t="shared" si="201"/>
        <v>80000</v>
      </c>
      <c r="Z448" s="1604">
        <v>78846</v>
      </c>
      <c r="AA448" s="1604">
        <v>78846</v>
      </c>
      <c r="AB448" s="1604"/>
      <c r="AC448" s="1605"/>
      <c r="AD448" s="1604">
        <f t="shared" ref="AD448:AE448" si="202">SUM(AD449:AD461)</f>
        <v>78846</v>
      </c>
      <c r="AE448" s="1604">
        <f t="shared" si="202"/>
        <v>78846</v>
      </c>
      <c r="AF448" s="1606"/>
      <c r="AG448" s="1009">
        <f t="shared" si="165"/>
        <v>0</v>
      </c>
      <c r="AH448" s="1009">
        <f t="shared" si="171"/>
        <v>1</v>
      </c>
      <c r="AI448" s="1908">
        <f t="shared" si="189"/>
        <v>1</v>
      </c>
    </row>
    <row r="449" spans="1:36" ht="69" hidden="1" customHeight="1" x14ac:dyDescent="0.25">
      <c r="A449" s="1677" t="s">
        <v>2827</v>
      </c>
      <c r="B449" s="1677"/>
      <c r="C449" s="1587" t="s">
        <v>1238</v>
      </c>
      <c r="D449" s="1588" t="s">
        <v>1237</v>
      </c>
      <c r="E449" s="1608" t="s">
        <v>1236</v>
      </c>
      <c r="F449" s="1589" t="s">
        <v>97</v>
      </c>
      <c r="G449" s="1588" t="s">
        <v>1235</v>
      </c>
      <c r="H449" s="1690">
        <v>13296</v>
      </c>
      <c r="I449" s="1690">
        <v>13296</v>
      </c>
      <c r="J449" s="1747"/>
      <c r="K449" s="1747"/>
      <c r="L449" s="1747"/>
      <c r="M449" s="1747"/>
      <c r="N449" s="1648">
        <v>12000</v>
      </c>
      <c r="O449" s="1622">
        <f t="shared" ref="O449:O459" si="203">N449</f>
        <v>12000</v>
      </c>
      <c r="P449" s="1666">
        <f>Q449</f>
        <v>11040</v>
      </c>
      <c r="Q449" s="1748">
        <v>11040</v>
      </c>
      <c r="R449" s="1591"/>
      <c r="S449" s="1591">
        <f>O449-U449</f>
        <v>960</v>
      </c>
      <c r="T449" s="1665">
        <f>U449</f>
        <v>11040</v>
      </c>
      <c r="U449" s="1623">
        <v>11040</v>
      </c>
      <c r="V449" s="1591"/>
      <c r="W449" s="1591"/>
      <c r="X449" s="1665">
        <f>Y449</f>
        <v>11040</v>
      </c>
      <c r="Y449" s="1623">
        <v>11040</v>
      </c>
      <c r="Z449" s="1665">
        <v>11040</v>
      </c>
      <c r="AA449" s="1623">
        <v>11040</v>
      </c>
      <c r="AB449" s="1623"/>
      <c r="AC449" s="1587"/>
      <c r="AD449" s="1623">
        <f t="shared" ref="AD449:AD461" si="204">AE449</f>
        <v>11040</v>
      </c>
      <c r="AE449" s="1623">
        <f t="shared" ref="AE449:AE461" si="205">AA449+AB449+AC449</f>
        <v>11040</v>
      </c>
      <c r="AF449" s="1599"/>
      <c r="AG449" s="1009">
        <f t="shared" si="165"/>
        <v>0</v>
      </c>
      <c r="AH449" s="1009">
        <f t="shared" si="171"/>
        <v>1</v>
      </c>
      <c r="AI449" s="1908">
        <f t="shared" si="189"/>
        <v>1</v>
      </c>
    </row>
    <row r="450" spans="1:36" ht="69" hidden="1" customHeight="1" x14ac:dyDescent="0.25">
      <c r="A450" s="1677" t="s">
        <v>2828</v>
      </c>
      <c r="B450" s="1677"/>
      <c r="C450" s="1587" t="s">
        <v>1234</v>
      </c>
      <c r="D450" s="1588" t="s">
        <v>1233</v>
      </c>
      <c r="E450" s="1611" t="s">
        <v>1232</v>
      </c>
      <c r="F450" s="1589" t="s">
        <v>97</v>
      </c>
      <c r="G450" s="1588" t="s">
        <v>1231</v>
      </c>
      <c r="H450" s="1690">
        <v>8514</v>
      </c>
      <c r="I450" s="1690">
        <v>8514</v>
      </c>
      <c r="J450" s="1747"/>
      <c r="K450" s="1747"/>
      <c r="L450" s="1747"/>
      <c r="M450" s="1747"/>
      <c r="N450" s="1648">
        <v>6470</v>
      </c>
      <c r="O450" s="1622">
        <f t="shared" si="203"/>
        <v>6470</v>
      </c>
      <c r="P450" s="1666">
        <f>Q450</f>
        <v>7160</v>
      </c>
      <c r="Q450" s="1748">
        <v>7160</v>
      </c>
      <c r="R450" s="1591">
        <f>U450-O450</f>
        <v>690</v>
      </c>
      <c r="S450" s="1591"/>
      <c r="T450" s="1665">
        <f>U450</f>
        <v>7160</v>
      </c>
      <c r="U450" s="1623">
        <v>7160</v>
      </c>
      <c r="V450" s="1591"/>
      <c r="W450" s="1591"/>
      <c r="X450" s="1665">
        <f>Y450</f>
        <v>7160</v>
      </c>
      <c r="Y450" s="1623">
        <v>7160</v>
      </c>
      <c r="Z450" s="1665">
        <v>7160</v>
      </c>
      <c r="AA450" s="1623">
        <v>7160</v>
      </c>
      <c r="AB450" s="1623"/>
      <c r="AC450" s="1587"/>
      <c r="AD450" s="1623">
        <f t="shared" si="204"/>
        <v>7160</v>
      </c>
      <c r="AE450" s="1623">
        <f t="shared" si="205"/>
        <v>7160</v>
      </c>
      <c r="AF450" s="1599"/>
      <c r="AG450" s="1009">
        <f t="shared" si="165"/>
        <v>0</v>
      </c>
      <c r="AH450" s="1009">
        <f t="shared" si="171"/>
        <v>1</v>
      </c>
      <c r="AI450" s="1908">
        <f t="shared" si="189"/>
        <v>1</v>
      </c>
    </row>
    <row r="451" spans="1:36" ht="52.5" hidden="1" customHeight="1" x14ac:dyDescent="0.25">
      <c r="A451" s="1677" t="s">
        <v>2829</v>
      </c>
      <c r="B451" s="1677" t="s">
        <v>2827</v>
      </c>
      <c r="C451" s="1621" t="s">
        <v>1230</v>
      </c>
      <c r="D451" s="1588" t="s">
        <v>1202</v>
      </c>
      <c r="E451" s="1589" t="s">
        <v>1229</v>
      </c>
      <c r="F451" s="1678" t="s">
        <v>1073</v>
      </c>
      <c r="G451" s="1588" t="s">
        <v>1228</v>
      </c>
      <c r="H451" s="1648">
        <v>3137</v>
      </c>
      <c r="I451" s="1648">
        <v>3137</v>
      </c>
      <c r="J451" s="1747"/>
      <c r="K451" s="1747"/>
      <c r="L451" s="1747"/>
      <c r="M451" s="1747"/>
      <c r="N451" s="1648">
        <v>2860</v>
      </c>
      <c r="O451" s="1622">
        <f t="shared" si="203"/>
        <v>2860</v>
      </c>
      <c r="P451" s="1666">
        <f>Q451</f>
        <v>2700</v>
      </c>
      <c r="Q451" s="1748">
        <v>2700</v>
      </c>
      <c r="R451" s="1591"/>
      <c r="S451" s="1591">
        <f t="shared" ref="S451:S456" si="206">O451-U451</f>
        <v>160</v>
      </c>
      <c r="T451" s="1665">
        <f>U451</f>
        <v>2700</v>
      </c>
      <c r="U451" s="1623">
        <v>2700</v>
      </c>
      <c r="V451" s="1591"/>
      <c r="W451" s="1591"/>
      <c r="X451" s="1665">
        <f>Y451</f>
        <v>2700</v>
      </c>
      <c r="Y451" s="1623">
        <v>2700</v>
      </c>
      <c r="Z451" s="1665">
        <v>2954</v>
      </c>
      <c r="AA451" s="1623">
        <v>2954</v>
      </c>
      <c r="AB451" s="1623"/>
      <c r="AC451" s="1587"/>
      <c r="AD451" s="1623">
        <f t="shared" si="204"/>
        <v>2954</v>
      </c>
      <c r="AE451" s="1623">
        <f t="shared" si="205"/>
        <v>2954</v>
      </c>
      <c r="AF451" s="1599"/>
      <c r="AG451" s="1009">
        <f t="shared" si="165"/>
        <v>0</v>
      </c>
      <c r="AH451" s="1009">
        <f t="shared" si="171"/>
        <v>1</v>
      </c>
      <c r="AI451" s="1908">
        <f t="shared" si="189"/>
        <v>1</v>
      </c>
    </row>
    <row r="452" spans="1:36" s="1532" customFormat="1" ht="38.25" hidden="1" customHeight="1" x14ac:dyDescent="0.25">
      <c r="A452" s="1677" t="s">
        <v>3245</v>
      </c>
      <c r="B452" s="1677"/>
      <c r="C452" s="1609" t="s">
        <v>1227</v>
      </c>
      <c r="D452" s="1608" t="s">
        <v>1226</v>
      </c>
      <c r="E452" s="1611" t="s">
        <v>1225</v>
      </c>
      <c r="F452" s="1646">
        <v>2017</v>
      </c>
      <c r="G452" s="1616"/>
      <c r="H452" s="1784">
        <v>639</v>
      </c>
      <c r="I452" s="1784">
        <v>639</v>
      </c>
      <c r="J452" s="1785"/>
      <c r="K452" s="1785"/>
      <c r="L452" s="1785"/>
      <c r="M452" s="1785"/>
      <c r="N452" s="1786">
        <v>570</v>
      </c>
      <c r="O452" s="1785">
        <f t="shared" si="203"/>
        <v>570</v>
      </c>
      <c r="P452" s="1748"/>
      <c r="Q452" s="1748"/>
      <c r="R452" s="1591"/>
      <c r="S452" s="1591">
        <f t="shared" si="206"/>
        <v>570</v>
      </c>
      <c r="T452" s="1787"/>
      <c r="U452" s="1787"/>
      <c r="V452" s="1591"/>
      <c r="W452" s="1591"/>
      <c r="X452" s="1787"/>
      <c r="Y452" s="1787"/>
      <c r="Z452" s="1787">
        <v>0</v>
      </c>
      <c r="AA452" s="1787">
        <v>0</v>
      </c>
      <c r="AB452" s="1787"/>
      <c r="AC452" s="1588"/>
      <c r="AD452" s="1623">
        <f t="shared" si="204"/>
        <v>0</v>
      </c>
      <c r="AE452" s="1623">
        <f t="shared" si="205"/>
        <v>0</v>
      </c>
      <c r="AF452" s="1580"/>
      <c r="AG452" s="1009">
        <f t="shared" si="165"/>
        <v>0</v>
      </c>
      <c r="AH452" s="1009">
        <f t="shared" si="171"/>
        <v>0</v>
      </c>
      <c r="AI452" s="1908">
        <f t="shared" si="189"/>
        <v>1</v>
      </c>
    </row>
    <row r="453" spans="1:36" ht="54.75" hidden="1" customHeight="1" x14ac:dyDescent="0.25">
      <c r="A453" s="1677" t="s">
        <v>3407</v>
      </c>
      <c r="B453" s="1677" t="s">
        <v>2828</v>
      </c>
      <c r="C453" s="1609" t="s">
        <v>1224</v>
      </c>
      <c r="D453" s="1608"/>
      <c r="E453" s="1611" t="s">
        <v>1223</v>
      </c>
      <c r="F453" s="1646">
        <v>2017</v>
      </c>
      <c r="G453" s="1616"/>
      <c r="H453" s="1679">
        <v>14979</v>
      </c>
      <c r="I453" s="1679">
        <v>14979</v>
      </c>
      <c r="J453" s="1581"/>
      <c r="K453" s="1581"/>
      <c r="L453" s="1581"/>
      <c r="M453" s="1581"/>
      <c r="N453" s="1648">
        <v>14260</v>
      </c>
      <c r="O453" s="1622">
        <f t="shared" si="203"/>
        <v>14260</v>
      </c>
      <c r="P453" s="1765">
        <f>Q453</f>
        <v>12750</v>
      </c>
      <c r="Q453" s="1765">
        <v>12750</v>
      </c>
      <c r="R453" s="1591"/>
      <c r="S453" s="1591">
        <f t="shared" si="206"/>
        <v>1510</v>
      </c>
      <c r="T453" s="1640">
        <f>U453</f>
        <v>12750</v>
      </c>
      <c r="U453" s="1640">
        <v>12750</v>
      </c>
      <c r="V453" s="1591"/>
      <c r="W453" s="1591"/>
      <c r="X453" s="1640">
        <f>Y453</f>
        <v>12750</v>
      </c>
      <c r="Y453" s="1640">
        <v>12750</v>
      </c>
      <c r="Z453" s="1640">
        <v>11500</v>
      </c>
      <c r="AA453" s="1640">
        <v>11500</v>
      </c>
      <c r="AB453" s="1640"/>
      <c r="AC453" s="1593"/>
      <c r="AD453" s="1623">
        <f t="shared" si="204"/>
        <v>11500</v>
      </c>
      <c r="AE453" s="1623">
        <f t="shared" si="205"/>
        <v>11500</v>
      </c>
      <c r="AF453" s="1585"/>
      <c r="AG453" s="1009">
        <f t="shared" si="165"/>
        <v>0</v>
      </c>
      <c r="AH453" s="1009">
        <f t="shared" si="171"/>
        <v>1</v>
      </c>
      <c r="AI453" s="1908">
        <f t="shared" si="189"/>
        <v>1</v>
      </c>
    </row>
    <row r="454" spans="1:36" ht="54.75" hidden="1" customHeight="1" x14ac:dyDescent="0.25">
      <c r="A454" s="1677" t="s">
        <v>3408</v>
      </c>
      <c r="B454" s="1677" t="s">
        <v>2829</v>
      </c>
      <c r="C454" s="1609" t="s">
        <v>1222</v>
      </c>
      <c r="D454" s="1588" t="s">
        <v>1202</v>
      </c>
      <c r="E454" s="1611" t="s">
        <v>1221</v>
      </c>
      <c r="F454" s="1646">
        <v>2017</v>
      </c>
      <c r="G454" s="1616"/>
      <c r="H454" s="1679">
        <v>5808</v>
      </c>
      <c r="I454" s="1679">
        <v>5808</v>
      </c>
      <c r="J454" s="1604"/>
      <c r="K454" s="1604"/>
      <c r="L454" s="1604"/>
      <c r="M454" s="1604"/>
      <c r="N454" s="1648">
        <v>4930</v>
      </c>
      <c r="O454" s="1622">
        <f t="shared" si="203"/>
        <v>4930</v>
      </c>
      <c r="P454" s="1765"/>
      <c r="Q454" s="1765"/>
      <c r="R454" s="1591"/>
      <c r="S454" s="1591">
        <f t="shared" si="206"/>
        <v>4930</v>
      </c>
      <c r="T454" s="1640"/>
      <c r="U454" s="1640"/>
      <c r="V454" s="1591"/>
      <c r="W454" s="1591"/>
      <c r="X454" s="1640"/>
      <c r="Y454" s="1640"/>
      <c r="Z454" s="1640">
        <v>4060</v>
      </c>
      <c r="AA454" s="1640">
        <v>4060</v>
      </c>
      <c r="AB454" s="1640"/>
      <c r="AC454" s="1640"/>
      <c r="AD454" s="1623">
        <f t="shared" si="204"/>
        <v>4060</v>
      </c>
      <c r="AE454" s="1623">
        <f t="shared" si="205"/>
        <v>4060</v>
      </c>
      <c r="AF454" s="1580"/>
      <c r="AG454" s="1009">
        <f t="shared" si="165"/>
        <v>0</v>
      </c>
      <c r="AH454" s="1009">
        <f t="shared" si="171"/>
        <v>0</v>
      </c>
      <c r="AI454" s="1908">
        <f t="shared" si="189"/>
        <v>1</v>
      </c>
    </row>
    <row r="455" spans="1:36" ht="38.25" hidden="1" customHeight="1" x14ac:dyDescent="0.25">
      <c r="A455" s="1677" t="s">
        <v>3409</v>
      </c>
      <c r="B455" s="1677"/>
      <c r="C455" s="1609" t="s">
        <v>1220</v>
      </c>
      <c r="D455" s="1616"/>
      <c r="E455" s="1611" t="s">
        <v>1219</v>
      </c>
      <c r="F455" s="1646" t="s">
        <v>116</v>
      </c>
      <c r="G455" s="1616"/>
      <c r="H455" s="1679">
        <v>6229</v>
      </c>
      <c r="I455" s="1679">
        <v>6229</v>
      </c>
      <c r="J455" s="1604"/>
      <c r="K455" s="1604"/>
      <c r="L455" s="1604"/>
      <c r="M455" s="1604"/>
      <c r="N455" s="1648">
        <v>5340</v>
      </c>
      <c r="O455" s="1622">
        <f t="shared" si="203"/>
        <v>5340</v>
      </c>
      <c r="P455" s="1765">
        <f>Q455</f>
        <v>5300</v>
      </c>
      <c r="Q455" s="1765">
        <v>5300</v>
      </c>
      <c r="R455" s="1591"/>
      <c r="S455" s="1591">
        <f t="shared" si="206"/>
        <v>40</v>
      </c>
      <c r="T455" s="1640">
        <f>U455</f>
        <v>5300</v>
      </c>
      <c r="U455" s="1640">
        <v>5300</v>
      </c>
      <c r="V455" s="1591"/>
      <c r="W455" s="1591"/>
      <c r="X455" s="1640">
        <f>Y455</f>
        <v>5300</v>
      </c>
      <c r="Y455" s="1640">
        <v>5300</v>
      </c>
      <c r="Z455" s="1640">
        <v>5300</v>
      </c>
      <c r="AA455" s="1640">
        <v>5300</v>
      </c>
      <c r="AB455" s="1640"/>
      <c r="AC455" s="1640"/>
      <c r="AD455" s="1623">
        <f t="shared" si="204"/>
        <v>5300</v>
      </c>
      <c r="AE455" s="1623">
        <f t="shared" si="205"/>
        <v>5300</v>
      </c>
      <c r="AF455" s="1606"/>
      <c r="AG455" s="1009">
        <f t="shared" si="165"/>
        <v>0</v>
      </c>
      <c r="AH455" s="1009">
        <f t="shared" si="171"/>
        <v>1</v>
      </c>
      <c r="AI455" s="1908">
        <f t="shared" si="189"/>
        <v>1</v>
      </c>
    </row>
    <row r="456" spans="1:36" ht="86.25" hidden="1" customHeight="1" x14ac:dyDescent="0.25">
      <c r="A456" s="1677" t="s">
        <v>3410</v>
      </c>
      <c r="B456" s="1677" t="s">
        <v>3245</v>
      </c>
      <c r="C456" s="1609" t="s">
        <v>1218</v>
      </c>
      <c r="D456" s="1588" t="s">
        <v>1202</v>
      </c>
      <c r="E456" s="1611" t="s">
        <v>1217</v>
      </c>
      <c r="F456" s="1646" t="s">
        <v>116</v>
      </c>
      <c r="G456" s="1616"/>
      <c r="H456" s="1679">
        <v>14989</v>
      </c>
      <c r="I456" s="1679">
        <v>14989</v>
      </c>
      <c r="J456" s="1744"/>
      <c r="K456" s="1744"/>
      <c r="L456" s="1744"/>
      <c r="M456" s="1744"/>
      <c r="N456" s="1648">
        <v>14120</v>
      </c>
      <c r="O456" s="1622">
        <f t="shared" si="203"/>
        <v>14120</v>
      </c>
      <c r="P456" s="1773">
        <f>Q456</f>
        <v>13200</v>
      </c>
      <c r="Q456" s="1773">
        <v>13200</v>
      </c>
      <c r="R456" s="1591"/>
      <c r="S456" s="1591">
        <f t="shared" si="206"/>
        <v>920</v>
      </c>
      <c r="T456" s="1628">
        <f>U456</f>
        <v>13200</v>
      </c>
      <c r="U456" s="1628">
        <v>13200</v>
      </c>
      <c r="V456" s="1591"/>
      <c r="W456" s="1591"/>
      <c r="X456" s="1628">
        <f>Y456</f>
        <v>13200</v>
      </c>
      <c r="Y456" s="1628">
        <v>13200</v>
      </c>
      <c r="Z456" s="1628">
        <v>12717</v>
      </c>
      <c r="AA456" s="1628">
        <v>12717</v>
      </c>
      <c r="AB456" s="1628"/>
      <c r="AC456" s="1593"/>
      <c r="AD456" s="1623">
        <f t="shared" si="204"/>
        <v>12717</v>
      </c>
      <c r="AE456" s="1623">
        <f t="shared" si="205"/>
        <v>12717</v>
      </c>
      <c r="AF456" s="1681"/>
      <c r="AG456" s="1009">
        <f t="shared" si="165"/>
        <v>0</v>
      </c>
      <c r="AH456" s="1009">
        <f t="shared" si="171"/>
        <v>1</v>
      </c>
      <c r="AI456" s="1908">
        <f t="shared" si="189"/>
        <v>1</v>
      </c>
    </row>
    <row r="457" spans="1:36" ht="49.5" hidden="1" x14ac:dyDescent="0.25">
      <c r="A457" s="1677" t="s">
        <v>3411</v>
      </c>
      <c r="B457" s="1677" t="s">
        <v>3407</v>
      </c>
      <c r="C457" s="1621" t="s">
        <v>1216</v>
      </c>
      <c r="D457" s="1608" t="s">
        <v>1215</v>
      </c>
      <c r="E457" s="1608" t="s">
        <v>1214</v>
      </c>
      <c r="F457" s="1580" t="s">
        <v>290</v>
      </c>
      <c r="G457" s="1680" t="s">
        <v>1213</v>
      </c>
      <c r="H457" s="1664">
        <f>I457</f>
        <v>14034</v>
      </c>
      <c r="I457" s="1664">
        <v>14034</v>
      </c>
      <c r="J457" s="1604"/>
      <c r="K457" s="1604"/>
      <c r="L457" s="1604"/>
      <c r="M457" s="1604"/>
      <c r="N457" s="1648">
        <v>9000</v>
      </c>
      <c r="O457" s="1622">
        <f t="shared" si="203"/>
        <v>9000</v>
      </c>
      <c r="P457" s="1773">
        <f>Q457</f>
        <v>11700</v>
      </c>
      <c r="Q457" s="1773">
        <v>11700</v>
      </c>
      <c r="R457" s="1591">
        <f>U457-O457</f>
        <v>2700</v>
      </c>
      <c r="S457" s="1591"/>
      <c r="T457" s="1628">
        <f>U457</f>
        <v>11700</v>
      </c>
      <c r="U457" s="1628">
        <v>11700</v>
      </c>
      <c r="V457" s="1591"/>
      <c r="W457" s="1591"/>
      <c r="X457" s="1628">
        <f>Y457</f>
        <v>11700</v>
      </c>
      <c r="Y457" s="1628">
        <v>11700</v>
      </c>
      <c r="Z457" s="1628">
        <v>11662</v>
      </c>
      <c r="AA457" s="1628">
        <v>11662</v>
      </c>
      <c r="AB457" s="1628"/>
      <c r="AC457" s="1593"/>
      <c r="AD457" s="1623">
        <f t="shared" si="204"/>
        <v>11662</v>
      </c>
      <c r="AE457" s="1623">
        <f t="shared" si="205"/>
        <v>11662</v>
      </c>
      <c r="AF457" s="1642"/>
      <c r="AG457" s="1009">
        <f t="shared" si="165"/>
        <v>0</v>
      </c>
      <c r="AH457" s="1009">
        <f t="shared" si="171"/>
        <v>1</v>
      </c>
      <c r="AI457" s="1908">
        <f t="shared" si="189"/>
        <v>1</v>
      </c>
    </row>
    <row r="458" spans="1:36" ht="54" hidden="1" customHeight="1" x14ac:dyDescent="0.25">
      <c r="A458" s="1677" t="s">
        <v>3412</v>
      </c>
      <c r="B458" s="1677"/>
      <c r="C458" s="1621" t="s">
        <v>1211</v>
      </c>
      <c r="D458" s="1608"/>
      <c r="E458" s="1611" t="s">
        <v>1210</v>
      </c>
      <c r="F458" s="1580" t="s">
        <v>290</v>
      </c>
      <c r="G458" s="1616"/>
      <c r="H458" s="1682">
        <v>10000</v>
      </c>
      <c r="I458" s="1682">
        <v>10000</v>
      </c>
      <c r="J458" s="1747"/>
      <c r="K458" s="1788"/>
      <c r="L458" s="1747"/>
      <c r="M458" s="1788"/>
      <c r="N458" s="1648">
        <v>9500</v>
      </c>
      <c r="O458" s="1622">
        <f t="shared" si="203"/>
        <v>9500</v>
      </c>
      <c r="P458" s="1773"/>
      <c r="Q458" s="1773"/>
      <c r="R458" s="1591"/>
      <c r="S458" s="1591">
        <f>O458-U458</f>
        <v>9500</v>
      </c>
      <c r="T458" s="1628"/>
      <c r="U458" s="1628"/>
      <c r="V458" s="1591"/>
      <c r="W458" s="1591"/>
      <c r="X458" s="1628"/>
      <c r="Y458" s="1628"/>
      <c r="Z458" s="1628">
        <v>0</v>
      </c>
      <c r="AA458" s="1628">
        <v>0</v>
      </c>
      <c r="AB458" s="1628"/>
      <c r="AC458" s="1593"/>
      <c r="AD458" s="1623">
        <f t="shared" si="204"/>
        <v>0</v>
      </c>
      <c r="AE458" s="1623">
        <f t="shared" si="205"/>
        <v>0</v>
      </c>
      <c r="AF458" s="1580"/>
      <c r="AG458" s="1009">
        <f t="shared" si="165"/>
        <v>0</v>
      </c>
      <c r="AH458" s="1009">
        <f t="shared" si="171"/>
        <v>0</v>
      </c>
      <c r="AI458" s="1908">
        <f t="shared" si="189"/>
        <v>1</v>
      </c>
    </row>
    <row r="459" spans="1:36" ht="43.5" hidden="1" customHeight="1" x14ac:dyDescent="0.25">
      <c r="A459" s="1677" t="s">
        <v>3413</v>
      </c>
      <c r="B459" s="1677"/>
      <c r="C459" s="1621" t="s">
        <v>1209</v>
      </c>
      <c r="D459" s="1608"/>
      <c r="E459" s="1611" t="s">
        <v>1208</v>
      </c>
      <c r="F459" s="1580">
        <v>2020</v>
      </c>
      <c r="G459" s="1616"/>
      <c r="H459" s="1682">
        <v>1000</v>
      </c>
      <c r="I459" s="1682">
        <v>1000</v>
      </c>
      <c r="J459" s="1747"/>
      <c r="K459" s="1664"/>
      <c r="L459" s="1747"/>
      <c r="M459" s="1664"/>
      <c r="N459" s="1648">
        <v>950</v>
      </c>
      <c r="O459" s="1622">
        <f t="shared" si="203"/>
        <v>950</v>
      </c>
      <c r="P459" s="1773"/>
      <c r="Q459" s="1773"/>
      <c r="R459" s="1591"/>
      <c r="S459" s="1591">
        <f>O459-U459</f>
        <v>950</v>
      </c>
      <c r="T459" s="1628"/>
      <c r="U459" s="1628"/>
      <c r="V459" s="1591"/>
      <c r="W459" s="1591"/>
      <c r="X459" s="1628"/>
      <c r="Y459" s="1628"/>
      <c r="Z459" s="1628">
        <v>0</v>
      </c>
      <c r="AA459" s="1628">
        <v>0</v>
      </c>
      <c r="AB459" s="1628"/>
      <c r="AC459" s="1593"/>
      <c r="AD459" s="1623">
        <f t="shared" si="204"/>
        <v>0</v>
      </c>
      <c r="AE459" s="1623">
        <f t="shared" si="205"/>
        <v>0</v>
      </c>
      <c r="AF459" s="1580"/>
      <c r="AG459" s="1009">
        <f t="shared" ref="AG459:AG495" si="207">IF(AE459-AA459=0,0,1)</f>
        <v>0</v>
      </c>
      <c r="AH459" s="1009">
        <f t="shared" si="171"/>
        <v>0</v>
      </c>
      <c r="AI459" s="1908">
        <f t="shared" si="189"/>
        <v>1</v>
      </c>
    </row>
    <row r="460" spans="1:36" ht="73.5" hidden="1" customHeight="1" x14ac:dyDescent="0.25">
      <c r="A460" s="1677" t="s">
        <v>3414</v>
      </c>
      <c r="B460" s="1677" t="s">
        <v>3408</v>
      </c>
      <c r="C460" s="1645" t="s">
        <v>1207</v>
      </c>
      <c r="D460" s="1608" t="s">
        <v>1206</v>
      </c>
      <c r="E460" s="1611" t="s">
        <v>1205</v>
      </c>
      <c r="F460" s="1580" t="s">
        <v>116</v>
      </c>
      <c r="G460" s="1680" t="s">
        <v>1204</v>
      </c>
      <c r="H460" s="1682">
        <f>I460</f>
        <v>3944</v>
      </c>
      <c r="I460" s="1682">
        <v>3944</v>
      </c>
      <c r="J460" s="1747"/>
      <c r="K460" s="1664"/>
      <c r="L460" s="1747"/>
      <c r="M460" s="1664"/>
      <c r="N460" s="1648"/>
      <c r="O460" s="1622"/>
      <c r="P460" s="1773">
        <f>Q460</f>
        <v>3550</v>
      </c>
      <c r="Q460" s="1773">
        <v>3550</v>
      </c>
      <c r="R460" s="1591">
        <f>U460-O460</f>
        <v>3550</v>
      </c>
      <c r="S460" s="1591"/>
      <c r="T460" s="1628">
        <f>U460</f>
        <v>3550</v>
      </c>
      <c r="U460" s="1628">
        <v>3550</v>
      </c>
      <c r="V460" s="1591"/>
      <c r="W460" s="1591"/>
      <c r="X460" s="1628">
        <f>Y460</f>
        <v>3550</v>
      </c>
      <c r="Y460" s="1628">
        <v>3550</v>
      </c>
      <c r="Z460" s="1628">
        <v>3453</v>
      </c>
      <c r="AA460" s="1628">
        <v>3453</v>
      </c>
      <c r="AB460" s="1628"/>
      <c r="AC460" s="1593"/>
      <c r="AD460" s="1623">
        <f t="shared" si="204"/>
        <v>3453</v>
      </c>
      <c r="AE460" s="1623">
        <f t="shared" si="205"/>
        <v>3453</v>
      </c>
      <c r="AF460" s="1580"/>
      <c r="AG460" s="1009">
        <f t="shared" si="207"/>
        <v>0</v>
      </c>
      <c r="AH460" s="1009">
        <f t="shared" si="171"/>
        <v>1</v>
      </c>
      <c r="AI460" s="1908">
        <f t="shared" si="189"/>
        <v>1</v>
      </c>
    </row>
    <row r="461" spans="1:36" ht="56.25" hidden="1" customHeight="1" x14ac:dyDescent="0.25">
      <c r="A461" s="1677" t="s">
        <v>3415</v>
      </c>
      <c r="B461" s="1677" t="s">
        <v>3409</v>
      </c>
      <c r="C461" s="1645" t="s">
        <v>1203</v>
      </c>
      <c r="D461" s="1608" t="s">
        <v>1202</v>
      </c>
      <c r="E461" s="1611" t="s">
        <v>1201</v>
      </c>
      <c r="F461" s="1580" t="s">
        <v>290</v>
      </c>
      <c r="G461" s="1616"/>
      <c r="H461" s="1682">
        <v>14749</v>
      </c>
      <c r="I461" s="1682">
        <v>14749</v>
      </c>
      <c r="J461" s="1747"/>
      <c r="K461" s="1664"/>
      <c r="L461" s="1747"/>
      <c r="M461" s="1664"/>
      <c r="N461" s="1648"/>
      <c r="O461" s="1622"/>
      <c r="P461" s="1773">
        <f>Q461</f>
        <v>12600</v>
      </c>
      <c r="Q461" s="1773">
        <v>12600</v>
      </c>
      <c r="R461" s="1591">
        <f>U461-O461</f>
        <v>12600</v>
      </c>
      <c r="S461" s="1591"/>
      <c r="T461" s="1628">
        <f>U461</f>
        <v>12600</v>
      </c>
      <c r="U461" s="1628">
        <v>12600</v>
      </c>
      <c r="V461" s="1591"/>
      <c r="W461" s="1591"/>
      <c r="X461" s="1628">
        <f>Y461</f>
        <v>12600</v>
      </c>
      <c r="Y461" s="1628">
        <v>12600</v>
      </c>
      <c r="Z461" s="1628">
        <v>9000</v>
      </c>
      <c r="AA461" s="1628">
        <v>9000</v>
      </c>
      <c r="AB461" s="1628"/>
      <c r="AC461" s="1593"/>
      <c r="AD461" s="1623">
        <f t="shared" si="204"/>
        <v>9000</v>
      </c>
      <c r="AE461" s="1623">
        <f t="shared" si="205"/>
        <v>9000</v>
      </c>
      <c r="AF461" s="1580"/>
      <c r="AG461" s="1009">
        <f t="shared" si="207"/>
        <v>0</v>
      </c>
      <c r="AH461" s="1009">
        <f t="shared" si="171"/>
        <v>1</v>
      </c>
      <c r="AI461" s="1908">
        <f t="shared" si="189"/>
        <v>1</v>
      </c>
    </row>
    <row r="462" spans="1:36" ht="40.5" customHeight="1" x14ac:dyDescent="0.25">
      <c r="A462" s="1601" t="s">
        <v>3416</v>
      </c>
      <c r="B462" s="1603"/>
      <c r="C462" s="1602" t="s">
        <v>1011</v>
      </c>
      <c r="D462" s="1608"/>
      <c r="E462" s="1611"/>
      <c r="F462" s="1580"/>
      <c r="G462" s="1616"/>
      <c r="H462" s="1789">
        <f>H463</f>
        <v>21627</v>
      </c>
      <c r="I462" s="1789">
        <f>I463</f>
        <v>21627</v>
      </c>
      <c r="J462" s="1790"/>
      <c r="K462" s="1791"/>
      <c r="L462" s="1790"/>
      <c r="M462" s="1791"/>
      <c r="N462" s="1792"/>
      <c r="O462" s="1793"/>
      <c r="P462" s="1794"/>
      <c r="Q462" s="1794"/>
      <c r="R462" s="1768"/>
      <c r="S462" s="1768"/>
      <c r="T462" s="1795"/>
      <c r="U462" s="1795"/>
      <c r="V462" s="1789">
        <f>V463</f>
        <v>15000</v>
      </c>
      <c r="W462" s="1768"/>
      <c r="X462" s="1789">
        <f t="shared" ref="X462:Y462" si="208">X463</f>
        <v>15000</v>
      </c>
      <c r="Y462" s="1789">
        <f t="shared" si="208"/>
        <v>15000</v>
      </c>
      <c r="Z462" s="1789">
        <v>15000</v>
      </c>
      <c r="AA462" s="1789">
        <v>15000</v>
      </c>
      <c r="AB462" s="1789">
        <f t="shared" ref="AB462:AE462" si="209">AB463</f>
        <v>0</v>
      </c>
      <c r="AC462" s="1925">
        <f t="shared" si="209"/>
        <v>-3300</v>
      </c>
      <c r="AD462" s="1789">
        <f t="shared" si="209"/>
        <v>11700</v>
      </c>
      <c r="AE462" s="1789">
        <f t="shared" si="209"/>
        <v>11700</v>
      </c>
      <c r="AF462" s="1580"/>
      <c r="AG462" s="1009">
        <f t="shared" si="207"/>
        <v>1</v>
      </c>
      <c r="AH462" s="1009"/>
      <c r="AI462" s="1908">
        <f t="shared" si="189"/>
        <v>1</v>
      </c>
    </row>
    <row r="463" spans="1:36" ht="70.5" customHeight="1" x14ac:dyDescent="0.25">
      <c r="A463" s="1677" t="s">
        <v>3417</v>
      </c>
      <c r="B463" s="1677"/>
      <c r="C463" s="1645" t="s">
        <v>2155</v>
      </c>
      <c r="D463" s="1608" t="s">
        <v>1206</v>
      </c>
      <c r="E463" s="1611" t="s">
        <v>398</v>
      </c>
      <c r="F463" s="1608" t="s">
        <v>168</v>
      </c>
      <c r="G463" s="1610" t="s">
        <v>2714</v>
      </c>
      <c r="H463" s="1682">
        <f>I463</f>
        <v>21627</v>
      </c>
      <c r="I463" s="1682">
        <v>21627</v>
      </c>
      <c r="J463" s="1747"/>
      <c r="K463" s="1664"/>
      <c r="L463" s="1747"/>
      <c r="M463" s="1664"/>
      <c r="N463" s="1648"/>
      <c r="O463" s="1622"/>
      <c r="P463" s="1773">
        <f>Q463</f>
        <v>12600</v>
      </c>
      <c r="Q463" s="1773">
        <v>12600</v>
      </c>
      <c r="R463" s="1591">
        <f>U463-O463</f>
        <v>0</v>
      </c>
      <c r="S463" s="1591"/>
      <c r="T463" s="1628"/>
      <c r="U463" s="1628"/>
      <c r="V463" s="1591">
        <v>15000</v>
      </c>
      <c r="W463" s="1591"/>
      <c r="X463" s="1628">
        <f>Y463</f>
        <v>15000</v>
      </c>
      <c r="Y463" s="1628">
        <v>15000</v>
      </c>
      <c r="Z463" s="1628">
        <v>15000</v>
      </c>
      <c r="AA463" s="1628">
        <v>15000</v>
      </c>
      <c r="AB463" s="1628"/>
      <c r="AC463" s="1593">
        <v>-3300</v>
      </c>
      <c r="AD463" s="1623">
        <f t="shared" ref="AD463" si="210">AE463</f>
        <v>11700</v>
      </c>
      <c r="AE463" s="1623">
        <f>AA463+AB463+AC463</f>
        <v>11700</v>
      </c>
      <c r="AF463" s="1580"/>
      <c r="AG463" s="1009">
        <f t="shared" si="207"/>
        <v>1</v>
      </c>
      <c r="AH463" s="1009">
        <f t="shared" si="171"/>
        <v>1</v>
      </c>
      <c r="AI463" s="1908">
        <f t="shared" si="189"/>
        <v>1</v>
      </c>
    </row>
    <row r="464" spans="1:36" ht="26.25" hidden="1" customHeight="1" x14ac:dyDescent="0.25">
      <c r="A464" s="1576">
        <v>3</v>
      </c>
      <c r="B464" s="1576"/>
      <c r="C464" s="1675" t="s">
        <v>1200</v>
      </c>
      <c r="D464" s="1616"/>
      <c r="E464" s="1669"/>
      <c r="F464" s="1669"/>
      <c r="G464" s="1669"/>
      <c r="H464" s="1667">
        <f>H472</f>
        <v>170049</v>
      </c>
      <c r="I464" s="1667">
        <f>I465+I472</f>
        <v>220515</v>
      </c>
      <c r="J464" s="1667">
        <f t="shared" ref="J464:R464" si="211">J465+J472</f>
        <v>32000</v>
      </c>
      <c r="K464" s="1667">
        <f t="shared" si="211"/>
        <v>32000</v>
      </c>
      <c r="L464" s="1667">
        <f t="shared" si="211"/>
        <v>32000</v>
      </c>
      <c r="M464" s="1667">
        <f t="shared" si="211"/>
        <v>32000</v>
      </c>
      <c r="N464" s="1667">
        <f t="shared" si="211"/>
        <v>91100</v>
      </c>
      <c r="O464" s="1667">
        <f t="shared" si="211"/>
        <v>91100</v>
      </c>
      <c r="P464" s="1667">
        <f t="shared" si="211"/>
        <v>91100</v>
      </c>
      <c r="Q464" s="1667">
        <f t="shared" si="211"/>
        <v>91100</v>
      </c>
      <c r="R464" s="1667">
        <f t="shared" si="211"/>
        <v>28340</v>
      </c>
      <c r="S464" s="1667">
        <f>S465+S472</f>
        <v>28340</v>
      </c>
      <c r="T464" s="1667">
        <f t="shared" ref="T464:Y464" si="212">T465+T472</f>
        <v>91100</v>
      </c>
      <c r="U464" s="1667">
        <f t="shared" si="212"/>
        <v>91100</v>
      </c>
      <c r="V464" s="1667">
        <f t="shared" si="212"/>
        <v>37000</v>
      </c>
      <c r="W464" s="1667">
        <f t="shared" si="212"/>
        <v>0</v>
      </c>
      <c r="X464" s="1667">
        <f t="shared" si="212"/>
        <v>128100</v>
      </c>
      <c r="Y464" s="1667">
        <f t="shared" si="212"/>
        <v>128100</v>
      </c>
      <c r="Z464" s="1667">
        <v>128100</v>
      </c>
      <c r="AA464" s="1667">
        <v>128100</v>
      </c>
      <c r="AB464" s="1667"/>
      <c r="AC464" s="1667"/>
      <c r="AD464" s="1667">
        <f t="shared" ref="AD464:AE464" si="213">AD465+AD472</f>
        <v>128100</v>
      </c>
      <c r="AE464" s="1667">
        <f t="shared" si="213"/>
        <v>128100</v>
      </c>
      <c r="AF464" s="1671"/>
      <c r="AG464" s="1009">
        <f t="shared" si="207"/>
        <v>0</v>
      </c>
      <c r="AH464" s="1009">
        <f>IF(Y464=0,0,1)</f>
        <v>1</v>
      </c>
      <c r="AI464" s="1908">
        <f t="shared" si="189"/>
        <v>1</v>
      </c>
      <c r="AJ464" s="1908"/>
    </row>
    <row r="465" spans="1:35" ht="55.5" hidden="1" customHeight="1" x14ac:dyDescent="0.25">
      <c r="A465" s="1600" t="s">
        <v>2889</v>
      </c>
      <c r="B465" s="1600"/>
      <c r="C465" s="1602" t="s">
        <v>46</v>
      </c>
      <c r="D465" s="1603"/>
      <c r="E465" s="1603"/>
      <c r="F465" s="1603"/>
      <c r="G465" s="1603"/>
      <c r="H465" s="1604">
        <f t="shared" ref="H465:Y465" si="214">H466</f>
        <v>50564</v>
      </c>
      <c r="I465" s="1604">
        <f t="shared" si="214"/>
        <v>50564</v>
      </c>
      <c r="J465" s="1604">
        <f t="shared" si="214"/>
        <v>32000</v>
      </c>
      <c r="K465" s="1604">
        <f t="shared" si="214"/>
        <v>32000</v>
      </c>
      <c r="L465" s="1604">
        <f t="shared" si="214"/>
        <v>32000</v>
      </c>
      <c r="M465" s="1604">
        <f t="shared" si="214"/>
        <v>32000</v>
      </c>
      <c r="N465" s="1604">
        <f t="shared" si="214"/>
        <v>27370</v>
      </c>
      <c r="O465" s="1604">
        <f t="shared" si="214"/>
        <v>27370</v>
      </c>
      <c r="P465" s="1604">
        <f t="shared" si="214"/>
        <v>15750</v>
      </c>
      <c r="Q465" s="1604">
        <f t="shared" si="214"/>
        <v>15750</v>
      </c>
      <c r="R465" s="1604">
        <f t="shared" si="214"/>
        <v>0</v>
      </c>
      <c r="S465" s="1604">
        <f t="shared" si="214"/>
        <v>11620</v>
      </c>
      <c r="T465" s="1604">
        <f t="shared" si="214"/>
        <v>15750</v>
      </c>
      <c r="U465" s="1604">
        <f t="shared" si="214"/>
        <v>15750</v>
      </c>
      <c r="V465" s="1604"/>
      <c r="W465" s="1604"/>
      <c r="X465" s="1604">
        <f t="shared" si="214"/>
        <v>15750</v>
      </c>
      <c r="Y465" s="1604">
        <f t="shared" si="214"/>
        <v>15750</v>
      </c>
      <c r="Z465" s="1604">
        <v>15750</v>
      </c>
      <c r="AA465" s="1604">
        <v>15750</v>
      </c>
      <c r="AB465" s="1604"/>
      <c r="AC465" s="1604"/>
      <c r="AD465" s="1604">
        <f t="shared" ref="AD465:AE465" si="215">AD466</f>
        <v>15750</v>
      </c>
      <c r="AE465" s="1604">
        <f t="shared" si="215"/>
        <v>15750</v>
      </c>
      <c r="AF465" s="1606"/>
      <c r="AG465" s="1009">
        <f t="shared" si="207"/>
        <v>0</v>
      </c>
      <c r="AH465" s="1009">
        <f t="shared" si="171"/>
        <v>1</v>
      </c>
      <c r="AI465" s="1908">
        <f t="shared" si="189"/>
        <v>1</v>
      </c>
    </row>
    <row r="466" spans="1:35" ht="42" hidden="1" customHeight="1" x14ac:dyDescent="0.25">
      <c r="A466" s="1601"/>
      <c r="B466" s="1601"/>
      <c r="C466" s="1602" t="s">
        <v>48</v>
      </c>
      <c r="D466" s="1603"/>
      <c r="E466" s="1603"/>
      <c r="F466" s="1603"/>
      <c r="G466" s="1603"/>
      <c r="H466" s="1604">
        <f t="shared" ref="H466:K466" si="216">H470+H471</f>
        <v>50564</v>
      </c>
      <c r="I466" s="1604">
        <f t="shared" si="216"/>
        <v>50564</v>
      </c>
      <c r="J466" s="1604">
        <f t="shared" si="216"/>
        <v>32000</v>
      </c>
      <c r="K466" s="1604">
        <f t="shared" si="216"/>
        <v>32000</v>
      </c>
      <c r="L466" s="1604">
        <f t="shared" ref="L466:Q466" si="217">SUM(L469:L471)</f>
        <v>32000</v>
      </c>
      <c r="M466" s="1604">
        <f t="shared" si="217"/>
        <v>32000</v>
      </c>
      <c r="N466" s="1604">
        <f t="shared" si="217"/>
        <v>27370</v>
      </c>
      <c r="O466" s="1604">
        <f t="shared" si="217"/>
        <v>27370</v>
      </c>
      <c r="P466" s="1604">
        <f t="shared" si="217"/>
        <v>15750</v>
      </c>
      <c r="Q466" s="1604">
        <f t="shared" si="217"/>
        <v>15750</v>
      </c>
      <c r="R466" s="1604">
        <f>SUM(R469:R471)</f>
        <v>0</v>
      </c>
      <c r="S466" s="1604">
        <f t="shared" ref="S466:T466" si="218">SUM(S469:S471)</f>
        <v>11620</v>
      </c>
      <c r="T466" s="1604">
        <f t="shared" si="218"/>
        <v>15750</v>
      </c>
      <c r="U466" s="1604">
        <f>SUM(U469:U471)</f>
        <v>15750</v>
      </c>
      <c r="V466" s="1604"/>
      <c r="W466" s="1604"/>
      <c r="X466" s="1604">
        <f t="shared" ref="X466" si="219">SUM(X469:X471)</f>
        <v>15750</v>
      </c>
      <c r="Y466" s="1604">
        <f>SUM(Y469:Y471)</f>
        <v>15750</v>
      </c>
      <c r="Z466" s="1604">
        <v>15750</v>
      </c>
      <c r="AA466" s="1604">
        <v>15750</v>
      </c>
      <c r="AB466" s="1604"/>
      <c r="AC466" s="1604"/>
      <c r="AD466" s="1604">
        <f t="shared" ref="AD466" si="220">SUM(AD469:AD471)</f>
        <v>15750</v>
      </c>
      <c r="AE466" s="1604">
        <f>SUM(AE469:AE471)</f>
        <v>15750</v>
      </c>
      <c r="AF466" s="1606"/>
      <c r="AG466" s="1009">
        <f t="shared" si="207"/>
        <v>0</v>
      </c>
      <c r="AH466" s="1009">
        <f t="shared" si="171"/>
        <v>1</v>
      </c>
      <c r="AI466" s="1908">
        <f t="shared" si="189"/>
        <v>1</v>
      </c>
    </row>
    <row r="467" spans="1:35" ht="23.25" hidden="1" customHeight="1" x14ac:dyDescent="0.25">
      <c r="A467" s="1601"/>
      <c r="B467" s="1601"/>
      <c r="C467" s="1602" t="s">
        <v>49</v>
      </c>
      <c r="D467" s="1743"/>
      <c r="E467" s="1743"/>
      <c r="F467" s="1743"/>
      <c r="G467" s="1743"/>
      <c r="H467" s="1744"/>
      <c r="I467" s="1744"/>
      <c r="J467" s="1744"/>
      <c r="K467" s="1744"/>
      <c r="L467" s="1744"/>
      <c r="M467" s="1744"/>
      <c r="N467" s="1744"/>
      <c r="O467" s="1744"/>
      <c r="P467" s="1745"/>
      <c r="Q467" s="1745"/>
      <c r="R467" s="1591"/>
      <c r="S467" s="1591"/>
      <c r="T467" s="1739"/>
      <c r="U467" s="1739"/>
      <c r="V467" s="1591"/>
      <c r="W467" s="1591"/>
      <c r="X467" s="1739"/>
      <c r="Y467" s="1739"/>
      <c r="Z467" s="1739"/>
      <c r="AA467" s="1739"/>
      <c r="AB467" s="1739"/>
      <c r="AC467" s="1739"/>
      <c r="AD467" s="1739"/>
      <c r="AE467" s="1739"/>
      <c r="AF467" s="1681"/>
      <c r="AG467" s="1009">
        <f t="shared" si="207"/>
        <v>0</v>
      </c>
      <c r="AH467" s="1009">
        <f t="shared" si="171"/>
        <v>0</v>
      </c>
      <c r="AI467" s="1908">
        <f t="shared" si="189"/>
        <v>1</v>
      </c>
    </row>
    <row r="468" spans="1:35" ht="72.75" hidden="1" customHeight="1" x14ac:dyDescent="0.25">
      <c r="A468" s="1601" t="s">
        <v>2890</v>
      </c>
      <c r="B468" s="1601"/>
      <c r="C468" s="1746" t="s">
        <v>50</v>
      </c>
      <c r="D468" s="1603"/>
      <c r="E468" s="1603"/>
      <c r="F468" s="1603"/>
      <c r="G468" s="1603"/>
      <c r="H468" s="1604"/>
      <c r="I468" s="1604"/>
      <c r="J468" s="1604"/>
      <c r="K468" s="1604"/>
      <c r="L468" s="1604"/>
      <c r="M468" s="1604"/>
      <c r="N468" s="1604"/>
      <c r="O468" s="1604"/>
      <c r="P468" s="1605"/>
      <c r="Q468" s="1605"/>
      <c r="R468" s="1591"/>
      <c r="S468" s="1591"/>
      <c r="T468" s="1741"/>
      <c r="U468" s="1741"/>
      <c r="V468" s="1591"/>
      <c r="W468" s="1591"/>
      <c r="X468" s="1741"/>
      <c r="Y468" s="1741"/>
      <c r="Z468" s="1741"/>
      <c r="AA468" s="1741"/>
      <c r="AB468" s="1741"/>
      <c r="AC468" s="1741"/>
      <c r="AD468" s="1741"/>
      <c r="AE468" s="1741"/>
      <c r="AF468" s="1606"/>
      <c r="AG468" s="1009">
        <f t="shared" si="207"/>
        <v>0</v>
      </c>
      <c r="AH468" s="1009">
        <f t="shared" si="171"/>
        <v>0</v>
      </c>
      <c r="AI468" s="1908">
        <f t="shared" si="189"/>
        <v>1</v>
      </c>
    </row>
    <row r="469" spans="1:35" ht="46.5" hidden="1" customHeight="1" x14ac:dyDescent="0.25">
      <c r="A469" s="1672" t="s">
        <v>2891</v>
      </c>
      <c r="B469" s="1672"/>
      <c r="C469" s="1587" t="s">
        <v>1008</v>
      </c>
      <c r="D469" s="1608"/>
      <c r="E469" s="1646"/>
      <c r="F469" s="1646"/>
      <c r="G469" s="1646"/>
      <c r="H469" s="1648"/>
      <c r="I469" s="1604"/>
      <c r="J469" s="1604"/>
      <c r="K469" s="1604"/>
      <c r="L469" s="1604"/>
      <c r="M469" s="1604"/>
      <c r="N469" s="1648">
        <v>1550</v>
      </c>
      <c r="O469" s="1682">
        <f>N469</f>
        <v>1550</v>
      </c>
      <c r="P469" s="1766">
        <f>Q469</f>
        <v>1550</v>
      </c>
      <c r="Q469" s="1666">
        <v>1550</v>
      </c>
      <c r="R469" s="1591"/>
      <c r="S469" s="1591">
        <f>O469-U469</f>
        <v>0</v>
      </c>
      <c r="T469" s="1728">
        <f>U469</f>
        <v>1550</v>
      </c>
      <c r="U469" s="1665">
        <v>1550</v>
      </c>
      <c r="V469" s="1591"/>
      <c r="W469" s="1591"/>
      <c r="X469" s="1728">
        <f>Y469</f>
        <v>1550</v>
      </c>
      <c r="Y469" s="1665">
        <v>1550</v>
      </c>
      <c r="Z469" s="1728">
        <v>1550</v>
      </c>
      <c r="AA469" s="1665">
        <v>1550</v>
      </c>
      <c r="AB469" s="1665"/>
      <c r="AC469" s="1665"/>
      <c r="AD469" s="1623">
        <f t="shared" ref="AD469:AD471" si="221">AE469</f>
        <v>1550</v>
      </c>
      <c r="AE469" s="1623">
        <f>AA469+AB469+AC469</f>
        <v>1550</v>
      </c>
      <c r="AF469" s="1599"/>
      <c r="AG469" s="1009">
        <f t="shared" si="207"/>
        <v>0</v>
      </c>
      <c r="AH469" s="1009">
        <f t="shared" ref="AH469:AH545" si="222">IF(Y469=0,0,1)</f>
        <v>1</v>
      </c>
      <c r="AI469" s="1908"/>
    </row>
    <row r="470" spans="1:35" ht="130.5" hidden="1" customHeight="1" x14ac:dyDescent="0.25">
      <c r="A470" s="1672" t="s">
        <v>2892</v>
      </c>
      <c r="B470" s="1672"/>
      <c r="C470" s="1587" t="s">
        <v>1199</v>
      </c>
      <c r="D470" s="1608" t="s">
        <v>1198</v>
      </c>
      <c r="E470" s="1588"/>
      <c r="F470" s="1589" t="s">
        <v>738</v>
      </c>
      <c r="G470" s="1588" t="s">
        <v>1197</v>
      </c>
      <c r="H470" s="1622">
        <f>I470</f>
        <v>38069</v>
      </c>
      <c r="I470" s="1622">
        <v>38069</v>
      </c>
      <c r="J470" s="1690">
        <f>K470</f>
        <v>26000</v>
      </c>
      <c r="K470" s="1690">
        <f>25000+1000</f>
        <v>26000</v>
      </c>
      <c r="L470" s="1690">
        <f>M470</f>
        <v>26000</v>
      </c>
      <c r="M470" s="1690">
        <f>25000+1000</f>
        <v>26000</v>
      </c>
      <c r="N470" s="1648">
        <f>O470</f>
        <v>19070</v>
      </c>
      <c r="O470" s="1682">
        <v>19070</v>
      </c>
      <c r="P470" s="1766">
        <f>Q470</f>
        <v>8300</v>
      </c>
      <c r="Q470" s="1666">
        <v>8300</v>
      </c>
      <c r="R470" s="1591"/>
      <c r="S470" s="1591">
        <f>O470-U470</f>
        <v>10770</v>
      </c>
      <c r="T470" s="1728">
        <f>U470</f>
        <v>8300</v>
      </c>
      <c r="U470" s="1665">
        <v>8300</v>
      </c>
      <c r="V470" s="1591"/>
      <c r="W470" s="1591"/>
      <c r="X470" s="1728">
        <f>Y470</f>
        <v>8300</v>
      </c>
      <c r="Y470" s="1665">
        <v>8300</v>
      </c>
      <c r="Z470" s="1728">
        <v>8300</v>
      </c>
      <c r="AA470" s="1665">
        <v>8300</v>
      </c>
      <c r="AB470" s="1665"/>
      <c r="AC470" s="1665"/>
      <c r="AD470" s="1623">
        <f t="shared" si="221"/>
        <v>8300</v>
      </c>
      <c r="AE470" s="1623">
        <f>AA470+AB470+AC470</f>
        <v>8300</v>
      </c>
      <c r="AF470" s="1586"/>
      <c r="AG470" s="1009">
        <f t="shared" si="207"/>
        <v>0</v>
      </c>
      <c r="AH470" s="1009">
        <f t="shared" si="222"/>
        <v>1</v>
      </c>
      <c r="AI470" s="1908">
        <f t="shared" si="189"/>
        <v>1</v>
      </c>
    </row>
    <row r="471" spans="1:35" ht="119.25" hidden="1" customHeight="1" x14ac:dyDescent="0.25">
      <c r="A471" s="1672" t="s">
        <v>2893</v>
      </c>
      <c r="B471" s="1672"/>
      <c r="C471" s="1587" t="s">
        <v>1195</v>
      </c>
      <c r="D471" s="1608"/>
      <c r="E471" s="1646"/>
      <c r="F471" s="1589" t="s">
        <v>72</v>
      </c>
      <c r="G471" s="1588" t="s">
        <v>1194</v>
      </c>
      <c r="H471" s="1590">
        <f>I471</f>
        <v>12495</v>
      </c>
      <c r="I471" s="1590">
        <v>12495</v>
      </c>
      <c r="J471" s="1747">
        <f>K471</f>
        <v>6000</v>
      </c>
      <c r="K471" s="1690">
        <v>6000</v>
      </c>
      <c r="L471" s="1747">
        <f>M471</f>
        <v>6000</v>
      </c>
      <c r="M471" s="1690">
        <v>6000</v>
      </c>
      <c r="N471" s="1648">
        <f>O471</f>
        <v>6750</v>
      </c>
      <c r="O471" s="1682">
        <v>6750</v>
      </c>
      <c r="P471" s="1766">
        <f>Q471</f>
        <v>5900</v>
      </c>
      <c r="Q471" s="1666">
        <v>5900</v>
      </c>
      <c r="R471" s="1591"/>
      <c r="S471" s="1591">
        <f>O471-U471</f>
        <v>850</v>
      </c>
      <c r="T471" s="1728">
        <f>U471</f>
        <v>5900</v>
      </c>
      <c r="U471" s="1665">
        <v>5900</v>
      </c>
      <c r="V471" s="1591"/>
      <c r="W471" s="1591"/>
      <c r="X471" s="1728">
        <f>Y471</f>
        <v>5900</v>
      </c>
      <c r="Y471" s="1665">
        <v>5900</v>
      </c>
      <c r="Z471" s="1728">
        <v>5900</v>
      </c>
      <c r="AA471" s="1665">
        <v>5900</v>
      </c>
      <c r="AB471" s="1665"/>
      <c r="AC471" s="1665"/>
      <c r="AD471" s="1623">
        <f t="shared" si="221"/>
        <v>5900</v>
      </c>
      <c r="AE471" s="1623">
        <f>AA471+AB471+AC471</f>
        <v>5900</v>
      </c>
      <c r="AF471" s="1586"/>
      <c r="AG471" s="1009">
        <f t="shared" si="207"/>
        <v>0</v>
      </c>
      <c r="AH471" s="1009">
        <f t="shared" si="222"/>
        <v>1</v>
      </c>
      <c r="AI471" s="1908">
        <f t="shared" si="189"/>
        <v>1</v>
      </c>
    </row>
    <row r="472" spans="1:35" ht="43.5" hidden="1" customHeight="1" x14ac:dyDescent="0.25">
      <c r="A472" s="1600" t="s">
        <v>2898</v>
      </c>
      <c r="B472" s="1600"/>
      <c r="C472" s="1602" t="s">
        <v>86</v>
      </c>
      <c r="D472" s="1603"/>
      <c r="E472" s="1603"/>
      <c r="F472" s="1603"/>
      <c r="G472" s="1603"/>
      <c r="H472" s="1604">
        <f t="shared" ref="H472:U472" si="223">H473+H498</f>
        <v>170049</v>
      </c>
      <c r="I472" s="1604">
        <f t="shared" si="223"/>
        <v>169951</v>
      </c>
      <c r="J472" s="1604">
        <f t="shared" si="223"/>
        <v>0</v>
      </c>
      <c r="K472" s="1604">
        <f t="shared" si="223"/>
        <v>0</v>
      </c>
      <c r="L472" s="1604">
        <f t="shared" si="223"/>
        <v>0</v>
      </c>
      <c r="M472" s="1604">
        <f t="shared" si="223"/>
        <v>0</v>
      </c>
      <c r="N472" s="1604">
        <f t="shared" si="223"/>
        <v>63730</v>
      </c>
      <c r="O472" s="1604">
        <f t="shared" si="223"/>
        <v>63730</v>
      </c>
      <c r="P472" s="1604">
        <f t="shared" si="223"/>
        <v>75350</v>
      </c>
      <c r="Q472" s="1604">
        <f t="shared" si="223"/>
        <v>75350</v>
      </c>
      <c r="R472" s="1604">
        <f t="shared" si="223"/>
        <v>28340</v>
      </c>
      <c r="S472" s="1604">
        <f t="shared" si="223"/>
        <v>16720</v>
      </c>
      <c r="T472" s="1604">
        <f t="shared" si="223"/>
        <v>75350</v>
      </c>
      <c r="U472" s="1604">
        <f t="shared" si="223"/>
        <v>75350</v>
      </c>
      <c r="V472" s="1604">
        <f>V473</f>
        <v>37000</v>
      </c>
      <c r="W472" s="1604">
        <f t="shared" ref="W472:Y472" si="224">W473</f>
        <v>0</v>
      </c>
      <c r="X472" s="1604">
        <f t="shared" si="224"/>
        <v>112350</v>
      </c>
      <c r="Y472" s="1604">
        <f t="shared" si="224"/>
        <v>112350</v>
      </c>
      <c r="Z472" s="1604">
        <v>112350</v>
      </c>
      <c r="AA472" s="1604">
        <v>112350</v>
      </c>
      <c r="AB472" s="1604"/>
      <c r="AC472" s="1604"/>
      <c r="AD472" s="1604">
        <f t="shared" ref="AD472:AE472" si="225">AD473</f>
        <v>112350</v>
      </c>
      <c r="AE472" s="1604">
        <f t="shared" si="225"/>
        <v>112350</v>
      </c>
      <c r="AF472" s="1606"/>
      <c r="AG472" s="1009">
        <f t="shared" si="207"/>
        <v>0</v>
      </c>
      <c r="AH472" s="1009">
        <f t="shared" si="222"/>
        <v>1</v>
      </c>
      <c r="AI472" s="1908">
        <f t="shared" si="189"/>
        <v>1</v>
      </c>
    </row>
    <row r="473" spans="1:35" ht="60" hidden="1" customHeight="1" x14ac:dyDescent="0.25">
      <c r="A473" s="1601" t="s">
        <v>2899</v>
      </c>
      <c r="B473" s="1601"/>
      <c r="C473" s="1602" t="s">
        <v>88</v>
      </c>
      <c r="D473" s="1603"/>
      <c r="E473" s="1603"/>
      <c r="F473" s="1603"/>
      <c r="G473" s="1603"/>
      <c r="H473" s="1604">
        <f t="shared" ref="H473:AE473" si="226">SUM(H474:H497)</f>
        <v>129160</v>
      </c>
      <c r="I473" s="1604">
        <f t="shared" si="226"/>
        <v>129062</v>
      </c>
      <c r="J473" s="1604">
        <f t="shared" si="226"/>
        <v>0</v>
      </c>
      <c r="K473" s="1604">
        <f t="shared" si="226"/>
        <v>0</v>
      </c>
      <c r="L473" s="1604">
        <f t="shared" si="226"/>
        <v>0</v>
      </c>
      <c r="M473" s="1604">
        <f t="shared" si="226"/>
        <v>0</v>
      </c>
      <c r="N473" s="1604">
        <f t="shared" si="226"/>
        <v>53410</v>
      </c>
      <c r="O473" s="1604">
        <f t="shared" si="226"/>
        <v>53410</v>
      </c>
      <c r="P473" s="1604">
        <f t="shared" si="226"/>
        <v>75350</v>
      </c>
      <c r="Q473" s="1604">
        <f t="shared" si="226"/>
        <v>75350</v>
      </c>
      <c r="R473" s="1604">
        <f t="shared" si="226"/>
        <v>28340</v>
      </c>
      <c r="S473" s="1604">
        <f t="shared" si="226"/>
        <v>6400</v>
      </c>
      <c r="T473" s="1604">
        <f t="shared" si="226"/>
        <v>75350</v>
      </c>
      <c r="U473" s="1604">
        <f t="shared" si="226"/>
        <v>75350</v>
      </c>
      <c r="V473" s="1604">
        <f t="shared" si="226"/>
        <v>37000</v>
      </c>
      <c r="W473" s="1604">
        <f t="shared" si="226"/>
        <v>0</v>
      </c>
      <c r="X473" s="1604">
        <f t="shared" si="226"/>
        <v>112350</v>
      </c>
      <c r="Y473" s="1604">
        <f t="shared" si="226"/>
        <v>112350</v>
      </c>
      <c r="Z473" s="1604">
        <v>112350</v>
      </c>
      <c r="AA473" s="1604">
        <v>112350</v>
      </c>
      <c r="AB473" s="1604"/>
      <c r="AC473" s="1604"/>
      <c r="AD473" s="1604">
        <f t="shared" si="226"/>
        <v>112350</v>
      </c>
      <c r="AE473" s="1604">
        <f t="shared" si="226"/>
        <v>112350</v>
      </c>
      <c r="AF473" s="1606"/>
      <c r="AG473" s="1009">
        <f t="shared" si="207"/>
        <v>0</v>
      </c>
      <c r="AH473" s="1009">
        <f t="shared" si="222"/>
        <v>1</v>
      </c>
      <c r="AI473" s="1908">
        <f t="shared" si="189"/>
        <v>1</v>
      </c>
    </row>
    <row r="474" spans="1:35" ht="130.5" hidden="1" customHeight="1" x14ac:dyDescent="0.25">
      <c r="A474" s="1677" t="s">
        <v>2900</v>
      </c>
      <c r="B474" s="1677"/>
      <c r="C474" s="1587" t="s">
        <v>1193</v>
      </c>
      <c r="D474" s="1608"/>
      <c r="E474" s="1588" t="s">
        <v>1192</v>
      </c>
      <c r="F474" s="1589" t="s">
        <v>72</v>
      </c>
      <c r="G474" s="1588" t="s">
        <v>1191</v>
      </c>
      <c r="H474" s="1590">
        <f>I474</f>
        <v>5466</v>
      </c>
      <c r="I474" s="1590">
        <v>5466</v>
      </c>
      <c r="J474" s="1747"/>
      <c r="K474" s="1747"/>
      <c r="L474" s="1747"/>
      <c r="M474" s="1747"/>
      <c r="N474" s="1648">
        <f t="shared" ref="N474:N482" si="227">O474</f>
        <v>6200</v>
      </c>
      <c r="O474" s="1682">
        <v>6200</v>
      </c>
      <c r="P474" s="1796">
        <f t="shared" ref="P474:P490" si="228">Q474</f>
        <v>5410</v>
      </c>
      <c r="Q474" s="1766">
        <v>5410</v>
      </c>
      <c r="R474" s="1591"/>
      <c r="S474" s="1591">
        <f>O474-U474</f>
        <v>790</v>
      </c>
      <c r="T474" s="1665">
        <f t="shared" ref="T474:T490" si="229">U474</f>
        <v>5410</v>
      </c>
      <c r="U474" s="1728">
        <v>5410</v>
      </c>
      <c r="V474" s="1591"/>
      <c r="W474" s="1591"/>
      <c r="X474" s="1665">
        <f t="shared" ref="X474:X490" si="230">Y474</f>
        <v>5410</v>
      </c>
      <c r="Y474" s="1728">
        <v>5410</v>
      </c>
      <c r="Z474" s="1665">
        <v>5410</v>
      </c>
      <c r="AA474" s="1728">
        <v>5410</v>
      </c>
      <c r="AB474" s="1728"/>
      <c r="AC474" s="1728"/>
      <c r="AD474" s="1623">
        <f t="shared" ref="AD474:AD495" si="231">AE474</f>
        <v>5410</v>
      </c>
      <c r="AE474" s="1623">
        <f t="shared" ref="AE474:AE495" si="232">AA474+AB474+AC474</f>
        <v>5410</v>
      </c>
      <c r="AF474" s="1580"/>
      <c r="AG474" s="1009">
        <f t="shared" si="207"/>
        <v>0</v>
      </c>
      <c r="AH474" s="1009">
        <f t="shared" si="222"/>
        <v>1</v>
      </c>
      <c r="AI474" s="1908">
        <f t="shared" si="189"/>
        <v>1</v>
      </c>
    </row>
    <row r="475" spans="1:35" ht="115.5" hidden="1" x14ac:dyDescent="0.25">
      <c r="A475" s="1677" t="s">
        <v>2901</v>
      </c>
      <c r="B475" s="1677"/>
      <c r="C475" s="1587" t="s">
        <v>1190</v>
      </c>
      <c r="D475" s="1608"/>
      <c r="E475" s="1588" t="s">
        <v>1189</v>
      </c>
      <c r="F475" s="1589" t="s">
        <v>252</v>
      </c>
      <c r="G475" s="1588" t="s">
        <v>1188</v>
      </c>
      <c r="H475" s="1590">
        <f>I475</f>
        <v>8337</v>
      </c>
      <c r="I475" s="1590">
        <v>8337</v>
      </c>
      <c r="J475" s="1747"/>
      <c r="K475" s="1747"/>
      <c r="L475" s="1747"/>
      <c r="M475" s="1747"/>
      <c r="N475" s="1648">
        <f t="shared" si="227"/>
        <v>9100</v>
      </c>
      <c r="O475" s="1682">
        <v>9100</v>
      </c>
      <c r="P475" s="1796">
        <f t="shared" si="228"/>
        <v>8000</v>
      </c>
      <c r="Q475" s="1766">
        <v>8000</v>
      </c>
      <c r="R475" s="1591"/>
      <c r="S475" s="1591">
        <f>O475-U475</f>
        <v>1100</v>
      </c>
      <c r="T475" s="1665">
        <f t="shared" si="229"/>
        <v>8000</v>
      </c>
      <c r="U475" s="1728">
        <v>8000</v>
      </c>
      <c r="V475" s="1591"/>
      <c r="W475" s="1591"/>
      <c r="X475" s="1665">
        <f t="shared" si="230"/>
        <v>8000</v>
      </c>
      <c r="Y475" s="1728">
        <v>8000</v>
      </c>
      <c r="Z475" s="1665">
        <v>8000</v>
      </c>
      <c r="AA475" s="1728">
        <v>8000</v>
      </c>
      <c r="AB475" s="1728"/>
      <c r="AC475" s="1728"/>
      <c r="AD475" s="1623">
        <f t="shared" si="231"/>
        <v>8000</v>
      </c>
      <c r="AE475" s="1623">
        <f t="shared" si="232"/>
        <v>8000</v>
      </c>
      <c r="AF475" s="1580"/>
      <c r="AG475" s="1009">
        <f t="shared" si="207"/>
        <v>0</v>
      </c>
      <c r="AH475" s="1009">
        <f t="shared" si="222"/>
        <v>1</v>
      </c>
      <c r="AI475" s="1908">
        <f t="shared" si="189"/>
        <v>1</v>
      </c>
    </row>
    <row r="476" spans="1:35" ht="66" hidden="1" x14ac:dyDescent="0.25">
      <c r="A476" s="1677" t="s">
        <v>2902</v>
      </c>
      <c r="B476" s="1677"/>
      <c r="C476" s="1587" t="s">
        <v>1187</v>
      </c>
      <c r="D476" s="1608"/>
      <c r="E476" s="1646"/>
      <c r="F476" s="1589">
        <v>2016</v>
      </c>
      <c r="G476" s="1588" t="s">
        <v>1186</v>
      </c>
      <c r="H476" s="1590">
        <f>I476</f>
        <v>3762</v>
      </c>
      <c r="I476" s="1590">
        <v>3762</v>
      </c>
      <c r="J476" s="1747"/>
      <c r="K476" s="1747"/>
      <c r="L476" s="1747"/>
      <c r="M476" s="1747"/>
      <c r="N476" s="1648">
        <f t="shared" si="227"/>
        <v>4100</v>
      </c>
      <c r="O476" s="1682">
        <v>4100</v>
      </c>
      <c r="P476" s="1796">
        <f t="shared" si="228"/>
        <v>3700</v>
      </c>
      <c r="Q476" s="1766">
        <v>3700</v>
      </c>
      <c r="R476" s="1591"/>
      <c r="S476" s="1591">
        <f>O476-U476</f>
        <v>400</v>
      </c>
      <c r="T476" s="1665">
        <f t="shared" si="229"/>
        <v>3700</v>
      </c>
      <c r="U476" s="1728">
        <v>3700</v>
      </c>
      <c r="V476" s="1591"/>
      <c r="W476" s="1591"/>
      <c r="X476" s="1665">
        <f t="shared" si="230"/>
        <v>3700</v>
      </c>
      <c r="Y476" s="1728">
        <v>3700</v>
      </c>
      <c r="Z476" s="1665">
        <v>3700</v>
      </c>
      <c r="AA476" s="1728">
        <v>3700</v>
      </c>
      <c r="AB476" s="1728"/>
      <c r="AC476" s="1728"/>
      <c r="AD476" s="1623">
        <f t="shared" si="231"/>
        <v>3700</v>
      </c>
      <c r="AE476" s="1623">
        <f t="shared" si="232"/>
        <v>3700</v>
      </c>
      <c r="AF476" s="1580"/>
      <c r="AG476" s="1009">
        <f t="shared" si="207"/>
        <v>0</v>
      </c>
      <c r="AH476" s="1009">
        <f t="shared" si="222"/>
        <v>1</v>
      </c>
      <c r="AI476" s="1908">
        <f t="shared" si="189"/>
        <v>1</v>
      </c>
    </row>
    <row r="477" spans="1:35" ht="126.75" hidden="1" customHeight="1" x14ac:dyDescent="0.25">
      <c r="A477" s="1677" t="s">
        <v>2903</v>
      </c>
      <c r="B477" s="1677"/>
      <c r="C477" s="1587" t="s">
        <v>1185</v>
      </c>
      <c r="D477" s="1608"/>
      <c r="E477" s="1646"/>
      <c r="F477" s="1589">
        <v>2016</v>
      </c>
      <c r="G477" s="1588" t="s">
        <v>1184</v>
      </c>
      <c r="H477" s="1590">
        <f>I477</f>
        <v>4451</v>
      </c>
      <c r="I477" s="1590">
        <v>4451</v>
      </c>
      <c r="J477" s="1747"/>
      <c r="K477" s="1747"/>
      <c r="L477" s="1747"/>
      <c r="M477" s="1747"/>
      <c r="N477" s="1648">
        <f t="shared" si="227"/>
        <v>4530</v>
      </c>
      <c r="O477" s="1682">
        <v>4530</v>
      </c>
      <c r="P477" s="1796">
        <f t="shared" si="228"/>
        <v>4300</v>
      </c>
      <c r="Q477" s="1766">
        <v>4300</v>
      </c>
      <c r="R477" s="1591"/>
      <c r="S477" s="1591">
        <f>O477-U477</f>
        <v>230</v>
      </c>
      <c r="T477" s="1665">
        <f t="shared" si="229"/>
        <v>4300</v>
      </c>
      <c r="U477" s="1728">
        <v>4300</v>
      </c>
      <c r="V477" s="1591"/>
      <c r="W477" s="1591"/>
      <c r="X477" s="1665">
        <f t="shared" si="230"/>
        <v>4300</v>
      </c>
      <c r="Y477" s="1728">
        <v>4300</v>
      </c>
      <c r="Z477" s="1665">
        <v>4300</v>
      </c>
      <c r="AA477" s="1728">
        <v>4300</v>
      </c>
      <c r="AB477" s="1728"/>
      <c r="AC477" s="1728"/>
      <c r="AD477" s="1623">
        <f t="shared" si="231"/>
        <v>4300</v>
      </c>
      <c r="AE477" s="1623">
        <f t="shared" si="232"/>
        <v>4300</v>
      </c>
      <c r="AF477" s="1580"/>
      <c r="AG477" s="1009">
        <f t="shared" si="207"/>
        <v>0</v>
      </c>
      <c r="AH477" s="1009">
        <f t="shared" si="222"/>
        <v>1</v>
      </c>
      <c r="AI477" s="1908">
        <f t="shared" si="189"/>
        <v>1</v>
      </c>
    </row>
    <row r="478" spans="1:35" ht="124.5" hidden="1" customHeight="1" x14ac:dyDescent="0.25">
      <c r="A478" s="1677" t="s">
        <v>2904</v>
      </c>
      <c r="B478" s="1677"/>
      <c r="C478" s="1587" t="s">
        <v>1183</v>
      </c>
      <c r="D478" s="1608"/>
      <c r="E478" s="1646"/>
      <c r="F478" s="1757">
        <v>2016</v>
      </c>
      <c r="G478" s="1588" t="s">
        <v>1182</v>
      </c>
      <c r="H478" s="1590">
        <f>I478</f>
        <v>2744</v>
      </c>
      <c r="I478" s="1590">
        <v>2744</v>
      </c>
      <c r="J478" s="1747"/>
      <c r="K478" s="1747"/>
      <c r="L478" s="1747"/>
      <c r="M478" s="1747"/>
      <c r="N478" s="1648">
        <f t="shared" si="227"/>
        <v>2810</v>
      </c>
      <c r="O478" s="1682">
        <v>2810</v>
      </c>
      <c r="P478" s="1796">
        <f t="shared" si="228"/>
        <v>2730</v>
      </c>
      <c r="Q478" s="1766">
        <v>2730</v>
      </c>
      <c r="R478" s="1591"/>
      <c r="S478" s="1591">
        <f>O478-U478</f>
        <v>80</v>
      </c>
      <c r="T478" s="1665">
        <f t="shared" si="229"/>
        <v>2730</v>
      </c>
      <c r="U478" s="1728">
        <v>2730</v>
      </c>
      <c r="V478" s="1591"/>
      <c r="W478" s="1591"/>
      <c r="X478" s="1665">
        <f t="shared" si="230"/>
        <v>2730</v>
      </c>
      <c r="Y478" s="1728">
        <v>2730</v>
      </c>
      <c r="Z478" s="1665">
        <v>2730</v>
      </c>
      <c r="AA478" s="1728">
        <v>2730</v>
      </c>
      <c r="AB478" s="1728"/>
      <c r="AC478" s="1728"/>
      <c r="AD478" s="1623">
        <f t="shared" si="231"/>
        <v>2730</v>
      </c>
      <c r="AE478" s="1623">
        <f t="shared" si="232"/>
        <v>2730</v>
      </c>
      <c r="AF478" s="1580"/>
      <c r="AG478" s="1009">
        <f t="shared" si="207"/>
        <v>0</v>
      </c>
      <c r="AH478" s="1009">
        <f t="shared" si="222"/>
        <v>1</v>
      </c>
      <c r="AI478" s="1908">
        <f t="shared" si="189"/>
        <v>1</v>
      </c>
    </row>
    <row r="479" spans="1:35" ht="192" hidden="1" customHeight="1" x14ac:dyDescent="0.25">
      <c r="A479" s="1677" t="s">
        <v>2905</v>
      </c>
      <c r="B479" s="1677"/>
      <c r="C479" s="1587" t="s">
        <v>1181</v>
      </c>
      <c r="D479" s="1608"/>
      <c r="E479" s="1646"/>
      <c r="F479" s="1589" t="s">
        <v>199</v>
      </c>
      <c r="G479" s="1588" t="s">
        <v>1180</v>
      </c>
      <c r="H479" s="1590">
        <v>6692</v>
      </c>
      <c r="I479" s="1590">
        <v>6594</v>
      </c>
      <c r="J479" s="1747"/>
      <c r="K479" s="1747"/>
      <c r="L479" s="1747"/>
      <c r="M479" s="1747"/>
      <c r="N479" s="1648">
        <f t="shared" si="227"/>
        <v>6370</v>
      </c>
      <c r="O479" s="1682">
        <v>6370</v>
      </c>
      <c r="P479" s="1766">
        <f t="shared" si="228"/>
        <v>6400</v>
      </c>
      <c r="Q479" s="1666">
        <v>6400</v>
      </c>
      <c r="R479" s="1591">
        <f>U479-O479</f>
        <v>30</v>
      </c>
      <c r="S479" s="1591"/>
      <c r="T479" s="1728">
        <f t="shared" si="229"/>
        <v>6400</v>
      </c>
      <c r="U479" s="1665">
        <v>6400</v>
      </c>
      <c r="V479" s="1591"/>
      <c r="W479" s="1591"/>
      <c r="X479" s="1728">
        <f t="shared" si="230"/>
        <v>6400</v>
      </c>
      <c r="Y479" s="1665">
        <v>6400</v>
      </c>
      <c r="Z479" s="1728">
        <v>6400</v>
      </c>
      <c r="AA479" s="1665">
        <v>6400</v>
      </c>
      <c r="AB479" s="1665"/>
      <c r="AC479" s="1665"/>
      <c r="AD479" s="1623">
        <f t="shared" si="231"/>
        <v>6400</v>
      </c>
      <c r="AE479" s="1623">
        <f t="shared" si="232"/>
        <v>6400</v>
      </c>
      <c r="AF479" s="1580"/>
      <c r="AG479" s="1009">
        <f t="shared" si="207"/>
        <v>0</v>
      </c>
      <c r="AH479" s="1009">
        <f t="shared" si="222"/>
        <v>1</v>
      </c>
      <c r="AI479" s="1908">
        <f t="shared" si="189"/>
        <v>1</v>
      </c>
    </row>
    <row r="480" spans="1:35" ht="253.5" hidden="1" customHeight="1" x14ac:dyDescent="0.25">
      <c r="A480" s="1677" t="s">
        <v>2906</v>
      </c>
      <c r="B480" s="1677"/>
      <c r="C480" s="1587" t="s">
        <v>1179</v>
      </c>
      <c r="D480" s="1608"/>
      <c r="E480" s="1646"/>
      <c r="F480" s="1589" t="s">
        <v>97</v>
      </c>
      <c r="G480" s="1588" t="s">
        <v>1178</v>
      </c>
      <c r="H480" s="1690">
        <f>I480</f>
        <v>3939</v>
      </c>
      <c r="I480" s="1690">
        <v>3939</v>
      </c>
      <c r="J480" s="1747"/>
      <c r="K480" s="1747"/>
      <c r="L480" s="1747"/>
      <c r="M480" s="1747"/>
      <c r="N480" s="1648">
        <f t="shared" si="227"/>
        <v>5150</v>
      </c>
      <c r="O480" s="1682">
        <v>5150</v>
      </c>
      <c r="P480" s="1766">
        <f t="shared" si="228"/>
        <v>3550</v>
      </c>
      <c r="Q480" s="1748">
        <v>3550</v>
      </c>
      <c r="R480" s="1591"/>
      <c r="S480" s="1591">
        <f>O480-U480</f>
        <v>1600</v>
      </c>
      <c r="T480" s="1728">
        <f t="shared" si="229"/>
        <v>3550</v>
      </c>
      <c r="U480" s="1623">
        <v>3550</v>
      </c>
      <c r="V480" s="1591"/>
      <c r="W480" s="1591"/>
      <c r="X480" s="1728">
        <f t="shared" si="230"/>
        <v>3550</v>
      </c>
      <c r="Y480" s="1623">
        <v>3550</v>
      </c>
      <c r="Z480" s="1728">
        <v>3550</v>
      </c>
      <c r="AA480" s="1623">
        <v>3550</v>
      </c>
      <c r="AB480" s="1623"/>
      <c r="AC480" s="1623"/>
      <c r="AD480" s="1623">
        <f t="shared" si="231"/>
        <v>3550</v>
      </c>
      <c r="AE480" s="1623">
        <f t="shared" si="232"/>
        <v>3550</v>
      </c>
      <c r="AF480" s="1580"/>
      <c r="AG480" s="1009">
        <f t="shared" si="207"/>
        <v>0</v>
      </c>
      <c r="AH480" s="1009">
        <f t="shared" si="222"/>
        <v>1</v>
      </c>
      <c r="AI480" s="1908">
        <f t="shared" si="189"/>
        <v>1</v>
      </c>
    </row>
    <row r="481" spans="1:35" ht="118.5" hidden="1" customHeight="1" x14ac:dyDescent="0.25">
      <c r="A481" s="1677" t="s">
        <v>2907</v>
      </c>
      <c r="B481" s="1677"/>
      <c r="C481" s="1645" t="s">
        <v>1177</v>
      </c>
      <c r="D481" s="1580" t="s">
        <v>578</v>
      </c>
      <c r="E481" s="1580" t="s">
        <v>1176</v>
      </c>
      <c r="F481" s="1589" t="s">
        <v>248</v>
      </c>
      <c r="G481" s="1608" t="s">
        <v>1175</v>
      </c>
      <c r="H481" s="1682">
        <v>5026</v>
      </c>
      <c r="I481" s="1682">
        <v>5026</v>
      </c>
      <c r="J481" s="1747"/>
      <c r="K481" s="1747"/>
      <c r="L481" s="1747"/>
      <c r="M481" s="1747"/>
      <c r="N481" s="1648">
        <f t="shared" si="227"/>
        <v>4550</v>
      </c>
      <c r="O481" s="1682">
        <v>4550</v>
      </c>
      <c r="P481" s="1748">
        <f t="shared" si="228"/>
        <v>4550</v>
      </c>
      <c r="Q481" s="1748">
        <f>O481</f>
        <v>4550</v>
      </c>
      <c r="R481" s="1591"/>
      <c r="S481" s="1591"/>
      <c r="T481" s="1623">
        <f t="shared" si="229"/>
        <v>4550</v>
      </c>
      <c r="U481" s="1623">
        <v>4550</v>
      </c>
      <c r="V481" s="1591"/>
      <c r="W481" s="1591"/>
      <c r="X481" s="1623">
        <f t="shared" si="230"/>
        <v>4550</v>
      </c>
      <c r="Y481" s="1623">
        <v>4550</v>
      </c>
      <c r="Z481" s="1623">
        <v>4550</v>
      </c>
      <c r="AA481" s="1623">
        <v>4550</v>
      </c>
      <c r="AB481" s="1623"/>
      <c r="AC481" s="1623"/>
      <c r="AD481" s="1623">
        <f t="shared" si="231"/>
        <v>4550</v>
      </c>
      <c r="AE481" s="1623">
        <f t="shared" si="232"/>
        <v>4550</v>
      </c>
      <c r="AF481" s="1580"/>
      <c r="AG481" s="1009">
        <f t="shared" si="207"/>
        <v>0</v>
      </c>
      <c r="AH481" s="1009">
        <f t="shared" si="222"/>
        <v>1</v>
      </c>
      <c r="AI481" s="1908">
        <f t="shared" si="189"/>
        <v>1</v>
      </c>
    </row>
    <row r="482" spans="1:35" ht="53.25" hidden="1" customHeight="1" x14ac:dyDescent="0.25">
      <c r="A482" s="1677" t="s">
        <v>2908</v>
      </c>
      <c r="B482" s="1677"/>
      <c r="C482" s="1587" t="s">
        <v>1174</v>
      </c>
      <c r="D482" s="1608" t="s">
        <v>578</v>
      </c>
      <c r="E482" s="1646" t="s">
        <v>1173</v>
      </c>
      <c r="F482" s="1589" t="s">
        <v>290</v>
      </c>
      <c r="G482" s="1588" t="s">
        <v>1172</v>
      </c>
      <c r="H482" s="1690">
        <f>I482</f>
        <v>2564</v>
      </c>
      <c r="I482" s="1690">
        <v>2564</v>
      </c>
      <c r="J482" s="1747"/>
      <c r="K482" s="1747"/>
      <c r="L482" s="1747"/>
      <c r="M482" s="1747"/>
      <c r="N482" s="1648">
        <f t="shared" si="227"/>
        <v>4500</v>
      </c>
      <c r="O482" s="1682">
        <v>4500</v>
      </c>
      <c r="P482" s="1766">
        <f t="shared" si="228"/>
        <v>2300</v>
      </c>
      <c r="Q482" s="1748">
        <v>2300</v>
      </c>
      <c r="R482" s="1591"/>
      <c r="S482" s="1591">
        <f>O482-U482</f>
        <v>2200</v>
      </c>
      <c r="T482" s="1728">
        <f t="shared" si="229"/>
        <v>2300</v>
      </c>
      <c r="U482" s="1623">
        <v>2300</v>
      </c>
      <c r="V482" s="1591"/>
      <c r="W482" s="1591"/>
      <c r="X482" s="1728">
        <f t="shared" si="230"/>
        <v>2300</v>
      </c>
      <c r="Y482" s="1623">
        <v>2300</v>
      </c>
      <c r="Z482" s="1728">
        <v>2300</v>
      </c>
      <c r="AA482" s="1623">
        <v>2300</v>
      </c>
      <c r="AB482" s="1623"/>
      <c r="AC482" s="1623"/>
      <c r="AD482" s="1623">
        <f t="shared" si="231"/>
        <v>2300</v>
      </c>
      <c r="AE482" s="1623">
        <f t="shared" si="232"/>
        <v>2300</v>
      </c>
      <c r="AF482" s="1580"/>
      <c r="AG482" s="1009">
        <f t="shared" si="207"/>
        <v>0</v>
      </c>
      <c r="AH482" s="1009">
        <f t="shared" si="222"/>
        <v>1</v>
      </c>
      <c r="AI482" s="1908">
        <f t="shared" si="189"/>
        <v>1</v>
      </c>
    </row>
    <row r="483" spans="1:35" ht="54" hidden="1" customHeight="1" x14ac:dyDescent="0.25">
      <c r="A483" s="1677" t="s">
        <v>2909</v>
      </c>
      <c r="B483" s="1677"/>
      <c r="C483" s="1645" t="s">
        <v>1170</v>
      </c>
      <c r="D483" s="1580" t="s">
        <v>1157</v>
      </c>
      <c r="E483" s="1580"/>
      <c r="F483" s="1797" t="s">
        <v>116</v>
      </c>
      <c r="G483" s="1649" t="s">
        <v>1169</v>
      </c>
      <c r="H483" s="1682">
        <v>2500</v>
      </c>
      <c r="I483" s="1682">
        <v>2500</v>
      </c>
      <c r="J483" s="1747"/>
      <c r="K483" s="1747"/>
      <c r="L483" s="1747"/>
      <c r="M483" s="1747"/>
      <c r="N483" s="1648"/>
      <c r="O483" s="1682"/>
      <c r="P483" s="1748">
        <f t="shared" si="228"/>
        <v>2000</v>
      </c>
      <c r="Q483" s="1748">
        <v>2000</v>
      </c>
      <c r="R483" s="1591">
        <f t="shared" ref="R483:R490" si="233">U483-O483</f>
        <v>2000</v>
      </c>
      <c r="S483" s="1591"/>
      <c r="T483" s="1623">
        <f t="shared" si="229"/>
        <v>2000</v>
      </c>
      <c r="U483" s="1623">
        <v>2000</v>
      </c>
      <c r="V483" s="1591"/>
      <c r="W483" s="1591"/>
      <c r="X483" s="1623">
        <f t="shared" si="230"/>
        <v>2000</v>
      </c>
      <c r="Y483" s="1623">
        <v>2000</v>
      </c>
      <c r="Z483" s="1623">
        <v>2000</v>
      </c>
      <c r="AA483" s="1623">
        <v>2000</v>
      </c>
      <c r="AB483" s="1623"/>
      <c r="AC483" s="1623"/>
      <c r="AD483" s="1623">
        <f t="shared" si="231"/>
        <v>2000</v>
      </c>
      <c r="AE483" s="1623">
        <f t="shared" si="232"/>
        <v>2000</v>
      </c>
      <c r="AF483" s="1580"/>
      <c r="AG483" s="1009">
        <f t="shared" si="207"/>
        <v>0</v>
      </c>
      <c r="AH483" s="1009">
        <f t="shared" si="222"/>
        <v>1</v>
      </c>
      <c r="AI483" s="1908">
        <f t="shared" si="189"/>
        <v>1</v>
      </c>
    </row>
    <row r="484" spans="1:35" ht="53.25" hidden="1" customHeight="1" x14ac:dyDescent="0.25">
      <c r="A484" s="1677" t="s">
        <v>2910</v>
      </c>
      <c r="B484" s="1677"/>
      <c r="C484" s="1645" t="s">
        <v>1168</v>
      </c>
      <c r="D484" s="1580" t="s">
        <v>1164</v>
      </c>
      <c r="E484" s="1580" t="s">
        <v>1167</v>
      </c>
      <c r="F484" s="1797" t="s">
        <v>116</v>
      </c>
      <c r="G484" s="1649" t="s">
        <v>2200</v>
      </c>
      <c r="H484" s="1682">
        <f>I484</f>
        <v>7211</v>
      </c>
      <c r="I484" s="1682">
        <v>7211</v>
      </c>
      <c r="J484" s="1747"/>
      <c r="K484" s="1747"/>
      <c r="L484" s="1747"/>
      <c r="M484" s="1747"/>
      <c r="N484" s="1648"/>
      <c r="O484" s="1682"/>
      <c r="P484" s="1748">
        <f t="shared" si="228"/>
        <v>3300</v>
      </c>
      <c r="Q484" s="1748">
        <v>3300</v>
      </c>
      <c r="R484" s="1591">
        <f t="shared" si="233"/>
        <v>3300</v>
      </c>
      <c r="S484" s="1591"/>
      <c r="T484" s="1623">
        <f t="shared" si="229"/>
        <v>3300</v>
      </c>
      <c r="U484" s="1623">
        <v>3300</v>
      </c>
      <c r="V484" s="1591">
        <v>3000</v>
      </c>
      <c r="W484" s="1591"/>
      <c r="X484" s="1623">
        <f t="shared" si="230"/>
        <v>6300</v>
      </c>
      <c r="Y484" s="1623">
        <f>V484+U484</f>
        <v>6300</v>
      </c>
      <c r="Z484" s="1623">
        <v>6300</v>
      </c>
      <c r="AA484" s="1623">
        <v>6300</v>
      </c>
      <c r="AB484" s="1623"/>
      <c r="AC484" s="1623"/>
      <c r="AD484" s="1623">
        <f t="shared" si="231"/>
        <v>6300</v>
      </c>
      <c r="AE484" s="1623">
        <f t="shared" si="232"/>
        <v>6300</v>
      </c>
      <c r="AF484" s="1580"/>
      <c r="AG484" s="1009">
        <f t="shared" si="207"/>
        <v>0</v>
      </c>
      <c r="AH484" s="1009">
        <f>IF(Y484=0,0,1)</f>
        <v>1</v>
      </c>
      <c r="AI484" s="1908">
        <f t="shared" si="189"/>
        <v>1</v>
      </c>
    </row>
    <row r="485" spans="1:35" ht="59.25" hidden="1" customHeight="1" x14ac:dyDescent="0.25">
      <c r="A485" s="1677" t="s">
        <v>2911</v>
      </c>
      <c r="B485" s="1677"/>
      <c r="C485" s="1645" t="s">
        <v>1165</v>
      </c>
      <c r="D485" s="1580" t="s">
        <v>1164</v>
      </c>
      <c r="E485" s="1580" t="s">
        <v>1163</v>
      </c>
      <c r="F485" s="1797" t="s">
        <v>116</v>
      </c>
      <c r="G485" s="1798" t="s">
        <v>1162</v>
      </c>
      <c r="H485" s="1682">
        <f>I485</f>
        <v>4354</v>
      </c>
      <c r="I485" s="1682">
        <v>4354</v>
      </c>
      <c r="J485" s="1747"/>
      <c r="K485" s="1747"/>
      <c r="L485" s="1747"/>
      <c r="M485" s="1747"/>
      <c r="N485" s="1648"/>
      <c r="O485" s="1682"/>
      <c r="P485" s="1748">
        <f t="shared" si="228"/>
        <v>3700</v>
      </c>
      <c r="Q485" s="1748">
        <v>3700</v>
      </c>
      <c r="R485" s="1591">
        <f t="shared" si="233"/>
        <v>3700</v>
      </c>
      <c r="S485" s="1591"/>
      <c r="T485" s="1623">
        <f t="shared" si="229"/>
        <v>3700</v>
      </c>
      <c r="U485" s="1623">
        <v>3700</v>
      </c>
      <c r="V485" s="1591"/>
      <c r="W485" s="1591"/>
      <c r="X485" s="1623">
        <f t="shared" si="230"/>
        <v>3700</v>
      </c>
      <c r="Y485" s="1623">
        <v>3700</v>
      </c>
      <c r="Z485" s="1623">
        <v>3700</v>
      </c>
      <c r="AA485" s="1623">
        <v>3700</v>
      </c>
      <c r="AB485" s="1623"/>
      <c r="AC485" s="1623"/>
      <c r="AD485" s="1623">
        <f t="shared" si="231"/>
        <v>3700</v>
      </c>
      <c r="AE485" s="1623">
        <f t="shared" si="232"/>
        <v>3700</v>
      </c>
      <c r="AF485" s="1580"/>
      <c r="AG485" s="1009">
        <f t="shared" si="207"/>
        <v>0</v>
      </c>
      <c r="AH485" s="1009">
        <f t="shared" si="222"/>
        <v>1</v>
      </c>
      <c r="AI485" s="1908">
        <f t="shared" si="189"/>
        <v>1</v>
      </c>
    </row>
    <row r="486" spans="1:35" ht="60" hidden="1" customHeight="1" x14ac:dyDescent="0.25">
      <c r="A486" s="1677" t="s">
        <v>2912</v>
      </c>
      <c r="B486" s="1677"/>
      <c r="C486" s="1645" t="s">
        <v>1161</v>
      </c>
      <c r="D486" s="1580" t="s">
        <v>1157</v>
      </c>
      <c r="E486" s="1580" t="s">
        <v>1160</v>
      </c>
      <c r="F486" s="1797" t="s">
        <v>116</v>
      </c>
      <c r="G486" s="1798" t="s">
        <v>1159</v>
      </c>
      <c r="H486" s="1682">
        <f>I486</f>
        <v>1437</v>
      </c>
      <c r="I486" s="1682">
        <v>1437</v>
      </c>
      <c r="J486" s="1747"/>
      <c r="K486" s="1747"/>
      <c r="L486" s="1747"/>
      <c r="M486" s="1747"/>
      <c r="N486" s="1648"/>
      <c r="O486" s="1682"/>
      <c r="P486" s="1748">
        <f t="shared" si="228"/>
        <v>1150</v>
      </c>
      <c r="Q486" s="1748">
        <v>1150</v>
      </c>
      <c r="R486" s="1591">
        <f t="shared" si="233"/>
        <v>1150</v>
      </c>
      <c r="S486" s="1591"/>
      <c r="T486" s="1623">
        <f t="shared" si="229"/>
        <v>1150</v>
      </c>
      <c r="U486" s="1623">
        <v>1150</v>
      </c>
      <c r="V486" s="1591"/>
      <c r="W486" s="1591"/>
      <c r="X486" s="1623">
        <f t="shared" si="230"/>
        <v>1150</v>
      </c>
      <c r="Y486" s="1623">
        <v>1150</v>
      </c>
      <c r="Z486" s="1623">
        <v>1150</v>
      </c>
      <c r="AA486" s="1623">
        <v>1150</v>
      </c>
      <c r="AB486" s="1623"/>
      <c r="AC486" s="1623"/>
      <c r="AD486" s="1623">
        <f t="shared" si="231"/>
        <v>1150</v>
      </c>
      <c r="AE486" s="1623">
        <f t="shared" si="232"/>
        <v>1150</v>
      </c>
      <c r="AF486" s="1580"/>
      <c r="AG486" s="1009">
        <f t="shared" si="207"/>
        <v>0</v>
      </c>
      <c r="AH486" s="1009">
        <f t="shared" si="222"/>
        <v>1</v>
      </c>
      <c r="AI486" s="1908">
        <f t="shared" si="189"/>
        <v>1</v>
      </c>
    </row>
    <row r="487" spans="1:35" ht="60" hidden="1" customHeight="1" x14ac:dyDescent="0.25">
      <c r="A487" s="1677" t="s">
        <v>2913</v>
      </c>
      <c r="B487" s="1677"/>
      <c r="C487" s="1645" t="s">
        <v>1158</v>
      </c>
      <c r="D487" s="1580" t="s">
        <v>1157</v>
      </c>
      <c r="E487" s="1580"/>
      <c r="F487" s="1797" t="s">
        <v>116</v>
      </c>
      <c r="G487" s="1798" t="s">
        <v>1156</v>
      </c>
      <c r="H487" s="1682">
        <f>I487</f>
        <v>1900</v>
      </c>
      <c r="I487" s="1682">
        <v>1900</v>
      </c>
      <c r="J487" s="1747"/>
      <c r="K487" s="1747"/>
      <c r="L487" s="1747"/>
      <c r="M487" s="1747"/>
      <c r="N487" s="1648"/>
      <c r="O487" s="1682"/>
      <c r="P487" s="1748">
        <f t="shared" si="228"/>
        <v>1450</v>
      </c>
      <c r="Q487" s="1748">
        <v>1450</v>
      </c>
      <c r="R487" s="1591">
        <f t="shared" si="233"/>
        <v>1450</v>
      </c>
      <c r="S487" s="1591"/>
      <c r="T487" s="1623">
        <f t="shared" si="229"/>
        <v>1450</v>
      </c>
      <c r="U487" s="1623">
        <v>1450</v>
      </c>
      <c r="V487" s="1591"/>
      <c r="W487" s="1591"/>
      <c r="X487" s="1623">
        <f t="shared" si="230"/>
        <v>1450</v>
      </c>
      <c r="Y487" s="1623">
        <v>1450</v>
      </c>
      <c r="Z487" s="1623">
        <v>1450</v>
      </c>
      <c r="AA487" s="1623">
        <v>1450</v>
      </c>
      <c r="AB487" s="1623"/>
      <c r="AC487" s="1623"/>
      <c r="AD487" s="1623">
        <f t="shared" si="231"/>
        <v>1450</v>
      </c>
      <c r="AE487" s="1623">
        <f t="shared" si="232"/>
        <v>1450</v>
      </c>
      <c r="AF487" s="1580"/>
      <c r="AG487" s="1009">
        <f t="shared" si="207"/>
        <v>0</v>
      </c>
      <c r="AH487" s="1009">
        <f t="shared" si="222"/>
        <v>1</v>
      </c>
      <c r="AI487" s="1908">
        <f t="shared" si="189"/>
        <v>1</v>
      </c>
    </row>
    <row r="488" spans="1:35" ht="62.25" hidden="1" customHeight="1" x14ac:dyDescent="0.25">
      <c r="A488" s="1677" t="s">
        <v>2914</v>
      </c>
      <c r="B488" s="1677"/>
      <c r="C488" s="1645" t="s">
        <v>1155</v>
      </c>
      <c r="D488" s="1580" t="s">
        <v>1147</v>
      </c>
      <c r="E488" s="1580" t="s">
        <v>1154</v>
      </c>
      <c r="F488" s="1797" t="s">
        <v>116</v>
      </c>
      <c r="G488" s="1798" t="s">
        <v>1153</v>
      </c>
      <c r="H488" s="1682">
        <f>I488</f>
        <v>5000</v>
      </c>
      <c r="I488" s="1682">
        <v>5000</v>
      </c>
      <c r="J488" s="1747"/>
      <c r="K488" s="1747"/>
      <c r="L488" s="1747"/>
      <c r="M488" s="1747"/>
      <c r="N488" s="1648"/>
      <c r="O488" s="1682"/>
      <c r="P488" s="1748">
        <f t="shared" si="228"/>
        <v>3500</v>
      </c>
      <c r="Q488" s="1748">
        <f>I488*0.7</f>
        <v>3500</v>
      </c>
      <c r="R488" s="1591">
        <f t="shared" si="233"/>
        <v>3500</v>
      </c>
      <c r="S488" s="1591"/>
      <c r="T488" s="1623">
        <f t="shared" si="229"/>
        <v>3500</v>
      </c>
      <c r="U488" s="1623">
        <v>3500</v>
      </c>
      <c r="V488" s="1591"/>
      <c r="W488" s="1591"/>
      <c r="X488" s="1623">
        <f t="shared" si="230"/>
        <v>3500</v>
      </c>
      <c r="Y488" s="1623">
        <v>3500</v>
      </c>
      <c r="Z488" s="1623">
        <v>3500</v>
      </c>
      <c r="AA488" s="1623">
        <v>3500</v>
      </c>
      <c r="AB488" s="1623"/>
      <c r="AC488" s="1623"/>
      <c r="AD488" s="1623">
        <f t="shared" si="231"/>
        <v>3500</v>
      </c>
      <c r="AE488" s="1623">
        <f t="shared" si="232"/>
        <v>3500</v>
      </c>
      <c r="AF488" s="1580"/>
      <c r="AG488" s="1009">
        <f t="shared" si="207"/>
        <v>0</v>
      </c>
      <c r="AH488" s="1009">
        <f t="shared" si="222"/>
        <v>1</v>
      </c>
      <c r="AI488" s="1908">
        <f t="shared" si="189"/>
        <v>1</v>
      </c>
    </row>
    <row r="489" spans="1:35" ht="56.25" hidden="1" x14ac:dyDescent="0.25">
      <c r="A489" s="1677" t="s">
        <v>2915</v>
      </c>
      <c r="B489" s="1677"/>
      <c r="C489" s="1799" t="s">
        <v>1151</v>
      </c>
      <c r="D489" s="1798" t="s">
        <v>1147</v>
      </c>
      <c r="E489" s="1798" t="s">
        <v>1150</v>
      </c>
      <c r="F489" s="1797" t="s">
        <v>116</v>
      </c>
      <c r="G489" s="1798" t="s">
        <v>1149</v>
      </c>
      <c r="H489" s="1798">
        <v>1131</v>
      </c>
      <c r="I489" s="1798">
        <f>H489</f>
        <v>1131</v>
      </c>
      <c r="J489" s="1748"/>
      <c r="K489" s="1748"/>
      <c r="L489" s="1748"/>
      <c r="M489" s="1748"/>
      <c r="N489" s="1766"/>
      <c r="O489" s="1766"/>
      <c r="P489" s="1766">
        <f t="shared" si="228"/>
        <v>1000</v>
      </c>
      <c r="Q489" s="1800">
        <v>1000</v>
      </c>
      <c r="R489" s="1591">
        <f t="shared" si="233"/>
        <v>1000</v>
      </c>
      <c r="S489" s="1591"/>
      <c r="T489" s="1728">
        <f t="shared" si="229"/>
        <v>1000</v>
      </c>
      <c r="U489" s="1623">
        <v>1000</v>
      </c>
      <c r="V489" s="1591"/>
      <c r="W489" s="1591"/>
      <c r="X489" s="1728">
        <f t="shared" si="230"/>
        <v>1000</v>
      </c>
      <c r="Y489" s="1623">
        <v>1000</v>
      </c>
      <c r="Z489" s="1728">
        <v>1000</v>
      </c>
      <c r="AA489" s="1623">
        <v>1000</v>
      </c>
      <c r="AB489" s="1623"/>
      <c r="AC489" s="1623"/>
      <c r="AD489" s="1623">
        <f t="shared" si="231"/>
        <v>1000</v>
      </c>
      <c r="AE489" s="1623">
        <f t="shared" si="232"/>
        <v>1000</v>
      </c>
      <c r="AF489" s="1580"/>
      <c r="AG489" s="1009">
        <f t="shared" si="207"/>
        <v>0</v>
      </c>
      <c r="AH489" s="1009">
        <f t="shared" si="222"/>
        <v>1</v>
      </c>
      <c r="AI489" s="1908">
        <f t="shared" si="189"/>
        <v>1</v>
      </c>
    </row>
    <row r="490" spans="1:35" ht="57.75" hidden="1" customHeight="1" x14ac:dyDescent="0.25">
      <c r="A490" s="1677" t="s">
        <v>3418</v>
      </c>
      <c r="B490" s="1677"/>
      <c r="C490" s="1645" t="s">
        <v>1148</v>
      </c>
      <c r="D490" s="1580" t="s">
        <v>1147</v>
      </c>
      <c r="E490" s="1580"/>
      <c r="F490" s="1580" t="s">
        <v>116</v>
      </c>
      <c r="G490" s="1580" t="s">
        <v>1146</v>
      </c>
      <c r="H490" s="1682">
        <f>I490</f>
        <v>13924</v>
      </c>
      <c r="I490" s="1682">
        <v>13924</v>
      </c>
      <c r="J490" s="1747"/>
      <c r="K490" s="1747"/>
      <c r="L490" s="1747"/>
      <c r="M490" s="1747"/>
      <c r="N490" s="1648"/>
      <c r="O490" s="1682"/>
      <c r="P490" s="1748">
        <f t="shared" si="228"/>
        <v>12210</v>
      </c>
      <c r="Q490" s="1748">
        <v>12210</v>
      </c>
      <c r="R490" s="1591">
        <f t="shared" si="233"/>
        <v>12210</v>
      </c>
      <c r="S490" s="1591"/>
      <c r="T490" s="1623">
        <f t="shared" si="229"/>
        <v>12210</v>
      </c>
      <c r="U490" s="1623">
        <v>12210</v>
      </c>
      <c r="V490" s="1591"/>
      <c r="W490" s="1591"/>
      <c r="X490" s="1623">
        <f t="shared" si="230"/>
        <v>12210</v>
      </c>
      <c r="Y490" s="1623">
        <v>12210</v>
      </c>
      <c r="Z490" s="1623">
        <v>12210</v>
      </c>
      <c r="AA490" s="1623">
        <v>12210</v>
      </c>
      <c r="AB490" s="1623"/>
      <c r="AC490" s="1623"/>
      <c r="AD490" s="1623">
        <f t="shared" si="231"/>
        <v>12210</v>
      </c>
      <c r="AE490" s="1623">
        <f t="shared" si="232"/>
        <v>12210</v>
      </c>
      <c r="AF490" s="1580"/>
      <c r="AG490" s="1009">
        <f t="shared" si="207"/>
        <v>0</v>
      </c>
      <c r="AH490" s="1009">
        <f t="shared" si="222"/>
        <v>1</v>
      </c>
      <c r="AI490" s="1908">
        <f t="shared" si="189"/>
        <v>1</v>
      </c>
    </row>
    <row r="491" spans="1:35" ht="65.25" hidden="1" customHeight="1" x14ac:dyDescent="0.25">
      <c r="A491" s="1677" t="s">
        <v>3419</v>
      </c>
      <c r="B491" s="1677"/>
      <c r="C491" s="1645" t="s">
        <v>2201</v>
      </c>
      <c r="D491" s="1580" t="s">
        <v>1157</v>
      </c>
      <c r="E491" s="1580" t="s">
        <v>2208</v>
      </c>
      <c r="F491" s="1580" t="s">
        <v>290</v>
      </c>
      <c r="G491" s="1580"/>
      <c r="H491" s="1682">
        <f>I491</f>
        <v>7887</v>
      </c>
      <c r="I491" s="1682">
        <v>7887</v>
      </c>
      <c r="J491" s="1747"/>
      <c r="K491" s="1747"/>
      <c r="L491" s="1747"/>
      <c r="M491" s="1747"/>
      <c r="N491" s="1648"/>
      <c r="O491" s="1682"/>
      <c r="P491" s="1748"/>
      <c r="Q491" s="1748"/>
      <c r="R491" s="1591"/>
      <c r="S491" s="1591"/>
      <c r="T491" s="1623"/>
      <c r="U491" s="1623"/>
      <c r="V491" s="1591">
        <v>7000</v>
      </c>
      <c r="W491" s="1591"/>
      <c r="X491" s="1623">
        <f>Y491</f>
        <v>7000</v>
      </c>
      <c r="Y491" s="1623">
        <f>V491+U491</f>
        <v>7000</v>
      </c>
      <c r="Z491" s="1623">
        <v>7000</v>
      </c>
      <c r="AA491" s="1623">
        <v>7000</v>
      </c>
      <c r="AB491" s="1623"/>
      <c r="AC491" s="1623"/>
      <c r="AD491" s="1623">
        <f t="shared" si="231"/>
        <v>7000</v>
      </c>
      <c r="AE491" s="1623">
        <f t="shared" si="232"/>
        <v>7000</v>
      </c>
      <c r="AF491" s="1580"/>
      <c r="AG491" s="1009">
        <f t="shared" si="207"/>
        <v>0</v>
      </c>
      <c r="AH491" s="1009">
        <f t="shared" si="222"/>
        <v>1</v>
      </c>
      <c r="AI491" s="1908">
        <f t="shared" si="189"/>
        <v>1</v>
      </c>
    </row>
    <row r="492" spans="1:35" ht="57.75" hidden="1" customHeight="1" x14ac:dyDescent="0.25">
      <c r="A492" s="1677" t="s">
        <v>3420</v>
      </c>
      <c r="B492" s="1677"/>
      <c r="C492" s="1645" t="s">
        <v>2202</v>
      </c>
      <c r="D492" s="1580" t="s">
        <v>1147</v>
      </c>
      <c r="E492" s="1580" t="s">
        <v>2207</v>
      </c>
      <c r="F492" s="1580" t="s">
        <v>290</v>
      </c>
      <c r="G492" s="1580"/>
      <c r="H492" s="1682">
        <f>I492</f>
        <v>9900</v>
      </c>
      <c r="I492" s="1682">
        <v>9900</v>
      </c>
      <c r="J492" s="1747"/>
      <c r="K492" s="1747"/>
      <c r="L492" s="1747"/>
      <c r="M492" s="1747"/>
      <c r="N492" s="1648"/>
      <c r="O492" s="1682"/>
      <c r="P492" s="1748"/>
      <c r="Q492" s="1748"/>
      <c r="R492" s="1591"/>
      <c r="S492" s="1591"/>
      <c r="T492" s="1623"/>
      <c r="U492" s="1623"/>
      <c r="V492" s="1591">
        <v>9000</v>
      </c>
      <c r="W492" s="1591"/>
      <c r="X492" s="1623">
        <f t="shared" ref="X492:X494" si="234">Y492</f>
        <v>9000</v>
      </c>
      <c r="Y492" s="1623">
        <f t="shared" ref="Y492:Y494" si="235">V492+U492</f>
        <v>9000</v>
      </c>
      <c r="Z492" s="1623">
        <v>9000</v>
      </c>
      <c r="AA492" s="1623">
        <v>9000</v>
      </c>
      <c r="AB492" s="1623"/>
      <c r="AC492" s="1623"/>
      <c r="AD492" s="1623">
        <f t="shared" si="231"/>
        <v>9000</v>
      </c>
      <c r="AE492" s="1623">
        <f t="shared" si="232"/>
        <v>9000</v>
      </c>
      <c r="AF492" s="1580"/>
      <c r="AG492" s="1009">
        <f t="shared" si="207"/>
        <v>0</v>
      </c>
      <c r="AH492" s="1009">
        <f t="shared" si="222"/>
        <v>1</v>
      </c>
      <c r="AI492" s="1908">
        <f t="shared" si="189"/>
        <v>1</v>
      </c>
    </row>
    <row r="493" spans="1:35" ht="105" hidden="1" customHeight="1" x14ac:dyDescent="0.25">
      <c r="A493" s="1677" t="s">
        <v>3421</v>
      </c>
      <c r="B493" s="1677"/>
      <c r="C493" s="1645" t="s">
        <v>2203</v>
      </c>
      <c r="D493" s="1580" t="s">
        <v>2205</v>
      </c>
      <c r="E493" s="1580" t="s">
        <v>2209</v>
      </c>
      <c r="F493" s="1580" t="s">
        <v>290</v>
      </c>
      <c r="G493" s="1580"/>
      <c r="H493" s="1682">
        <f>I493</f>
        <v>14500</v>
      </c>
      <c r="I493" s="1682">
        <v>14500</v>
      </c>
      <c r="J493" s="1747"/>
      <c r="K493" s="1747"/>
      <c r="L493" s="1747"/>
      <c r="M493" s="1747"/>
      <c r="N493" s="1648"/>
      <c r="O493" s="1682"/>
      <c r="P493" s="1748"/>
      <c r="Q493" s="1748"/>
      <c r="R493" s="1591"/>
      <c r="S493" s="1591"/>
      <c r="T493" s="1623"/>
      <c r="U493" s="1623"/>
      <c r="V493" s="1591">
        <v>13000</v>
      </c>
      <c r="W493" s="1591"/>
      <c r="X493" s="1623">
        <f t="shared" si="234"/>
        <v>13000</v>
      </c>
      <c r="Y493" s="1623">
        <f t="shared" si="235"/>
        <v>13000</v>
      </c>
      <c r="Z493" s="1623">
        <v>9000</v>
      </c>
      <c r="AA493" s="1623">
        <v>9000</v>
      </c>
      <c r="AB493" s="1623"/>
      <c r="AC493" s="1623"/>
      <c r="AD493" s="1623">
        <f t="shared" si="231"/>
        <v>9000</v>
      </c>
      <c r="AE493" s="1623">
        <f t="shared" si="232"/>
        <v>9000</v>
      </c>
      <c r="AF493" s="1580"/>
      <c r="AG493" s="1009">
        <f t="shared" si="207"/>
        <v>0</v>
      </c>
      <c r="AH493" s="1009">
        <f t="shared" si="222"/>
        <v>1</v>
      </c>
      <c r="AI493" s="1908">
        <f t="shared" si="189"/>
        <v>1</v>
      </c>
    </row>
    <row r="494" spans="1:35" ht="42" hidden="1" customHeight="1" x14ac:dyDescent="0.25">
      <c r="A494" s="1677" t="s">
        <v>3422</v>
      </c>
      <c r="B494" s="1677"/>
      <c r="C494" s="1645" t="s">
        <v>2204</v>
      </c>
      <c r="D494" s="1580" t="s">
        <v>2206</v>
      </c>
      <c r="E494" s="1580"/>
      <c r="F494" s="1580" t="s">
        <v>290</v>
      </c>
      <c r="G494" s="1580"/>
      <c r="H494" s="1682">
        <f>I494</f>
        <v>5500</v>
      </c>
      <c r="I494" s="1682">
        <v>5500</v>
      </c>
      <c r="J494" s="1747"/>
      <c r="K494" s="1747"/>
      <c r="L494" s="1747"/>
      <c r="M494" s="1747"/>
      <c r="N494" s="1648"/>
      <c r="O494" s="1682"/>
      <c r="P494" s="1748"/>
      <c r="Q494" s="1748"/>
      <c r="R494" s="1591"/>
      <c r="S494" s="1591"/>
      <c r="T494" s="1623"/>
      <c r="U494" s="1623"/>
      <c r="V494" s="1591">
        <v>5000</v>
      </c>
      <c r="W494" s="1591"/>
      <c r="X494" s="1623">
        <f t="shared" si="234"/>
        <v>5000</v>
      </c>
      <c r="Y494" s="1623">
        <f t="shared" si="235"/>
        <v>5000</v>
      </c>
      <c r="Z494" s="1623">
        <v>5000</v>
      </c>
      <c r="AA494" s="1623">
        <v>5000</v>
      </c>
      <c r="AB494" s="1623"/>
      <c r="AC494" s="1623"/>
      <c r="AD494" s="1623">
        <f t="shared" si="231"/>
        <v>5000</v>
      </c>
      <c r="AE494" s="1623">
        <f t="shared" si="232"/>
        <v>5000</v>
      </c>
      <c r="AF494" s="1580"/>
      <c r="AG494" s="1009">
        <f t="shared" si="207"/>
        <v>0</v>
      </c>
      <c r="AH494" s="1009">
        <f t="shared" si="222"/>
        <v>1</v>
      </c>
      <c r="AI494" s="1908">
        <f t="shared" si="189"/>
        <v>1</v>
      </c>
    </row>
    <row r="495" spans="1:35" ht="57.75" hidden="1" customHeight="1" x14ac:dyDescent="0.25">
      <c r="A495" s="1677" t="s">
        <v>3423</v>
      </c>
      <c r="B495" s="1677"/>
      <c r="C495" s="1645" t="s">
        <v>2625</v>
      </c>
      <c r="D495" s="1580" t="s">
        <v>2626</v>
      </c>
      <c r="E495" s="1580" t="s">
        <v>2627</v>
      </c>
      <c r="F495" s="1580" t="s">
        <v>290</v>
      </c>
      <c r="G495" s="1580"/>
      <c r="H495" s="1801">
        <v>4500</v>
      </c>
      <c r="I495" s="1682">
        <v>4500</v>
      </c>
      <c r="J495" s="1747"/>
      <c r="K495" s="1747"/>
      <c r="L495" s="1747"/>
      <c r="M495" s="1747"/>
      <c r="N495" s="1648"/>
      <c r="O495" s="1682"/>
      <c r="P495" s="1748"/>
      <c r="Q495" s="1748"/>
      <c r="R495" s="1591"/>
      <c r="S495" s="1591"/>
      <c r="T495" s="1623"/>
      <c r="U495" s="1623"/>
      <c r="V495" s="1591"/>
      <c r="W495" s="1591"/>
      <c r="X495" s="1623">
        <v>0</v>
      </c>
      <c r="Y495" s="1623">
        <v>0</v>
      </c>
      <c r="Z495" s="1623">
        <v>4000</v>
      </c>
      <c r="AA495" s="1623">
        <v>4000</v>
      </c>
      <c r="AB495" s="1623"/>
      <c r="AC495" s="1623"/>
      <c r="AD495" s="1623">
        <f t="shared" si="231"/>
        <v>4000</v>
      </c>
      <c r="AE495" s="1623">
        <f t="shared" si="232"/>
        <v>4000</v>
      </c>
      <c r="AF495" s="1580"/>
      <c r="AG495" s="1009">
        <f t="shared" si="207"/>
        <v>0</v>
      </c>
      <c r="AH495" s="1009"/>
      <c r="AI495" s="1908"/>
    </row>
    <row r="496" spans="1:35" ht="52.5" hidden="1" customHeight="1" x14ac:dyDescent="0.25">
      <c r="A496" s="1677" t="s">
        <v>3424</v>
      </c>
      <c r="B496" s="1677"/>
      <c r="C496" s="1674" t="s">
        <v>2041</v>
      </c>
      <c r="D496" s="1608" t="s">
        <v>99</v>
      </c>
      <c r="E496" s="1588" t="s">
        <v>2042</v>
      </c>
      <c r="F496" s="1646" t="s">
        <v>97</v>
      </c>
      <c r="G496" s="1588" t="s">
        <v>2043</v>
      </c>
      <c r="H496" s="1834">
        <v>2849</v>
      </c>
      <c r="I496" s="1796">
        <f t="shared" ref="I496:I497" si="236">H496</f>
        <v>2849</v>
      </c>
      <c r="J496" s="1830"/>
      <c r="K496" s="1830"/>
      <c r="L496" s="1830"/>
      <c r="M496" s="1830"/>
      <c r="N496" s="1796">
        <v>2700</v>
      </c>
      <c r="O496" s="1796">
        <f t="shared" ref="O496:O497" si="237">N496</f>
        <v>2700</v>
      </c>
      <c r="P496" s="1796">
        <v>2700</v>
      </c>
      <c r="Q496" s="1796">
        <f t="shared" ref="Q496:Q497" si="238">P496</f>
        <v>2700</v>
      </c>
      <c r="R496" s="1796"/>
      <c r="S496" s="1796"/>
      <c r="T496" s="1796">
        <v>2700</v>
      </c>
      <c r="U496" s="1796">
        <f t="shared" ref="U496:U497" si="239">T496</f>
        <v>2700</v>
      </c>
      <c r="V496" s="1796"/>
      <c r="W496" s="1796"/>
      <c r="X496" s="1796">
        <f t="shared" ref="X496" si="240">Y496</f>
        <v>2700</v>
      </c>
      <c r="Y496" s="1831">
        <f t="shared" ref="Y496:Y497" si="241">U496+V496+W496</f>
        <v>2700</v>
      </c>
      <c r="Z496" s="1796">
        <v>2700</v>
      </c>
      <c r="AA496" s="1796">
        <v>2700</v>
      </c>
      <c r="AB496" s="1623"/>
      <c r="AC496" s="1623"/>
      <c r="AD496" s="1796">
        <v>2700</v>
      </c>
      <c r="AE496" s="1796">
        <f t="shared" ref="AE496:AE497" si="242">AD496</f>
        <v>2700</v>
      </c>
      <c r="AF496" s="1580" t="s">
        <v>2759</v>
      </c>
      <c r="AG496" s="1009"/>
      <c r="AH496" s="1009"/>
      <c r="AI496" s="1908"/>
    </row>
    <row r="497" spans="1:35" ht="57.75" hidden="1" customHeight="1" x14ac:dyDescent="0.25">
      <c r="A497" s="1677" t="s">
        <v>3425</v>
      </c>
      <c r="B497" s="1677"/>
      <c r="C497" s="1674" t="s">
        <v>2044</v>
      </c>
      <c r="D497" s="1608" t="s">
        <v>99</v>
      </c>
      <c r="E497" s="1588" t="s">
        <v>2045</v>
      </c>
      <c r="F497" s="1646" t="s">
        <v>97</v>
      </c>
      <c r="G497" s="1588" t="s">
        <v>2046</v>
      </c>
      <c r="H497" s="1834">
        <v>3586</v>
      </c>
      <c r="I497" s="1796">
        <f t="shared" si="236"/>
        <v>3586</v>
      </c>
      <c r="J497" s="1830"/>
      <c r="K497" s="1830"/>
      <c r="L497" s="1830"/>
      <c r="M497" s="1830"/>
      <c r="N497" s="1796">
        <v>3400</v>
      </c>
      <c r="O497" s="1796">
        <f t="shared" si="237"/>
        <v>3400</v>
      </c>
      <c r="P497" s="1796">
        <v>3400</v>
      </c>
      <c r="Q497" s="1796">
        <f t="shared" si="238"/>
        <v>3400</v>
      </c>
      <c r="R497" s="1796"/>
      <c r="S497" s="1796"/>
      <c r="T497" s="1796">
        <v>3400</v>
      </c>
      <c r="U497" s="1796">
        <f t="shared" si="239"/>
        <v>3400</v>
      </c>
      <c r="V497" s="1796"/>
      <c r="W497" s="1796"/>
      <c r="X497" s="1796">
        <f>Y497</f>
        <v>3400</v>
      </c>
      <c r="Y497" s="1831">
        <f t="shared" si="241"/>
        <v>3400</v>
      </c>
      <c r="Z497" s="1796">
        <v>3400</v>
      </c>
      <c r="AA497" s="1796">
        <v>3400</v>
      </c>
      <c r="AB497" s="1623"/>
      <c r="AC497" s="1623"/>
      <c r="AD497" s="1796">
        <v>3400</v>
      </c>
      <c r="AE497" s="1796">
        <f t="shared" si="242"/>
        <v>3400</v>
      </c>
      <c r="AF497" s="1580" t="s">
        <v>2759</v>
      </c>
      <c r="AG497" s="1009"/>
      <c r="AH497" s="1009"/>
      <c r="AI497" s="1908"/>
    </row>
    <row r="498" spans="1:35" ht="34.5" hidden="1" x14ac:dyDescent="0.25">
      <c r="A498" s="1601" t="s">
        <v>2916</v>
      </c>
      <c r="B498" s="1601"/>
      <c r="C498" s="1602" t="s">
        <v>1011</v>
      </c>
      <c r="D498" s="1608"/>
      <c r="E498" s="1646"/>
      <c r="F498" s="1646"/>
      <c r="G498" s="1608"/>
      <c r="H498" s="1802">
        <f>SUM(H499:H499)</f>
        <v>40889</v>
      </c>
      <c r="I498" s="1802">
        <f>SUM(I499:I499)</f>
        <v>40889</v>
      </c>
      <c r="J498" s="1622"/>
      <c r="K498" s="1747"/>
      <c r="L498" s="1622"/>
      <c r="M498" s="1747"/>
      <c r="N498" s="1802">
        <f t="shared" ref="N498:X498" si="243">SUM(N499:N499)</f>
        <v>10320</v>
      </c>
      <c r="O498" s="1802">
        <f t="shared" si="243"/>
        <v>10320</v>
      </c>
      <c r="P498" s="1802">
        <f t="shared" si="243"/>
        <v>0</v>
      </c>
      <c r="Q498" s="1802">
        <f t="shared" si="243"/>
        <v>0</v>
      </c>
      <c r="R498" s="1802">
        <f t="shared" si="243"/>
        <v>0</v>
      </c>
      <c r="S498" s="1802">
        <f t="shared" si="243"/>
        <v>10320</v>
      </c>
      <c r="T498" s="1803">
        <f t="shared" si="243"/>
        <v>0</v>
      </c>
      <c r="U498" s="1803">
        <v>0</v>
      </c>
      <c r="V498" s="1802"/>
      <c r="W498" s="1802"/>
      <c r="X498" s="1803">
        <f t="shared" si="243"/>
        <v>0</v>
      </c>
      <c r="Y498" s="1803">
        <f>Y499</f>
        <v>0</v>
      </c>
      <c r="Z498" s="1803">
        <v>0</v>
      </c>
      <c r="AA498" s="1803">
        <v>0</v>
      </c>
      <c r="AB498" s="1803"/>
      <c r="AC498" s="1803"/>
      <c r="AD498" s="1803">
        <f t="shared" ref="AD498" si="244">SUM(AD499:AD499)</f>
        <v>0</v>
      </c>
      <c r="AE498" s="1803">
        <f>AE499</f>
        <v>0</v>
      </c>
      <c r="AF498" s="1599"/>
      <c r="AG498" s="1009">
        <f t="shared" ref="AG498:AG529" si="245">IF(AE498-AA498=0,0,1)</f>
        <v>0</v>
      </c>
      <c r="AH498" s="1009">
        <f t="shared" si="222"/>
        <v>0</v>
      </c>
      <c r="AI498" s="1908">
        <f t="shared" si="189"/>
        <v>1</v>
      </c>
    </row>
    <row r="499" spans="1:35" ht="33" hidden="1" x14ac:dyDescent="0.25">
      <c r="A499" s="1677" t="s">
        <v>2917</v>
      </c>
      <c r="B499" s="1677"/>
      <c r="C499" s="1645" t="s">
        <v>1145</v>
      </c>
      <c r="D499" s="1580" t="s">
        <v>576</v>
      </c>
      <c r="E499" s="1580"/>
      <c r="F499" s="1580" t="s">
        <v>155</v>
      </c>
      <c r="G499" s="1646"/>
      <c r="H499" s="1682">
        <f>I499</f>
        <v>40889</v>
      </c>
      <c r="I499" s="1682">
        <v>40889</v>
      </c>
      <c r="J499" s="1747"/>
      <c r="K499" s="1747"/>
      <c r="L499" s="1747"/>
      <c r="M499" s="1747"/>
      <c r="N499" s="1648">
        <f>O499</f>
        <v>10320</v>
      </c>
      <c r="O499" s="1682">
        <v>10320</v>
      </c>
      <c r="P499" s="1748"/>
      <c r="Q499" s="1748"/>
      <c r="R499" s="1591"/>
      <c r="S499" s="1591">
        <f>O499-U499</f>
        <v>10320</v>
      </c>
      <c r="T499" s="1623"/>
      <c r="U499" s="1623"/>
      <c r="V499" s="1591"/>
      <c r="W499" s="1591"/>
      <c r="X499" s="1623"/>
      <c r="Y499" s="1623"/>
      <c r="Z499" s="1623"/>
      <c r="AA499" s="1623">
        <v>0</v>
      </c>
      <c r="AB499" s="1623"/>
      <c r="AC499" s="1623"/>
      <c r="AD499" s="1623"/>
      <c r="AE499" s="1623">
        <f>AA499+AB499+AC499</f>
        <v>0</v>
      </c>
      <c r="AF499" s="1580"/>
      <c r="AG499" s="1009">
        <f t="shared" si="245"/>
        <v>0</v>
      </c>
      <c r="AH499" s="1009">
        <f t="shared" si="222"/>
        <v>0</v>
      </c>
      <c r="AI499" s="1908">
        <f t="shared" ref="AI499:AI562" si="246">IF(I499-Y499&gt;=0,1,0)</f>
        <v>1</v>
      </c>
    </row>
    <row r="500" spans="1:35" ht="33" hidden="1" x14ac:dyDescent="0.25">
      <c r="A500" s="1576">
        <v>4</v>
      </c>
      <c r="B500" s="1576"/>
      <c r="C500" s="1675" t="s">
        <v>1143</v>
      </c>
      <c r="D500" s="1616"/>
      <c r="E500" s="1669"/>
      <c r="F500" s="1669"/>
      <c r="G500" s="1669"/>
      <c r="H500" s="1667">
        <f t="shared" ref="H500:Y500" si="247">H501+H507</f>
        <v>159747</v>
      </c>
      <c r="I500" s="1667">
        <f t="shared" si="247"/>
        <v>155366</v>
      </c>
      <c r="J500" s="1667">
        <f t="shared" si="247"/>
        <v>22000</v>
      </c>
      <c r="K500" s="1667">
        <f t="shared" si="247"/>
        <v>22000</v>
      </c>
      <c r="L500" s="1667">
        <f t="shared" si="247"/>
        <v>22000</v>
      </c>
      <c r="M500" s="1667">
        <f t="shared" si="247"/>
        <v>22000</v>
      </c>
      <c r="N500" s="1667">
        <f t="shared" si="247"/>
        <v>80000</v>
      </c>
      <c r="O500" s="1667">
        <f t="shared" si="247"/>
        <v>80000</v>
      </c>
      <c r="P500" s="1667">
        <f t="shared" si="247"/>
        <v>80000</v>
      </c>
      <c r="Q500" s="1667">
        <f t="shared" si="247"/>
        <v>80000</v>
      </c>
      <c r="R500" s="1667">
        <f t="shared" si="247"/>
        <v>14089</v>
      </c>
      <c r="S500" s="1667">
        <f t="shared" si="247"/>
        <v>14089</v>
      </c>
      <c r="T500" s="1667">
        <f t="shared" si="247"/>
        <v>80000</v>
      </c>
      <c r="U500" s="1667">
        <f t="shared" si="247"/>
        <v>80000</v>
      </c>
      <c r="V500" s="1667">
        <f t="shared" si="247"/>
        <v>42450</v>
      </c>
      <c r="W500" s="1667">
        <f t="shared" si="247"/>
        <v>0</v>
      </c>
      <c r="X500" s="1667">
        <f t="shared" si="247"/>
        <v>122450</v>
      </c>
      <c r="Y500" s="1667">
        <f t="shared" si="247"/>
        <v>122450</v>
      </c>
      <c r="Z500" s="1667">
        <v>122450</v>
      </c>
      <c r="AA500" s="1667">
        <v>122450</v>
      </c>
      <c r="AB500" s="1667"/>
      <c r="AC500" s="1667"/>
      <c r="AD500" s="1667">
        <f t="shared" ref="AD500:AE500" si="248">AD501+AD507</f>
        <v>122450</v>
      </c>
      <c r="AE500" s="1667">
        <f t="shared" si="248"/>
        <v>122450</v>
      </c>
      <c r="AF500" s="1580"/>
      <c r="AG500" s="1009">
        <f t="shared" si="245"/>
        <v>0</v>
      </c>
      <c r="AH500" s="1009">
        <f>IF(Y500=0,0,1)</f>
        <v>1</v>
      </c>
      <c r="AI500" s="1908">
        <f t="shared" si="246"/>
        <v>1</v>
      </c>
    </row>
    <row r="501" spans="1:35" ht="51.75" hidden="1" x14ac:dyDescent="0.25">
      <c r="A501" s="1600" t="s">
        <v>2920</v>
      </c>
      <c r="B501" s="1600"/>
      <c r="C501" s="1602" t="s">
        <v>46</v>
      </c>
      <c r="D501" s="1603"/>
      <c r="E501" s="1603"/>
      <c r="F501" s="1603"/>
      <c r="G501" s="1603"/>
      <c r="H501" s="1604">
        <f t="shared" ref="H501:Y501" si="249">H502</f>
        <v>39506</v>
      </c>
      <c r="I501" s="1604">
        <f t="shared" si="249"/>
        <v>39506</v>
      </c>
      <c r="J501" s="1604">
        <f t="shared" si="249"/>
        <v>22000</v>
      </c>
      <c r="K501" s="1604">
        <f t="shared" si="249"/>
        <v>22000</v>
      </c>
      <c r="L501" s="1604">
        <f t="shared" si="249"/>
        <v>22000</v>
      </c>
      <c r="M501" s="1604">
        <f t="shared" si="249"/>
        <v>22000</v>
      </c>
      <c r="N501" s="1604">
        <f t="shared" si="249"/>
        <v>25250</v>
      </c>
      <c r="O501" s="1604">
        <f t="shared" si="249"/>
        <v>25250</v>
      </c>
      <c r="P501" s="1604">
        <f t="shared" si="249"/>
        <v>17235</v>
      </c>
      <c r="Q501" s="1604">
        <f t="shared" si="249"/>
        <v>17235</v>
      </c>
      <c r="R501" s="1604">
        <f t="shared" si="249"/>
        <v>140</v>
      </c>
      <c r="S501" s="1604">
        <f t="shared" si="249"/>
        <v>8155</v>
      </c>
      <c r="T501" s="1604">
        <f t="shared" si="249"/>
        <v>17235</v>
      </c>
      <c r="U501" s="1604">
        <f t="shared" si="249"/>
        <v>17235</v>
      </c>
      <c r="V501" s="1604">
        <f t="shared" si="249"/>
        <v>0</v>
      </c>
      <c r="W501" s="1604">
        <f t="shared" si="249"/>
        <v>0</v>
      </c>
      <c r="X501" s="1604">
        <f t="shared" si="249"/>
        <v>17235</v>
      </c>
      <c r="Y501" s="1604">
        <f t="shared" si="249"/>
        <v>17235</v>
      </c>
      <c r="Z501" s="1604">
        <v>17235</v>
      </c>
      <c r="AA501" s="1604">
        <v>17235</v>
      </c>
      <c r="AB501" s="1604"/>
      <c r="AC501" s="1604"/>
      <c r="AD501" s="1604">
        <f t="shared" ref="AD501:AE501" si="250">AD502</f>
        <v>17235</v>
      </c>
      <c r="AE501" s="1604">
        <f t="shared" si="250"/>
        <v>17235</v>
      </c>
      <c r="AF501" s="1580"/>
      <c r="AG501" s="1009">
        <f t="shared" si="245"/>
        <v>0</v>
      </c>
      <c r="AH501" s="1009">
        <f t="shared" si="222"/>
        <v>1</v>
      </c>
      <c r="AI501" s="1908">
        <f t="shared" si="246"/>
        <v>1</v>
      </c>
    </row>
    <row r="502" spans="1:35" ht="38.25" hidden="1" customHeight="1" x14ac:dyDescent="0.25">
      <c r="A502" s="1601"/>
      <c r="B502" s="1601"/>
      <c r="C502" s="1602" t="s">
        <v>48</v>
      </c>
      <c r="D502" s="1603"/>
      <c r="E502" s="1603"/>
      <c r="F502" s="1603"/>
      <c r="G502" s="1603"/>
      <c r="H502" s="1604">
        <f t="shared" ref="H502:V502" si="251">SUM(H505:H506)</f>
        <v>39506</v>
      </c>
      <c r="I502" s="1604">
        <f t="shared" si="251"/>
        <v>39506</v>
      </c>
      <c r="J502" s="1604">
        <f t="shared" si="251"/>
        <v>22000</v>
      </c>
      <c r="K502" s="1604">
        <f t="shared" si="251"/>
        <v>22000</v>
      </c>
      <c r="L502" s="1604">
        <f t="shared" si="251"/>
        <v>22000</v>
      </c>
      <c r="M502" s="1604">
        <f t="shared" si="251"/>
        <v>22000</v>
      </c>
      <c r="N502" s="1604">
        <f t="shared" si="251"/>
        <v>25250</v>
      </c>
      <c r="O502" s="1604">
        <f t="shared" si="251"/>
        <v>25250</v>
      </c>
      <c r="P502" s="1604">
        <f t="shared" si="251"/>
        <v>17235</v>
      </c>
      <c r="Q502" s="1604">
        <f t="shared" si="251"/>
        <v>17235</v>
      </c>
      <c r="R502" s="1604">
        <f t="shared" si="251"/>
        <v>140</v>
      </c>
      <c r="S502" s="1604">
        <f t="shared" si="251"/>
        <v>8155</v>
      </c>
      <c r="T502" s="1604">
        <f t="shared" si="251"/>
        <v>17235</v>
      </c>
      <c r="U502" s="1604">
        <f t="shared" si="251"/>
        <v>17235</v>
      </c>
      <c r="V502" s="1604">
        <f t="shared" si="251"/>
        <v>0</v>
      </c>
      <c r="W502" s="1604">
        <f>SUM(W505:W506)</f>
        <v>0</v>
      </c>
      <c r="X502" s="1604">
        <f t="shared" ref="X502:Y502" si="252">SUM(X505:X506)</f>
        <v>17235</v>
      </c>
      <c r="Y502" s="1604">
        <f t="shared" si="252"/>
        <v>17235</v>
      </c>
      <c r="Z502" s="1604">
        <v>17235</v>
      </c>
      <c r="AA502" s="1604">
        <v>17235</v>
      </c>
      <c r="AB502" s="1604"/>
      <c r="AC502" s="1604"/>
      <c r="AD502" s="1604">
        <f t="shared" ref="AD502:AE502" si="253">SUM(AD505:AD506)</f>
        <v>17235</v>
      </c>
      <c r="AE502" s="1604">
        <f t="shared" si="253"/>
        <v>17235</v>
      </c>
      <c r="AF502" s="1580"/>
      <c r="AG502" s="1009">
        <f t="shared" si="245"/>
        <v>0</v>
      </c>
      <c r="AH502" s="1009">
        <f t="shared" si="222"/>
        <v>1</v>
      </c>
      <c r="AI502" s="1908">
        <f t="shared" si="246"/>
        <v>1</v>
      </c>
    </row>
    <row r="503" spans="1:35" ht="23.25" hidden="1" customHeight="1" x14ac:dyDescent="0.25">
      <c r="A503" s="1601"/>
      <c r="B503" s="1601"/>
      <c r="C503" s="1602" t="s">
        <v>49</v>
      </c>
      <c r="D503" s="1743"/>
      <c r="E503" s="1743"/>
      <c r="F503" s="1743"/>
      <c r="G503" s="1743"/>
      <c r="H503" s="1744"/>
      <c r="I503" s="1744"/>
      <c r="J503" s="1744"/>
      <c r="K503" s="1744"/>
      <c r="L503" s="1744"/>
      <c r="M503" s="1744"/>
      <c r="N503" s="1744"/>
      <c r="O503" s="1744"/>
      <c r="P503" s="1745"/>
      <c r="Q503" s="1745"/>
      <c r="R503" s="1591"/>
      <c r="S503" s="1591"/>
      <c r="T503" s="1739"/>
      <c r="U503" s="1739"/>
      <c r="V503" s="1591"/>
      <c r="W503" s="1591"/>
      <c r="X503" s="1739"/>
      <c r="Y503" s="1739"/>
      <c r="Z503" s="1739"/>
      <c r="AA503" s="1739"/>
      <c r="AB503" s="1739"/>
      <c r="AC503" s="1739"/>
      <c r="AD503" s="1739"/>
      <c r="AE503" s="1739"/>
      <c r="AF503" s="1580"/>
      <c r="AG503" s="1009">
        <f t="shared" si="245"/>
        <v>0</v>
      </c>
      <c r="AH503" s="1009">
        <f t="shared" si="222"/>
        <v>0</v>
      </c>
      <c r="AI503" s="1908">
        <f t="shared" si="246"/>
        <v>1</v>
      </c>
    </row>
    <row r="504" spans="1:35" ht="72" hidden="1" customHeight="1" x14ac:dyDescent="0.25">
      <c r="A504" s="1601" t="s">
        <v>2921</v>
      </c>
      <c r="B504" s="1601"/>
      <c r="C504" s="1746" t="s">
        <v>50</v>
      </c>
      <c r="D504" s="1603"/>
      <c r="E504" s="1603"/>
      <c r="F504" s="1603"/>
      <c r="G504" s="1603"/>
      <c r="H504" s="1604"/>
      <c r="I504" s="1604"/>
      <c r="J504" s="1604"/>
      <c r="K504" s="1604"/>
      <c r="L504" s="1604"/>
      <c r="M504" s="1604"/>
      <c r="N504" s="1604"/>
      <c r="O504" s="1604"/>
      <c r="P504" s="1605"/>
      <c r="Q504" s="1605"/>
      <c r="R504" s="1591"/>
      <c r="S504" s="1591"/>
      <c r="T504" s="1741"/>
      <c r="U504" s="1741"/>
      <c r="V504" s="1591"/>
      <c r="W504" s="1591"/>
      <c r="X504" s="1741"/>
      <c r="Y504" s="1741"/>
      <c r="Z504" s="1741"/>
      <c r="AA504" s="1741"/>
      <c r="AB504" s="1741"/>
      <c r="AC504" s="1741"/>
      <c r="AD504" s="1741"/>
      <c r="AE504" s="1741"/>
      <c r="AF504" s="1580"/>
      <c r="AG504" s="1009">
        <f t="shared" si="245"/>
        <v>0</v>
      </c>
      <c r="AH504" s="1009">
        <f t="shared" si="222"/>
        <v>0</v>
      </c>
      <c r="AI504" s="1908">
        <f t="shared" si="246"/>
        <v>1</v>
      </c>
    </row>
    <row r="505" spans="1:35" ht="69.75" hidden="1" customHeight="1" x14ac:dyDescent="0.25">
      <c r="A505" s="1672" t="s">
        <v>2922</v>
      </c>
      <c r="B505" s="1672"/>
      <c r="C505" s="1674" t="s">
        <v>1141</v>
      </c>
      <c r="D505" s="1608"/>
      <c r="E505" s="1646"/>
      <c r="F505" s="1589" t="s">
        <v>738</v>
      </c>
      <c r="G505" s="1588" t="s">
        <v>1140</v>
      </c>
      <c r="H505" s="1590">
        <f>I505</f>
        <v>12371</v>
      </c>
      <c r="I505" s="1590">
        <v>12371</v>
      </c>
      <c r="J505" s="1690">
        <v>7000</v>
      </c>
      <c r="K505" s="1690">
        <v>7000</v>
      </c>
      <c r="L505" s="1690">
        <v>7000</v>
      </c>
      <c r="M505" s="1690">
        <v>7000</v>
      </c>
      <c r="N505" s="1648">
        <v>5000</v>
      </c>
      <c r="O505" s="1682">
        <f>N505</f>
        <v>5000</v>
      </c>
      <c r="P505" s="1666">
        <f>Q505</f>
        <v>5140</v>
      </c>
      <c r="Q505" s="1766">
        <v>5140</v>
      </c>
      <c r="R505" s="1591">
        <f>U505-O505</f>
        <v>140</v>
      </c>
      <c r="S505" s="1591"/>
      <c r="T505" s="1665">
        <f>U505</f>
        <v>5140</v>
      </c>
      <c r="U505" s="1728">
        <v>5140</v>
      </c>
      <c r="V505" s="1591"/>
      <c r="W505" s="1591"/>
      <c r="X505" s="1665">
        <f>Y505</f>
        <v>5140</v>
      </c>
      <c r="Y505" s="1728">
        <v>5140</v>
      </c>
      <c r="Z505" s="1665">
        <v>5140</v>
      </c>
      <c r="AA505" s="1728">
        <v>5140</v>
      </c>
      <c r="AB505" s="1728"/>
      <c r="AC505" s="1728"/>
      <c r="AD505" s="1623">
        <f t="shared" ref="AD505:AD506" si="254">AE505</f>
        <v>5140</v>
      </c>
      <c r="AE505" s="1623">
        <f>AA505+AB505+AC505</f>
        <v>5140</v>
      </c>
      <c r="AF505" s="1580"/>
      <c r="AG505" s="1009">
        <f t="shared" si="245"/>
        <v>0</v>
      </c>
      <c r="AH505" s="1009">
        <f t="shared" si="222"/>
        <v>1</v>
      </c>
      <c r="AI505" s="1908">
        <f t="shared" si="246"/>
        <v>1</v>
      </c>
    </row>
    <row r="506" spans="1:35" ht="54.75" hidden="1" customHeight="1" x14ac:dyDescent="0.25">
      <c r="A506" s="1672" t="s">
        <v>2923</v>
      </c>
      <c r="B506" s="1677"/>
      <c r="C506" s="1674" t="s">
        <v>1139</v>
      </c>
      <c r="D506" s="1608"/>
      <c r="E506" s="1646"/>
      <c r="F506" s="1589" t="s">
        <v>199</v>
      </c>
      <c r="G506" s="1588" t="s">
        <v>1138</v>
      </c>
      <c r="H506" s="1590">
        <v>27135</v>
      </c>
      <c r="I506" s="1590">
        <f>H506</f>
        <v>27135</v>
      </c>
      <c r="J506" s="1690">
        <v>15000</v>
      </c>
      <c r="K506" s="1690">
        <v>15000</v>
      </c>
      <c r="L506" s="1690">
        <v>15000</v>
      </c>
      <c r="M506" s="1690">
        <v>15000</v>
      </c>
      <c r="N506" s="1648">
        <v>20250</v>
      </c>
      <c r="O506" s="1747">
        <f>N506</f>
        <v>20250</v>
      </c>
      <c r="P506" s="1666">
        <v>12095</v>
      </c>
      <c r="Q506" s="1748">
        <f>P506</f>
        <v>12095</v>
      </c>
      <c r="R506" s="1591"/>
      <c r="S506" s="1591">
        <f>O506-U506</f>
        <v>8155</v>
      </c>
      <c r="T506" s="1665">
        <v>12095</v>
      </c>
      <c r="U506" s="1623">
        <v>12095</v>
      </c>
      <c r="V506" s="1591"/>
      <c r="W506" s="1591"/>
      <c r="X506" s="1665">
        <v>12095</v>
      </c>
      <c r="Y506" s="1623">
        <v>12095</v>
      </c>
      <c r="Z506" s="1665">
        <v>12095</v>
      </c>
      <c r="AA506" s="1623">
        <v>12095</v>
      </c>
      <c r="AB506" s="1623"/>
      <c r="AC506" s="1623"/>
      <c r="AD506" s="1623">
        <f t="shared" si="254"/>
        <v>12095</v>
      </c>
      <c r="AE506" s="1623">
        <f>AA506+AB506+AC506</f>
        <v>12095</v>
      </c>
      <c r="AF506" s="1580"/>
      <c r="AG506" s="1009">
        <f t="shared" si="245"/>
        <v>0</v>
      </c>
      <c r="AH506" s="1009">
        <f t="shared" si="222"/>
        <v>1</v>
      </c>
      <c r="AI506" s="1908">
        <f t="shared" si="246"/>
        <v>1</v>
      </c>
    </row>
    <row r="507" spans="1:35" ht="39.75" hidden="1" customHeight="1" x14ac:dyDescent="0.25">
      <c r="A507" s="1600" t="s">
        <v>2926</v>
      </c>
      <c r="B507" s="1600"/>
      <c r="C507" s="1602" t="s">
        <v>86</v>
      </c>
      <c r="D507" s="1603"/>
      <c r="E507" s="1603"/>
      <c r="F507" s="1603"/>
      <c r="G507" s="1603"/>
      <c r="H507" s="1604">
        <f t="shared" ref="H507:U507" si="255">H508</f>
        <v>120241</v>
      </c>
      <c r="I507" s="1604">
        <f t="shared" si="255"/>
        <v>115860</v>
      </c>
      <c r="J507" s="1604">
        <f t="shared" si="255"/>
        <v>0</v>
      </c>
      <c r="K507" s="1604">
        <f t="shared" si="255"/>
        <v>0</v>
      </c>
      <c r="L507" s="1604">
        <f t="shared" si="255"/>
        <v>0</v>
      </c>
      <c r="M507" s="1604">
        <f t="shared" si="255"/>
        <v>0</v>
      </c>
      <c r="N507" s="1604">
        <f t="shared" si="255"/>
        <v>54750</v>
      </c>
      <c r="O507" s="1604">
        <f t="shared" si="255"/>
        <v>54750</v>
      </c>
      <c r="P507" s="1604">
        <f t="shared" si="255"/>
        <v>62765</v>
      </c>
      <c r="Q507" s="1604">
        <f t="shared" si="255"/>
        <v>62765</v>
      </c>
      <c r="R507" s="1604">
        <f t="shared" si="255"/>
        <v>13949</v>
      </c>
      <c r="S507" s="1604">
        <f t="shared" si="255"/>
        <v>5934</v>
      </c>
      <c r="T507" s="1604">
        <f t="shared" si="255"/>
        <v>62765</v>
      </c>
      <c r="U507" s="1604">
        <f t="shared" si="255"/>
        <v>62765</v>
      </c>
      <c r="V507" s="1604">
        <f>V508</f>
        <v>42450</v>
      </c>
      <c r="W507" s="1604">
        <f t="shared" ref="W507:Y507" si="256">W508</f>
        <v>0</v>
      </c>
      <c r="X507" s="1604">
        <f t="shared" si="256"/>
        <v>105215</v>
      </c>
      <c r="Y507" s="1604">
        <f t="shared" si="256"/>
        <v>105215</v>
      </c>
      <c r="Z507" s="1604">
        <v>105215</v>
      </c>
      <c r="AA507" s="1604">
        <v>105215</v>
      </c>
      <c r="AB507" s="1604"/>
      <c r="AC507" s="1604"/>
      <c r="AD507" s="1604">
        <f t="shared" ref="AD507:AE507" si="257">AD508</f>
        <v>105215</v>
      </c>
      <c r="AE507" s="1604">
        <f t="shared" si="257"/>
        <v>105215</v>
      </c>
      <c r="AF507" s="1606"/>
      <c r="AG507" s="1009">
        <f t="shared" si="245"/>
        <v>0</v>
      </c>
      <c r="AH507" s="1009">
        <f t="shared" si="222"/>
        <v>1</v>
      </c>
      <c r="AI507" s="1908">
        <f t="shared" si="246"/>
        <v>1</v>
      </c>
    </row>
    <row r="508" spans="1:35" ht="55.5" hidden="1" customHeight="1" x14ac:dyDescent="0.25">
      <c r="A508" s="1601" t="s">
        <v>2927</v>
      </c>
      <c r="B508" s="1601"/>
      <c r="C508" s="1602" t="s">
        <v>88</v>
      </c>
      <c r="D508" s="1603"/>
      <c r="E508" s="1603"/>
      <c r="F508" s="1603"/>
      <c r="G508" s="1603"/>
      <c r="H508" s="1604">
        <f t="shared" ref="H508:X508" si="258">SUM(H509:H522)-H515-H516</f>
        <v>120241</v>
      </c>
      <c r="I508" s="1604">
        <f t="shared" si="258"/>
        <v>115860</v>
      </c>
      <c r="J508" s="1604">
        <f t="shared" si="258"/>
        <v>0</v>
      </c>
      <c r="K508" s="1604">
        <f t="shared" si="258"/>
        <v>0</v>
      </c>
      <c r="L508" s="1604">
        <f t="shared" si="258"/>
        <v>0</v>
      </c>
      <c r="M508" s="1604">
        <f t="shared" si="258"/>
        <v>0</v>
      </c>
      <c r="N508" s="1604">
        <f t="shared" si="258"/>
        <v>54750</v>
      </c>
      <c r="O508" s="1604">
        <f t="shared" si="258"/>
        <v>54750</v>
      </c>
      <c r="P508" s="1604">
        <f t="shared" si="258"/>
        <v>62765</v>
      </c>
      <c r="Q508" s="1604">
        <f t="shared" si="258"/>
        <v>62765</v>
      </c>
      <c r="R508" s="1604">
        <f t="shared" si="258"/>
        <v>13949</v>
      </c>
      <c r="S508" s="1604">
        <f t="shared" si="258"/>
        <v>5934</v>
      </c>
      <c r="T508" s="1604">
        <f t="shared" si="258"/>
        <v>62765</v>
      </c>
      <c r="U508" s="1604">
        <f t="shared" si="258"/>
        <v>62765</v>
      </c>
      <c r="V508" s="1604">
        <f t="shared" si="258"/>
        <v>42450</v>
      </c>
      <c r="W508" s="1604">
        <f t="shared" si="258"/>
        <v>0</v>
      </c>
      <c r="X508" s="1604">
        <f t="shared" si="258"/>
        <v>105215</v>
      </c>
      <c r="Y508" s="1604">
        <f>SUM(Y509:Y522)-Y515-Y516</f>
        <v>105215</v>
      </c>
      <c r="Z508" s="1604">
        <v>105215</v>
      </c>
      <c r="AA508" s="1604">
        <v>105215</v>
      </c>
      <c r="AB508" s="1604"/>
      <c r="AC508" s="1604"/>
      <c r="AD508" s="1604">
        <f t="shared" ref="AD508" si="259">SUM(AD509:AD522)-AD515-AD516</f>
        <v>105215</v>
      </c>
      <c r="AE508" s="1604">
        <f>SUM(AE509:AE522)-AE515-AE516</f>
        <v>105215</v>
      </c>
      <c r="AF508" s="1606"/>
      <c r="AG508" s="1009">
        <f t="shared" si="245"/>
        <v>0</v>
      </c>
      <c r="AH508" s="1009">
        <f t="shared" si="222"/>
        <v>1</v>
      </c>
      <c r="AI508" s="1908">
        <f t="shared" si="246"/>
        <v>1</v>
      </c>
    </row>
    <row r="509" spans="1:35" ht="49.5" hidden="1" x14ac:dyDescent="0.25">
      <c r="A509" s="1586" t="s">
        <v>2928</v>
      </c>
      <c r="B509" s="1586"/>
      <c r="C509" s="1674" t="s">
        <v>1137</v>
      </c>
      <c r="D509" s="1608"/>
      <c r="E509" s="1589" t="s">
        <v>1136</v>
      </c>
      <c r="F509" s="1589" t="s">
        <v>97</v>
      </c>
      <c r="G509" s="1588" t="s">
        <v>1135</v>
      </c>
      <c r="H509" s="1590">
        <f>I509</f>
        <v>3738</v>
      </c>
      <c r="I509" s="1590">
        <v>3738</v>
      </c>
      <c r="J509" s="1581"/>
      <c r="K509" s="1581"/>
      <c r="L509" s="1581"/>
      <c r="M509" s="1581"/>
      <c r="N509" s="1648">
        <v>4360</v>
      </c>
      <c r="O509" s="1648">
        <v>4360</v>
      </c>
      <c r="P509" s="1666">
        <f>Q509</f>
        <v>3850</v>
      </c>
      <c r="Q509" s="1666">
        <v>3850</v>
      </c>
      <c r="R509" s="1591"/>
      <c r="S509" s="1591">
        <f>O509-U509</f>
        <v>633</v>
      </c>
      <c r="T509" s="1665">
        <f>U509</f>
        <v>3727</v>
      </c>
      <c r="U509" s="1665">
        <v>3727</v>
      </c>
      <c r="V509" s="1591"/>
      <c r="W509" s="1591"/>
      <c r="X509" s="1665">
        <f>Y509</f>
        <v>3727</v>
      </c>
      <c r="Y509" s="1665">
        <v>3727</v>
      </c>
      <c r="Z509" s="1665">
        <v>3727</v>
      </c>
      <c r="AA509" s="1665">
        <v>3727</v>
      </c>
      <c r="AB509" s="1665"/>
      <c r="AC509" s="1665"/>
      <c r="AD509" s="1623">
        <f t="shared" ref="AD509:AD522" si="260">AE509</f>
        <v>3727</v>
      </c>
      <c r="AE509" s="1623">
        <f>AA509+AB509+AC509</f>
        <v>3727</v>
      </c>
      <c r="AF509" s="1586"/>
      <c r="AG509" s="1009">
        <f t="shared" si="245"/>
        <v>0</v>
      </c>
      <c r="AH509" s="1009">
        <f t="shared" si="222"/>
        <v>1</v>
      </c>
      <c r="AI509" s="1908">
        <f t="shared" si="246"/>
        <v>1</v>
      </c>
    </row>
    <row r="510" spans="1:35" ht="49.5" hidden="1" x14ac:dyDescent="0.25">
      <c r="A510" s="1586" t="s">
        <v>2929</v>
      </c>
      <c r="B510" s="1586"/>
      <c r="C510" s="1674" t="s">
        <v>1134</v>
      </c>
      <c r="D510" s="1608"/>
      <c r="E510" s="1589" t="s">
        <v>1133</v>
      </c>
      <c r="F510" s="1589" t="s">
        <v>199</v>
      </c>
      <c r="G510" s="1588" t="s">
        <v>1132</v>
      </c>
      <c r="H510" s="1590">
        <f>I510</f>
        <v>3877</v>
      </c>
      <c r="I510" s="1590">
        <v>3877</v>
      </c>
      <c r="J510" s="1604"/>
      <c r="K510" s="1604"/>
      <c r="L510" s="1604"/>
      <c r="M510" s="1604"/>
      <c r="N510" s="1648">
        <v>4710</v>
      </c>
      <c r="O510" s="1648">
        <v>4710</v>
      </c>
      <c r="P510" s="1666">
        <f>Q510</f>
        <v>3875</v>
      </c>
      <c r="Q510" s="1666">
        <v>3875</v>
      </c>
      <c r="R510" s="1591"/>
      <c r="S510" s="1591">
        <f>O510-U510</f>
        <v>835</v>
      </c>
      <c r="T510" s="1665">
        <f>U510</f>
        <v>3875</v>
      </c>
      <c r="U510" s="1665">
        <v>3875</v>
      </c>
      <c r="V510" s="1591"/>
      <c r="W510" s="1591"/>
      <c r="X510" s="1665">
        <f>Y510</f>
        <v>3875</v>
      </c>
      <c r="Y510" s="1665">
        <v>3875</v>
      </c>
      <c r="Z510" s="1665">
        <v>3875</v>
      </c>
      <c r="AA510" s="1665">
        <v>3875</v>
      </c>
      <c r="AB510" s="1665"/>
      <c r="AC510" s="1665"/>
      <c r="AD510" s="1623">
        <f t="shared" si="260"/>
        <v>3875</v>
      </c>
      <c r="AE510" s="1623">
        <f>AA510+AB510+AC510</f>
        <v>3875</v>
      </c>
      <c r="AF510" s="1586"/>
      <c r="AG510" s="1009">
        <f t="shared" si="245"/>
        <v>0</v>
      </c>
      <c r="AH510" s="1009">
        <f t="shared" si="222"/>
        <v>1</v>
      </c>
      <c r="AI510" s="1908">
        <f t="shared" si="246"/>
        <v>1</v>
      </c>
    </row>
    <row r="511" spans="1:35" ht="33" hidden="1" x14ac:dyDescent="0.25">
      <c r="A511" s="1586" t="s">
        <v>2930</v>
      </c>
      <c r="B511" s="1586"/>
      <c r="C511" s="1631" t="s">
        <v>1131</v>
      </c>
      <c r="D511" s="1608"/>
      <c r="E511" s="1646"/>
      <c r="F511" s="1646" t="s">
        <v>109</v>
      </c>
      <c r="G511" s="1608" t="s">
        <v>1130</v>
      </c>
      <c r="H511" s="1804">
        <v>995</v>
      </c>
      <c r="I511" s="1804">
        <v>995</v>
      </c>
      <c r="J511" s="1744"/>
      <c r="K511" s="1744"/>
      <c r="L511" s="1744"/>
      <c r="M511" s="1744"/>
      <c r="N511" s="1648">
        <v>900</v>
      </c>
      <c r="O511" s="1648">
        <v>900</v>
      </c>
      <c r="P511" s="1666">
        <v>900</v>
      </c>
      <c r="Q511" s="1666">
        <v>900</v>
      </c>
      <c r="R511" s="1591"/>
      <c r="S511" s="1591">
        <f>O511-U511</f>
        <v>58</v>
      </c>
      <c r="T511" s="1665">
        <f>U511</f>
        <v>842</v>
      </c>
      <c r="U511" s="1665">
        <v>842</v>
      </c>
      <c r="V511" s="1591"/>
      <c r="W511" s="1591"/>
      <c r="X511" s="1665">
        <f>Y511</f>
        <v>842</v>
      </c>
      <c r="Y511" s="1665">
        <v>842</v>
      </c>
      <c r="Z511" s="1665">
        <v>842</v>
      </c>
      <c r="AA511" s="1665">
        <v>842</v>
      </c>
      <c r="AB511" s="1665"/>
      <c r="AC511" s="1665"/>
      <c r="AD511" s="1623">
        <f t="shared" si="260"/>
        <v>842</v>
      </c>
      <c r="AE511" s="1623">
        <f>AA511+AB511+AC511</f>
        <v>842</v>
      </c>
      <c r="AF511" s="1681"/>
      <c r="AG511" s="1009">
        <f t="shared" si="245"/>
        <v>0</v>
      </c>
      <c r="AH511" s="1009">
        <f t="shared" si="222"/>
        <v>1</v>
      </c>
      <c r="AI511" s="1908">
        <f t="shared" si="246"/>
        <v>1</v>
      </c>
    </row>
    <row r="512" spans="1:35" ht="57" hidden="1" customHeight="1" x14ac:dyDescent="0.25">
      <c r="A512" s="1586" t="s">
        <v>2931</v>
      </c>
      <c r="B512" s="1586"/>
      <c r="C512" s="1631" t="s">
        <v>1129</v>
      </c>
      <c r="D512" s="1608"/>
      <c r="E512" s="1646"/>
      <c r="F512" s="1646" t="s">
        <v>248</v>
      </c>
      <c r="G512" s="1608" t="s">
        <v>1128</v>
      </c>
      <c r="H512" s="1804">
        <v>20735</v>
      </c>
      <c r="I512" s="1804">
        <v>16354</v>
      </c>
      <c r="J512" s="1604"/>
      <c r="K512" s="1604"/>
      <c r="L512" s="1604"/>
      <c r="M512" s="1604"/>
      <c r="N512" s="1648">
        <v>18000</v>
      </c>
      <c r="O512" s="1648">
        <v>18000</v>
      </c>
      <c r="P512" s="1666">
        <f>Q512</f>
        <v>13980</v>
      </c>
      <c r="Q512" s="1666">
        <f>7980+6000</f>
        <v>13980</v>
      </c>
      <c r="R512" s="1591"/>
      <c r="S512" s="1591">
        <f>O512-U512</f>
        <v>4376</v>
      </c>
      <c r="T512" s="1665">
        <f>U512</f>
        <v>13624</v>
      </c>
      <c r="U512" s="1665">
        <v>13624</v>
      </c>
      <c r="V512" s="1591"/>
      <c r="W512" s="1591"/>
      <c r="X512" s="1665">
        <f>Y512</f>
        <v>13624</v>
      </c>
      <c r="Y512" s="1665">
        <v>13624</v>
      </c>
      <c r="Z512" s="1665">
        <v>13624</v>
      </c>
      <c r="AA512" s="1665">
        <v>13624</v>
      </c>
      <c r="AB512" s="1665"/>
      <c r="AC512" s="1665"/>
      <c r="AD512" s="1623">
        <f t="shared" si="260"/>
        <v>13624</v>
      </c>
      <c r="AE512" s="1623">
        <f>AA512+AB512+AC512</f>
        <v>13624</v>
      </c>
      <c r="AF512" s="1606"/>
      <c r="AG512" s="1009">
        <f t="shared" si="245"/>
        <v>0</v>
      </c>
      <c r="AH512" s="1009">
        <f t="shared" si="222"/>
        <v>1</v>
      </c>
      <c r="AI512" s="1908">
        <f t="shared" si="246"/>
        <v>1</v>
      </c>
    </row>
    <row r="513" spans="1:36" ht="68.25" hidden="1" customHeight="1" x14ac:dyDescent="0.25">
      <c r="A513" s="1586" t="s">
        <v>2932</v>
      </c>
      <c r="B513" s="1586"/>
      <c r="C513" s="1674" t="s">
        <v>1127</v>
      </c>
      <c r="D513" s="1608"/>
      <c r="E513" s="1646" t="s">
        <v>1126</v>
      </c>
      <c r="F513" s="1646" t="s">
        <v>116</v>
      </c>
      <c r="G513" s="1608" t="s">
        <v>1125</v>
      </c>
      <c r="H513" s="1804">
        <v>5132</v>
      </c>
      <c r="I513" s="1804">
        <v>5132</v>
      </c>
      <c r="J513" s="1622"/>
      <c r="K513" s="1747"/>
      <c r="L513" s="1622"/>
      <c r="M513" s="1747"/>
      <c r="N513" s="1648">
        <v>4500</v>
      </c>
      <c r="O513" s="1648">
        <v>4500</v>
      </c>
      <c r="P513" s="1666">
        <v>4500</v>
      </c>
      <c r="Q513" s="1666">
        <v>4500</v>
      </c>
      <c r="R513" s="1591"/>
      <c r="S513" s="1591">
        <f>O513-U513</f>
        <v>32</v>
      </c>
      <c r="T513" s="1665">
        <f>U513</f>
        <v>4468</v>
      </c>
      <c r="U513" s="1665">
        <v>4468</v>
      </c>
      <c r="V513" s="1591"/>
      <c r="W513" s="1591"/>
      <c r="X513" s="1665">
        <f>Y513</f>
        <v>4468</v>
      </c>
      <c r="Y513" s="1665">
        <v>4468</v>
      </c>
      <c r="Z513" s="1665">
        <v>4468</v>
      </c>
      <c r="AA513" s="1665">
        <v>4468</v>
      </c>
      <c r="AB513" s="1665"/>
      <c r="AC513" s="1665"/>
      <c r="AD513" s="1623">
        <f t="shared" si="260"/>
        <v>4468</v>
      </c>
      <c r="AE513" s="1623">
        <f>AA513+AB513+AC513</f>
        <v>4468</v>
      </c>
      <c r="AF513" s="1599"/>
      <c r="AG513" s="1009">
        <f t="shared" si="245"/>
        <v>0</v>
      </c>
      <c r="AH513" s="1009">
        <f t="shared" si="222"/>
        <v>1</v>
      </c>
      <c r="AI513" s="1908">
        <f t="shared" si="246"/>
        <v>1</v>
      </c>
    </row>
    <row r="514" spans="1:36" ht="49.5" hidden="1" x14ac:dyDescent="0.25">
      <c r="A514" s="1586" t="s">
        <v>2933</v>
      </c>
      <c r="B514" s="1586"/>
      <c r="C514" s="1631" t="s">
        <v>1124</v>
      </c>
      <c r="D514" s="1608"/>
      <c r="E514" s="1646"/>
      <c r="F514" s="1646" t="s">
        <v>116</v>
      </c>
      <c r="G514" s="1608"/>
      <c r="H514" s="1804">
        <f>H515+H516</f>
        <v>18648</v>
      </c>
      <c r="I514" s="1804">
        <f>I515+I516</f>
        <v>18648</v>
      </c>
      <c r="J514" s="1622"/>
      <c r="K514" s="1747"/>
      <c r="L514" s="1622"/>
      <c r="M514" s="1747"/>
      <c r="N514" s="1804">
        <f t="shared" ref="N514:Q514" si="261">N515+N516</f>
        <v>12500</v>
      </c>
      <c r="O514" s="1804">
        <f t="shared" si="261"/>
        <v>12500</v>
      </c>
      <c r="P514" s="1805">
        <f t="shared" si="261"/>
        <v>17400</v>
      </c>
      <c r="Q514" s="1805">
        <f t="shared" si="261"/>
        <v>17400</v>
      </c>
      <c r="R514" s="1591">
        <f>U514-O514</f>
        <v>4276</v>
      </c>
      <c r="S514" s="1591"/>
      <c r="T514" s="1806">
        <f>T515+T516</f>
        <v>16776</v>
      </c>
      <c r="U514" s="1806">
        <f>U515+U516</f>
        <v>16776</v>
      </c>
      <c r="V514" s="1591"/>
      <c r="W514" s="1591"/>
      <c r="X514" s="1806">
        <f>X515+X516</f>
        <v>16776</v>
      </c>
      <c r="Y514" s="1806">
        <f>Y515+Y516</f>
        <v>16776</v>
      </c>
      <c r="Z514" s="1806">
        <v>16776</v>
      </c>
      <c r="AA514" s="1806">
        <v>16776</v>
      </c>
      <c r="AB514" s="1806"/>
      <c r="AC514" s="1806"/>
      <c r="AD514" s="1806">
        <f>AD515+AD516</f>
        <v>16776</v>
      </c>
      <c r="AE514" s="1806">
        <f>AE515+AE516</f>
        <v>16776</v>
      </c>
      <c r="AF514" s="1580"/>
      <c r="AG514" s="1009">
        <f t="shared" si="245"/>
        <v>0</v>
      </c>
      <c r="AH514" s="1009">
        <f t="shared" si="222"/>
        <v>1</v>
      </c>
      <c r="AI514" s="1908">
        <f t="shared" si="246"/>
        <v>1</v>
      </c>
    </row>
    <row r="515" spans="1:36" s="1909" customFormat="1" ht="66" hidden="1" x14ac:dyDescent="0.25">
      <c r="A515" s="1729" t="s">
        <v>3426</v>
      </c>
      <c r="B515" s="1729"/>
      <c r="C515" s="1807" t="s">
        <v>1122</v>
      </c>
      <c r="D515" s="1808"/>
      <c r="E515" s="1809"/>
      <c r="F515" s="1809" t="s">
        <v>116</v>
      </c>
      <c r="G515" s="1808"/>
      <c r="H515" s="1810">
        <f t="shared" ref="H515:H522" si="262">I515</f>
        <v>6503</v>
      </c>
      <c r="I515" s="1810">
        <v>6503</v>
      </c>
      <c r="J515" s="1736"/>
      <c r="K515" s="1811"/>
      <c r="L515" s="1736"/>
      <c r="M515" s="1811"/>
      <c r="N515" s="1735">
        <f>O515</f>
        <v>6500</v>
      </c>
      <c r="O515" s="1735">
        <v>6500</v>
      </c>
      <c r="P515" s="1812">
        <f>N515</f>
        <v>6500</v>
      </c>
      <c r="Q515" s="1812">
        <f>O515</f>
        <v>6500</v>
      </c>
      <c r="R515" s="1738"/>
      <c r="S515" s="1738">
        <f>O515-U515</f>
        <v>624</v>
      </c>
      <c r="T515" s="1813">
        <f>U515</f>
        <v>5876</v>
      </c>
      <c r="U515" s="1813">
        <v>5876</v>
      </c>
      <c r="V515" s="1738"/>
      <c r="W515" s="1738"/>
      <c r="X515" s="1813">
        <f>Y515</f>
        <v>5876</v>
      </c>
      <c r="Y515" s="1813">
        <v>5876</v>
      </c>
      <c r="Z515" s="1813">
        <v>5876</v>
      </c>
      <c r="AA515" s="1813">
        <v>5876</v>
      </c>
      <c r="AB515" s="1813"/>
      <c r="AC515" s="1813"/>
      <c r="AD515" s="1814">
        <f t="shared" si="260"/>
        <v>5876</v>
      </c>
      <c r="AE515" s="1814">
        <f t="shared" ref="AE515:AE522" si="263">AA515+AB515+AC515</f>
        <v>5876</v>
      </c>
      <c r="AF515" s="1815"/>
      <c r="AG515" s="1009">
        <f t="shared" si="245"/>
        <v>0</v>
      </c>
      <c r="AH515" s="1257">
        <f t="shared" si="222"/>
        <v>1</v>
      </c>
      <c r="AI515" s="1912">
        <f t="shared" si="246"/>
        <v>1</v>
      </c>
    </row>
    <row r="516" spans="1:36" s="1909" customFormat="1" ht="66" hidden="1" x14ac:dyDescent="0.25">
      <c r="A516" s="1729" t="s">
        <v>3427</v>
      </c>
      <c r="B516" s="1729"/>
      <c r="C516" s="1807" t="s">
        <v>1120</v>
      </c>
      <c r="D516" s="1808"/>
      <c r="E516" s="1809"/>
      <c r="F516" s="1809" t="s">
        <v>116</v>
      </c>
      <c r="G516" s="1808"/>
      <c r="H516" s="1810">
        <f t="shared" si="262"/>
        <v>12145</v>
      </c>
      <c r="I516" s="1810">
        <v>12145</v>
      </c>
      <c r="J516" s="1736"/>
      <c r="K516" s="1811"/>
      <c r="L516" s="1736"/>
      <c r="M516" s="1811"/>
      <c r="N516" s="1735">
        <v>6000</v>
      </c>
      <c r="O516" s="1735">
        <f>N516</f>
        <v>6000</v>
      </c>
      <c r="P516" s="1812">
        <f>Q516</f>
        <v>10900</v>
      </c>
      <c r="Q516" s="1812">
        <v>10900</v>
      </c>
      <c r="R516" s="1812">
        <f>U516-O516</f>
        <v>4900</v>
      </c>
      <c r="S516" s="1738"/>
      <c r="T516" s="1813">
        <f>U516</f>
        <v>10900</v>
      </c>
      <c r="U516" s="1813">
        <v>10900</v>
      </c>
      <c r="V516" s="1812"/>
      <c r="W516" s="1738"/>
      <c r="X516" s="1813">
        <f>Y516</f>
        <v>10900</v>
      </c>
      <c r="Y516" s="1813">
        <v>10900</v>
      </c>
      <c r="Z516" s="1813">
        <v>10900</v>
      </c>
      <c r="AA516" s="1813">
        <v>10900</v>
      </c>
      <c r="AB516" s="1813"/>
      <c r="AC516" s="1813"/>
      <c r="AD516" s="1814">
        <f t="shared" si="260"/>
        <v>10900</v>
      </c>
      <c r="AE516" s="1814">
        <f t="shared" si="263"/>
        <v>10900</v>
      </c>
      <c r="AF516" s="1815"/>
      <c r="AG516" s="1009">
        <f t="shared" si="245"/>
        <v>0</v>
      </c>
      <c r="AH516" s="1257">
        <f t="shared" si="222"/>
        <v>1</v>
      </c>
      <c r="AI516" s="1912">
        <f t="shared" si="246"/>
        <v>1</v>
      </c>
    </row>
    <row r="517" spans="1:36" ht="33" hidden="1" x14ac:dyDescent="0.25">
      <c r="A517" s="1586" t="s">
        <v>2934</v>
      </c>
      <c r="B517" s="1677"/>
      <c r="C517" s="1631" t="s">
        <v>1119</v>
      </c>
      <c r="D517" s="1608"/>
      <c r="E517" s="1646" t="s">
        <v>1118</v>
      </c>
      <c r="F517" s="1646" t="s">
        <v>248</v>
      </c>
      <c r="G517" s="1608"/>
      <c r="H517" s="1804">
        <f t="shared" si="262"/>
        <v>7374</v>
      </c>
      <c r="I517" s="1804">
        <v>7374</v>
      </c>
      <c r="J517" s="1622"/>
      <c r="K517" s="1747"/>
      <c r="L517" s="1622"/>
      <c r="M517" s="1747"/>
      <c r="N517" s="1648"/>
      <c r="O517" s="1648"/>
      <c r="P517" s="1666">
        <f>Q517</f>
        <v>6700</v>
      </c>
      <c r="Q517" s="1666">
        <v>6700</v>
      </c>
      <c r="R517" s="1591">
        <f>U517-O517</f>
        <v>5983</v>
      </c>
      <c r="S517" s="1591"/>
      <c r="T517" s="1665">
        <f>U517</f>
        <v>5983</v>
      </c>
      <c r="U517" s="1665">
        <v>5983</v>
      </c>
      <c r="V517" s="1591"/>
      <c r="W517" s="1591"/>
      <c r="X517" s="1665">
        <f>Y517</f>
        <v>5983</v>
      </c>
      <c r="Y517" s="1665">
        <v>5983</v>
      </c>
      <c r="Z517" s="1665">
        <v>5983</v>
      </c>
      <c r="AA517" s="1665">
        <v>5983</v>
      </c>
      <c r="AB517" s="1665"/>
      <c r="AC517" s="1665"/>
      <c r="AD517" s="1623">
        <f t="shared" si="260"/>
        <v>5983</v>
      </c>
      <c r="AE517" s="1623">
        <f t="shared" si="263"/>
        <v>5983</v>
      </c>
      <c r="AF517" s="1580"/>
      <c r="AG517" s="1009">
        <f t="shared" si="245"/>
        <v>0</v>
      </c>
      <c r="AH517" s="1009">
        <f t="shared" si="222"/>
        <v>1</v>
      </c>
      <c r="AI517" s="1908">
        <f t="shared" si="246"/>
        <v>1</v>
      </c>
    </row>
    <row r="518" spans="1:36" ht="66" hidden="1" x14ac:dyDescent="0.25">
      <c r="A518" s="1586" t="s">
        <v>2935</v>
      </c>
      <c r="B518" s="1677"/>
      <c r="C518" s="1631" t="s">
        <v>1116</v>
      </c>
      <c r="D518" s="1608" t="s">
        <v>2420</v>
      </c>
      <c r="E518" s="1646" t="s">
        <v>1115</v>
      </c>
      <c r="F518" s="1646" t="s">
        <v>290</v>
      </c>
      <c r="G518" s="1608"/>
      <c r="H518" s="1804">
        <f t="shared" si="262"/>
        <v>21368</v>
      </c>
      <c r="I518" s="1804">
        <v>21368</v>
      </c>
      <c r="J518" s="1622"/>
      <c r="K518" s="1747"/>
      <c r="L518" s="1622"/>
      <c r="M518" s="1747"/>
      <c r="N518" s="1648">
        <v>9780</v>
      </c>
      <c r="O518" s="1648">
        <v>9780</v>
      </c>
      <c r="P518" s="1666">
        <f>Q518</f>
        <v>11560</v>
      </c>
      <c r="Q518" s="1666">
        <f>11700-140</f>
        <v>11560</v>
      </c>
      <c r="R518" s="1591">
        <f>T518-O518</f>
        <v>3690</v>
      </c>
      <c r="S518" s="1591"/>
      <c r="T518" s="1665">
        <f>U518</f>
        <v>13470</v>
      </c>
      <c r="U518" s="1665">
        <v>13470</v>
      </c>
      <c r="V518" s="1591">
        <v>7850</v>
      </c>
      <c r="W518" s="1591"/>
      <c r="X518" s="1665">
        <f>Y518</f>
        <v>21320</v>
      </c>
      <c r="Y518" s="1665">
        <f>V518+U518</f>
        <v>21320</v>
      </c>
      <c r="Z518" s="1665">
        <v>21320</v>
      </c>
      <c r="AA518" s="1665">
        <v>21320</v>
      </c>
      <c r="AB518" s="1665"/>
      <c r="AC518" s="1665"/>
      <c r="AD518" s="1623">
        <f t="shared" si="260"/>
        <v>21320</v>
      </c>
      <c r="AE518" s="1623">
        <f t="shared" si="263"/>
        <v>21320</v>
      </c>
      <c r="AF518" s="1580"/>
      <c r="AG518" s="1009">
        <f t="shared" si="245"/>
        <v>0</v>
      </c>
      <c r="AH518" s="1009">
        <f t="shared" si="222"/>
        <v>1</v>
      </c>
      <c r="AI518" s="1908">
        <f t="shared" si="246"/>
        <v>1</v>
      </c>
      <c r="AJ518" s="1908"/>
    </row>
    <row r="519" spans="1:36" ht="16.5" hidden="1" x14ac:dyDescent="0.25">
      <c r="A519" s="1586" t="s">
        <v>2936</v>
      </c>
      <c r="B519" s="1677"/>
      <c r="C519" s="1631" t="s">
        <v>2197</v>
      </c>
      <c r="D519" s="1608"/>
      <c r="E519" s="1646"/>
      <c r="F519" s="1646" t="s">
        <v>290</v>
      </c>
      <c r="G519" s="1608"/>
      <c r="H519" s="1804">
        <f t="shared" si="262"/>
        <v>11328</v>
      </c>
      <c r="I519" s="1804">
        <v>11328</v>
      </c>
      <c r="J519" s="1622"/>
      <c r="K519" s="1747"/>
      <c r="L519" s="1622"/>
      <c r="M519" s="1747"/>
      <c r="N519" s="1648"/>
      <c r="O519" s="1648"/>
      <c r="P519" s="1666"/>
      <c r="Q519" s="1666"/>
      <c r="R519" s="1591"/>
      <c r="S519" s="1591"/>
      <c r="T519" s="1665"/>
      <c r="U519" s="1665"/>
      <c r="V519" s="1591">
        <v>10200</v>
      </c>
      <c r="W519" s="1591"/>
      <c r="X519" s="1665">
        <f t="shared" ref="X519:X522" si="264">Y519</f>
        <v>10200</v>
      </c>
      <c r="Y519" s="1665">
        <f t="shared" ref="Y519:Y522" si="265">V519+U519</f>
        <v>10200</v>
      </c>
      <c r="Z519" s="1665">
        <v>10200</v>
      </c>
      <c r="AA519" s="1665">
        <v>10200</v>
      </c>
      <c r="AB519" s="1665"/>
      <c r="AC519" s="1665"/>
      <c r="AD519" s="1623">
        <f t="shared" si="260"/>
        <v>10200</v>
      </c>
      <c r="AE519" s="1623">
        <f t="shared" si="263"/>
        <v>10200</v>
      </c>
      <c r="AF519" s="1580"/>
      <c r="AG519" s="1009">
        <f t="shared" si="245"/>
        <v>0</v>
      </c>
      <c r="AH519" s="1009">
        <f t="shared" si="222"/>
        <v>1</v>
      </c>
      <c r="AI519" s="1908">
        <f t="shared" si="246"/>
        <v>1</v>
      </c>
    </row>
    <row r="520" spans="1:36" ht="33" hidden="1" x14ac:dyDescent="0.25">
      <c r="A520" s="1586" t="s">
        <v>2937</v>
      </c>
      <c r="B520" s="1677"/>
      <c r="C520" s="1631" t="s">
        <v>2426</v>
      </c>
      <c r="D520" s="1608"/>
      <c r="E520" s="1646"/>
      <c r="F520" s="1646" t="s">
        <v>290</v>
      </c>
      <c r="G520" s="1608"/>
      <c r="H520" s="1804">
        <f t="shared" si="262"/>
        <v>9683</v>
      </c>
      <c r="I520" s="1804">
        <v>9683</v>
      </c>
      <c r="J520" s="1622"/>
      <c r="K520" s="1747"/>
      <c r="L520" s="1622"/>
      <c r="M520" s="1747"/>
      <c r="N520" s="1648"/>
      <c r="O520" s="1648"/>
      <c r="P520" s="1666"/>
      <c r="Q520" s="1666"/>
      <c r="R520" s="1591"/>
      <c r="S520" s="1591"/>
      <c r="T520" s="1665"/>
      <c r="U520" s="1665"/>
      <c r="V520" s="1591">
        <v>8700</v>
      </c>
      <c r="W520" s="1591"/>
      <c r="X520" s="1665">
        <f t="shared" si="264"/>
        <v>8700</v>
      </c>
      <c r="Y520" s="1665">
        <f t="shared" si="265"/>
        <v>8700</v>
      </c>
      <c r="Z520" s="1665">
        <v>8700</v>
      </c>
      <c r="AA520" s="1665">
        <v>8700</v>
      </c>
      <c r="AB520" s="1665"/>
      <c r="AC520" s="1665"/>
      <c r="AD520" s="1623">
        <f t="shared" si="260"/>
        <v>8700</v>
      </c>
      <c r="AE520" s="1623">
        <f t="shared" si="263"/>
        <v>8700</v>
      </c>
      <c r="AF520" s="1580"/>
      <c r="AG520" s="1009">
        <f t="shared" si="245"/>
        <v>0</v>
      </c>
      <c r="AH520" s="1009">
        <f t="shared" si="222"/>
        <v>1</v>
      </c>
      <c r="AI520" s="1908">
        <f t="shared" si="246"/>
        <v>1</v>
      </c>
    </row>
    <row r="521" spans="1:36" ht="24.75" hidden="1" customHeight="1" x14ac:dyDescent="0.25">
      <c r="A521" s="1586" t="s">
        <v>2938</v>
      </c>
      <c r="B521" s="1677"/>
      <c r="C521" s="1631" t="s">
        <v>2198</v>
      </c>
      <c r="D521" s="1608"/>
      <c r="E521" s="1646"/>
      <c r="F521" s="1646" t="s">
        <v>290</v>
      </c>
      <c r="G521" s="1608"/>
      <c r="H521" s="1804">
        <f t="shared" si="262"/>
        <v>12395</v>
      </c>
      <c r="I521" s="1804">
        <v>12395</v>
      </c>
      <c r="J521" s="1622"/>
      <c r="K521" s="1747"/>
      <c r="L521" s="1622"/>
      <c r="M521" s="1747"/>
      <c r="N521" s="1648"/>
      <c r="O521" s="1648"/>
      <c r="P521" s="1666"/>
      <c r="Q521" s="1666"/>
      <c r="R521" s="1591"/>
      <c r="S521" s="1591"/>
      <c r="T521" s="1665"/>
      <c r="U521" s="1665"/>
      <c r="V521" s="1591">
        <v>11200</v>
      </c>
      <c r="W521" s="1591"/>
      <c r="X521" s="1665">
        <f t="shared" si="264"/>
        <v>11200</v>
      </c>
      <c r="Y521" s="1665">
        <f t="shared" si="265"/>
        <v>11200</v>
      </c>
      <c r="Z521" s="1665">
        <v>11200</v>
      </c>
      <c r="AA521" s="1665">
        <v>11200</v>
      </c>
      <c r="AB521" s="1665"/>
      <c r="AC521" s="1665"/>
      <c r="AD521" s="1623">
        <f t="shared" si="260"/>
        <v>11200</v>
      </c>
      <c r="AE521" s="1623">
        <f t="shared" si="263"/>
        <v>11200</v>
      </c>
      <c r="AF521" s="1580"/>
      <c r="AG521" s="1009">
        <f t="shared" si="245"/>
        <v>0</v>
      </c>
      <c r="AH521" s="1009">
        <f t="shared" si="222"/>
        <v>1</v>
      </c>
      <c r="AI521" s="1908">
        <f t="shared" si="246"/>
        <v>1</v>
      </c>
    </row>
    <row r="522" spans="1:36" ht="33" hidden="1" x14ac:dyDescent="0.25">
      <c r="A522" s="1586" t="s">
        <v>2939</v>
      </c>
      <c r="B522" s="1677"/>
      <c r="C522" s="1631" t="s">
        <v>2199</v>
      </c>
      <c r="D522" s="1608"/>
      <c r="E522" s="1646"/>
      <c r="F522" s="1646" t="s">
        <v>290</v>
      </c>
      <c r="G522" s="1608"/>
      <c r="H522" s="1804">
        <f t="shared" si="262"/>
        <v>4968</v>
      </c>
      <c r="I522" s="1804">
        <v>4968</v>
      </c>
      <c r="J522" s="1622"/>
      <c r="K522" s="1747"/>
      <c r="L522" s="1622"/>
      <c r="M522" s="1747"/>
      <c r="N522" s="1648"/>
      <c r="O522" s="1648"/>
      <c r="P522" s="1666"/>
      <c r="Q522" s="1666"/>
      <c r="R522" s="1591"/>
      <c r="S522" s="1591"/>
      <c r="T522" s="1665"/>
      <c r="U522" s="1665"/>
      <c r="V522" s="1591">
        <v>4500</v>
      </c>
      <c r="W522" s="1591"/>
      <c r="X522" s="1665">
        <f t="shared" si="264"/>
        <v>4500</v>
      </c>
      <c r="Y522" s="1665">
        <f t="shared" si="265"/>
        <v>4500</v>
      </c>
      <c r="Z522" s="1665">
        <v>4500</v>
      </c>
      <c r="AA522" s="1665">
        <v>4500</v>
      </c>
      <c r="AB522" s="1665"/>
      <c r="AC522" s="1665"/>
      <c r="AD522" s="1623">
        <f t="shared" si="260"/>
        <v>4500</v>
      </c>
      <c r="AE522" s="1623">
        <f t="shared" si="263"/>
        <v>4500</v>
      </c>
      <c r="AF522" s="1580"/>
      <c r="AG522" s="1009">
        <f t="shared" si="245"/>
        <v>0</v>
      </c>
      <c r="AH522" s="1009">
        <f t="shared" si="222"/>
        <v>1</v>
      </c>
      <c r="AI522" s="1908">
        <f t="shared" si="246"/>
        <v>1</v>
      </c>
    </row>
    <row r="523" spans="1:36" ht="25.5" hidden="1" customHeight="1" x14ac:dyDescent="0.25">
      <c r="A523" s="1576">
        <v>5</v>
      </c>
      <c r="B523" s="1600" t="s">
        <v>2955</v>
      </c>
      <c r="C523" s="1675" t="s">
        <v>1114</v>
      </c>
      <c r="D523" s="1616"/>
      <c r="E523" s="1669"/>
      <c r="F523" s="1669"/>
      <c r="G523" s="1669"/>
      <c r="H523" s="1683">
        <f>H524</f>
        <v>202118</v>
      </c>
      <c r="I523" s="1683">
        <f>I524</f>
        <v>237610</v>
      </c>
      <c r="J523" s="1683">
        <f t="shared" ref="J523:S524" si="266">J524</f>
        <v>0</v>
      </c>
      <c r="K523" s="1683">
        <f t="shared" si="266"/>
        <v>0</v>
      </c>
      <c r="L523" s="1683">
        <f t="shared" si="266"/>
        <v>0</v>
      </c>
      <c r="M523" s="1683">
        <f t="shared" si="266"/>
        <v>0</v>
      </c>
      <c r="N523" s="1683">
        <f t="shared" si="266"/>
        <v>80000</v>
      </c>
      <c r="O523" s="1683">
        <f t="shared" si="266"/>
        <v>80000</v>
      </c>
      <c r="P523" s="1816">
        <f t="shared" si="266"/>
        <v>80000</v>
      </c>
      <c r="Q523" s="1816">
        <f t="shared" si="266"/>
        <v>80000</v>
      </c>
      <c r="R523" s="1683">
        <f t="shared" si="266"/>
        <v>28933</v>
      </c>
      <c r="S523" s="1683">
        <f t="shared" si="266"/>
        <v>28933</v>
      </c>
      <c r="T523" s="1683">
        <f>T524</f>
        <v>80000</v>
      </c>
      <c r="U523" s="1683">
        <f t="shared" ref="P523:Y524" si="267">U524</f>
        <v>80000</v>
      </c>
      <c r="V523" s="1683">
        <f t="shared" si="267"/>
        <v>71600</v>
      </c>
      <c r="W523" s="1683">
        <f t="shared" si="267"/>
        <v>0</v>
      </c>
      <c r="X523" s="1683">
        <f t="shared" si="267"/>
        <v>151600</v>
      </c>
      <c r="Y523" s="1683">
        <f t="shared" si="267"/>
        <v>151600</v>
      </c>
      <c r="Z523" s="1683">
        <v>139646</v>
      </c>
      <c r="AA523" s="1683">
        <v>139646</v>
      </c>
      <c r="AB523" s="1683"/>
      <c r="AC523" s="1684"/>
      <c r="AD523" s="1683">
        <f t="shared" ref="AD523:AE523" si="268">AD524</f>
        <v>139646</v>
      </c>
      <c r="AE523" s="1683">
        <f t="shared" si="268"/>
        <v>139646</v>
      </c>
      <c r="AF523" s="1608"/>
      <c r="AG523" s="1009">
        <f t="shared" si="245"/>
        <v>0</v>
      </c>
      <c r="AH523" s="1009">
        <f t="shared" si="222"/>
        <v>1</v>
      </c>
      <c r="AI523" s="1908">
        <f t="shared" si="246"/>
        <v>1</v>
      </c>
    </row>
    <row r="524" spans="1:36" ht="43.5" hidden="1" customHeight="1" x14ac:dyDescent="0.25">
      <c r="A524" s="1600" t="s">
        <v>2955</v>
      </c>
      <c r="B524" s="1601" t="s">
        <v>2956</v>
      </c>
      <c r="C524" s="1602" t="s">
        <v>86</v>
      </c>
      <c r="D524" s="1603"/>
      <c r="E524" s="1603"/>
      <c r="F524" s="1603"/>
      <c r="G524" s="1603"/>
      <c r="H524" s="1604">
        <f>H525+H541</f>
        <v>202118</v>
      </c>
      <c r="I524" s="1604">
        <f>I525+I541</f>
        <v>237610</v>
      </c>
      <c r="J524" s="1604">
        <f t="shared" si="266"/>
        <v>0</v>
      </c>
      <c r="K524" s="1604">
        <f t="shared" si="266"/>
        <v>0</v>
      </c>
      <c r="L524" s="1604">
        <f t="shared" si="266"/>
        <v>0</v>
      </c>
      <c r="M524" s="1604">
        <f t="shared" si="266"/>
        <v>0</v>
      </c>
      <c r="N524" s="1604">
        <f>N525+N541</f>
        <v>80000</v>
      </c>
      <c r="O524" s="1604">
        <f>O525+O541</f>
        <v>80000</v>
      </c>
      <c r="P524" s="1604">
        <f t="shared" si="267"/>
        <v>80000</v>
      </c>
      <c r="Q524" s="1604">
        <f t="shared" si="267"/>
        <v>80000</v>
      </c>
      <c r="R524" s="1604">
        <f t="shared" si="267"/>
        <v>28933</v>
      </c>
      <c r="S524" s="1604">
        <f t="shared" si="267"/>
        <v>28933</v>
      </c>
      <c r="T524" s="1604">
        <f t="shared" si="267"/>
        <v>80000</v>
      </c>
      <c r="U524" s="1604">
        <f t="shared" si="267"/>
        <v>80000</v>
      </c>
      <c r="V524" s="1604">
        <f t="shared" ref="V524:Y524" si="269">V525+V541</f>
        <v>71600</v>
      </c>
      <c r="W524" s="1604">
        <f t="shared" si="269"/>
        <v>0</v>
      </c>
      <c r="X524" s="1604">
        <f t="shared" si="269"/>
        <v>151600</v>
      </c>
      <c r="Y524" s="1604">
        <f t="shared" si="269"/>
        <v>151600</v>
      </c>
      <c r="Z524" s="1604">
        <v>139646</v>
      </c>
      <c r="AA524" s="1604">
        <v>139646</v>
      </c>
      <c r="AB524" s="1604"/>
      <c r="AC524" s="1605"/>
      <c r="AD524" s="1604">
        <f t="shared" ref="AD524:AE524" si="270">AD525+AD541</f>
        <v>139646</v>
      </c>
      <c r="AE524" s="1604">
        <f t="shared" si="270"/>
        <v>139646</v>
      </c>
      <c r="AF524" s="1606"/>
      <c r="AG524" s="1009">
        <f t="shared" si="245"/>
        <v>0</v>
      </c>
      <c r="AH524" s="1009">
        <f t="shared" si="222"/>
        <v>1</v>
      </c>
      <c r="AI524" s="1908">
        <f t="shared" si="246"/>
        <v>1</v>
      </c>
    </row>
    <row r="525" spans="1:36" ht="57.75" hidden="1" customHeight="1" x14ac:dyDescent="0.25">
      <c r="A525" s="1601" t="s">
        <v>2956</v>
      </c>
      <c r="B525" s="1601" t="s">
        <v>2956</v>
      </c>
      <c r="C525" s="1602" t="s">
        <v>88</v>
      </c>
      <c r="D525" s="1603"/>
      <c r="E525" s="1603"/>
      <c r="F525" s="1603"/>
      <c r="G525" s="1603"/>
      <c r="H525" s="1604">
        <f t="shared" ref="H525:X525" si="271">SUM(H526:H540)</f>
        <v>172122</v>
      </c>
      <c r="I525" s="1604">
        <f t="shared" si="271"/>
        <v>172122</v>
      </c>
      <c r="J525" s="1604">
        <f t="shared" si="271"/>
        <v>0</v>
      </c>
      <c r="K525" s="1604">
        <f t="shared" si="271"/>
        <v>0</v>
      </c>
      <c r="L525" s="1604">
        <f t="shared" si="271"/>
        <v>0</v>
      </c>
      <c r="M525" s="1604">
        <f t="shared" si="271"/>
        <v>0</v>
      </c>
      <c r="N525" s="1604">
        <f t="shared" si="271"/>
        <v>80000</v>
      </c>
      <c r="O525" s="1604">
        <f t="shared" si="271"/>
        <v>80000</v>
      </c>
      <c r="P525" s="1604">
        <f t="shared" si="271"/>
        <v>80000</v>
      </c>
      <c r="Q525" s="1604">
        <f t="shared" si="271"/>
        <v>80000</v>
      </c>
      <c r="R525" s="1604">
        <f t="shared" si="271"/>
        <v>28933</v>
      </c>
      <c r="S525" s="1604">
        <f t="shared" si="271"/>
        <v>28933</v>
      </c>
      <c r="T525" s="1604">
        <f t="shared" si="271"/>
        <v>80000</v>
      </c>
      <c r="U525" s="1604">
        <f t="shared" si="271"/>
        <v>80000</v>
      </c>
      <c r="V525" s="1604">
        <f t="shared" si="271"/>
        <v>44400</v>
      </c>
      <c r="W525" s="1604">
        <f t="shared" si="271"/>
        <v>0</v>
      </c>
      <c r="X525" s="1604">
        <f t="shared" si="271"/>
        <v>124400</v>
      </c>
      <c r="Y525" s="1604">
        <f>SUM(Y526:Y540)</f>
        <v>124400</v>
      </c>
      <c r="Z525" s="1604">
        <v>112446</v>
      </c>
      <c r="AA525" s="1604">
        <v>112446</v>
      </c>
      <c r="AB525" s="1604"/>
      <c r="AC525" s="1605"/>
      <c r="AD525" s="1604">
        <f t="shared" ref="AD525" si="272">SUM(AD526:AD540)</f>
        <v>112446</v>
      </c>
      <c r="AE525" s="1604">
        <f>SUM(AE526:AE540)</f>
        <v>112446</v>
      </c>
      <c r="AF525" s="1606"/>
      <c r="AG525" s="1009">
        <f t="shared" si="245"/>
        <v>0</v>
      </c>
      <c r="AH525" s="1009">
        <f t="shared" si="222"/>
        <v>1</v>
      </c>
      <c r="AI525" s="1908">
        <f t="shared" si="246"/>
        <v>1</v>
      </c>
    </row>
    <row r="526" spans="1:36" ht="33" hidden="1" x14ac:dyDescent="0.25">
      <c r="A526" s="1677" t="s">
        <v>2957</v>
      </c>
      <c r="B526" s="1677"/>
      <c r="C526" s="1587" t="s">
        <v>1008</v>
      </c>
      <c r="D526" s="1608"/>
      <c r="E526" s="1646"/>
      <c r="F526" s="1646"/>
      <c r="G526" s="1646"/>
      <c r="H526" s="1648"/>
      <c r="I526" s="1756"/>
      <c r="J526" s="1622"/>
      <c r="K526" s="1747"/>
      <c r="L526" s="1622"/>
      <c r="M526" s="1747"/>
      <c r="N526" s="1622">
        <f>O526</f>
        <v>800</v>
      </c>
      <c r="O526" s="1648">
        <v>800</v>
      </c>
      <c r="P526" s="1666">
        <v>800</v>
      </c>
      <c r="Q526" s="1748">
        <v>800</v>
      </c>
      <c r="R526" s="1591"/>
      <c r="S526" s="1591">
        <f t="shared" ref="S526:S534" si="273">O526-U526</f>
        <v>0</v>
      </c>
      <c r="T526" s="1665">
        <v>800</v>
      </c>
      <c r="U526" s="1623">
        <v>800</v>
      </c>
      <c r="V526" s="1591"/>
      <c r="W526" s="1591"/>
      <c r="X526" s="1665">
        <v>800</v>
      </c>
      <c r="Y526" s="1623">
        <v>800</v>
      </c>
      <c r="Z526" s="1665">
        <v>800</v>
      </c>
      <c r="AA526" s="1623">
        <v>800</v>
      </c>
      <c r="AB526" s="1623"/>
      <c r="AC526" s="1623"/>
      <c r="AD526" s="1623">
        <f t="shared" ref="AD526:AD540" si="274">AE526</f>
        <v>800</v>
      </c>
      <c r="AE526" s="1623">
        <f t="shared" ref="AE526:AE540" si="275">AA526+AB526+AC526</f>
        <v>800</v>
      </c>
      <c r="AF526" s="1599"/>
      <c r="AG526" s="1009">
        <f t="shared" si="245"/>
        <v>0</v>
      </c>
      <c r="AH526" s="1009">
        <f t="shared" si="222"/>
        <v>1</v>
      </c>
      <c r="AI526" s="1908"/>
    </row>
    <row r="527" spans="1:36" ht="66" hidden="1" x14ac:dyDescent="0.25">
      <c r="A527" s="1677" t="s">
        <v>2958</v>
      </c>
      <c r="B527" s="1677"/>
      <c r="C527" s="1587" t="s">
        <v>1113</v>
      </c>
      <c r="D527" s="1608" t="s">
        <v>1112</v>
      </c>
      <c r="E527" s="1611" t="s">
        <v>1111</v>
      </c>
      <c r="F527" s="1589" t="s">
        <v>97</v>
      </c>
      <c r="G527" s="1588" t="s">
        <v>1110</v>
      </c>
      <c r="H527" s="1690">
        <v>7116</v>
      </c>
      <c r="I527" s="1690">
        <v>7116</v>
      </c>
      <c r="J527" s="1622"/>
      <c r="K527" s="1747"/>
      <c r="L527" s="1622"/>
      <c r="M527" s="1747"/>
      <c r="N527" s="1622">
        <f>O527</f>
        <v>6300</v>
      </c>
      <c r="O527" s="1648">
        <v>6300</v>
      </c>
      <c r="P527" s="1666">
        <f>Q527</f>
        <v>6085</v>
      </c>
      <c r="Q527" s="1748">
        <v>6085</v>
      </c>
      <c r="R527" s="1591"/>
      <c r="S527" s="1591">
        <f t="shared" si="273"/>
        <v>215</v>
      </c>
      <c r="T527" s="1665">
        <f>U527</f>
        <v>6085</v>
      </c>
      <c r="U527" s="1623">
        <v>6085</v>
      </c>
      <c r="V527" s="1591"/>
      <c r="W527" s="1591"/>
      <c r="X527" s="1665">
        <f>Y527</f>
        <v>6085</v>
      </c>
      <c r="Y527" s="1623">
        <v>6085</v>
      </c>
      <c r="Z527" s="1665">
        <v>6085</v>
      </c>
      <c r="AA527" s="1623">
        <v>6085</v>
      </c>
      <c r="AB527" s="1623"/>
      <c r="AC527" s="1623"/>
      <c r="AD527" s="1623">
        <f t="shared" si="274"/>
        <v>6085</v>
      </c>
      <c r="AE527" s="1623">
        <f t="shared" si="275"/>
        <v>6085</v>
      </c>
      <c r="AF527" s="1580"/>
      <c r="AG527" s="1009">
        <f t="shared" si="245"/>
        <v>0</v>
      </c>
      <c r="AH527" s="1009">
        <f t="shared" si="222"/>
        <v>1</v>
      </c>
      <c r="AI527" s="1908">
        <f t="shared" si="246"/>
        <v>1</v>
      </c>
    </row>
    <row r="528" spans="1:36" ht="33" hidden="1" x14ac:dyDescent="0.25">
      <c r="A528" s="1677" t="s">
        <v>3428</v>
      </c>
      <c r="B528" s="1677"/>
      <c r="C528" s="1587" t="s">
        <v>1109</v>
      </c>
      <c r="D528" s="1608" t="s">
        <v>1108</v>
      </c>
      <c r="E528" s="1817" t="s">
        <v>1107</v>
      </c>
      <c r="F528" s="1589" t="s">
        <v>97</v>
      </c>
      <c r="G528" s="1588" t="s">
        <v>1106</v>
      </c>
      <c r="H528" s="1690">
        <v>23231</v>
      </c>
      <c r="I528" s="1690">
        <v>23231</v>
      </c>
      <c r="J528" s="1622"/>
      <c r="K528" s="1747"/>
      <c r="L528" s="1622"/>
      <c r="M528" s="1747"/>
      <c r="N528" s="1622">
        <f>O528</f>
        <v>21000</v>
      </c>
      <c r="O528" s="1648">
        <v>21000</v>
      </c>
      <c r="P528" s="1666">
        <v>21000</v>
      </c>
      <c r="Q528" s="1748">
        <v>21000</v>
      </c>
      <c r="R528" s="1591"/>
      <c r="S528" s="1591">
        <f t="shared" si="273"/>
        <v>0</v>
      </c>
      <c r="T528" s="1665">
        <v>21000</v>
      </c>
      <c r="U528" s="1623">
        <v>21000</v>
      </c>
      <c r="V528" s="1591"/>
      <c r="W528" s="1591"/>
      <c r="X528" s="1665">
        <v>21000</v>
      </c>
      <c r="Y528" s="1623">
        <v>21000</v>
      </c>
      <c r="Z528" s="1665">
        <v>21000</v>
      </c>
      <c r="AA528" s="1623">
        <v>21000</v>
      </c>
      <c r="AB528" s="1623"/>
      <c r="AC528" s="1623"/>
      <c r="AD528" s="1623">
        <f t="shared" si="274"/>
        <v>21000</v>
      </c>
      <c r="AE528" s="1623">
        <f t="shared" si="275"/>
        <v>21000</v>
      </c>
      <c r="AF528" s="1599"/>
      <c r="AG528" s="1009">
        <f t="shared" si="245"/>
        <v>0</v>
      </c>
      <c r="AH528" s="1009">
        <f t="shared" si="222"/>
        <v>1</v>
      </c>
      <c r="AI528" s="1908">
        <f t="shared" si="246"/>
        <v>1</v>
      </c>
    </row>
    <row r="529" spans="1:35" ht="33" hidden="1" x14ac:dyDescent="0.25">
      <c r="A529" s="1677" t="s">
        <v>3429</v>
      </c>
      <c r="B529" s="1677"/>
      <c r="C529" s="1587" t="s">
        <v>1105</v>
      </c>
      <c r="D529" s="1608"/>
      <c r="E529" s="1611" t="s">
        <v>1104</v>
      </c>
      <c r="F529" s="1589" t="s">
        <v>97</v>
      </c>
      <c r="G529" s="1588" t="s">
        <v>1103</v>
      </c>
      <c r="H529" s="1690">
        <f>I529</f>
        <v>9802</v>
      </c>
      <c r="I529" s="1690">
        <v>9802</v>
      </c>
      <c r="J529" s="1622"/>
      <c r="K529" s="1747"/>
      <c r="L529" s="1622"/>
      <c r="M529" s="1747"/>
      <c r="N529" s="1622">
        <f>O529</f>
        <v>12400</v>
      </c>
      <c r="O529" s="1648">
        <v>12400</v>
      </c>
      <c r="P529" s="1666">
        <f>Q529</f>
        <v>9802</v>
      </c>
      <c r="Q529" s="1748">
        <f>I529</f>
        <v>9802</v>
      </c>
      <c r="R529" s="1591"/>
      <c r="S529" s="1591">
        <f t="shared" si="273"/>
        <v>2598</v>
      </c>
      <c r="T529" s="1665">
        <f>U529</f>
        <v>9802</v>
      </c>
      <c r="U529" s="1623">
        <v>9802</v>
      </c>
      <c r="V529" s="1591"/>
      <c r="W529" s="1591"/>
      <c r="X529" s="1665">
        <f>Y529</f>
        <v>9802</v>
      </c>
      <c r="Y529" s="1623">
        <v>9802</v>
      </c>
      <c r="Z529" s="1665">
        <v>9802</v>
      </c>
      <c r="AA529" s="1623">
        <v>9802</v>
      </c>
      <c r="AB529" s="1623"/>
      <c r="AC529" s="1623"/>
      <c r="AD529" s="1623">
        <f t="shared" si="274"/>
        <v>9802</v>
      </c>
      <c r="AE529" s="1623">
        <f t="shared" si="275"/>
        <v>9802</v>
      </c>
      <c r="AF529" s="1580"/>
      <c r="AG529" s="1009">
        <f t="shared" si="245"/>
        <v>0</v>
      </c>
      <c r="AH529" s="1009">
        <f t="shared" si="222"/>
        <v>1</v>
      </c>
      <c r="AI529" s="1908">
        <f t="shared" si="246"/>
        <v>1</v>
      </c>
    </row>
    <row r="530" spans="1:35" ht="105" hidden="1" customHeight="1" x14ac:dyDescent="0.25">
      <c r="A530" s="1677" t="s">
        <v>3430</v>
      </c>
      <c r="B530" s="1677"/>
      <c r="C530" s="1609" t="s">
        <v>1102</v>
      </c>
      <c r="D530" s="1608"/>
      <c r="E530" s="1611" t="s">
        <v>1101</v>
      </c>
      <c r="F530" s="1646" t="s">
        <v>461</v>
      </c>
      <c r="G530" s="1588" t="s">
        <v>1100</v>
      </c>
      <c r="H530" s="1648">
        <f>I530</f>
        <v>7358</v>
      </c>
      <c r="I530" s="1648">
        <v>7358</v>
      </c>
      <c r="J530" s="1622"/>
      <c r="K530" s="1747"/>
      <c r="L530" s="1622"/>
      <c r="M530" s="1747"/>
      <c r="N530" s="1648">
        <v>9700</v>
      </c>
      <c r="O530" s="1648">
        <v>9700</v>
      </c>
      <c r="P530" s="1666">
        <f>Q530</f>
        <v>6880</v>
      </c>
      <c r="Q530" s="1666">
        <v>6880</v>
      </c>
      <c r="R530" s="1591"/>
      <c r="S530" s="1591">
        <f t="shared" si="273"/>
        <v>2820</v>
      </c>
      <c r="T530" s="1665">
        <f>U530</f>
        <v>6880</v>
      </c>
      <c r="U530" s="1665">
        <v>6880</v>
      </c>
      <c r="V530" s="1591"/>
      <c r="W530" s="1591"/>
      <c r="X530" s="1665">
        <f>Y530</f>
        <v>6880</v>
      </c>
      <c r="Y530" s="1665">
        <v>6880</v>
      </c>
      <c r="Z530" s="1665">
        <v>6880</v>
      </c>
      <c r="AA530" s="1665">
        <v>6880</v>
      </c>
      <c r="AB530" s="1665"/>
      <c r="AC530" s="1665"/>
      <c r="AD530" s="1623">
        <f t="shared" si="274"/>
        <v>6880</v>
      </c>
      <c r="AE530" s="1623">
        <f t="shared" si="275"/>
        <v>6880</v>
      </c>
      <c r="AF530" s="1599"/>
      <c r="AG530" s="1009">
        <f t="shared" ref="AG530:AG561" si="276">IF(AE530-AA530=0,0,1)</f>
        <v>0</v>
      </c>
      <c r="AH530" s="1009">
        <f t="shared" si="222"/>
        <v>1</v>
      </c>
      <c r="AI530" s="1908">
        <f t="shared" si="246"/>
        <v>1</v>
      </c>
    </row>
    <row r="531" spans="1:35" ht="82.5" hidden="1" x14ac:dyDescent="0.25">
      <c r="A531" s="1677" t="s">
        <v>3431</v>
      </c>
      <c r="B531" s="1677"/>
      <c r="C531" s="1609" t="s">
        <v>1099</v>
      </c>
      <c r="D531" s="1608"/>
      <c r="E531" s="1611" t="s">
        <v>1098</v>
      </c>
      <c r="F531" s="1646" t="s">
        <v>461</v>
      </c>
      <c r="G531" s="1588" t="s">
        <v>1097</v>
      </c>
      <c r="H531" s="1648">
        <v>9377</v>
      </c>
      <c r="I531" s="1648">
        <v>9377</v>
      </c>
      <c r="J531" s="1622"/>
      <c r="K531" s="1747"/>
      <c r="L531" s="1622"/>
      <c r="M531" s="1747"/>
      <c r="N531" s="1648">
        <f>O531</f>
        <v>8000</v>
      </c>
      <c r="O531" s="1648">
        <v>8000</v>
      </c>
      <c r="P531" s="1666">
        <f>Q531</f>
        <v>6500</v>
      </c>
      <c r="Q531" s="1666">
        <v>6500</v>
      </c>
      <c r="R531" s="1591"/>
      <c r="S531" s="1591">
        <f t="shared" si="273"/>
        <v>1500</v>
      </c>
      <c r="T531" s="1665">
        <f>U531</f>
        <v>6500</v>
      </c>
      <c r="U531" s="1665">
        <v>6500</v>
      </c>
      <c r="V531" s="1591"/>
      <c r="W531" s="1591"/>
      <c r="X531" s="1665">
        <f>Y531</f>
        <v>6500</v>
      </c>
      <c r="Y531" s="1665">
        <v>6500</v>
      </c>
      <c r="Z531" s="1665">
        <v>6500</v>
      </c>
      <c r="AA531" s="1665">
        <v>6500</v>
      </c>
      <c r="AB531" s="1665"/>
      <c r="AC531" s="1665"/>
      <c r="AD531" s="1623">
        <f t="shared" si="274"/>
        <v>6500</v>
      </c>
      <c r="AE531" s="1623">
        <f t="shared" si="275"/>
        <v>6500</v>
      </c>
      <c r="AF531" s="1599"/>
      <c r="AG531" s="1009">
        <f t="shared" si="276"/>
        <v>0</v>
      </c>
      <c r="AH531" s="1009">
        <f t="shared" si="222"/>
        <v>1</v>
      </c>
      <c r="AI531" s="1908">
        <f t="shared" si="246"/>
        <v>1</v>
      </c>
    </row>
    <row r="532" spans="1:35" ht="33" hidden="1" x14ac:dyDescent="0.25">
      <c r="A532" s="1677" t="s">
        <v>3432</v>
      </c>
      <c r="B532" s="1677"/>
      <c r="C532" s="1609" t="s">
        <v>1095</v>
      </c>
      <c r="D532" s="1608"/>
      <c r="E532" s="1611" t="s">
        <v>1094</v>
      </c>
      <c r="F532" s="1646" t="s">
        <v>290</v>
      </c>
      <c r="G532" s="1646"/>
      <c r="H532" s="1612">
        <v>12760</v>
      </c>
      <c r="I532" s="1612">
        <v>12760</v>
      </c>
      <c r="J532" s="1622"/>
      <c r="K532" s="1747"/>
      <c r="L532" s="1622"/>
      <c r="M532" s="1747"/>
      <c r="N532" s="1648">
        <v>9200</v>
      </c>
      <c r="O532" s="1648">
        <v>9200</v>
      </c>
      <c r="P532" s="1666"/>
      <c r="Q532" s="1666"/>
      <c r="R532" s="1591"/>
      <c r="S532" s="1591">
        <f t="shared" si="273"/>
        <v>9200</v>
      </c>
      <c r="T532" s="1665"/>
      <c r="U532" s="1665"/>
      <c r="V532" s="1591"/>
      <c r="W532" s="1591"/>
      <c r="X532" s="1665"/>
      <c r="Y532" s="1665"/>
      <c r="Z532" s="1665">
        <v>0</v>
      </c>
      <c r="AA532" s="1665">
        <v>0</v>
      </c>
      <c r="AB532" s="1665"/>
      <c r="AC532" s="1665"/>
      <c r="AD532" s="1623">
        <f t="shared" si="274"/>
        <v>0</v>
      </c>
      <c r="AE532" s="1623">
        <f t="shared" si="275"/>
        <v>0</v>
      </c>
      <c r="AF532" s="1580"/>
      <c r="AG532" s="1009">
        <f t="shared" si="276"/>
        <v>0</v>
      </c>
      <c r="AH532" s="1009">
        <f t="shared" si="222"/>
        <v>0</v>
      </c>
      <c r="AI532" s="1908">
        <f t="shared" si="246"/>
        <v>1</v>
      </c>
    </row>
    <row r="533" spans="1:35" ht="36" hidden="1" customHeight="1" x14ac:dyDescent="0.25">
      <c r="A533" s="1677" t="s">
        <v>3433</v>
      </c>
      <c r="B533" s="1677"/>
      <c r="C533" s="1609" t="s">
        <v>1093</v>
      </c>
      <c r="D533" s="1608"/>
      <c r="E533" s="1611" t="s">
        <v>1092</v>
      </c>
      <c r="F533" s="1646" t="s">
        <v>290</v>
      </c>
      <c r="G533" s="1646"/>
      <c r="H533" s="1612">
        <v>10000</v>
      </c>
      <c r="I533" s="1612">
        <v>10000</v>
      </c>
      <c r="J533" s="1622"/>
      <c r="K533" s="1747"/>
      <c r="L533" s="1622"/>
      <c r="M533" s="1747"/>
      <c r="N533" s="1648">
        <v>9000</v>
      </c>
      <c r="O533" s="1648">
        <v>9000</v>
      </c>
      <c r="P533" s="1666"/>
      <c r="Q533" s="1666"/>
      <c r="R533" s="1591"/>
      <c r="S533" s="1591">
        <f t="shared" si="273"/>
        <v>9000</v>
      </c>
      <c r="T533" s="1665"/>
      <c r="U533" s="1665"/>
      <c r="V533" s="1591"/>
      <c r="W533" s="1591"/>
      <c r="X533" s="1665"/>
      <c r="Y533" s="1665"/>
      <c r="Z533" s="1665">
        <v>0</v>
      </c>
      <c r="AA533" s="1665">
        <v>0</v>
      </c>
      <c r="AB533" s="1665"/>
      <c r="AC533" s="1665"/>
      <c r="AD533" s="1623">
        <f t="shared" si="274"/>
        <v>0</v>
      </c>
      <c r="AE533" s="1623">
        <f t="shared" si="275"/>
        <v>0</v>
      </c>
      <c r="AF533" s="1580"/>
      <c r="AG533" s="1009">
        <f t="shared" si="276"/>
        <v>0</v>
      </c>
      <c r="AH533" s="1009">
        <f t="shared" si="222"/>
        <v>0</v>
      </c>
      <c r="AI533" s="1908">
        <f t="shared" si="246"/>
        <v>1</v>
      </c>
    </row>
    <row r="534" spans="1:35" ht="33" hidden="1" x14ac:dyDescent="0.25">
      <c r="A534" s="1677" t="s">
        <v>3434</v>
      </c>
      <c r="B534" s="1677"/>
      <c r="C534" s="1609" t="s">
        <v>1091</v>
      </c>
      <c r="D534" s="1608"/>
      <c r="E534" s="1611" t="s">
        <v>1090</v>
      </c>
      <c r="F534" s="1646" t="s">
        <v>290</v>
      </c>
      <c r="G534" s="1646"/>
      <c r="H534" s="1612">
        <v>4000</v>
      </c>
      <c r="I534" s="1612">
        <v>4000</v>
      </c>
      <c r="J534" s="1622"/>
      <c r="K534" s="1747"/>
      <c r="L534" s="1622"/>
      <c r="M534" s="1747"/>
      <c r="N534" s="1648">
        <v>3600</v>
      </c>
      <c r="O534" s="1648">
        <v>3600</v>
      </c>
      <c r="P534" s="1666"/>
      <c r="Q534" s="1666"/>
      <c r="R534" s="1591"/>
      <c r="S534" s="1591">
        <f t="shared" si="273"/>
        <v>3600</v>
      </c>
      <c r="T534" s="1665"/>
      <c r="U534" s="1665"/>
      <c r="V534" s="1591"/>
      <c r="W534" s="1591"/>
      <c r="X534" s="1665"/>
      <c r="Y534" s="1665"/>
      <c r="Z534" s="1665">
        <v>0</v>
      </c>
      <c r="AA534" s="1665">
        <v>0</v>
      </c>
      <c r="AB534" s="1665"/>
      <c r="AC534" s="1665"/>
      <c r="AD534" s="1623">
        <f t="shared" si="274"/>
        <v>0</v>
      </c>
      <c r="AE534" s="1623">
        <f t="shared" si="275"/>
        <v>0</v>
      </c>
      <c r="AF534" s="1580"/>
      <c r="AG534" s="1009">
        <f t="shared" si="276"/>
        <v>0</v>
      </c>
      <c r="AH534" s="1009">
        <f t="shared" si="222"/>
        <v>0</v>
      </c>
      <c r="AI534" s="1908">
        <f t="shared" si="246"/>
        <v>1</v>
      </c>
    </row>
    <row r="535" spans="1:35" ht="52.5" hidden="1" customHeight="1" x14ac:dyDescent="0.25">
      <c r="A535" s="1677" t="s">
        <v>3435</v>
      </c>
      <c r="B535" s="1677" t="s">
        <v>2957</v>
      </c>
      <c r="C535" s="1609" t="s">
        <v>1089</v>
      </c>
      <c r="D535" s="1608" t="s">
        <v>1088</v>
      </c>
      <c r="E535" s="1611" t="s">
        <v>1087</v>
      </c>
      <c r="F535" s="1646" t="s">
        <v>116</v>
      </c>
      <c r="G535" s="1646"/>
      <c r="H535" s="1612">
        <f>I535</f>
        <v>33000</v>
      </c>
      <c r="I535" s="1612">
        <v>33000</v>
      </c>
      <c r="J535" s="1622"/>
      <c r="K535" s="1747"/>
      <c r="L535" s="1622"/>
      <c r="M535" s="1747"/>
      <c r="N535" s="1648"/>
      <c r="O535" s="1648"/>
      <c r="P535" s="1666">
        <f>Q535</f>
        <v>28933</v>
      </c>
      <c r="Q535" s="1666">
        <v>28933</v>
      </c>
      <c r="R535" s="1591">
        <v>28933</v>
      </c>
      <c r="S535" s="1591"/>
      <c r="T535" s="1665">
        <f>U535</f>
        <v>28933</v>
      </c>
      <c r="U535" s="1665">
        <v>28933</v>
      </c>
      <c r="V535" s="1591"/>
      <c r="W535" s="1591"/>
      <c r="X535" s="1665">
        <f>Y535</f>
        <v>28933</v>
      </c>
      <c r="Y535" s="1665">
        <v>28933</v>
      </c>
      <c r="Z535" s="1665">
        <v>24645</v>
      </c>
      <c r="AA535" s="1665">
        <v>24645</v>
      </c>
      <c r="AB535" s="1665"/>
      <c r="AC535" s="1666"/>
      <c r="AD535" s="1623">
        <f t="shared" si="274"/>
        <v>24645</v>
      </c>
      <c r="AE535" s="1623">
        <f t="shared" si="275"/>
        <v>24645</v>
      </c>
      <c r="AF535" s="1580"/>
      <c r="AG535" s="1009">
        <f t="shared" si="276"/>
        <v>0</v>
      </c>
      <c r="AH535" s="1009">
        <f t="shared" si="222"/>
        <v>1</v>
      </c>
      <c r="AI535" s="1908">
        <f t="shared" si="246"/>
        <v>1</v>
      </c>
    </row>
    <row r="536" spans="1:35" ht="49.5" hidden="1" x14ac:dyDescent="0.25">
      <c r="A536" s="1677" t="s">
        <v>3436</v>
      </c>
      <c r="B536" s="1677"/>
      <c r="C536" s="1609" t="s">
        <v>2527</v>
      </c>
      <c r="D536" s="1608" t="s">
        <v>1088</v>
      </c>
      <c r="E536" s="1611" t="s">
        <v>2715</v>
      </c>
      <c r="F536" s="1646" t="s">
        <v>290</v>
      </c>
      <c r="G536" s="1610" t="s">
        <v>2603</v>
      </c>
      <c r="H536" s="1612">
        <f>I536</f>
        <v>17991</v>
      </c>
      <c r="I536" s="1612">
        <v>17991</v>
      </c>
      <c r="J536" s="1622"/>
      <c r="K536" s="1747"/>
      <c r="L536" s="1622"/>
      <c r="M536" s="1747"/>
      <c r="N536" s="1648"/>
      <c r="O536" s="1648"/>
      <c r="P536" s="1666"/>
      <c r="Q536" s="1666"/>
      <c r="R536" s="1591"/>
      <c r="S536" s="1591"/>
      <c r="T536" s="1665"/>
      <c r="U536" s="1665"/>
      <c r="V536" s="1591">
        <v>14400</v>
      </c>
      <c r="W536" s="1591"/>
      <c r="X536" s="1665">
        <f t="shared" ref="X536:X540" si="277">Y536</f>
        <v>14400</v>
      </c>
      <c r="Y536" s="1665">
        <f t="shared" ref="Y536:Y540" si="278">V536</f>
        <v>14400</v>
      </c>
      <c r="Z536" s="1665">
        <v>14400</v>
      </c>
      <c r="AA536" s="1665">
        <v>14400</v>
      </c>
      <c r="AB536" s="1665"/>
      <c r="AC536" s="1665"/>
      <c r="AD536" s="1623">
        <f t="shared" si="274"/>
        <v>14400</v>
      </c>
      <c r="AE536" s="1623">
        <f t="shared" si="275"/>
        <v>14400</v>
      </c>
      <c r="AF536" s="1580"/>
      <c r="AG536" s="1009">
        <f t="shared" si="276"/>
        <v>0</v>
      </c>
      <c r="AH536" s="1009">
        <f t="shared" si="222"/>
        <v>1</v>
      </c>
      <c r="AI536" s="1908">
        <f t="shared" si="246"/>
        <v>1</v>
      </c>
    </row>
    <row r="537" spans="1:35" ht="36.75" hidden="1" customHeight="1" x14ac:dyDescent="0.25">
      <c r="A537" s="1677" t="s">
        <v>3437</v>
      </c>
      <c r="B537" s="1677"/>
      <c r="C537" s="1609" t="s">
        <v>2212</v>
      </c>
      <c r="D537" s="1608" t="s">
        <v>2214</v>
      </c>
      <c r="E537" s="1611" t="s">
        <v>2216</v>
      </c>
      <c r="F537" s="1646" t="s">
        <v>290</v>
      </c>
      <c r="G537" s="1646"/>
      <c r="H537" s="1612">
        <f t="shared" ref="H537:H540" si="279">I537</f>
        <v>3487</v>
      </c>
      <c r="I537" s="1612">
        <v>3487</v>
      </c>
      <c r="J537" s="1622"/>
      <c r="K537" s="1747"/>
      <c r="L537" s="1622"/>
      <c r="M537" s="1747"/>
      <c r="N537" s="1648"/>
      <c r="O537" s="1648"/>
      <c r="P537" s="1666"/>
      <c r="Q537" s="1666"/>
      <c r="R537" s="1591"/>
      <c r="S537" s="1591"/>
      <c r="T537" s="1665"/>
      <c r="U537" s="1665"/>
      <c r="V537" s="1591">
        <v>2800</v>
      </c>
      <c r="W537" s="1591"/>
      <c r="X537" s="1665">
        <f t="shared" si="277"/>
        <v>2800</v>
      </c>
      <c r="Y537" s="1665">
        <f t="shared" si="278"/>
        <v>2800</v>
      </c>
      <c r="Z537" s="1665">
        <v>2800</v>
      </c>
      <c r="AA537" s="1665">
        <v>2800</v>
      </c>
      <c r="AB537" s="1665"/>
      <c r="AC537" s="1665"/>
      <c r="AD537" s="1623">
        <f t="shared" si="274"/>
        <v>2800</v>
      </c>
      <c r="AE537" s="1623">
        <f t="shared" si="275"/>
        <v>2800</v>
      </c>
      <c r="AF537" s="1580"/>
      <c r="AG537" s="1009">
        <f t="shared" si="276"/>
        <v>0</v>
      </c>
      <c r="AH537" s="1009">
        <f t="shared" si="222"/>
        <v>1</v>
      </c>
      <c r="AI537" s="1908">
        <f t="shared" si="246"/>
        <v>1</v>
      </c>
    </row>
    <row r="538" spans="1:35" ht="66" hidden="1" x14ac:dyDescent="0.25">
      <c r="A538" s="1677" t="s">
        <v>3438</v>
      </c>
      <c r="B538" s="1677" t="s">
        <v>2958</v>
      </c>
      <c r="C538" s="1609" t="s">
        <v>2369</v>
      </c>
      <c r="D538" s="1608" t="s">
        <v>2372</v>
      </c>
      <c r="E538" s="1611" t="s">
        <v>2376</v>
      </c>
      <c r="F538" s="1646" t="s">
        <v>290</v>
      </c>
      <c r="G538" s="1646"/>
      <c r="H538" s="1612">
        <f t="shared" si="279"/>
        <v>12600</v>
      </c>
      <c r="I538" s="1612">
        <v>12600</v>
      </c>
      <c r="J538" s="1622"/>
      <c r="K538" s="1747"/>
      <c r="L538" s="1622"/>
      <c r="M538" s="1747"/>
      <c r="N538" s="1648"/>
      <c r="O538" s="1648"/>
      <c r="P538" s="1666"/>
      <c r="Q538" s="1666"/>
      <c r="R538" s="1591"/>
      <c r="S538" s="1591"/>
      <c r="T538" s="1665"/>
      <c r="U538" s="1665"/>
      <c r="V538" s="1591">
        <v>10080</v>
      </c>
      <c r="W538" s="1591"/>
      <c r="X538" s="1665">
        <f t="shared" si="277"/>
        <v>10080</v>
      </c>
      <c r="Y538" s="1665">
        <f t="shared" si="278"/>
        <v>10080</v>
      </c>
      <c r="Z538" s="1665">
        <v>8546</v>
      </c>
      <c r="AA538" s="1665">
        <v>8546</v>
      </c>
      <c r="AB538" s="1665"/>
      <c r="AC538" s="1666"/>
      <c r="AD538" s="1623">
        <f t="shared" si="274"/>
        <v>8546</v>
      </c>
      <c r="AE538" s="1623">
        <f t="shared" si="275"/>
        <v>8546</v>
      </c>
      <c r="AF538" s="1580"/>
      <c r="AG538" s="1009">
        <f t="shared" si="276"/>
        <v>0</v>
      </c>
      <c r="AH538" s="1009">
        <f t="shared" si="222"/>
        <v>1</v>
      </c>
      <c r="AI538" s="1908">
        <f t="shared" si="246"/>
        <v>1</v>
      </c>
    </row>
    <row r="539" spans="1:35" ht="30.75" hidden="1" customHeight="1" x14ac:dyDescent="0.25">
      <c r="A539" s="1677" t="s">
        <v>3439</v>
      </c>
      <c r="B539" s="1677" t="s">
        <v>3428</v>
      </c>
      <c r="C539" s="1609" t="s">
        <v>2370</v>
      </c>
      <c r="D539" s="1608" t="s">
        <v>2373</v>
      </c>
      <c r="E539" s="1611" t="s">
        <v>2374</v>
      </c>
      <c r="F539" s="1646" t="s">
        <v>290</v>
      </c>
      <c r="G539" s="1646"/>
      <c r="H539" s="1612">
        <f t="shared" si="279"/>
        <v>13000</v>
      </c>
      <c r="I539" s="1612">
        <v>13000</v>
      </c>
      <c r="J539" s="1622"/>
      <c r="K539" s="1747"/>
      <c r="L539" s="1622"/>
      <c r="M539" s="1747"/>
      <c r="N539" s="1648"/>
      <c r="O539" s="1648"/>
      <c r="P539" s="1666"/>
      <c r="Q539" s="1666"/>
      <c r="R539" s="1591"/>
      <c r="S539" s="1591"/>
      <c r="T539" s="1665"/>
      <c r="U539" s="1665"/>
      <c r="V539" s="1591">
        <v>10400</v>
      </c>
      <c r="W539" s="1591"/>
      <c r="X539" s="1665">
        <f t="shared" si="277"/>
        <v>10400</v>
      </c>
      <c r="Y539" s="1665">
        <f t="shared" si="278"/>
        <v>10400</v>
      </c>
      <c r="Z539" s="1665">
        <v>6521</v>
      </c>
      <c r="AA539" s="1665">
        <v>6521</v>
      </c>
      <c r="AB539" s="1665"/>
      <c r="AC539" s="1666"/>
      <c r="AD539" s="1623">
        <f t="shared" si="274"/>
        <v>6521</v>
      </c>
      <c r="AE539" s="1623">
        <f t="shared" si="275"/>
        <v>6521</v>
      </c>
      <c r="AF539" s="1580"/>
      <c r="AG539" s="1009">
        <f t="shared" si="276"/>
        <v>0</v>
      </c>
      <c r="AH539" s="1009">
        <f t="shared" si="222"/>
        <v>1</v>
      </c>
      <c r="AI539" s="1908">
        <f t="shared" si="246"/>
        <v>1</v>
      </c>
    </row>
    <row r="540" spans="1:35" ht="33" hidden="1" x14ac:dyDescent="0.25">
      <c r="A540" s="1677" t="s">
        <v>3440</v>
      </c>
      <c r="B540" s="1677" t="s">
        <v>3429</v>
      </c>
      <c r="C540" s="1609" t="s">
        <v>2371</v>
      </c>
      <c r="D540" s="1608" t="s">
        <v>2372</v>
      </c>
      <c r="E540" s="1611" t="s">
        <v>2375</v>
      </c>
      <c r="F540" s="1646" t="s">
        <v>290</v>
      </c>
      <c r="G540" s="1646"/>
      <c r="H540" s="1612">
        <f t="shared" si="279"/>
        <v>8400</v>
      </c>
      <c r="I540" s="1612">
        <v>8400</v>
      </c>
      <c r="J540" s="1622"/>
      <c r="K540" s="1747"/>
      <c r="L540" s="1622"/>
      <c r="M540" s="1747"/>
      <c r="N540" s="1648"/>
      <c r="O540" s="1648"/>
      <c r="P540" s="1666"/>
      <c r="Q540" s="1666"/>
      <c r="R540" s="1591"/>
      <c r="S540" s="1591"/>
      <c r="T540" s="1665"/>
      <c r="U540" s="1665"/>
      <c r="V540" s="1591">
        <v>6720</v>
      </c>
      <c r="W540" s="1591"/>
      <c r="X540" s="1665">
        <f t="shared" si="277"/>
        <v>6720</v>
      </c>
      <c r="Y540" s="1665">
        <f t="shared" si="278"/>
        <v>6720</v>
      </c>
      <c r="Z540" s="1665">
        <v>4467</v>
      </c>
      <c r="AA540" s="1665">
        <v>4467</v>
      </c>
      <c r="AB540" s="1665"/>
      <c r="AC540" s="1666"/>
      <c r="AD540" s="1623">
        <f t="shared" si="274"/>
        <v>4467</v>
      </c>
      <c r="AE540" s="1623">
        <f t="shared" si="275"/>
        <v>4467</v>
      </c>
      <c r="AF540" s="1580"/>
      <c r="AG540" s="1009">
        <f t="shared" si="276"/>
        <v>0</v>
      </c>
      <c r="AH540" s="1009">
        <f t="shared" si="222"/>
        <v>1</v>
      </c>
      <c r="AI540" s="1908">
        <f t="shared" si="246"/>
        <v>1</v>
      </c>
    </row>
    <row r="541" spans="1:35" ht="34.5" hidden="1" x14ac:dyDescent="0.25">
      <c r="A541" s="1601" t="s">
        <v>3441</v>
      </c>
      <c r="B541" s="1601"/>
      <c r="C541" s="1602" t="s">
        <v>1011</v>
      </c>
      <c r="D541" s="1608"/>
      <c r="E541" s="1611"/>
      <c r="F541" s="1646"/>
      <c r="G541" s="1646"/>
      <c r="H541" s="1604">
        <f>H543</f>
        <v>29996</v>
      </c>
      <c r="I541" s="1604">
        <f>SUM(I542:I543)</f>
        <v>65488</v>
      </c>
      <c r="J541" s="1604"/>
      <c r="K541" s="1604"/>
      <c r="L541" s="1604"/>
      <c r="M541" s="1604"/>
      <c r="N541" s="1604"/>
      <c r="O541" s="1604"/>
      <c r="P541" s="1604"/>
      <c r="Q541" s="1604"/>
      <c r="R541" s="1604"/>
      <c r="S541" s="1604"/>
      <c r="T541" s="1604"/>
      <c r="U541" s="1604"/>
      <c r="V541" s="1604">
        <f t="shared" ref="V541:X541" si="280">SUM(V542:V543)</f>
        <v>27200</v>
      </c>
      <c r="W541" s="1604">
        <f t="shared" si="280"/>
        <v>0</v>
      </c>
      <c r="X541" s="1604">
        <f t="shared" si="280"/>
        <v>27200</v>
      </c>
      <c r="Y541" s="1604">
        <f>SUM(Y542:Y543)</f>
        <v>27200</v>
      </c>
      <c r="Z541" s="1604">
        <v>27200</v>
      </c>
      <c r="AA541" s="1604">
        <v>27200</v>
      </c>
      <c r="AB541" s="1604"/>
      <c r="AC541" s="1604"/>
      <c r="AD541" s="1604">
        <f t="shared" ref="AD541" si="281">SUM(AD542:AD543)</f>
        <v>27200</v>
      </c>
      <c r="AE541" s="1604">
        <f>SUM(AE542:AE543)</f>
        <v>27200</v>
      </c>
      <c r="AF541" s="1580"/>
      <c r="AG541" s="1009">
        <f t="shared" si="276"/>
        <v>0</v>
      </c>
      <c r="AH541" s="1009">
        <f t="shared" si="222"/>
        <v>1</v>
      </c>
      <c r="AI541" s="1908">
        <f t="shared" si="246"/>
        <v>1</v>
      </c>
    </row>
    <row r="542" spans="1:35" ht="55.5" hidden="1" customHeight="1" x14ac:dyDescent="0.25">
      <c r="A542" s="1818" t="s">
        <v>3442</v>
      </c>
      <c r="B542" s="1601"/>
      <c r="C542" s="1609" t="s">
        <v>2213</v>
      </c>
      <c r="D542" s="1608" t="s">
        <v>2215</v>
      </c>
      <c r="E542" s="1611" t="s">
        <v>2716</v>
      </c>
      <c r="F542" s="1646" t="s">
        <v>168</v>
      </c>
      <c r="G542" s="1610" t="s">
        <v>2601</v>
      </c>
      <c r="H542" s="1612">
        <f t="shared" ref="H542" si="282">I542</f>
        <v>35492</v>
      </c>
      <c r="I542" s="1612">
        <v>35492</v>
      </c>
      <c r="J542" s="1604"/>
      <c r="K542" s="1604"/>
      <c r="L542" s="1604"/>
      <c r="M542" s="1604"/>
      <c r="N542" s="1604"/>
      <c r="O542" s="1604"/>
      <c r="P542" s="1604"/>
      <c r="Q542" s="1604"/>
      <c r="R542" s="1604"/>
      <c r="S542" s="1604"/>
      <c r="T542" s="1604"/>
      <c r="U542" s="1604"/>
      <c r="V542" s="1591">
        <v>12400</v>
      </c>
      <c r="W542" s="1591"/>
      <c r="X542" s="1665">
        <v>12400</v>
      </c>
      <c r="Y542" s="1665">
        <v>12400</v>
      </c>
      <c r="Z542" s="1665">
        <v>12400</v>
      </c>
      <c r="AA542" s="1665">
        <v>12400</v>
      </c>
      <c r="AB542" s="1665"/>
      <c r="AC542" s="1665"/>
      <c r="AD542" s="1623">
        <f t="shared" ref="AD542:AD543" si="283">AE542</f>
        <v>12400</v>
      </c>
      <c r="AE542" s="1623">
        <f>AA542+AB542+AC542</f>
        <v>12400</v>
      </c>
      <c r="AF542" s="1580"/>
      <c r="AG542" s="1009">
        <f t="shared" si="276"/>
        <v>0</v>
      </c>
      <c r="AH542" s="1009">
        <f t="shared" si="222"/>
        <v>1</v>
      </c>
      <c r="AI542" s="1908">
        <f t="shared" si="246"/>
        <v>1</v>
      </c>
    </row>
    <row r="543" spans="1:35" ht="55.5" hidden="1" customHeight="1" x14ac:dyDescent="0.25">
      <c r="A543" s="1818" t="s">
        <v>3443</v>
      </c>
      <c r="B543" s="1677"/>
      <c r="C543" s="1609" t="s">
        <v>2211</v>
      </c>
      <c r="D543" s="1608" t="s">
        <v>1088</v>
      </c>
      <c r="E543" s="1611" t="s">
        <v>1087</v>
      </c>
      <c r="F543" s="1646" t="s">
        <v>1354</v>
      </c>
      <c r="G543" s="1610" t="s">
        <v>2600</v>
      </c>
      <c r="H543" s="1612">
        <f>I543</f>
        <v>29996</v>
      </c>
      <c r="I543" s="1612">
        <v>29996</v>
      </c>
      <c r="J543" s="1622"/>
      <c r="K543" s="1747"/>
      <c r="L543" s="1622"/>
      <c r="M543" s="1747"/>
      <c r="N543" s="1648"/>
      <c r="O543" s="1648"/>
      <c r="P543" s="1666"/>
      <c r="Q543" s="1666"/>
      <c r="R543" s="1591"/>
      <c r="S543" s="1591"/>
      <c r="T543" s="1665"/>
      <c r="U543" s="1665"/>
      <c r="V543" s="1591">
        <v>14800</v>
      </c>
      <c r="W543" s="1591"/>
      <c r="X543" s="1819">
        <f>Y543</f>
        <v>14800</v>
      </c>
      <c r="Y543" s="1819">
        <f>V543</f>
        <v>14800</v>
      </c>
      <c r="Z543" s="1819">
        <v>14800</v>
      </c>
      <c r="AA543" s="1819">
        <v>14800</v>
      </c>
      <c r="AB543" s="1819"/>
      <c r="AC543" s="1819"/>
      <c r="AD543" s="1623">
        <f t="shared" si="283"/>
        <v>14800</v>
      </c>
      <c r="AE543" s="1623">
        <f>AA543+AB543+AC543</f>
        <v>14800</v>
      </c>
      <c r="AF543" s="1580"/>
      <c r="AG543" s="1009">
        <f t="shared" si="276"/>
        <v>0</v>
      </c>
      <c r="AH543" s="1009">
        <f t="shared" si="222"/>
        <v>1</v>
      </c>
      <c r="AI543" s="1908">
        <f t="shared" si="246"/>
        <v>1</v>
      </c>
    </row>
    <row r="544" spans="1:35" ht="24.75" hidden="1" customHeight="1" x14ac:dyDescent="0.25">
      <c r="A544" s="1576">
        <v>6</v>
      </c>
      <c r="B544" s="1576">
        <v>6</v>
      </c>
      <c r="C544" s="1675" t="s">
        <v>1086</v>
      </c>
      <c r="D544" s="1616"/>
      <c r="E544" s="1669"/>
      <c r="F544" s="1669"/>
      <c r="G544" s="1669"/>
      <c r="H544" s="1685">
        <f t="shared" ref="H544:T544" si="284">H545+H552</f>
        <v>237908</v>
      </c>
      <c r="I544" s="1685">
        <f t="shared" si="284"/>
        <v>237908</v>
      </c>
      <c r="J544" s="1685">
        <f t="shared" si="284"/>
        <v>18500</v>
      </c>
      <c r="K544" s="1685">
        <f t="shared" si="284"/>
        <v>18500</v>
      </c>
      <c r="L544" s="1685">
        <f t="shared" si="284"/>
        <v>18500</v>
      </c>
      <c r="M544" s="1685">
        <f t="shared" si="284"/>
        <v>18500</v>
      </c>
      <c r="N544" s="1685">
        <f t="shared" si="284"/>
        <v>80000</v>
      </c>
      <c r="O544" s="1685">
        <f t="shared" si="284"/>
        <v>80000</v>
      </c>
      <c r="P544" s="1685">
        <f t="shared" si="284"/>
        <v>80000</v>
      </c>
      <c r="Q544" s="1685">
        <f t="shared" si="284"/>
        <v>80000</v>
      </c>
      <c r="R544" s="1685">
        <f t="shared" si="284"/>
        <v>12575</v>
      </c>
      <c r="S544" s="1685">
        <f t="shared" si="284"/>
        <v>12575</v>
      </c>
      <c r="T544" s="1685">
        <f t="shared" si="284"/>
        <v>95000</v>
      </c>
      <c r="U544" s="1685">
        <f>U545+U552</f>
        <v>80000</v>
      </c>
      <c r="V544" s="1685">
        <f t="shared" ref="V544:X544" si="285">V545+V552</f>
        <v>44600</v>
      </c>
      <c r="W544" s="1683">
        <f t="shared" si="285"/>
        <v>0</v>
      </c>
      <c r="X544" s="1685">
        <f t="shared" si="285"/>
        <v>139600</v>
      </c>
      <c r="Y544" s="1685">
        <f>Y545+Y552</f>
        <v>124600</v>
      </c>
      <c r="Z544" s="1685">
        <v>132597</v>
      </c>
      <c r="AA544" s="1685">
        <v>116988</v>
      </c>
      <c r="AB544" s="1685"/>
      <c r="AC544" s="1685"/>
      <c r="AD544" s="1685">
        <f t="shared" ref="AD544" si="286">AD545+AD552</f>
        <v>132597</v>
      </c>
      <c r="AE544" s="1685">
        <f>AE545+AE552</f>
        <v>116988</v>
      </c>
      <c r="AF544" s="1608"/>
      <c r="AG544" s="1009">
        <f t="shared" si="276"/>
        <v>0</v>
      </c>
      <c r="AH544" s="1009">
        <f t="shared" si="222"/>
        <v>1</v>
      </c>
      <c r="AI544" s="1908">
        <f t="shared" si="246"/>
        <v>1</v>
      </c>
    </row>
    <row r="545" spans="1:35" ht="57.75" hidden="1" customHeight="1" x14ac:dyDescent="0.25">
      <c r="A545" s="1600" t="s">
        <v>2977</v>
      </c>
      <c r="B545" s="1600"/>
      <c r="C545" s="1602" t="s">
        <v>46</v>
      </c>
      <c r="D545" s="1603"/>
      <c r="E545" s="1603"/>
      <c r="F545" s="1603"/>
      <c r="G545" s="1603"/>
      <c r="H545" s="1604">
        <f t="shared" ref="H545:Y545" si="287">H546</f>
        <v>51169</v>
      </c>
      <c r="I545" s="1604">
        <f t="shared" si="287"/>
        <v>51169</v>
      </c>
      <c r="J545" s="1604">
        <f t="shared" si="287"/>
        <v>18500</v>
      </c>
      <c r="K545" s="1604">
        <f t="shared" si="287"/>
        <v>18500</v>
      </c>
      <c r="L545" s="1604">
        <f t="shared" si="287"/>
        <v>18500</v>
      </c>
      <c r="M545" s="1604">
        <f t="shared" si="287"/>
        <v>18500</v>
      </c>
      <c r="N545" s="1604">
        <f t="shared" si="287"/>
        <v>17010</v>
      </c>
      <c r="O545" s="1604">
        <f t="shared" si="287"/>
        <v>17010</v>
      </c>
      <c r="P545" s="1604">
        <f t="shared" si="287"/>
        <v>16910</v>
      </c>
      <c r="Q545" s="1604">
        <f t="shared" si="287"/>
        <v>16910</v>
      </c>
      <c r="R545" s="1604">
        <f t="shared" si="287"/>
        <v>0</v>
      </c>
      <c r="S545" s="1604">
        <f t="shared" si="287"/>
        <v>100</v>
      </c>
      <c r="T545" s="1604">
        <f t="shared" si="287"/>
        <v>16910</v>
      </c>
      <c r="U545" s="1604">
        <f t="shared" si="287"/>
        <v>16910</v>
      </c>
      <c r="V545" s="1604">
        <f t="shared" si="287"/>
        <v>0</v>
      </c>
      <c r="W545" s="1604">
        <f t="shared" si="287"/>
        <v>0</v>
      </c>
      <c r="X545" s="1604">
        <f t="shared" si="287"/>
        <v>16910</v>
      </c>
      <c r="Y545" s="1604">
        <f t="shared" si="287"/>
        <v>16910</v>
      </c>
      <c r="Z545" s="1604">
        <v>16910</v>
      </c>
      <c r="AA545" s="1604">
        <v>16910</v>
      </c>
      <c r="AB545" s="1604"/>
      <c r="AC545" s="1604"/>
      <c r="AD545" s="1604">
        <f t="shared" ref="AD545:AE545" si="288">AD546</f>
        <v>16910</v>
      </c>
      <c r="AE545" s="1604">
        <f t="shared" si="288"/>
        <v>16910</v>
      </c>
      <c r="AF545" s="1599"/>
      <c r="AG545" s="1009">
        <f t="shared" si="276"/>
        <v>0</v>
      </c>
      <c r="AH545" s="1009">
        <f t="shared" si="222"/>
        <v>1</v>
      </c>
      <c r="AI545" s="1908">
        <f t="shared" si="246"/>
        <v>1</v>
      </c>
    </row>
    <row r="546" spans="1:35" ht="39.75" hidden="1" customHeight="1" x14ac:dyDescent="0.25">
      <c r="A546" s="1601"/>
      <c r="B546" s="1601"/>
      <c r="C546" s="1602" t="s">
        <v>48</v>
      </c>
      <c r="D546" s="1603"/>
      <c r="E546" s="1603"/>
      <c r="F546" s="1603"/>
      <c r="G546" s="1603"/>
      <c r="H546" s="1604">
        <f t="shared" ref="H546:X546" si="289">SUM(H549:H551)</f>
        <v>51169</v>
      </c>
      <c r="I546" s="1604">
        <f t="shared" si="289"/>
        <v>51169</v>
      </c>
      <c r="J546" s="1604">
        <f t="shared" si="289"/>
        <v>18500</v>
      </c>
      <c r="K546" s="1604">
        <f t="shared" si="289"/>
        <v>18500</v>
      </c>
      <c r="L546" s="1604">
        <f t="shared" si="289"/>
        <v>18500</v>
      </c>
      <c r="M546" s="1604">
        <f t="shared" si="289"/>
        <v>18500</v>
      </c>
      <c r="N546" s="1604">
        <f t="shared" si="289"/>
        <v>17010</v>
      </c>
      <c r="O546" s="1604">
        <f t="shared" si="289"/>
        <v>17010</v>
      </c>
      <c r="P546" s="1604">
        <f t="shared" si="289"/>
        <v>16910</v>
      </c>
      <c r="Q546" s="1604">
        <f t="shared" si="289"/>
        <v>16910</v>
      </c>
      <c r="R546" s="1604">
        <f t="shared" si="289"/>
        <v>0</v>
      </c>
      <c r="S546" s="1604">
        <f t="shared" si="289"/>
        <v>100</v>
      </c>
      <c r="T546" s="1604">
        <f t="shared" si="289"/>
        <v>16910</v>
      </c>
      <c r="U546" s="1604">
        <f t="shared" si="289"/>
        <v>16910</v>
      </c>
      <c r="V546" s="1604">
        <f t="shared" si="289"/>
        <v>0</v>
      </c>
      <c r="W546" s="1604">
        <f t="shared" si="289"/>
        <v>0</v>
      </c>
      <c r="X546" s="1604">
        <f t="shared" si="289"/>
        <v>16910</v>
      </c>
      <c r="Y546" s="1604">
        <f>SUM(Y549:Y551)</f>
        <v>16910</v>
      </c>
      <c r="Z546" s="1604">
        <v>16910</v>
      </c>
      <c r="AA546" s="1604">
        <v>16910</v>
      </c>
      <c r="AB546" s="1604"/>
      <c r="AC546" s="1604"/>
      <c r="AD546" s="1604">
        <f t="shared" ref="AD546" si="290">SUM(AD549:AD551)</f>
        <v>16910</v>
      </c>
      <c r="AE546" s="1604">
        <f>SUM(AE549:AE551)</f>
        <v>16910</v>
      </c>
      <c r="AF546" s="1599"/>
      <c r="AG546" s="1009">
        <f t="shared" si="276"/>
        <v>0</v>
      </c>
      <c r="AH546" s="1009">
        <f t="shared" ref="AH546:AH615" si="291">IF(Y546=0,0,1)</f>
        <v>1</v>
      </c>
      <c r="AI546" s="1908">
        <f t="shared" si="246"/>
        <v>1</v>
      </c>
    </row>
    <row r="547" spans="1:35" ht="23.25" hidden="1" customHeight="1" x14ac:dyDescent="0.25">
      <c r="A547" s="1601"/>
      <c r="B547" s="1601"/>
      <c r="C547" s="1602" t="s">
        <v>49</v>
      </c>
      <c r="D547" s="1743"/>
      <c r="E547" s="1743"/>
      <c r="F547" s="1743"/>
      <c r="G547" s="1743"/>
      <c r="H547" s="1744"/>
      <c r="I547" s="1744"/>
      <c r="J547" s="1744"/>
      <c r="K547" s="1744"/>
      <c r="L547" s="1744"/>
      <c r="M547" s="1744"/>
      <c r="N547" s="1744"/>
      <c r="O547" s="1744"/>
      <c r="P547" s="1745"/>
      <c r="Q547" s="1745"/>
      <c r="R547" s="1591"/>
      <c r="S547" s="1591"/>
      <c r="T547" s="1739"/>
      <c r="U547" s="1739"/>
      <c r="V547" s="1591"/>
      <c r="W547" s="1591"/>
      <c r="X547" s="1739"/>
      <c r="Y547" s="1739"/>
      <c r="Z547" s="1739"/>
      <c r="AA547" s="1739"/>
      <c r="AB547" s="1739"/>
      <c r="AC547" s="1739"/>
      <c r="AD547" s="1739"/>
      <c r="AE547" s="1739"/>
      <c r="AF547" s="1599"/>
      <c r="AG547" s="1009">
        <f t="shared" si="276"/>
        <v>0</v>
      </c>
      <c r="AH547" s="1009">
        <f t="shared" si="291"/>
        <v>0</v>
      </c>
      <c r="AI547" s="1908">
        <f t="shared" si="246"/>
        <v>1</v>
      </c>
    </row>
    <row r="548" spans="1:35" ht="72.75" hidden="1" customHeight="1" x14ac:dyDescent="0.25">
      <c r="A548" s="1601" t="s">
        <v>2978</v>
      </c>
      <c r="B548" s="1601"/>
      <c r="C548" s="1746" t="s">
        <v>50</v>
      </c>
      <c r="D548" s="1603"/>
      <c r="E548" s="1603"/>
      <c r="F548" s="1603"/>
      <c r="G548" s="1603"/>
      <c r="H548" s="1604"/>
      <c r="I548" s="1604"/>
      <c r="J548" s="1604"/>
      <c r="K548" s="1604"/>
      <c r="L548" s="1604"/>
      <c r="M548" s="1604"/>
      <c r="N548" s="1604"/>
      <c r="O548" s="1604"/>
      <c r="P548" s="1605"/>
      <c r="Q548" s="1605"/>
      <c r="R548" s="1591"/>
      <c r="S548" s="1591"/>
      <c r="T548" s="1741"/>
      <c r="U548" s="1741"/>
      <c r="V548" s="1591"/>
      <c r="W548" s="1591"/>
      <c r="X548" s="1741"/>
      <c r="Y548" s="1741"/>
      <c r="Z548" s="1741"/>
      <c r="AA548" s="1741"/>
      <c r="AB548" s="1741"/>
      <c r="AC548" s="1741"/>
      <c r="AD548" s="1741"/>
      <c r="AE548" s="1741"/>
      <c r="AF548" s="1599"/>
      <c r="AG548" s="1009">
        <f t="shared" si="276"/>
        <v>0</v>
      </c>
      <c r="AH548" s="1009">
        <f t="shared" si="291"/>
        <v>0</v>
      </c>
      <c r="AI548" s="1908">
        <f t="shared" si="246"/>
        <v>1</v>
      </c>
    </row>
    <row r="549" spans="1:35" ht="37.5" hidden="1" customHeight="1" x14ac:dyDescent="0.25">
      <c r="A549" s="1677" t="s">
        <v>2979</v>
      </c>
      <c r="B549" s="1677"/>
      <c r="C549" s="1587" t="s">
        <v>1008</v>
      </c>
      <c r="D549" s="1608"/>
      <c r="E549" s="1646"/>
      <c r="F549" s="1646"/>
      <c r="G549" s="1646"/>
      <c r="H549" s="1648"/>
      <c r="I549" s="1648"/>
      <c r="J549" s="1622"/>
      <c r="K549" s="1747"/>
      <c r="L549" s="1622"/>
      <c r="M549" s="1747"/>
      <c r="N549" s="1648">
        <v>810</v>
      </c>
      <c r="O549" s="1648">
        <v>810</v>
      </c>
      <c r="P549" s="1748">
        <v>810</v>
      </c>
      <c r="Q549" s="1748">
        <v>810</v>
      </c>
      <c r="R549" s="1591"/>
      <c r="S549" s="1591"/>
      <c r="T549" s="1623">
        <v>810</v>
      </c>
      <c r="U549" s="1623">
        <v>810</v>
      </c>
      <c r="V549" s="1591"/>
      <c r="W549" s="1591"/>
      <c r="X549" s="1623">
        <v>810</v>
      </c>
      <c r="Y549" s="1623">
        <v>810</v>
      </c>
      <c r="Z549" s="1623">
        <v>810</v>
      </c>
      <c r="AA549" s="1623">
        <v>810</v>
      </c>
      <c r="AB549" s="1623"/>
      <c r="AC549" s="1623"/>
      <c r="AD549" s="1623">
        <f t="shared" ref="AD549:AD551" si="292">AE549</f>
        <v>810</v>
      </c>
      <c r="AE549" s="1623">
        <f>AA549+AB549+AC549</f>
        <v>810</v>
      </c>
      <c r="AF549" s="1820"/>
      <c r="AG549" s="1009">
        <f t="shared" si="276"/>
        <v>0</v>
      </c>
      <c r="AH549" s="1009">
        <f t="shared" si="291"/>
        <v>1</v>
      </c>
      <c r="AI549" s="1908"/>
    </row>
    <row r="550" spans="1:35" ht="54.75" hidden="1" customHeight="1" x14ac:dyDescent="0.25">
      <c r="A550" s="1677" t="s">
        <v>3444</v>
      </c>
      <c r="B550" s="1677"/>
      <c r="C550" s="1621" t="s">
        <v>1085</v>
      </c>
      <c r="D550" s="1608" t="s">
        <v>1066</v>
      </c>
      <c r="E550" s="1646"/>
      <c r="F550" s="1589" t="s">
        <v>72</v>
      </c>
      <c r="G550" s="1588" t="s">
        <v>1084</v>
      </c>
      <c r="H550" s="1623">
        <v>20032</v>
      </c>
      <c r="I550" s="1623">
        <v>20032</v>
      </c>
      <c r="J550" s="1623">
        <v>7500</v>
      </c>
      <c r="K550" s="1623">
        <f>J550</f>
        <v>7500</v>
      </c>
      <c r="L550" s="1623">
        <v>7500</v>
      </c>
      <c r="M550" s="1623">
        <f>L550</f>
        <v>7500</v>
      </c>
      <c r="N550" s="1623">
        <v>9200</v>
      </c>
      <c r="O550" s="1623">
        <v>9200</v>
      </c>
      <c r="P550" s="1623">
        <f>Q550</f>
        <v>9100</v>
      </c>
      <c r="Q550" s="1623">
        <v>9100</v>
      </c>
      <c r="R550" s="1623"/>
      <c r="S550" s="1623">
        <v>100</v>
      </c>
      <c r="T550" s="1623">
        <f>U550</f>
        <v>9100</v>
      </c>
      <c r="U550" s="1623">
        <v>9100</v>
      </c>
      <c r="V550" s="1623"/>
      <c r="W550" s="1623"/>
      <c r="X550" s="1623">
        <f>Y550</f>
        <v>9100</v>
      </c>
      <c r="Y550" s="1623">
        <v>9100</v>
      </c>
      <c r="Z550" s="1623">
        <v>9100</v>
      </c>
      <c r="AA550" s="1623">
        <v>9100</v>
      </c>
      <c r="AB550" s="1623"/>
      <c r="AC550" s="1623"/>
      <c r="AD550" s="1623">
        <f t="shared" si="292"/>
        <v>9100</v>
      </c>
      <c r="AE550" s="1623">
        <f>AA550+AB550+AC550</f>
        <v>9100</v>
      </c>
      <c r="AF550" s="1820"/>
      <c r="AG550" s="1009">
        <f t="shared" si="276"/>
        <v>0</v>
      </c>
      <c r="AH550" s="1009">
        <f t="shared" si="291"/>
        <v>1</v>
      </c>
      <c r="AI550" s="1908">
        <f t="shared" si="246"/>
        <v>1</v>
      </c>
    </row>
    <row r="551" spans="1:35" ht="54.75" hidden="1" customHeight="1" x14ac:dyDescent="0.25">
      <c r="A551" s="1677" t="s">
        <v>3445</v>
      </c>
      <c r="B551" s="1677"/>
      <c r="C551" s="1645" t="s">
        <v>1083</v>
      </c>
      <c r="D551" s="1608" t="s">
        <v>1082</v>
      </c>
      <c r="E551" s="1646"/>
      <c r="F551" s="1589" t="s">
        <v>199</v>
      </c>
      <c r="G551" s="1588" t="s">
        <v>1081</v>
      </c>
      <c r="H551" s="1623">
        <v>31137</v>
      </c>
      <c r="I551" s="1623">
        <v>31137</v>
      </c>
      <c r="J551" s="1623">
        <f>10000+1000</f>
        <v>11000</v>
      </c>
      <c r="K551" s="1623">
        <f>J551</f>
        <v>11000</v>
      </c>
      <c r="L551" s="1623">
        <f>10000+1000</f>
        <v>11000</v>
      </c>
      <c r="M551" s="1623">
        <f>L551</f>
        <v>11000</v>
      </c>
      <c r="N551" s="1623">
        <v>7000</v>
      </c>
      <c r="O551" s="1623">
        <v>7000</v>
      </c>
      <c r="P551" s="1623">
        <v>7000</v>
      </c>
      <c r="Q551" s="1623">
        <v>7000</v>
      </c>
      <c r="R551" s="1623"/>
      <c r="S551" s="1623"/>
      <c r="T551" s="1623">
        <v>7000</v>
      </c>
      <c r="U551" s="1623">
        <v>7000</v>
      </c>
      <c r="V551" s="1623"/>
      <c r="W551" s="1623"/>
      <c r="X551" s="1623">
        <v>7000</v>
      </c>
      <c r="Y551" s="1623">
        <v>7000</v>
      </c>
      <c r="Z551" s="1623">
        <v>7000</v>
      </c>
      <c r="AA551" s="1623">
        <v>7000</v>
      </c>
      <c r="AB551" s="1623"/>
      <c r="AC551" s="1623"/>
      <c r="AD551" s="1623">
        <f t="shared" si="292"/>
        <v>7000</v>
      </c>
      <c r="AE551" s="1623">
        <f>AA551+AB551+AC551</f>
        <v>7000</v>
      </c>
      <c r="AF551" s="1599"/>
      <c r="AG551" s="1009">
        <f t="shared" si="276"/>
        <v>0</v>
      </c>
      <c r="AH551" s="1009">
        <f t="shared" si="291"/>
        <v>1</v>
      </c>
      <c r="AI551" s="1908">
        <f t="shared" si="246"/>
        <v>1</v>
      </c>
    </row>
    <row r="552" spans="1:35" ht="42.75" hidden="1" customHeight="1" x14ac:dyDescent="0.25">
      <c r="A552" s="1600" t="s">
        <v>2980</v>
      </c>
      <c r="B552" s="1600" t="s">
        <v>2980</v>
      </c>
      <c r="C552" s="1602" t="s">
        <v>86</v>
      </c>
      <c r="D552" s="1603"/>
      <c r="E552" s="1603"/>
      <c r="F552" s="1603"/>
      <c r="G552" s="1603"/>
      <c r="H552" s="1604">
        <f t="shared" ref="H552:Y552" si="293">H553+H562</f>
        <v>186739</v>
      </c>
      <c r="I552" s="1604">
        <f t="shared" si="293"/>
        <v>186739</v>
      </c>
      <c r="J552" s="1604">
        <f t="shared" si="293"/>
        <v>0</v>
      </c>
      <c r="K552" s="1604">
        <f t="shared" si="293"/>
        <v>0</v>
      </c>
      <c r="L552" s="1604">
        <f t="shared" si="293"/>
        <v>0</v>
      </c>
      <c r="M552" s="1604">
        <f t="shared" si="293"/>
        <v>0</v>
      </c>
      <c r="N552" s="1604">
        <f t="shared" si="293"/>
        <v>62990</v>
      </c>
      <c r="O552" s="1604">
        <f t="shared" si="293"/>
        <v>62990</v>
      </c>
      <c r="P552" s="1604">
        <f t="shared" si="293"/>
        <v>63090</v>
      </c>
      <c r="Q552" s="1604">
        <f t="shared" si="293"/>
        <v>63090</v>
      </c>
      <c r="R552" s="1604">
        <f t="shared" si="293"/>
        <v>12575</v>
      </c>
      <c r="S552" s="1604">
        <f t="shared" si="293"/>
        <v>12475</v>
      </c>
      <c r="T552" s="1604">
        <f t="shared" si="293"/>
        <v>78090</v>
      </c>
      <c r="U552" s="1604">
        <f t="shared" si="293"/>
        <v>63090</v>
      </c>
      <c r="V552" s="1604">
        <f t="shared" si="293"/>
        <v>44600</v>
      </c>
      <c r="W552" s="1604">
        <f t="shared" si="293"/>
        <v>0</v>
      </c>
      <c r="X552" s="1604">
        <f t="shared" si="293"/>
        <v>122690</v>
      </c>
      <c r="Y552" s="1604">
        <f t="shared" si="293"/>
        <v>107690</v>
      </c>
      <c r="Z552" s="1604">
        <v>115687</v>
      </c>
      <c r="AA552" s="1604">
        <v>100078</v>
      </c>
      <c r="AB552" s="1604"/>
      <c r="AC552" s="1605"/>
      <c r="AD552" s="1604">
        <f t="shared" ref="AD552:AE552" si="294">AD553+AD562</f>
        <v>115687</v>
      </c>
      <c r="AE552" s="1604">
        <f t="shared" si="294"/>
        <v>100078</v>
      </c>
      <c r="AF552" s="1606"/>
      <c r="AG552" s="1009">
        <f t="shared" si="276"/>
        <v>0</v>
      </c>
      <c r="AH552" s="1009">
        <f t="shared" si="291"/>
        <v>1</v>
      </c>
      <c r="AI552" s="1908">
        <f t="shared" si="246"/>
        <v>1</v>
      </c>
    </row>
    <row r="553" spans="1:35" ht="55.5" hidden="1" customHeight="1" x14ac:dyDescent="0.25">
      <c r="A553" s="1601" t="s">
        <v>2981</v>
      </c>
      <c r="B553" s="1601" t="s">
        <v>2981</v>
      </c>
      <c r="C553" s="1602" t="s">
        <v>88</v>
      </c>
      <c r="D553" s="1603"/>
      <c r="E553" s="1603"/>
      <c r="F553" s="1603"/>
      <c r="G553" s="1603"/>
      <c r="H553" s="1604">
        <f t="shared" ref="H553:X553" si="295">SUM(H554:H561)</f>
        <v>124472</v>
      </c>
      <c r="I553" s="1604">
        <f t="shared" si="295"/>
        <v>124472</v>
      </c>
      <c r="J553" s="1604">
        <f t="shared" si="295"/>
        <v>0</v>
      </c>
      <c r="K553" s="1604">
        <f t="shared" si="295"/>
        <v>0</v>
      </c>
      <c r="L553" s="1604">
        <f t="shared" si="295"/>
        <v>0</v>
      </c>
      <c r="M553" s="1604">
        <f t="shared" si="295"/>
        <v>0</v>
      </c>
      <c r="N553" s="1604">
        <f t="shared" si="295"/>
        <v>53000</v>
      </c>
      <c r="O553" s="1604">
        <f t="shared" si="295"/>
        <v>53000</v>
      </c>
      <c r="P553" s="1604">
        <f t="shared" si="295"/>
        <v>57560</v>
      </c>
      <c r="Q553" s="1604">
        <f t="shared" si="295"/>
        <v>57560</v>
      </c>
      <c r="R553" s="1604">
        <f t="shared" si="295"/>
        <v>4760</v>
      </c>
      <c r="S553" s="1604">
        <f t="shared" si="295"/>
        <v>2485</v>
      </c>
      <c r="T553" s="1604">
        <f t="shared" si="295"/>
        <v>70275</v>
      </c>
      <c r="U553" s="1604">
        <f t="shared" si="295"/>
        <v>55275</v>
      </c>
      <c r="V553" s="1604">
        <f t="shared" si="295"/>
        <v>43800</v>
      </c>
      <c r="W553" s="1604">
        <f t="shared" si="295"/>
        <v>0</v>
      </c>
      <c r="X553" s="1604">
        <f t="shared" si="295"/>
        <v>114075</v>
      </c>
      <c r="Y553" s="1604">
        <f>SUM(Y554:Y561)</f>
        <v>99075</v>
      </c>
      <c r="Z553" s="1604">
        <v>107283</v>
      </c>
      <c r="AA553" s="1604">
        <v>91674</v>
      </c>
      <c r="AB553" s="1604"/>
      <c r="AC553" s="1605"/>
      <c r="AD553" s="1604">
        <f t="shared" ref="AD553" si="296">SUM(AD554:AD561)</f>
        <v>107283</v>
      </c>
      <c r="AE553" s="1604">
        <f>SUM(AE554:AE561)</f>
        <v>91674</v>
      </c>
      <c r="AF553" s="1606"/>
      <c r="AG553" s="1009">
        <f t="shared" si="276"/>
        <v>0</v>
      </c>
      <c r="AH553" s="1009">
        <f t="shared" si="291"/>
        <v>1</v>
      </c>
      <c r="AI553" s="1908">
        <f t="shared" si="246"/>
        <v>1</v>
      </c>
    </row>
    <row r="554" spans="1:35" ht="90" hidden="1" customHeight="1" x14ac:dyDescent="0.25">
      <c r="A554" s="1677" t="s">
        <v>2982</v>
      </c>
      <c r="B554" s="1677"/>
      <c r="C554" s="1621" t="s">
        <v>1080</v>
      </c>
      <c r="D554" s="1608" t="s">
        <v>1079</v>
      </c>
      <c r="E554" s="1777" t="s">
        <v>1078</v>
      </c>
      <c r="F554" s="1678" t="s">
        <v>1073</v>
      </c>
      <c r="G554" s="1588" t="s">
        <v>1077</v>
      </c>
      <c r="H554" s="1648">
        <v>12899</v>
      </c>
      <c r="I554" s="1648">
        <v>12899</v>
      </c>
      <c r="J554" s="1622"/>
      <c r="K554" s="1747"/>
      <c r="L554" s="1622"/>
      <c r="M554" s="1747"/>
      <c r="N554" s="1648">
        <v>11500</v>
      </c>
      <c r="O554" s="1648">
        <v>11500</v>
      </c>
      <c r="P554" s="1666">
        <f>Q554</f>
        <v>11230</v>
      </c>
      <c r="Q554" s="1748">
        <v>11230</v>
      </c>
      <c r="R554" s="1591"/>
      <c r="S554" s="1591">
        <f>O554-U554</f>
        <v>270</v>
      </c>
      <c r="T554" s="1665">
        <f>U554</f>
        <v>11230</v>
      </c>
      <c r="U554" s="1623">
        <v>11230</v>
      </c>
      <c r="V554" s="1591"/>
      <c r="W554" s="1591"/>
      <c r="X554" s="1665">
        <f>Y554</f>
        <v>11230</v>
      </c>
      <c r="Y554" s="1623">
        <v>11230</v>
      </c>
      <c r="Z554" s="1665">
        <v>11230</v>
      </c>
      <c r="AA554" s="1623">
        <v>11230</v>
      </c>
      <c r="AB554" s="1623"/>
      <c r="AC554" s="1623"/>
      <c r="AD554" s="1623">
        <f t="shared" ref="AD554:AD561" si="297">AE554</f>
        <v>11230</v>
      </c>
      <c r="AE554" s="1623">
        <f t="shared" ref="AE554:AE561" si="298">AA554+AB554+AC554</f>
        <v>11230</v>
      </c>
      <c r="AF554" s="1580"/>
      <c r="AG554" s="1009">
        <f t="shared" si="276"/>
        <v>0</v>
      </c>
      <c r="AH554" s="1009">
        <f t="shared" si="291"/>
        <v>1</v>
      </c>
      <c r="AI554" s="1908">
        <f t="shared" si="246"/>
        <v>1</v>
      </c>
    </row>
    <row r="555" spans="1:35" ht="56.25" hidden="1" customHeight="1" x14ac:dyDescent="0.25">
      <c r="A555" s="1677" t="s">
        <v>2983</v>
      </c>
      <c r="B555" s="1677"/>
      <c r="C555" s="1587" t="s">
        <v>1076</v>
      </c>
      <c r="D555" s="1608" t="s">
        <v>1075</v>
      </c>
      <c r="E555" s="1588" t="s">
        <v>1074</v>
      </c>
      <c r="F555" s="1678" t="s">
        <v>1073</v>
      </c>
      <c r="G555" s="1588" t="s">
        <v>1072</v>
      </c>
      <c r="H555" s="1648">
        <v>5784</v>
      </c>
      <c r="I555" s="1648">
        <v>5784</v>
      </c>
      <c r="J555" s="1622"/>
      <c r="K555" s="1747"/>
      <c r="L555" s="1622"/>
      <c r="M555" s="1747"/>
      <c r="N555" s="1648">
        <v>5060</v>
      </c>
      <c r="O555" s="1648">
        <v>5060</v>
      </c>
      <c r="P555" s="1666">
        <v>5060</v>
      </c>
      <c r="Q555" s="1748">
        <v>5060</v>
      </c>
      <c r="R555" s="1591"/>
      <c r="S555" s="1591"/>
      <c r="T555" s="1665">
        <v>5060</v>
      </c>
      <c r="U555" s="1623">
        <v>5060</v>
      </c>
      <c r="V555" s="1591"/>
      <c r="W555" s="1591"/>
      <c r="X555" s="1665">
        <v>5060</v>
      </c>
      <c r="Y555" s="1623">
        <v>5060</v>
      </c>
      <c r="Z555" s="1665">
        <v>5060</v>
      </c>
      <c r="AA555" s="1623">
        <v>5060</v>
      </c>
      <c r="AB555" s="1623"/>
      <c r="AC555" s="1623"/>
      <c r="AD555" s="1623">
        <f t="shared" si="297"/>
        <v>5060</v>
      </c>
      <c r="AE555" s="1623">
        <f t="shared" si="298"/>
        <v>5060</v>
      </c>
      <c r="AF555" s="1599"/>
      <c r="AG555" s="1009">
        <f t="shared" si="276"/>
        <v>0</v>
      </c>
      <c r="AH555" s="1009">
        <f t="shared" si="291"/>
        <v>1</v>
      </c>
      <c r="AI555" s="1908">
        <f t="shared" si="246"/>
        <v>1</v>
      </c>
    </row>
    <row r="556" spans="1:35" ht="57.75" hidden="1" customHeight="1" x14ac:dyDescent="0.25">
      <c r="A556" s="1677" t="s">
        <v>2984</v>
      </c>
      <c r="B556" s="1677"/>
      <c r="C556" s="1587" t="s">
        <v>1071</v>
      </c>
      <c r="D556" s="1588" t="s">
        <v>1070</v>
      </c>
      <c r="E556" s="1588" t="s">
        <v>1069</v>
      </c>
      <c r="F556" s="1589" t="s">
        <v>97</v>
      </c>
      <c r="G556" s="1588" t="s">
        <v>1068</v>
      </c>
      <c r="H556" s="1690">
        <v>12349</v>
      </c>
      <c r="I556" s="1690">
        <v>12349</v>
      </c>
      <c r="J556" s="1747"/>
      <c r="K556" s="1747"/>
      <c r="L556" s="1747"/>
      <c r="M556" s="1747"/>
      <c r="N556" s="1648">
        <v>10740</v>
      </c>
      <c r="O556" s="1648">
        <v>10740</v>
      </c>
      <c r="P556" s="1666">
        <f>Q556</f>
        <v>10600</v>
      </c>
      <c r="Q556" s="1748">
        <v>10600</v>
      </c>
      <c r="R556" s="1591"/>
      <c r="S556" s="1591">
        <f>O556-U556</f>
        <v>140</v>
      </c>
      <c r="T556" s="1665">
        <f>U556</f>
        <v>10600</v>
      </c>
      <c r="U556" s="1623">
        <v>10600</v>
      </c>
      <c r="V556" s="1591"/>
      <c r="W556" s="1591"/>
      <c r="X556" s="1665">
        <f>Y556</f>
        <v>10600</v>
      </c>
      <c r="Y556" s="1623">
        <v>10600</v>
      </c>
      <c r="Z556" s="1665">
        <v>10600</v>
      </c>
      <c r="AA556" s="1623">
        <v>10600</v>
      </c>
      <c r="AB556" s="1623"/>
      <c r="AC556" s="1623"/>
      <c r="AD556" s="1623">
        <f t="shared" si="297"/>
        <v>10600</v>
      </c>
      <c r="AE556" s="1623">
        <f t="shared" si="298"/>
        <v>10600</v>
      </c>
      <c r="AF556" s="1580"/>
      <c r="AG556" s="1009">
        <f t="shared" si="276"/>
        <v>0</v>
      </c>
      <c r="AH556" s="1009">
        <f t="shared" si="291"/>
        <v>1</v>
      </c>
      <c r="AI556" s="1908">
        <f t="shared" si="246"/>
        <v>1</v>
      </c>
    </row>
    <row r="557" spans="1:35" ht="72" hidden="1" customHeight="1" x14ac:dyDescent="0.25">
      <c r="A557" s="1677" t="s">
        <v>2985</v>
      </c>
      <c r="B557" s="1677" t="s">
        <v>2982</v>
      </c>
      <c r="C557" s="1635" t="s">
        <v>1067</v>
      </c>
      <c r="D557" s="1610" t="s">
        <v>1066</v>
      </c>
      <c r="E557" s="1610" t="s">
        <v>1065</v>
      </c>
      <c r="F557" s="1610" t="s">
        <v>109</v>
      </c>
      <c r="G557" s="1636" t="s">
        <v>1064</v>
      </c>
      <c r="H557" s="1622">
        <f>I557</f>
        <v>29974</v>
      </c>
      <c r="I557" s="1613">
        <v>29974</v>
      </c>
      <c r="J557" s="1747"/>
      <c r="K557" s="1747"/>
      <c r="L557" s="1747"/>
      <c r="M557" s="1747"/>
      <c r="N557" s="1648">
        <f>O557</f>
        <v>12200</v>
      </c>
      <c r="O557" s="1648">
        <v>12200</v>
      </c>
      <c r="P557" s="1666">
        <v>12200</v>
      </c>
      <c r="Q557" s="1748">
        <v>12200</v>
      </c>
      <c r="R557" s="1591"/>
      <c r="S557" s="1591">
        <v>2000</v>
      </c>
      <c r="T557" s="1665">
        <f>U557+15000</f>
        <v>25200</v>
      </c>
      <c r="U557" s="1623">
        <f>O557-S557</f>
        <v>10200</v>
      </c>
      <c r="V557" s="1591">
        <v>3800</v>
      </c>
      <c r="W557" s="1591"/>
      <c r="X557" s="1665">
        <f>Y557+15000</f>
        <v>29000</v>
      </c>
      <c r="Y557" s="1623">
        <f>V557+U557</f>
        <v>14000</v>
      </c>
      <c r="Z557" s="1665">
        <v>29000</v>
      </c>
      <c r="AA557" s="1623">
        <v>13391</v>
      </c>
      <c r="AB557" s="1623"/>
      <c r="AC557" s="1587"/>
      <c r="AD557" s="1623">
        <v>29000</v>
      </c>
      <c r="AE557" s="1623">
        <f t="shared" si="298"/>
        <v>13391</v>
      </c>
      <c r="AF557" s="1580"/>
      <c r="AG557" s="1009">
        <f t="shared" si="276"/>
        <v>0</v>
      </c>
      <c r="AH557" s="1009">
        <f>IF(Y557=0,0,1)</f>
        <v>1</v>
      </c>
      <c r="AI557" s="1908">
        <f t="shared" si="246"/>
        <v>1</v>
      </c>
    </row>
    <row r="558" spans="1:35" ht="66" hidden="1" x14ac:dyDescent="0.25">
      <c r="A558" s="1677" t="s">
        <v>2986</v>
      </c>
      <c r="B558" s="1677"/>
      <c r="C558" s="1686" t="s">
        <v>1062</v>
      </c>
      <c r="D558" s="1608"/>
      <c r="E558" s="1646"/>
      <c r="F558" s="1646" t="s">
        <v>248</v>
      </c>
      <c r="G558" s="1636" t="s">
        <v>1061</v>
      </c>
      <c r="H558" s="1687">
        <f>I558</f>
        <v>14698</v>
      </c>
      <c r="I558" s="1687">
        <v>14698</v>
      </c>
      <c r="J558" s="1747"/>
      <c r="K558" s="1747"/>
      <c r="L558" s="1747"/>
      <c r="M558" s="1747"/>
      <c r="N558" s="1648">
        <v>13500</v>
      </c>
      <c r="O558" s="1648">
        <v>13500</v>
      </c>
      <c r="P558" s="1748">
        <f>Q558</f>
        <v>13470</v>
      </c>
      <c r="Q558" s="1748">
        <v>13470</v>
      </c>
      <c r="R558" s="1591"/>
      <c r="S558" s="1591">
        <f>O558-U558</f>
        <v>75</v>
      </c>
      <c r="T558" s="1623">
        <f>U558</f>
        <v>13425</v>
      </c>
      <c r="U558" s="1623">
        <v>13425</v>
      </c>
      <c r="V558" s="1591"/>
      <c r="W558" s="1591"/>
      <c r="X558" s="1623">
        <f>Y558</f>
        <v>13425</v>
      </c>
      <c r="Y558" s="1623">
        <v>13425</v>
      </c>
      <c r="Z558" s="1623">
        <v>13425</v>
      </c>
      <c r="AA558" s="1623">
        <v>13425</v>
      </c>
      <c r="AB558" s="1623"/>
      <c r="AC558" s="1587"/>
      <c r="AD558" s="1623">
        <f t="shared" si="297"/>
        <v>13425</v>
      </c>
      <c r="AE558" s="1623">
        <f t="shared" si="298"/>
        <v>13425</v>
      </c>
      <c r="AF558" s="1580"/>
      <c r="AG558" s="1009">
        <f t="shared" si="276"/>
        <v>0</v>
      </c>
      <c r="AH558" s="1009">
        <f t="shared" si="291"/>
        <v>1</v>
      </c>
      <c r="AI558" s="1908">
        <f t="shared" si="246"/>
        <v>1</v>
      </c>
    </row>
    <row r="559" spans="1:35" ht="54.75" hidden="1" customHeight="1" x14ac:dyDescent="0.25">
      <c r="A559" s="1677" t="s">
        <v>2987</v>
      </c>
      <c r="B559" s="1677"/>
      <c r="C559" s="1686" t="s">
        <v>1060</v>
      </c>
      <c r="D559" s="1608"/>
      <c r="E559" s="1646"/>
      <c r="F559" s="1646">
        <v>2018</v>
      </c>
      <c r="G559" s="1636" t="s">
        <v>1059</v>
      </c>
      <c r="H559" s="1687">
        <f>I559</f>
        <v>2881</v>
      </c>
      <c r="I559" s="1687">
        <v>2881</v>
      </c>
      <c r="J559" s="1747"/>
      <c r="K559" s="1747"/>
      <c r="L559" s="1747"/>
      <c r="M559" s="1747"/>
      <c r="N559" s="1648"/>
      <c r="O559" s="1648"/>
      <c r="P559" s="1748">
        <f>Q559</f>
        <v>2500</v>
      </c>
      <c r="Q559" s="1748">
        <v>2500</v>
      </c>
      <c r="R559" s="1591">
        <v>2380</v>
      </c>
      <c r="S559" s="1591"/>
      <c r="T559" s="1623">
        <f>U559</f>
        <v>2380</v>
      </c>
      <c r="U559" s="1623">
        <f>R559</f>
        <v>2380</v>
      </c>
      <c r="V559" s="1591"/>
      <c r="W559" s="1591"/>
      <c r="X559" s="1623">
        <f>Y559</f>
        <v>2380</v>
      </c>
      <c r="Y559" s="1623">
        <v>2380</v>
      </c>
      <c r="Z559" s="1623">
        <v>2380</v>
      </c>
      <c r="AA559" s="1623">
        <v>2380</v>
      </c>
      <c r="AB559" s="1623"/>
      <c r="AC559" s="1587"/>
      <c r="AD559" s="1623">
        <f t="shared" si="297"/>
        <v>2380</v>
      </c>
      <c r="AE559" s="1623">
        <f t="shared" si="298"/>
        <v>2380</v>
      </c>
      <c r="AF559" s="1580"/>
      <c r="AG559" s="1009">
        <f t="shared" si="276"/>
        <v>0</v>
      </c>
      <c r="AH559" s="1009">
        <f t="shared" si="291"/>
        <v>1</v>
      </c>
      <c r="AI559" s="1908">
        <f t="shared" si="246"/>
        <v>1</v>
      </c>
    </row>
    <row r="560" spans="1:35" ht="53.25" hidden="1" customHeight="1" x14ac:dyDescent="0.25">
      <c r="A560" s="1677" t="s">
        <v>3446</v>
      </c>
      <c r="B560" s="1677" t="s">
        <v>2983</v>
      </c>
      <c r="C560" s="1686" t="s">
        <v>1058</v>
      </c>
      <c r="D560" s="1608"/>
      <c r="E560" s="1646"/>
      <c r="F560" s="1646">
        <v>2018</v>
      </c>
      <c r="G560" s="1636" t="s">
        <v>1057</v>
      </c>
      <c r="H560" s="1687">
        <f>I560</f>
        <v>2887</v>
      </c>
      <c r="I560" s="1687">
        <v>2887</v>
      </c>
      <c r="J560" s="1747"/>
      <c r="K560" s="1747"/>
      <c r="L560" s="1747"/>
      <c r="M560" s="1747"/>
      <c r="N560" s="1648"/>
      <c r="O560" s="1648"/>
      <c r="P560" s="1748">
        <f>Q560</f>
        <v>2500</v>
      </c>
      <c r="Q560" s="1748">
        <v>2500</v>
      </c>
      <c r="R560" s="1591">
        <v>2380</v>
      </c>
      <c r="S560" s="1591"/>
      <c r="T560" s="1623">
        <f>U560</f>
        <v>2380</v>
      </c>
      <c r="U560" s="1623">
        <v>2380</v>
      </c>
      <c r="V560" s="1591"/>
      <c r="W560" s="1591"/>
      <c r="X560" s="1623">
        <f>Y560</f>
        <v>2380</v>
      </c>
      <c r="Y560" s="1623">
        <v>2380</v>
      </c>
      <c r="Z560" s="1623">
        <v>2331</v>
      </c>
      <c r="AA560" s="1623">
        <v>2331</v>
      </c>
      <c r="AB560" s="1623"/>
      <c r="AC560" s="1587"/>
      <c r="AD560" s="1623">
        <f t="shared" si="297"/>
        <v>2331</v>
      </c>
      <c r="AE560" s="1623">
        <f t="shared" si="298"/>
        <v>2331</v>
      </c>
      <c r="AF560" s="1580"/>
      <c r="AG560" s="1009">
        <f t="shared" si="276"/>
        <v>0</v>
      </c>
      <c r="AH560" s="1009">
        <f t="shared" si="291"/>
        <v>1</v>
      </c>
      <c r="AI560" s="1908">
        <f t="shared" si="246"/>
        <v>1</v>
      </c>
    </row>
    <row r="561" spans="1:36" ht="56.25" hidden="1" customHeight="1" x14ac:dyDescent="0.25">
      <c r="A561" s="1677" t="s">
        <v>3447</v>
      </c>
      <c r="B561" s="1677" t="s">
        <v>2984</v>
      </c>
      <c r="C561" s="1686" t="s">
        <v>2194</v>
      </c>
      <c r="D561" s="1608" t="s">
        <v>2595</v>
      </c>
      <c r="E561" s="1646" t="s">
        <v>2717</v>
      </c>
      <c r="F561" s="1646" t="s">
        <v>290</v>
      </c>
      <c r="G561" s="1610" t="s">
        <v>2596</v>
      </c>
      <c r="H561" s="1687">
        <f>I561</f>
        <v>43000</v>
      </c>
      <c r="I561" s="1687">
        <v>43000</v>
      </c>
      <c r="J561" s="1747"/>
      <c r="K561" s="1747"/>
      <c r="L561" s="1747"/>
      <c r="M561" s="1747"/>
      <c r="N561" s="1648"/>
      <c r="O561" s="1648"/>
      <c r="P561" s="1748"/>
      <c r="Q561" s="1748"/>
      <c r="R561" s="1591"/>
      <c r="S561" s="1591"/>
      <c r="T561" s="1623"/>
      <c r="U561" s="1623"/>
      <c r="V561" s="1591">
        <v>40000</v>
      </c>
      <c r="W561" s="1591"/>
      <c r="X561" s="1623">
        <f>V561+U561</f>
        <v>40000</v>
      </c>
      <c r="Y561" s="1623">
        <f>X561</f>
        <v>40000</v>
      </c>
      <c r="Z561" s="1623">
        <v>33257</v>
      </c>
      <c r="AA561" s="1623">
        <v>33257</v>
      </c>
      <c r="AB561" s="1623"/>
      <c r="AC561" s="1587"/>
      <c r="AD561" s="1623">
        <f t="shared" si="297"/>
        <v>33257</v>
      </c>
      <c r="AE561" s="1623">
        <f t="shared" si="298"/>
        <v>33257</v>
      </c>
      <c r="AF561" s="1580"/>
      <c r="AG561" s="1009">
        <f t="shared" si="276"/>
        <v>0</v>
      </c>
      <c r="AH561" s="1009">
        <f t="shared" si="291"/>
        <v>1</v>
      </c>
      <c r="AI561" s="1908">
        <f t="shared" si="246"/>
        <v>1</v>
      </c>
    </row>
    <row r="562" spans="1:36" ht="38.25" hidden="1" customHeight="1" x14ac:dyDescent="0.25">
      <c r="A562" s="1601" t="s">
        <v>3448</v>
      </c>
      <c r="B562" s="1601" t="s">
        <v>3448</v>
      </c>
      <c r="C562" s="1602" t="s">
        <v>1011</v>
      </c>
      <c r="D562" s="1608"/>
      <c r="E562" s="1611"/>
      <c r="F562" s="1646"/>
      <c r="G562" s="1646"/>
      <c r="H562" s="1688">
        <f t="shared" ref="H562:X562" si="299">SUM(H563:H564)</f>
        <v>62267</v>
      </c>
      <c r="I562" s="1688">
        <f t="shared" si="299"/>
        <v>62267</v>
      </c>
      <c r="J562" s="1688">
        <f t="shared" si="299"/>
        <v>0</v>
      </c>
      <c r="K562" s="1688">
        <f t="shared" si="299"/>
        <v>0</v>
      </c>
      <c r="L562" s="1688">
        <f t="shared" si="299"/>
        <v>0</v>
      </c>
      <c r="M562" s="1688">
        <f t="shared" si="299"/>
        <v>0</v>
      </c>
      <c r="N562" s="1688">
        <f t="shared" si="299"/>
        <v>9990</v>
      </c>
      <c r="O562" s="1688">
        <f t="shared" si="299"/>
        <v>9990</v>
      </c>
      <c r="P562" s="1688">
        <f t="shared" si="299"/>
        <v>5530</v>
      </c>
      <c r="Q562" s="1688">
        <f t="shared" si="299"/>
        <v>5530</v>
      </c>
      <c r="R562" s="1688">
        <f t="shared" si="299"/>
        <v>7815</v>
      </c>
      <c r="S562" s="1688">
        <f t="shared" si="299"/>
        <v>9990</v>
      </c>
      <c r="T562" s="1688">
        <f t="shared" si="299"/>
        <v>7815</v>
      </c>
      <c r="U562" s="1688">
        <f t="shared" si="299"/>
        <v>7815</v>
      </c>
      <c r="V562" s="1688">
        <f t="shared" si="299"/>
        <v>800</v>
      </c>
      <c r="W562" s="1688">
        <f t="shared" si="299"/>
        <v>0</v>
      </c>
      <c r="X562" s="1688">
        <f t="shared" si="299"/>
        <v>8615</v>
      </c>
      <c r="Y562" s="1688">
        <f>SUM(Y563:Y564)</f>
        <v>8615</v>
      </c>
      <c r="Z562" s="1688">
        <v>8404</v>
      </c>
      <c r="AA562" s="1688">
        <v>8404</v>
      </c>
      <c r="AB562" s="1688"/>
      <c r="AC562" s="1689"/>
      <c r="AD562" s="1688">
        <f t="shared" ref="AD562" si="300">SUM(AD563:AD564)</f>
        <v>8404</v>
      </c>
      <c r="AE562" s="1688">
        <f>SUM(AE563:AE564)</f>
        <v>8404</v>
      </c>
      <c r="AF562" s="1599"/>
      <c r="AG562" s="1009">
        <f t="shared" ref="AG562:AG572" si="301">IF(AE562-AA562=0,0,1)</f>
        <v>0</v>
      </c>
      <c r="AH562" s="1009">
        <f t="shared" si="291"/>
        <v>1</v>
      </c>
      <c r="AI562" s="1908">
        <f t="shared" si="246"/>
        <v>1</v>
      </c>
    </row>
    <row r="563" spans="1:36" ht="75.75" hidden="1" customHeight="1" x14ac:dyDescent="0.25">
      <c r="A563" s="1677" t="s">
        <v>3449</v>
      </c>
      <c r="B563" s="1677"/>
      <c r="C563" s="1686" t="s">
        <v>1056</v>
      </c>
      <c r="D563" s="1608"/>
      <c r="E563" s="1646" t="s">
        <v>1055</v>
      </c>
      <c r="F563" s="1646" t="s">
        <v>141</v>
      </c>
      <c r="G563" s="1646"/>
      <c r="H563" s="1687">
        <f>I563</f>
        <v>49892</v>
      </c>
      <c r="I563" s="1687">
        <v>49892</v>
      </c>
      <c r="J563" s="1747"/>
      <c r="K563" s="1747"/>
      <c r="L563" s="1747"/>
      <c r="M563" s="1747"/>
      <c r="N563" s="1648">
        <f>O563</f>
        <v>9990</v>
      </c>
      <c r="O563" s="1648">
        <f>22190-12200</f>
        <v>9990</v>
      </c>
      <c r="P563" s="1748">
        <f>Q563</f>
        <v>1330</v>
      </c>
      <c r="Q563" s="1748">
        <v>1330</v>
      </c>
      <c r="R563" s="1591"/>
      <c r="S563" s="1591">
        <v>9990</v>
      </c>
      <c r="T563" s="1623">
        <f>U563</f>
        <v>0</v>
      </c>
      <c r="U563" s="1623">
        <f>O563-S563</f>
        <v>0</v>
      </c>
      <c r="V563" s="1591"/>
      <c r="W563" s="1591"/>
      <c r="X563" s="1623"/>
      <c r="Y563" s="1623"/>
      <c r="Z563" s="1623">
        <v>0</v>
      </c>
      <c r="AA563" s="1623">
        <v>0</v>
      </c>
      <c r="AB563" s="1623"/>
      <c r="AC563" s="1587"/>
      <c r="AD563" s="1623">
        <f t="shared" ref="AD563:AD564" si="302">AE563</f>
        <v>0</v>
      </c>
      <c r="AE563" s="1623">
        <f>AA563+AB563+AC563</f>
        <v>0</v>
      </c>
      <c r="AF563" s="1580"/>
      <c r="AG563" s="1009">
        <f t="shared" si="301"/>
        <v>0</v>
      </c>
      <c r="AH563" s="1009">
        <f t="shared" si="291"/>
        <v>0</v>
      </c>
      <c r="AI563" s="1908">
        <f t="shared" ref="AI563:AI640" si="303">IF(I563-Y563&gt;=0,1,0)</f>
        <v>1</v>
      </c>
    </row>
    <row r="564" spans="1:36" ht="53.25" hidden="1" customHeight="1" x14ac:dyDescent="0.25">
      <c r="A564" s="1677" t="s">
        <v>3450</v>
      </c>
      <c r="B564" s="1677" t="s">
        <v>3449</v>
      </c>
      <c r="C564" s="1686" t="s">
        <v>1054</v>
      </c>
      <c r="D564" s="1608"/>
      <c r="E564" s="1646"/>
      <c r="F564" s="1646">
        <v>2018</v>
      </c>
      <c r="G564" s="1636" t="s">
        <v>1053</v>
      </c>
      <c r="H564" s="1687">
        <f>I564</f>
        <v>12375</v>
      </c>
      <c r="I564" s="1687">
        <v>12375</v>
      </c>
      <c r="J564" s="1747"/>
      <c r="K564" s="1747"/>
      <c r="L564" s="1747"/>
      <c r="M564" s="1747"/>
      <c r="N564" s="1648"/>
      <c r="O564" s="1648"/>
      <c r="P564" s="1748">
        <f>Q564</f>
        <v>4200</v>
      </c>
      <c r="Q564" s="1748">
        <v>4200</v>
      </c>
      <c r="R564" s="1591">
        <v>7815</v>
      </c>
      <c r="S564" s="1591"/>
      <c r="T564" s="1623">
        <f>U564</f>
        <v>7815</v>
      </c>
      <c r="U564" s="1623">
        <f>R564</f>
        <v>7815</v>
      </c>
      <c r="V564" s="1591">
        <v>800</v>
      </c>
      <c r="W564" s="1591"/>
      <c r="X564" s="1623">
        <f>Y564</f>
        <v>8615</v>
      </c>
      <c r="Y564" s="1623">
        <f>V564+U564</f>
        <v>8615</v>
      </c>
      <c r="Z564" s="1623">
        <v>8404</v>
      </c>
      <c r="AA564" s="1623">
        <v>8404</v>
      </c>
      <c r="AB564" s="1623"/>
      <c r="AC564" s="1587"/>
      <c r="AD564" s="1623">
        <f t="shared" si="302"/>
        <v>8404</v>
      </c>
      <c r="AE564" s="1623">
        <f>AA564+AB564+AC564</f>
        <v>8404</v>
      </c>
      <c r="AF564" s="1580"/>
      <c r="AG564" s="1009">
        <f t="shared" si="301"/>
        <v>0</v>
      </c>
      <c r="AH564" s="1009">
        <f t="shared" si="291"/>
        <v>1</v>
      </c>
      <c r="AI564" s="1908">
        <f t="shared" si="303"/>
        <v>1</v>
      </c>
    </row>
    <row r="565" spans="1:36" ht="28.5" hidden="1" customHeight="1" x14ac:dyDescent="0.25">
      <c r="A565" s="1576">
        <v>7</v>
      </c>
      <c r="B565" s="1576"/>
      <c r="C565" s="1675" t="s">
        <v>1052</v>
      </c>
      <c r="D565" s="1616"/>
      <c r="E565" s="1669"/>
      <c r="F565" s="1669"/>
      <c r="G565" s="1669"/>
      <c r="H565" s="1683">
        <f t="shared" ref="H565:T565" si="304">H566+H574</f>
        <v>210225</v>
      </c>
      <c r="I565" s="1683">
        <f t="shared" si="304"/>
        <v>210225</v>
      </c>
      <c r="J565" s="1683">
        <f t="shared" si="304"/>
        <v>8700</v>
      </c>
      <c r="K565" s="1683">
        <f t="shared" si="304"/>
        <v>8700</v>
      </c>
      <c r="L565" s="1683">
        <f t="shared" si="304"/>
        <v>8700</v>
      </c>
      <c r="M565" s="1683">
        <f t="shared" si="304"/>
        <v>8700</v>
      </c>
      <c r="N565" s="1683">
        <f t="shared" si="304"/>
        <v>122390</v>
      </c>
      <c r="O565" s="1683">
        <f t="shared" si="304"/>
        <v>122390</v>
      </c>
      <c r="P565" s="1683">
        <f t="shared" si="304"/>
        <v>122390</v>
      </c>
      <c r="Q565" s="1683">
        <f t="shared" si="304"/>
        <v>122390</v>
      </c>
      <c r="R565" s="1683">
        <f t="shared" si="304"/>
        <v>0</v>
      </c>
      <c r="S565" s="1683">
        <f t="shared" si="304"/>
        <v>0</v>
      </c>
      <c r="T565" s="1816">
        <f t="shared" si="304"/>
        <v>122390</v>
      </c>
      <c r="U565" s="1816">
        <v>85000</v>
      </c>
      <c r="V565" s="1683">
        <f t="shared" ref="V565:AE565" si="305">V566+V574</f>
        <v>48270</v>
      </c>
      <c r="W565" s="1683">
        <f t="shared" si="305"/>
        <v>29370</v>
      </c>
      <c r="X565" s="1816">
        <f t="shared" si="305"/>
        <v>141290</v>
      </c>
      <c r="Y565" s="1816">
        <f t="shared" si="305"/>
        <v>141290</v>
      </c>
      <c r="Z565" s="1816">
        <v>141290</v>
      </c>
      <c r="AA565" s="1816">
        <v>141290</v>
      </c>
      <c r="AB565" s="1816"/>
      <c r="AC565" s="1816"/>
      <c r="AD565" s="1816">
        <f t="shared" si="305"/>
        <v>141290</v>
      </c>
      <c r="AE565" s="1816">
        <f t="shared" si="305"/>
        <v>141290</v>
      </c>
      <c r="AF565" s="1599"/>
      <c r="AG565" s="1009">
        <f t="shared" si="301"/>
        <v>0</v>
      </c>
      <c r="AH565" s="1009">
        <f t="shared" si="291"/>
        <v>1</v>
      </c>
      <c r="AI565" s="1908">
        <f t="shared" si="303"/>
        <v>1</v>
      </c>
    </row>
    <row r="566" spans="1:36" ht="54.75" hidden="1" customHeight="1" x14ac:dyDescent="0.25">
      <c r="A566" s="1600" t="s">
        <v>2988</v>
      </c>
      <c r="B566" s="1600"/>
      <c r="C566" s="1602" t="s">
        <v>46</v>
      </c>
      <c r="D566" s="1603"/>
      <c r="E566" s="1603"/>
      <c r="F566" s="1603"/>
      <c r="G566" s="1603"/>
      <c r="H566" s="1821">
        <f t="shared" ref="H566:O566" si="306">H567</f>
        <v>19061</v>
      </c>
      <c r="I566" s="1821">
        <f t="shared" si="306"/>
        <v>19061</v>
      </c>
      <c r="J566" s="1821">
        <f t="shared" si="306"/>
        <v>8700</v>
      </c>
      <c r="K566" s="1821">
        <f t="shared" si="306"/>
        <v>8700</v>
      </c>
      <c r="L566" s="1821">
        <f t="shared" si="306"/>
        <v>8700</v>
      </c>
      <c r="M566" s="1821">
        <f t="shared" si="306"/>
        <v>8700</v>
      </c>
      <c r="N566" s="1821">
        <f t="shared" si="306"/>
        <v>9820</v>
      </c>
      <c r="O566" s="1821">
        <f t="shared" si="306"/>
        <v>9820</v>
      </c>
      <c r="P566" s="1821">
        <f t="shared" ref="P566:T566" si="307">P567</f>
        <v>9820</v>
      </c>
      <c r="Q566" s="1821">
        <f t="shared" si="307"/>
        <v>9820</v>
      </c>
      <c r="R566" s="1821">
        <f t="shared" si="307"/>
        <v>0</v>
      </c>
      <c r="S566" s="1821">
        <f t="shared" si="307"/>
        <v>0</v>
      </c>
      <c r="T566" s="1821">
        <f t="shared" si="307"/>
        <v>9820</v>
      </c>
      <c r="U566" s="1821">
        <f>U567</f>
        <v>9820</v>
      </c>
      <c r="V566" s="1821">
        <f t="shared" ref="V566:AE566" si="308">V567</f>
        <v>0</v>
      </c>
      <c r="W566" s="1821">
        <f t="shared" si="308"/>
        <v>0</v>
      </c>
      <c r="X566" s="1821">
        <f t="shared" si="308"/>
        <v>9820</v>
      </c>
      <c r="Y566" s="1821">
        <f t="shared" si="308"/>
        <v>9820</v>
      </c>
      <c r="Z566" s="1821">
        <v>9820</v>
      </c>
      <c r="AA566" s="1821">
        <v>9820</v>
      </c>
      <c r="AB566" s="1821"/>
      <c r="AC566" s="1821"/>
      <c r="AD566" s="1821">
        <f t="shared" si="308"/>
        <v>9820</v>
      </c>
      <c r="AE566" s="1821">
        <f t="shared" si="308"/>
        <v>9820</v>
      </c>
      <c r="AF566" s="1599"/>
      <c r="AG566" s="1009">
        <f t="shared" si="301"/>
        <v>0</v>
      </c>
      <c r="AH566" s="1009">
        <f t="shared" si="291"/>
        <v>1</v>
      </c>
      <c r="AI566" s="1908">
        <f t="shared" si="303"/>
        <v>1</v>
      </c>
    </row>
    <row r="567" spans="1:36" ht="38.25" hidden="1" customHeight="1" x14ac:dyDescent="0.25">
      <c r="A567" s="1601"/>
      <c r="B567" s="1601"/>
      <c r="C567" s="1602" t="s">
        <v>48</v>
      </c>
      <c r="D567" s="1603"/>
      <c r="E567" s="1603"/>
      <c r="F567" s="1603"/>
      <c r="G567" s="1603"/>
      <c r="H567" s="1821">
        <f t="shared" ref="H567:O567" si="309">SUM(H570:H573)</f>
        <v>19061</v>
      </c>
      <c r="I567" s="1821">
        <f t="shared" si="309"/>
        <v>19061</v>
      </c>
      <c r="J567" s="1821">
        <f t="shared" si="309"/>
        <v>8700</v>
      </c>
      <c r="K567" s="1821">
        <f t="shared" si="309"/>
        <v>8700</v>
      </c>
      <c r="L567" s="1821">
        <f t="shared" si="309"/>
        <v>8700</v>
      </c>
      <c r="M567" s="1821">
        <f t="shared" si="309"/>
        <v>8700</v>
      </c>
      <c r="N567" s="1821">
        <f t="shared" si="309"/>
        <v>9820</v>
      </c>
      <c r="O567" s="1821">
        <f t="shared" si="309"/>
        <v>9820</v>
      </c>
      <c r="P567" s="1821">
        <f t="shared" ref="P567:T567" si="310">SUM(P570:P573)</f>
        <v>9820</v>
      </c>
      <c r="Q567" s="1821">
        <f t="shared" si="310"/>
        <v>9820</v>
      </c>
      <c r="R567" s="1821">
        <f t="shared" si="310"/>
        <v>0</v>
      </c>
      <c r="S567" s="1821">
        <f t="shared" si="310"/>
        <v>0</v>
      </c>
      <c r="T567" s="1821">
        <f t="shared" si="310"/>
        <v>9820</v>
      </c>
      <c r="U567" s="1821">
        <f>SUM(U570:U573)</f>
        <v>9820</v>
      </c>
      <c r="V567" s="1821">
        <f t="shared" ref="V567:AE567" si="311">SUM(V570:V573)</f>
        <v>0</v>
      </c>
      <c r="W567" s="1821">
        <f t="shared" si="311"/>
        <v>0</v>
      </c>
      <c r="X567" s="1821">
        <f t="shared" si="311"/>
        <v>9820</v>
      </c>
      <c r="Y567" s="1821">
        <f t="shared" si="311"/>
        <v>9820</v>
      </c>
      <c r="Z567" s="1821">
        <v>9820</v>
      </c>
      <c r="AA567" s="1821">
        <v>9820</v>
      </c>
      <c r="AB567" s="1821"/>
      <c r="AC567" s="1821"/>
      <c r="AD567" s="1821">
        <f t="shared" si="311"/>
        <v>9820</v>
      </c>
      <c r="AE567" s="1821">
        <f t="shared" si="311"/>
        <v>9820</v>
      </c>
      <c r="AF567" s="1599"/>
      <c r="AG567" s="1009">
        <f t="shared" si="301"/>
        <v>0</v>
      </c>
      <c r="AH567" s="1009">
        <f t="shared" si="291"/>
        <v>1</v>
      </c>
      <c r="AI567" s="1908">
        <f t="shared" si="303"/>
        <v>1</v>
      </c>
    </row>
    <row r="568" spans="1:36" ht="24" hidden="1" customHeight="1" x14ac:dyDescent="0.25">
      <c r="A568" s="1601"/>
      <c r="B568" s="1601"/>
      <c r="C568" s="1602" t="s">
        <v>49</v>
      </c>
      <c r="D568" s="1743"/>
      <c r="E568" s="1743"/>
      <c r="F568" s="1743"/>
      <c r="G568" s="1743"/>
      <c r="H568" s="1744"/>
      <c r="I568" s="1744"/>
      <c r="J568" s="1744"/>
      <c r="K568" s="1744"/>
      <c r="L568" s="1744"/>
      <c r="M568" s="1744"/>
      <c r="N568" s="1744"/>
      <c r="O568" s="1744"/>
      <c r="P568" s="1745"/>
      <c r="Q568" s="1745"/>
      <c r="R568" s="1591"/>
      <c r="S568" s="1591"/>
      <c r="T568" s="1739"/>
      <c r="U568" s="1739"/>
      <c r="V568" s="1591"/>
      <c r="W568" s="1591"/>
      <c r="X568" s="1739"/>
      <c r="Y568" s="1739"/>
      <c r="Z568" s="1739"/>
      <c r="AA568" s="1739"/>
      <c r="AB568" s="1739"/>
      <c r="AC568" s="1739"/>
      <c r="AD568" s="1739"/>
      <c r="AE568" s="1739"/>
      <c r="AF568" s="1599"/>
      <c r="AG568" s="1009">
        <f t="shared" si="301"/>
        <v>0</v>
      </c>
      <c r="AH568" s="1009">
        <f t="shared" si="291"/>
        <v>0</v>
      </c>
      <c r="AI568" s="1908">
        <f t="shared" si="303"/>
        <v>1</v>
      </c>
    </row>
    <row r="569" spans="1:36" ht="73.5" hidden="1" customHeight="1" x14ac:dyDescent="0.25">
      <c r="A569" s="1601" t="s">
        <v>2989</v>
      </c>
      <c r="B569" s="1601"/>
      <c r="C569" s="1746" t="s">
        <v>50</v>
      </c>
      <c r="D569" s="1603"/>
      <c r="E569" s="1603"/>
      <c r="F569" s="1603"/>
      <c r="G569" s="1603"/>
      <c r="H569" s="1604"/>
      <c r="I569" s="1604"/>
      <c r="J569" s="1604"/>
      <c r="K569" s="1604"/>
      <c r="L569" s="1604"/>
      <c r="M569" s="1604"/>
      <c r="N569" s="1604"/>
      <c r="O569" s="1604"/>
      <c r="P569" s="1605"/>
      <c r="Q569" s="1605"/>
      <c r="R569" s="1591"/>
      <c r="S569" s="1591"/>
      <c r="T569" s="1741"/>
      <c r="U569" s="1741"/>
      <c r="V569" s="1591"/>
      <c r="W569" s="1591"/>
      <c r="X569" s="1741"/>
      <c r="Y569" s="1741"/>
      <c r="Z569" s="1741"/>
      <c r="AA569" s="1741"/>
      <c r="AB569" s="1741"/>
      <c r="AC569" s="1741"/>
      <c r="AD569" s="1741"/>
      <c r="AE569" s="1741"/>
      <c r="AF569" s="1599"/>
      <c r="AG569" s="1009">
        <f t="shared" si="301"/>
        <v>0</v>
      </c>
      <c r="AH569" s="1009">
        <f t="shared" si="291"/>
        <v>0</v>
      </c>
      <c r="AI569" s="1908">
        <f t="shared" si="303"/>
        <v>1</v>
      </c>
    </row>
    <row r="570" spans="1:36" ht="39.75" hidden="1" customHeight="1" x14ac:dyDescent="0.25">
      <c r="A570" s="1677" t="s">
        <v>2990</v>
      </c>
      <c r="B570" s="1677"/>
      <c r="C570" s="1587" t="s">
        <v>1008</v>
      </c>
      <c r="D570" s="1608"/>
      <c r="E570" s="1646"/>
      <c r="F570" s="1646"/>
      <c r="G570" s="1646"/>
      <c r="H570" s="1648"/>
      <c r="I570" s="1822"/>
      <c r="J570" s="1747"/>
      <c r="K570" s="1747"/>
      <c r="L570" s="1747"/>
      <c r="M570" s="1747"/>
      <c r="N570" s="1648">
        <v>1650</v>
      </c>
      <c r="O570" s="1648">
        <v>1650</v>
      </c>
      <c r="P570" s="1748">
        <v>1650</v>
      </c>
      <c r="Q570" s="1748">
        <v>1650</v>
      </c>
      <c r="R570" s="1591"/>
      <c r="S570" s="1591"/>
      <c r="T570" s="1623">
        <v>1650</v>
      </c>
      <c r="U570" s="1623">
        <v>1650</v>
      </c>
      <c r="V570" s="1591"/>
      <c r="W570" s="1591"/>
      <c r="X570" s="1623">
        <v>1650</v>
      </c>
      <c r="Y570" s="1623">
        <v>1650</v>
      </c>
      <c r="Z570" s="1623">
        <v>1650</v>
      </c>
      <c r="AA570" s="1623">
        <v>1650</v>
      </c>
      <c r="AB570" s="1623"/>
      <c r="AC570" s="1623"/>
      <c r="AD570" s="1623">
        <f t="shared" ref="AD570:AD572" si="312">AE570</f>
        <v>1650</v>
      </c>
      <c r="AE570" s="1623">
        <f>AA570+AB570+AC570</f>
        <v>1650</v>
      </c>
      <c r="AF570" s="1599"/>
      <c r="AG570" s="1009">
        <f t="shared" si="301"/>
        <v>0</v>
      </c>
      <c r="AH570" s="1009">
        <f t="shared" si="291"/>
        <v>1</v>
      </c>
      <c r="AI570" s="1908"/>
    </row>
    <row r="571" spans="1:36" ht="55.5" hidden="1" customHeight="1" x14ac:dyDescent="0.25">
      <c r="A571" s="1677" t="s">
        <v>2991</v>
      </c>
      <c r="B571" s="1677"/>
      <c r="C571" s="1587" t="s">
        <v>1051</v>
      </c>
      <c r="D571" s="1588" t="s">
        <v>1040</v>
      </c>
      <c r="E571" s="1589"/>
      <c r="F571" s="1589" t="s">
        <v>199</v>
      </c>
      <c r="G571" s="1588" t="s">
        <v>1050</v>
      </c>
      <c r="H571" s="1648">
        <v>2986</v>
      </c>
      <c r="I571" s="1648">
        <v>2986</v>
      </c>
      <c r="J571" s="1747">
        <v>1500</v>
      </c>
      <c r="K571" s="1747">
        <f>J571</f>
        <v>1500</v>
      </c>
      <c r="L571" s="1747">
        <v>1500</v>
      </c>
      <c r="M571" s="1747">
        <f>L571</f>
        <v>1500</v>
      </c>
      <c r="N571" s="1648">
        <v>570</v>
      </c>
      <c r="O571" s="1648">
        <v>570</v>
      </c>
      <c r="P571" s="1748">
        <v>570</v>
      </c>
      <c r="Q571" s="1748">
        <v>570</v>
      </c>
      <c r="R571" s="1591"/>
      <c r="S571" s="1591"/>
      <c r="T571" s="1623">
        <v>570</v>
      </c>
      <c r="U571" s="1623">
        <v>570</v>
      </c>
      <c r="V571" s="1591"/>
      <c r="W571" s="1591"/>
      <c r="X571" s="1623">
        <v>570</v>
      </c>
      <c r="Y571" s="1623">
        <v>570</v>
      </c>
      <c r="Z571" s="1623">
        <v>570</v>
      </c>
      <c r="AA571" s="1623">
        <v>570</v>
      </c>
      <c r="AB571" s="1623"/>
      <c r="AC571" s="1623"/>
      <c r="AD571" s="1623">
        <f t="shared" si="312"/>
        <v>570</v>
      </c>
      <c r="AE571" s="1623">
        <f>AA571+AB571+AC571</f>
        <v>570</v>
      </c>
      <c r="AF571" s="1599"/>
      <c r="AG571" s="1009">
        <f t="shared" si="301"/>
        <v>0</v>
      </c>
      <c r="AH571" s="1009">
        <f t="shared" si="291"/>
        <v>1</v>
      </c>
      <c r="AI571" s="1908">
        <f t="shared" si="303"/>
        <v>1</v>
      </c>
    </row>
    <row r="572" spans="1:36" ht="49.5" hidden="1" x14ac:dyDescent="0.25">
      <c r="A572" s="1677" t="s">
        <v>3451</v>
      </c>
      <c r="B572" s="1677"/>
      <c r="C572" s="1587" t="s">
        <v>1049</v>
      </c>
      <c r="D572" s="1588" t="s">
        <v>1048</v>
      </c>
      <c r="E572" s="1589" t="s">
        <v>1047</v>
      </c>
      <c r="F572" s="1589" t="s">
        <v>738</v>
      </c>
      <c r="G572" s="1588" t="s">
        <v>1046</v>
      </c>
      <c r="H572" s="1590">
        <v>9311</v>
      </c>
      <c r="I572" s="1590">
        <v>9311</v>
      </c>
      <c r="J572" s="1747">
        <v>4200</v>
      </c>
      <c r="K572" s="1747">
        <v>4200</v>
      </c>
      <c r="L572" s="1747">
        <v>4200</v>
      </c>
      <c r="M572" s="1747">
        <v>4200</v>
      </c>
      <c r="N572" s="1648">
        <f>O572</f>
        <v>4500</v>
      </c>
      <c r="O572" s="1648">
        <v>4500</v>
      </c>
      <c r="P572" s="1748">
        <v>4500</v>
      </c>
      <c r="Q572" s="1748">
        <v>4500</v>
      </c>
      <c r="R572" s="1591"/>
      <c r="S572" s="1591"/>
      <c r="T572" s="1623">
        <v>4500</v>
      </c>
      <c r="U572" s="1623">
        <v>4500</v>
      </c>
      <c r="V572" s="1591"/>
      <c r="W572" s="1591"/>
      <c r="X572" s="1623">
        <v>4500</v>
      </c>
      <c r="Y572" s="1623">
        <v>4500</v>
      </c>
      <c r="Z572" s="1623">
        <v>4500</v>
      </c>
      <c r="AA572" s="1623">
        <v>4500</v>
      </c>
      <c r="AB572" s="1623"/>
      <c r="AC572" s="1623"/>
      <c r="AD572" s="1623">
        <f t="shared" si="312"/>
        <v>4500</v>
      </c>
      <c r="AE572" s="1623">
        <f>AA572+AB572+AC572</f>
        <v>4500</v>
      </c>
      <c r="AF572" s="1608"/>
      <c r="AG572" s="1009">
        <f t="shared" si="301"/>
        <v>0</v>
      </c>
      <c r="AH572" s="1009">
        <f t="shared" si="291"/>
        <v>1</v>
      </c>
      <c r="AI572" s="1908">
        <f t="shared" si="303"/>
        <v>1</v>
      </c>
    </row>
    <row r="573" spans="1:36" ht="123" hidden="1" customHeight="1" x14ac:dyDescent="0.25">
      <c r="A573" s="1677" t="s">
        <v>3452</v>
      </c>
      <c r="B573" s="1677"/>
      <c r="C573" s="1587" t="s">
        <v>1992</v>
      </c>
      <c r="D573" s="1608" t="s">
        <v>205</v>
      </c>
      <c r="E573" s="1588" t="s">
        <v>1993</v>
      </c>
      <c r="F573" s="1646" t="s">
        <v>199</v>
      </c>
      <c r="G573" s="1608" t="s">
        <v>1994</v>
      </c>
      <c r="H573" s="1836">
        <v>6764</v>
      </c>
      <c r="I573" s="1796">
        <f>H573</f>
        <v>6764</v>
      </c>
      <c r="J573" s="1834">
        <v>3000</v>
      </c>
      <c r="K573" s="1796">
        <f>J573</f>
        <v>3000</v>
      </c>
      <c r="L573" s="1834">
        <v>3000</v>
      </c>
      <c r="M573" s="1796">
        <f>L573</f>
        <v>3000</v>
      </c>
      <c r="N573" s="1796">
        <v>3100</v>
      </c>
      <c r="O573" s="1796">
        <f>N573</f>
        <v>3100</v>
      </c>
      <c r="P573" s="1796">
        <v>3100</v>
      </c>
      <c r="Q573" s="1796">
        <f>P573</f>
        <v>3100</v>
      </c>
      <c r="R573" s="1796"/>
      <c r="S573" s="1796"/>
      <c r="T573" s="1796">
        <v>3100</v>
      </c>
      <c r="U573" s="1796">
        <f>T573</f>
        <v>3100</v>
      </c>
      <c r="V573" s="1796"/>
      <c r="W573" s="1796"/>
      <c r="X573" s="1796">
        <v>3100</v>
      </c>
      <c r="Y573" s="1796">
        <f>X573</f>
        <v>3100</v>
      </c>
      <c r="Z573" s="1796">
        <v>3100</v>
      </c>
      <c r="AA573" s="1796">
        <v>3100</v>
      </c>
      <c r="AB573" s="1623"/>
      <c r="AC573" s="1623"/>
      <c r="AD573" s="1796">
        <v>3100</v>
      </c>
      <c r="AE573" s="1796">
        <f>AD573</f>
        <v>3100</v>
      </c>
      <c r="AF573" s="1608"/>
      <c r="AG573" s="1009"/>
      <c r="AH573" s="1009"/>
      <c r="AI573" s="1908"/>
    </row>
    <row r="574" spans="1:36" ht="37.5" hidden="1" customHeight="1" x14ac:dyDescent="0.25">
      <c r="A574" s="1600" t="s">
        <v>2992</v>
      </c>
      <c r="B574" s="1600"/>
      <c r="C574" s="1602" t="s">
        <v>86</v>
      </c>
      <c r="D574" s="1603"/>
      <c r="E574" s="1603"/>
      <c r="F574" s="1603"/>
      <c r="G574" s="1603"/>
      <c r="H574" s="1604">
        <f t="shared" ref="H574:X574" si="313">H575</f>
        <v>191164</v>
      </c>
      <c r="I574" s="1604">
        <f t="shared" si="313"/>
        <v>191164</v>
      </c>
      <c r="J574" s="1604">
        <f t="shared" si="313"/>
        <v>0</v>
      </c>
      <c r="K574" s="1604">
        <f t="shared" si="313"/>
        <v>0</v>
      </c>
      <c r="L574" s="1604">
        <f t="shared" si="313"/>
        <v>0</v>
      </c>
      <c r="M574" s="1604">
        <f t="shared" si="313"/>
        <v>0</v>
      </c>
      <c r="N574" s="1604">
        <f t="shared" si="313"/>
        <v>112570</v>
      </c>
      <c r="O574" s="1604">
        <f t="shared" si="313"/>
        <v>112570</v>
      </c>
      <c r="P574" s="1604">
        <f t="shared" si="313"/>
        <v>112570</v>
      </c>
      <c r="Q574" s="1604">
        <f t="shared" si="313"/>
        <v>112570</v>
      </c>
      <c r="R574" s="1604">
        <f t="shared" si="313"/>
        <v>0</v>
      </c>
      <c r="S574" s="1604">
        <f t="shared" si="313"/>
        <v>0</v>
      </c>
      <c r="T574" s="1604">
        <f t="shared" si="313"/>
        <v>112570</v>
      </c>
      <c r="U574" s="1604">
        <f t="shared" si="313"/>
        <v>112570</v>
      </c>
      <c r="V574" s="1604">
        <f t="shared" si="313"/>
        <v>48270</v>
      </c>
      <c r="W574" s="1604">
        <f t="shared" si="313"/>
        <v>29370</v>
      </c>
      <c r="X574" s="1604">
        <f t="shared" si="313"/>
        <v>131470</v>
      </c>
      <c r="Y574" s="1604">
        <f>Y575</f>
        <v>131470</v>
      </c>
      <c r="Z574" s="1604">
        <v>131470</v>
      </c>
      <c r="AA574" s="1604">
        <v>131470</v>
      </c>
      <c r="AB574" s="1604"/>
      <c r="AC574" s="1604"/>
      <c r="AD574" s="1604">
        <f t="shared" ref="AD574" si="314">AD575</f>
        <v>131470</v>
      </c>
      <c r="AE574" s="1604">
        <f>AE575</f>
        <v>131470</v>
      </c>
      <c r="AF574" s="1606"/>
      <c r="AG574" s="1009">
        <f t="shared" ref="AG574:AG598" si="315">IF(AE574-AA574=0,0,1)</f>
        <v>0</v>
      </c>
      <c r="AH574" s="1009">
        <f t="shared" si="291"/>
        <v>1</v>
      </c>
      <c r="AI574" s="1908">
        <f t="shared" si="303"/>
        <v>1</v>
      </c>
    </row>
    <row r="575" spans="1:36" ht="57.75" hidden="1" customHeight="1" x14ac:dyDescent="0.25">
      <c r="A575" s="1601" t="s">
        <v>2993</v>
      </c>
      <c r="B575" s="1601"/>
      <c r="C575" s="1602" t="s">
        <v>88</v>
      </c>
      <c r="D575" s="1603"/>
      <c r="E575" s="1603"/>
      <c r="F575" s="1603"/>
      <c r="G575" s="1603"/>
      <c r="H575" s="1604">
        <f>SUM(H576:H601)</f>
        <v>191164</v>
      </c>
      <c r="I575" s="1604">
        <f t="shared" ref="I575:AE575" si="316">SUM(I576:I601)</f>
        <v>191164</v>
      </c>
      <c r="J575" s="1604">
        <f t="shared" si="316"/>
        <v>0</v>
      </c>
      <c r="K575" s="1604">
        <f t="shared" si="316"/>
        <v>0</v>
      </c>
      <c r="L575" s="1604">
        <f t="shared" si="316"/>
        <v>0</v>
      </c>
      <c r="M575" s="1604">
        <f t="shared" si="316"/>
        <v>0</v>
      </c>
      <c r="N575" s="1604">
        <f t="shared" si="316"/>
        <v>112570</v>
      </c>
      <c r="O575" s="1604">
        <f t="shared" si="316"/>
        <v>112570</v>
      </c>
      <c r="P575" s="1604">
        <f t="shared" si="316"/>
        <v>112570</v>
      </c>
      <c r="Q575" s="1604">
        <f t="shared" si="316"/>
        <v>112570</v>
      </c>
      <c r="R575" s="1604">
        <f t="shared" si="316"/>
        <v>0</v>
      </c>
      <c r="S575" s="1604">
        <f t="shared" si="316"/>
        <v>0</v>
      </c>
      <c r="T575" s="1604">
        <f t="shared" si="316"/>
        <v>112570</v>
      </c>
      <c r="U575" s="1604">
        <f t="shared" si="316"/>
        <v>112570</v>
      </c>
      <c r="V575" s="1604">
        <f t="shared" si="316"/>
        <v>48270</v>
      </c>
      <c r="W575" s="1604">
        <f t="shared" si="316"/>
        <v>29370</v>
      </c>
      <c r="X575" s="1604">
        <f t="shared" si="316"/>
        <v>131470</v>
      </c>
      <c r="Y575" s="1604">
        <f t="shared" si="316"/>
        <v>131470</v>
      </c>
      <c r="Z575" s="1604">
        <v>131470</v>
      </c>
      <c r="AA575" s="1604">
        <v>131470</v>
      </c>
      <c r="AB575" s="1604"/>
      <c r="AC575" s="1604"/>
      <c r="AD575" s="1604">
        <f t="shared" si="316"/>
        <v>131470</v>
      </c>
      <c r="AE575" s="1604">
        <f t="shared" si="316"/>
        <v>131470</v>
      </c>
      <c r="AF575" s="1606"/>
      <c r="AG575" s="1009">
        <f t="shared" si="315"/>
        <v>0</v>
      </c>
      <c r="AH575" s="1009">
        <f t="shared" si="291"/>
        <v>1</v>
      </c>
      <c r="AI575" s="1908">
        <f t="shared" si="303"/>
        <v>1</v>
      </c>
      <c r="AJ575" s="1908"/>
    </row>
    <row r="576" spans="1:36" ht="57" hidden="1" customHeight="1" x14ac:dyDescent="0.25">
      <c r="A576" s="1677" t="s">
        <v>2994</v>
      </c>
      <c r="B576" s="1677"/>
      <c r="C576" s="1645" t="s">
        <v>1045</v>
      </c>
      <c r="D576" s="1588" t="s">
        <v>1044</v>
      </c>
      <c r="E576" s="1589" t="s">
        <v>1043</v>
      </c>
      <c r="F576" s="1589" t="s">
        <v>183</v>
      </c>
      <c r="G576" s="1588" t="s">
        <v>1042</v>
      </c>
      <c r="H576" s="1590">
        <v>2976</v>
      </c>
      <c r="I576" s="1590">
        <v>2976</v>
      </c>
      <c r="J576" s="1747"/>
      <c r="K576" s="1747"/>
      <c r="L576" s="1747"/>
      <c r="M576" s="1747"/>
      <c r="N576" s="1648">
        <v>2500</v>
      </c>
      <c r="O576" s="1648">
        <v>2500</v>
      </c>
      <c r="P576" s="1748">
        <v>2500</v>
      </c>
      <c r="Q576" s="1748">
        <v>2500</v>
      </c>
      <c r="R576" s="1591"/>
      <c r="S576" s="1591"/>
      <c r="T576" s="1623">
        <v>2500</v>
      </c>
      <c r="U576" s="1623">
        <v>2500</v>
      </c>
      <c r="V576" s="1591"/>
      <c r="W576" s="1591"/>
      <c r="X576" s="1623">
        <v>2500</v>
      </c>
      <c r="Y576" s="1623">
        <v>2500</v>
      </c>
      <c r="Z576" s="1623">
        <v>2500</v>
      </c>
      <c r="AA576" s="1623">
        <v>2500</v>
      </c>
      <c r="AB576" s="1623"/>
      <c r="AC576" s="1623"/>
      <c r="AD576" s="1623">
        <f t="shared" ref="AD576:AD598" si="317">AE576</f>
        <v>2500</v>
      </c>
      <c r="AE576" s="1623">
        <f t="shared" ref="AE576:AE598" si="318">AA576+AB576+AC576</f>
        <v>2500</v>
      </c>
      <c r="AF576" s="1599"/>
      <c r="AG576" s="1009">
        <f t="shared" si="315"/>
        <v>0</v>
      </c>
      <c r="AH576" s="1009">
        <f t="shared" si="291"/>
        <v>1</v>
      </c>
      <c r="AI576" s="1908">
        <f t="shared" si="303"/>
        <v>1</v>
      </c>
    </row>
    <row r="577" spans="1:36" ht="54.75" hidden="1" customHeight="1" x14ac:dyDescent="0.25">
      <c r="A577" s="1677" t="s">
        <v>2995</v>
      </c>
      <c r="B577" s="1677"/>
      <c r="C577" s="1587" t="s">
        <v>1041</v>
      </c>
      <c r="D577" s="1588" t="s">
        <v>1040</v>
      </c>
      <c r="E577" s="1589" t="s">
        <v>1039</v>
      </c>
      <c r="F577" s="1589" t="s">
        <v>183</v>
      </c>
      <c r="G577" s="1588" t="s">
        <v>1038</v>
      </c>
      <c r="H577" s="1590">
        <v>4610</v>
      </c>
      <c r="I577" s="1590">
        <v>4610</v>
      </c>
      <c r="J577" s="1747"/>
      <c r="K577" s="1747"/>
      <c r="L577" s="1747"/>
      <c r="M577" s="1747"/>
      <c r="N577" s="1648">
        <v>4200</v>
      </c>
      <c r="O577" s="1648">
        <v>4200</v>
      </c>
      <c r="P577" s="1748">
        <v>4200</v>
      </c>
      <c r="Q577" s="1748">
        <v>4200</v>
      </c>
      <c r="R577" s="1591"/>
      <c r="S577" s="1591"/>
      <c r="T577" s="1623">
        <v>4200</v>
      </c>
      <c r="U577" s="1623">
        <v>4200</v>
      </c>
      <c r="V577" s="1591"/>
      <c r="W577" s="1591"/>
      <c r="X577" s="1623">
        <v>4200</v>
      </c>
      <c r="Y577" s="1623">
        <v>4200</v>
      </c>
      <c r="Z577" s="1623">
        <v>4200</v>
      </c>
      <c r="AA577" s="1623">
        <v>4200</v>
      </c>
      <c r="AB577" s="1623"/>
      <c r="AC577" s="1623"/>
      <c r="AD577" s="1623">
        <f t="shared" si="317"/>
        <v>4200</v>
      </c>
      <c r="AE577" s="1623">
        <f t="shared" si="318"/>
        <v>4200</v>
      </c>
      <c r="AF577" s="1599"/>
      <c r="AG577" s="1009">
        <f t="shared" si="315"/>
        <v>0</v>
      </c>
      <c r="AH577" s="1009">
        <f t="shared" si="291"/>
        <v>1</v>
      </c>
      <c r="AI577" s="1908">
        <f t="shared" si="303"/>
        <v>1</v>
      </c>
    </row>
    <row r="578" spans="1:36" ht="55.5" hidden="1" customHeight="1" x14ac:dyDescent="0.25">
      <c r="A578" s="1677" t="s">
        <v>2996</v>
      </c>
      <c r="B578" s="1677"/>
      <c r="C578" s="1587" t="s">
        <v>1037</v>
      </c>
      <c r="D578" s="1588"/>
      <c r="E578" s="1588" t="s">
        <v>1036</v>
      </c>
      <c r="F578" s="1589" t="s">
        <v>109</v>
      </c>
      <c r="G578" s="1588"/>
      <c r="H578" s="1590">
        <v>1426</v>
      </c>
      <c r="I578" s="1590">
        <v>1426</v>
      </c>
      <c r="J578" s="1747"/>
      <c r="K578" s="1747"/>
      <c r="L578" s="1747"/>
      <c r="M578" s="1747"/>
      <c r="N578" s="1648">
        <v>1200</v>
      </c>
      <c r="O578" s="1622">
        <v>1200</v>
      </c>
      <c r="P578" s="1748">
        <v>1200</v>
      </c>
      <c r="Q578" s="1748">
        <v>1200</v>
      </c>
      <c r="R578" s="1591"/>
      <c r="S578" s="1591"/>
      <c r="T578" s="1623">
        <v>1200</v>
      </c>
      <c r="U578" s="1623">
        <v>1200</v>
      </c>
      <c r="V578" s="1591"/>
      <c r="W578" s="1591"/>
      <c r="X578" s="1623">
        <v>1200</v>
      </c>
      <c r="Y578" s="1623">
        <v>1200</v>
      </c>
      <c r="Z578" s="1623">
        <v>1200</v>
      </c>
      <c r="AA578" s="1623">
        <v>1200</v>
      </c>
      <c r="AB578" s="1623"/>
      <c r="AC578" s="1623"/>
      <c r="AD578" s="1623">
        <f t="shared" si="317"/>
        <v>1200</v>
      </c>
      <c r="AE578" s="1623">
        <f t="shared" si="318"/>
        <v>1200</v>
      </c>
      <c r="AF578" s="1599"/>
      <c r="AG578" s="1009">
        <f t="shared" si="315"/>
        <v>0</v>
      </c>
      <c r="AH578" s="1009">
        <f t="shared" si="291"/>
        <v>1</v>
      </c>
      <c r="AI578" s="1908">
        <f t="shared" si="303"/>
        <v>1</v>
      </c>
    </row>
    <row r="579" spans="1:36" ht="72.75" hidden="1" customHeight="1" x14ac:dyDescent="0.25">
      <c r="A579" s="1677" t="s">
        <v>2997</v>
      </c>
      <c r="B579" s="1677"/>
      <c r="C579" s="1587" t="s">
        <v>1035</v>
      </c>
      <c r="D579" s="1588"/>
      <c r="E579" s="1588" t="s">
        <v>1034</v>
      </c>
      <c r="F579" s="1589" t="s">
        <v>109</v>
      </c>
      <c r="G579" s="1588"/>
      <c r="H579" s="1590">
        <v>2356</v>
      </c>
      <c r="I579" s="1590">
        <v>2356</v>
      </c>
      <c r="J579" s="1747"/>
      <c r="K579" s="1747"/>
      <c r="L579" s="1747"/>
      <c r="M579" s="1747"/>
      <c r="N579" s="1648">
        <v>2000</v>
      </c>
      <c r="O579" s="1622">
        <f>N579</f>
        <v>2000</v>
      </c>
      <c r="P579" s="1748">
        <v>2000</v>
      </c>
      <c r="Q579" s="1748">
        <v>2000</v>
      </c>
      <c r="R579" s="1591"/>
      <c r="S579" s="1591"/>
      <c r="T579" s="1623">
        <v>2000</v>
      </c>
      <c r="U579" s="1623">
        <v>2000</v>
      </c>
      <c r="V579" s="1591"/>
      <c r="W579" s="1591"/>
      <c r="X579" s="1623">
        <v>2000</v>
      </c>
      <c r="Y579" s="1623">
        <v>2000</v>
      </c>
      <c r="Z579" s="1623">
        <v>2000</v>
      </c>
      <c r="AA579" s="1623">
        <v>2000</v>
      </c>
      <c r="AB579" s="1623"/>
      <c r="AC579" s="1623"/>
      <c r="AD579" s="1623">
        <f t="shared" si="317"/>
        <v>2000</v>
      </c>
      <c r="AE579" s="1623">
        <f t="shared" si="318"/>
        <v>2000</v>
      </c>
      <c r="AF579" s="1599"/>
      <c r="AG579" s="1009">
        <f t="shared" si="315"/>
        <v>0</v>
      </c>
      <c r="AH579" s="1009">
        <f t="shared" si="291"/>
        <v>1</v>
      </c>
      <c r="AI579" s="1908">
        <f t="shared" si="303"/>
        <v>1</v>
      </c>
    </row>
    <row r="580" spans="1:36" ht="54.75" hidden="1" customHeight="1" x14ac:dyDescent="0.25">
      <c r="A580" s="1677" t="s">
        <v>2998</v>
      </c>
      <c r="B580" s="1677"/>
      <c r="C580" s="1587" t="s">
        <v>1033</v>
      </c>
      <c r="D580" s="1588"/>
      <c r="E580" s="1588" t="s">
        <v>1032</v>
      </c>
      <c r="F580" s="1589" t="s">
        <v>109</v>
      </c>
      <c r="G580" s="1588"/>
      <c r="H580" s="1590">
        <v>2007</v>
      </c>
      <c r="I580" s="1590">
        <v>2007</v>
      </c>
      <c r="J580" s="1747"/>
      <c r="K580" s="1747"/>
      <c r="L580" s="1747"/>
      <c r="M580" s="1747"/>
      <c r="N580" s="1648">
        <v>1800</v>
      </c>
      <c r="O580" s="1622">
        <f>N580</f>
        <v>1800</v>
      </c>
      <c r="P580" s="1748">
        <v>1800</v>
      </c>
      <c r="Q580" s="1748">
        <v>1800</v>
      </c>
      <c r="R580" s="1591"/>
      <c r="S580" s="1591"/>
      <c r="T580" s="1623">
        <v>1800</v>
      </c>
      <c r="U580" s="1623">
        <v>1800</v>
      </c>
      <c r="V580" s="1591"/>
      <c r="W580" s="1591">
        <v>1800</v>
      </c>
      <c r="X580" s="1623">
        <f>Y580</f>
        <v>0</v>
      </c>
      <c r="Y580" s="1623">
        <f>O580-W580</f>
        <v>0</v>
      </c>
      <c r="Z580" s="1623">
        <v>0</v>
      </c>
      <c r="AA580" s="1623">
        <v>0</v>
      </c>
      <c r="AB580" s="1623"/>
      <c r="AC580" s="1623"/>
      <c r="AD580" s="1623">
        <f t="shared" si="317"/>
        <v>0</v>
      </c>
      <c r="AE580" s="1623">
        <f t="shared" si="318"/>
        <v>0</v>
      </c>
      <c r="AF580" s="1580"/>
      <c r="AG580" s="1009">
        <f t="shared" si="315"/>
        <v>0</v>
      </c>
      <c r="AH580" s="1009">
        <f t="shared" si="291"/>
        <v>0</v>
      </c>
      <c r="AI580" s="1908">
        <f t="shared" si="303"/>
        <v>1</v>
      </c>
      <c r="AJ580" s="1908"/>
    </row>
    <row r="581" spans="1:36" ht="33" hidden="1" x14ac:dyDescent="0.25">
      <c r="A581" s="1677" t="s">
        <v>2999</v>
      </c>
      <c r="B581" s="1677"/>
      <c r="C581" s="1587" t="s">
        <v>1031</v>
      </c>
      <c r="D581" s="1588"/>
      <c r="E581" s="1588" t="s">
        <v>1030</v>
      </c>
      <c r="F581" s="1589" t="s">
        <v>109</v>
      </c>
      <c r="G581" s="1588"/>
      <c r="H581" s="1590">
        <v>1511</v>
      </c>
      <c r="I581" s="1590">
        <v>1511</v>
      </c>
      <c r="J581" s="1747"/>
      <c r="K581" s="1747"/>
      <c r="L581" s="1747"/>
      <c r="M581" s="1747"/>
      <c r="N581" s="1648">
        <f>O581</f>
        <v>1300</v>
      </c>
      <c r="O581" s="1622">
        <v>1300</v>
      </c>
      <c r="P581" s="1748">
        <v>1300</v>
      </c>
      <c r="Q581" s="1748">
        <v>1300</v>
      </c>
      <c r="R581" s="1591"/>
      <c r="S581" s="1591"/>
      <c r="T581" s="1623">
        <v>1300</v>
      </c>
      <c r="U581" s="1623">
        <v>1300</v>
      </c>
      <c r="V581" s="1591"/>
      <c r="W581" s="1591"/>
      <c r="X581" s="1623">
        <v>1300</v>
      </c>
      <c r="Y581" s="1623">
        <v>1300</v>
      </c>
      <c r="Z581" s="1623">
        <v>1300</v>
      </c>
      <c r="AA581" s="1623">
        <v>1300</v>
      </c>
      <c r="AB581" s="1623"/>
      <c r="AC581" s="1623"/>
      <c r="AD581" s="1623">
        <f t="shared" si="317"/>
        <v>1300</v>
      </c>
      <c r="AE581" s="1623">
        <f t="shared" si="318"/>
        <v>1300</v>
      </c>
      <c r="AF581" s="1599"/>
      <c r="AG581" s="1009">
        <f t="shared" si="315"/>
        <v>0</v>
      </c>
      <c r="AH581" s="1009">
        <f t="shared" si="291"/>
        <v>1</v>
      </c>
      <c r="AI581" s="1908">
        <f t="shared" si="303"/>
        <v>1</v>
      </c>
    </row>
    <row r="582" spans="1:36" ht="53.25" hidden="1" customHeight="1" x14ac:dyDescent="0.25">
      <c r="A582" s="1677" t="s">
        <v>3000</v>
      </c>
      <c r="B582" s="1677"/>
      <c r="C582" s="1587" t="s">
        <v>1029</v>
      </c>
      <c r="D582" s="1588"/>
      <c r="E582" s="1588" t="s">
        <v>1028</v>
      </c>
      <c r="F582" s="1589" t="s">
        <v>109</v>
      </c>
      <c r="G582" s="1588"/>
      <c r="H582" s="1590">
        <v>1063</v>
      </c>
      <c r="I582" s="1590">
        <v>1063</v>
      </c>
      <c r="J582" s="1747"/>
      <c r="K582" s="1747"/>
      <c r="L582" s="1747"/>
      <c r="M582" s="1747"/>
      <c r="N582" s="1648">
        <v>960</v>
      </c>
      <c r="O582" s="1622">
        <f t="shared" ref="O582:O590" si="319">N582</f>
        <v>960</v>
      </c>
      <c r="P582" s="1748">
        <v>960</v>
      </c>
      <c r="Q582" s="1748">
        <v>960</v>
      </c>
      <c r="R582" s="1591"/>
      <c r="S582" s="1591"/>
      <c r="T582" s="1623">
        <v>960</v>
      </c>
      <c r="U582" s="1623">
        <v>960</v>
      </c>
      <c r="V582" s="1591"/>
      <c r="W582" s="1591"/>
      <c r="X582" s="1623">
        <v>960</v>
      </c>
      <c r="Y582" s="1623">
        <v>960</v>
      </c>
      <c r="Z582" s="1623">
        <v>960</v>
      </c>
      <c r="AA582" s="1623">
        <v>960</v>
      </c>
      <c r="AB582" s="1623"/>
      <c r="AC582" s="1623"/>
      <c r="AD582" s="1623">
        <f t="shared" si="317"/>
        <v>960</v>
      </c>
      <c r="AE582" s="1623">
        <f t="shared" si="318"/>
        <v>960</v>
      </c>
      <c r="AF582" s="1599"/>
      <c r="AG582" s="1009">
        <f t="shared" si="315"/>
        <v>0</v>
      </c>
      <c r="AH582" s="1009">
        <f t="shared" si="291"/>
        <v>1</v>
      </c>
      <c r="AI582" s="1908">
        <f t="shared" si="303"/>
        <v>1</v>
      </c>
    </row>
    <row r="583" spans="1:36" ht="71.25" hidden="1" customHeight="1" x14ac:dyDescent="0.25">
      <c r="A583" s="1677" t="s">
        <v>3001</v>
      </c>
      <c r="B583" s="1677"/>
      <c r="C583" s="1587" t="s">
        <v>1027</v>
      </c>
      <c r="D583" s="1588"/>
      <c r="E583" s="1588" t="s">
        <v>1026</v>
      </c>
      <c r="F583" s="1589" t="s">
        <v>116</v>
      </c>
      <c r="G583" s="1588"/>
      <c r="H583" s="1590">
        <v>1444</v>
      </c>
      <c r="I583" s="1590">
        <v>1444</v>
      </c>
      <c r="J583" s="1747"/>
      <c r="K583" s="1747"/>
      <c r="L583" s="1747"/>
      <c r="M583" s="1747"/>
      <c r="N583" s="1648">
        <v>1280</v>
      </c>
      <c r="O583" s="1622">
        <f t="shared" si="319"/>
        <v>1280</v>
      </c>
      <c r="P583" s="1748">
        <v>1280</v>
      </c>
      <c r="Q583" s="1748">
        <v>1280</v>
      </c>
      <c r="R583" s="1591"/>
      <c r="S583" s="1591"/>
      <c r="T583" s="1623">
        <v>1280</v>
      </c>
      <c r="U583" s="1623">
        <v>1280</v>
      </c>
      <c r="V583" s="1591"/>
      <c r="W583" s="1591"/>
      <c r="X583" s="1623">
        <v>1280</v>
      </c>
      <c r="Y583" s="1623">
        <v>1280</v>
      </c>
      <c r="Z583" s="1623">
        <v>1280</v>
      </c>
      <c r="AA583" s="1623">
        <v>1280</v>
      </c>
      <c r="AB583" s="1623"/>
      <c r="AC583" s="1623"/>
      <c r="AD583" s="1623">
        <f t="shared" si="317"/>
        <v>1280</v>
      </c>
      <c r="AE583" s="1623">
        <f t="shared" si="318"/>
        <v>1280</v>
      </c>
      <c r="AF583" s="1599"/>
      <c r="AG583" s="1009">
        <f t="shared" si="315"/>
        <v>0</v>
      </c>
      <c r="AH583" s="1009">
        <f t="shared" si="291"/>
        <v>1</v>
      </c>
      <c r="AI583" s="1908">
        <f t="shared" si="303"/>
        <v>1</v>
      </c>
    </row>
    <row r="584" spans="1:36" ht="90.75" hidden="1" customHeight="1" x14ac:dyDescent="0.25">
      <c r="A584" s="1677" t="s">
        <v>3002</v>
      </c>
      <c r="B584" s="1677"/>
      <c r="C584" s="1587" t="s">
        <v>1025</v>
      </c>
      <c r="D584" s="1588"/>
      <c r="E584" s="1588" t="s">
        <v>3473</v>
      </c>
      <c r="F584" s="1589" t="s">
        <v>116</v>
      </c>
      <c r="G584" s="1588"/>
      <c r="H584" s="1590">
        <v>3858</v>
      </c>
      <c r="I584" s="1590">
        <v>3858</v>
      </c>
      <c r="J584" s="1747"/>
      <c r="K584" s="1747"/>
      <c r="L584" s="1747"/>
      <c r="M584" s="1747"/>
      <c r="N584" s="1648">
        <v>3500</v>
      </c>
      <c r="O584" s="1622">
        <f t="shared" si="319"/>
        <v>3500</v>
      </c>
      <c r="P584" s="1748">
        <v>3500</v>
      </c>
      <c r="Q584" s="1748">
        <v>3500</v>
      </c>
      <c r="R584" s="1591"/>
      <c r="S584" s="1591"/>
      <c r="T584" s="1623">
        <v>3500</v>
      </c>
      <c r="U584" s="1623">
        <v>3500</v>
      </c>
      <c r="V584" s="1591"/>
      <c r="W584" s="1591"/>
      <c r="X584" s="1623">
        <v>3500</v>
      </c>
      <c r="Y584" s="1623">
        <v>3500</v>
      </c>
      <c r="Z584" s="1623">
        <v>3500</v>
      </c>
      <c r="AA584" s="1623">
        <v>3500</v>
      </c>
      <c r="AB584" s="1623"/>
      <c r="AC584" s="1623"/>
      <c r="AD584" s="1623">
        <f t="shared" si="317"/>
        <v>3500</v>
      </c>
      <c r="AE584" s="1623">
        <f t="shared" si="318"/>
        <v>3500</v>
      </c>
      <c r="AF584" s="1599"/>
      <c r="AG584" s="1009">
        <f t="shared" si="315"/>
        <v>0</v>
      </c>
      <c r="AH584" s="1009">
        <f t="shared" si="291"/>
        <v>1</v>
      </c>
      <c r="AI584" s="1908">
        <f t="shared" si="303"/>
        <v>1</v>
      </c>
    </row>
    <row r="585" spans="1:36" ht="52.5" hidden="1" customHeight="1" x14ac:dyDescent="0.25">
      <c r="A585" s="1677" t="s">
        <v>3003</v>
      </c>
      <c r="B585" s="1677"/>
      <c r="C585" s="1587" t="s">
        <v>1023</v>
      </c>
      <c r="D585" s="1588"/>
      <c r="E585" s="1588" t="s">
        <v>1022</v>
      </c>
      <c r="F585" s="1589" t="s">
        <v>116</v>
      </c>
      <c r="G585" s="1588"/>
      <c r="H585" s="1590">
        <v>6016</v>
      </c>
      <c r="I585" s="1590">
        <v>6016</v>
      </c>
      <c r="J585" s="1747"/>
      <c r="K585" s="1747"/>
      <c r="L585" s="1747"/>
      <c r="M585" s="1747"/>
      <c r="N585" s="1648">
        <v>5400</v>
      </c>
      <c r="O585" s="1622">
        <f t="shared" si="319"/>
        <v>5400</v>
      </c>
      <c r="P585" s="1748">
        <v>5400</v>
      </c>
      <c r="Q585" s="1748">
        <v>5400</v>
      </c>
      <c r="R585" s="1591"/>
      <c r="S585" s="1591"/>
      <c r="T585" s="1623">
        <v>5400</v>
      </c>
      <c r="U585" s="1623">
        <v>5400</v>
      </c>
      <c r="V585" s="1591"/>
      <c r="W585" s="1591"/>
      <c r="X585" s="1623">
        <v>5400</v>
      </c>
      <c r="Y585" s="1623">
        <v>5400</v>
      </c>
      <c r="Z585" s="1623">
        <v>5400</v>
      </c>
      <c r="AA585" s="1623">
        <v>5400</v>
      </c>
      <c r="AB585" s="1623"/>
      <c r="AC585" s="1623"/>
      <c r="AD585" s="1623">
        <f t="shared" si="317"/>
        <v>5400</v>
      </c>
      <c r="AE585" s="1623">
        <f t="shared" si="318"/>
        <v>5400</v>
      </c>
      <c r="AF585" s="1599"/>
      <c r="AG585" s="1009">
        <f t="shared" si="315"/>
        <v>0</v>
      </c>
      <c r="AH585" s="1009">
        <f t="shared" si="291"/>
        <v>1</v>
      </c>
      <c r="AI585" s="1908">
        <f t="shared" si="303"/>
        <v>1</v>
      </c>
    </row>
    <row r="586" spans="1:36" ht="49.5" hidden="1" x14ac:dyDescent="0.25">
      <c r="A586" s="1677" t="s">
        <v>3004</v>
      </c>
      <c r="B586" s="1677"/>
      <c r="C586" s="1587" t="s">
        <v>1021</v>
      </c>
      <c r="D586" s="1588"/>
      <c r="E586" s="1588" t="s">
        <v>1020</v>
      </c>
      <c r="F586" s="1589" t="s">
        <v>116</v>
      </c>
      <c r="G586" s="1588"/>
      <c r="H586" s="1590">
        <v>5604</v>
      </c>
      <c r="I586" s="1590">
        <v>5604</v>
      </c>
      <c r="J586" s="1747"/>
      <c r="K586" s="1747"/>
      <c r="L586" s="1747"/>
      <c r="M586" s="1747"/>
      <c r="N586" s="1648">
        <v>5000</v>
      </c>
      <c r="O586" s="1622">
        <f t="shared" si="319"/>
        <v>5000</v>
      </c>
      <c r="P586" s="1748">
        <v>5000</v>
      </c>
      <c r="Q586" s="1748">
        <v>5000</v>
      </c>
      <c r="R586" s="1591"/>
      <c r="S586" s="1591"/>
      <c r="T586" s="1623">
        <v>5000</v>
      </c>
      <c r="U586" s="1623">
        <v>5000</v>
      </c>
      <c r="V586" s="1591"/>
      <c r="W586" s="1591"/>
      <c r="X586" s="1623">
        <v>5000</v>
      </c>
      <c r="Y586" s="1623">
        <v>5000</v>
      </c>
      <c r="Z586" s="1623">
        <v>5000</v>
      </c>
      <c r="AA586" s="1623">
        <v>5000</v>
      </c>
      <c r="AB586" s="1623"/>
      <c r="AC586" s="1623"/>
      <c r="AD586" s="1623">
        <f t="shared" si="317"/>
        <v>5000</v>
      </c>
      <c r="AE586" s="1623">
        <f t="shared" si="318"/>
        <v>5000</v>
      </c>
      <c r="AF586" s="1599"/>
      <c r="AG586" s="1009">
        <f t="shared" si="315"/>
        <v>0</v>
      </c>
      <c r="AH586" s="1009">
        <f t="shared" si="291"/>
        <v>1</v>
      </c>
      <c r="AI586" s="1908">
        <f t="shared" si="303"/>
        <v>1</v>
      </c>
    </row>
    <row r="587" spans="1:36" ht="53.25" hidden="1" customHeight="1" x14ac:dyDescent="0.25">
      <c r="A587" s="1677" t="s">
        <v>3005</v>
      </c>
      <c r="B587" s="1586"/>
      <c r="C587" s="1587" t="s">
        <v>1019</v>
      </c>
      <c r="D587" s="1588"/>
      <c r="E587" s="1588" t="s">
        <v>1018</v>
      </c>
      <c r="F587" s="1589" t="s">
        <v>116</v>
      </c>
      <c r="G587" s="1588"/>
      <c r="H587" s="1590">
        <v>1823</v>
      </c>
      <c r="I587" s="1590">
        <v>1823</v>
      </c>
      <c r="J587" s="1744"/>
      <c r="K587" s="1744"/>
      <c r="L587" s="1744"/>
      <c r="M587" s="1744"/>
      <c r="N587" s="1648">
        <v>1670</v>
      </c>
      <c r="O587" s="1622">
        <f t="shared" si="319"/>
        <v>1670</v>
      </c>
      <c r="P587" s="1745">
        <v>1670</v>
      </c>
      <c r="Q587" s="1745">
        <v>1670</v>
      </c>
      <c r="R587" s="1591"/>
      <c r="S587" s="1591"/>
      <c r="T587" s="1739">
        <v>1670</v>
      </c>
      <c r="U587" s="1739">
        <v>1670</v>
      </c>
      <c r="V587" s="1591"/>
      <c r="W587" s="1591"/>
      <c r="X587" s="1623">
        <v>1670</v>
      </c>
      <c r="Y587" s="1623">
        <v>1670</v>
      </c>
      <c r="Z587" s="1623">
        <v>1670</v>
      </c>
      <c r="AA587" s="1623">
        <v>1670</v>
      </c>
      <c r="AB587" s="1623"/>
      <c r="AC587" s="1623"/>
      <c r="AD587" s="1623">
        <f t="shared" si="317"/>
        <v>1670</v>
      </c>
      <c r="AE587" s="1623">
        <f t="shared" si="318"/>
        <v>1670</v>
      </c>
      <c r="AF587" s="1585"/>
      <c r="AG587" s="1009">
        <f t="shared" si="315"/>
        <v>0</v>
      </c>
      <c r="AH587" s="1009">
        <f t="shared" si="291"/>
        <v>1</v>
      </c>
      <c r="AI587" s="1908">
        <f t="shared" si="303"/>
        <v>1</v>
      </c>
    </row>
    <row r="588" spans="1:36" ht="49.5" hidden="1" x14ac:dyDescent="0.25">
      <c r="A588" s="1677" t="s">
        <v>3006</v>
      </c>
      <c r="B588" s="1586"/>
      <c r="C588" s="1587" t="s">
        <v>1017</v>
      </c>
      <c r="D588" s="1588"/>
      <c r="E588" s="1588" t="s">
        <v>1016</v>
      </c>
      <c r="F588" s="1589" t="s">
        <v>116</v>
      </c>
      <c r="G588" s="1588"/>
      <c r="H588" s="1590">
        <v>2261</v>
      </c>
      <c r="I588" s="1590">
        <v>2261</v>
      </c>
      <c r="J588" s="1682"/>
      <c r="K588" s="1682"/>
      <c r="L588" s="1682"/>
      <c r="M588" s="1682"/>
      <c r="N588" s="1648">
        <v>2000</v>
      </c>
      <c r="O588" s="1622">
        <f t="shared" si="319"/>
        <v>2000</v>
      </c>
      <c r="P588" s="1766">
        <v>2000</v>
      </c>
      <c r="Q588" s="1766">
        <v>2000</v>
      </c>
      <c r="R588" s="1591"/>
      <c r="S588" s="1591"/>
      <c r="T588" s="1728">
        <v>2000</v>
      </c>
      <c r="U588" s="1728">
        <v>2000</v>
      </c>
      <c r="V588" s="1591"/>
      <c r="W588" s="1591"/>
      <c r="X588" s="1728">
        <v>2000</v>
      </c>
      <c r="Y588" s="1728">
        <v>2000</v>
      </c>
      <c r="Z588" s="1728">
        <v>2000</v>
      </c>
      <c r="AA588" s="1728">
        <v>2000</v>
      </c>
      <c r="AB588" s="1728"/>
      <c r="AC588" s="1728"/>
      <c r="AD588" s="1623">
        <f t="shared" si="317"/>
        <v>2000</v>
      </c>
      <c r="AE588" s="1623">
        <f t="shared" si="318"/>
        <v>2000</v>
      </c>
      <c r="AF588" s="1592"/>
      <c r="AG588" s="1009">
        <f t="shared" si="315"/>
        <v>0</v>
      </c>
      <c r="AH588" s="1009">
        <f t="shared" si="291"/>
        <v>1</v>
      </c>
      <c r="AI588" s="1908">
        <f t="shared" si="303"/>
        <v>1</v>
      </c>
    </row>
    <row r="589" spans="1:36" ht="55.5" hidden="1" customHeight="1" x14ac:dyDescent="0.25">
      <c r="A589" s="1677" t="s">
        <v>3007</v>
      </c>
      <c r="B589" s="1586"/>
      <c r="C589" s="1587" t="s">
        <v>1015</v>
      </c>
      <c r="D589" s="1588"/>
      <c r="E589" s="1588" t="s">
        <v>1014</v>
      </c>
      <c r="F589" s="1589" t="s">
        <v>116</v>
      </c>
      <c r="G589" s="1588"/>
      <c r="H589" s="1590">
        <v>9913</v>
      </c>
      <c r="I589" s="1590">
        <v>9913</v>
      </c>
      <c r="J589" s="1682"/>
      <c r="K589" s="1682"/>
      <c r="L589" s="1682"/>
      <c r="M589" s="1682"/>
      <c r="N589" s="1648">
        <v>9000</v>
      </c>
      <c r="O589" s="1622">
        <f t="shared" si="319"/>
        <v>9000</v>
      </c>
      <c r="P589" s="1766">
        <v>9000</v>
      </c>
      <c r="Q589" s="1766">
        <v>9000</v>
      </c>
      <c r="R589" s="1591"/>
      <c r="S589" s="1591"/>
      <c r="T589" s="1728">
        <v>9000</v>
      </c>
      <c r="U589" s="1728">
        <v>9000</v>
      </c>
      <c r="V589" s="1591"/>
      <c r="W589" s="1591"/>
      <c r="X589" s="1728">
        <v>9000</v>
      </c>
      <c r="Y589" s="1728">
        <v>9000</v>
      </c>
      <c r="Z589" s="1728">
        <v>9000</v>
      </c>
      <c r="AA589" s="1728">
        <v>9000</v>
      </c>
      <c r="AB589" s="1728"/>
      <c r="AC589" s="1728"/>
      <c r="AD589" s="1623">
        <f t="shared" si="317"/>
        <v>9000</v>
      </c>
      <c r="AE589" s="1623">
        <f t="shared" si="318"/>
        <v>9000</v>
      </c>
      <c r="AF589" s="1592"/>
      <c r="AG589" s="1009">
        <f t="shared" si="315"/>
        <v>0</v>
      </c>
      <c r="AH589" s="1009">
        <f t="shared" si="291"/>
        <v>1</v>
      </c>
      <c r="AI589" s="1908">
        <f t="shared" si="303"/>
        <v>1</v>
      </c>
    </row>
    <row r="590" spans="1:36" ht="42" hidden="1" customHeight="1" x14ac:dyDescent="0.25">
      <c r="A590" s="1677" t="s">
        <v>3008</v>
      </c>
      <c r="B590" s="1586"/>
      <c r="C590" s="1587" t="s">
        <v>1013</v>
      </c>
      <c r="D590" s="1588"/>
      <c r="E590" s="1588" t="s">
        <v>1012</v>
      </c>
      <c r="F590" s="1589" t="s">
        <v>116</v>
      </c>
      <c r="G590" s="1588"/>
      <c r="H590" s="1590">
        <v>9825</v>
      </c>
      <c r="I590" s="1590">
        <v>9825</v>
      </c>
      <c r="J590" s="1647"/>
      <c r="K590" s="1647"/>
      <c r="L590" s="1647"/>
      <c r="M590" s="1647"/>
      <c r="N590" s="1648">
        <v>8900</v>
      </c>
      <c r="O590" s="1622">
        <f t="shared" si="319"/>
        <v>8900</v>
      </c>
      <c r="P590" s="1727">
        <v>8900</v>
      </c>
      <c r="Q590" s="1727">
        <v>8900</v>
      </c>
      <c r="R590" s="1591"/>
      <c r="S590" s="1591"/>
      <c r="T590" s="1728">
        <v>8900</v>
      </c>
      <c r="U590" s="1728">
        <v>8900</v>
      </c>
      <c r="V590" s="1591"/>
      <c r="W590" s="1591"/>
      <c r="X590" s="1728">
        <v>8900</v>
      </c>
      <c r="Y590" s="1728">
        <v>8900</v>
      </c>
      <c r="Z590" s="1728">
        <v>8900</v>
      </c>
      <c r="AA590" s="1728">
        <v>8900</v>
      </c>
      <c r="AB590" s="1728"/>
      <c r="AC590" s="1728"/>
      <c r="AD590" s="1623">
        <f t="shared" si="317"/>
        <v>8900</v>
      </c>
      <c r="AE590" s="1623">
        <f t="shared" si="318"/>
        <v>8900</v>
      </c>
      <c r="AF590" s="1592"/>
      <c r="AG590" s="1009">
        <f t="shared" si="315"/>
        <v>0</v>
      </c>
      <c r="AH590" s="1009">
        <f t="shared" si="291"/>
        <v>1</v>
      </c>
      <c r="AI590" s="1908">
        <f t="shared" si="303"/>
        <v>1</v>
      </c>
    </row>
    <row r="591" spans="1:36" ht="90" hidden="1" customHeight="1" x14ac:dyDescent="0.25">
      <c r="A591" s="1677" t="s">
        <v>3009</v>
      </c>
      <c r="B591" s="1586"/>
      <c r="C591" s="1587" t="s">
        <v>1010</v>
      </c>
      <c r="D591" s="1588"/>
      <c r="E591" s="1588"/>
      <c r="F591" s="1589" t="s">
        <v>116</v>
      </c>
      <c r="G591" s="1588"/>
      <c r="H591" s="1590">
        <v>40000</v>
      </c>
      <c r="I591" s="1590">
        <v>40000</v>
      </c>
      <c r="J591" s="1647"/>
      <c r="K591" s="1647"/>
      <c r="L591" s="1647"/>
      <c r="M591" s="1647"/>
      <c r="N591" s="1648">
        <v>27570</v>
      </c>
      <c r="O591" s="1622">
        <f>N591</f>
        <v>27570</v>
      </c>
      <c r="P591" s="1727">
        <v>27570</v>
      </c>
      <c r="Q591" s="1727">
        <v>27570</v>
      </c>
      <c r="R591" s="1591"/>
      <c r="S591" s="1591"/>
      <c r="T591" s="1728">
        <v>27570</v>
      </c>
      <c r="U591" s="1728">
        <v>27570</v>
      </c>
      <c r="V591" s="1591">
        <f>SUM(U592:U594)</f>
        <v>0</v>
      </c>
      <c r="W591" s="1591">
        <v>27570</v>
      </c>
      <c r="X591" s="1728">
        <f>Y591</f>
        <v>0</v>
      </c>
      <c r="Y591" s="1728">
        <f>U591-W591</f>
        <v>0</v>
      </c>
      <c r="Z591" s="1728">
        <v>0</v>
      </c>
      <c r="AA591" s="1728">
        <v>0</v>
      </c>
      <c r="AB591" s="1728"/>
      <c r="AC591" s="1728"/>
      <c r="AD591" s="1623">
        <f t="shared" si="317"/>
        <v>0</v>
      </c>
      <c r="AE591" s="1623">
        <f t="shared" si="318"/>
        <v>0</v>
      </c>
      <c r="AF591" s="1580"/>
      <c r="AG591" s="1009">
        <f t="shared" si="315"/>
        <v>0</v>
      </c>
      <c r="AH591" s="1009">
        <f t="shared" si="291"/>
        <v>0</v>
      </c>
      <c r="AI591" s="1908">
        <f t="shared" si="303"/>
        <v>1</v>
      </c>
    </row>
    <row r="592" spans="1:36" ht="71.25" hidden="1" customHeight="1" x14ac:dyDescent="0.25">
      <c r="A592" s="1677" t="s">
        <v>3010</v>
      </c>
      <c r="B592" s="1586"/>
      <c r="C592" s="1587" t="s">
        <v>2182</v>
      </c>
      <c r="D592" s="1588"/>
      <c r="E592" s="1588"/>
      <c r="F592" s="1589" t="s">
        <v>116</v>
      </c>
      <c r="G592" s="1588"/>
      <c r="H592" s="1590">
        <f>I592</f>
        <v>9900</v>
      </c>
      <c r="I592" s="1590">
        <v>9900</v>
      </c>
      <c r="J592" s="1647"/>
      <c r="K592" s="1647"/>
      <c r="L592" s="1647"/>
      <c r="M592" s="1647"/>
      <c r="N592" s="1648"/>
      <c r="O592" s="1622"/>
      <c r="P592" s="1727"/>
      <c r="Q592" s="1727"/>
      <c r="R592" s="1591"/>
      <c r="S592" s="1591"/>
      <c r="T592" s="1728"/>
      <c r="U592" s="1728"/>
      <c r="V592" s="1591">
        <v>8400</v>
      </c>
      <c r="W592" s="1591"/>
      <c r="X592" s="1728">
        <f>Y592</f>
        <v>8400</v>
      </c>
      <c r="Y592" s="1728">
        <f>V592+U592</f>
        <v>8400</v>
      </c>
      <c r="Z592" s="1728">
        <v>8400</v>
      </c>
      <c r="AA592" s="1728">
        <v>8400</v>
      </c>
      <c r="AB592" s="1728"/>
      <c r="AC592" s="1728"/>
      <c r="AD592" s="1623">
        <f t="shared" si="317"/>
        <v>8400</v>
      </c>
      <c r="AE592" s="1623">
        <f t="shared" si="318"/>
        <v>8400</v>
      </c>
      <c r="AF592" s="1580"/>
      <c r="AG592" s="1009">
        <f t="shared" si="315"/>
        <v>0</v>
      </c>
      <c r="AH592" s="1009">
        <f t="shared" si="291"/>
        <v>1</v>
      </c>
      <c r="AI592" s="1908">
        <f t="shared" si="303"/>
        <v>1</v>
      </c>
    </row>
    <row r="593" spans="1:35" ht="53.25" hidden="1" customHeight="1" x14ac:dyDescent="0.25">
      <c r="A593" s="1677" t="s">
        <v>3011</v>
      </c>
      <c r="B593" s="1586"/>
      <c r="C593" s="1587" t="s">
        <v>2179</v>
      </c>
      <c r="D593" s="1588"/>
      <c r="E593" s="1588"/>
      <c r="F593" s="1589" t="s">
        <v>116</v>
      </c>
      <c r="G593" s="1588"/>
      <c r="H593" s="1590">
        <f t="shared" ref="H593:H594" si="320">I593</f>
        <v>9800</v>
      </c>
      <c r="I593" s="1590">
        <v>9800</v>
      </c>
      <c r="J593" s="1647"/>
      <c r="K593" s="1647"/>
      <c r="L593" s="1647"/>
      <c r="M593" s="1647"/>
      <c r="N593" s="1648"/>
      <c r="O593" s="1622"/>
      <c r="P593" s="1727"/>
      <c r="Q593" s="1727"/>
      <c r="R593" s="1591"/>
      <c r="S593" s="1591"/>
      <c r="T593" s="1728"/>
      <c r="U593" s="1728"/>
      <c r="V593" s="1591">
        <v>8300</v>
      </c>
      <c r="W593" s="1591"/>
      <c r="X593" s="1728">
        <f t="shared" ref="X593:X598" si="321">Y593</f>
        <v>8300</v>
      </c>
      <c r="Y593" s="1728">
        <f t="shared" ref="Y593:Y598" si="322">V593+U593</f>
        <v>8300</v>
      </c>
      <c r="Z593" s="1728">
        <v>8300</v>
      </c>
      <c r="AA593" s="1728">
        <v>8300</v>
      </c>
      <c r="AB593" s="1728"/>
      <c r="AC593" s="1728"/>
      <c r="AD593" s="1623">
        <f t="shared" si="317"/>
        <v>8300</v>
      </c>
      <c r="AE593" s="1623">
        <f t="shared" si="318"/>
        <v>8300</v>
      </c>
      <c r="AF593" s="1580"/>
      <c r="AG593" s="1009">
        <f t="shared" si="315"/>
        <v>0</v>
      </c>
      <c r="AH593" s="1009">
        <f t="shared" si="291"/>
        <v>1</v>
      </c>
      <c r="AI593" s="1908">
        <f t="shared" si="303"/>
        <v>1</v>
      </c>
    </row>
    <row r="594" spans="1:35" ht="71.25" hidden="1" customHeight="1" x14ac:dyDescent="0.25">
      <c r="A594" s="1677" t="s">
        <v>3012</v>
      </c>
      <c r="B594" s="1586"/>
      <c r="C594" s="1587" t="s">
        <v>2180</v>
      </c>
      <c r="D594" s="1588"/>
      <c r="E594" s="1588"/>
      <c r="F594" s="1589" t="s">
        <v>116</v>
      </c>
      <c r="G594" s="1588"/>
      <c r="H594" s="1590">
        <f t="shared" si="320"/>
        <v>12000</v>
      </c>
      <c r="I594" s="1590">
        <v>12000</v>
      </c>
      <c r="J594" s="1647"/>
      <c r="K594" s="1647"/>
      <c r="L594" s="1647"/>
      <c r="M594" s="1647"/>
      <c r="N594" s="1648"/>
      <c r="O594" s="1622"/>
      <c r="P594" s="1727"/>
      <c r="Q594" s="1727"/>
      <c r="R594" s="1591"/>
      <c r="S594" s="1591"/>
      <c r="T594" s="1728"/>
      <c r="U594" s="1728"/>
      <c r="V594" s="1591">
        <f>27570-V592-V593</f>
        <v>10870</v>
      </c>
      <c r="W594" s="1591"/>
      <c r="X594" s="1728">
        <f t="shared" si="321"/>
        <v>10870</v>
      </c>
      <c r="Y594" s="1728">
        <f t="shared" si="322"/>
        <v>10870</v>
      </c>
      <c r="Z594" s="1728">
        <v>10870</v>
      </c>
      <c r="AA594" s="1728">
        <v>10870</v>
      </c>
      <c r="AB594" s="1728"/>
      <c r="AC594" s="1728"/>
      <c r="AD594" s="1623">
        <f t="shared" si="317"/>
        <v>10870</v>
      </c>
      <c r="AE594" s="1623">
        <f t="shared" si="318"/>
        <v>10870</v>
      </c>
      <c r="AF594" s="1580"/>
      <c r="AG594" s="1009">
        <f t="shared" si="315"/>
        <v>0</v>
      </c>
      <c r="AH594" s="1009">
        <f t="shared" si="291"/>
        <v>1</v>
      </c>
      <c r="AI594" s="1908">
        <f t="shared" si="303"/>
        <v>1</v>
      </c>
    </row>
    <row r="595" spans="1:35" ht="72.75" hidden="1" customHeight="1" x14ac:dyDescent="0.25">
      <c r="A595" s="1677" t="s">
        <v>3013</v>
      </c>
      <c r="B595" s="1586"/>
      <c r="C595" s="1587" t="s">
        <v>2183</v>
      </c>
      <c r="D595" s="1588"/>
      <c r="E595" s="1588" t="s">
        <v>2185</v>
      </c>
      <c r="F595" s="1589" t="s">
        <v>290</v>
      </c>
      <c r="G595" s="1588"/>
      <c r="H595" s="1590">
        <f>I595</f>
        <v>7000</v>
      </c>
      <c r="I595" s="1590">
        <v>7000</v>
      </c>
      <c r="J595" s="1647"/>
      <c r="K595" s="1647"/>
      <c r="L595" s="1647"/>
      <c r="M595" s="1647"/>
      <c r="N595" s="1648"/>
      <c r="O595" s="1622"/>
      <c r="P595" s="1727"/>
      <c r="Q595" s="1727"/>
      <c r="R595" s="1591"/>
      <c r="S595" s="1591"/>
      <c r="T595" s="1728"/>
      <c r="U595" s="1728"/>
      <c r="V595" s="1591">
        <v>6300</v>
      </c>
      <c r="W595" s="1591"/>
      <c r="X595" s="1728">
        <f t="shared" si="321"/>
        <v>6300</v>
      </c>
      <c r="Y595" s="1728">
        <f t="shared" si="322"/>
        <v>6300</v>
      </c>
      <c r="Z595" s="1728">
        <v>6300</v>
      </c>
      <c r="AA595" s="1728">
        <v>6300</v>
      </c>
      <c r="AB595" s="1728"/>
      <c r="AC595" s="1728"/>
      <c r="AD595" s="1623">
        <f t="shared" si="317"/>
        <v>6300</v>
      </c>
      <c r="AE595" s="1623">
        <f t="shared" si="318"/>
        <v>6300</v>
      </c>
      <c r="AF595" s="1580"/>
      <c r="AG595" s="1009">
        <f t="shared" si="315"/>
        <v>0</v>
      </c>
      <c r="AH595" s="1009">
        <f t="shared" si="291"/>
        <v>1</v>
      </c>
      <c r="AI595" s="1908">
        <f t="shared" si="303"/>
        <v>1</v>
      </c>
    </row>
    <row r="596" spans="1:35" ht="66" hidden="1" x14ac:dyDescent="0.25">
      <c r="A596" s="1677" t="s">
        <v>3014</v>
      </c>
      <c r="B596" s="1586"/>
      <c r="C596" s="1587" t="s">
        <v>2184</v>
      </c>
      <c r="D596" s="1588"/>
      <c r="E596" s="1588" t="s">
        <v>2185</v>
      </c>
      <c r="F596" s="1589" t="s">
        <v>290</v>
      </c>
      <c r="G596" s="1588"/>
      <c r="H596" s="1590">
        <f>I596</f>
        <v>7000</v>
      </c>
      <c r="I596" s="1590">
        <v>7000</v>
      </c>
      <c r="J596" s="1647"/>
      <c r="K596" s="1647"/>
      <c r="L596" s="1647"/>
      <c r="M596" s="1647"/>
      <c r="N596" s="1648"/>
      <c r="O596" s="1622"/>
      <c r="P596" s="1727"/>
      <c r="Q596" s="1727"/>
      <c r="R596" s="1591"/>
      <c r="S596" s="1591"/>
      <c r="T596" s="1728"/>
      <c r="U596" s="1728"/>
      <c r="V596" s="1591">
        <v>6300</v>
      </c>
      <c r="W596" s="1591"/>
      <c r="X596" s="1728">
        <f t="shared" si="321"/>
        <v>6300</v>
      </c>
      <c r="Y596" s="1728">
        <f t="shared" si="322"/>
        <v>6300</v>
      </c>
      <c r="Z596" s="1728">
        <v>6300</v>
      </c>
      <c r="AA596" s="1728">
        <v>6300</v>
      </c>
      <c r="AB596" s="1728"/>
      <c r="AC596" s="1728"/>
      <c r="AD596" s="1623">
        <f t="shared" si="317"/>
        <v>6300</v>
      </c>
      <c r="AE596" s="1623">
        <f t="shared" si="318"/>
        <v>6300</v>
      </c>
      <c r="AF596" s="1580"/>
      <c r="AG596" s="1009">
        <f t="shared" si="315"/>
        <v>0</v>
      </c>
      <c r="AH596" s="1009">
        <f t="shared" si="291"/>
        <v>1</v>
      </c>
      <c r="AI596" s="1908">
        <f t="shared" si="303"/>
        <v>1</v>
      </c>
    </row>
    <row r="597" spans="1:35" ht="36" hidden="1" customHeight="1" x14ac:dyDescent="0.25">
      <c r="A597" s="1677" t="s">
        <v>3015</v>
      </c>
      <c r="B597" s="1586"/>
      <c r="C597" s="1587" t="s">
        <v>2377</v>
      </c>
      <c r="D597" s="1588" t="s">
        <v>2186</v>
      </c>
      <c r="E597" s="1588" t="s">
        <v>398</v>
      </c>
      <c r="F597" s="1589" t="s">
        <v>290</v>
      </c>
      <c r="G597" s="1588"/>
      <c r="H597" s="1590">
        <f>I597</f>
        <v>7000</v>
      </c>
      <c r="I597" s="1590">
        <v>7000</v>
      </c>
      <c r="J597" s="1647"/>
      <c r="K597" s="1647"/>
      <c r="L597" s="1647"/>
      <c r="M597" s="1647"/>
      <c r="N597" s="1648"/>
      <c r="O597" s="1622"/>
      <c r="P597" s="1727"/>
      <c r="Q597" s="1727"/>
      <c r="R597" s="1591"/>
      <c r="S597" s="1591"/>
      <c r="T597" s="1728"/>
      <c r="U597" s="1728"/>
      <c r="V597" s="1591">
        <v>6300</v>
      </c>
      <c r="W597" s="1591"/>
      <c r="X597" s="1728">
        <f t="shared" si="321"/>
        <v>6300</v>
      </c>
      <c r="Y597" s="1728">
        <f t="shared" si="322"/>
        <v>6300</v>
      </c>
      <c r="Z597" s="1728">
        <v>6300</v>
      </c>
      <c r="AA597" s="1728">
        <v>6300</v>
      </c>
      <c r="AB597" s="1728"/>
      <c r="AC597" s="1728"/>
      <c r="AD597" s="1623">
        <f t="shared" si="317"/>
        <v>6300</v>
      </c>
      <c r="AE597" s="1623">
        <f t="shared" si="318"/>
        <v>6300</v>
      </c>
      <c r="AF597" s="1580"/>
      <c r="AG597" s="1009">
        <f t="shared" si="315"/>
        <v>0</v>
      </c>
      <c r="AH597" s="1009">
        <f t="shared" si="291"/>
        <v>1</v>
      </c>
      <c r="AI597" s="1908">
        <f t="shared" si="303"/>
        <v>1</v>
      </c>
    </row>
    <row r="598" spans="1:35" ht="58.5" hidden="1" customHeight="1" x14ac:dyDescent="0.25">
      <c r="A598" s="1677" t="s">
        <v>3016</v>
      </c>
      <c r="B598" s="1586"/>
      <c r="C598" s="1587" t="s">
        <v>2418</v>
      </c>
      <c r="D598" s="1588" t="s">
        <v>2186</v>
      </c>
      <c r="E598" s="1588" t="s">
        <v>2419</v>
      </c>
      <c r="F598" s="1589" t="s">
        <v>290</v>
      </c>
      <c r="G598" s="1588"/>
      <c r="H598" s="1590">
        <f>I598</f>
        <v>1950</v>
      </c>
      <c r="I598" s="1590">
        <v>1950</v>
      </c>
      <c r="J598" s="1647"/>
      <c r="K598" s="1647"/>
      <c r="L598" s="1647"/>
      <c r="M598" s="1647"/>
      <c r="N598" s="1648"/>
      <c r="O598" s="1622"/>
      <c r="P598" s="1727"/>
      <c r="Q598" s="1727"/>
      <c r="R598" s="1591"/>
      <c r="S598" s="1591"/>
      <c r="T598" s="1728"/>
      <c r="U598" s="1728"/>
      <c r="V598" s="1591">
        <v>1800</v>
      </c>
      <c r="W598" s="1591"/>
      <c r="X598" s="1728">
        <f t="shared" si="321"/>
        <v>1800</v>
      </c>
      <c r="Y598" s="1728">
        <f t="shared" si="322"/>
        <v>1800</v>
      </c>
      <c r="Z598" s="1728">
        <v>1800</v>
      </c>
      <c r="AA598" s="1728">
        <v>1800</v>
      </c>
      <c r="AB598" s="1728"/>
      <c r="AC598" s="1728"/>
      <c r="AD598" s="1623">
        <f t="shared" si="317"/>
        <v>1800</v>
      </c>
      <c r="AE598" s="1623">
        <f t="shared" si="318"/>
        <v>1800</v>
      </c>
      <c r="AF598" s="1580"/>
      <c r="AG598" s="1009">
        <f t="shared" si="315"/>
        <v>0</v>
      </c>
      <c r="AH598" s="1009">
        <f t="shared" si="291"/>
        <v>1</v>
      </c>
      <c r="AI598" s="1908">
        <f t="shared" si="303"/>
        <v>1</v>
      </c>
    </row>
    <row r="599" spans="1:35" ht="55.5" hidden="1" customHeight="1" x14ac:dyDescent="0.25">
      <c r="A599" s="1677" t="s">
        <v>3017</v>
      </c>
      <c r="B599" s="1586"/>
      <c r="C599" s="1587" t="s">
        <v>2022</v>
      </c>
      <c r="D599" s="1608" t="s">
        <v>205</v>
      </c>
      <c r="E599" s="1646" t="s">
        <v>2023</v>
      </c>
      <c r="F599" s="1646" t="s">
        <v>97</v>
      </c>
      <c r="G599" s="1588" t="s">
        <v>2024</v>
      </c>
      <c r="H599" s="1836">
        <v>11423</v>
      </c>
      <c r="I599" s="1796">
        <f t="shared" ref="I599:I601" si="323">H599</f>
        <v>11423</v>
      </c>
      <c r="J599" s="1834"/>
      <c r="K599" s="1830"/>
      <c r="L599" s="1830"/>
      <c r="M599" s="1830"/>
      <c r="N599" s="1796">
        <v>10300</v>
      </c>
      <c r="O599" s="1796">
        <f t="shared" ref="O599:O601" si="324">N599</f>
        <v>10300</v>
      </c>
      <c r="P599" s="1796">
        <v>10300</v>
      </c>
      <c r="Q599" s="1796">
        <f t="shared" ref="Q599:Q601" si="325">P599</f>
        <v>10300</v>
      </c>
      <c r="R599" s="1796"/>
      <c r="S599" s="1796"/>
      <c r="T599" s="1796">
        <v>10300</v>
      </c>
      <c r="U599" s="1796">
        <f t="shared" ref="U599:U601" si="326">T599</f>
        <v>10300</v>
      </c>
      <c r="V599" s="1796"/>
      <c r="W599" s="1796"/>
      <c r="X599" s="1796">
        <v>10300</v>
      </c>
      <c r="Y599" s="1796">
        <f t="shared" ref="Y599:Y601" si="327">X599</f>
        <v>10300</v>
      </c>
      <c r="Z599" s="1796">
        <v>10300</v>
      </c>
      <c r="AA599" s="1796">
        <v>10300</v>
      </c>
      <c r="AB599" s="1728"/>
      <c r="AC599" s="1728"/>
      <c r="AD599" s="1796">
        <v>10300</v>
      </c>
      <c r="AE599" s="1796">
        <f t="shared" ref="AE599:AE601" si="328">AD599</f>
        <v>10300</v>
      </c>
      <c r="AF599" s="1580" t="s">
        <v>2761</v>
      </c>
      <c r="AG599" s="1009"/>
      <c r="AH599" s="1009"/>
      <c r="AI599" s="1908"/>
    </row>
    <row r="600" spans="1:35" ht="54.75" hidden="1" customHeight="1" x14ac:dyDescent="0.25">
      <c r="A600" s="1677" t="s">
        <v>3018</v>
      </c>
      <c r="B600" s="1586"/>
      <c r="C600" s="1587" t="s">
        <v>2025</v>
      </c>
      <c r="D600" s="1608" t="s">
        <v>205</v>
      </c>
      <c r="E600" s="1646" t="s">
        <v>2026</v>
      </c>
      <c r="F600" s="1646" t="s">
        <v>97</v>
      </c>
      <c r="G600" s="1588" t="s">
        <v>2027</v>
      </c>
      <c r="H600" s="1836">
        <v>13698</v>
      </c>
      <c r="I600" s="1796">
        <f t="shared" si="323"/>
        <v>13698</v>
      </c>
      <c r="J600" s="1834"/>
      <c r="K600" s="1830"/>
      <c r="L600" s="1830"/>
      <c r="M600" s="1830"/>
      <c r="N600" s="1796">
        <v>10790</v>
      </c>
      <c r="O600" s="1796">
        <f t="shared" si="324"/>
        <v>10790</v>
      </c>
      <c r="P600" s="1796">
        <v>10790</v>
      </c>
      <c r="Q600" s="1796">
        <f t="shared" si="325"/>
        <v>10790</v>
      </c>
      <c r="R600" s="1796"/>
      <c r="S600" s="1796"/>
      <c r="T600" s="1796">
        <v>10790</v>
      </c>
      <c r="U600" s="1796">
        <f t="shared" si="326"/>
        <v>10790</v>
      </c>
      <c r="V600" s="1796"/>
      <c r="W600" s="1796"/>
      <c r="X600" s="1796">
        <v>10790</v>
      </c>
      <c r="Y600" s="1796">
        <f t="shared" si="327"/>
        <v>10790</v>
      </c>
      <c r="Z600" s="1796">
        <v>10790</v>
      </c>
      <c r="AA600" s="1796">
        <v>10790</v>
      </c>
      <c r="AB600" s="1728"/>
      <c r="AC600" s="1728"/>
      <c r="AD600" s="1796">
        <v>10790</v>
      </c>
      <c r="AE600" s="1796">
        <f t="shared" si="328"/>
        <v>10790</v>
      </c>
      <c r="AF600" s="1580" t="s">
        <v>2761</v>
      </c>
      <c r="AG600" s="1009"/>
      <c r="AH600" s="1009"/>
      <c r="AI600" s="1908"/>
    </row>
    <row r="601" spans="1:35" ht="52.5" hidden="1" customHeight="1" x14ac:dyDescent="0.25">
      <c r="A601" s="1677" t="s">
        <v>3453</v>
      </c>
      <c r="B601" s="1586"/>
      <c r="C601" s="1587" t="s">
        <v>2059</v>
      </c>
      <c r="D601" s="1608" t="s">
        <v>205</v>
      </c>
      <c r="E601" s="1646"/>
      <c r="F601" s="1646" t="s">
        <v>109</v>
      </c>
      <c r="G601" s="1588"/>
      <c r="H601" s="1836">
        <v>14700</v>
      </c>
      <c r="I601" s="1796">
        <f t="shared" si="323"/>
        <v>14700</v>
      </c>
      <c r="J601" s="1834"/>
      <c r="K601" s="1830"/>
      <c r="L601" s="1830"/>
      <c r="M601" s="1830"/>
      <c r="N601" s="1796">
        <v>13200</v>
      </c>
      <c r="O601" s="1796">
        <f t="shared" si="324"/>
        <v>13200</v>
      </c>
      <c r="P601" s="1796">
        <v>13200</v>
      </c>
      <c r="Q601" s="1796">
        <f t="shared" si="325"/>
        <v>13200</v>
      </c>
      <c r="R601" s="1796"/>
      <c r="S601" s="1796"/>
      <c r="T601" s="1796">
        <v>13200</v>
      </c>
      <c r="U601" s="1796">
        <f t="shared" si="326"/>
        <v>13200</v>
      </c>
      <c r="V601" s="1796"/>
      <c r="W601" s="1796"/>
      <c r="X601" s="1796">
        <v>13200</v>
      </c>
      <c r="Y601" s="1796">
        <f t="shared" si="327"/>
        <v>13200</v>
      </c>
      <c r="Z601" s="1796">
        <v>13200</v>
      </c>
      <c r="AA601" s="1796">
        <v>13200</v>
      </c>
      <c r="AB601" s="1728"/>
      <c r="AC601" s="1728"/>
      <c r="AD601" s="1796">
        <v>13200</v>
      </c>
      <c r="AE601" s="1796">
        <f t="shared" si="328"/>
        <v>13200</v>
      </c>
      <c r="AF601" s="1580" t="s">
        <v>2761</v>
      </c>
      <c r="AG601" s="1009"/>
      <c r="AH601" s="1009"/>
      <c r="AI601" s="1908"/>
    </row>
    <row r="602" spans="1:35" ht="24" hidden="1" customHeight="1" x14ac:dyDescent="0.25">
      <c r="A602" s="1576">
        <v>8</v>
      </c>
      <c r="B602" s="1576">
        <v>8</v>
      </c>
      <c r="C602" s="1675" t="s">
        <v>1009</v>
      </c>
      <c r="D602" s="1616"/>
      <c r="E602" s="1669"/>
      <c r="F602" s="1669"/>
      <c r="G602" s="1669"/>
      <c r="H602" s="1683">
        <f t="shared" ref="H602:T602" si="329">H603+H610</f>
        <v>598943</v>
      </c>
      <c r="I602" s="1683">
        <f t="shared" si="329"/>
        <v>478943</v>
      </c>
      <c r="J602" s="1683">
        <f t="shared" si="329"/>
        <v>17000</v>
      </c>
      <c r="K602" s="1683">
        <f t="shared" si="329"/>
        <v>17000</v>
      </c>
      <c r="L602" s="1683">
        <f t="shared" si="329"/>
        <v>17000</v>
      </c>
      <c r="M602" s="1683">
        <f t="shared" si="329"/>
        <v>17000</v>
      </c>
      <c r="N602" s="1683">
        <f t="shared" si="329"/>
        <v>154692</v>
      </c>
      <c r="O602" s="1683">
        <f t="shared" si="329"/>
        <v>145797</v>
      </c>
      <c r="P602" s="1683">
        <f t="shared" si="329"/>
        <v>154692</v>
      </c>
      <c r="Q602" s="1683">
        <f t="shared" si="329"/>
        <v>145797</v>
      </c>
      <c r="R602" s="1683">
        <f t="shared" si="329"/>
        <v>5700</v>
      </c>
      <c r="S602" s="1683">
        <f t="shared" si="329"/>
        <v>5700</v>
      </c>
      <c r="T602" s="1683">
        <f t="shared" si="329"/>
        <v>154692</v>
      </c>
      <c r="U602" s="1683">
        <f t="shared" ref="U602:AE602" si="330">U603+U610</f>
        <v>145797</v>
      </c>
      <c r="V602" s="1683">
        <f t="shared" si="330"/>
        <v>98700</v>
      </c>
      <c r="W602" s="1683">
        <f t="shared" si="330"/>
        <v>0</v>
      </c>
      <c r="X602" s="1683">
        <f t="shared" si="330"/>
        <v>253392</v>
      </c>
      <c r="Y602" s="1683">
        <f t="shared" si="330"/>
        <v>244497</v>
      </c>
      <c r="Z602" s="1683">
        <v>280576</v>
      </c>
      <c r="AA602" s="1683">
        <v>271681</v>
      </c>
      <c r="AB602" s="1683"/>
      <c r="AC602" s="1684"/>
      <c r="AD602" s="1683">
        <f>AD603+AD610</f>
        <v>280576</v>
      </c>
      <c r="AE602" s="1683">
        <f t="shared" si="330"/>
        <v>271681</v>
      </c>
      <c r="AF602" s="1684"/>
      <c r="AG602" s="1009">
        <f t="shared" ref="AG602:AG608" si="331">IF(AE602-AA602=0,0,1)</f>
        <v>0</v>
      </c>
      <c r="AH602" s="1009">
        <f t="shared" si="291"/>
        <v>1</v>
      </c>
      <c r="AI602" s="1908">
        <f t="shared" si="303"/>
        <v>1</v>
      </c>
    </row>
    <row r="603" spans="1:35" ht="57.75" hidden="1" customHeight="1" x14ac:dyDescent="0.25">
      <c r="A603" s="1600" t="s">
        <v>1123</v>
      </c>
      <c r="B603" s="1600" t="s">
        <v>1123</v>
      </c>
      <c r="C603" s="1602" t="s">
        <v>46</v>
      </c>
      <c r="D603" s="1603"/>
      <c r="E603" s="1603"/>
      <c r="F603" s="1603"/>
      <c r="G603" s="1603"/>
      <c r="H603" s="1604">
        <f t="shared" ref="H603:AE603" si="332">H604</f>
        <v>29274</v>
      </c>
      <c r="I603" s="1604">
        <f t="shared" si="332"/>
        <v>29274</v>
      </c>
      <c r="J603" s="1604">
        <f t="shared" si="332"/>
        <v>17000</v>
      </c>
      <c r="K603" s="1604">
        <f t="shared" si="332"/>
        <v>17000</v>
      </c>
      <c r="L603" s="1604">
        <f t="shared" si="332"/>
        <v>17000</v>
      </c>
      <c r="M603" s="1604">
        <f t="shared" si="332"/>
        <v>17000</v>
      </c>
      <c r="N603" s="1604">
        <f t="shared" si="332"/>
        <v>7500</v>
      </c>
      <c r="O603" s="1604">
        <f t="shared" si="332"/>
        <v>7500</v>
      </c>
      <c r="P603" s="1604">
        <f t="shared" si="332"/>
        <v>7500</v>
      </c>
      <c r="Q603" s="1604">
        <f t="shared" si="332"/>
        <v>7500</v>
      </c>
      <c r="R603" s="1604">
        <f t="shared" si="332"/>
        <v>0</v>
      </c>
      <c r="S603" s="1604">
        <f t="shared" si="332"/>
        <v>0</v>
      </c>
      <c r="T603" s="1604">
        <f t="shared" si="332"/>
        <v>7500</v>
      </c>
      <c r="U603" s="1604">
        <f t="shared" si="332"/>
        <v>7500</v>
      </c>
      <c r="V603" s="1604">
        <f t="shared" si="332"/>
        <v>0</v>
      </c>
      <c r="W603" s="1604">
        <f t="shared" si="332"/>
        <v>0</v>
      </c>
      <c r="X603" s="1604">
        <f t="shared" si="332"/>
        <v>7500</v>
      </c>
      <c r="Y603" s="1604">
        <f t="shared" si="332"/>
        <v>7500</v>
      </c>
      <c r="Z603" s="1604">
        <v>7463</v>
      </c>
      <c r="AA603" s="1604">
        <v>7463</v>
      </c>
      <c r="AB603" s="1604"/>
      <c r="AC603" s="1605"/>
      <c r="AD603" s="1604">
        <f t="shared" si="332"/>
        <v>7463</v>
      </c>
      <c r="AE603" s="1604">
        <f t="shared" si="332"/>
        <v>7463</v>
      </c>
      <c r="AF603" s="1605"/>
      <c r="AG603" s="1009">
        <f t="shared" si="331"/>
        <v>0</v>
      </c>
      <c r="AH603" s="1009">
        <f t="shared" si="291"/>
        <v>1</v>
      </c>
      <c r="AI603" s="1908">
        <f t="shared" si="303"/>
        <v>1</v>
      </c>
    </row>
    <row r="604" spans="1:35" ht="39.75" hidden="1" customHeight="1" x14ac:dyDescent="0.25">
      <c r="A604" s="1601"/>
      <c r="B604" s="1601"/>
      <c r="C604" s="1602" t="s">
        <v>48</v>
      </c>
      <c r="D604" s="1603"/>
      <c r="E604" s="1603"/>
      <c r="F604" s="1603"/>
      <c r="G604" s="1603"/>
      <c r="H604" s="1604">
        <f>SUM(H607:H609)</f>
        <v>29274</v>
      </c>
      <c r="I604" s="1604">
        <f t="shared" ref="I604:AE604" si="333">SUM(I607:I609)</f>
        <v>29274</v>
      </c>
      <c r="J604" s="1604">
        <f t="shared" si="333"/>
        <v>17000</v>
      </c>
      <c r="K604" s="1604">
        <f t="shared" si="333"/>
        <v>17000</v>
      </c>
      <c r="L604" s="1604">
        <f t="shared" si="333"/>
        <v>17000</v>
      </c>
      <c r="M604" s="1604">
        <f t="shared" si="333"/>
        <v>17000</v>
      </c>
      <c r="N604" s="1604">
        <f t="shared" si="333"/>
        <v>7500</v>
      </c>
      <c r="O604" s="1604">
        <f t="shared" si="333"/>
        <v>7500</v>
      </c>
      <c r="P604" s="1604">
        <f t="shared" si="333"/>
        <v>7500</v>
      </c>
      <c r="Q604" s="1604">
        <f t="shared" si="333"/>
        <v>7500</v>
      </c>
      <c r="R604" s="1604">
        <f t="shared" si="333"/>
        <v>0</v>
      </c>
      <c r="S604" s="1604">
        <f t="shared" si="333"/>
        <v>0</v>
      </c>
      <c r="T604" s="1604">
        <f t="shared" si="333"/>
        <v>7500</v>
      </c>
      <c r="U604" s="1604">
        <f t="shared" si="333"/>
        <v>7500</v>
      </c>
      <c r="V604" s="1604">
        <f t="shared" si="333"/>
        <v>0</v>
      </c>
      <c r="W604" s="1604">
        <f t="shared" si="333"/>
        <v>0</v>
      </c>
      <c r="X604" s="1604">
        <f t="shared" si="333"/>
        <v>7500</v>
      </c>
      <c r="Y604" s="1604">
        <f t="shared" si="333"/>
        <v>7500</v>
      </c>
      <c r="Z604" s="1604">
        <v>7463</v>
      </c>
      <c r="AA604" s="1604">
        <v>7463</v>
      </c>
      <c r="AB604" s="1604"/>
      <c r="AC604" s="1605"/>
      <c r="AD604" s="1604">
        <f t="shared" si="333"/>
        <v>7463</v>
      </c>
      <c r="AE604" s="1604">
        <f t="shared" si="333"/>
        <v>7463</v>
      </c>
      <c r="AF604" s="1605"/>
      <c r="AG604" s="1009">
        <f t="shared" si="331"/>
        <v>0</v>
      </c>
      <c r="AH604" s="1009">
        <f t="shared" si="291"/>
        <v>1</v>
      </c>
      <c r="AI604" s="1908">
        <f t="shared" si="303"/>
        <v>1</v>
      </c>
    </row>
    <row r="605" spans="1:35" ht="25.5" hidden="1" customHeight="1" x14ac:dyDescent="0.25">
      <c r="A605" s="1601"/>
      <c r="B605" s="1601"/>
      <c r="C605" s="1602" t="s">
        <v>49</v>
      </c>
      <c r="D605" s="1743"/>
      <c r="E605" s="1743"/>
      <c r="F605" s="1743"/>
      <c r="G605" s="1743"/>
      <c r="H605" s="1744"/>
      <c r="I605" s="1744"/>
      <c r="J605" s="1744"/>
      <c r="K605" s="1744"/>
      <c r="L605" s="1744"/>
      <c r="M605" s="1744"/>
      <c r="N605" s="1744"/>
      <c r="O605" s="1744"/>
      <c r="P605" s="1745"/>
      <c r="Q605" s="1745"/>
      <c r="R605" s="1591"/>
      <c r="S605" s="1591"/>
      <c r="T605" s="1739"/>
      <c r="U605" s="1739"/>
      <c r="V605" s="1591"/>
      <c r="W605" s="1591"/>
      <c r="X605" s="1739"/>
      <c r="Y605" s="1739"/>
      <c r="Z605" s="1739"/>
      <c r="AA605" s="1739"/>
      <c r="AB605" s="1739"/>
      <c r="AC605" s="1739"/>
      <c r="AD605" s="1739"/>
      <c r="AE605" s="1739"/>
      <c r="AF605" s="1599"/>
      <c r="AG605" s="1009">
        <f t="shared" si="331"/>
        <v>0</v>
      </c>
      <c r="AH605" s="1009">
        <f t="shared" si="291"/>
        <v>0</v>
      </c>
      <c r="AI605" s="1908">
        <f t="shared" si="303"/>
        <v>1</v>
      </c>
    </row>
    <row r="606" spans="1:35" ht="76.5" hidden="1" customHeight="1" x14ac:dyDescent="0.25">
      <c r="A606" s="1601" t="s">
        <v>3032</v>
      </c>
      <c r="B606" s="1601"/>
      <c r="C606" s="1746" t="s">
        <v>50</v>
      </c>
      <c r="D606" s="1603"/>
      <c r="E606" s="1603"/>
      <c r="F606" s="1603"/>
      <c r="G606" s="1603"/>
      <c r="H606" s="1604"/>
      <c r="I606" s="1604"/>
      <c r="J606" s="1604"/>
      <c r="K606" s="1604"/>
      <c r="L606" s="1604"/>
      <c r="M606" s="1604"/>
      <c r="N606" s="1604"/>
      <c r="O606" s="1604"/>
      <c r="P606" s="1605"/>
      <c r="Q606" s="1605"/>
      <c r="R606" s="1591"/>
      <c r="S606" s="1591"/>
      <c r="T606" s="1741"/>
      <c r="U606" s="1741"/>
      <c r="V606" s="1591"/>
      <c r="W606" s="1591"/>
      <c r="X606" s="1741"/>
      <c r="Y606" s="1741"/>
      <c r="Z606" s="1741"/>
      <c r="AA606" s="1741"/>
      <c r="AB606" s="1741"/>
      <c r="AC606" s="1741"/>
      <c r="AD606" s="1741"/>
      <c r="AE606" s="1741"/>
      <c r="AF606" s="1599"/>
      <c r="AG606" s="1009">
        <f t="shared" si="331"/>
        <v>0</v>
      </c>
      <c r="AH606" s="1009">
        <f t="shared" si="291"/>
        <v>0</v>
      </c>
      <c r="AI606" s="1908">
        <f t="shared" si="303"/>
        <v>1</v>
      </c>
    </row>
    <row r="607" spans="1:35" ht="36" hidden="1" customHeight="1" x14ac:dyDescent="0.25">
      <c r="A607" s="1586" t="s">
        <v>3033</v>
      </c>
      <c r="B607" s="1586"/>
      <c r="C607" s="1587" t="s">
        <v>1008</v>
      </c>
      <c r="D607" s="1608"/>
      <c r="E607" s="1646"/>
      <c r="F607" s="1646"/>
      <c r="G607" s="1646"/>
      <c r="H607" s="1648"/>
      <c r="I607" s="1647"/>
      <c r="J607" s="1647"/>
      <c r="K607" s="1647"/>
      <c r="L607" s="1647"/>
      <c r="M607" s="1647"/>
      <c r="N607" s="1648">
        <v>2000</v>
      </c>
      <c r="O607" s="1648">
        <v>2000</v>
      </c>
      <c r="P607" s="1666">
        <v>2000</v>
      </c>
      <c r="Q607" s="1666">
        <v>2000</v>
      </c>
      <c r="R607" s="1591"/>
      <c r="S607" s="1591"/>
      <c r="T607" s="1665">
        <v>2000</v>
      </c>
      <c r="U607" s="1665">
        <v>2000</v>
      </c>
      <c r="V607" s="1591"/>
      <c r="W607" s="1591"/>
      <c r="X607" s="1665">
        <v>2000</v>
      </c>
      <c r="Y607" s="1665">
        <v>2000</v>
      </c>
      <c r="Z607" s="1665">
        <v>2000</v>
      </c>
      <c r="AA607" s="1665">
        <v>2000</v>
      </c>
      <c r="AB607" s="1665"/>
      <c r="AC607" s="1665"/>
      <c r="AD607" s="1623">
        <f t="shared" ref="AD607:AD608" si="334">AE607</f>
        <v>2000</v>
      </c>
      <c r="AE607" s="1623">
        <f>AA607+AB607+AC607</f>
        <v>2000</v>
      </c>
      <c r="AF607" s="1592"/>
      <c r="AG607" s="1009">
        <f t="shared" si="331"/>
        <v>0</v>
      </c>
      <c r="AH607" s="1009">
        <f t="shared" si="291"/>
        <v>1</v>
      </c>
      <c r="AI607" s="1908"/>
    </row>
    <row r="608" spans="1:35" ht="49.5" hidden="1" x14ac:dyDescent="0.25">
      <c r="A608" s="1586" t="s">
        <v>3034</v>
      </c>
      <c r="B608" s="1586" t="s">
        <v>3033</v>
      </c>
      <c r="C608" s="1645" t="s">
        <v>1007</v>
      </c>
      <c r="D608" s="1608"/>
      <c r="E608" s="1646"/>
      <c r="F608" s="1589" t="s">
        <v>199</v>
      </c>
      <c r="G608" s="1588" t="s">
        <v>1006</v>
      </c>
      <c r="H608" s="1648">
        <v>14997</v>
      </c>
      <c r="I608" s="1648">
        <f>H608</f>
        <v>14997</v>
      </c>
      <c r="J608" s="1648">
        <f>K608</f>
        <v>8000</v>
      </c>
      <c r="K608" s="1648">
        <v>8000</v>
      </c>
      <c r="L608" s="1648">
        <f>M608</f>
        <v>8000</v>
      </c>
      <c r="M608" s="1648">
        <v>8000</v>
      </c>
      <c r="N608" s="1648">
        <f>O608</f>
        <v>3500</v>
      </c>
      <c r="O608" s="1648">
        <v>3500</v>
      </c>
      <c r="P608" s="1666">
        <v>3500</v>
      </c>
      <c r="Q608" s="1666">
        <v>3500</v>
      </c>
      <c r="R608" s="1591"/>
      <c r="S608" s="1591"/>
      <c r="T608" s="1665">
        <v>3500</v>
      </c>
      <c r="U608" s="1665">
        <v>3500</v>
      </c>
      <c r="V608" s="1591"/>
      <c r="W608" s="1591"/>
      <c r="X608" s="1665">
        <v>3500</v>
      </c>
      <c r="Y608" s="1665">
        <v>3500</v>
      </c>
      <c r="Z608" s="1665">
        <v>3463</v>
      </c>
      <c r="AA608" s="1665">
        <v>3463</v>
      </c>
      <c r="AB608" s="1665"/>
      <c r="AC608" s="1666"/>
      <c r="AD608" s="1623">
        <f t="shared" si="334"/>
        <v>3463</v>
      </c>
      <c r="AE608" s="1623">
        <f>AA608+AB608+AC608</f>
        <v>3463</v>
      </c>
      <c r="AF608" s="1592"/>
      <c r="AG608" s="1009">
        <f t="shared" si="331"/>
        <v>0</v>
      </c>
      <c r="AH608" s="1009">
        <f t="shared" si="291"/>
        <v>1</v>
      </c>
      <c r="AI608" s="1908">
        <f t="shared" si="303"/>
        <v>1</v>
      </c>
    </row>
    <row r="609" spans="1:35" ht="49.5" hidden="1" x14ac:dyDescent="0.25">
      <c r="A609" s="1586" t="s">
        <v>3035</v>
      </c>
      <c r="B609" s="1677"/>
      <c r="C609" s="1674" t="s">
        <v>1995</v>
      </c>
      <c r="D609" s="1608" t="s">
        <v>52</v>
      </c>
      <c r="E609" s="1646"/>
      <c r="F609" s="1646" t="s">
        <v>199</v>
      </c>
      <c r="G609" s="1588" t="s">
        <v>1996</v>
      </c>
      <c r="H609" s="1666">
        <v>14277</v>
      </c>
      <c r="I609" s="1796">
        <f>H609</f>
        <v>14277</v>
      </c>
      <c r="J609" s="1834">
        <v>9000</v>
      </c>
      <c r="K609" s="1796">
        <f>J609</f>
        <v>9000</v>
      </c>
      <c r="L609" s="1834">
        <v>9000</v>
      </c>
      <c r="M609" s="1796">
        <f>L609</f>
        <v>9000</v>
      </c>
      <c r="N609" s="1796">
        <v>2000</v>
      </c>
      <c r="O609" s="1796">
        <f>N609</f>
        <v>2000</v>
      </c>
      <c r="P609" s="1796">
        <v>2000</v>
      </c>
      <c r="Q609" s="1796">
        <f>P609</f>
        <v>2000</v>
      </c>
      <c r="R609" s="1796"/>
      <c r="S609" s="1796"/>
      <c r="T609" s="1796">
        <v>2000</v>
      </c>
      <c r="U609" s="1796">
        <f>T609</f>
        <v>2000</v>
      </c>
      <c r="V609" s="1796"/>
      <c r="W609" s="1796"/>
      <c r="X609" s="1796">
        <v>2000</v>
      </c>
      <c r="Y609" s="1796">
        <f>X609</f>
        <v>2000</v>
      </c>
      <c r="Z609" s="1796">
        <v>2000</v>
      </c>
      <c r="AA609" s="1796">
        <v>2000</v>
      </c>
      <c r="AB609" s="1623"/>
      <c r="AC609" s="1623"/>
      <c r="AD609" s="1796">
        <v>2000</v>
      </c>
      <c r="AE609" s="1796">
        <f>AD609</f>
        <v>2000</v>
      </c>
      <c r="AF609" s="1608"/>
      <c r="AG609" s="1009"/>
      <c r="AH609" s="1009"/>
      <c r="AI609" s="1908"/>
    </row>
    <row r="610" spans="1:35" ht="34.5" hidden="1" x14ac:dyDescent="0.25">
      <c r="A610" s="1600" t="s">
        <v>1121</v>
      </c>
      <c r="B610" s="1600" t="s">
        <v>1121</v>
      </c>
      <c r="C610" s="1602" t="s">
        <v>86</v>
      </c>
      <c r="D610" s="1603"/>
      <c r="E610" s="1603"/>
      <c r="F610" s="1603"/>
      <c r="G610" s="1603"/>
      <c r="H610" s="1604">
        <f t="shared" ref="H610:O610" si="335">H611+H639</f>
        <v>569669</v>
      </c>
      <c r="I610" s="1604">
        <f t="shared" si="335"/>
        <v>449669</v>
      </c>
      <c r="J610" s="1604">
        <f t="shared" si="335"/>
        <v>0</v>
      </c>
      <c r="K610" s="1604">
        <f t="shared" si="335"/>
        <v>0</v>
      </c>
      <c r="L610" s="1604">
        <f t="shared" si="335"/>
        <v>0</v>
      </c>
      <c r="M610" s="1604">
        <f t="shared" si="335"/>
        <v>0</v>
      </c>
      <c r="N610" s="1604">
        <f t="shared" si="335"/>
        <v>147192</v>
      </c>
      <c r="O610" s="1604">
        <f t="shared" si="335"/>
        <v>138297</v>
      </c>
      <c r="P610" s="1604">
        <f t="shared" ref="P610:U610" si="336">P611</f>
        <v>147192</v>
      </c>
      <c r="Q610" s="1604">
        <f t="shared" si="336"/>
        <v>138297</v>
      </c>
      <c r="R610" s="1604">
        <f t="shared" si="336"/>
        <v>5700</v>
      </c>
      <c r="S610" s="1604">
        <f t="shared" si="336"/>
        <v>5700</v>
      </c>
      <c r="T610" s="1604">
        <f t="shared" si="336"/>
        <v>147192</v>
      </c>
      <c r="U610" s="1604">
        <f t="shared" si="336"/>
        <v>138297</v>
      </c>
      <c r="V610" s="1604">
        <f t="shared" ref="V610:AD610" si="337">V611+V639</f>
        <v>98700</v>
      </c>
      <c r="W610" s="1604">
        <f t="shared" si="337"/>
        <v>0</v>
      </c>
      <c r="X610" s="1604">
        <f t="shared" si="337"/>
        <v>245892</v>
      </c>
      <c r="Y610" s="1604">
        <f t="shared" si="337"/>
        <v>236997</v>
      </c>
      <c r="Z610" s="1604">
        <v>273113</v>
      </c>
      <c r="AA610" s="1604">
        <v>264218</v>
      </c>
      <c r="AB610" s="1604"/>
      <c r="AC610" s="1605"/>
      <c r="AD610" s="1604">
        <f t="shared" si="337"/>
        <v>273113</v>
      </c>
      <c r="AE610" s="1604">
        <f>AE611+AE639</f>
        <v>264218</v>
      </c>
      <c r="AF610" s="1605"/>
      <c r="AG610" s="1009">
        <f t="shared" ref="AG610:AG629" si="338">IF(AE610-AA610=0,0,1)</f>
        <v>0</v>
      </c>
      <c r="AH610" s="1009">
        <f t="shared" si="291"/>
        <v>1</v>
      </c>
      <c r="AI610" s="1908">
        <f t="shared" si="303"/>
        <v>1</v>
      </c>
    </row>
    <row r="611" spans="1:35" ht="55.5" hidden="1" customHeight="1" x14ac:dyDescent="0.25">
      <c r="A611" s="1601" t="s">
        <v>3037</v>
      </c>
      <c r="B611" s="1601" t="s">
        <v>3037</v>
      </c>
      <c r="C611" s="1602" t="s">
        <v>88</v>
      </c>
      <c r="D611" s="1603"/>
      <c r="E611" s="1603"/>
      <c r="F611" s="1603"/>
      <c r="G611" s="1603"/>
      <c r="H611" s="1604">
        <f>SUM(H612:H638)</f>
        <v>262000</v>
      </c>
      <c r="I611" s="1604">
        <f t="shared" ref="I611:M611" si="339">SUM(I612:I638)</f>
        <v>262000</v>
      </c>
      <c r="J611" s="1604">
        <f t="shared" si="339"/>
        <v>0</v>
      </c>
      <c r="K611" s="1604">
        <f t="shared" si="339"/>
        <v>0</v>
      </c>
      <c r="L611" s="1604">
        <f t="shared" si="339"/>
        <v>0</v>
      </c>
      <c r="M611" s="1604">
        <f t="shared" si="339"/>
        <v>0</v>
      </c>
      <c r="N611" s="1604">
        <f t="shared" ref="N611:U611" si="340">SUM(N612:N638)</f>
        <v>147192</v>
      </c>
      <c r="O611" s="1604">
        <f t="shared" si="340"/>
        <v>138297</v>
      </c>
      <c r="P611" s="1604">
        <f t="shared" si="340"/>
        <v>147192</v>
      </c>
      <c r="Q611" s="1604">
        <f t="shared" si="340"/>
        <v>138297</v>
      </c>
      <c r="R611" s="1604">
        <f t="shared" si="340"/>
        <v>5700</v>
      </c>
      <c r="S611" s="1604">
        <f t="shared" si="340"/>
        <v>5700</v>
      </c>
      <c r="T611" s="1604">
        <f t="shared" si="340"/>
        <v>147192</v>
      </c>
      <c r="U611" s="1604">
        <f t="shared" si="340"/>
        <v>138297</v>
      </c>
      <c r="V611" s="1604">
        <f t="shared" ref="V611:AD611" si="341">SUM(V612:V638)</f>
        <v>76500</v>
      </c>
      <c r="W611" s="1604">
        <f t="shared" si="341"/>
        <v>0</v>
      </c>
      <c r="X611" s="1604">
        <f t="shared" si="341"/>
        <v>223692</v>
      </c>
      <c r="Y611" s="1604">
        <f t="shared" si="341"/>
        <v>214797</v>
      </c>
      <c r="Z611" s="1604">
        <v>220913</v>
      </c>
      <c r="AA611" s="1604">
        <v>212018</v>
      </c>
      <c r="AB611" s="1604"/>
      <c r="AC611" s="1605"/>
      <c r="AD611" s="1604">
        <f t="shared" si="341"/>
        <v>220913</v>
      </c>
      <c r="AE611" s="1604">
        <f>SUM(AE612:AE638)</f>
        <v>212018</v>
      </c>
      <c r="AF611" s="1605"/>
      <c r="AG611" s="1009">
        <f t="shared" si="338"/>
        <v>0</v>
      </c>
      <c r="AH611" s="1009">
        <f t="shared" si="291"/>
        <v>1</v>
      </c>
      <c r="AI611" s="1908">
        <f t="shared" si="303"/>
        <v>1</v>
      </c>
    </row>
    <row r="612" spans="1:35" ht="33" hidden="1" x14ac:dyDescent="0.25">
      <c r="A612" s="1586" t="s">
        <v>3038</v>
      </c>
      <c r="B612" s="1586" t="s">
        <v>3038</v>
      </c>
      <c r="C612" s="1587" t="s">
        <v>1005</v>
      </c>
      <c r="D612" s="1608"/>
      <c r="E612" s="1588" t="s">
        <v>1004</v>
      </c>
      <c r="F612" s="1589" t="s">
        <v>97</v>
      </c>
      <c r="G612" s="1588" t="s">
        <v>1003</v>
      </c>
      <c r="H612" s="1648">
        <v>14763</v>
      </c>
      <c r="I612" s="1648">
        <f t="shared" ref="I612:I622" si="342">H612</f>
        <v>14763</v>
      </c>
      <c r="J612" s="1647"/>
      <c r="K612" s="1647"/>
      <c r="L612" s="1647"/>
      <c r="M612" s="1647"/>
      <c r="N612" s="1648">
        <f t="shared" ref="N612:N621" si="343">O612</f>
        <v>12500</v>
      </c>
      <c r="O612" s="1648">
        <v>12500</v>
      </c>
      <c r="P612" s="1666">
        <v>12500</v>
      </c>
      <c r="Q612" s="1666">
        <v>12500</v>
      </c>
      <c r="R612" s="1591"/>
      <c r="S612" s="1591"/>
      <c r="T612" s="1665">
        <v>12500</v>
      </c>
      <c r="U612" s="1665">
        <v>12500</v>
      </c>
      <c r="V612" s="1591"/>
      <c r="W612" s="1591"/>
      <c r="X612" s="1665">
        <v>12500</v>
      </c>
      <c r="Y612" s="1665">
        <v>12500</v>
      </c>
      <c r="Z612" s="1665">
        <v>9514</v>
      </c>
      <c r="AA612" s="1665">
        <v>9514</v>
      </c>
      <c r="AB612" s="1665"/>
      <c r="AC612" s="1666"/>
      <c r="AD612" s="1623">
        <f t="shared" ref="AD612:AD633" si="344">AE612</f>
        <v>9514</v>
      </c>
      <c r="AE612" s="1623">
        <f t="shared" ref="AE612:AE633" si="345">AA612+AB612+AC612</f>
        <v>9514</v>
      </c>
      <c r="AF612" s="1592"/>
      <c r="AG612" s="1009">
        <f t="shared" si="338"/>
        <v>0</v>
      </c>
      <c r="AH612" s="1009">
        <f t="shared" si="291"/>
        <v>1</v>
      </c>
      <c r="AI612" s="1908">
        <f t="shared" si="303"/>
        <v>1</v>
      </c>
    </row>
    <row r="613" spans="1:35" ht="33" hidden="1" x14ac:dyDescent="0.25">
      <c r="A613" s="1586" t="s">
        <v>3039</v>
      </c>
      <c r="B613" s="1586"/>
      <c r="C613" s="1587" t="s">
        <v>1002</v>
      </c>
      <c r="D613" s="1608" t="s">
        <v>1001</v>
      </c>
      <c r="E613" s="1608" t="s">
        <v>1000</v>
      </c>
      <c r="F613" s="1646" t="s">
        <v>109</v>
      </c>
      <c r="G613" s="1608" t="s">
        <v>999</v>
      </c>
      <c r="H613" s="1690">
        <v>10991</v>
      </c>
      <c r="I613" s="1648">
        <f t="shared" si="342"/>
        <v>10991</v>
      </c>
      <c r="J613" s="1647"/>
      <c r="K613" s="1647"/>
      <c r="L613" s="1647"/>
      <c r="M613" s="1647"/>
      <c r="N613" s="1648">
        <f t="shared" si="343"/>
        <v>9980</v>
      </c>
      <c r="O613" s="1648">
        <v>9980</v>
      </c>
      <c r="P613" s="1666">
        <v>9980</v>
      </c>
      <c r="Q613" s="1666">
        <v>9980</v>
      </c>
      <c r="R613" s="1591"/>
      <c r="S613" s="1591"/>
      <c r="T613" s="1665">
        <v>9980</v>
      </c>
      <c r="U613" s="1665">
        <v>9980</v>
      </c>
      <c r="V613" s="1591"/>
      <c r="W613" s="1591"/>
      <c r="X613" s="1665">
        <v>9980</v>
      </c>
      <c r="Y613" s="1665">
        <v>9980</v>
      </c>
      <c r="Z613" s="1665">
        <v>9980</v>
      </c>
      <c r="AA613" s="1665">
        <v>9980</v>
      </c>
      <c r="AB613" s="1665"/>
      <c r="AC613" s="1665"/>
      <c r="AD613" s="1623">
        <f t="shared" si="344"/>
        <v>9980</v>
      </c>
      <c r="AE613" s="1623">
        <f t="shared" si="345"/>
        <v>9980</v>
      </c>
      <c r="AF613" s="1592"/>
      <c r="AG613" s="1009">
        <f t="shared" si="338"/>
        <v>0</v>
      </c>
      <c r="AH613" s="1009">
        <f t="shared" si="291"/>
        <v>1</v>
      </c>
      <c r="AI613" s="1908">
        <f t="shared" si="303"/>
        <v>1</v>
      </c>
    </row>
    <row r="614" spans="1:35" ht="33" hidden="1" x14ac:dyDescent="0.25">
      <c r="A614" s="1586" t="s">
        <v>3040</v>
      </c>
      <c r="B614" s="1586" t="s">
        <v>3039</v>
      </c>
      <c r="C614" s="1587" t="s">
        <v>998</v>
      </c>
      <c r="D614" s="1608" t="s">
        <v>994</v>
      </c>
      <c r="E614" s="1608" t="s">
        <v>997</v>
      </c>
      <c r="F614" s="1646" t="s">
        <v>109</v>
      </c>
      <c r="G614" s="1608" t="s">
        <v>996</v>
      </c>
      <c r="H614" s="1690">
        <v>13008</v>
      </c>
      <c r="I614" s="1648">
        <f t="shared" si="342"/>
        <v>13008</v>
      </c>
      <c r="J614" s="1647"/>
      <c r="K614" s="1647"/>
      <c r="L614" s="1647"/>
      <c r="M614" s="1647"/>
      <c r="N614" s="1648">
        <f t="shared" si="343"/>
        <v>11500</v>
      </c>
      <c r="O614" s="1648">
        <v>11500</v>
      </c>
      <c r="P614" s="1666">
        <v>11500</v>
      </c>
      <c r="Q614" s="1666">
        <v>11500</v>
      </c>
      <c r="R614" s="1591"/>
      <c r="S614" s="1591"/>
      <c r="T614" s="1665">
        <v>11500</v>
      </c>
      <c r="U614" s="1665">
        <v>11500</v>
      </c>
      <c r="V614" s="1591"/>
      <c r="W614" s="1591"/>
      <c r="X614" s="1665">
        <v>11500</v>
      </c>
      <c r="Y614" s="1665">
        <v>11500</v>
      </c>
      <c r="Z614" s="1665">
        <v>11200</v>
      </c>
      <c r="AA614" s="1665">
        <v>11200</v>
      </c>
      <c r="AB614" s="1665"/>
      <c r="AC614" s="1666"/>
      <c r="AD614" s="1623">
        <f t="shared" si="344"/>
        <v>11200</v>
      </c>
      <c r="AE614" s="1623">
        <f t="shared" si="345"/>
        <v>11200</v>
      </c>
      <c r="AF614" s="1592"/>
      <c r="AG614" s="1009">
        <f t="shared" si="338"/>
        <v>0</v>
      </c>
      <c r="AH614" s="1009">
        <f t="shared" si="291"/>
        <v>1</v>
      </c>
      <c r="AI614" s="1908">
        <f t="shared" si="303"/>
        <v>1</v>
      </c>
    </row>
    <row r="615" spans="1:35" ht="51.75" hidden="1" customHeight="1" x14ac:dyDescent="0.25">
      <c r="A615" s="1586" t="s">
        <v>3041</v>
      </c>
      <c r="B615" s="1586" t="s">
        <v>3040</v>
      </c>
      <c r="C615" s="1587" t="s">
        <v>995</v>
      </c>
      <c r="D615" s="1608" t="s">
        <v>994</v>
      </c>
      <c r="E615" s="1608" t="s">
        <v>993</v>
      </c>
      <c r="F615" s="1646"/>
      <c r="G615" s="1646"/>
      <c r="H615" s="1690">
        <v>8798</v>
      </c>
      <c r="I615" s="1648">
        <f t="shared" si="342"/>
        <v>8798</v>
      </c>
      <c r="J615" s="1647"/>
      <c r="K615" s="1647"/>
      <c r="L615" s="1647"/>
      <c r="M615" s="1647"/>
      <c r="N615" s="1648">
        <f t="shared" si="343"/>
        <v>8400</v>
      </c>
      <c r="O615" s="1648">
        <v>8400</v>
      </c>
      <c r="P615" s="1666">
        <v>8400</v>
      </c>
      <c r="Q615" s="1666">
        <v>8400</v>
      </c>
      <c r="R615" s="1591"/>
      <c r="S615" s="1591"/>
      <c r="T615" s="1665">
        <v>8400</v>
      </c>
      <c r="U615" s="1665">
        <v>8400</v>
      </c>
      <c r="V615" s="1591"/>
      <c r="W615" s="1591"/>
      <c r="X615" s="1665">
        <v>8400</v>
      </c>
      <c r="Y615" s="1665">
        <v>8400</v>
      </c>
      <c r="Z615" s="1665">
        <v>7458</v>
      </c>
      <c r="AA615" s="1665">
        <v>7458</v>
      </c>
      <c r="AB615" s="1665"/>
      <c r="AC615" s="1666"/>
      <c r="AD615" s="1623">
        <f t="shared" si="344"/>
        <v>7458</v>
      </c>
      <c r="AE615" s="1623">
        <f t="shared" si="345"/>
        <v>7458</v>
      </c>
      <c r="AF615" s="1592"/>
      <c r="AG615" s="1009">
        <f t="shared" si="338"/>
        <v>0</v>
      </c>
      <c r="AH615" s="1009">
        <f t="shared" si="291"/>
        <v>1</v>
      </c>
      <c r="AI615" s="1908">
        <f t="shared" si="303"/>
        <v>1</v>
      </c>
    </row>
    <row r="616" spans="1:35" ht="53.25" hidden="1" customHeight="1" x14ac:dyDescent="0.25">
      <c r="A616" s="1586" t="s">
        <v>3042</v>
      </c>
      <c r="B616" s="1586" t="s">
        <v>3041</v>
      </c>
      <c r="C616" s="1587" t="s">
        <v>992</v>
      </c>
      <c r="D616" s="1608" t="s">
        <v>991</v>
      </c>
      <c r="E616" s="1608" t="s">
        <v>990</v>
      </c>
      <c r="F616" s="1646"/>
      <c r="G616" s="1646"/>
      <c r="H616" s="1690">
        <v>8000</v>
      </c>
      <c r="I616" s="1648">
        <f t="shared" si="342"/>
        <v>8000</v>
      </c>
      <c r="J616" s="1647"/>
      <c r="K616" s="1647"/>
      <c r="L616" s="1647"/>
      <c r="M616" s="1647"/>
      <c r="N616" s="1648">
        <f t="shared" si="343"/>
        <v>7500</v>
      </c>
      <c r="O616" s="1648">
        <v>7500</v>
      </c>
      <c r="P616" s="1666">
        <v>7500</v>
      </c>
      <c r="Q616" s="1666">
        <v>7500</v>
      </c>
      <c r="R616" s="1591"/>
      <c r="S616" s="1591"/>
      <c r="T616" s="1665">
        <v>7500</v>
      </c>
      <c r="U616" s="1665">
        <v>7500</v>
      </c>
      <c r="V616" s="1591"/>
      <c r="W616" s="1591"/>
      <c r="X616" s="1665">
        <v>7500</v>
      </c>
      <c r="Y616" s="1665">
        <v>7500</v>
      </c>
      <c r="Z616" s="1665">
        <v>8000</v>
      </c>
      <c r="AA616" s="1665">
        <v>8000</v>
      </c>
      <c r="AB616" s="1665"/>
      <c r="AC616" s="1665"/>
      <c r="AD616" s="1623">
        <f t="shared" si="344"/>
        <v>8000</v>
      </c>
      <c r="AE616" s="1623">
        <f t="shared" si="345"/>
        <v>8000</v>
      </c>
      <c r="AF616" s="1592"/>
      <c r="AG616" s="1009">
        <f t="shared" si="338"/>
        <v>0</v>
      </c>
      <c r="AH616" s="1009">
        <f t="shared" ref="AH616:AH669" si="346">IF(Y616=0,0,1)</f>
        <v>1</v>
      </c>
      <c r="AI616" s="1908">
        <f t="shared" si="303"/>
        <v>1</v>
      </c>
    </row>
    <row r="617" spans="1:35" ht="34.5" hidden="1" customHeight="1" x14ac:dyDescent="0.25">
      <c r="A617" s="1586" t="s">
        <v>3043</v>
      </c>
      <c r="B617" s="1586" t="s">
        <v>3042</v>
      </c>
      <c r="C617" s="1587" t="s">
        <v>989</v>
      </c>
      <c r="D617" s="1608" t="s">
        <v>982</v>
      </c>
      <c r="E617" s="1646"/>
      <c r="F617" s="1646"/>
      <c r="G617" s="1646"/>
      <c r="H617" s="1690">
        <v>8000</v>
      </c>
      <c r="I617" s="1648">
        <f t="shared" si="342"/>
        <v>8000</v>
      </c>
      <c r="J617" s="1647"/>
      <c r="K617" s="1647"/>
      <c r="L617" s="1647"/>
      <c r="M617" s="1647"/>
      <c r="N617" s="1648">
        <f t="shared" si="343"/>
        <v>7500</v>
      </c>
      <c r="O617" s="1648">
        <v>7500</v>
      </c>
      <c r="P617" s="1666">
        <v>7500</v>
      </c>
      <c r="Q617" s="1666">
        <v>7500</v>
      </c>
      <c r="R617" s="1591"/>
      <c r="S617" s="1591"/>
      <c r="T617" s="1665">
        <v>7500</v>
      </c>
      <c r="U617" s="1665">
        <v>7500</v>
      </c>
      <c r="V617" s="1591"/>
      <c r="W617" s="1591"/>
      <c r="X617" s="1665">
        <v>7500</v>
      </c>
      <c r="Y617" s="1665">
        <v>7500</v>
      </c>
      <c r="Z617" s="1665">
        <v>6607</v>
      </c>
      <c r="AA617" s="1665">
        <v>6607</v>
      </c>
      <c r="AB617" s="1665"/>
      <c r="AC617" s="1666"/>
      <c r="AD617" s="1623">
        <f t="shared" si="344"/>
        <v>6607</v>
      </c>
      <c r="AE617" s="1623">
        <f t="shared" si="345"/>
        <v>6607</v>
      </c>
      <c r="AF617" s="1592"/>
      <c r="AG617" s="1009">
        <f t="shared" si="338"/>
        <v>0</v>
      </c>
      <c r="AH617" s="1009">
        <f t="shared" si="346"/>
        <v>1</v>
      </c>
      <c r="AI617" s="1908">
        <f t="shared" si="303"/>
        <v>1</v>
      </c>
    </row>
    <row r="618" spans="1:35" ht="33" hidden="1" x14ac:dyDescent="0.25">
      <c r="A618" s="1586" t="s">
        <v>3044</v>
      </c>
      <c r="B618" s="1586"/>
      <c r="C618" s="1587" t="s">
        <v>988</v>
      </c>
      <c r="D618" s="1608" t="s">
        <v>987</v>
      </c>
      <c r="E618" s="1646"/>
      <c r="F618" s="1646"/>
      <c r="G618" s="1646"/>
      <c r="H618" s="1690">
        <v>6000</v>
      </c>
      <c r="I618" s="1648">
        <f t="shared" si="342"/>
        <v>6000</v>
      </c>
      <c r="J618" s="1647"/>
      <c r="K618" s="1647"/>
      <c r="L618" s="1647"/>
      <c r="M618" s="1647"/>
      <c r="N618" s="1648">
        <f t="shared" si="343"/>
        <v>5700</v>
      </c>
      <c r="O618" s="1648">
        <v>5700</v>
      </c>
      <c r="P618" s="1666"/>
      <c r="Q618" s="1666"/>
      <c r="R618" s="1591"/>
      <c r="S618" s="1591">
        <f>O618-U618</f>
        <v>5700</v>
      </c>
      <c r="T618" s="1665"/>
      <c r="U618" s="1665"/>
      <c r="V618" s="1591"/>
      <c r="W618" s="1591"/>
      <c r="X618" s="1665"/>
      <c r="Y618" s="1665"/>
      <c r="Z618" s="1665">
        <v>0</v>
      </c>
      <c r="AA618" s="1665">
        <v>0</v>
      </c>
      <c r="AB618" s="1665"/>
      <c r="AC618" s="1665"/>
      <c r="AD618" s="1623">
        <f t="shared" si="344"/>
        <v>0</v>
      </c>
      <c r="AE618" s="1623">
        <f t="shared" si="345"/>
        <v>0</v>
      </c>
      <c r="AF618" s="1580"/>
      <c r="AG618" s="1009">
        <f t="shared" si="338"/>
        <v>0</v>
      </c>
      <c r="AH618" s="1009">
        <f t="shared" si="346"/>
        <v>0</v>
      </c>
      <c r="AI618" s="1908">
        <f t="shared" si="303"/>
        <v>1</v>
      </c>
    </row>
    <row r="619" spans="1:35" ht="36" hidden="1" customHeight="1" x14ac:dyDescent="0.25">
      <c r="A619" s="1586" t="s">
        <v>3045</v>
      </c>
      <c r="B619" s="1586" t="s">
        <v>3043</v>
      </c>
      <c r="C619" s="1587" t="s">
        <v>986</v>
      </c>
      <c r="D619" s="1608" t="s">
        <v>985</v>
      </c>
      <c r="E619" s="1646"/>
      <c r="F619" s="1646"/>
      <c r="G619" s="1646"/>
      <c r="H619" s="1690">
        <v>3000</v>
      </c>
      <c r="I619" s="1648">
        <f t="shared" si="342"/>
        <v>3000</v>
      </c>
      <c r="J619" s="1647"/>
      <c r="K619" s="1647"/>
      <c r="L619" s="1647"/>
      <c r="M619" s="1647"/>
      <c r="N619" s="1648">
        <f t="shared" si="343"/>
        <v>2850</v>
      </c>
      <c r="O619" s="1648">
        <v>2850</v>
      </c>
      <c r="P619" s="1666">
        <v>2850</v>
      </c>
      <c r="Q619" s="1666">
        <v>2850</v>
      </c>
      <c r="R619" s="1591"/>
      <c r="S619" s="1591"/>
      <c r="T619" s="1665">
        <v>2850</v>
      </c>
      <c r="U619" s="1665">
        <v>2850</v>
      </c>
      <c r="V619" s="1591"/>
      <c r="W619" s="1591"/>
      <c r="X619" s="1665">
        <v>2850</v>
      </c>
      <c r="Y619" s="1665">
        <v>2850</v>
      </c>
      <c r="Z619" s="1665">
        <v>1907</v>
      </c>
      <c r="AA619" s="1665">
        <v>1907</v>
      </c>
      <c r="AB619" s="1665"/>
      <c r="AC619" s="1666"/>
      <c r="AD619" s="1623">
        <f t="shared" si="344"/>
        <v>1907</v>
      </c>
      <c r="AE619" s="1623">
        <f t="shared" si="345"/>
        <v>1907</v>
      </c>
      <c r="AF619" s="1592"/>
      <c r="AG619" s="1009">
        <f t="shared" si="338"/>
        <v>0</v>
      </c>
      <c r="AH619" s="1009">
        <f t="shared" si="346"/>
        <v>1</v>
      </c>
      <c r="AI619" s="1908">
        <f t="shared" si="303"/>
        <v>1</v>
      </c>
    </row>
    <row r="620" spans="1:35" ht="39" hidden="1" customHeight="1" x14ac:dyDescent="0.25">
      <c r="A620" s="1586" t="s">
        <v>3046</v>
      </c>
      <c r="B620" s="1586" t="s">
        <v>3044</v>
      </c>
      <c r="C620" s="1587" t="s">
        <v>984</v>
      </c>
      <c r="D620" s="1608" t="s">
        <v>982</v>
      </c>
      <c r="E620" s="1646">
        <f>12.62475-14.647</f>
        <v>-2.0222499999999997</v>
      </c>
      <c r="F620" s="1646"/>
      <c r="G620" s="1646"/>
      <c r="H620" s="1690">
        <v>4000</v>
      </c>
      <c r="I620" s="1648">
        <f t="shared" si="342"/>
        <v>4000</v>
      </c>
      <c r="J620" s="1647"/>
      <c r="K620" s="1647"/>
      <c r="L620" s="1647"/>
      <c r="M620" s="1647"/>
      <c r="N620" s="1648">
        <f t="shared" si="343"/>
        <v>3810</v>
      </c>
      <c r="O620" s="1648">
        <v>3810</v>
      </c>
      <c r="P620" s="1666">
        <v>3810</v>
      </c>
      <c r="Q620" s="1666">
        <v>3810</v>
      </c>
      <c r="R620" s="1591"/>
      <c r="S620" s="1591"/>
      <c r="T620" s="1665">
        <v>3810</v>
      </c>
      <c r="U620" s="1665">
        <v>3810</v>
      </c>
      <c r="V620" s="1591"/>
      <c r="W620" s="1591"/>
      <c r="X620" s="1665">
        <v>3810</v>
      </c>
      <c r="Y620" s="1665">
        <v>3810</v>
      </c>
      <c r="Z620" s="1665">
        <v>4000</v>
      </c>
      <c r="AA620" s="1665">
        <v>4000</v>
      </c>
      <c r="AB620" s="1665"/>
      <c r="AC620" s="1665"/>
      <c r="AD620" s="1623">
        <f t="shared" si="344"/>
        <v>4000</v>
      </c>
      <c r="AE620" s="1623">
        <f t="shared" si="345"/>
        <v>4000</v>
      </c>
      <c r="AF620" s="1592"/>
      <c r="AG620" s="1009">
        <f t="shared" si="338"/>
        <v>0</v>
      </c>
      <c r="AH620" s="1009">
        <f t="shared" si="346"/>
        <v>1</v>
      </c>
      <c r="AI620" s="1908">
        <f t="shared" si="303"/>
        <v>1</v>
      </c>
    </row>
    <row r="621" spans="1:35" ht="26.25" hidden="1" customHeight="1" x14ac:dyDescent="0.25">
      <c r="A621" s="1586" t="s">
        <v>3047</v>
      </c>
      <c r="B621" s="1586" t="s">
        <v>3045</v>
      </c>
      <c r="C621" s="1587" t="s">
        <v>983</v>
      </c>
      <c r="D621" s="1608" t="s">
        <v>982</v>
      </c>
      <c r="E621" s="1646">
        <f>4000-3060</f>
        <v>940</v>
      </c>
      <c r="F621" s="1646"/>
      <c r="G621" s="1646"/>
      <c r="H621" s="1690">
        <v>5000</v>
      </c>
      <c r="I621" s="1648">
        <f t="shared" si="342"/>
        <v>5000</v>
      </c>
      <c r="J621" s="1647"/>
      <c r="K621" s="1647"/>
      <c r="L621" s="1647"/>
      <c r="M621" s="1647"/>
      <c r="N621" s="1648">
        <f t="shared" si="343"/>
        <v>4760</v>
      </c>
      <c r="O621" s="1648">
        <v>4760</v>
      </c>
      <c r="P621" s="1666">
        <v>4760</v>
      </c>
      <c r="Q621" s="1666">
        <v>4760</v>
      </c>
      <c r="R621" s="1591"/>
      <c r="S621" s="1591"/>
      <c r="T621" s="1665">
        <v>4760</v>
      </c>
      <c r="U621" s="1665">
        <v>4760</v>
      </c>
      <c r="V621" s="1591"/>
      <c r="W621" s="1591"/>
      <c r="X621" s="1665">
        <v>4760</v>
      </c>
      <c r="Y621" s="1665">
        <v>4760</v>
      </c>
      <c r="Z621" s="1665">
        <v>4714</v>
      </c>
      <c r="AA621" s="1665">
        <v>4714</v>
      </c>
      <c r="AB621" s="1665"/>
      <c r="AC621" s="1666"/>
      <c r="AD621" s="1623">
        <f t="shared" si="344"/>
        <v>4714</v>
      </c>
      <c r="AE621" s="1623">
        <f t="shared" si="345"/>
        <v>4714</v>
      </c>
      <c r="AF621" s="1592"/>
      <c r="AG621" s="1009">
        <f t="shared" si="338"/>
        <v>0</v>
      </c>
      <c r="AH621" s="1009">
        <f t="shared" si="346"/>
        <v>1</v>
      </c>
      <c r="AI621" s="1908">
        <f t="shared" si="303"/>
        <v>1</v>
      </c>
    </row>
    <row r="622" spans="1:35" ht="57.75" hidden="1" customHeight="1" x14ac:dyDescent="0.25">
      <c r="A622" s="1586" t="s">
        <v>3048</v>
      </c>
      <c r="B622" s="1586" t="s">
        <v>3046</v>
      </c>
      <c r="C622" s="1587" t="s">
        <v>981</v>
      </c>
      <c r="D622" s="1608" t="s">
        <v>2164</v>
      </c>
      <c r="E622" s="1588"/>
      <c r="F622" s="1589" t="s">
        <v>116</v>
      </c>
      <c r="G622" s="1588"/>
      <c r="H622" s="1648">
        <v>7999</v>
      </c>
      <c r="I622" s="1648">
        <f t="shared" si="342"/>
        <v>7999</v>
      </c>
      <c r="J622" s="1647"/>
      <c r="K622" s="1647"/>
      <c r="L622" s="1647"/>
      <c r="M622" s="1647"/>
      <c r="N622" s="1648"/>
      <c r="O622" s="1648"/>
      <c r="P622" s="1666">
        <f>Q622</f>
        <v>5700</v>
      </c>
      <c r="Q622" s="1666">
        <v>5700</v>
      </c>
      <c r="R622" s="1591">
        <f>U622-O622</f>
        <v>5700</v>
      </c>
      <c r="S622" s="1591"/>
      <c r="T622" s="1665">
        <f>U622</f>
        <v>5700</v>
      </c>
      <c r="U622" s="1665">
        <v>5700</v>
      </c>
      <c r="V622" s="1591"/>
      <c r="W622" s="1591"/>
      <c r="X622" s="1665">
        <f>Y622</f>
        <v>5700</v>
      </c>
      <c r="Y622" s="1665">
        <v>5700</v>
      </c>
      <c r="Z622" s="1665">
        <v>5636</v>
      </c>
      <c r="AA622" s="1665">
        <v>5636</v>
      </c>
      <c r="AB622" s="1665"/>
      <c r="AC622" s="1666"/>
      <c r="AD622" s="1623">
        <f t="shared" si="344"/>
        <v>5636</v>
      </c>
      <c r="AE622" s="1623">
        <f t="shared" si="345"/>
        <v>5636</v>
      </c>
      <c r="AF622" s="1580"/>
      <c r="AG622" s="1009">
        <f t="shared" si="338"/>
        <v>0</v>
      </c>
      <c r="AH622" s="1009">
        <f t="shared" si="346"/>
        <v>1</v>
      </c>
      <c r="AI622" s="1908">
        <f t="shared" si="303"/>
        <v>1</v>
      </c>
    </row>
    <row r="623" spans="1:35" ht="69.75" hidden="1" customHeight="1" x14ac:dyDescent="0.25">
      <c r="A623" s="1586" t="s">
        <v>3049</v>
      </c>
      <c r="B623" s="1586" t="s">
        <v>3047</v>
      </c>
      <c r="C623" s="1587" t="s">
        <v>2163</v>
      </c>
      <c r="D623" s="1608" t="s">
        <v>2164</v>
      </c>
      <c r="E623" s="1588" t="s">
        <v>2167</v>
      </c>
      <c r="F623" s="1589" t="s">
        <v>290</v>
      </c>
      <c r="G623" s="1588"/>
      <c r="H623" s="1648">
        <f>I623</f>
        <v>14661</v>
      </c>
      <c r="I623" s="1648">
        <v>14661</v>
      </c>
      <c r="J623" s="1647"/>
      <c r="K623" s="1647"/>
      <c r="L623" s="1647"/>
      <c r="M623" s="1647"/>
      <c r="N623" s="1648"/>
      <c r="O623" s="1648"/>
      <c r="P623" s="1666"/>
      <c r="Q623" s="1666"/>
      <c r="R623" s="1591"/>
      <c r="S623" s="1591"/>
      <c r="T623" s="1665"/>
      <c r="U623" s="1665"/>
      <c r="V623" s="1591">
        <v>13000</v>
      </c>
      <c r="W623" s="1591"/>
      <c r="X623" s="1665">
        <f>Y623</f>
        <v>13000</v>
      </c>
      <c r="Y623" s="1665">
        <f>V623+U623</f>
        <v>13000</v>
      </c>
      <c r="Z623" s="1665">
        <v>13512</v>
      </c>
      <c r="AA623" s="1665">
        <v>13512</v>
      </c>
      <c r="AB623" s="1665"/>
      <c r="AC623" s="1665"/>
      <c r="AD623" s="1623">
        <f t="shared" si="344"/>
        <v>13512</v>
      </c>
      <c r="AE623" s="1623">
        <f t="shared" si="345"/>
        <v>13512</v>
      </c>
      <c r="AF623" s="1580"/>
      <c r="AG623" s="1009">
        <f t="shared" si="338"/>
        <v>0</v>
      </c>
      <c r="AH623" s="1009">
        <f t="shared" si="346"/>
        <v>1</v>
      </c>
      <c r="AI623" s="1908">
        <f t="shared" si="303"/>
        <v>1</v>
      </c>
    </row>
    <row r="624" spans="1:35" ht="36.75" hidden="1" customHeight="1" x14ac:dyDescent="0.25">
      <c r="A624" s="1586" t="s">
        <v>3050</v>
      </c>
      <c r="B624" s="1586" t="s">
        <v>3048</v>
      </c>
      <c r="C624" s="1587" t="s">
        <v>2165</v>
      </c>
      <c r="D624" s="1608" t="s">
        <v>2166</v>
      </c>
      <c r="E624" s="1588" t="s">
        <v>2168</v>
      </c>
      <c r="F624" s="1589" t="s">
        <v>290</v>
      </c>
      <c r="G624" s="1588"/>
      <c r="H624" s="1648">
        <f>I624</f>
        <v>14990</v>
      </c>
      <c r="I624" s="1648">
        <v>14990</v>
      </c>
      <c r="J624" s="1647"/>
      <c r="K624" s="1647"/>
      <c r="L624" s="1647"/>
      <c r="M624" s="1647"/>
      <c r="N624" s="1648"/>
      <c r="O624" s="1648"/>
      <c r="P624" s="1666"/>
      <c r="Q624" s="1666"/>
      <c r="R624" s="1591"/>
      <c r="S624" s="1591"/>
      <c r="T624" s="1665"/>
      <c r="U624" s="1665"/>
      <c r="V624" s="1591">
        <v>12800</v>
      </c>
      <c r="W624" s="1591"/>
      <c r="X624" s="1665">
        <f>Y624</f>
        <v>12800</v>
      </c>
      <c r="Y624" s="1665">
        <f>V624+U624</f>
        <v>12800</v>
      </c>
      <c r="Z624" s="1665">
        <v>14211</v>
      </c>
      <c r="AA624" s="1665">
        <v>14211</v>
      </c>
      <c r="AB624" s="1665"/>
      <c r="AC624" s="1665"/>
      <c r="AD624" s="1623">
        <f t="shared" si="344"/>
        <v>14211</v>
      </c>
      <c r="AE624" s="1623">
        <f t="shared" si="345"/>
        <v>14211</v>
      </c>
      <c r="AF624" s="1580"/>
      <c r="AG624" s="1009">
        <f t="shared" si="338"/>
        <v>0</v>
      </c>
      <c r="AH624" s="1009">
        <f t="shared" si="346"/>
        <v>1</v>
      </c>
      <c r="AI624" s="1908">
        <f t="shared" si="303"/>
        <v>1</v>
      </c>
    </row>
    <row r="625" spans="1:35" ht="51.75" hidden="1" customHeight="1" x14ac:dyDescent="0.25">
      <c r="A625" s="1586" t="s">
        <v>3051</v>
      </c>
      <c r="B625" s="1586" t="s">
        <v>3049</v>
      </c>
      <c r="C625" s="1587" t="s">
        <v>2171</v>
      </c>
      <c r="D625" s="1608" t="s">
        <v>2169</v>
      </c>
      <c r="E625" s="1588" t="s">
        <v>2170</v>
      </c>
      <c r="F625" s="1589" t="s">
        <v>290</v>
      </c>
      <c r="G625" s="1588"/>
      <c r="H625" s="1648">
        <f t="shared" ref="H625:H641" si="347">I625</f>
        <v>13468</v>
      </c>
      <c r="I625" s="1648">
        <v>13468</v>
      </c>
      <c r="J625" s="1647"/>
      <c r="K625" s="1647"/>
      <c r="L625" s="1647"/>
      <c r="M625" s="1647"/>
      <c r="N625" s="1648"/>
      <c r="O625" s="1648"/>
      <c r="P625" s="1666"/>
      <c r="Q625" s="1666"/>
      <c r="R625" s="1591"/>
      <c r="S625" s="1591"/>
      <c r="T625" s="1665"/>
      <c r="U625" s="1665"/>
      <c r="V625" s="1591">
        <v>12000</v>
      </c>
      <c r="W625" s="1591"/>
      <c r="X625" s="1665">
        <f t="shared" ref="X625:X641" si="348">Y625</f>
        <v>12000</v>
      </c>
      <c r="Y625" s="1665">
        <f t="shared" ref="Y625:Y641" si="349">V625+U625</f>
        <v>12000</v>
      </c>
      <c r="Z625" s="1665">
        <v>12142</v>
      </c>
      <c r="AA625" s="1665">
        <v>12142</v>
      </c>
      <c r="AB625" s="1665"/>
      <c r="AC625" s="1665"/>
      <c r="AD625" s="1623">
        <f t="shared" si="344"/>
        <v>12142</v>
      </c>
      <c r="AE625" s="1623">
        <f t="shared" si="345"/>
        <v>12142</v>
      </c>
      <c r="AF625" s="1580"/>
      <c r="AG625" s="1009">
        <f t="shared" si="338"/>
        <v>0</v>
      </c>
      <c r="AH625" s="1009">
        <f t="shared" si="346"/>
        <v>1</v>
      </c>
      <c r="AI625" s="1908">
        <f t="shared" si="303"/>
        <v>1</v>
      </c>
    </row>
    <row r="626" spans="1:35" ht="50.25" hidden="1" customHeight="1" x14ac:dyDescent="0.25">
      <c r="A626" s="1586" t="s">
        <v>3052</v>
      </c>
      <c r="B626" s="1586" t="s">
        <v>3050</v>
      </c>
      <c r="C626" s="1587" t="s">
        <v>2172</v>
      </c>
      <c r="D626" s="1608" t="s">
        <v>2169</v>
      </c>
      <c r="E626" s="1588" t="s">
        <v>2173</v>
      </c>
      <c r="F626" s="1589" t="s">
        <v>290</v>
      </c>
      <c r="G626" s="1588"/>
      <c r="H626" s="1648">
        <f t="shared" si="347"/>
        <v>13511</v>
      </c>
      <c r="I626" s="1648">
        <v>13511</v>
      </c>
      <c r="J626" s="1647"/>
      <c r="K626" s="1647"/>
      <c r="L626" s="1647"/>
      <c r="M626" s="1647"/>
      <c r="N626" s="1648"/>
      <c r="O626" s="1648"/>
      <c r="P626" s="1666"/>
      <c r="Q626" s="1666"/>
      <c r="R626" s="1591"/>
      <c r="S626" s="1591"/>
      <c r="T626" s="1665"/>
      <c r="U626" s="1665"/>
      <c r="V626" s="1591">
        <v>12000</v>
      </c>
      <c r="W626" s="1591"/>
      <c r="X626" s="1665">
        <f t="shared" si="348"/>
        <v>12000</v>
      </c>
      <c r="Y626" s="1665">
        <f t="shared" si="349"/>
        <v>12000</v>
      </c>
      <c r="Z626" s="1665">
        <v>12306</v>
      </c>
      <c r="AA626" s="1665">
        <v>12306</v>
      </c>
      <c r="AB626" s="1665"/>
      <c r="AC626" s="1665"/>
      <c r="AD626" s="1623">
        <f t="shared" si="344"/>
        <v>12306</v>
      </c>
      <c r="AE626" s="1623">
        <f t="shared" si="345"/>
        <v>12306</v>
      </c>
      <c r="AF626" s="1580"/>
      <c r="AG626" s="1009">
        <f t="shared" si="338"/>
        <v>0</v>
      </c>
      <c r="AH626" s="1009">
        <f t="shared" si="346"/>
        <v>1</v>
      </c>
      <c r="AI626" s="1908">
        <f t="shared" si="303"/>
        <v>1</v>
      </c>
    </row>
    <row r="627" spans="1:35" ht="118.5" hidden="1" customHeight="1" x14ac:dyDescent="0.25">
      <c r="A627" s="1586" t="s">
        <v>3053</v>
      </c>
      <c r="B627" s="1586"/>
      <c r="C627" s="1587" t="s">
        <v>2223</v>
      </c>
      <c r="D627" s="1608" t="s">
        <v>2224</v>
      </c>
      <c r="E627" s="1588"/>
      <c r="F627" s="1589" t="s">
        <v>168</v>
      </c>
      <c r="G627" s="1588"/>
      <c r="H627" s="1648">
        <f>I627</f>
        <v>13258</v>
      </c>
      <c r="I627" s="1648">
        <v>13258</v>
      </c>
      <c r="J627" s="1647"/>
      <c r="K627" s="1647"/>
      <c r="L627" s="1647"/>
      <c r="M627" s="1647"/>
      <c r="N627" s="1648"/>
      <c r="O627" s="1648"/>
      <c r="P627" s="1666"/>
      <c r="Q627" s="1666"/>
      <c r="R627" s="1591"/>
      <c r="S627" s="1591"/>
      <c r="T627" s="1665"/>
      <c r="U627" s="1665"/>
      <c r="V627" s="1591">
        <v>12000</v>
      </c>
      <c r="W627" s="1591"/>
      <c r="X627" s="1665">
        <f>Y627</f>
        <v>12000</v>
      </c>
      <c r="Y627" s="1665">
        <f>V627+U627</f>
        <v>12000</v>
      </c>
      <c r="Z627" s="1665">
        <v>12000</v>
      </c>
      <c r="AA627" s="1665">
        <v>12000</v>
      </c>
      <c r="AB627" s="1665"/>
      <c r="AC627" s="1665"/>
      <c r="AD627" s="1623">
        <f t="shared" si="344"/>
        <v>12000</v>
      </c>
      <c r="AE627" s="1623">
        <f t="shared" si="345"/>
        <v>12000</v>
      </c>
      <c r="AF627" s="1580"/>
      <c r="AG627" s="1009">
        <f t="shared" si="338"/>
        <v>0</v>
      </c>
      <c r="AH627" s="1009">
        <f t="shared" si="346"/>
        <v>1</v>
      </c>
      <c r="AI627" s="1908">
        <f t="shared" si="303"/>
        <v>1</v>
      </c>
    </row>
    <row r="628" spans="1:35" ht="41.25" hidden="1" customHeight="1" x14ac:dyDescent="0.25">
      <c r="A628" s="1586" t="s">
        <v>3054</v>
      </c>
      <c r="B628" s="1586"/>
      <c r="C628" s="1587" t="s">
        <v>2177</v>
      </c>
      <c r="D628" s="1608" t="s">
        <v>2176</v>
      </c>
      <c r="E628" s="1588"/>
      <c r="F628" s="1589" t="s">
        <v>290</v>
      </c>
      <c r="G628" s="1588"/>
      <c r="H628" s="1648">
        <f>I628</f>
        <v>9840</v>
      </c>
      <c r="I628" s="1648">
        <v>9840</v>
      </c>
      <c r="J628" s="1647"/>
      <c r="K628" s="1647"/>
      <c r="L628" s="1647"/>
      <c r="M628" s="1647"/>
      <c r="N628" s="1648"/>
      <c r="O628" s="1648"/>
      <c r="P628" s="1666"/>
      <c r="Q628" s="1666"/>
      <c r="R628" s="1591"/>
      <c r="S628" s="1591"/>
      <c r="T628" s="1665"/>
      <c r="U628" s="1665"/>
      <c r="V628" s="1591">
        <v>8600</v>
      </c>
      <c r="W628" s="1591"/>
      <c r="X628" s="1665">
        <f>Y628</f>
        <v>8600</v>
      </c>
      <c r="Y628" s="1665">
        <f>V628+U628</f>
        <v>8600</v>
      </c>
      <c r="Z628" s="1665">
        <v>8600</v>
      </c>
      <c r="AA628" s="1665">
        <v>8600</v>
      </c>
      <c r="AB628" s="1665"/>
      <c r="AC628" s="1665"/>
      <c r="AD628" s="1623">
        <f t="shared" si="344"/>
        <v>8600</v>
      </c>
      <c r="AE628" s="1623">
        <f t="shared" si="345"/>
        <v>8600</v>
      </c>
      <c r="AF628" s="1580"/>
      <c r="AG628" s="1009">
        <f t="shared" si="338"/>
        <v>0</v>
      </c>
      <c r="AH628" s="1009">
        <f>IF(Y628=0,0,1)</f>
        <v>1</v>
      </c>
      <c r="AI628" s="1908">
        <f t="shared" si="303"/>
        <v>1</v>
      </c>
    </row>
    <row r="629" spans="1:35" ht="36.75" hidden="1" customHeight="1" x14ac:dyDescent="0.25">
      <c r="A629" s="1586" t="s">
        <v>3055</v>
      </c>
      <c r="B629" s="1586" t="s">
        <v>3051</v>
      </c>
      <c r="C629" s="1587" t="s">
        <v>2178</v>
      </c>
      <c r="D629" s="1608" t="s">
        <v>1164</v>
      </c>
      <c r="E629" s="1588"/>
      <c r="F629" s="1589" t="s">
        <v>290</v>
      </c>
      <c r="G629" s="1588"/>
      <c r="H629" s="1648">
        <f>I629</f>
        <v>7011</v>
      </c>
      <c r="I629" s="1648">
        <v>7011</v>
      </c>
      <c r="J629" s="1647"/>
      <c r="K629" s="1647"/>
      <c r="L629" s="1647"/>
      <c r="M629" s="1647"/>
      <c r="N629" s="1648"/>
      <c r="O629" s="1648"/>
      <c r="P629" s="1666"/>
      <c r="Q629" s="1666"/>
      <c r="R629" s="1591"/>
      <c r="S629" s="1591"/>
      <c r="T629" s="1665"/>
      <c r="U629" s="1665"/>
      <c r="V629" s="1591">
        <v>6100</v>
      </c>
      <c r="W629" s="1591"/>
      <c r="X629" s="1665">
        <f>Y629</f>
        <v>6100</v>
      </c>
      <c r="Y629" s="1665">
        <f>V629+U629</f>
        <v>6100</v>
      </c>
      <c r="Z629" s="1665">
        <v>6434</v>
      </c>
      <c r="AA629" s="1665">
        <v>6434</v>
      </c>
      <c r="AB629" s="1665"/>
      <c r="AC629" s="1665"/>
      <c r="AD629" s="1623">
        <f t="shared" si="344"/>
        <v>6434</v>
      </c>
      <c r="AE629" s="1623">
        <f t="shared" si="345"/>
        <v>6434</v>
      </c>
      <c r="AF629" s="1580"/>
      <c r="AG629" s="1009">
        <f t="shared" si="338"/>
        <v>0</v>
      </c>
      <c r="AH629" s="1009">
        <f>IF(Y629=0,0,1)</f>
        <v>1</v>
      </c>
      <c r="AI629" s="1908">
        <f t="shared" si="303"/>
        <v>1</v>
      </c>
    </row>
    <row r="630" spans="1:35" ht="53.25" hidden="1" customHeight="1" x14ac:dyDescent="0.25">
      <c r="A630" s="1586" t="s">
        <v>3056</v>
      </c>
      <c r="B630" s="1586"/>
      <c r="C630" s="1587" t="s">
        <v>2028</v>
      </c>
      <c r="D630" s="1608" t="s">
        <v>2029</v>
      </c>
      <c r="E630" s="1608" t="s">
        <v>2030</v>
      </c>
      <c r="F630" s="1646" t="s">
        <v>199</v>
      </c>
      <c r="G630" s="1588" t="s">
        <v>2031</v>
      </c>
      <c r="H630" s="1834">
        <v>5658</v>
      </c>
      <c r="I630" s="1796">
        <f t="shared" ref="I630:I636" si="350">H630</f>
        <v>5658</v>
      </c>
      <c r="J630" s="1830"/>
      <c r="K630" s="1830"/>
      <c r="L630" s="1830"/>
      <c r="M630" s="1830"/>
      <c r="N630" s="1796">
        <v>800</v>
      </c>
      <c r="O630" s="1796">
        <f t="shared" ref="O630:O636" si="351">N630</f>
        <v>800</v>
      </c>
      <c r="P630" s="1796">
        <v>800</v>
      </c>
      <c r="Q630" s="1796">
        <f t="shared" ref="Q630:Q636" si="352">P630</f>
        <v>800</v>
      </c>
      <c r="R630" s="1796"/>
      <c r="S630" s="1796"/>
      <c r="T630" s="1796">
        <v>800</v>
      </c>
      <c r="U630" s="1796">
        <f t="shared" ref="U630:U636" si="353">T630</f>
        <v>800</v>
      </c>
      <c r="V630" s="1796"/>
      <c r="W630" s="1796"/>
      <c r="X630" s="1796">
        <f t="shared" ref="X630:X633" si="354">Y630</f>
        <v>800</v>
      </c>
      <c r="Y630" s="1831">
        <f t="shared" ref="Y630:Y633" si="355">U630+V630+W630</f>
        <v>800</v>
      </c>
      <c r="Z630" s="1796">
        <v>800</v>
      </c>
      <c r="AA630" s="1796">
        <v>800</v>
      </c>
      <c r="AB630" s="1665"/>
      <c r="AC630" s="1665"/>
      <c r="AD630" s="1796">
        <f t="shared" si="344"/>
        <v>800</v>
      </c>
      <c r="AE630" s="1831">
        <f t="shared" si="345"/>
        <v>800</v>
      </c>
      <c r="AF630" s="1580" t="s">
        <v>2761</v>
      </c>
      <c r="AG630" s="1009"/>
      <c r="AH630" s="1009"/>
      <c r="AI630" s="1908"/>
    </row>
    <row r="631" spans="1:35" ht="55.5" hidden="1" customHeight="1" x14ac:dyDescent="0.25">
      <c r="A631" s="1586" t="s">
        <v>3057</v>
      </c>
      <c r="B631" s="1586"/>
      <c r="C631" s="1674" t="s">
        <v>2032</v>
      </c>
      <c r="D631" s="1608" t="s">
        <v>52</v>
      </c>
      <c r="E631" s="1608" t="s">
        <v>2033</v>
      </c>
      <c r="F631" s="1646" t="s">
        <v>97</v>
      </c>
      <c r="G631" s="1588" t="s">
        <v>2034</v>
      </c>
      <c r="H631" s="1834">
        <v>8205</v>
      </c>
      <c r="I631" s="1796">
        <f t="shared" si="350"/>
        <v>8205</v>
      </c>
      <c r="J631" s="1830"/>
      <c r="K631" s="1830"/>
      <c r="L631" s="1830"/>
      <c r="M631" s="1830"/>
      <c r="N631" s="1796">
        <v>7180</v>
      </c>
      <c r="O631" s="1796">
        <f t="shared" si="351"/>
        <v>7180</v>
      </c>
      <c r="P631" s="1796">
        <v>7180</v>
      </c>
      <c r="Q631" s="1796">
        <f t="shared" si="352"/>
        <v>7180</v>
      </c>
      <c r="R631" s="1796"/>
      <c r="S631" s="1796"/>
      <c r="T631" s="1796">
        <v>7180</v>
      </c>
      <c r="U631" s="1796">
        <f t="shared" si="353"/>
        <v>7180</v>
      </c>
      <c r="V631" s="1796"/>
      <c r="W631" s="1796"/>
      <c r="X631" s="1796">
        <f t="shared" si="354"/>
        <v>7180</v>
      </c>
      <c r="Y631" s="1831">
        <f t="shared" si="355"/>
        <v>7180</v>
      </c>
      <c r="Z631" s="1796">
        <v>7180</v>
      </c>
      <c r="AA631" s="1796">
        <v>7180</v>
      </c>
      <c r="AB631" s="1665"/>
      <c r="AC631" s="1665"/>
      <c r="AD631" s="1796">
        <f t="shared" si="344"/>
        <v>7180</v>
      </c>
      <c r="AE631" s="1831">
        <f t="shared" si="345"/>
        <v>7180</v>
      </c>
      <c r="AF631" s="1580" t="s">
        <v>2761</v>
      </c>
      <c r="AG631" s="1009"/>
      <c r="AH631" s="1009"/>
      <c r="AI631" s="1908"/>
    </row>
    <row r="632" spans="1:35" ht="55.5" hidden="1" customHeight="1" x14ac:dyDescent="0.25">
      <c r="A632" s="1586" t="s">
        <v>3058</v>
      </c>
      <c r="B632" s="1586"/>
      <c r="C632" s="1674" t="s">
        <v>2035</v>
      </c>
      <c r="D632" s="1608" t="s">
        <v>52</v>
      </c>
      <c r="E632" s="1608"/>
      <c r="F632" s="1646" t="s">
        <v>97</v>
      </c>
      <c r="G632" s="1588" t="s">
        <v>2036</v>
      </c>
      <c r="H632" s="1834">
        <v>12718</v>
      </c>
      <c r="I632" s="1796">
        <f t="shared" si="350"/>
        <v>12718</v>
      </c>
      <c r="J632" s="1830"/>
      <c r="K632" s="1830"/>
      <c r="L632" s="1830"/>
      <c r="M632" s="1830"/>
      <c r="N632" s="1796">
        <v>8900</v>
      </c>
      <c r="O632" s="1796">
        <f t="shared" si="351"/>
        <v>8900</v>
      </c>
      <c r="P632" s="1796">
        <v>8900</v>
      </c>
      <c r="Q632" s="1796">
        <f t="shared" si="352"/>
        <v>8900</v>
      </c>
      <c r="R632" s="1796"/>
      <c r="S632" s="1796"/>
      <c r="T632" s="1796">
        <v>8900</v>
      </c>
      <c r="U632" s="1796">
        <f t="shared" si="353"/>
        <v>8900</v>
      </c>
      <c r="V632" s="1796"/>
      <c r="W632" s="1796"/>
      <c r="X632" s="1796">
        <f t="shared" si="354"/>
        <v>8900</v>
      </c>
      <c r="Y632" s="1831">
        <f t="shared" si="355"/>
        <v>8900</v>
      </c>
      <c r="Z632" s="1796">
        <v>8900</v>
      </c>
      <c r="AA632" s="1796">
        <v>8900</v>
      </c>
      <c r="AB632" s="1665"/>
      <c r="AC632" s="1665"/>
      <c r="AD632" s="1796">
        <f t="shared" si="344"/>
        <v>8900</v>
      </c>
      <c r="AE632" s="1831">
        <f t="shared" si="345"/>
        <v>8900</v>
      </c>
      <c r="AF632" s="1580" t="s">
        <v>2761</v>
      </c>
      <c r="AG632" s="1009"/>
      <c r="AH632" s="1009"/>
      <c r="AI632" s="1908"/>
    </row>
    <row r="633" spans="1:35" ht="49.5" hidden="1" x14ac:dyDescent="0.25">
      <c r="A633" s="1586" t="s">
        <v>3059</v>
      </c>
      <c r="B633" s="1586"/>
      <c r="C633" s="1674" t="s">
        <v>2038</v>
      </c>
      <c r="D633" s="1608" t="s">
        <v>52</v>
      </c>
      <c r="E633" s="1608" t="s">
        <v>2039</v>
      </c>
      <c r="F633" s="1646" t="s">
        <v>97</v>
      </c>
      <c r="G633" s="1588" t="s">
        <v>2040</v>
      </c>
      <c r="H633" s="1834">
        <v>3650</v>
      </c>
      <c r="I633" s="1796">
        <f t="shared" si="350"/>
        <v>3650</v>
      </c>
      <c r="J633" s="1830"/>
      <c r="K633" s="1830"/>
      <c r="L633" s="1830"/>
      <c r="M633" s="1830"/>
      <c r="N633" s="1796">
        <v>3470</v>
      </c>
      <c r="O633" s="1796">
        <f t="shared" si="351"/>
        <v>3470</v>
      </c>
      <c r="P633" s="1796">
        <v>3470</v>
      </c>
      <c r="Q633" s="1796">
        <f t="shared" si="352"/>
        <v>3470</v>
      </c>
      <c r="R633" s="1796"/>
      <c r="S633" s="1796"/>
      <c r="T633" s="1796">
        <v>3470</v>
      </c>
      <c r="U633" s="1796">
        <f t="shared" si="353"/>
        <v>3470</v>
      </c>
      <c r="V633" s="1796"/>
      <c r="W633" s="1796"/>
      <c r="X633" s="1796">
        <f t="shared" si="354"/>
        <v>3470</v>
      </c>
      <c r="Y633" s="1831">
        <f t="shared" si="355"/>
        <v>3470</v>
      </c>
      <c r="Z633" s="1796">
        <v>3470</v>
      </c>
      <c r="AA633" s="1796">
        <v>3470</v>
      </c>
      <c r="AB633" s="1665"/>
      <c r="AC633" s="1665"/>
      <c r="AD633" s="1796">
        <f t="shared" si="344"/>
        <v>3470</v>
      </c>
      <c r="AE633" s="1831">
        <f t="shared" si="345"/>
        <v>3470</v>
      </c>
      <c r="AF633" s="1580" t="s">
        <v>2761</v>
      </c>
      <c r="AG633" s="1009"/>
      <c r="AH633" s="1009"/>
      <c r="AI633" s="1908"/>
    </row>
    <row r="634" spans="1:35" ht="33" hidden="1" x14ac:dyDescent="0.25">
      <c r="A634" s="1586" t="s">
        <v>3060</v>
      </c>
      <c r="B634" s="1586"/>
      <c r="C634" s="1674" t="s">
        <v>2050</v>
      </c>
      <c r="D634" s="1608" t="s">
        <v>52</v>
      </c>
      <c r="E634" s="1608" t="s">
        <v>2051</v>
      </c>
      <c r="F634" s="1646" t="s">
        <v>97</v>
      </c>
      <c r="G634" s="1588" t="s">
        <v>2052</v>
      </c>
      <c r="H634" s="1587">
        <v>3828</v>
      </c>
      <c r="I634" s="1796">
        <f t="shared" si="350"/>
        <v>3828</v>
      </c>
      <c r="J634" s="1830"/>
      <c r="K634" s="1830"/>
      <c r="L634" s="1830"/>
      <c r="M634" s="1830"/>
      <c r="N634" s="1796">
        <v>3300</v>
      </c>
      <c r="O634" s="1796">
        <f t="shared" si="351"/>
        <v>3300</v>
      </c>
      <c r="P634" s="1796">
        <v>3300</v>
      </c>
      <c r="Q634" s="1796">
        <f t="shared" si="352"/>
        <v>3300</v>
      </c>
      <c r="R634" s="1796"/>
      <c r="S634" s="1796"/>
      <c r="T634" s="1796">
        <v>3300</v>
      </c>
      <c r="U634" s="1796">
        <f t="shared" si="353"/>
        <v>3300</v>
      </c>
      <c r="V634" s="1796"/>
      <c r="W634" s="1796"/>
      <c r="X634" s="1796">
        <v>3300</v>
      </c>
      <c r="Y634" s="1796">
        <f t="shared" ref="Y634:Y636" si="356">X634</f>
        <v>3300</v>
      </c>
      <c r="Z634" s="1796">
        <v>3300</v>
      </c>
      <c r="AA634" s="1796">
        <v>3300</v>
      </c>
      <c r="AB634" s="1665"/>
      <c r="AC634" s="1665"/>
      <c r="AD634" s="1796">
        <v>3300</v>
      </c>
      <c r="AE634" s="1796">
        <f t="shared" ref="AE634:AE636" si="357">AD634</f>
        <v>3300</v>
      </c>
      <c r="AF634" s="1580" t="s">
        <v>2761</v>
      </c>
      <c r="AG634" s="1009"/>
      <c r="AH634" s="1009"/>
      <c r="AI634" s="1908"/>
    </row>
    <row r="635" spans="1:35" ht="52.5" hidden="1" customHeight="1" x14ac:dyDescent="0.25">
      <c r="A635" s="1586" t="s">
        <v>3061</v>
      </c>
      <c r="B635" s="1586"/>
      <c r="C635" s="1674" t="s">
        <v>2053</v>
      </c>
      <c r="D635" s="1608" t="s">
        <v>52</v>
      </c>
      <c r="E635" s="1608" t="s">
        <v>2054</v>
      </c>
      <c r="F635" s="1646" t="s">
        <v>109</v>
      </c>
      <c r="G635" s="1588" t="s">
        <v>2055</v>
      </c>
      <c r="H635" s="1587">
        <v>9397</v>
      </c>
      <c r="I635" s="1796">
        <f t="shared" si="350"/>
        <v>9397</v>
      </c>
      <c r="J635" s="1830"/>
      <c r="K635" s="1830"/>
      <c r="L635" s="1830"/>
      <c r="M635" s="1830"/>
      <c r="N635" s="1796">
        <v>8300</v>
      </c>
      <c r="O635" s="1796">
        <f t="shared" si="351"/>
        <v>8300</v>
      </c>
      <c r="P635" s="1796">
        <v>8300</v>
      </c>
      <c r="Q635" s="1796">
        <f t="shared" si="352"/>
        <v>8300</v>
      </c>
      <c r="R635" s="1796"/>
      <c r="S635" s="1796"/>
      <c r="T635" s="1796">
        <v>8300</v>
      </c>
      <c r="U635" s="1796">
        <f t="shared" si="353"/>
        <v>8300</v>
      </c>
      <c r="V635" s="1796"/>
      <c r="W635" s="1796"/>
      <c r="X635" s="1796">
        <v>8300</v>
      </c>
      <c r="Y635" s="1796">
        <f t="shared" si="356"/>
        <v>8300</v>
      </c>
      <c r="Z635" s="1796">
        <v>8300</v>
      </c>
      <c r="AA635" s="1796">
        <v>8300</v>
      </c>
      <c r="AB635" s="1665"/>
      <c r="AC635" s="1665"/>
      <c r="AD635" s="1796">
        <v>8300</v>
      </c>
      <c r="AE635" s="1796">
        <f t="shared" si="357"/>
        <v>8300</v>
      </c>
      <c r="AF635" s="1580" t="s">
        <v>2761</v>
      </c>
      <c r="AG635" s="1009"/>
      <c r="AH635" s="1009"/>
      <c r="AI635" s="1908"/>
    </row>
    <row r="636" spans="1:35" ht="56.25" hidden="1" customHeight="1" x14ac:dyDescent="0.25">
      <c r="A636" s="1586" t="s">
        <v>3062</v>
      </c>
      <c r="B636" s="1586"/>
      <c r="C636" s="1674" t="s">
        <v>2056</v>
      </c>
      <c r="D636" s="1608" t="s">
        <v>52</v>
      </c>
      <c r="E636" s="1608" t="s">
        <v>2057</v>
      </c>
      <c r="F636" s="1646" t="s">
        <v>109</v>
      </c>
      <c r="G636" s="1588" t="s">
        <v>2058</v>
      </c>
      <c r="H636" s="1587">
        <v>14904</v>
      </c>
      <c r="I636" s="1796">
        <f t="shared" si="350"/>
        <v>14904</v>
      </c>
      <c r="J636" s="1830"/>
      <c r="K636" s="1830"/>
      <c r="L636" s="1830"/>
      <c r="M636" s="1830"/>
      <c r="N636" s="1796">
        <v>13400</v>
      </c>
      <c r="O636" s="1796">
        <f t="shared" si="351"/>
        <v>13400</v>
      </c>
      <c r="P636" s="1796">
        <v>13400</v>
      </c>
      <c r="Q636" s="1796">
        <f t="shared" si="352"/>
        <v>13400</v>
      </c>
      <c r="R636" s="1796"/>
      <c r="S636" s="1796"/>
      <c r="T636" s="1796">
        <v>13400</v>
      </c>
      <c r="U636" s="1796">
        <f t="shared" si="353"/>
        <v>13400</v>
      </c>
      <c r="V636" s="1796"/>
      <c r="W636" s="1796"/>
      <c r="X636" s="1796">
        <v>13400</v>
      </c>
      <c r="Y636" s="1796">
        <f t="shared" si="356"/>
        <v>13400</v>
      </c>
      <c r="Z636" s="1796">
        <v>13400</v>
      </c>
      <c r="AA636" s="1796">
        <v>13400</v>
      </c>
      <c r="AB636" s="1665"/>
      <c r="AC636" s="1665"/>
      <c r="AD636" s="1796">
        <v>13400</v>
      </c>
      <c r="AE636" s="1796">
        <f t="shared" si="357"/>
        <v>13400</v>
      </c>
      <c r="AF636" s="1580" t="s">
        <v>2761</v>
      </c>
      <c r="AG636" s="1009"/>
      <c r="AH636" s="1009"/>
      <c r="AI636" s="1908"/>
    </row>
    <row r="637" spans="1:35" ht="49.5" hidden="1" x14ac:dyDescent="0.25">
      <c r="A637" s="1586" t="s">
        <v>3063</v>
      </c>
      <c r="B637" s="1586"/>
      <c r="C637" s="1674" t="s">
        <v>2060</v>
      </c>
      <c r="D637" s="1608" t="s">
        <v>2061</v>
      </c>
      <c r="E637" s="1608" t="s">
        <v>2062</v>
      </c>
      <c r="F637" s="1646" t="s">
        <v>109</v>
      </c>
      <c r="G637" s="1588" t="s">
        <v>2063</v>
      </c>
      <c r="H637" s="1587">
        <v>13490</v>
      </c>
      <c r="I637" s="1796">
        <v>13490</v>
      </c>
      <c r="J637" s="1830"/>
      <c r="K637" s="1830"/>
      <c r="L637" s="1830"/>
      <c r="M637" s="1830"/>
      <c r="N637" s="1796">
        <v>13490</v>
      </c>
      <c r="O637" s="1796">
        <v>9220</v>
      </c>
      <c r="P637" s="1796">
        <v>13490</v>
      </c>
      <c r="Q637" s="1796">
        <v>9220</v>
      </c>
      <c r="R637" s="1796"/>
      <c r="S637" s="1796"/>
      <c r="T637" s="1796">
        <v>13490</v>
      </c>
      <c r="U637" s="1796">
        <v>9220</v>
      </c>
      <c r="V637" s="1796"/>
      <c r="W637" s="1796"/>
      <c r="X637" s="1796">
        <v>13490</v>
      </c>
      <c r="Y637" s="1796">
        <v>9220</v>
      </c>
      <c r="Z637" s="1796">
        <v>13490</v>
      </c>
      <c r="AA637" s="1796">
        <v>9220</v>
      </c>
      <c r="AB637" s="1665"/>
      <c r="AC637" s="1665"/>
      <c r="AD637" s="1796">
        <v>13490</v>
      </c>
      <c r="AE637" s="1796">
        <v>9220</v>
      </c>
      <c r="AF637" s="1580" t="s">
        <v>2761</v>
      </c>
      <c r="AG637" s="1009"/>
      <c r="AH637" s="1009"/>
      <c r="AI637" s="1908"/>
    </row>
    <row r="638" spans="1:35" ht="53.25" hidden="1" customHeight="1" x14ac:dyDescent="0.25">
      <c r="A638" s="1586" t="s">
        <v>3454</v>
      </c>
      <c r="B638" s="1586"/>
      <c r="C638" s="1674" t="s">
        <v>2065</v>
      </c>
      <c r="D638" s="1608" t="s">
        <v>2066</v>
      </c>
      <c r="E638" s="1608" t="s">
        <v>2067</v>
      </c>
      <c r="F638" s="1646" t="s">
        <v>109</v>
      </c>
      <c r="G638" s="1588" t="s">
        <v>2068</v>
      </c>
      <c r="H638" s="1587">
        <v>13852</v>
      </c>
      <c r="I638" s="1796">
        <v>13852</v>
      </c>
      <c r="J638" s="1830"/>
      <c r="K638" s="1830"/>
      <c r="L638" s="1830"/>
      <c r="M638" s="1830"/>
      <c r="N638" s="1796">
        <v>13852</v>
      </c>
      <c r="O638" s="1796">
        <v>9227</v>
      </c>
      <c r="P638" s="1796">
        <v>13852</v>
      </c>
      <c r="Q638" s="1796">
        <v>9227</v>
      </c>
      <c r="R638" s="1796"/>
      <c r="S638" s="1796"/>
      <c r="T638" s="1796">
        <v>13852</v>
      </c>
      <c r="U638" s="1796">
        <v>9227</v>
      </c>
      <c r="V638" s="1796"/>
      <c r="W638" s="1796"/>
      <c r="X638" s="1796">
        <v>13852</v>
      </c>
      <c r="Y638" s="1796">
        <v>9227</v>
      </c>
      <c r="Z638" s="1796">
        <v>13852</v>
      </c>
      <c r="AA638" s="1796">
        <v>9227</v>
      </c>
      <c r="AB638" s="1665"/>
      <c r="AC638" s="1665"/>
      <c r="AD638" s="1796">
        <v>13852</v>
      </c>
      <c r="AE638" s="1796">
        <v>9227</v>
      </c>
      <c r="AF638" s="1580" t="s">
        <v>2761</v>
      </c>
      <c r="AG638" s="1009"/>
      <c r="AH638" s="1009"/>
      <c r="AI638" s="1908"/>
    </row>
    <row r="639" spans="1:35" ht="58.5" hidden="1" customHeight="1" x14ac:dyDescent="0.25">
      <c r="A639" s="1601" t="s">
        <v>3064</v>
      </c>
      <c r="B639" s="1601" t="s">
        <v>3064</v>
      </c>
      <c r="C639" s="1602" t="s">
        <v>2074</v>
      </c>
      <c r="D639" s="1608"/>
      <c r="E639" s="1588"/>
      <c r="F639" s="1589"/>
      <c r="G639" s="1588"/>
      <c r="H639" s="1684">
        <f t="shared" ref="H639:AE639" si="358">H640+H641+H642</f>
        <v>307669</v>
      </c>
      <c r="I639" s="1684">
        <f t="shared" si="358"/>
        <v>187669</v>
      </c>
      <c r="J639" s="1684">
        <f t="shared" si="358"/>
        <v>0</v>
      </c>
      <c r="K639" s="1684">
        <f t="shared" si="358"/>
        <v>0</v>
      </c>
      <c r="L639" s="1684">
        <f t="shared" si="358"/>
        <v>0</v>
      </c>
      <c r="M639" s="1684">
        <f t="shared" si="358"/>
        <v>0</v>
      </c>
      <c r="N639" s="1684">
        <f t="shared" si="358"/>
        <v>0</v>
      </c>
      <c r="O639" s="1684">
        <f t="shared" si="358"/>
        <v>0</v>
      </c>
      <c r="P639" s="1684">
        <f t="shared" si="358"/>
        <v>0</v>
      </c>
      <c r="Q639" s="1684">
        <f t="shared" si="358"/>
        <v>0</v>
      </c>
      <c r="R639" s="1684">
        <f t="shared" si="358"/>
        <v>0</v>
      </c>
      <c r="S639" s="1684">
        <f t="shared" si="358"/>
        <v>0</v>
      </c>
      <c r="T639" s="1684">
        <f t="shared" si="358"/>
        <v>0</v>
      </c>
      <c r="U639" s="1684">
        <f t="shared" si="358"/>
        <v>0</v>
      </c>
      <c r="V639" s="1684">
        <f t="shared" si="358"/>
        <v>22200</v>
      </c>
      <c r="W639" s="1684">
        <f t="shared" si="358"/>
        <v>0</v>
      </c>
      <c r="X639" s="1684">
        <f t="shared" si="358"/>
        <v>22200</v>
      </c>
      <c r="Y639" s="1684">
        <f t="shared" si="358"/>
        <v>22200</v>
      </c>
      <c r="Z639" s="1684">
        <v>52200</v>
      </c>
      <c r="AA639" s="1684">
        <v>52200</v>
      </c>
      <c r="AB639" s="1684"/>
      <c r="AC639" s="1684"/>
      <c r="AD639" s="1684">
        <f t="shared" si="358"/>
        <v>52200</v>
      </c>
      <c r="AE639" s="1684">
        <f t="shared" si="358"/>
        <v>52200</v>
      </c>
      <c r="AF639" s="1580"/>
      <c r="AG639" s="1009">
        <f t="shared" ref="AG639:AG679" si="359">IF(AE639-AA639=0,0,1)</f>
        <v>0</v>
      </c>
      <c r="AH639" s="1009">
        <f t="shared" ref="AH639" si="360">IF(Y639=0,0,1)</f>
        <v>1</v>
      </c>
      <c r="AI639" s="1908">
        <f t="shared" si="303"/>
        <v>1</v>
      </c>
    </row>
    <row r="640" spans="1:35" ht="82.5" hidden="1" customHeight="1" x14ac:dyDescent="0.25">
      <c r="A640" s="1586" t="s">
        <v>3065</v>
      </c>
      <c r="B640" s="1586" t="s">
        <v>3065</v>
      </c>
      <c r="C640" s="1587" t="s">
        <v>2174</v>
      </c>
      <c r="D640" s="1608" t="s">
        <v>1164</v>
      </c>
      <c r="E640" s="1588"/>
      <c r="F640" s="1589" t="s">
        <v>1354</v>
      </c>
      <c r="G640" s="1610" t="s">
        <v>2584</v>
      </c>
      <c r="H640" s="1648">
        <f t="shared" si="347"/>
        <v>32018</v>
      </c>
      <c r="I640" s="1648">
        <v>32018</v>
      </c>
      <c r="J640" s="1647"/>
      <c r="K640" s="1647"/>
      <c r="L640" s="1647"/>
      <c r="M640" s="1647"/>
      <c r="N640" s="1648"/>
      <c r="O640" s="1648"/>
      <c r="P640" s="1666"/>
      <c r="Q640" s="1666"/>
      <c r="R640" s="1591"/>
      <c r="S640" s="1591"/>
      <c r="T640" s="1665"/>
      <c r="U640" s="1665"/>
      <c r="V640" s="1591">
        <v>12000</v>
      </c>
      <c r="W640" s="1591"/>
      <c r="X640" s="1665">
        <f t="shared" si="348"/>
        <v>12000</v>
      </c>
      <c r="Y640" s="1665">
        <f t="shared" si="349"/>
        <v>12000</v>
      </c>
      <c r="Z640" s="1665">
        <v>0</v>
      </c>
      <c r="AA640" s="1665">
        <v>0</v>
      </c>
      <c r="AB640" s="1665"/>
      <c r="AC640" s="1665"/>
      <c r="AD640" s="1623">
        <f t="shared" ref="AD640:AD641" si="361">AE640</f>
        <v>0</v>
      </c>
      <c r="AE640" s="1623">
        <f>AA640+AB640+AC640</f>
        <v>0</v>
      </c>
      <c r="AF640" s="2041" t="s">
        <v>2780</v>
      </c>
      <c r="AG640" s="1009">
        <f t="shared" si="359"/>
        <v>0</v>
      </c>
      <c r="AH640" s="1009">
        <f t="shared" si="346"/>
        <v>1</v>
      </c>
      <c r="AI640" s="1908">
        <f t="shared" si="303"/>
        <v>1</v>
      </c>
    </row>
    <row r="641" spans="1:36" ht="86.25" hidden="1" customHeight="1" x14ac:dyDescent="0.25">
      <c r="A641" s="1586" t="s">
        <v>3066</v>
      </c>
      <c r="B641" s="1586" t="s">
        <v>3066</v>
      </c>
      <c r="C641" s="1587" t="s">
        <v>2175</v>
      </c>
      <c r="D641" s="1608" t="s">
        <v>1164</v>
      </c>
      <c r="E641" s="1588"/>
      <c r="F641" s="1589" t="s">
        <v>1354</v>
      </c>
      <c r="G641" s="1610" t="s">
        <v>2718</v>
      </c>
      <c r="H641" s="1648">
        <f t="shared" si="347"/>
        <v>37434</v>
      </c>
      <c r="I641" s="1648">
        <v>37434</v>
      </c>
      <c r="J641" s="1647"/>
      <c r="K641" s="1647"/>
      <c r="L641" s="1647"/>
      <c r="M641" s="1647"/>
      <c r="N641" s="1648"/>
      <c r="O641" s="1648"/>
      <c r="P641" s="1666"/>
      <c r="Q641" s="1666"/>
      <c r="R641" s="1591"/>
      <c r="S641" s="1591"/>
      <c r="T641" s="1665"/>
      <c r="U641" s="1665"/>
      <c r="V641" s="1591">
        <v>10200</v>
      </c>
      <c r="W641" s="1591"/>
      <c r="X641" s="1665">
        <f t="shared" si="348"/>
        <v>10200</v>
      </c>
      <c r="Y641" s="1665">
        <f t="shared" si="349"/>
        <v>10200</v>
      </c>
      <c r="Z641" s="1665">
        <v>0</v>
      </c>
      <c r="AA641" s="1665">
        <v>0</v>
      </c>
      <c r="AB641" s="1665"/>
      <c r="AC641" s="1665"/>
      <c r="AD641" s="1623">
        <f t="shared" si="361"/>
        <v>0</v>
      </c>
      <c r="AE641" s="1623">
        <f>AA641+AB641+AC641</f>
        <v>0</v>
      </c>
      <c r="AF641" s="2041"/>
      <c r="AG641" s="1009">
        <f t="shared" si="359"/>
        <v>0</v>
      </c>
      <c r="AH641" s="1009">
        <f t="shared" si="346"/>
        <v>1</v>
      </c>
      <c r="AI641" s="1908">
        <f t="shared" ref="AI641:AI679" si="362">IF(I641-Y641&gt;=0,1,0)</f>
        <v>1</v>
      </c>
    </row>
    <row r="642" spans="1:36" ht="107.25" hidden="1" customHeight="1" x14ac:dyDescent="0.25">
      <c r="A642" s="1586" t="s">
        <v>3067</v>
      </c>
      <c r="B642" s="1586"/>
      <c r="C642" s="1587" t="s">
        <v>2776</v>
      </c>
      <c r="D642" s="1608" t="s">
        <v>361</v>
      </c>
      <c r="E642" s="1588"/>
      <c r="F642" s="1589" t="s">
        <v>2777</v>
      </c>
      <c r="G642" s="1610" t="s">
        <v>2778</v>
      </c>
      <c r="H642" s="1648">
        <v>238217</v>
      </c>
      <c r="I642" s="1648">
        <f>H642-150000+30000</f>
        <v>118217</v>
      </c>
      <c r="J642" s="1647"/>
      <c r="K642" s="1647"/>
      <c r="L642" s="1647"/>
      <c r="M642" s="1647"/>
      <c r="N642" s="1648"/>
      <c r="O642" s="1648"/>
      <c r="P642" s="1666"/>
      <c r="Q642" s="1666"/>
      <c r="R642" s="1591"/>
      <c r="S642" s="1591"/>
      <c r="T642" s="1665"/>
      <c r="U642" s="1665"/>
      <c r="V642" s="1591"/>
      <c r="W642" s="1591"/>
      <c r="X642" s="1665"/>
      <c r="Y642" s="1665"/>
      <c r="Z642" s="1665">
        <v>52200</v>
      </c>
      <c r="AA642" s="1665">
        <v>52200</v>
      </c>
      <c r="AB642" s="1665"/>
      <c r="AC642" s="1665"/>
      <c r="AD642" s="1665">
        <v>52200</v>
      </c>
      <c r="AE642" s="1665">
        <v>52200</v>
      </c>
      <c r="AF642" s="1580" t="s">
        <v>2779</v>
      </c>
      <c r="AG642" s="1009"/>
      <c r="AH642" s="1009"/>
      <c r="AI642" s="1908"/>
    </row>
    <row r="643" spans="1:36" ht="25.5" customHeight="1" x14ac:dyDescent="0.25">
      <c r="A643" s="1576">
        <v>9</v>
      </c>
      <c r="B643" s="1576">
        <v>9</v>
      </c>
      <c r="C643" s="1675" t="s">
        <v>979</v>
      </c>
      <c r="D643" s="1616"/>
      <c r="E643" s="1669"/>
      <c r="F643" s="1669"/>
      <c r="G643" s="1669"/>
      <c r="H643" s="1683">
        <f t="shared" ref="H643:I643" si="363">H644+H653</f>
        <v>257673</v>
      </c>
      <c r="I643" s="1683">
        <f t="shared" si="363"/>
        <v>238111</v>
      </c>
      <c r="J643" s="1683">
        <f>J644+J653</f>
        <v>14800</v>
      </c>
      <c r="K643" s="1683">
        <f t="shared" ref="K643:Y643" si="364">K644+K653</f>
        <v>14800</v>
      </c>
      <c r="L643" s="1683">
        <f t="shared" si="364"/>
        <v>14800</v>
      </c>
      <c r="M643" s="1683">
        <f t="shared" si="364"/>
        <v>14800</v>
      </c>
      <c r="N643" s="1683">
        <f t="shared" si="364"/>
        <v>80000</v>
      </c>
      <c r="O643" s="1683">
        <f t="shared" si="364"/>
        <v>80000</v>
      </c>
      <c r="P643" s="1683">
        <f t="shared" si="364"/>
        <v>80000</v>
      </c>
      <c r="Q643" s="1683">
        <f t="shared" si="364"/>
        <v>80000</v>
      </c>
      <c r="R643" s="1683">
        <f t="shared" si="364"/>
        <v>14380</v>
      </c>
      <c r="S643" s="1683">
        <f t="shared" si="364"/>
        <v>14380</v>
      </c>
      <c r="T643" s="1683">
        <f t="shared" si="364"/>
        <v>80000</v>
      </c>
      <c r="U643" s="1683">
        <f t="shared" si="364"/>
        <v>80000</v>
      </c>
      <c r="V643" s="1683">
        <f t="shared" si="364"/>
        <v>69679</v>
      </c>
      <c r="W643" s="1683">
        <f t="shared" si="364"/>
        <v>21340</v>
      </c>
      <c r="X643" s="1683">
        <f t="shared" si="364"/>
        <v>128339</v>
      </c>
      <c r="Y643" s="1683">
        <f t="shared" si="364"/>
        <v>128339</v>
      </c>
      <c r="Z643" s="1683">
        <v>128339</v>
      </c>
      <c r="AA643" s="1683">
        <v>128339</v>
      </c>
      <c r="AB643" s="1683">
        <f t="shared" ref="AB643:AC643" si="365">AB644+AB653</f>
        <v>16957</v>
      </c>
      <c r="AC643" s="1684">
        <f t="shared" si="365"/>
        <v>0</v>
      </c>
      <c r="AD643" s="1683">
        <f t="shared" ref="AD643:AE643" si="366">AD644+AD653</f>
        <v>145296</v>
      </c>
      <c r="AE643" s="1683">
        <f t="shared" si="366"/>
        <v>145296</v>
      </c>
      <c r="AF643" s="1599"/>
      <c r="AG643" s="1009">
        <v>1</v>
      </c>
      <c r="AH643" s="1009">
        <f t="shared" si="346"/>
        <v>1</v>
      </c>
      <c r="AI643" s="1908">
        <f t="shared" si="362"/>
        <v>1</v>
      </c>
      <c r="AJ643" s="1364"/>
    </row>
    <row r="644" spans="1:36" ht="55.5" hidden="1" customHeight="1" x14ac:dyDescent="0.25">
      <c r="A644" s="1600" t="s">
        <v>3071</v>
      </c>
      <c r="B644" s="1600"/>
      <c r="C644" s="1602" t="s">
        <v>46</v>
      </c>
      <c r="D644" s="1603"/>
      <c r="E644" s="1603"/>
      <c r="F644" s="1603"/>
      <c r="G644" s="1603"/>
      <c r="H644" s="1604">
        <f t="shared" ref="H644:AC644" si="367">H645</f>
        <v>34874</v>
      </c>
      <c r="I644" s="1604">
        <f t="shared" si="367"/>
        <v>34874</v>
      </c>
      <c r="J644" s="1604">
        <f t="shared" si="367"/>
        <v>14800</v>
      </c>
      <c r="K644" s="1604">
        <f t="shared" si="367"/>
        <v>14800</v>
      </c>
      <c r="L644" s="1604">
        <f t="shared" si="367"/>
        <v>14800</v>
      </c>
      <c r="M644" s="1604">
        <f t="shared" si="367"/>
        <v>14800</v>
      </c>
      <c r="N644" s="1604">
        <f t="shared" si="367"/>
        <v>14910</v>
      </c>
      <c r="O644" s="1604">
        <f t="shared" si="367"/>
        <v>14910</v>
      </c>
      <c r="P644" s="1605">
        <f t="shared" si="367"/>
        <v>14700</v>
      </c>
      <c r="Q644" s="1605">
        <f t="shared" si="367"/>
        <v>14700</v>
      </c>
      <c r="R644" s="1604">
        <f t="shared" si="367"/>
        <v>0</v>
      </c>
      <c r="S644" s="1604">
        <f t="shared" si="367"/>
        <v>210</v>
      </c>
      <c r="T644" s="1604">
        <f t="shared" si="367"/>
        <v>14700</v>
      </c>
      <c r="U644" s="1604">
        <f t="shared" si="367"/>
        <v>14700</v>
      </c>
      <c r="V644" s="1604">
        <f t="shared" si="367"/>
        <v>0</v>
      </c>
      <c r="W644" s="1604">
        <f t="shared" si="367"/>
        <v>0</v>
      </c>
      <c r="X644" s="1604">
        <f t="shared" si="367"/>
        <v>14700</v>
      </c>
      <c r="Y644" s="1604">
        <f t="shared" si="367"/>
        <v>14700</v>
      </c>
      <c r="Z644" s="1604">
        <v>14700</v>
      </c>
      <c r="AA644" s="1604">
        <v>14700</v>
      </c>
      <c r="AB644" s="1604">
        <f t="shared" si="367"/>
        <v>0</v>
      </c>
      <c r="AC644" s="1666">
        <f t="shared" si="367"/>
        <v>0</v>
      </c>
      <c r="AD644" s="1604">
        <f t="shared" ref="AD644:AE644" si="368">AD645</f>
        <v>14700</v>
      </c>
      <c r="AE644" s="1604">
        <f t="shared" si="368"/>
        <v>14700</v>
      </c>
      <c r="AF644" s="1599"/>
      <c r="AG644" s="1009">
        <f t="shared" si="359"/>
        <v>0</v>
      </c>
      <c r="AH644" s="1009">
        <f t="shared" si="346"/>
        <v>1</v>
      </c>
      <c r="AI644" s="1908"/>
    </row>
    <row r="645" spans="1:36" ht="39.75" hidden="1" customHeight="1" x14ac:dyDescent="0.25">
      <c r="A645" s="1601"/>
      <c r="B645" s="1601"/>
      <c r="C645" s="1602" t="s">
        <v>48</v>
      </c>
      <c r="D645" s="1603"/>
      <c r="E645" s="1603"/>
      <c r="F645" s="1603"/>
      <c r="G645" s="1603"/>
      <c r="H645" s="1604">
        <f>SUM(H648:H652)</f>
        <v>34874</v>
      </c>
      <c r="I645" s="1604">
        <f t="shared" ref="I645:Y645" si="369">SUM(I648:I652)</f>
        <v>34874</v>
      </c>
      <c r="J645" s="1604">
        <f t="shared" si="369"/>
        <v>14800</v>
      </c>
      <c r="K645" s="1604">
        <f t="shared" si="369"/>
        <v>14800</v>
      </c>
      <c r="L645" s="1604">
        <f t="shared" si="369"/>
        <v>14800</v>
      </c>
      <c r="M645" s="1604">
        <f t="shared" si="369"/>
        <v>14800</v>
      </c>
      <c r="N645" s="1604">
        <f t="shared" si="369"/>
        <v>14910</v>
      </c>
      <c r="O645" s="1604">
        <f t="shared" si="369"/>
        <v>14910</v>
      </c>
      <c r="P645" s="1604">
        <f t="shared" si="369"/>
        <v>14700</v>
      </c>
      <c r="Q645" s="1604">
        <f t="shared" si="369"/>
        <v>14700</v>
      </c>
      <c r="R645" s="1604">
        <f t="shared" si="369"/>
        <v>0</v>
      </c>
      <c r="S645" s="1604">
        <f t="shared" si="369"/>
        <v>210</v>
      </c>
      <c r="T645" s="1604">
        <f t="shared" si="369"/>
        <v>14700</v>
      </c>
      <c r="U645" s="1604">
        <f t="shared" si="369"/>
        <v>14700</v>
      </c>
      <c r="V645" s="1604">
        <f t="shared" si="369"/>
        <v>0</v>
      </c>
      <c r="W645" s="1604">
        <f t="shared" si="369"/>
        <v>0</v>
      </c>
      <c r="X645" s="1604">
        <f t="shared" si="369"/>
        <v>14700</v>
      </c>
      <c r="Y645" s="1604">
        <f t="shared" si="369"/>
        <v>14700</v>
      </c>
      <c r="Z645" s="1604">
        <v>14700</v>
      </c>
      <c r="AA645" s="1604">
        <v>14700</v>
      </c>
      <c r="AB645" s="1604">
        <f t="shared" ref="AB645:AC645" si="370">SUM(AB648:AB652)</f>
        <v>0</v>
      </c>
      <c r="AC645" s="1666">
        <f t="shared" si="370"/>
        <v>0</v>
      </c>
      <c r="AD645" s="1604">
        <f t="shared" ref="AD645" si="371">SUM(AD648:AD652)</f>
        <v>14700</v>
      </c>
      <c r="AE645" s="1604">
        <f>SUM(AE648:AE652)</f>
        <v>14700</v>
      </c>
      <c r="AF645" s="1599"/>
      <c r="AG645" s="1009">
        <f t="shared" si="359"/>
        <v>0</v>
      </c>
      <c r="AH645" s="1009">
        <f t="shared" si="346"/>
        <v>1</v>
      </c>
      <c r="AI645" s="1908"/>
    </row>
    <row r="646" spans="1:36" ht="27" hidden="1" customHeight="1" x14ac:dyDescent="0.25">
      <c r="A646" s="1601"/>
      <c r="B646" s="1601"/>
      <c r="C646" s="1602" t="s">
        <v>49</v>
      </c>
      <c r="D646" s="1743"/>
      <c r="E646" s="1743"/>
      <c r="F646" s="1743"/>
      <c r="G646" s="1743"/>
      <c r="H646" s="1744"/>
      <c r="I646" s="1744"/>
      <c r="J646" s="1744"/>
      <c r="K646" s="1744"/>
      <c r="L646" s="1744"/>
      <c r="M646" s="1744"/>
      <c r="N646" s="1744"/>
      <c r="O646" s="1744"/>
      <c r="P646" s="1745"/>
      <c r="Q646" s="1745"/>
      <c r="R646" s="1591"/>
      <c r="S646" s="1591"/>
      <c r="T646" s="1739"/>
      <c r="U646" s="1739"/>
      <c r="V646" s="1591"/>
      <c r="W646" s="1591"/>
      <c r="X646" s="1739"/>
      <c r="Y646" s="1739"/>
      <c r="Z646" s="1739"/>
      <c r="AA646" s="1739"/>
      <c r="AB646" s="1739"/>
      <c r="AC646" s="1666"/>
      <c r="AD646" s="1739"/>
      <c r="AE646" s="1739"/>
      <c r="AF646" s="1599"/>
      <c r="AG646" s="1009">
        <f t="shared" si="359"/>
        <v>0</v>
      </c>
      <c r="AH646" s="1009">
        <f t="shared" si="346"/>
        <v>0</v>
      </c>
      <c r="AI646" s="1908">
        <f t="shared" si="362"/>
        <v>1</v>
      </c>
    </row>
    <row r="647" spans="1:36" ht="75" hidden="1" customHeight="1" x14ac:dyDescent="0.25">
      <c r="A647" s="1601" t="s">
        <v>3072</v>
      </c>
      <c r="B647" s="1601"/>
      <c r="C647" s="1746" t="s">
        <v>50</v>
      </c>
      <c r="D647" s="1603"/>
      <c r="E647" s="1603"/>
      <c r="F647" s="1603"/>
      <c r="G647" s="1603"/>
      <c r="H647" s="1604"/>
      <c r="I647" s="1604"/>
      <c r="J647" s="1604"/>
      <c r="K647" s="1604"/>
      <c r="L647" s="1604"/>
      <c r="M647" s="1604"/>
      <c r="N647" s="1604"/>
      <c r="O647" s="1604"/>
      <c r="P647" s="1605"/>
      <c r="Q647" s="1605"/>
      <c r="R647" s="1591"/>
      <c r="S647" s="1591"/>
      <c r="T647" s="1741"/>
      <c r="U647" s="1741"/>
      <c r="V647" s="1591"/>
      <c r="W647" s="1591"/>
      <c r="X647" s="1741"/>
      <c r="Y647" s="1741"/>
      <c r="Z647" s="1741"/>
      <c r="AA647" s="1741"/>
      <c r="AB647" s="1741"/>
      <c r="AC647" s="1666"/>
      <c r="AD647" s="1741"/>
      <c r="AE647" s="1741"/>
      <c r="AF647" s="1599"/>
      <c r="AG647" s="1009">
        <f t="shared" si="359"/>
        <v>0</v>
      </c>
      <c r="AH647" s="1009">
        <f t="shared" si="346"/>
        <v>0</v>
      </c>
      <c r="AI647" s="1908">
        <f t="shared" si="362"/>
        <v>1</v>
      </c>
      <c r="AJ647" s="1364"/>
    </row>
    <row r="648" spans="1:36" ht="56.25" hidden="1" customHeight="1" x14ac:dyDescent="0.25">
      <c r="A648" s="1586" t="s">
        <v>3073</v>
      </c>
      <c r="B648" s="1586"/>
      <c r="C648" s="1587" t="s">
        <v>978</v>
      </c>
      <c r="D648" s="1608" t="s">
        <v>977</v>
      </c>
      <c r="E648" s="1646" t="s">
        <v>976</v>
      </c>
      <c r="F648" s="1646">
        <v>2015</v>
      </c>
      <c r="G648" s="1588" t="s">
        <v>975</v>
      </c>
      <c r="H648" s="1648">
        <v>5730</v>
      </c>
      <c r="I648" s="1648">
        <f>H648</f>
        <v>5730</v>
      </c>
      <c r="J648" s="1648">
        <f>K648</f>
        <v>2100</v>
      </c>
      <c r="K648" s="1690">
        <v>2100</v>
      </c>
      <c r="L648" s="1648">
        <f>M648</f>
        <v>2100</v>
      </c>
      <c r="M648" s="1690">
        <v>2100</v>
      </c>
      <c r="N648" s="1648">
        <f>O648</f>
        <v>2580</v>
      </c>
      <c r="O648" s="1648">
        <v>2580</v>
      </c>
      <c r="P648" s="1666">
        <f>Q648</f>
        <v>2400</v>
      </c>
      <c r="Q648" s="1666">
        <v>2400</v>
      </c>
      <c r="R648" s="1591"/>
      <c r="S648" s="1591">
        <f>O648-U648</f>
        <v>180</v>
      </c>
      <c r="T648" s="1665">
        <f>U648</f>
        <v>2400</v>
      </c>
      <c r="U648" s="1665">
        <v>2400</v>
      </c>
      <c r="V648" s="1591"/>
      <c r="W648" s="1591"/>
      <c r="X648" s="1665">
        <f>Y648</f>
        <v>2400</v>
      </c>
      <c r="Y648" s="1665">
        <v>2400</v>
      </c>
      <c r="Z648" s="1665">
        <v>2400</v>
      </c>
      <c r="AA648" s="1665">
        <v>2400</v>
      </c>
      <c r="AB648" s="1665"/>
      <c r="AC648" s="1666"/>
      <c r="AD648" s="1623">
        <f t="shared" ref="AD648:AD652" si="372">AE648</f>
        <v>2400</v>
      </c>
      <c r="AE648" s="1623">
        <f>AA648+AB648+AC648</f>
        <v>2400</v>
      </c>
      <c r="AF648" s="1592"/>
      <c r="AG648" s="1009">
        <f t="shared" si="359"/>
        <v>0</v>
      </c>
      <c r="AH648" s="1009">
        <f t="shared" si="346"/>
        <v>1</v>
      </c>
      <c r="AI648" s="1908">
        <f t="shared" si="362"/>
        <v>1</v>
      </c>
    </row>
    <row r="649" spans="1:36" ht="58.5" hidden="1" customHeight="1" x14ac:dyDescent="0.25">
      <c r="A649" s="1586" t="s">
        <v>3074</v>
      </c>
      <c r="B649" s="1586"/>
      <c r="C649" s="1587" t="s">
        <v>974</v>
      </c>
      <c r="D649" s="1608" t="s">
        <v>973</v>
      </c>
      <c r="E649" s="1646" t="s">
        <v>972</v>
      </c>
      <c r="F649" s="1646">
        <v>2015</v>
      </c>
      <c r="G649" s="1588" t="s">
        <v>971</v>
      </c>
      <c r="H649" s="1648">
        <v>14679</v>
      </c>
      <c r="I649" s="1648">
        <f>H649</f>
        <v>14679</v>
      </c>
      <c r="J649" s="1648">
        <f>K649</f>
        <v>5200</v>
      </c>
      <c r="K649" s="1690">
        <v>5200</v>
      </c>
      <c r="L649" s="1648">
        <f>M649</f>
        <v>5200</v>
      </c>
      <c r="M649" s="1690">
        <v>5200</v>
      </c>
      <c r="N649" s="1648">
        <v>7800</v>
      </c>
      <c r="O649" s="1648">
        <v>7800</v>
      </c>
      <c r="P649" s="1666">
        <v>7800</v>
      </c>
      <c r="Q649" s="1666">
        <v>7800</v>
      </c>
      <c r="R649" s="1591"/>
      <c r="S649" s="1591">
        <f>O649-U649</f>
        <v>0</v>
      </c>
      <c r="T649" s="1665">
        <v>7800</v>
      </c>
      <c r="U649" s="1665">
        <v>7800</v>
      </c>
      <c r="V649" s="1591"/>
      <c r="W649" s="1591"/>
      <c r="X649" s="1665">
        <v>7800</v>
      </c>
      <c r="Y649" s="1665">
        <v>7800</v>
      </c>
      <c r="Z649" s="1665">
        <v>7800</v>
      </c>
      <c r="AA649" s="1665">
        <v>7800</v>
      </c>
      <c r="AB649" s="1665"/>
      <c r="AC649" s="1666"/>
      <c r="AD649" s="1623">
        <f t="shared" si="372"/>
        <v>7800</v>
      </c>
      <c r="AE649" s="1623">
        <f>AA649+AB649+AC649</f>
        <v>7800</v>
      </c>
      <c r="AF649" s="1592"/>
      <c r="AG649" s="1009">
        <f t="shared" si="359"/>
        <v>0</v>
      </c>
      <c r="AH649" s="1009">
        <f t="shared" si="346"/>
        <v>1</v>
      </c>
      <c r="AI649" s="1908">
        <f t="shared" si="362"/>
        <v>1</v>
      </c>
    </row>
    <row r="650" spans="1:36" ht="60.75" hidden="1" customHeight="1" x14ac:dyDescent="0.25">
      <c r="A650" s="1586" t="s">
        <v>3455</v>
      </c>
      <c r="B650" s="1586"/>
      <c r="C650" s="1587" t="s">
        <v>970</v>
      </c>
      <c r="D650" s="1588" t="s">
        <v>969</v>
      </c>
      <c r="E650" s="1588"/>
      <c r="F650" s="1589" t="s">
        <v>963</v>
      </c>
      <c r="G650" s="1588" t="s">
        <v>968</v>
      </c>
      <c r="H650" s="1648">
        <v>9092</v>
      </c>
      <c r="I650" s="1648">
        <f>H650</f>
        <v>9092</v>
      </c>
      <c r="J650" s="1648">
        <f>K650</f>
        <v>3500</v>
      </c>
      <c r="K650" s="1648">
        <v>3500</v>
      </c>
      <c r="L650" s="1648">
        <f>M650</f>
        <v>3500</v>
      </c>
      <c r="M650" s="1648">
        <v>3500</v>
      </c>
      <c r="N650" s="1648">
        <v>3850</v>
      </c>
      <c r="O650" s="1648">
        <v>3850</v>
      </c>
      <c r="P650" s="1666">
        <v>3850</v>
      </c>
      <c r="Q650" s="1666">
        <v>3850</v>
      </c>
      <c r="R650" s="1591"/>
      <c r="S650" s="1591">
        <f>O650-U650</f>
        <v>0</v>
      </c>
      <c r="T650" s="1665">
        <v>3850</v>
      </c>
      <c r="U650" s="1665">
        <v>3850</v>
      </c>
      <c r="V650" s="1591"/>
      <c r="W650" s="1591"/>
      <c r="X650" s="1665">
        <v>3850</v>
      </c>
      <c r="Y650" s="1665">
        <v>3850</v>
      </c>
      <c r="Z650" s="1665">
        <v>3850</v>
      </c>
      <c r="AA650" s="1665">
        <v>3850</v>
      </c>
      <c r="AB650" s="1665"/>
      <c r="AC650" s="1666"/>
      <c r="AD650" s="1623">
        <f t="shared" si="372"/>
        <v>3850</v>
      </c>
      <c r="AE650" s="1623">
        <f>AA650+AB650+AC650</f>
        <v>3850</v>
      </c>
      <c r="AF650" s="1592"/>
      <c r="AG650" s="1009">
        <f t="shared" si="359"/>
        <v>0</v>
      </c>
      <c r="AH650" s="1009">
        <f t="shared" si="346"/>
        <v>1</v>
      </c>
      <c r="AI650" s="1908">
        <f t="shared" si="362"/>
        <v>1</v>
      </c>
    </row>
    <row r="651" spans="1:36" ht="58.5" hidden="1" customHeight="1" x14ac:dyDescent="0.25">
      <c r="A651" s="1586" t="s">
        <v>3456</v>
      </c>
      <c r="B651" s="1586"/>
      <c r="C651" s="1587" t="s">
        <v>967</v>
      </c>
      <c r="D651" s="1588" t="s">
        <v>960</v>
      </c>
      <c r="E651" s="1588"/>
      <c r="F651" s="1589" t="s">
        <v>963</v>
      </c>
      <c r="G651" s="1588" t="s">
        <v>966</v>
      </c>
      <c r="H651" s="1648">
        <v>902</v>
      </c>
      <c r="I651" s="1648">
        <f>H651</f>
        <v>902</v>
      </c>
      <c r="J651" s="1647">
        <v>500</v>
      </c>
      <c r="K651" s="1647">
        <v>500</v>
      </c>
      <c r="L651" s="1647">
        <v>500</v>
      </c>
      <c r="M651" s="1647">
        <v>500</v>
      </c>
      <c r="N651" s="1648">
        <f>O651</f>
        <v>330</v>
      </c>
      <c r="O651" s="1648">
        <v>330</v>
      </c>
      <c r="P651" s="1666">
        <f>Q651</f>
        <v>300</v>
      </c>
      <c r="Q651" s="1666">
        <v>300</v>
      </c>
      <c r="R651" s="1591"/>
      <c r="S651" s="1591">
        <f>O651-U651</f>
        <v>30</v>
      </c>
      <c r="T651" s="1665">
        <f>U651</f>
        <v>300</v>
      </c>
      <c r="U651" s="1665">
        <v>300</v>
      </c>
      <c r="V651" s="1591"/>
      <c r="W651" s="1591"/>
      <c r="X651" s="1665">
        <f>Y651</f>
        <v>300</v>
      </c>
      <c r="Y651" s="1665">
        <v>300</v>
      </c>
      <c r="Z651" s="1665">
        <v>300</v>
      </c>
      <c r="AA651" s="1665">
        <v>300</v>
      </c>
      <c r="AB651" s="1665"/>
      <c r="AC651" s="1666"/>
      <c r="AD651" s="1623">
        <f t="shared" si="372"/>
        <v>300</v>
      </c>
      <c r="AE651" s="1623">
        <f>AA651+AB651+AC651</f>
        <v>300</v>
      </c>
      <c r="AF651" s="1592"/>
      <c r="AG651" s="1009">
        <f t="shared" si="359"/>
        <v>0</v>
      </c>
      <c r="AH651" s="1009">
        <f t="shared" si="346"/>
        <v>1</v>
      </c>
      <c r="AI651" s="1908">
        <f t="shared" si="362"/>
        <v>1</v>
      </c>
    </row>
    <row r="652" spans="1:36" ht="67.5" hidden="1" customHeight="1" x14ac:dyDescent="0.25">
      <c r="A652" s="1586" t="s">
        <v>3457</v>
      </c>
      <c r="B652" s="1586"/>
      <c r="C652" s="1587" t="s">
        <v>965</v>
      </c>
      <c r="D652" s="1588" t="s">
        <v>964</v>
      </c>
      <c r="E652" s="1588"/>
      <c r="F652" s="1589" t="s">
        <v>963</v>
      </c>
      <c r="G652" s="1588" t="s">
        <v>962</v>
      </c>
      <c r="H652" s="1648">
        <v>4471</v>
      </c>
      <c r="I652" s="1648">
        <f>H652</f>
        <v>4471</v>
      </c>
      <c r="J652" s="1648">
        <v>3500</v>
      </c>
      <c r="K652" s="1648">
        <f>J652</f>
        <v>3500</v>
      </c>
      <c r="L652" s="1648">
        <v>3500</v>
      </c>
      <c r="M652" s="1648">
        <f>L652</f>
        <v>3500</v>
      </c>
      <c r="N652" s="1648">
        <v>350</v>
      </c>
      <c r="O652" s="1648">
        <v>350</v>
      </c>
      <c r="P652" s="1666">
        <v>350</v>
      </c>
      <c r="Q652" s="1666">
        <v>350</v>
      </c>
      <c r="R652" s="1591"/>
      <c r="S652" s="1591">
        <f>O652-U652</f>
        <v>0</v>
      </c>
      <c r="T652" s="1665">
        <v>350</v>
      </c>
      <c r="U652" s="1665">
        <v>350</v>
      </c>
      <c r="V652" s="1591"/>
      <c r="W652" s="1591"/>
      <c r="X652" s="1665">
        <v>350</v>
      </c>
      <c r="Y652" s="1665">
        <v>350</v>
      </c>
      <c r="Z652" s="1665">
        <v>350</v>
      </c>
      <c r="AA652" s="1665">
        <v>350</v>
      </c>
      <c r="AB652" s="1665"/>
      <c r="AC652" s="1666"/>
      <c r="AD652" s="1623">
        <f t="shared" si="372"/>
        <v>350</v>
      </c>
      <c r="AE652" s="1623">
        <f>AA652+AB652+AC652</f>
        <v>350</v>
      </c>
      <c r="AF652" s="1592"/>
      <c r="AG652" s="1009">
        <f t="shared" si="359"/>
        <v>0</v>
      </c>
      <c r="AH652" s="1009">
        <f t="shared" si="346"/>
        <v>1</v>
      </c>
      <c r="AI652" s="1908">
        <f t="shared" si="362"/>
        <v>1</v>
      </c>
    </row>
    <row r="653" spans="1:36" ht="45" customHeight="1" x14ac:dyDescent="0.25">
      <c r="A653" s="1600" t="s">
        <v>3075</v>
      </c>
      <c r="B653" s="1600" t="s">
        <v>3075</v>
      </c>
      <c r="C653" s="1602" t="s">
        <v>86</v>
      </c>
      <c r="D653" s="1603"/>
      <c r="E653" s="1603"/>
      <c r="F653" s="1603"/>
      <c r="G653" s="1603"/>
      <c r="H653" s="1604">
        <f t="shared" ref="H653:I653" si="373">H654+H677</f>
        <v>222799</v>
      </c>
      <c r="I653" s="1604">
        <f t="shared" si="373"/>
        <v>203237</v>
      </c>
      <c r="J653" s="1604">
        <f t="shared" ref="J653:M653" si="374">J654</f>
        <v>0</v>
      </c>
      <c r="K653" s="1604">
        <f t="shared" si="374"/>
        <v>0</v>
      </c>
      <c r="L653" s="1604">
        <f t="shared" si="374"/>
        <v>0</v>
      </c>
      <c r="M653" s="1604">
        <f t="shared" si="374"/>
        <v>0</v>
      </c>
      <c r="N653" s="1604">
        <f t="shared" ref="N653:X653" si="375">N654+N677</f>
        <v>65090</v>
      </c>
      <c r="O653" s="1604">
        <f t="shared" si="375"/>
        <v>65090</v>
      </c>
      <c r="P653" s="1604">
        <f t="shared" si="375"/>
        <v>65300</v>
      </c>
      <c r="Q653" s="1604">
        <f t="shared" si="375"/>
        <v>65300</v>
      </c>
      <c r="R653" s="1604">
        <f t="shared" si="375"/>
        <v>14380</v>
      </c>
      <c r="S653" s="1604">
        <f t="shared" si="375"/>
        <v>14170</v>
      </c>
      <c r="T653" s="1604">
        <f t="shared" si="375"/>
        <v>65300</v>
      </c>
      <c r="U653" s="1604">
        <f t="shared" si="375"/>
        <v>65300</v>
      </c>
      <c r="V653" s="1604">
        <f t="shared" si="375"/>
        <v>69679</v>
      </c>
      <c r="W653" s="1604">
        <f t="shared" si="375"/>
        <v>21340</v>
      </c>
      <c r="X653" s="1604">
        <f t="shared" si="375"/>
        <v>113639</v>
      </c>
      <c r="Y653" s="1604">
        <f>Y654+Y677</f>
        <v>113639</v>
      </c>
      <c r="Z653" s="1604">
        <v>113639</v>
      </c>
      <c r="AA653" s="1604">
        <v>113639</v>
      </c>
      <c r="AB653" s="1604">
        <f t="shared" ref="AB653:AC653" si="376">AB654+AB677</f>
        <v>16957</v>
      </c>
      <c r="AC653" s="1684">
        <f t="shared" si="376"/>
        <v>0</v>
      </c>
      <c r="AD653" s="1604">
        <f t="shared" ref="AD653" si="377">AD654+AD677</f>
        <v>130596</v>
      </c>
      <c r="AE653" s="1604">
        <f>AE654+AE677</f>
        <v>130596</v>
      </c>
      <c r="AF653" s="1606"/>
      <c r="AG653" s="1009">
        <v>1</v>
      </c>
      <c r="AH653" s="1009">
        <f t="shared" si="346"/>
        <v>1</v>
      </c>
      <c r="AI653" s="1908">
        <f t="shared" si="362"/>
        <v>1</v>
      </c>
    </row>
    <row r="654" spans="1:36" ht="59.25" customHeight="1" x14ac:dyDescent="0.25">
      <c r="A654" s="1601" t="s">
        <v>3076</v>
      </c>
      <c r="B654" s="1601" t="s">
        <v>3076</v>
      </c>
      <c r="C654" s="1602" t="s">
        <v>88</v>
      </c>
      <c r="D654" s="1603"/>
      <c r="E654" s="1603"/>
      <c r="F654" s="1603"/>
      <c r="G654" s="1603"/>
      <c r="H654" s="1604">
        <f>SUM(H655:H676)</f>
        <v>161232</v>
      </c>
      <c r="I654" s="1604">
        <f t="shared" ref="I654:Y654" si="378">SUM(I655:I676)</f>
        <v>141670</v>
      </c>
      <c r="J654" s="1604">
        <f t="shared" si="378"/>
        <v>0</v>
      </c>
      <c r="K654" s="1604">
        <f t="shared" si="378"/>
        <v>0</v>
      </c>
      <c r="L654" s="1604">
        <f t="shared" si="378"/>
        <v>0</v>
      </c>
      <c r="M654" s="1604">
        <f t="shared" si="378"/>
        <v>0</v>
      </c>
      <c r="N654" s="1604">
        <f t="shared" si="378"/>
        <v>65090</v>
      </c>
      <c r="O654" s="1604">
        <f t="shared" si="378"/>
        <v>65090</v>
      </c>
      <c r="P654" s="1604">
        <f t="shared" si="378"/>
        <v>65300</v>
      </c>
      <c r="Q654" s="1604">
        <f t="shared" si="378"/>
        <v>65300</v>
      </c>
      <c r="R654" s="1604">
        <f t="shared" si="378"/>
        <v>14380</v>
      </c>
      <c r="S654" s="1604">
        <f t="shared" si="378"/>
        <v>14170</v>
      </c>
      <c r="T654" s="1604">
        <f t="shared" si="378"/>
        <v>65300</v>
      </c>
      <c r="U654" s="1604">
        <f t="shared" si="378"/>
        <v>65300</v>
      </c>
      <c r="V654" s="1604">
        <f t="shared" si="378"/>
        <v>49679</v>
      </c>
      <c r="W654" s="1604">
        <f t="shared" si="378"/>
        <v>21340</v>
      </c>
      <c r="X654" s="1604">
        <f t="shared" si="378"/>
        <v>93639</v>
      </c>
      <c r="Y654" s="1604">
        <f t="shared" si="378"/>
        <v>93639</v>
      </c>
      <c r="Z654" s="1604">
        <v>93639</v>
      </c>
      <c r="AA654" s="1604">
        <v>93639</v>
      </c>
      <c r="AB654" s="1604">
        <f t="shared" ref="AB654:AC654" si="379">SUM(AB655:AB676)</f>
        <v>0</v>
      </c>
      <c r="AC654" s="1684">
        <f t="shared" si="379"/>
        <v>0</v>
      </c>
      <c r="AD654" s="1604">
        <f t="shared" ref="AD654:AE654" si="380">SUM(AD655:AD676)</f>
        <v>93639</v>
      </c>
      <c r="AE654" s="1604">
        <f t="shared" si="380"/>
        <v>93639</v>
      </c>
      <c r="AF654" s="1606"/>
      <c r="AG654" s="1009">
        <v>1</v>
      </c>
      <c r="AH654" s="1009">
        <f t="shared" si="346"/>
        <v>1</v>
      </c>
      <c r="AI654" s="1908">
        <f t="shared" si="362"/>
        <v>1</v>
      </c>
      <c r="AJ654" s="1364"/>
    </row>
    <row r="655" spans="1:36" ht="59.25" hidden="1" customHeight="1" x14ac:dyDescent="0.25">
      <c r="A655" s="1586" t="s">
        <v>3077</v>
      </c>
      <c r="B655" s="1586"/>
      <c r="C655" s="1587" t="s">
        <v>961</v>
      </c>
      <c r="D655" s="1588" t="s">
        <v>960</v>
      </c>
      <c r="E655" s="1608" t="s">
        <v>959</v>
      </c>
      <c r="F655" s="1589" t="s">
        <v>199</v>
      </c>
      <c r="G655" s="1588" t="s">
        <v>958</v>
      </c>
      <c r="H655" s="1648">
        <v>14898</v>
      </c>
      <c r="I655" s="1648">
        <f t="shared" ref="I655:I660" si="381">H655</f>
        <v>14898</v>
      </c>
      <c r="J655" s="1647"/>
      <c r="K655" s="1647"/>
      <c r="L655" s="1647"/>
      <c r="M655" s="1647"/>
      <c r="N655" s="1648">
        <v>13400</v>
      </c>
      <c r="O655" s="1648">
        <v>13400</v>
      </c>
      <c r="P655" s="1666">
        <v>13400</v>
      </c>
      <c r="Q655" s="1666">
        <v>13400</v>
      </c>
      <c r="R655" s="1591"/>
      <c r="S655" s="1591">
        <f>O655-U655</f>
        <v>0</v>
      </c>
      <c r="T655" s="1665">
        <v>13400</v>
      </c>
      <c r="U655" s="1665">
        <v>13400</v>
      </c>
      <c r="V655" s="1591"/>
      <c r="W655" s="1591"/>
      <c r="X655" s="1665">
        <v>13400</v>
      </c>
      <c r="Y655" s="1665">
        <v>13400</v>
      </c>
      <c r="Z655" s="1665">
        <v>13400</v>
      </c>
      <c r="AA655" s="1665">
        <v>13400</v>
      </c>
      <c r="AB655" s="1665"/>
      <c r="AC655" s="1666"/>
      <c r="AD655" s="1623">
        <f t="shared" ref="AD655:AD669" si="382">AE655</f>
        <v>13400</v>
      </c>
      <c r="AE655" s="1623">
        <f t="shared" ref="AE655:AE669" si="383">AA655+AB655+AC655</f>
        <v>13400</v>
      </c>
      <c r="AF655" s="1592"/>
      <c r="AG655" s="1009">
        <f t="shared" si="359"/>
        <v>0</v>
      </c>
      <c r="AH655" s="1009">
        <f t="shared" si="346"/>
        <v>1</v>
      </c>
      <c r="AI655" s="1908">
        <f t="shared" si="362"/>
        <v>1</v>
      </c>
    </row>
    <row r="656" spans="1:36" ht="55.5" hidden="1" customHeight="1" x14ac:dyDescent="0.25">
      <c r="A656" s="1586" t="s">
        <v>3078</v>
      </c>
      <c r="B656" s="1586"/>
      <c r="C656" s="1587" t="s">
        <v>957</v>
      </c>
      <c r="D656" s="1588" t="s">
        <v>956</v>
      </c>
      <c r="E656" s="1608" t="s">
        <v>955</v>
      </c>
      <c r="F656" s="1589" t="s">
        <v>199</v>
      </c>
      <c r="G656" s="1588" t="s">
        <v>954</v>
      </c>
      <c r="H656" s="1648">
        <v>14978</v>
      </c>
      <c r="I656" s="1648">
        <f t="shared" si="381"/>
        <v>14978</v>
      </c>
      <c r="J656" s="1647"/>
      <c r="K656" s="1647"/>
      <c r="L656" s="1647"/>
      <c r="M656" s="1647"/>
      <c r="N656" s="1648">
        <v>10790</v>
      </c>
      <c r="O656" s="1648">
        <v>10790</v>
      </c>
      <c r="P656" s="1666">
        <v>10790</v>
      </c>
      <c r="Q656" s="1666">
        <v>10790</v>
      </c>
      <c r="R656" s="1591"/>
      <c r="S656" s="1591">
        <f>O656-U656</f>
        <v>0</v>
      </c>
      <c r="T656" s="1665">
        <v>10790</v>
      </c>
      <c r="U656" s="1665">
        <v>10790</v>
      </c>
      <c r="V656" s="1591"/>
      <c r="W656" s="1591"/>
      <c r="X656" s="1665">
        <v>10790</v>
      </c>
      <c r="Y656" s="1665">
        <v>10790</v>
      </c>
      <c r="Z656" s="1665">
        <v>10790</v>
      </c>
      <c r="AA656" s="1665">
        <v>10790</v>
      </c>
      <c r="AB656" s="1665"/>
      <c r="AC656" s="1666"/>
      <c r="AD656" s="1623">
        <f t="shared" si="382"/>
        <v>10790</v>
      </c>
      <c r="AE656" s="1623">
        <f t="shared" si="383"/>
        <v>10790</v>
      </c>
      <c r="AF656" s="1592"/>
      <c r="AG656" s="1009">
        <f t="shared" si="359"/>
        <v>0</v>
      </c>
      <c r="AH656" s="1009">
        <f t="shared" si="346"/>
        <v>1</v>
      </c>
      <c r="AI656" s="1908">
        <f t="shared" si="362"/>
        <v>1</v>
      </c>
    </row>
    <row r="657" spans="1:36" ht="87" hidden="1" customHeight="1" x14ac:dyDescent="0.25">
      <c r="A657" s="1586" t="s">
        <v>3079</v>
      </c>
      <c r="B657" s="1586"/>
      <c r="C657" s="1587" t="s">
        <v>953</v>
      </c>
      <c r="D657" s="1588" t="s">
        <v>952</v>
      </c>
      <c r="E657" s="1611" t="s">
        <v>951</v>
      </c>
      <c r="F657" s="1678" t="s">
        <v>938</v>
      </c>
      <c r="G657" s="1588" t="s">
        <v>950</v>
      </c>
      <c r="H657" s="1648">
        <v>559</v>
      </c>
      <c r="I657" s="1648">
        <f t="shared" si="381"/>
        <v>559</v>
      </c>
      <c r="J657" s="1647"/>
      <c r="K657" s="1647"/>
      <c r="L657" s="1647"/>
      <c r="M657" s="1647"/>
      <c r="N657" s="1648">
        <f>O657</f>
        <v>530</v>
      </c>
      <c r="O657" s="1647">
        <v>530</v>
      </c>
      <c r="P657" s="1666">
        <f t="shared" ref="P657:P667" si="384">Q657</f>
        <v>510</v>
      </c>
      <c r="Q657" s="1727">
        <v>510</v>
      </c>
      <c r="R657" s="1591"/>
      <c r="S657" s="1591">
        <f>O657-U657</f>
        <v>20</v>
      </c>
      <c r="T657" s="1665">
        <f t="shared" ref="T657:T667" si="385">U657</f>
        <v>510</v>
      </c>
      <c r="U657" s="1728">
        <v>510</v>
      </c>
      <c r="V657" s="1591"/>
      <c r="W657" s="1591"/>
      <c r="X657" s="1665">
        <f t="shared" ref="X657:X669" si="386">Y657</f>
        <v>510</v>
      </c>
      <c r="Y657" s="1728">
        <v>510</v>
      </c>
      <c r="Z657" s="1665">
        <v>510</v>
      </c>
      <c r="AA657" s="1728">
        <v>510</v>
      </c>
      <c r="AB657" s="1728"/>
      <c r="AC657" s="1666"/>
      <c r="AD657" s="1623">
        <f t="shared" si="382"/>
        <v>510</v>
      </c>
      <c r="AE657" s="1623">
        <f t="shared" si="383"/>
        <v>510</v>
      </c>
      <c r="AF657" s="1592"/>
      <c r="AG657" s="1009">
        <f t="shared" si="359"/>
        <v>0</v>
      </c>
      <c r="AH657" s="1009">
        <f t="shared" si="346"/>
        <v>1</v>
      </c>
      <c r="AI657" s="1908">
        <f t="shared" si="362"/>
        <v>1</v>
      </c>
    </row>
    <row r="658" spans="1:36" ht="81.75" hidden="1" customHeight="1" x14ac:dyDescent="0.25">
      <c r="A658" s="1586" t="s">
        <v>3080</v>
      </c>
      <c r="B658" s="1586"/>
      <c r="C658" s="1587" t="s">
        <v>949</v>
      </c>
      <c r="D658" s="1588" t="s">
        <v>948</v>
      </c>
      <c r="E658" s="1611" t="s">
        <v>947</v>
      </c>
      <c r="F658" s="1678" t="s">
        <v>938</v>
      </c>
      <c r="G658" s="1588" t="s">
        <v>946</v>
      </c>
      <c r="H658" s="1648">
        <v>896</v>
      </c>
      <c r="I658" s="1648">
        <f t="shared" si="381"/>
        <v>896</v>
      </c>
      <c r="J658" s="1647"/>
      <c r="K658" s="1647"/>
      <c r="L658" s="1647"/>
      <c r="M658" s="1647"/>
      <c r="N658" s="1648">
        <f>O658</f>
        <v>850</v>
      </c>
      <c r="O658" s="1647">
        <v>850</v>
      </c>
      <c r="P658" s="1666">
        <f t="shared" si="384"/>
        <v>780</v>
      </c>
      <c r="Q658" s="1727">
        <v>780</v>
      </c>
      <c r="R658" s="1591"/>
      <c r="S658" s="1591">
        <f>O658-U658</f>
        <v>70</v>
      </c>
      <c r="T658" s="1665">
        <f t="shared" si="385"/>
        <v>780</v>
      </c>
      <c r="U658" s="1728">
        <v>780</v>
      </c>
      <c r="V658" s="1591"/>
      <c r="W658" s="1591"/>
      <c r="X658" s="1665">
        <f t="shared" si="386"/>
        <v>780</v>
      </c>
      <c r="Y658" s="1728">
        <v>780</v>
      </c>
      <c r="Z658" s="1665">
        <v>780</v>
      </c>
      <c r="AA658" s="1728">
        <v>780</v>
      </c>
      <c r="AB658" s="1728"/>
      <c r="AC658" s="1666"/>
      <c r="AD658" s="1623">
        <f t="shared" si="382"/>
        <v>780</v>
      </c>
      <c r="AE658" s="1623">
        <f t="shared" si="383"/>
        <v>780</v>
      </c>
      <c r="AF658" s="1592"/>
      <c r="AG658" s="1009">
        <f t="shared" si="359"/>
        <v>0</v>
      </c>
      <c r="AH658" s="1009">
        <f t="shared" si="346"/>
        <v>1</v>
      </c>
      <c r="AI658" s="1908">
        <f t="shared" si="362"/>
        <v>1</v>
      </c>
    </row>
    <row r="659" spans="1:36" ht="82.5" hidden="1" customHeight="1" x14ac:dyDescent="0.25">
      <c r="A659" s="1586" t="s">
        <v>3081</v>
      </c>
      <c r="B659" s="1586"/>
      <c r="C659" s="1587" t="s">
        <v>945</v>
      </c>
      <c r="D659" s="1588" t="s">
        <v>944</v>
      </c>
      <c r="E659" s="1611" t="s">
        <v>943</v>
      </c>
      <c r="F659" s="1678" t="s">
        <v>938</v>
      </c>
      <c r="G659" s="1588" t="s">
        <v>942</v>
      </c>
      <c r="H659" s="1648">
        <v>1156</v>
      </c>
      <c r="I659" s="1648">
        <f t="shared" si="381"/>
        <v>1156</v>
      </c>
      <c r="J659" s="1647"/>
      <c r="K659" s="1647"/>
      <c r="L659" s="1647"/>
      <c r="M659" s="1647"/>
      <c r="N659" s="1648">
        <f>O659</f>
        <v>1050</v>
      </c>
      <c r="O659" s="1648">
        <v>1050</v>
      </c>
      <c r="P659" s="1666">
        <f t="shared" si="384"/>
        <v>1100</v>
      </c>
      <c r="Q659" s="1666">
        <v>1100</v>
      </c>
      <c r="R659" s="1591">
        <f>U659-O659</f>
        <v>50</v>
      </c>
      <c r="S659" s="1591"/>
      <c r="T659" s="1665">
        <f t="shared" si="385"/>
        <v>1100</v>
      </c>
      <c r="U659" s="1665">
        <v>1100</v>
      </c>
      <c r="V659" s="1591"/>
      <c r="W659" s="1591"/>
      <c r="X659" s="1665">
        <f t="shared" si="386"/>
        <v>1100</v>
      </c>
      <c r="Y659" s="1665">
        <v>1100</v>
      </c>
      <c r="Z659" s="1665">
        <v>1100</v>
      </c>
      <c r="AA659" s="1665">
        <v>1100</v>
      </c>
      <c r="AB659" s="1665"/>
      <c r="AC659" s="1666"/>
      <c r="AD659" s="1623">
        <f t="shared" si="382"/>
        <v>1100</v>
      </c>
      <c r="AE659" s="1623">
        <f t="shared" si="383"/>
        <v>1100</v>
      </c>
      <c r="AF659" s="1592"/>
      <c r="AG659" s="1009">
        <f t="shared" si="359"/>
        <v>0</v>
      </c>
      <c r="AH659" s="1009">
        <f t="shared" si="346"/>
        <v>1</v>
      </c>
      <c r="AI659" s="1908">
        <f t="shared" si="362"/>
        <v>1</v>
      </c>
    </row>
    <row r="660" spans="1:36" ht="87" hidden="1" customHeight="1" x14ac:dyDescent="0.25">
      <c r="A660" s="1586" t="s">
        <v>3082</v>
      </c>
      <c r="B660" s="1586"/>
      <c r="C660" s="1587" t="s">
        <v>941</v>
      </c>
      <c r="D660" s="1588" t="s">
        <v>940</v>
      </c>
      <c r="E660" s="1611" t="s">
        <v>939</v>
      </c>
      <c r="F660" s="1678" t="s">
        <v>938</v>
      </c>
      <c r="G660" s="1588" t="s">
        <v>937</v>
      </c>
      <c r="H660" s="1648">
        <v>409</v>
      </c>
      <c r="I660" s="1648">
        <f t="shared" si="381"/>
        <v>409</v>
      </c>
      <c r="J660" s="1647"/>
      <c r="K660" s="1647"/>
      <c r="L660" s="1647"/>
      <c r="M660" s="1647"/>
      <c r="N660" s="1648">
        <f>O660</f>
        <v>390</v>
      </c>
      <c r="O660" s="1647">
        <v>390</v>
      </c>
      <c r="P660" s="1666">
        <f t="shared" si="384"/>
        <v>390</v>
      </c>
      <c r="Q660" s="1727">
        <v>390</v>
      </c>
      <c r="R660" s="1591"/>
      <c r="S660" s="1591">
        <f>O660-U660</f>
        <v>0</v>
      </c>
      <c r="T660" s="1665">
        <f t="shared" si="385"/>
        <v>390</v>
      </c>
      <c r="U660" s="1728">
        <v>390</v>
      </c>
      <c r="V660" s="1591"/>
      <c r="W660" s="1591"/>
      <c r="X660" s="1665">
        <f t="shared" si="386"/>
        <v>390</v>
      </c>
      <c r="Y660" s="1728">
        <v>390</v>
      </c>
      <c r="Z660" s="1665">
        <v>390</v>
      </c>
      <c r="AA660" s="1728">
        <v>390</v>
      </c>
      <c r="AB660" s="1728"/>
      <c r="AC660" s="1666"/>
      <c r="AD660" s="1623">
        <f t="shared" si="382"/>
        <v>390</v>
      </c>
      <c r="AE660" s="1623">
        <f t="shared" si="383"/>
        <v>390</v>
      </c>
      <c r="AF660" s="1592"/>
      <c r="AG660" s="1009">
        <f t="shared" si="359"/>
        <v>0</v>
      </c>
      <c r="AH660" s="1009">
        <f t="shared" si="346"/>
        <v>1</v>
      </c>
      <c r="AI660" s="1908">
        <f t="shared" si="362"/>
        <v>1</v>
      </c>
    </row>
    <row r="661" spans="1:36" ht="165.75" hidden="1" customHeight="1" x14ac:dyDescent="0.25">
      <c r="A661" s="1586" t="s">
        <v>3083</v>
      </c>
      <c r="B661" s="1586"/>
      <c r="C661" s="1587" t="s">
        <v>936</v>
      </c>
      <c r="D661" s="1588" t="s">
        <v>935</v>
      </c>
      <c r="E661" s="1611" t="s">
        <v>2160</v>
      </c>
      <c r="F661" s="1589" t="s">
        <v>109</v>
      </c>
      <c r="G661" s="1588" t="s">
        <v>930</v>
      </c>
      <c r="H661" s="1648">
        <v>8900</v>
      </c>
      <c r="I661" s="1648">
        <v>7506</v>
      </c>
      <c r="J661" s="1647"/>
      <c r="K661" s="1647"/>
      <c r="L661" s="1647"/>
      <c r="M661" s="1647"/>
      <c r="N661" s="1648">
        <v>8000</v>
      </c>
      <c r="O661" s="1648">
        <f>N661</f>
        <v>8000</v>
      </c>
      <c r="P661" s="1666">
        <f t="shared" si="384"/>
        <v>6800</v>
      </c>
      <c r="Q661" s="1666">
        <v>6800</v>
      </c>
      <c r="R661" s="1591"/>
      <c r="S661" s="1591">
        <f>O661-U661</f>
        <v>1200</v>
      </c>
      <c r="T661" s="1665">
        <f t="shared" si="385"/>
        <v>6800</v>
      </c>
      <c r="U661" s="1665">
        <v>6800</v>
      </c>
      <c r="V661" s="1591"/>
      <c r="W661" s="1591"/>
      <c r="X661" s="1665">
        <f t="shared" si="386"/>
        <v>6800</v>
      </c>
      <c r="Y661" s="1665">
        <v>6800</v>
      </c>
      <c r="Z661" s="1665">
        <v>6800</v>
      </c>
      <c r="AA661" s="1665">
        <v>6800</v>
      </c>
      <c r="AB661" s="1665"/>
      <c r="AC661" s="1666"/>
      <c r="AD661" s="1623">
        <f t="shared" si="382"/>
        <v>6800</v>
      </c>
      <c r="AE661" s="1623">
        <f t="shared" si="383"/>
        <v>6800</v>
      </c>
      <c r="AF661" s="1580"/>
      <c r="AG661" s="1009">
        <f t="shared" si="359"/>
        <v>0</v>
      </c>
      <c r="AH661" s="1009">
        <f t="shared" si="346"/>
        <v>1</v>
      </c>
      <c r="AI661" s="1908">
        <f t="shared" si="362"/>
        <v>1</v>
      </c>
    </row>
    <row r="662" spans="1:36" ht="156" hidden="1" customHeight="1" x14ac:dyDescent="0.25">
      <c r="A662" s="1586" t="s">
        <v>3084</v>
      </c>
      <c r="B662" s="1586"/>
      <c r="C662" s="1587" t="s">
        <v>933</v>
      </c>
      <c r="D662" s="1588" t="s">
        <v>932</v>
      </c>
      <c r="E662" s="1611" t="s">
        <v>2161</v>
      </c>
      <c r="F662" s="1589" t="s">
        <v>109</v>
      </c>
      <c r="G662" s="1588" t="s">
        <v>930</v>
      </c>
      <c r="H662" s="1648">
        <v>26100</v>
      </c>
      <c r="I662" s="1648">
        <v>7932</v>
      </c>
      <c r="J662" s="1647"/>
      <c r="K662" s="1647"/>
      <c r="L662" s="1647"/>
      <c r="M662" s="1647"/>
      <c r="N662" s="1648">
        <f>O662</f>
        <v>20080</v>
      </c>
      <c r="O662" s="1648">
        <v>20080</v>
      </c>
      <c r="P662" s="1666">
        <f t="shared" si="384"/>
        <v>7200</v>
      </c>
      <c r="Q662" s="1666">
        <v>7200</v>
      </c>
      <c r="R662" s="1591"/>
      <c r="S662" s="1591">
        <f>O662-U662</f>
        <v>12880</v>
      </c>
      <c r="T662" s="1665">
        <f t="shared" si="385"/>
        <v>7200</v>
      </c>
      <c r="U662" s="1665">
        <v>7200</v>
      </c>
      <c r="V662" s="1591"/>
      <c r="W662" s="1591"/>
      <c r="X662" s="1665">
        <f t="shared" si="386"/>
        <v>7200</v>
      </c>
      <c r="Y662" s="1665">
        <v>7200</v>
      </c>
      <c r="Z662" s="1665">
        <v>7200</v>
      </c>
      <c r="AA662" s="1665">
        <v>7200</v>
      </c>
      <c r="AB662" s="1665"/>
      <c r="AC662" s="1666"/>
      <c r="AD662" s="1623">
        <f t="shared" si="382"/>
        <v>7200</v>
      </c>
      <c r="AE662" s="1623">
        <f t="shared" si="383"/>
        <v>7200</v>
      </c>
      <c r="AF662" s="1580"/>
      <c r="AG662" s="1009">
        <f t="shared" si="359"/>
        <v>0</v>
      </c>
      <c r="AH662" s="1009">
        <f t="shared" si="346"/>
        <v>1</v>
      </c>
      <c r="AI662" s="1908">
        <f t="shared" si="362"/>
        <v>1</v>
      </c>
    </row>
    <row r="663" spans="1:36" ht="63.75" hidden="1" customHeight="1" x14ac:dyDescent="0.25">
      <c r="A663" s="1586" t="s">
        <v>3085</v>
      </c>
      <c r="B663" s="1586"/>
      <c r="C663" s="1587" t="s">
        <v>929</v>
      </c>
      <c r="D663" s="1588" t="s">
        <v>1164</v>
      </c>
      <c r="E663" s="1611" t="s">
        <v>927</v>
      </c>
      <c r="F663" s="1589" t="s">
        <v>116</v>
      </c>
      <c r="G663" s="1588"/>
      <c r="H663" s="1648">
        <f t="shared" ref="H663:H669" si="387">I663</f>
        <v>28000</v>
      </c>
      <c r="I663" s="1648">
        <v>28000</v>
      </c>
      <c r="J663" s="1647"/>
      <c r="K663" s="1647"/>
      <c r="L663" s="1647"/>
      <c r="M663" s="1647"/>
      <c r="N663" s="1648">
        <v>10000</v>
      </c>
      <c r="O663" s="1648">
        <f>N663</f>
        <v>10000</v>
      </c>
      <c r="P663" s="1666">
        <f t="shared" si="384"/>
        <v>21340</v>
      </c>
      <c r="Q663" s="1666">
        <f>23600-2260</f>
        <v>21340</v>
      </c>
      <c r="R663" s="1591">
        <f>U663-O663</f>
        <v>11340</v>
      </c>
      <c r="S663" s="1591"/>
      <c r="T663" s="1665">
        <f t="shared" si="385"/>
        <v>21340</v>
      </c>
      <c r="U663" s="1665">
        <v>21340</v>
      </c>
      <c r="V663" s="1591"/>
      <c r="W663" s="1591">
        <v>21340</v>
      </c>
      <c r="X663" s="1665">
        <f t="shared" si="386"/>
        <v>0</v>
      </c>
      <c r="Y663" s="1665">
        <f>U663-W663</f>
        <v>0</v>
      </c>
      <c r="Z663" s="1665">
        <v>0</v>
      </c>
      <c r="AA663" s="1665">
        <v>0</v>
      </c>
      <c r="AB663" s="1665"/>
      <c r="AC663" s="1666"/>
      <c r="AD663" s="1623">
        <f t="shared" si="382"/>
        <v>0</v>
      </c>
      <c r="AE663" s="1623">
        <f t="shared" si="383"/>
        <v>0</v>
      </c>
      <c r="AF663" s="1580"/>
      <c r="AG663" s="1009">
        <f t="shared" si="359"/>
        <v>0</v>
      </c>
      <c r="AH663" s="1009">
        <f>IF(U663=0,0,1)</f>
        <v>1</v>
      </c>
      <c r="AI663" s="1908">
        <f t="shared" si="362"/>
        <v>1</v>
      </c>
    </row>
    <row r="664" spans="1:36" ht="44.25" hidden="1" customHeight="1" x14ac:dyDescent="0.25">
      <c r="A664" s="1586" t="s">
        <v>3086</v>
      </c>
      <c r="B664" s="1586"/>
      <c r="C664" s="1587" t="s">
        <v>925</v>
      </c>
      <c r="D664" s="1588" t="s">
        <v>924</v>
      </c>
      <c r="E664" s="1611"/>
      <c r="F664" s="1589"/>
      <c r="G664" s="1588"/>
      <c r="H664" s="1648">
        <f t="shared" si="387"/>
        <v>1150</v>
      </c>
      <c r="I664" s="1648">
        <v>1150</v>
      </c>
      <c r="J664" s="1647"/>
      <c r="K664" s="1647"/>
      <c r="L664" s="1647"/>
      <c r="M664" s="1647"/>
      <c r="N664" s="1648"/>
      <c r="O664" s="1648"/>
      <c r="P664" s="1666">
        <f t="shared" si="384"/>
        <v>1030</v>
      </c>
      <c r="Q664" s="1666">
        <v>1030</v>
      </c>
      <c r="R664" s="1591">
        <f>U664-O664</f>
        <v>1030</v>
      </c>
      <c r="S664" s="1591"/>
      <c r="T664" s="1665">
        <f t="shared" si="385"/>
        <v>1030</v>
      </c>
      <c r="U664" s="1665">
        <v>1030</v>
      </c>
      <c r="V664" s="1591"/>
      <c r="W664" s="1591"/>
      <c r="X664" s="1665">
        <f t="shared" si="386"/>
        <v>1030</v>
      </c>
      <c r="Y664" s="1665">
        <v>1030</v>
      </c>
      <c r="Z664" s="1665">
        <v>1030</v>
      </c>
      <c r="AA664" s="1665">
        <v>1030</v>
      </c>
      <c r="AB664" s="1665"/>
      <c r="AC664" s="1666"/>
      <c r="AD664" s="1623">
        <f t="shared" si="382"/>
        <v>1030</v>
      </c>
      <c r="AE664" s="1623">
        <f t="shared" si="383"/>
        <v>1030</v>
      </c>
      <c r="AF664" s="1592"/>
      <c r="AG664" s="1009">
        <f t="shared" si="359"/>
        <v>0</v>
      </c>
      <c r="AH664" s="1009">
        <f t="shared" si="346"/>
        <v>1</v>
      </c>
      <c r="AI664" s="1908">
        <f t="shared" si="362"/>
        <v>1</v>
      </c>
    </row>
    <row r="665" spans="1:36" ht="39" hidden="1" customHeight="1" x14ac:dyDescent="0.25">
      <c r="A665" s="1586" t="s">
        <v>3087</v>
      </c>
      <c r="B665" s="1586"/>
      <c r="C665" s="1587" t="s">
        <v>923</v>
      </c>
      <c r="D665" s="1588" t="s">
        <v>922</v>
      </c>
      <c r="E665" s="1611"/>
      <c r="F665" s="1589"/>
      <c r="G665" s="1588"/>
      <c r="H665" s="1648">
        <f t="shared" si="387"/>
        <v>830</v>
      </c>
      <c r="I665" s="1648">
        <v>830</v>
      </c>
      <c r="J665" s="1647"/>
      <c r="K665" s="1647"/>
      <c r="L665" s="1647"/>
      <c r="M665" s="1647"/>
      <c r="N665" s="1648"/>
      <c r="O665" s="1648"/>
      <c r="P665" s="1666">
        <f t="shared" si="384"/>
        <v>750</v>
      </c>
      <c r="Q665" s="1666">
        <v>750</v>
      </c>
      <c r="R665" s="1647">
        <f>U665-O665</f>
        <v>750</v>
      </c>
      <c r="S665" s="1591"/>
      <c r="T665" s="1665">
        <f t="shared" si="385"/>
        <v>750</v>
      </c>
      <c r="U665" s="1665">
        <v>750</v>
      </c>
      <c r="V665" s="1591">
        <v>56</v>
      </c>
      <c r="W665" s="1591"/>
      <c r="X665" s="1665">
        <f t="shared" si="386"/>
        <v>806</v>
      </c>
      <c r="Y665" s="1665">
        <f>V665+U665</f>
        <v>806</v>
      </c>
      <c r="Z665" s="1665">
        <v>806</v>
      </c>
      <c r="AA665" s="1665">
        <v>806</v>
      </c>
      <c r="AB665" s="1665"/>
      <c r="AC665" s="1666"/>
      <c r="AD665" s="1623">
        <f t="shared" si="382"/>
        <v>806</v>
      </c>
      <c r="AE665" s="1623">
        <f t="shared" si="383"/>
        <v>806</v>
      </c>
      <c r="AF665" s="1580"/>
      <c r="AG665" s="1009">
        <f t="shared" si="359"/>
        <v>0</v>
      </c>
      <c r="AH665" s="1009">
        <f t="shared" si="346"/>
        <v>1</v>
      </c>
      <c r="AI665" s="1908">
        <f t="shared" si="362"/>
        <v>1</v>
      </c>
      <c r="AJ665" s="1908"/>
    </row>
    <row r="666" spans="1:36" ht="61.5" hidden="1" customHeight="1" x14ac:dyDescent="0.25">
      <c r="A666" s="1586" t="s">
        <v>3088</v>
      </c>
      <c r="B666" s="1586"/>
      <c r="C666" s="1587" t="s">
        <v>921</v>
      </c>
      <c r="D666" s="1588" t="s">
        <v>920</v>
      </c>
      <c r="E666" s="1611"/>
      <c r="F666" s="1589"/>
      <c r="G666" s="1588"/>
      <c r="H666" s="1648">
        <f t="shared" si="387"/>
        <v>819</v>
      </c>
      <c r="I666" s="1648">
        <v>819</v>
      </c>
      <c r="J666" s="1647"/>
      <c r="K666" s="1647"/>
      <c r="L666" s="1647"/>
      <c r="M666" s="1647"/>
      <c r="N666" s="1648"/>
      <c r="O666" s="1648"/>
      <c r="P666" s="1666">
        <f t="shared" si="384"/>
        <v>740</v>
      </c>
      <c r="Q666" s="1666">
        <v>740</v>
      </c>
      <c r="R666" s="1647">
        <f>U666-O666</f>
        <v>740</v>
      </c>
      <c r="S666" s="1591"/>
      <c r="T666" s="1665">
        <f t="shared" si="385"/>
        <v>740</v>
      </c>
      <c r="U666" s="1665">
        <v>740</v>
      </c>
      <c r="V666" s="1591">
        <v>16</v>
      </c>
      <c r="W666" s="1591"/>
      <c r="X666" s="1665">
        <f t="shared" si="386"/>
        <v>756</v>
      </c>
      <c r="Y666" s="1665">
        <f>V666+U666</f>
        <v>756</v>
      </c>
      <c r="Z666" s="1665">
        <v>756</v>
      </c>
      <c r="AA666" s="1665">
        <v>756</v>
      </c>
      <c r="AB666" s="1665"/>
      <c r="AC666" s="1666"/>
      <c r="AD666" s="1623">
        <f t="shared" si="382"/>
        <v>756</v>
      </c>
      <c r="AE666" s="1623">
        <f t="shared" si="383"/>
        <v>756</v>
      </c>
      <c r="AF666" s="1580"/>
      <c r="AG666" s="1009">
        <f t="shared" si="359"/>
        <v>0</v>
      </c>
      <c r="AH666" s="1009">
        <f t="shared" si="346"/>
        <v>1</v>
      </c>
      <c r="AI666" s="1908">
        <f t="shared" si="362"/>
        <v>1</v>
      </c>
      <c r="AJ666" s="1908"/>
    </row>
    <row r="667" spans="1:36" ht="55.5" hidden="1" customHeight="1" x14ac:dyDescent="0.25">
      <c r="A667" s="1586" t="s">
        <v>3089</v>
      </c>
      <c r="B667" s="1586"/>
      <c r="C667" s="1587" t="s">
        <v>919</v>
      </c>
      <c r="D667" s="1588" t="s">
        <v>918</v>
      </c>
      <c r="E667" s="1611"/>
      <c r="F667" s="1589"/>
      <c r="G667" s="1588"/>
      <c r="H667" s="1648">
        <f t="shared" si="387"/>
        <v>520</v>
      </c>
      <c r="I667" s="1648">
        <v>520</v>
      </c>
      <c r="J667" s="1647"/>
      <c r="K667" s="1647"/>
      <c r="L667" s="1647"/>
      <c r="M667" s="1647"/>
      <c r="N667" s="1648"/>
      <c r="O667" s="1648"/>
      <c r="P667" s="1666">
        <f t="shared" si="384"/>
        <v>470</v>
      </c>
      <c r="Q667" s="1666">
        <v>470</v>
      </c>
      <c r="R667" s="1647">
        <f>U667-O667</f>
        <v>470</v>
      </c>
      <c r="S667" s="1591"/>
      <c r="T667" s="1665">
        <f t="shared" si="385"/>
        <v>470</v>
      </c>
      <c r="U667" s="1665">
        <v>470</v>
      </c>
      <c r="V667" s="1591">
        <v>17</v>
      </c>
      <c r="W667" s="1591"/>
      <c r="X667" s="1665">
        <f t="shared" si="386"/>
        <v>487</v>
      </c>
      <c r="Y667" s="1665">
        <f>V667+U667</f>
        <v>487</v>
      </c>
      <c r="Z667" s="1665">
        <v>487</v>
      </c>
      <c r="AA667" s="1665">
        <v>487</v>
      </c>
      <c r="AB667" s="1665"/>
      <c r="AC667" s="1666"/>
      <c r="AD667" s="1623">
        <f t="shared" si="382"/>
        <v>487</v>
      </c>
      <c r="AE667" s="1623">
        <f t="shared" si="383"/>
        <v>487</v>
      </c>
      <c r="AF667" s="1580"/>
      <c r="AG667" s="1009">
        <f t="shared" si="359"/>
        <v>0</v>
      </c>
      <c r="AH667" s="1009">
        <f t="shared" si="346"/>
        <v>1</v>
      </c>
      <c r="AI667" s="1908">
        <f t="shared" si="362"/>
        <v>1</v>
      </c>
    </row>
    <row r="668" spans="1:36" ht="45.75" hidden="1" customHeight="1" x14ac:dyDescent="0.25">
      <c r="A668" s="1586" t="s">
        <v>3090</v>
      </c>
      <c r="B668" s="1586" t="s">
        <v>3077</v>
      </c>
      <c r="C668" s="1587" t="s">
        <v>2381</v>
      </c>
      <c r="D668" s="1588" t="s">
        <v>1164</v>
      </c>
      <c r="E668" s="1611"/>
      <c r="F668" s="1589" t="s">
        <v>290</v>
      </c>
      <c r="G668" s="1588"/>
      <c r="H668" s="1648">
        <f t="shared" si="387"/>
        <v>13997</v>
      </c>
      <c r="I668" s="1648">
        <v>13997</v>
      </c>
      <c r="J668" s="1647"/>
      <c r="K668" s="1647"/>
      <c r="L668" s="1647"/>
      <c r="M668" s="1647"/>
      <c r="N668" s="1648"/>
      <c r="O668" s="1648"/>
      <c r="P668" s="1666"/>
      <c r="Q668" s="1666"/>
      <c r="R668" s="1591"/>
      <c r="S668" s="1591"/>
      <c r="T668" s="1665"/>
      <c r="U668" s="1665"/>
      <c r="V668" s="1591">
        <v>10000</v>
      </c>
      <c r="W668" s="1591"/>
      <c r="X668" s="1665">
        <f t="shared" si="386"/>
        <v>10000</v>
      </c>
      <c r="Y668" s="1665">
        <f t="shared" ref="Y668:Y669" si="388">V668+U668</f>
        <v>10000</v>
      </c>
      <c r="Z668" s="1665">
        <v>12340</v>
      </c>
      <c r="AA668" s="1665">
        <v>12340</v>
      </c>
      <c r="AB668" s="1665"/>
      <c r="AC668" s="1666"/>
      <c r="AD668" s="1623">
        <f t="shared" si="382"/>
        <v>12340</v>
      </c>
      <c r="AE668" s="1623">
        <f t="shared" si="383"/>
        <v>12340</v>
      </c>
      <c r="AF668" s="1580"/>
      <c r="AG668" s="1009">
        <f t="shared" si="359"/>
        <v>0</v>
      </c>
      <c r="AH668" s="1009">
        <f t="shared" si="346"/>
        <v>1</v>
      </c>
      <c r="AI668" s="1908">
        <f t="shared" si="362"/>
        <v>1</v>
      </c>
    </row>
    <row r="669" spans="1:36" ht="63" hidden="1" customHeight="1" x14ac:dyDescent="0.25">
      <c r="A669" s="1586" t="s">
        <v>3091</v>
      </c>
      <c r="B669" s="1586" t="s">
        <v>3078</v>
      </c>
      <c r="C669" s="1587" t="s">
        <v>2382</v>
      </c>
      <c r="D669" s="1588" t="s">
        <v>1164</v>
      </c>
      <c r="E669" s="1611"/>
      <c r="F669" s="1589" t="s">
        <v>290</v>
      </c>
      <c r="G669" s="1588"/>
      <c r="H669" s="1648">
        <f t="shared" si="387"/>
        <v>14995</v>
      </c>
      <c r="I669" s="1648">
        <v>14995</v>
      </c>
      <c r="J669" s="1647"/>
      <c r="K669" s="1647"/>
      <c r="L669" s="1647"/>
      <c r="M669" s="1647"/>
      <c r="N669" s="1648"/>
      <c r="O669" s="1648"/>
      <c r="P669" s="1666"/>
      <c r="Q669" s="1666"/>
      <c r="R669" s="1591"/>
      <c r="S669" s="1591"/>
      <c r="T669" s="1665"/>
      <c r="U669" s="1665"/>
      <c r="V669" s="1591">
        <v>11340</v>
      </c>
      <c r="W669" s="1591"/>
      <c r="X669" s="1665">
        <f t="shared" si="386"/>
        <v>11340</v>
      </c>
      <c r="Y669" s="1665">
        <f t="shared" si="388"/>
        <v>11340</v>
      </c>
      <c r="Z669" s="1665">
        <v>9000</v>
      </c>
      <c r="AA669" s="1665">
        <v>9000</v>
      </c>
      <c r="AB669" s="1665"/>
      <c r="AC669" s="1666"/>
      <c r="AD669" s="1623">
        <f t="shared" si="382"/>
        <v>9000</v>
      </c>
      <c r="AE669" s="1623">
        <f t="shared" si="383"/>
        <v>9000</v>
      </c>
      <c r="AF669" s="1580"/>
      <c r="AG669" s="1009">
        <f t="shared" si="359"/>
        <v>0</v>
      </c>
      <c r="AH669" s="1009">
        <f t="shared" si="346"/>
        <v>1</v>
      </c>
      <c r="AI669" s="1908">
        <f t="shared" si="362"/>
        <v>1</v>
      </c>
    </row>
    <row r="670" spans="1:36" ht="34.5" hidden="1" x14ac:dyDescent="0.25">
      <c r="A670" s="1586"/>
      <c r="B670" s="1586"/>
      <c r="C670" s="1823" t="s">
        <v>2388</v>
      </c>
      <c r="D670" s="1588"/>
      <c r="E670" s="1611"/>
      <c r="F670" s="1589"/>
      <c r="G670" s="1588"/>
      <c r="H670" s="1648"/>
      <c r="I670" s="1648"/>
      <c r="J670" s="1647"/>
      <c r="K670" s="1647"/>
      <c r="L670" s="1647"/>
      <c r="M670" s="1647"/>
      <c r="N670" s="1648"/>
      <c r="O670" s="1648"/>
      <c r="P670" s="1666"/>
      <c r="Q670" s="1666"/>
      <c r="R670" s="1591"/>
      <c r="S670" s="1591"/>
      <c r="T670" s="1665"/>
      <c r="U670" s="1665"/>
      <c r="V670" s="1591"/>
      <c r="W670" s="1591"/>
      <c r="X670" s="1665"/>
      <c r="Y670" s="1665"/>
      <c r="Z670" s="1665"/>
      <c r="AA670" s="1665"/>
      <c r="AB670" s="1665"/>
      <c r="AC670" s="1666"/>
      <c r="AD670" s="1665"/>
      <c r="AE670" s="1665"/>
      <c r="AF670" s="1580"/>
      <c r="AG670" s="1009">
        <f t="shared" si="359"/>
        <v>0</v>
      </c>
      <c r="AH670" s="1009"/>
      <c r="AI670" s="1908">
        <f t="shared" si="362"/>
        <v>1</v>
      </c>
    </row>
    <row r="671" spans="1:36" ht="33" hidden="1" x14ac:dyDescent="0.25">
      <c r="A671" s="1586" t="s">
        <v>3092</v>
      </c>
      <c r="B671" s="1586"/>
      <c r="C671" s="1587" t="s">
        <v>2389</v>
      </c>
      <c r="D671" s="1588" t="s">
        <v>2395</v>
      </c>
      <c r="E671" s="1611" t="s">
        <v>2405</v>
      </c>
      <c r="F671" s="1589" t="s">
        <v>290</v>
      </c>
      <c r="G671" s="1588"/>
      <c r="H671" s="1648">
        <f t="shared" ref="H671:H676" si="389">I671</f>
        <v>12585</v>
      </c>
      <c r="I671" s="1648">
        <v>12585</v>
      </c>
      <c r="J671" s="1647"/>
      <c r="K671" s="1647"/>
      <c r="L671" s="1647"/>
      <c r="M671" s="1647"/>
      <c r="N671" s="1648"/>
      <c r="O671" s="1648"/>
      <c r="P671" s="1666"/>
      <c r="Q671" s="1666"/>
      <c r="R671" s="1591"/>
      <c r="S671" s="1591"/>
      <c r="T671" s="1665"/>
      <c r="U671" s="1665"/>
      <c r="V671" s="1591">
        <v>10000</v>
      </c>
      <c r="W671" s="1591"/>
      <c r="X671" s="1665">
        <f t="shared" ref="X671:X676" si="390">Y671</f>
        <v>10000</v>
      </c>
      <c r="Y671" s="1665">
        <f t="shared" ref="Y671:Y676" si="391">V671+U671</f>
        <v>10000</v>
      </c>
      <c r="Z671" s="1665">
        <v>10000</v>
      </c>
      <c r="AA671" s="1665">
        <v>10000</v>
      </c>
      <c r="AB671" s="1665"/>
      <c r="AC671" s="1666"/>
      <c r="AD671" s="1623">
        <f t="shared" ref="AD671:AD676" si="392">AE671</f>
        <v>10000</v>
      </c>
      <c r="AE671" s="1623">
        <f t="shared" ref="AE671:AE676" si="393">AA671+AB671+AC671</f>
        <v>10000</v>
      </c>
      <c r="AF671" s="1580"/>
      <c r="AG671" s="1009">
        <f t="shared" si="359"/>
        <v>0</v>
      </c>
      <c r="AH671" s="1009">
        <f t="shared" ref="AH671:AH679" si="394">IF(Y671=0,0,1)</f>
        <v>1</v>
      </c>
      <c r="AI671" s="1908">
        <f t="shared" si="362"/>
        <v>1</v>
      </c>
    </row>
    <row r="672" spans="1:36" ht="33" hidden="1" x14ac:dyDescent="0.25">
      <c r="A672" s="1586" t="s">
        <v>3093</v>
      </c>
      <c r="B672" s="1586"/>
      <c r="C672" s="1587" t="s">
        <v>2390</v>
      </c>
      <c r="D672" s="1588" t="s">
        <v>2395</v>
      </c>
      <c r="E672" s="1611" t="s">
        <v>2406</v>
      </c>
      <c r="F672" s="1589" t="s">
        <v>290</v>
      </c>
      <c r="G672" s="1588"/>
      <c r="H672" s="1648">
        <f t="shared" si="389"/>
        <v>1668</v>
      </c>
      <c r="I672" s="1648">
        <v>1668</v>
      </c>
      <c r="J672" s="1647"/>
      <c r="K672" s="1647"/>
      <c r="L672" s="1647"/>
      <c r="M672" s="1647"/>
      <c r="N672" s="1648"/>
      <c r="O672" s="1648"/>
      <c r="P672" s="1666"/>
      <c r="Q672" s="1666"/>
      <c r="R672" s="1591"/>
      <c r="S672" s="1591"/>
      <c r="T672" s="1665"/>
      <c r="U672" s="1665"/>
      <c r="V672" s="1591">
        <v>1500</v>
      </c>
      <c r="W672" s="1591"/>
      <c r="X672" s="1665">
        <f t="shared" si="390"/>
        <v>1500</v>
      </c>
      <c r="Y672" s="1665">
        <f t="shared" si="391"/>
        <v>1500</v>
      </c>
      <c r="Z672" s="1665">
        <v>1500</v>
      </c>
      <c r="AA672" s="1665">
        <v>1500</v>
      </c>
      <c r="AB672" s="1665"/>
      <c r="AC672" s="1666"/>
      <c r="AD672" s="1623">
        <f t="shared" si="392"/>
        <v>1500</v>
      </c>
      <c r="AE672" s="1623">
        <f t="shared" si="393"/>
        <v>1500</v>
      </c>
      <c r="AF672" s="1580"/>
      <c r="AG672" s="1009">
        <f t="shared" si="359"/>
        <v>0</v>
      </c>
      <c r="AH672" s="1009">
        <f t="shared" si="394"/>
        <v>1</v>
      </c>
      <c r="AI672" s="1908">
        <f t="shared" si="362"/>
        <v>1</v>
      </c>
    </row>
    <row r="673" spans="1:36" ht="33" hidden="1" x14ac:dyDescent="0.25">
      <c r="A673" s="1586" t="s">
        <v>3094</v>
      </c>
      <c r="B673" s="1586"/>
      <c r="C673" s="1587" t="s">
        <v>2391</v>
      </c>
      <c r="D673" s="1588" t="s">
        <v>2395</v>
      </c>
      <c r="E673" s="1611" t="s">
        <v>2407</v>
      </c>
      <c r="F673" s="1589" t="s">
        <v>290</v>
      </c>
      <c r="G673" s="1588"/>
      <c r="H673" s="1648">
        <f t="shared" si="389"/>
        <v>5574</v>
      </c>
      <c r="I673" s="1648">
        <v>5574</v>
      </c>
      <c r="J673" s="1647"/>
      <c r="K673" s="1647"/>
      <c r="L673" s="1647"/>
      <c r="M673" s="1647"/>
      <c r="N673" s="1648"/>
      <c r="O673" s="1648"/>
      <c r="P673" s="1666"/>
      <c r="Q673" s="1666"/>
      <c r="R673" s="1591"/>
      <c r="S673" s="1591"/>
      <c r="T673" s="1665"/>
      <c r="U673" s="1665"/>
      <c r="V673" s="1591">
        <v>5000</v>
      </c>
      <c r="W673" s="1591"/>
      <c r="X673" s="1665">
        <f t="shared" si="390"/>
        <v>5000</v>
      </c>
      <c r="Y673" s="1665">
        <f t="shared" si="391"/>
        <v>5000</v>
      </c>
      <c r="Z673" s="1665">
        <v>5000</v>
      </c>
      <c r="AA673" s="1665">
        <v>5000</v>
      </c>
      <c r="AB673" s="1665"/>
      <c r="AC673" s="1666"/>
      <c r="AD673" s="1623">
        <f t="shared" si="392"/>
        <v>5000</v>
      </c>
      <c r="AE673" s="1623">
        <f t="shared" si="393"/>
        <v>5000</v>
      </c>
      <c r="AF673" s="1580"/>
      <c r="AG673" s="1009">
        <f t="shared" si="359"/>
        <v>0</v>
      </c>
      <c r="AH673" s="1009">
        <f t="shared" si="394"/>
        <v>1</v>
      </c>
      <c r="AI673" s="1908">
        <f t="shared" si="362"/>
        <v>1</v>
      </c>
    </row>
    <row r="674" spans="1:36" ht="33" hidden="1" x14ac:dyDescent="0.25">
      <c r="A674" s="1586" t="s">
        <v>3095</v>
      </c>
      <c r="B674" s="1586"/>
      <c r="C674" s="1587" t="s">
        <v>2392</v>
      </c>
      <c r="D674" s="1588" t="s">
        <v>2395</v>
      </c>
      <c r="E674" s="1611" t="s">
        <v>2408</v>
      </c>
      <c r="F674" s="1589" t="s">
        <v>290</v>
      </c>
      <c r="G674" s="1588"/>
      <c r="H674" s="1648">
        <f t="shared" si="389"/>
        <v>6723</v>
      </c>
      <c r="I674" s="1648">
        <v>6723</v>
      </c>
      <c r="J674" s="1647"/>
      <c r="K674" s="1647"/>
      <c r="L674" s="1647"/>
      <c r="M674" s="1647"/>
      <c r="N674" s="1648"/>
      <c r="O674" s="1648"/>
      <c r="P674" s="1666"/>
      <c r="Q674" s="1666"/>
      <c r="R674" s="1591"/>
      <c r="S674" s="1591"/>
      <c r="T674" s="1665"/>
      <c r="U674" s="1665"/>
      <c r="V674" s="1591">
        <v>6000</v>
      </c>
      <c r="W674" s="1591"/>
      <c r="X674" s="1665">
        <f t="shared" si="390"/>
        <v>6000</v>
      </c>
      <c r="Y674" s="1665">
        <f t="shared" si="391"/>
        <v>6000</v>
      </c>
      <c r="Z674" s="1665">
        <v>6000</v>
      </c>
      <c r="AA674" s="1665">
        <v>6000</v>
      </c>
      <c r="AB674" s="1665"/>
      <c r="AC674" s="1666"/>
      <c r="AD674" s="1623">
        <f t="shared" si="392"/>
        <v>6000</v>
      </c>
      <c r="AE674" s="1623">
        <f t="shared" si="393"/>
        <v>6000</v>
      </c>
      <c r="AF674" s="1580"/>
      <c r="AG674" s="1009">
        <f t="shared" si="359"/>
        <v>0</v>
      </c>
      <c r="AH674" s="1009">
        <f t="shared" si="394"/>
        <v>1</v>
      </c>
      <c r="AI674" s="1908">
        <f t="shared" si="362"/>
        <v>1</v>
      </c>
    </row>
    <row r="675" spans="1:36" ht="33" hidden="1" x14ac:dyDescent="0.25">
      <c r="A675" s="1586" t="s">
        <v>3096</v>
      </c>
      <c r="B675" s="1586"/>
      <c r="C675" s="1587" t="s">
        <v>2393</v>
      </c>
      <c r="D675" s="1588" t="s">
        <v>2395</v>
      </c>
      <c r="E675" s="1611" t="s">
        <v>2409</v>
      </c>
      <c r="F675" s="1589" t="s">
        <v>290</v>
      </c>
      <c r="G675" s="1588"/>
      <c r="H675" s="1648">
        <f t="shared" si="389"/>
        <v>5625</v>
      </c>
      <c r="I675" s="1648">
        <v>5625</v>
      </c>
      <c r="J675" s="1647"/>
      <c r="K675" s="1647"/>
      <c r="L675" s="1647"/>
      <c r="M675" s="1647"/>
      <c r="N675" s="1648"/>
      <c r="O675" s="1648"/>
      <c r="P675" s="1666"/>
      <c r="Q675" s="1666"/>
      <c r="R675" s="1591"/>
      <c r="S675" s="1591"/>
      <c r="T675" s="1665"/>
      <c r="U675" s="1665"/>
      <c r="V675" s="1591">
        <v>5000</v>
      </c>
      <c r="W675" s="1591"/>
      <c r="X675" s="1665">
        <f t="shared" si="390"/>
        <v>5000</v>
      </c>
      <c r="Y675" s="1665">
        <f t="shared" si="391"/>
        <v>5000</v>
      </c>
      <c r="Z675" s="1665">
        <v>5000</v>
      </c>
      <c r="AA675" s="1665">
        <v>5000</v>
      </c>
      <c r="AB675" s="1665"/>
      <c r="AC675" s="1666"/>
      <c r="AD675" s="1623">
        <f t="shared" si="392"/>
        <v>5000</v>
      </c>
      <c r="AE675" s="1623">
        <f t="shared" si="393"/>
        <v>5000</v>
      </c>
      <c r="AF675" s="1580"/>
      <c r="AG675" s="1009">
        <f t="shared" si="359"/>
        <v>0</v>
      </c>
      <c r="AH675" s="1009">
        <f t="shared" si="394"/>
        <v>1</v>
      </c>
      <c r="AI675" s="1908">
        <f t="shared" si="362"/>
        <v>1</v>
      </c>
    </row>
    <row r="676" spans="1:36" ht="33" hidden="1" x14ac:dyDescent="0.25">
      <c r="A676" s="1586" t="s">
        <v>3097</v>
      </c>
      <c r="B676" s="1586"/>
      <c r="C676" s="1587" t="s">
        <v>2394</v>
      </c>
      <c r="D676" s="1588" t="s">
        <v>2395</v>
      </c>
      <c r="E676" s="1611" t="s">
        <v>2410</v>
      </c>
      <c r="F676" s="1589" t="s">
        <v>290</v>
      </c>
      <c r="G676" s="1588"/>
      <c r="H676" s="1648">
        <f t="shared" si="389"/>
        <v>850</v>
      </c>
      <c r="I676" s="1648">
        <v>850</v>
      </c>
      <c r="J676" s="1647"/>
      <c r="K676" s="1647"/>
      <c r="L676" s="1647"/>
      <c r="M676" s="1647"/>
      <c r="N676" s="1648"/>
      <c r="O676" s="1648"/>
      <c r="P676" s="1666"/>
      <c r="Q676" s="1666"/>
      <c r="R676" s="1591"/>
      <c r="S676" s="1591"/>
      <c r="T676" s="1665"/>
      <c r="U676" s="1665"/>
      <c r="V676" s="1591">
        <v>750</v>
      </c>
      <c r="W676" s="1591"/>
      <c r="X676" s="1665">
        <f t="shared" si="390"/>
        <v>750</v>
      </c>
      <c r="Y676" s="1665">
        <f t="shared" si="391"/>
        <v>750</v>
      </c>
      <c r="Z676" s="1665">
        <v>750</v>
      </c>
      <c r="AA676" s="1665">
        <v>750</v>
      </c>
      <c r="AB676" s="1665"/>
      <c r="AC676" s="1665"/>
      <c r="AD676" s="1623">
        <f t="shared" si="392"/>
        <v>750</v>
      </c>
      <c r="AE676" s="1623">
        <f t="shared" si="393"/>
        <v>750</v>
      </c>
      <c r="AF676" s="1580"/>
      <c r="AG676" s="1009">
        <f t="shared" si="359"/>
        <v>0</v>
      </c>
      <c r="AH676" s="1009">
        <f t="shared" si="394"/>
        <v>1</v>
      </c>
      <c r="AI676" s="1908">
        <f t="shared" si="362"/>
        <v>1</v>
      </c>
    </row>
    <row r="677" spans="1:36" ht="51.75" x14ac:dyDescent="0.25">
      <c r="A677" s="1601" t="s">
        <v>3138</v>
      </c>
      <c r="B677" s="1601"/>
      <c r="C677" s="1602" t="s">
        <v>2074</v>
      </c>
      <c r="D677" s="1603"/>
      <c r="E677" s="1603"/>
      <c r="F677" s="1603"/>
      <c r="G677" s="1603"/>
      <c r="H677" s="1604">
        <f>SUM(H678:H679)</f>
        <v>61567</v>
      </c>
      <c r="I677" s="1604">
        <f>SUM(I678:I679)</f>
        <v>61567</v>
      </c>
      <c r="J677" s="1604">
        <f t="shared" ref="J677:U677" si="395">SUM(J680:J706)</f>
        <v>0</v>
      </c>
      <c r="K677" s="1604">
        <f t="shared" si="395"/>
        <v>0</v>
      </c>
      <c r="L677" s="1604">
        <f t="shared" si="395"/>
        <v>0</v>
      </c>
      <c r="M677" s="1604">
        <f t="shared" si="395"/>
        <v>0</v>
      </c>
      <c r="N677" s="1604">
        <f t="shared" si="395"/>
        <v>0</v>
      </c>
      <c r="O677" s="1604">
        <f t="shared" si="395"/>
        <v>0</v>
      </c>
      <c r="P677" s="1604">
        <f t="shared" si="395"/>
        <v>0</v>
      </c>
      <c r="Q677" s="1604">
        <f t="shared" si="395"/>
        <v>0</v>
      </c>
      <c r="R677" s="1604">
        <f t="shared" si="395"/>
        <v>0</v>
      </c>
      <c r="S677" s="1604">
        <f t="shared" si="395"/>
        <v>0</v>
      </c>
      <c r="T677" s="1604">
        <f t="shared" si="395"/>
        <v>0</v>
      </c>
      <c r="U677" s="1604">
        <f t="shared" si="395"/>
        <v>0</v>
      </c>
      <c r="V677" s="1604">
        <f t="shared" ref="V677:AC677" si="396">SUM(V678:V679)</f>
        <v>20000</v>
      </c>
      <c r="W677" s="1604">
        <f t="shared" si="396"/>
        <v>0</v>
      </c>
      <c r="X677" s="1604">
        <f t="shared" si="396"/>
        <v>20000</v>
      </c>
      <c r="Y677" s="1604">
        <f t="shared" si="396"/>
        <v>20000</v>
      </c>
      <c r="Z677" s="1604">
        <v>20000</v>
      </c>
      <c r="AA677" s="1604">
        <v>20000</v>
      </c>
      <c r="AB677" s="1604">
        <f t="shared" si="396"/>
        <v>16957</v>
      </c>
      <c r="AC677" s="1604">
        <f t="shared" si="396"/>
        <v>0</v>
      </c>
      <c r="AD677" s="1604">
        <f t="shared" ref="AD677:AE677" si="397">SUM(AD678:AD679)</f>
        <v>36957</v>
      </c>
      <c r="AE677" s="1604">
        <f t="shared" si="397"/>
        <v>36957</v>
      </c>
      <c r="AF677" s="1606"/>
      <c r="AG677" s="1009">
        <f t="shared" si="359"/>
        <v>1</v>
      </c>
      <c r="AH677" s="1009">
        <f t="shared" si="394"/>
        <v>1</v>
      </c>
      <c r="AI677" s="1908">
        <f t="shared" si="362"/>
        <v>1</v>
      </c>
      <c r="AJ677" s="1364"/>
    </row>
    <row r="678" spans="1:36" ht="49.5" x14ac:dyDescent="0.25">
      <c r="A678" s="1586" t="s">
        <v>3139</v>
      </c>
      <c r="B678" s="1586"/>
      <c r="C678" s="1587" t="s">
        <v>2383</v>
      </c>
      <c r="D678" s="1588" t="s">
        <v>2196</v>
      </c>
      <c r="E678" s="1611" t="s">
        <v>2384</v>
      </c>
      <c r="F678" s="1589" t="s">
        <v>168</v>
      </c>
      <c r="G678" s="1610" t="s">
        <v>2719</v>
      </c>
      <c r="H678" s="1648">
        <f t="shared" ref="H678:H679" si="398">I678</f>
        <v>30000</v>
      </c>
      <c r="I678" s="1648">
        <v>30000</v>
      </c>
      <c r="J678" s="1647"/>
      <c r="K678" s="1647"/>
      <c r="L678" s="1647"/>
      <c r="M678" s="1647"/>
      <c r="N678" s="1648"/>
      <c r="O678" s="1648"/>
      <c r="P678" s="1666"/>
      <c r="Q678" s="1666"/>
      <c r="R678" s="1591"/>
      <c r="S678" s="1591"/>
      <c r="T678" s="1665"/>
      <c r="U678" s="1665"/>
      <c r="V678" s="1591">
        <v>10000</v>
      </c>
      <c r="W678" s="1591"/>
      <c r="X678" s="1665">
        <f t="shared" ref="X678:X679" si="399">Y678</f>
        <v>10000</v>
      </c>
      <c r="Y678" s="1665">
        <f t="shared" ref="Y678:Y679" si="400">V678+U678</f>
        <v>10000</v>
      </c>
      <c r="Z678" s="1665">
        <v>10000</v>
      </c>
      <c r="AA678" s="1665">
        <v>10000</v>
      </c>
      <c r="AB678" s="1665">
        <v>9457</v>
      </c>
      <c r="AC678" s="1665"/>
      <c r="AD678" s="1623">
        <f t="shared" ref="AD678:AD679" si="401">AE678</f>
        <v>19457</v>
      </c>
      <c r="AE678" s="1623">
        <f>AA678+AB678+AC678</f>
        <v>19457</v>
      </c>
      <c r="AF678" s="1580"/>
      <c r="AG678" s="1009">
        <f t="shared" si="359"/>
        <v>1</v>
      </c>
      <c r="AH678" s="1009">
        <f t="shared" si="394"/>
        <v>1</v>
      </c>
      <c r="AI678" s="1908">
        <f t="shared" si="362"/>
        <v>1</v>
      </c>
    </row>
    <row r="679" spans="1:36" ht="49.5" x14ac:dyDescent="0.25">
      <c r="A679" s="1586" t="s">
        <v>3140</v>
      </c>
      <c r="B679" s="1586"/>
      <c r="C679" s="1587" t="s">
        <v>2387</v>
      </c>
      <c r="D679" s="1588" t="s">
        <v>2196</v>
      </c>
      <c r="E679" s="1611" t="s">
        <v>2397</v>
      </c>
      <c r="F679" s="1589" t="s">
        <v>168</v>
      </c>
      <c r="G679" s="1610" t="s">
        <v>2588</v>
      </c>
      <c r="H679" s="1648">
        <f t="shared" si="398"/>
        <v>31567</v>
      </c>
      <c r="I679" s="1648">
        <v>31567</v>
      </c>
      <c r="J679" s="1647"/>
      <c r="K679" s="1647"/>
      <c r="L679" s="1647"/>
      <c r="M679" s="1647"/>
      <c r="N679" s="1648"/>
      <c r="O679" s="1648"/>
      <c r="P679" s="1666"/>
      <c r="Q679" s="1666"/>
      <c r="R679" s="1591"/>
      <c r="S679" s="1591"/>
      <c r="T679" s="1665"/>
      <c r="U679" s="1665"/>
      <c r="V679" s="1591">
        <v>10000</v>
      </c>
      <c r="W679" s="1591"/>
      <c r="X679" s="1665">
        <f t="shared" si="399"/>
        <v>10000</v>
      </c>
      <c r="Y679" s="1665">
        <f t="shared" si="400"/>
        <v>10000</v>
      </c>
      <c r="Z679" s="1665">
        <v>10000</v>
      </c>
      <c r="AA679" s="1665">
        <v>10000</v>
      </c>
      <c r="AB679" s="1665">
        <v>7500</v>
      </c>
      <c r="AC679" s="1665"/>
      <c r="AD679" s="1623">
        <f t="shared" si="401"/>
        <v>17500</v>
      </c>
      <c r="AE679" s="1623">
        <f>AA679+AB679+AC679</f>
        <v>17500</v>
      </c>
      <c r="AF679" s="1580"/>
      <c r="AG679" s="1009">
        <f t="shared" si="359"/>
        <v>1</v>
      </c>
      <c r="AH679" s="1009">
        <f t="shared" si="394"/>
        <v>1</v>
      </c>
      <c r="AI679" s="1908">
        <f t="shared" si="362"/>
        <v>1</v>
      </c>
    </row>
    <row r="680" spans="1:36" ht="16.5" x14ac:dyDescent="0.25">
      <c r="A680" s="1586"/>
      <c r="B680" s="1586"/>
      <c r="C680" s="1592"/>
      <c r="D680" s="1580"/>
      <c r="E680" s="1592"/>
      <c r="F680" s="1586"/>
      <c r="G680" s="1592"/>
      <c r="H680" s="1592"/>
      <c r="I680" s="1592"/>
      <c r="J680" s="1592"/>
      <c r="K680" s="1592"/>
      <c r="L680" s="1592"/>
      <c r="M680" s="1592"/>
      <c r="N680" s="1592"/>
      <c r="O680" s="1592"/>
      <c r="P680" s="1727"/>
      <c r="Q680" s="1727"/>
      <c r="R680" s="1647"/>
      <c r="S680" s="1647"/>
      <c r="T680" s="1728"/>
      <c r="U680" s="1728"/>
      <c r="V680" s="1647"/>
      <c r="W680" s="1647"/>
      <c r="X680" s="1728"/>
      <c r="Y680" s="1728"/>
      <c r="Z680" s="1647"/>
      <c r="AA680" s="1647"/>
      <c r="AB680" s="1647"/>
      <c r="AC680" s="1647"/>
      <c r="AD680" s="1647"/>
      <c r="AE680" s="1647"/>
      <c r="AF680" s="1592"/>
      <c r="AG680" s="1009">
        <v>1</v>
      </c>
      <c r="AH680" s="1904">
        <v>1</v>
      </c>
      <c r="AI680" s="1904">
        <v>1</v>
      </c>
    </row>
    <row r="681" spans="1:36" ht="16.5" hidden="1" x14ac:dyDescent="0.25">
      <c r="AG681" s="1009">
        <f>IF(AE681-AA681=0,0,1)</f>
        <v>0</v>
      </c>
    </row>
    <row r="682" spans="1:36" hidden="1" x14ac:dyDescent="0.25">
      <c r="AB682" s="1364">
        <f>AC20+AB326</f>
        <v>-8738</v>
      </c>
    </row>
    <row r="683" spans="1:36" hidden="1" x14ac:dyDescent="0.25">
      <c r="AB683" s="1907">
        <f>-4844</f>
        <v>-4844</v>
      </c>
    </row>
    <row r="684" spans="1:36" hidden="1" x14ac:dyDescent="0.25">
      <c r="AB684" s="1364">
        <f>AB683+AB682</f>
        <v>-13582</v>
      </c>
    </row>
    <row r="685" spans="1:36" hidden="1" x14ac:dyDescent="0.25">
      <c r="AB685" s="1364">
        <f>AB684+AB679</f>
        <v>-6082</v>
      </c>
    </row>
    <row r="686" spans="1:36" hidden="1" x14ac:dyDescent="0.25">
      <c r="AB686" s="1364">
        <f>AB685+AC41</f>
        <v>-11001</v>
      </c>
    </row>
  </sheetData>
  <autoFilter ref="AG14:AG686">
    <filterColumn colId="0">
      <filters>
        <filter val="1"/>
      </filters>
    </filterColumn>
  </autoFilter>
  <mergeCells count="55">
    <mergeCell ref="V12:V14"/>
    <mergeCell ref="U12:U14"/>
    <mergeCell ref="P12:P14"/>
    <mergeCell ref="Q12:Q14"/>
    <mergeCell ref="R12:R14"/>
    <mergeCell ref="S12:S14"/>
    <mergeCell ref="T12:T14"/>
    <mergeCell ref="AI10:AI14"/>
    <mergeCell ref="G12:G14"/>
    <mergeCell ref="H12:I12"/>
    <mergeCell ref="J12:J14"/>
    <mergeCell ref="K12:K14"/>
    <mergeCell ref="L12:L14"/>
    <mergeCell ref="M12:M14"/>
    <mergeCell ref="N12:N14"/>
    <mergeCell ref="O12:O14"/>
    <mergeCell ref="Z10:AA11"/>
    <mergeCell ref="X10:Y11"/>
    <mergeCell ref="AB12:AB14"/>
    <mergeCell ref="AF10:AF14"/>
    <mergeCell ref="V10:W11"/>
    <mergeCell ref="Y12:Y14"/>
    <mergeCell ref="W12:W14"/>
    <mergeCell ref="AD10:AE11"/>
    <mergeCell ref="AD12:AD14"/>
    <mergeCell ref="A6:AF6"/>
    <mergeCell ref="A1:AF1"/>
    <mergeCell ref="A2:AF2"/>
    <mergeCell ref="A3:AF3"/>
    <mergeCell ref="A4:AF4"/>
    <mergeCell ref="A5:AF5"/>
    <mergeCell ref="Z12:Z14"/>
    <mergeCell ref="AA12:AA14"/>
    <mergeCell ref="AE12:AE14"/>
    <mergeCell ref="X12:X14"/>
    <mergeCell ref="AC12:AC14"/>
    <mergeCell ref="H13:H14"/>
    <mergeCell ref="I13:I14"/>
    <mergeCell ref="B10:B14"/>
    <mergeCell ref="AF640:AF641"/>
    <mergeCell ref="A7:AF7"/>
    <mergeCell ref="A9:AF9"/>
    <mergeCell ref="A10:A14"/>
    <mergeCell ref="C10:C14"/>
    <mergeCell ref="D10:D14"/>
    <mergeCell ref="E10:E14"/>
    <mergeCell ref="F10:F14"/>
    <mergeCell ref="G10:I11"/>
    <mergeCell ref="J10:K11"/>
    <mergeCell ref="L10:M11"/>
    <mergeCell ref="N10:O11"/>
    <mergeCell ref="P10:Q11"/>
    <mergeCell ref="R10:S11"/>
    <mergeCell ref="T10:U11"/>
    <mergeCell ref="AB10:AC11"/>
  </mergeCells>
  <pageMargins left="0.31496062992126" right="0.196850393700787" top="0.511811023622047" bottom="0.31496062992126" header="0.31496062992126" footer="0.196850393700787"/>
  <pageSetup paperSize="9" scale="60" fitToHeight="0" orientation="landscape" r:id="rId1"/>
  <headerFooter differentFirst="1">
    <oddHeader>&amp;C&amp;"Times New Roman,Regular"&amp;14&amp;P</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6"/>
  <sheetViews>
    <sheetView topLeftCell="A10" zoomScale="70" zoomScaleNormal="70" workbookViewId="0">
      <pane xSplit="2" ySplit="6" topLeftCell="U40" activePane="bottomRight" state="frozen"/>
      <selection activeCell="A10" sqref="A10"/>
      <selection pane="topRight" activeCell="C10" sqref="C10"/>
      <selection pane="bottomLeft" activeCell="A16" sqref="A16"/>
      <selection pane="bottomRight" activeCell="AO44" sqref="AO44"/>
    </sheetView>
  </sheetViews>
  <sheetFormatPr defaultColWidth="8.85546875" defaultRowHeight="16.5" x14ac:dyDescent="0.25"/>
  <cols>
    <col min="1" max="1" width="8" style="1546" customWidth="1"/>
    <col min="2" max="2" width="28.7109375" style="1546" customWidth="1"/>
    <col min="3" max="3" width="13.85546875" style="1546" customWidth="1"/>
    <col min="4" max="4" width="21.28515625" style="1546" customWidth="1"/>
    <col min="5" max="5" width="12.42578125" style="1546" customWidth="1"/>
    <col min="6" max="6" width="14.85546875" style="1546" customWidth="1"/>
    <col min="7" max="7" width="13.7109375" style="1546" customWidth="1"/>
    <col min="8" max="8" width="13.28515625" style="1546" customWidth="1"/>
    <col min="9" max="9" width="13.85546875" style="1546" customWidth="1"/>
    <col min="10" max="10" width="13.28515625" style="1546" customWidth="1"/>
    <col min="11" max="11" width="13.140625" style="1546" customWidth="1"/>
    <col min="12" max="12" width="12.5703125" style="1546" customWidth="1"/>
    <col min="13" max="13" width="12.7109375" style="1546" hidden="1" customWidth="1"/>
    <col min="14" max="16" width="12.5703125" style="1546" hidden="1" customWidth="1"/>
    <col min="17" max="17" width="12.7109375" style="1546" hidden="1" customWidth="1"/>
    <col min="18" max="20" width="12.5703125" style="1546" hidden="1" customWidth="1"/>
    <col min="21" max="21" width="12.7109375" style="1546" customWidth="1"/>
    <col min="22" max="26" width="12.5703125" style="1546" customWidth="1"/>
    <col min="27" max="32" width="12.5703125" style="1546" hidden="1" customWidth="1"/>
    <col min="33" max="33" width="10.5703125" style="1546" customWidth="1"/>
    <col min="34" max="39" width="0" style="1546" hidden="1" customWidth="1"/>
    <col min="40" max="40" width="10.85546875" style="1546" bestFit="1" customWidth="1"/>
    <col min="41" max="41" width="11.28515625" style="1546" bestFit="1" customWidth="1"/>
    <col min="42" max="16384" width="8.85546875" style="1546"/>
  </cols>
  <sheetData>
    <row r="1" spans="1:41" s="1538" customFormat="1" ht="36.75" customHeight="1" x14ac:dyDescent="0.25">
      <c r="A1" s="2050" t="s">
        <v>1964</v>
      </c>
      <c r="B1" s="2050"/>
      <c r="C1" s="2050"/>
      <c r="D1" s="2050"/>
      <c r="E1" s="2050"/>
      <c r="F1" s="2050"/>
      <c r="G1" s="2050"/>
      <c r="H1" s="2050"/>
      <c r="I1" s="2050"/>
      <c r="J1" s="2050"/>
      <c r="K1" s="2050"/>
      <c r="L1" s="2050"/>
      <c r="M1" s="2051"/>
      <c r="N1" s="2051"/>
      <c r="O1" s="2051"/>
      <c r="P1" s="2051"/>
      <c r="Q1" s="2050"/>
      <c r="R1" s="2050"/>
      <c r="S1" s="2051"/>
      <c r="T1" s="2051"/>
      <c r="U1" s="2050"/>
      <c r="V1" s="2050"/>
      <c r="W1" s="2050"/>
      <c r="X1" s="2050"/>
      <c r="Y1" s="2050"/>
      <c r="Z1" s="2050"/>
      <c r="AA1" s="2050"/>
      <c r="AB1" s="2050"/>
      <c r="AC1" s="2050"/>
      <c r="AD1" s="2050"/>
      <c r="AE1" s="2050"/>
      <c r="AF1" s="2050"/>
      <c r="AG1" s="2050"/>
      <c r="AH1" s="1546"/>
      <c r="AI1" s="1546"/>
      <c r="AJ1" s="1546"/>
      <c r="AK1" s="1546"/>
      <c r="AL1" s="1546"/>
      <c r="AM1" s="1546"/>
    </row>
    <row r="2" spans="1:41" s="1539" customFormat="1" ht="66" customHeight="1" x14ac:dyDescent="0.25">
      <c r="A2" s="2024" t="s">
        <v>2543</v>
      </c>
      <c r="B2" s="2024"/>
      <c r="C2" s="2024"/>
      <c r="D2" s="2024"/>
      <c r="E2" s="2024"/>
      <c r="F2" s="2024"/>
      <c r="G2" s="2024"/>
      <c r="H2" s="2024"/>
      <c r="I2" s="2024"/>
      <c r="J2" s="2024"/>
      <c r="K2" s="2024"/>
      <c r="L2" s="2024"/>
      <c r="M2" s="2052"/>
      <c r="N2" s="2052"/>
      <c r="O2" s="2052"/>
      <c r="P2" s="2052"/>
      <c r="Q2" s="2024"/>
      <c r="R2" s="2024"/>
      <c r="S2" s="2052"/>
      <c r="T2" s="2052"/>
      <c r="U2" s="2024"/>
      <c r="V2" s="2024"/>
      <c r="W2" s="2024"/>
      <c r="X2" s="2024"/>
      <c r="Y2" s="2024"/>
      <c r="Z2" s="2024"/>
      <c r="AA2" s="2024"/>
      <c r="AB2" s="2024"/>
      <c r="AC2" s="2024"/>
      <c r="AD2" s="2024"/>
      <c r="AE2" s="2024"/>
      <c r="AF2" s="2024"/>
      <c r="AG2" s="2024"/>
      <c r="AH2" s="1551"/>
      <c r="AI2" s="1551"/>
      <c r="AJ2" s="1551"/>
      <c r="AK2" s="1541"/>
      <c r="AL2" s="1541"/>
      <c r="AM2" s="1541"/>
    </row>
    <row r="3" spans="1:41" s="1539" customFormat="1" ht="30" hidden="1" customHeight="1" x14ac:dyDescent="0.25">
      <c r="A3" s="2022" t="s">
        <v>2707</v>
      </c>
      <c r="B3" s="2022"/>
      <c r="C3" s="2022"/>
      <c r="D3" s="2022"/>
      <c r="E3" s="2022"/>
      <c r="F3" s="2022"/>
      <c r="G3" s="2022"/>
      <c r="H3" s="2022"/>
      <c r="I3" s="2022"/>
      <c r="J3" s="2022"/>
      <c r="K3" s="2022"/>
      <c r="L3" s="2022"/>
      <c r="M3" s="1927"/>
      <c r="N3" s="1927"/>
      <c r="O3" s="1927"/>
      <c r="P3" s="1927"/>
      <c r="Q3" s="2022"/>
      <c r="R3" s="2022"/>
      <c r="S3" s="1927"/>
      <c r="T3" s="1927"/>
      <c r="U3" s="2022"/>
      <c r="V3" s="2022"/>
      <c r="W3" s="2022"/>
      <c r="X3" s="2022"/>
      <c r="Y3" s="2022"/>
      <c r="Z3" s="2022"/>
      <c r="AA3" s="2022"/>
      <c r="AB3" s="2022"/>
      <c r="AC3" s="2022"/>
      <c r="AD3" s="2022"/>
      <c r="AE3" s="2022"/>
      <c r="AF3" s="2022"/>
      <c r="AG3" s="2022"/>
      <c r="AH3" s="1552"/>
      <c r="AI3" s="1552"/>
      <c r="AJ3" s="1552"/>
      <c r="AK3" s="1541"/>
      <c r="AL3" s="1541"/>
      <c r="AM3" s="1541"/>
    </row>
    <row r="4" spans="1:41" s="1541" customFormat="1" ht="29.25" hidden="1" customHeight="1" x14ac:dyDescent="0.25">
      <c r="A4" s="1927" t="s">
        <v>1928</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552"/>
      <c r="AI4" s="1552"/>
      <c r="AJ4" s="1552"/>
    </row>
    <row r="5" spans="1:41" s="1541" customFormat="1" ht="28.5" hidden="1" customHeight="1" x14ac:dyDescent="0.25">
      <c r="A5" s="1927" t="s">
        <v>2535</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552"/>
      <c r="AI5" s="1552"/>
      <c r="AJ5" s="1552"/>
    </row>
    <row r="6" spans="1:41" s="1541" customFormat="1" ht="24" customHeight="1" x14ac:dyDescent="0.25">
      <c r="A6" s="2049" t="s">
        <v>2743</v>
      </c>
      <c r="B6" s="2049"/>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1552"/>
      <c r="AI6" s="1552"/>
      <c r="AJ6" s="1552"/>
    </row>
    <row r="7" spans="1:41" s="1541" customFormat="1" ht="30" hidden="1" customHeight="1" x14ac:dyDescent="0.25">
      <c r="A7" s="1927" t="s">
        <v>1876</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552"/>
      <c r="AI7" s="1552"/>
      <c r="AJ7" s="1552"/>
    </row>
    <row r="8" spans="1:41" s="1541" customFormat="1" x14ac:dyDescent="0.25">
      <c r="A8" s="1548"/>
      <c r="B8" s="1548"/>
      <c r="C8" s="154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74"/>
      <c r="AB8" s="1574"/>
      <c r="AC8" s="1574"/>
      <c r="AD8" s="1574"/>
      <c r="AE8" s="1574"/>
      <c r="AF8" s="1574"/>
      <c r="AG8" s="1548"/>
      <c r="AH8" s="1552"/>
      <c r="AI8" s="1552"/>
      <c r="AJ8" s="1552"/>
    </row>
    <row r="9" spans="1:41" s="1541" customFormat="1" ht="20.25" x14ac:dyDescent="0.25">
      <c r="A9" s="2029" t="s">
        <v>6</v>
      </c>
      <c r="B9" s="2029"/>
      <c r="C9" s="2029"/>
      <c r="D9" s="2029"/>
      <c r="E9" s="2029"/>
      <c r="F9" s="2029"/>
      <c r="G9" s="2029"/>
      <c r="H9" s="2029"/>
      <c r="I9" s="2029"/>
      <c r="J9" s="2029"/>
      <c r="K9" s="2029"/>
      <c r="L9" s="2029"/>
      <c r="M9" s="1933"/>
      <c r="N9" s="1933"/>
      <c r="O9" s="1933"/>
      <c r="P9" s="1933"/>
      <c r="Q9" s="2029"/>
      <c r="R9" s="2029"/>
      <c r="S9" s="1933"/>
      <c r="T9" s="1933"/>
      <c r="U9" s="2029"/>
      <c r="V9" s="2029"/>
      <c r="W9" s="2029"/>
      <c r="X9" s="2029"/>
      <c r="Y9" s="2029"/>
      <c r="Z9" s="2029"/>
      <c r="AA9" s="2029"/>
      <c r="AB9" s="2029"/>
      <c r="AC9" s="2029"/>
      <c r="AD9" s="2029"/>
      <c r="AE9" s="2029"/>
      <c r="AF9" s="2029"/>
      <c r="AG9" s="2029"/>
      <c r="AH9" s="1553"/>
      <c r="AI9" s="1553"/>
      <c r="AJ9" s="1553"/>
    </row>
    <row r="10" spans="1:41" s="1541" customFormat="1" ht="53.25" customHeight="1" x14ac:dyDescent="0.25">
      <c r="A10" s="1934" t="s">
        <v>7</v>
      </c>
      <c r="B10" s="1934" t="s">
        <v>8</v>
      </c>
      <c r="C10" s="1934" t="s">
        <v>9</v>
      </c>
      <c r="D10" s="1934" t="s">
        <v>10</v>
      </c>
      <c r="E10" s="1934" t="s">
        <v>1975</v>
      </c>
      <c r="F10" s="1934" t="s">
        <v>12</v>
      </c>
      <c r="G10" s="1934"/>
      <c r="H10" s="1934"/>
      <c r="I10" s="1934" t="s">
        <v>891</v>
      </c>
      <c r="J10" s="1934"/>
      <c r="K10" s="1934" t="s">
        <v>13</v>
      </c>
      <c r="L10" s="1934"/>
      <c r="M10" s="1934" t="s">
        <v>14</v>
      </c>
      <c r="N10" s="1934"/>
      <c r="O10" s="2055" t="s">
        <v>2152</v>
      </c>
      <c r="P10" s="2056"/>
      <c r="Q10" s="1934" t="s">
        <v>2539</v>
      </c>
      <c r="R10" s="1934"/>
      <c r="S10" s="2053" t="s">
        <v>2538</v>
      </c>
      <c r="T10" s="2053"/>
      <c r="U10" s="1934" t="s">
        <v>2720</v>
      </c>
      <c r="V10" s="1934"/>
      <c r="W10" s="2053" t="s">
        <v>2727</v>
      </c>
      <c r="X10" s="2053"/>
      <c r="Y10" s="1934" t="s">
        <v>2726</v>
      </c>
      <c r="Z10" s="1934"/>
      <c r="AA10" s="1573"/>
      <c r="AB10" s="1575"/>
      <c r="AC10" s="1575"/>
      <c r="AD10" s="1575"/>
      <c r="AE10" s="1575"/>
      <c r="AF10" s="1575"/>
      <c r="AG10" s="1934" t="s">
        <v>1870</v>
      </c>
      <c r="AH10" s="1554"/>
      <c r="AI10" s="1554"/>
      <c r="AJ10" s="1554"/>
    </row>
    <row r="11" spans="1:41" s="1541" customFormat="1" ht="42" customHeight="1" x14ac:dyDescent="0.25">
      <c r="A11" s="1935"/>
      <c r="B11" s="1935"/>
      <c r="C11" s="1935"/>
      <c r="D11" s="1935"/>
      <c r="E11" s="1935"/>
      <c r="F11" s="1935"/>
      <c r="G11" s="1935"/>
      <c r="H11" s="1935"/>
      <c r="I11" s="1935"/>
      <c r="J11" s="1935"/>
      <c r="K11" s="1935"/>
      <c r="L11" s="1935"/>
      <c r="M11" s="1935"/>
      <c r="N11" s="1935"/>
      <c r="O11" s="2057"/>
      <c r="P11" s="2058"/>
      <c r="Q11" s="1935"/>
      <c r="R11" s="1935"/>
      <c r="S11" s="2054"/>
      <c r="T11" s="2054"/>
      <c r="U11" s="1935"/>
      <c r="V11" s="1935"/>
      <c r="W11" s="2054"/>
      <c r="X11" s="2054"/>
      <c r="Y11" s="1935"/>
      <c r="Z11" s="1935"/>
      <c r="AA11" s="1572"/>
      <c r="AB11" s="1572"/>
      <c r="AC11" s="1572"/>
      <c r="AD11" s="1572"/>
      <c r="AE11" s="1572"/>
      <c r="AF11" s="1572"/>
      <c r="AG11" s="1935"/>
      <c r="AH11" s="1554"/>
      <c r="AI11" s="1554"/>
      <c r="AJ11" s="1554"/>
    </row>
    <row r="12" spans="1:41" s="19" customFormat="1" ht="33" customHeight="1" x14ac:dyDescent="0.25">
      <c r="A12" s="1935"/>
      <c r="B12" s="1935"/>
      <c r="C12" s="1935"/>
      <c r="D12" s="1935"/>
      <c r="E12" s="1935"/>
      <c r="F12" s="1935" t="s">
        <v>32</v>
      </c>
      <c r="G12" s="1935" t="s">
        <v>33</v>
      </c>
      <c r="H12" s="1935"/>
      <c r="I12" s="1935" t="s">
        <v>34</v>
      </c>
      <c r="J12" s="1935" t="s">
        <v>1977</v>
      </c>
      <c r="K12" s="1935" t="s">
        <v>34</v>
      </c>
      <c r="L12" s="1935" t="s">
        <v>35</v>
      </c>
      <c r="M12" s="1935" t="s">
        <v>34</v>
      </c>
      <c r="N12" s="1935" t="s">
        <v>35</v>
      </c>
      <c r="O12" s="2060" t="s">
        <v>36</v>
      </c>
      <c r="P12" s="2060" t="s">
        <v>37</v>
      </c>
      <c r="Q12" s="1935" t="s">
        <v>34</v>
      </c>
      <c r="R12" s="1935" t="s">
        <v>1977</v>
      </c>
      <c r="S12" s="2060" t="s">
        <v>36</v>
      </c>
      <c r="T12" s="2060" t="s">
        <v>37</v>
      </c>
      <c r="U12" s="1935" t="s">
        <v>34</v>
      </c>
      <c r="V12" s="1935" t="s">
        <v>1977</v>
      </c>
      <c r="W12" s="2060" t="s">
        <v>36</v>
      </c>
      <c r="X12" s="2060" t="s">
        <v>37</v>
      </c>
      <c r="Y12" s="1935" t="s">
        <v>34</v>
      </c>
      <c r="Z12" s="1935" t="s">
        <v>1977</v>
      </c>
      <c r="AA12" s="1572"/>
      <c r="AB12" s="1572"/>
      <c r="AC12" s="1572"/>
      <c r="AD12" s="1572"/>
      <c r="AE12" s="1572"/>
      <c r="AF12" s="1572"/>
      <c r="AG12" s="1935"/>
    </row>
    <row r="13" spans="1:41" s="19" customFormat="1" ht="58.15" customHeight="1" x14ac:dyDescent="0.25">
      <c r="A13" s="1935"/>
      <c r="B13" s="1935"/>
      <c r="C13" s="1935"/>
      <c r="D13" s="1935"/>
      <c r="E13" s="1935"/>
      <c r="F13" s="1935"/>
      <c r="G13" s="1935" t="s">
        <v>34</v>
      </c>
      <c r="H13" s="1935" t="s">
        <v>35</v>
      </c>
      <c r="I13" s="1935"/>
      <c r="J13" s="1935"/>
      <c r="K13" s="1935"/>
      <c r="L13" s="1935"/>
      <c r="M13" s="1935"/>
      <c r="N13" s="1935"/>
      <c r="O13" s="2061"/>
      <c r="P13" s="2061"/>
      <c r="Q13" s="1935"/>
      <c r="R13" s="1935"/>
      <c r="S13" s="2061"/>
      <c r="T13" s="2061"/>
      <c r="U13" s="1935"/>
      <c r="V13" s="1935"/>
      <c r="W13" s="2061"/>
      <c r="X13" s="2061"/>
      <c r="Y13" s="1935"/>
      <c r="Z13" s="1935"/>
      <c r="AA13" s="1572"/>
      <c r="AB13" s="1572"/>
      <c r="AC13" s="1572"/>
      <c r="AD13" s="1572"/>
      <c r="AE13" s="1572"/>
      <c r="AF13" s="1572"/>
      <c r="AG13" s="1935"/>
      <c r="AN13" s="19">
        <v>362500</v>
      </c>
      <c r="AO13" s="19">
        <f>V16-AN13</f>
        <v>170747</v>
      </c>
    </row>
    <row r="14" spans="1:41" s="19" customFormat="1" ht="38.450000000000003" customHeight="1" x14ac:dyDescent="0.25">
      <c r="A14" s="1935"/>
      <c r="B14" s="1935"/>
      <c r="C14" s="1935"/>
      <c r="D14" s="1935"/>
      <c r="E14" s="1935"/>
      <c r="F14" s="1935"/>
      <c r="G14" s="1935"/>
      <c r="H14" s="1935"/>
      <c r="I14" s="1935"/>
      <c r="J14" s="1935"/>
      <c r="K14" s="1935"/>
      <c r="L14" s="1935"/>
      <c r="M14" s="1935"/>
      <c r="N14" s="1935"/>
      <c r="O14" s="2062"/>
      <c r="P14" s="2062"/>
      <c r="Q14" s="1935"/>
      <c r="R14" s="1935"/>
      <c r="S14" s="2062"/>
      <c r="T14" s="2062"/>
      <c r="U14" s="1935"/>
      <c r="V14" s="1935"/>
      <c r="W14" s="2062"/>
      <c r="X14" s="2062"/>
      <c r="Y14" s="1935"/>
      <c r="Z14" s="1935"/>
      <c r="AA14" s="1573" t="s">
        <v>2744</v>
      </c>
      <c r="AB14" s="1575">
        <v>2016</v>
      </c>
      <c r="AC14" s="1575">
        <v>2017</v>
      </c>
      <c r="AD14" s="1575">
        <v>2018</v>
      </c>
      <c r="AE14" s="1575">
        <v>2019</v>
      </c>
      <c r="AF14" s="1575">
        <v>2020</v>
      </c>
      <c r="AG14" s="1935"/>
    </row>
    <row r="15" spans="1:41" s="1009" customFormat="1" x14ac:dyDescent="0.25">
      <c r="A15" s="18">
        <v>1</v>
      </c>
      <c r="B15" s="18">
        <v>2</v>
      </c>
      <c r="C15" s="18">
        <v>3</v>
      </c>
      <c r="D15" s="18">
        <v>4</v>
      </c>
      <c r="E15" s="18">
        <v>5</v>
      </c>
      <c r="F15" s="18">
        <v>6</v>
      </c>
      <c r="G15" s="18">
        <v>7</v>
      </c>
      <c r="H15" s="18">
        <v>8</v>
      </c>
      <c r="I15" s="18">
        <v>9</v>
      </c>
      <c r="J15" s="18">
        <v>10</v>
      </c>
      <c r="K15" s="18">
        <v>11</v>
      </c>
      <c r="L15" s="18">
        <v>12</v>
      </c>
      <c r="M15" s="18">
        <v>17</v>
      </c>
      <c r="N15" s="18">
        <v>18</v>
      </c>
      <c r="O15" s="18"/>
      <c r="P15" s="18"/>
      <c r="Q15" s="18">
        <v>13</v>
      </c>
      <c r="R15" s="18">
        <v>14</v>
      </c>
      <c r="S15" s="18">
        <v>15</v>
      </c>
      <c r="T15" s="18">
        <v>16</v>
      </c>
      <c r="U15" s="18">
        <v>17</v>
      </c>
      <c r="V15" s="18">
        <v>18</v>
      </c>
      <c r="W15" s="18"/>
      <c r="X15" s="18"/>
      <c r="Y15" s="18"/>
      <c r="Z15" s="18"/>
      <c r="AA15" s="18"/>
      <c r="AB15" s="18"/>
      <c r="AC15" s="18"/>
      <c r="AD15" s="18"/>
      <c r="AE15" s="18"/>
      <c r="AF15" s="18"/>
      <c r="AG15" s="18">
        <v>19</v>
      </c>
      <c r="AH15" s="1555">
        <v>36</v>
      </c>
      <c r="AI15" s="1556">
        <v>37</v>
      </c>
      <c r="AJ15" s="1556">
        <v>38</v>
      </c>
    </row>
    <row r="16" spans="1:41" s="1219" customFormat="1" ht="17.25" x14ac:dyDescent="0.25">
      <c r="A16" s="1540"/>
      <c r="B16" s="20" t="s">
        <v>1945</v>
      </c>
      <c r="C16" s="1540"/>
      <c r="D16" s="1540"/>
      <c r="E16" s="1540"/>
      <c r="F16" s="1540"/>
      <c r="G16" s="1529">
        <f t="shared" ref="G16:U16" si="0">G17+G29</f>
        <v>2337388</v>
      </c>
      <c r="H16" s="1529">
        <f t="shared" si="0"/>
        <v>1016790</v>
      </c>
      <c r="I16" s="1529">
        <f t="shared" si="0"/>
        <v>233348</v>
      </c>
      <c r="J16" s="1529">
        <f t="shared" si="0"/>
        <v>134348</v>
      </c>
      <c r="K16" s="1529">
        <f t="shared" si="0"/>
        <v>164334</v>
      </c>
      <c r="L16" s="1529">
        <f t="shared" si="0"/>
        <v>134348</v>
      </c>
      <c r="M16" s="1529">
        <f t="shared" si="0"/>
        <v>1403212</v>
      </c>
      <c r="N16" s="1529">
        <f t="shared" si="0"/>
        <v>530947</v>
      </c>
      <c r="O16" s="1529">
        <f t="shared" si="0"/>
        <v>29000</v>
      </c>
      <c r="P16" s="1529">
        <f t="shared" si="0"/>
        <v>30500</v>
      </c>
      <c r="Q16" s="1529">
        <f t="shared" si="0"/>
        <v>1406912</v>
      </c>
      <c r="R16" s="1529">
        <f t="shared" si="0"/>
        <v>530947</v>
      </c>
      <c r="S16" s="1529">
        <f t="shared" si="0"/>
        <v>2300</v>
      </c>
      <c r="T16" s="1544">
        <f t="shared" si="0"/>
        <v>0</v>
      </c>
      <c r="U16" s="1529">
        <f t="shared" si="0"/>
        <v>1409212</v>
      </c>
      <c r="V16" s="1529">
        <f>V17+V29</f>
        <v>533247</v>
      </c>
      <c r="W16" s="1529">
        <f t="shared" ref="W16:X16" si="1">W17+W29</f>
        <v>15860</v>
      </c>
      <c r="X16" s="1529">
        <f t="shared" si="1"/>
        <v>0</v>
      </c>
      <c r="Y16" s="1529">
        <f t="shared" ref="Y16" si="2">Y17+Y29</f>
        <v>1425072</v>
      </c>
      <c r="Z16" s="1529">
        <f>Z17+Z29</f>
        <v>549107</v>
      </c>
      <c r="AA16" s="1529"/>
      <c r="AB16" s="1529"/>
      <c r="AC16" s="1529"/>
      <c r="AD16" s="1529"/>
      <c r="AE16" s="1529"/>
      <c r="AF16" s="1529"/>
      <c r="AG16" s="300"/>
      <c r="AH16" s="1557"/>
      <c r="AI16" s="1557"/>
      <c r="AJ16" s="1557"/>
      <c r="AK16" s="1219" t="e">
        <f>#REF!+#REF!</f>
        <v>#REF!</v>
      </c>
      <c r="AL16" s="1219">
        <f>50000*3</f>
        <v>150000</v>
      </c>
      <c r="AM16" s="1219" t="e">
        <f>AL16+AK16</f>
        <v>#REF!</v>
      </c>
      <c r="AN16" s="1009">
        <f>IF(Z16-V16=0,0,1)</f>
        <v>1</v>
      </c>
    </row>
    <row r="17" spans="1:40" s="1542" customFormat="1" ht="51.75" x14ac:dyDescent="0.25">
      <c r="A17" s="1066" t="s">
        <v>45</v>
      </c>
      <c r="B17" s="51" t="s">
        <v>46</v>
      </c>
      <c r="C17" s="57"/>
      <c r="D17" s="57"/>
      <c r="E17" s="57"/>
      <c r="F17" s="57"/>
      <c r="G17" s="1016">
        <f>G18</f>
        <v>1854310</v>
      </c>
      <c r="H17" s="1016">
        <f>H18</f>
        <v>533712</v>
      </c>
      <c r="I17" s="1016">
        <f t="shared" ref="I17:X17" si="3">I18</f>
        <v>233348</v>
      </c>
      <c r="J17" s="1016">
        <f t="shared" si="3"/>
        <v>134348</v>
      </c>
      <c r="K17" s="1016">
        <f t="shared" si="3"/>
        <v>164334</v>
      </c>
      <c r="L17" s="1016">
        <f t="shared" si="3"/>
        <v>134348</v>
      </c>
      <c r="M17" s="1016">
        <f t="shared" si="3"/>
        <v>1095580</v>
      </c>
      <c r="N17" s="1016">
        <f t="shared" si="3"/>
        <v>232210</v>
      </c>
      <c r="O17" s="1016"/>
      <c r="P17" s="1016"/>
      <c r="Q17" s="1016">
        <f t="shared" si="3"/>
        <v>1095580</v>
      </c>
      <c r="R17" s="1016">
        <f t="shared" si="3"/>
        <v>232210</v>
      </c>
      <c r="S17" s="1016"/>
      <c r="T17" s="1016"/>
      <c r="U17" s="1016">
        <f t="shared" si="3"/>
        <v>1095580</v>
      </c>
      <c r="V17" s="1016">
        <f t="shared" si="3"/>
        <v>232210</v>
      </c>
      <c r="W17" s="1016">
        <f t="shared" si="3"/>
        <v>0</v>
      </c>
      <c r="X17" s="1016">
        <f t="shared" si="3"/>
        <v>0</v>
      </c>
      <c r="Y17" s="1016">
        <f t="shared" ref="Y17:Z17" si="4">Y18</f>
        <v>1095580</v>
      </c>
      <c r="Z17" s="1016">
        <f t="shared" si="4"/>
        <v>232210</v>
      </c>
      <c r="AA17" s="1016"/>
      <c r="AB17" s="1016"/>
      <c r="AC17" s="1016"/>
      <c r="AD17" s="1016"/>
      <c r="AE17" s="1016"/>
      <c r="AF17" s="1016"/>
      <c r="AG17" s="59"/>
      <c r="AN17" s="1009">
        <f t="shared" ref="AN17:AN61" si="5">IF(Z17-V17=0,0,1)</f>
        <v>0</v>
      </c>
    </row>
    <row r="18" spans="1:40" s="1542" customFormat="1" ht="34.5" x14ac:dyDescent="0.25">
      <c r="A18" s="50" t="s">
        <v>47</v>
      </c>
      <c r="B18" s="51" t="s">
        <v>48</v>
      </c>
      <c r="C18" s="57"/>
      <c r="D18" s="57"/>
      <c r="E18" s="57"/>
      <c r="F18" s="57"/>
      <c r="G18" s="1016">
        <f t="shared" ref="G18:Q18" si="6">SUM(G21:G28)</f>
        <v>1854310</v>
      </c>
      <c r="H18" s="1016">
        <f t="shared" si="6"/>
        <v>533712</v>
      </c>
      <c r="I18" s="1016">
        <f t="shared" si="6"/>
        <v>233348</v>
      </c>
      <c r="J18" s="1016">
        <f t="shared" si="6"/>
        <v>134348</v>
      </c>
      <c r="K18" s="1016">
        <f t="shared" si="6"/>
        <v>164334</v>
      </c>
      <c r="L18" s="1016">
        <f t="shared" si="6"/>
        <v>134348</v>
      </c>
      <c r="M18" s="1016">
        <f t="shared" si="6"/>
        <v>1095580</v>
      </c>
      <c r="N18" s="1016">
        <f t="shared" si="6"/>
        <v>232210</v>
      </c>
      <c r="O18" s="1016">
        <f t="shared" si="6"/>
        <v>0</v>
      </c>
      <c r="P18" s="1016">
        <f t="shared" si="6"/>
        <v>0</v>
      </c>
      <c r="Q18" s="1016">
        <f t="shared" si="6"/>
        <v>1095580</v>
      </c>
      <c r="R18" s="1016">
        <f>SUM(R21:R28)</f>
        <v>232210</v>
      </c>
      <c r="S18" s="1544">
        <f t="shared" ref="S18:V18" si="7">SUM(S21:S28)</f>
        <v>0</v>
      </c>
      <c r="T18" s="1544">
        <f t="shared" si="7"/>
        <v>0</v>
      </c>
      <c r="U18" s="1016">
        <f t="shared" si="7"/>
        <v>1095580</v>
      </c>
      <c r="V18" s="1016">
        <f t="shared" si="7"/>
        <v>232210</v>
      </c>
      <c r="W18" s="1016">
        <f t="shared" ref="W18:X18" si="8">SUM(W21:W28)</f>
        <v>0</v>
      </c>
      <c r="X18" s="1016">
        <f t="shared" si="8"/>
        <v>0</v>
      </c>
      <c r="Y18" s="1016">
        <f t="shared" ref="Y18:Z18" si="9">SUM(Y21:Y28)</f>
        <v>1095580</v>
      </c>
      <c r="Z18" s="1016">
        <f t="shared" si="9"/>
        <v>232210</v>
      </c>
      <c r="AA18" s="1016"/>
      <c r="AB18" s="1016"/>
      <c r="AC18" s="1016"/>
      <c r="AD18" s="1016"/>
      <c r="AE18" s="1016"/>
      <c r="AF18" s="1016"/>
      <c r="AG18" s="59"/>
      <c r="AN18" s="1009">
        <f t="shared" si="5"/>
        <v>0</v>
      </c>
    </row>
    <row r="19" spans="1:40" s="1558" customFormat="1" ht="17.25" x14ac:dyDescent="0.25">
      <c r="A19" s="50"/>
      <c r="B19" s="51" t="s">
        <v>49</v>
      </c>
      <c r="C19" s="52"/>
      <c r="D19" s="52"/>
      <c r="E19" s="52"/>
      <c r="F19" s="52"/>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N19" s="1009">
        <f t="shared" si="5"/>
        <v>0</v>
      </c>
    </row>
    <row r="20" spans="1:40" s="1542" customFormat="1" ht="69" x14ac:dyDescent="0.25">
      <c r="A20" s="50"/>
      <c r="B20" s="56" t="s">
        <v>50</v>
      </c>
      <c r="C20" s="57"/>
      <c r="D20" s="57"/>
      <c r="E20" s="57"/>
      <c r="F20" s="57"/>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N20" s="1009">
        <f t="shared" si="5"/>
        <v>0</v>
      </c>
    </row>
    <row r="21" spans="1:40" s="1559" customFormat="1" ht="49.5" x14ac:dyDescent="0.25">
      <c r="A21" s="60">
        <v>1</v>
      </c>
      <c r="B21" s="9" t="s">
        <v>1980</v>
      </c>
      <c r="C21" s="61" t="s">
        <v>64</v>
      </c>
      <c r="D21" s="61" t="s">
        <v>65</v>
      </c>
      <c r="E21" s="61" t="s">
        <v>72</v>
      </c>
      <c r="F21" s="95" t="s">
        <v>67</v>
      </c>
      <c r="G21" s="118">
        <v>311027</v>
      </c>
      <c r="H21" s="118">
        <v>311027</v>
      </c>
      <c r="I21" s="290">
        <v>106000</v>
      </c>
      <c r="J21" s="290">
        <v>106000</v>
      </c>
      <c r="K21" s="290">
        <v>106000</v>
      </c>
      <c r="L21" s="290">
        <v>106000</v>
      </c>
      <c r="M21" s="128">
        <v>100000</v>
      </c>
      <c r="N21" s="128">
        <v>100000</v>
      </c>
      <c r="O21" s="128"/>
      <c r="P21" s="128"/>
      <c r="Q21" s="128">
        <v>100000</v>
      </c>
      <c r="R21" s="128">
        <v>100000</v>
      </c>
      <c r="S21" s="128"/>
      <c r="T21" s="128"/>
      <c r="U21" s="128">
        <v>100000</v>
      </c>
      <c r="V21" s="128">
        <v>100000</v>
      </c>
      <c r="W21" s="128"/>
      <c r="X21" s="128"/>
      <c r="Y21" s="128">
        <f>Z21</f>
        <v>100000</v>
      </c>
      <c r="Z21" s="128">
        <f>V21+W21+X21</f>
        <v>100000</v>
      </c>
      <c r="AA21" s="128">
        <f>SUM(AB21:AF21)</f>
        <v>0</v>
      </c>
      <c r="AB21" s="128"/>
      <c r="AC21" s="128"/>
      <c r="AD21" s="128"/>
      <c r="AE21" s="128"/>
      <c r="AF21" s="128"/>
      <c r="AG21" s="61"/>
      <c r="AN21" s="1009">
        <f t="shared" si="5"/>
        <v>0</v>
      </c>
    </row>
    <row r="22" spans="1:40" s="1559" customFormat="1" ht="49.5" x14ac:dyDescent="0.25">
      <c r="A22" s="60">
        <v>2</v>
      </c>
      <c r="B22" s="9" t="s">
        <v>1982</v>
      </c>
      <c r="C22" s="61" t="s">
        <v>205</v>
      </c>
      <c r="D22" s="61" t="s">
        <v>1983</v>
      </c>
      <c r="E22" s="61" t="s">
        <v>199</v>
      </c>
      <c r="F22" s="95" t="s">
        <v>1984</v>
      </c>
      <c r="G22" s="118" t="s">
        <v>1985</v>
      </c>
      <c r="H22" s="1560">
        <v>6290</v>
      </c>
      <c r="I22" s="290">
        <v>3000</v>
      </c>
      <c r="J22" s="290">
        <v>3000</v>
      </c>
      <c r="K22" s="290">
        <v>3000</v>
      </c>
      <c r="L22" s="290">
        <v>3000</v>
      </c>
      <c r="M22" s="128">
        <v>1500</v>
      </c>
      <c r="N22" s="128">
        <v>1500</v>
      </c>
      <c r="O22" s="128"/>
      <c r="P22" s="128"/>
      <c r="Q22" s="128">
        <v>1500</v>
      </c>
      <c r="R22" s="128">
        <v>1500</v>
      </c>
      <c r="S22" s="128"/>
      <c r="T22" s="128"/>
      <c r="U22" s="128">
        <v>1500</v>
      </c>
      <c r="V22" s="128">
        <v>1500</v>
      </c>
      <c r="W22" s="128"/>
      <c r="X22" s="128"/>
      <c r="Y22" s="128">
        <f t="shared" ref="Y22:Y24" si="10">Z22</f>
        <v>1500</v>
      </c>
      <c r="Z22" s="128">
        <f t="shared" ref="Z22:Z60" si="11">V22+W22+X22</f>
        <v>1500</v>
      </c>
      <c r="AA22" s="128">
        <f t="shared" ref="AA22:AA60" si="12">SUM(AB22:AF22)</f>
        <v>0</v>
      </c>
      <c r="AB22" s="128"/>
      <c r="AC22" s="128"/>
      <c r="AD22" s="128"/>
      <c r="AE22" s="128"/>
      <c r="AF22" s="128"/>
      <c r="AG22" s="25"/>
      <c r="AN22" s="1009">
        <f t="shared" si="5"/>
        <v>0</v>
      </c>
    </row>
    <row r="23" spans="1:40" s="1559" customFormat="1" ht="49.5" x14ac:dyDescent="0.25">
      <c r="A23" s="60">
        <v>3</v>
      </c>
      <c r="B23" s="9" t="s">
        <v>57</v>
      </c>
      <c r="C23" s="61" t="s">
        <v>58</v>
      </c>
      <c r="D23" s="61" t="s">
        <v>59</v>
      </c>
      <c r="E23" s="61" t="s">
        <v>60</v>
      </c>
      <c r="F23" s="61" t="s">
        <v>61</v>
      </c>
      <c r="G23" s="290">
        <v>528848</v>
      </c>
      <c r="H23" s="1560">
        <v>40000</v>
      </c>
      <c r="I23" s="290"/>
      <c r="J23" s="290"/>
      <c r="K23" s="290"/>
      <c r="L23" s="290"/>
      <c r="M23" s="128">
        <v>40000</v>
      </c>
      <c r="N23" s="128">
        <v>40000</v>
      </c>
      <c r="O23" s="128"/>
      <c r="P23" s="128"/>
      <c r="Q23" s="128">
        <v>40000</v>
      </c>
      <c r="R23" s="128">
        <v>40000</v>
      </c>
      <c r="S23" s="128"/>
      <c r="T23" s="128"/>
      <c r="U23" s="128">
        <v>40000</v>
      </c>
      <c r="V23" s="128">
        <v>40000</v>
      </c>
      <c r="W23" s="128"/>
      <c r="X23" s="128"/>
      <c r="Y23" s="128">
        <f t="shared" si="10"/>
        <v>40000</v>
      </c>
      <c r="Z23" s="128">
        <f t="shared" si="11"/>
        <v>40000</v>
      </c>
      <c r="AA23" s="128">
        <f t="shared" si="12"/>
        <v>0</v>
      </c>
      <c r="AB23" s="128"/>
      <c r="AC23" s="128"/>
      <c r="AD23" s="128"/>
      <c r="AE23" s="128"/>
      <c r="AF23" s="128"/>
      <c r="AG23" s="25"/>
      <c r="AN23" s="1009">
        <f t="shared" si="5"/>
        <v>0</v>
      </c>
    </row>
    <row r="24" spans="1:40" s="1559" customFormat="1" ht="49.5" x14ac:dyDescent="0.25">
      <c r="A24" s="60">
        <v>4</v>
      </c>
      <c r="B24" s="9" t="s">
        <v>1986</v>
      </c>
      <c r="C24" s="61" t="s">
        <v>1987</v>
      </c>
      <c r="D24" s="61" t="s">
        <v>1988</v>
      </c>
      <c r="E24" s="126" t="s">
        <v>199</v>
      </c>
      <c r="F24" s="95" t="s">
        <v>1989</v>
      </c>
      <c r="G24" s="1561">
        <v>47729</v>
      </c>
      <c r="H24" s="1561">
        <v>47729</v>
      </c>
      <c r="I24" s="1561">
        <v>10000</v>
      </c>
      <c r="J24" s="1561">
        <v>10000</v>
      </c>
      <c r="K24" s="1561">
        <v>10000</v>
      </c>
      <c r="L24" s="1561">
        <v>10000</v>
      </c>
      <c r="M24" s="128">
        <f>N24</f>
        <v>36650</v>
      </c>
      <c r="N24" s="128">
        <v>36650</v>
      </c>
      <c r="O24" s="128"/>
      <c r="P24" s="128"/>
      <c r="Q24" s="128">
        <f>R24</f>
        <v>36650</v>
      </c>
      <c r="R24" s="128">
        <v>36650</v>
      </c>
      <c r="S24" s="128"/>
      <c r="T24" s="128"/>
      <c r="U24" s="128">
        <f>V24</f>
        <v>36650</v>
      </c>
      <c r="V24" s="128">
        <v>36650</v>
      </c>
      <c r="W24" s="128"/>
      <c r="X24" s="128"/>
      <c r="Y24" s="128">
        <f t="shared" si="10"/>
        <v>36650</v>
      </c>
      <c r="Z24" s="128">
        <f t="shared" si="11"/>
        <v>36650</v>
      </c>
      <c r="AA24" s="128">
        <f t="shared" si="12"/>
        <v>39566</v>
      </c>
      <c r="AB24" s="128">
        <v>30646</v>
      </c>
      <c r="AC24" s="128">
        <v>8920</v>
      </c>
      <c r="AD24" s="128"/>
      <c r="AE24" s="128"/>
      <c r="AF24" s="128"/>
      <c r="AG24" s="25"/>
      <c r="AN24" s="1009">
        <f t="shared" si="5"/>
        <v>0</v>
      </c>
    </row>
    <row r="25" spans="1:40" s="1559" customFormat="1" ht="82.5" x14ac:dyDescent="0.25">
      <c r="A25" s="60">
        <v>5</v>
      </c>
      <c r="B25" s="67" t="s">
        <v>74</v>
      </c>
      <c r="C25" s="61" t="s">
        <v>75</v>
      </c>
      <c r="D25" s="61" t="s">
        <v>76</v>
      </c>
      <c r="E25" s="70" t="s">
        <v>77</v>
      </c>
      <c r="F25" s="61" t="s">
        <v>78</v>
      </c>
      <c r="G25" s="1562">
        <v>945665</v>
      </c>
      <c r="H25" s="1562">
        <v>107625</v>
      </c>
      <c r="I25" s="1087">
        <v>102348</v>
      </c>
      <c r="J25" s="284">
        <v>3348</v>
      </c>
      <c r="K25" s="284">
        <v>33334</v>
      </c>
      <c r="L25" s="284">
        <v>3348</v>
      </c>
      <c r="M25" s="284">
        <v>912330</v>
      </c>
      <c r="N25" s="129">
        <v>48960</v>
      </c>
      <c r="O25" s="129"/>
      <c r="P25" s="129"/>
      <c r="Q25" s="284">
        <v>912330</v>
      </c>
      <c r="R25" s="129">
        <v>48960</v>
      </c>
      <c r="S25" s="129"/>
      <c r="T25" s="129"/>
      <c r="U25" s="284">
        <v>912330</v>
      </c>
      <c r="V25" s="129">
        <v>48960</v>
      </c>
      <c r="W25" s="129"/>
      <c r="X25" s="129"/>
      <c r="Y25" s="284">
        <v>912330</v>
      </c>
      <c r="Z25" s="128">
        <f t="shared" si="11"/>
        <v>48960</v>
      </c>
      <c r="AA25" s="128">
        <f t="shared" si="12"/>
        <v>0</v>
      </c>
      <c r="AB25" s="128"/>
      <c r="AC25" s="128"/>
      <c r="AD25" s="128"/>
      <c r="AE25" s="128"/>
      <c r="AF25" s="128"/>
      <c r="AG25" s="25"/>
      <c r="AN25" s="1009">
        <f t="shared" si="5"/>
        <v>0</v>
      </c>
    </row>
    <row r="26" spans="1:40" ht="17.25" x14ac:dyDescent="0.25">
      <c r="A26" s="1545"/>
      <c r="B26" s="1563" t="s">
        <v>1991</v>
      </c>
      <c r="C26" s="82"/>
      <c r="D26" s="1564"/>
      <c r="E26" s="1564"/>
      <c r="F26" s="1564"/>
      <c r="G26" s="1065"/>
      <c r="H26" s="300">
        <f>G26</f>
        <v>0</v>
      </c>
      <c r="I26" s="1065"/>
      <c r="J26" s="300"/>
      <c r="K26" s="1065"/>
      <c r="L26" s="300"/>
      <c r="M26" s="1065"/>
      <c r="N26" s="300"/>
      <c r="O26" s="300"/>
      <c r="P26" s="300"/>
      <c r="Q26" s="1065"/>
      <c r="R26" s="300"/>
      <c r="S26" s="300"/>
      <c r="T26" s="300"/>
      <c r="U26" s="1065"/>
      <c r="V26" s="300"/>
      <c r="W26" s="300"/>
      <c r="X26" s="300"/>
      <c r="Y26" s="1065"/>
      <c r="Z26" s="128">
        <f t="shared" si="11"/>
        <v>0</v>
      </c>
      <c r="AA26" s="128">
        <f t="shared" si="12"/>
        <v>0</v>
      </c>
      <c r="AB26" s="128"/>
      <c r="AC26" s="128"/>
      <c r="AD26" s="128"/>
      <c r="AE26" s="128"/>
      <c r="AF26" s="128"/>
      <c r="AG26" s="1545"/>
      <c r="AN26" s="1009">
        <f t="shared" si="5"/>
        <v>0</v>
      </c>
    </row>
    <row r="27" spans="1:40" ht="115.5" x14ac:dyDescent="0.25">
      <c r="A27" s="60">
        <v>6</v>
      </c>
      <c r="B27" s="290" t="s">
        <v>1992</v>
      </c>
      <c r="C27" s="61" t="s">
        <v>205</v>
      </c>
      <c r="D27" s="118" t="s">
        <v>1993</v>
      </c>
      <c r="E27" s="70" t="s">
        <v>199</v>
      </c>
      <c r="F27" s="61" t="s">
        <v>1994</v>
      </c>
      <c r="G27" s="1562">
        <v>6764</v>
      </c>
      <c r="H27" s="300">
        <f>G27</f>
        <v>6764</v>
      </c>
      <c r="I27" s="1561">
        <v>3000</v>
      </c>
      <c r="J27" s="300">
        <f>I27</f>
        <v>3000</v>
      </c>
      <c r="K27" s="1561">
        <v>3000</v>
      </c>
      <c r="L27" s="300">
        <f>K27</f>
        <v>3000</v>
      </c>
      <c r="M27" s="300">
        <v>3100</v>
      </c>
      <c r="N27" s="300">
        <f>M27</f>
        <v>3100</v>
      </c>
      <c r="O27" s="300"/>
      <c r="P27" s="300"/>
      <c r="Q27" s="300">
        <v>3100</v>
      </c>
      <c r="R27" s="300">
        <f>Q27</f>
        <v>3100</v>
      </c>
      <c r="S27" s="300"/>
      <c r="T27" s="300"/>
      <c r="U27" s="300">
        <v>3100</v>
      </c>
      <c r="V27" s="300">
        <f>U27</f>
        <v>3100</v>
      </c>
      <c r="W27" s="300"/>
      <c r="X27" s="300"/>
      <c r="Y27" s="300">
        <f>Z27</f>
        <v>3100</v>
      </c>
      <c r="Z27" s="128">
        <f t="shared" si="11"/>
        <v>3100</v>
      </c>
      <c r="AA27" s="128">
        <f t="shared" si="12"/>
        <v>0</v>
      </c>
      <c r="AB27" s="128"/>
      <c r="AC27" s="128"/>
      <c r="AD27" s="128"/>
      <c r="AE27" s="128"/>
      <c r="AF27" s="128"/>
      <c r="AG27" s="1545"/>
      <c r="AN27" s="1009">
        <f t="shared" si="5"/>
        <v>0</v>
      </c>
    </row>
    <row r="28" spans="1:40" ht="49.5" x14ac:dyDescent="0.25">
      <c r="A28" s="60">
        <v>7</v>
      </c>
      <c r="B28" s="67" t="s">
        <v>1995</v>
      </c>
      <c r="C28" s="61" t="s">
        <v>52</v>
      </c>
      <c r="D28" s="70"/>
      <c r="E28" s="70" t="s">
        <v>199</v>
      </c>
      <c r="F28" s="118" t="s">
        <v>1996</v>
      </c>
      <c r="G28" s="299">
        <v>14277</v>
      </c>
      <c r="H28" s="300">
        <f>G28</f>
        <v>14277</v>
      </c>
      <c r="I28" s="1561">
        <v>9000</v>
      </c>
      <c r="J28" s="300">
        <f>I28</f>
        <v>9000</v>
      </c>
      <c r="K28" s="1561">
        <v>9000</v>
      </c>
      <c r="L28" s="300">
        <f>K28</f>
        <v>9000</v>
      </c>
      <c r="M28" s="300">
        <v>2000</v>
      </c>
      <c r="N28" s="300">
        <f>M28</f>
        <v>2000</v>
      </c>
      <c r="O28" s="300"/>
      <c r="P28" s="300"/>
      <c r="Q28" s="300">
        <v>2000</v>
      </c>
      <c r="R28" s="300">
        <f>Q28</f>
        <v>2000</v>
      </c>
      <c r="S28" s="300"/>
      <c r="T28" s="300"/>
      <c r="U28" s="300">
        <v>2000</v>
      </c>
      <c r="V28" s="300">
        <f>U28</f>
        <v>2000</v>
      </c>
      <c r="W28" s="300"/>
      <c r="X28" s="300"/>
      <c r="Y28" s="300">
        <f t="shared" ref="Y28:Y31" si="13">Z28</f>
        <v>2000</v>
      </c>
      <c r="Z28" s="128">
        <f t="shared" si="11"/>
        <v>2000</v>
      </c>
      <c r="AA28" s="128">
        <f t="shared" si="12"/>
        <v>0</v>
      </c>
      <c r="AB28" s="128"/>
      <c r="AC28" s="128"/>
      <c r="AD28" s="128"/>
      <c r="AE28" s="128"/>
      <c r="AF28" s="128"/>
      <c r="AG28" s="1545"/>
      <c r="AN28" s="1009">
        <f t="shared" si="5"/>
        <v>0</v>
      </c>
    </row>
    <row r="29" spans="1:40" s="1542" customFormat="1" ht="51.75" x14ac:dyDescent="0.25">
      <c r="A29" s="1066" t="s">
        <v>85</v>
      </c>
      <c r="B29" s="51" t="s">
        <v>86</v>
      </c>
      <c r="C29" s="57"/>
      <c r="D29" s="57"/>
      <c r="E29" s="57"/>
      <c r="F29" s="57"/>
      <c r="G29" s="1016">
        <f t="shared" ref="G29:H29" si="14">G30+G58</f>
        <v>483078</v>
      </c>
      <c r="H29" s="1016">
        <f t="shared" si="14"/>
        <v>483078</v>
      </c>
      <c r="I29" s="1016"/>
      <c r="J29" s="1016"/>
      <c r="K29" s="1016"/>
      <c r="L29" s="1016"/>
      <c r="M29" s="1016">
        <f t="shared" ref="M29:V29" si="15">M30+M58</f>
        <v>307632</v>
      </c>
      <c r="N29" s="1016">
        <f t="shared" si="15"/>
        <v>298737</v>
      </c>
      <c r="O29" s="1016">
        <f t="shared" si="15"/>
        <v>29000</v>
      </c>
      <c r="P29" s="1016">
        <f t="shared" si="15"/>
        <v>30500</v>
      </c>
      <c r="Q29" s="1016">
        <f t="shared" si="15"/>
        <v>311332</v>
      </c>
      <c r="R29" s="1016">
        <f t="shared" si="15"/>
        <v>298737</v>
      </c>
      <c r="S29" s="1016">
        <f t="shared" si="15"/>
        <v>2300</v>
      </c>
      <c r="T29" s="1016"/>
      <c r="U29" s="1016">
        <f t="shared" si="15"/>
        <v>313632</v>
      </c>
      <c r="V29" s="1016">
        <f t="shared" si="15"/>
        <v>301037</v>
      </c>
      <c r="W29" s="1016">
        <f t="shared" ref="W29:X29" si="16">W30+W58</f>
        <v>15860</v>
      </c>
      <c r="X29" s="1016">
        <f t="shared" si="16"/>
        <v>0</v>
      </c>
      <c r="Y29" s="1016">
        <f t="shared" ref="Y29" si="17">Y30+Y58</f>
        <v>329492</v>
      </c>
      <c r="Z29" s="128">
        <f t="shared" si="11"/>
        <v>316897</v>
      </c>
      <c r="AA29" s="128">
        <f t="shared" si="12"/>
        <v>0</v>
      </c>
      <c r="AB29" s="128"/>
      <c r="AC29" s="128"/>
      <c r="AD29" s="128"/>
      <c r="AE29" s="128"/>
      <c r="AF29" s="128"/>
      <c r="AG29" s="59"/>
      <c r="AN29" s="1009">
        <f t="shared" si="5"/>
        <v>1</v>
      </c>
    </row>
    <row r="30" spans="1:40" s="1542" customFormat="1" ht="69" x14ac:dyDescent="0.25">
      <c r="A30" s="50" t="s">
        <v>87</v>
      </c>
      <c r="B30" s="51" t="s">
        <v>88</v>
      </c>
      <c r="C30" s="57"/>
      <c r="D30" s="57"/>
      <c r="E30" s="57"/>
      <c r="F30" s="57"/>
      <c r="G30" s="1016">
        <f t="shared" ref="G30:P30" si="18">SUM(G31:G57)</f>
        <v>413078</v>
      </c>
      <c r="H30" s="1016">
        <f t="shared" si="18"/>
        <v>413078</v>
      </c>
      <c r="I30" s="1016"/>
      <c r="J30" s="1016"/>
      <c r="K30" s="1016"/>
      <c r="L30" s="1016"/>
      <c r="M30" s="1016">
        <f t="shared" si="18"/>
        <v>272472</v>
      </c>
      <c r="N30" s="1016">
        <f t="shared" si="18"/>
        <v>263577</v>
      </c>
      <c r="O30" s="1016">
        <f t="shared" si="18"/>
        <v>29000</v>
      </c>
      <c r="P30" s="1016">
        <f t="shared" si="18"/>
        <v>3400</v>
      </c>
      <c r="Q30" s="1016">
        <f>SUM(Q31:Q57)</f>
        <v>284192</v>
      </c>
      <c r="R30" s="1016">
        <f t="shared" ref="R30:V30" si="19">SUM(R31:R57)</f>
        <v>271597</v>
      </c>
      <c r="S30" s="1016">
        <f t="shared" si="19"/>
        <v>2300</v>
      </c>
      <c r="T30" s="1016"/>
      <c r="U30" s="1016">
        <f t="shared" si="19"/>
        <v>286492</v>
      </c>
      <c r="V30" s="1016">
        <f t="shared" si="19"/>
        <v>273897</v>
      </c>
      <c r="W30" s="1016">
        <f t="shared" ref="W30:X30" si="20">SUM(W31:W57)</f>
        <v>0</v>
      </c>
      <c r="X30" s="1016">
        <f t="shared" si="20"/>
        <v>0</v>
      </c>
      <c r="Y30" s="1016">
        <f t="shared" ref="Y30" si="21">SUM(Y31:Y57)</f>
        <v>286492</v>
      </c>
      <c r="Z30" s="128">
        <f t="shared" si="11"/>
        <v>273897</v>
      </c>
      <c r="AA30" s="128">
        <f t="shared" si="12"/>
        <v>0</v>
      </c>
      <c r="AB30" s="128"/>
      <c r="AC30" s="128"/>
      <c r="AD30" s="128"/>
      <c r="AE30" s="128"/>
      <c r="AF30" s="128"/>
      <c r="AG30" s="59"/>
      <c r="AN30" s="1009">
        <f t="shared" si="5"/>
        <v>0</v>
      </c>
    </row>
    <row r="31" spans="1:40" ht="49.5" x14ac:dyDescent="0.25">
      <c r="A31" s="60">
        <v>8</v>
      </c>
      <c r="B31" s="9" t="s">
        <v>89</v>
      </c>
      <c r="C31" s="61" t="s">
        <v>58</v>
      </c>
      <c r="D31" s="70" t="s">
        <v>90</v>
      </c>
      <c r="E31" s="70" t="s">
        <v>91</v>
      </c>
      <c r="F31" s="61" t="s">
        <v>92</v>
      </c>
      <c r="G31" s="1561">
        <v>120000</v>
      </c>
      <c r="H31" s="300">
        <f>G31</f>
        <v>120000</v>
      </c>
      <c r="I31" s="1545"/>
      <c r="J31" s="1545"/>
      <c r="K31" s="1545"/>
      <c r="L31" s="1545"/>
      <c r="M31" s="128">
        <v>25000</v>
      </c>
      <c r="N31" s="300">
        <f>M31</f>
        <v>25000</v>
      </c>
      <c r="O31" s="300"/>
      <c r="P31" s="300"/>
      <c r="Q31" s="128">
        <v>25000</v>
      </c>
      <c r="R31" s="300">
        <f>Q31</f>
        <v>25000</v>
      </c>
      <c r="S31" s="300"/>
      <c r="T31" s="300"/>
      <c r="U31" s="128">
        <v>25000</v>
      </c>
      <c r="V31" s="300">
        <f>U31</f>
        <v>25000</v>
      </c>
      <c r="W31" s="300"/>
      <c r="X31" s="300"/>
      <c r="Y31" s="300">
        <f t="shared" si="13"/>
        <v>25000</v>
      </c>
      <c r="Z31" s="128">
        <f t="shared" si="11"/>
        <v>25000</v>
      </c>
      <c r="AA31" s="128">
        <f t="shared" si="12"/>
        <v>0</v>
      </c>
      <c r="AB31" s="128"/>
      <c r="AC31" s="128"/>
      <c r="AD31" s="128"/>
      <c r="AE31" s="128"/>
      <c r="AF31" s="128"/>
      <c r="AG31" s="1545"/>
      <c r="AN31" s="1009">
        <f t="shared" si="5"/>
        <v>0</v>
      </c>
    </row>
    <row r="32" spans="1:40" ht="72" customHeight="1" x14ac:dyDescent="0.25">
      <c r="A32" s="60">
        <v>9</v>
      </c>
      <c r="B32" s="91" t="s">
        <v>678</v>
      </c>
      <c r="C32" s="61" t="s">
        <v>679</v>
      </c>
      <c r="D32" s="61" t="s">
        <v>1997</v>
      </c>
      <c r="E32" s="126" t="s">
        <v>199</v>
      </c>
      <c r="F32" s="95" t="s">
        <v>681</v>
      </c>
      <c r="G32" s="1562">
        <v>14893</v>
      </c>
      <c r="H32" s="300">
        <f t="shared" ref="H32:H59" si="22">G32</f>
        <v>14893</v>
      </c>
      <c r="I32" s="1545"/>
      <c r="J32" s="1545"/>
      <c r="K32" s="1545"/>
      <c r="L32" s="1545"/>
      <c r="M32" s="128">
        <v>13400</v>
      </c>
      <c r="N32" s="300">
        <f t="shared" ref="N32:N60" si="23">M32</f>
        <v>13400</v>
      </c>
      <c r="O32" s="300"/>
      <c r="P32" s="300">
        <v>3400</v>
      </c>
      <c r="Q32" s="128">
        <f>R32+3700</f>
        <v>13700</v>
      </c>
      <c r="R32" s="300">
        <v>10000</v>
      </c>
      <c r="S32" s="300"/>
      <c r="T32" s="300"/>
      <c r="U32" s="128">
        <f>V32+3700</f>
        <v>13700</v>
      </c>
      <c r="V32" s="300">
        <v>10000</v>
      </c>
      <c r="W32" s="300"/>
      <c r="X32" s="300"/>
      <c r="Y32" s="128">
        <f>Z32+3700</f>
        <v>13700</v>
      </c>
      <c r="Z32" s="128">
        <f t="shared" si="11"/>
        <v>10000</v>
      </c>
      <c r="AA32" s="128">
        <f t="shared" si="12"/>
        <v>0</v>
      </c>
      <c r="AB32" s="128"/>
      <c r="AC32" s="128"/>
      <c r="AD32" s="128"/>
      <c r="AE32" s="128"/>
      <c r="AF32" s="128"/>
      <c r="AG32" s="9"/>
      <c r="AN32" s="1009">
        <f t="shared" si="5"/>
        <v>0</v>
      </c>
    </row>
    <row r="33" spans="1:41" ht="115.5" x14ac:dyDescent="0.25">
      <c r="A33" s="60">
        <v>10</v>
      </c>
      <c r="B33" s="91" t="s">
        <v>1999</v>
      </c>
      <c r="C33" s="61" t="s">
        <v>52</v>
      </c>
      <c r="D33" s="61" t="s">
        <v>2000</v>
      </c>
      <c r="E33" s="70">
        <v>2016</v>
      </c>
      <c r="F33" s="95" t="s">
        <v>2001</v>
      </c>
      <c r="G33" s="299">
        <v>11720</v>
      </c>
      <c r="H33" s="300">
        <f t="shared" si="22"/>
        <v>11720</v>
      </c>
      <c r="I33" s="1545"/>
      <c r="J33" s="1545"/>
      <c r="K33" s="1545"/>
      <c r="L33" s="1545"/>
      <c r="M33" s="128">
        <v>10500</v>
      </c>
      <c r="N33" s="300">
        <f t="shared" si="23"/>
        <v>10500</v>
      </c>
      <c r="O33" s="300"/>
      <c r="P33" s="300"/>
      <c r="Q33" s="128">
        <v>10500</v>
      </c>
      <c r="R33" s="300">
        <f t="shared" ref="R33:R39" si="24">Q33</f>
        <v>10500</v>
      </c>
      <c r="S33" s="300"/>
      <c r="T33" s="300"/>
      <c r="U33" s="128">
        <v>10500</v>
      </c>
      <c r="V33" s="300">
        <f t="shared" ref="V33:V39" si="25">U33</f>
        <v>10500</v>
      </c>
      <c r="W33" s="300"/>
      <c r="X33" s="300"/>
      <c r="Y33" s="128">
        <f>Z33</f>
        <v>10500</v>
      </c>
      <c r="Z33" s="128">
        <f t="shared" si="11"/>
        <v>10500</v>
      </c>
      <c r="AA33" s="128">
        <f t="shared" si="12"/>
        <v>6165</v>
      </c>
      <c r="AB33" s="128">
        <v>5000</v>
      </c>
      <c r="AC33" s="128">
        <v>1165</v>
      </c>
      <c r="AD33" s="128"/>
      <c r="AE33" s="128"/>
      <c r="AF33" s="128"/>
      <c r="AG33" s="1545"/>
      <c r="AN33" s="1009">
        <f t="shared" si="5"/>
        <v>0</v>
      </c>
    </row>
    <row r="34" spans="1:41" ht="82.5" x14ac:dyDescent="0.25">
      <c r="A34" s="60">
        <v>11</v>
      </c>
      <c r="B34" s="91" t="s">
        <v>2002</v>
      </c>
      <c r="C34" s="61" t="s">
        <v>1987</v>
      </c>
      <c r="D34" s="61" t="s">
        <v>2003</v>
      </c>
      <c r="E34" s="70">
        <v>2016</v>
      </c>
      <c r="F34" s="61" t="s">
        <v>2004</v>
      </c>
      <c r="G34" s="299">
        <v>1494</v>
      </c>
      <c r="H34" s="300">
        <f t="shared" si="22"/>
        <v>1494</v>
      </c>
      <c r="I34" s="1545"/>
      <c r="J34" s="1545"/>
      <c r="K34" s="1545"/>
      <c r="L34" s="1545"/>
      <c r="M34" s="128">
        <v>1350</v>
      </c>
      <c r="N34" s="300">
        <f t="shared" si="23"/>
        <v>1350</v>
      </c>
      <c r="O34" s="300"/>
      <c r="P34" s="300"/>
      <c r="Q34" s="128">
        <v>1350</v>
      </c>
      <c r="R34" s="300">
        <f t="shared" si="24"/>
        <v>1350</v>
      </c>
      <c r="S34" s="300"/>
      <c r="T34" s="300"/>
      <c r="U34" s="128">
        <v>1350</v>
      </c>
      <c r="V34" s="300">
        <f t="shared" si="25"/>
        <v>1350</v>
      </c>
      <c r="W34" s="300"/>
      <c r="X34" s="300"/>
      <c r="Y34" s="128">
        <f>Z34</f>
        <v>1350</v>
      </c>
      <c r="Z34" s="128">
        <f t="shared" si="11"/>
        <v>1350</v>
      </c>
      <c r="AA34" s="128">
        <f t="shared" si="12"/>
        <v>1013</v>
      </c>
      <c r="AB34" s="128">
        <v>1013</v>
      </c>
      <c r="AC34" s="128"/>
      <c r="AD34" s="128"/>
      <c r="AE34" s="128"/>
      <c r="AF34" s="128"/>
      <c r="AG34" s="1545"/>
      <c r="AN34" s="1009">
        <f t="shared" si="5"/>
        <v>0</v>
      </c>
    </row>
    <row r="35" spans="1:41" ht="66" x14ac:dyDescent="0.25">
      <c r="A35" s="60">
        <v>12</v>
      </c>
      <c r="B35" s="9" t="s">
        <v>2005</v>
      </c>
      <c r="C35" s="118" t="s">
        <v>2006</v>
      </c>
      <c r="D35" s="61" t="s">
        <v>2007</v>
      </c>
      <c r="E35" s="70" t="s">
        <v>252</v>
      </c>
      <c r="F35" s="118" t="s">
        <v>2008</v>
      </c>
      <c r="G35" s="284">
        <v>44926</v>
      </c>
      <c r="H35" s="300">
        <f t="shared" si="22"/>
        <v>44926</v>
      </c>
      <c r="I35" s="1545"/>
      <c r="J35" s="1545"/>
      <c r="K35" s="1545"/>
      <c r="L35" s="1545"/>
      <c r="M35" s="299">
        <v>39240</v>
      </c>
      <c r="N35" s="300">
        <f t="shared" si="23"/>
        <v>39240</v>
      </c>
      <c r="O35" s="300"/>
      <c r="P35" s="300"/>
      <c r="Q35" s="299">
        <v>39240</v>
      </c>
      <c r="R35" s="300">
        <f t="shared" si="24"/>
        <v>39240</v>
      </c>
      <c r="S35" s="300"/>
      <c r="T35" s="300"/>
      <c r="U35" s="299">
        <v>39240</v>
      </c>
      <c r="V35" s="300">
        <f t="shared" si="25"/>
        <v>39240</v>
      </c>
      <c r="W35" s="300"/>
      <c r="X35" s="300"/>
      <c r="Y35" s="128">
        <f t="shared" ref="Y35:Y38" si="26">Z35</f>
        <v>39240</v>
      </c>
      <c r="Z35" s="128">
        <f t="shared" si="11"/>
        <v>39240</v>
      </c>
      <c r="AA35" s="128">
        <f t="shared" si="12"/>
        <v>35770</v>
      </c>
      <c r="AB35" s="128">
        <v>15000</v>
      </c>
      <c r="AC35" s="128">
        <v>15000</v>
      </c>
      <c r="AD35" s="128">
        <v>5770</v>
      </c>
      <c r="AE35" s="128"/>
      <c r="AF35" s="128"/>
      <c r="AG35" s="1545"/>
      <c r="AN35" s="1009">
        <f t="shared" si="5"/>
        <v>0</v>
      </c>
    </row>
    <row r="36" spans="1:41" ht="49.5" x14ac:dyDescent="0.25">
      <c r="A36" s="60">
        <v>13</v>
      </c>
      <c r="B36" s="9" t="s">
        <v>2009</v>
      </c>
      <c r="C36" s="118" t="s">
        <v>2010</v>
      </c>
      <c r="D36" s="61" t="s">
        <v>2011</v>
      </c>
      <c r="E36" s="70">
        <v>2016</v>
      </c>
      <c r="F36" s="118" t="s">
        <v>2012</v>
      </c>
      <c r="G36" s="284">
        <v>221</v>
      </c>
      <c r="H36" s="300">
        <f t="shared" si="22"/>
        <v>221</v>
      </c>
      <c r="I36" s="1545"/>
      <c r="J36" s="1545"/>
      <c r="K36" s="1545"/>
      <c r="L36" s="1545"/>
      <c r="M36" s="299">
        <v>200</v>
      </c>
      <c r="N36" s="300">
        <f t="shared" si="23"/>
        <v>200</v>
      </c>
      <c r="O36" s="300"/>
      <c r="P36" s="300"/>
      <c r="Q36" s="299">
        <v>200</v>
      </c>
      <c r="R36" s="300">
        <f t="shared" si="24"/>
        <v>200</v>
      </c>
      <c r="S36" s="300"/>
      <c r="T36" s="300"/>
      <c r="U36" s="299">
        <v>200</v>
      </c>
      <c r="V36" s="300">
        <f t="shared" si="25"/>
        <v>200</v>
      </c>
      <c r="W36" s="300"/>
      <c r="X36" s="300"/>
      <c r="Y36" s="128">
        <f t="shared" si="26"/>
        <v>200</v>
      </c>
      <c r="Z36" s="128">
        <f t="shared" si="11"/>
        <v>200</v>
      </c>
      <c r="AA36" s="128">
        <f t="shared" si="12"/>
        <v>190</v>
      </c>
      <c r="AB36" s="128">
        <v>190</v>
      </c>
      <c r="AC36" s="128"/>
      <c r="AD36" s="128"/>
      <c r="AE36" s="128"/>
      <c r="AF36" s="128"/>
      <c r="AG36" s="1545"/>
      <c r="AN36" s="1009">
        <f t="shared" si="5"/>
        <v>0</v>
      </c>
    </row>
    <row r="37" spans="1:41" ht="82.5" x14ac:dyDescent="0.25">
      <c r="A37" s="60">
        <v>14</v>
      </c>
      <c r="B37" s="91" t="s">
        <v>2013</v>
      </c>
      <c r="C37" s="61" t="s">
        <v>205</v>
      </c>
      <c r="D37" s="61" t="s">
        <v>2014</v>
      </c>
      <c r="E37" s="70">
        <v>2016</v>
      </c>
      <c r="F37" s="95" t="s">
        <v>2015</v>
      </c>
      <c r="G37" s="299">
        <v>782</v>
      </c>
      <c r="H37" s="300">
        <f t="shared" si="22"/>
        <v>782</v>
      </c>
      <c r="I37" s="1545"/>
      <c r="J37" s="1545"/>
      <c r="K37" s="1545"/>
      <c r="L37" s="1545"/>
      <c r="M37" s="128">
        <v>740</v>
      </c>
      <c r="N37" s="300">
        <f t="shared" si="23"/>
        <v>740</v>
      </c>
      <c r="O37" s="300"/>
      <c r="P37" s="300"/>
      <c r="Q37" s="128">
        <v>740</v>
      </c>
      <c r="R37" s="300">
        <f t="shared" si="24"/>
        <v>740</v>
      </c>
      <c r="S37" s="300"/>
      <c r="T37" s="300"/>
      <c r="U37" s="128">
        <v>740</v>
      </c>
      <c r="V37" s="300">
        <f t="shared" si="25"/>
        <v>740</v>
      </c>
      <c r="W37" s="300"/>
      <c r="X37" s="300"/>
      <c r="Y37" s="128">
        <f t="shared" si="26"/>
        <v>740</v>
      </c>
      <c r="Z37" s="128">
        <f t="shared" si="11"/>
        <v>740</v>
      </c>
      <c r="AA37" s="128">
        <f t="shared" si="12"/>
        <v>0</v>
      </c>
      <c r="AB37" s="128"/>
      <c r="AC37" s="128"/>
      <c r="AD37" s="128"/>
      <c r="AE37" s="128"/>
      <c r="AF37" s="128"/>
      <c r="AG37" s="1545"/>
      <c r="AN37" s="1009">
        <f t="shared" si="5"/>
        <v>0</v>
      </c>
    </row>
    <row r="38" spans="1:41" ht="49.5" x14ac:dyDescent="0.25">
      <c r="A38" s="60">
        <v>15</v>
      </c>
      <c r="B38" s="91" t="s">
        <v>2016</v>
      </c>
      <c r="C38" s="61" t="s">
        <v>2017</v>
      </c>
      <c r="D38" s="61"/>
      <c r="E38" s="70">
        <v>2016</v>
      </c>
      <c r="F38" s="95" t="s">
        <v>2018</v>
      </c>
      <c r="G38" s="299">
        <v>537</v>
      </c>
      <c r="H38" s="300">
        <f t="shared" si="22"/>
        <v>537</v>
      </c>
      <c r="I38" s="1545"/>
      <c r="J38" s="1545"/>
      <c r="K38" s="1545"/>
      <c r="L38" s="1545"/>
      <c r="M38" s="128">
        <v>500</v>
      </c>
      <c r="N38" s="300">
        <f t="shared" si="23"/>
        <v>500</v>
      </c>
      <c r="O38" s="300"/>
      <c r="P38" s="300"/>
      <c r="Q38" s="128">
        <v>500</v>
      </c>
      <c r="R38" s="300">
        <f t="shared" si="24"/>
        <v>500</v>
      </c>
      <c r="S38" s="300"/>
      <c r="T38" s="300"/>
      <c r="U38" s="128">
        <v>500</v>
      </c>
      <c r="V38" s="300">
        <f t="shared" si="25"/>
        <v>500</v>
      </c>
      <c r="W38" s="300"/>
      <c r="X38" s="300"/>
      <c r="Y38" s="128">
        <f t="shared" si="26"/>
        <v>500</v>
      </c>
      <c r="Z38" s="128">
        <f t="shared" si="11"/>
        <v>500</v>
      </c>
      <c r="AA38" s="128">
        <f t="shared" si="12"/>
        <v>0</v>
      </c>
      <c r="AB38" s="128"/>
      <c r="AC38" s="128"/>
      <c r="AD38" s="128"/>
      <c r="AE38" s="128"/>
      <c r="AF38" s="128"/>
      <c r="AG38" s="1545"/>
      <c r="AN38" s="1009">
        <f t="shared" si="5"/>
        <v>0</v>
      </c>
    </row>
    <row r="39" spans="1:41" ht="82.5" x14ac:dyDescent="0.25">
      <c r="A39" s="60">
        <v>16</v>
      </c>
      <c r="B39" s="91" t="s">
        <v>2019</v>
      </c>
      <c r="C39" s="61" t="s">
        <v>1987</v>
      </c>
      <c r="D39" s="61" t="s">
        <v>2020</v>
      </c>
      <c r="E39" s="70">
        <v>2014</v>
      </c>
      <c r="F39" s="95" t="s">
        <v>2021</v>
      </c>
      <c r="G39" s="299">
        <v>20534</v>
      </c>
      <c r="H39" s="300">
        <f t="shared" si="22"/>
        <v>20534</v>
      </c>
      <c r="I39" s="1545"/>
      <c r="J39" s="1545"/>
      <c r="K39" s="1545"/>
      <c r="L39" s="1545"/>
      <c r="M39" s="128">
        <v>20530</v>
      </c>
      <c r="N39" s="300">
        <f t="shared" si="23"/>
        <v>20530</v>
      </c>
      <c r="O39" s="300"/>
      <c r="P39" s="300"/>
      <c r="Q39" s="128">
        <v>20530</v>
      </c>
      <c r="R39" s="300">
        <f t="shared" si="24"/>
        <v>20530</v>
      </c>
      <c r="S39" s="300"/>
      <c r="T39" s="300"/>
      <c r="U39" s="128">
        <v>20530</v>
      </c>
      <c r="V39" s="300">
        <f t="shared" si="25"/>
        <v>20530</v>
      </c>
      <c r="W39" s="300"/>
      <c r="X39" s="300"/>
      <c r="Y39" s="128">
        <f>Z39</f>
        <v>20530</v>
      </c>
      <c r="Z39" s="128">
        <f t="shared" si="11"/>
        <v>20530</v>
      </c>
      <c r="AA39" s="128">
        <f t="shared" si="12"/>
        <v>0</v>
      </c>
      <c r="AB39" s="128"/>
      <c r="AC39" s="128"/>
      <c r="AD39" s="128"/>
      <c r="AE39" s="128"/>
      <c r="AF39" s="128"/>
      <c r="AG39" s="1545"/>
      <c r="AN39" s="1009">
        <f t="shared" si="5"/>
        <v>0</v>
      </c>
    </row>
    <row r="40" spans="1:41" ht="17.25" x14ac:dyDescent="0.25">
      <c r="A40" s="1545"/>
      <c r="B40" s="1563" t="s">
        <v>1991</v>
      </c>
      <c r="C40" s="82"/>
      <c r="D40" s="1564"/>
      <c r="E40" s="1564"/>
      <c r="F40" s="1564"/>
      <c r="G40" s="1065"/>
      <c r="H40" s="300">
        <f t="shared" si="22"/>
        <v>0</v>
      </c>
      <c r="I40" s="1065"/>
      <c r="J40" s="300"/>
      <c r="K40" s="1545"/>
      <c r="L40" s="1545"/>
      <c r="M40" s="1065"/>
      <c r="N40" s="300"/>
      <c r="O40" s="300"/>
      <c r="P40" s="300"/>
      <c r="Q40" s="1065"/>
      <c r="R40" s="300"/>
      <c r="S40" s="300"/>
      <c r="T40" s="300"/>
      <c r="U40" s="1065"/>
      <c r="V40" s="300"/>
      <c r="W40" s="300"/>
      <c r="X40" s="300"/>
      <c r="Y40" s="1065"/>
      <c r="Z40" s="128">
        <f t="shared" si="11"/>
        <v>0</v>
      </c>
      <c r="AA40" s="128">
        <f t="shared" si="12"/>
        <v>0</v>
      </c>
      <c r="AB40" s="128"/>
      <c r="AC40" s="128"/>
      <c r="AD40" s="128"/>
      <c r="AE40" s="128"/>
      <c r="AF40" s="128"/>
      <c r="AG40" s="1545"/>
      <c r="AN40" s="1009">
        <f t="shared" si="5"/>
        <v>0</v>
      </c>
      <c r="AO40" s="1715">
        <f>SUM(Z41:Z55)</f>
        <v>134537</v>
      </c>
    </row>
    <row r="41" spans="1:41" ht="49.5" x14ac:dyDescent="0.25">
      <c r="A41" s="60">
        <v>17</v>
      </c>
      <c r="B41" s="290" t="s">
        <v>2022</v>
      </c>
      <c r="C41" s="61" t="s">
        <v>205</v>
      </c>
      <c r="D41" s="70" t="s">
        <v>2023</v>
      </c>
      <c r="E41" s="70" t="s">
        <v>97</v>
      </c>
      <c r="F41" s="118" t="s">
        <v>2024</v>
      </c>
      <c r="G41" s="1562">
        <v>11423</v>
      </c>
      <c r="H41" s="300">
        <f t="shared" si="22"/>
        <v>11423</v>
      </c>
      <c r="I41" s="1561"/>
      <c r="J41" s="1545"/>
      <c r="K41" s="1545"/>
      <c r="L41" s="1545"/>
      <c r="M41" s="300">
        <v>10300</v>
      </c>
      <c r="N41" s="300">
        <f t="shared" si="23"/>
        <v>10300</v>
      </c>
      <c r="O41" s="300"/>
      <c r="P41" s="300"/>
      <c r="Q41" s="300">
        <v>10300</v>
      </c>
      <c r="R41" s="300">
        <f t="shared" ref="R41:R53" si="27">Q41</f>
        <v>10300</v>
      </c>
      <c r="S41" s="300"/>
      <c r="T41" s="300"/>
      <c r="U41" s="300">
        <v>10300</v>
      </c>
      <c r="V41" s="300">
        <f t="shared" ref="V41:V53" si="28">U41</f>
        <v>10300</v>
      </c>
      <c r="W41" s="300"/>
      <c r="X41" s="300"/>
      <c r="Y41" s="300">
        <f>Z41</f>
        <v>10300</v>
      </c>
      <c r="Z41" s="128">
        <f t="shared" si="11"/>
        <v>10300</v>
      </c>
      <c r="AA41" s="128">
        <f t="shared" si="12"/>
        <v>0</v>
      </c>
      <c r="AB41" s="128"/>
      <c r="AC41" s="128"/>
      <c r="AD41" s="128"/>
      <c r="AE41" s="128"/>
      <c r="AF41" s="128"/>
      <c r="AG41" s="1545"/>
      <c r="AN41" s="1009">
        <f t="shared" si="5"/>
        <v>0</v>
      </c>
      <c r="AO41" s="1715">
        <f>AO40+5100</f>
        <v>139637</v>
      </c>
    </row>
    <row r="42" spans="1:41" ht="49.5" x14ac:dyDescent="0.25">
      <c r="A42" s="60">
        <v>18</v>
      </c>
      <c r="B42" s="290" t="s">
        <v>2025</v>
      </c>
      <c r="C42" s="61" t="s">
        <v>205</v>
      </c>
      <c r="D42" s="70" t="s">
        <v>2026</v>
      </c>
      <c r="E42" s="70" t="s">
        <v>97</v>
      </c>
      <c r="F42" s="118" t="s">
        <v>2027</v>
      </c>
      <c r="G42" s="1562">
        <v>13698</v>
      </c>
      <c r="H42" s="300">
        <f t="shared" si="22"/>
        <v>13698</v>
      </c>
      <c r="I42" s="1561"/>
      <c r="J42" s="1545"/>
      <c r="K42" s="1545"/>
      <c r="L42" s="1545"/>
      <c r="M42" s="300">
        <v>10790</v>
      </c>
      <c r="N42" s="300">
        <f t="shared" si="23"/>
        <v>10790</v>
      </c>
      <c r="O42" s="300"/>
      <c r="P42" s="300"/>
      <c r="Q42" s="300">
        <v>10790</v>
      </c>
      <c r="R42" s="300">
        <f t="shared" si="27"/>
        <v>10790</v>
      </c>
      <c r="S42" s="300"/>
      <c r="T42" s="300"/>
      <c r="U42" s="300">
        <v>10790</v>
      </c>
      <c r="V42" s="300">
        <f t="shared" si="28"/>
        <v>10790</v>
      </c>
      <c r="W42" s="300"/>
      <c r="X42" s="300"/>
      <c r="Y42" s="300">
        <f t="shared" ref="Y42:Y52" si="29">Z42</f>
        <v>10790</v>
      </c>
      <c r="Z42" s="128">
        <f t="shared" si="11"/>
        <v>10790</v>
      </c>
      <c r="AA42" s="128">
        <f t="shared" si="12"/>
        <v>0</v>
      </c>
      <c r="AB42" s="128"/>
      <c r="AC42" s="128"/>
      <c r="AD42" s="128"/>
      <c r="AE42" s="128"/>
      <c r="AF42" s="128"/>
      <c r="AG42" s="1545"/>
      <c r="AN42" s="1009">
        <f t="shared" si="5"/>
        <v>0</v>
      </c>
      <c r="AO42" s="1715">
        <f>549107-AO41</f>
        <v>409470</v>
      </c>
    </row>
    <row r="43" spans="1:41" ht="66" x14ac:dyDescent="0.25">
      <c r="A43" s="60">
        <v>19</v>
      </c>
      <c r="B43" s="290" t="s">
        <v>2028</v>
      </c>
      <c r="C43" s="61" t="s">
        <v>2029</v>
      </c>
      <c r="D43" s="61" t="s">
        <v>2030</v>
      </c>
      <c r="E43" s="70" t="s">
        <v>199</v>
      </c>
      <c r="F43" s="118" t="s">
        <v>2031</v>
      </c>
      <c r="G43" s="1561">
        <v>5658</v>
      </c>
      <c r="H43" s="300">
        <f t="shared" si="22"/>
        <v>5658</v>
      </c>
      <c r="I43" s="1545"/>
      <c r="J43" s="1545"/>
      <c r="K43" s="1545"/>
      <c r="L43" s="1545"/>
      <c r="M43" s="300">
        <v>800</v>
      </c>
      <c r="N43" s="300">
        <f t="shared" si="23"/>
        <v>800</v>
      </c>
      <c r="O43" s="300"/>
      <c r="P43" s="300"/>
      <c r="Q43" s="300">
        <v>800</v>
      </c>
      <c r="R43" s="300">
        <f t="shared" si="27"/>
        <v>800</v>
      </c>
      <c r="S43" s="300"/>
      <c r="T43" s="300"/>
      <c r="U43" s="300">
        <v>800</v>
      </c>
      <c r="V43" s="300">
        <f t="shared" si="28"/>
        <v>800</v>
      </c>
      <c r="W43" s="300"/>
      <c r="X43" s="300"/>
      <c r="Y43" s="300">
        <f t="shared" si="29"/>
        <v>800</v>
      </c>
      <c r="Z43" s="128">
        <f t="shared" si="11"/>
        <v>800</v>
      </c>
      <c r="AA43" s="128">
        <f t="shared" si="12"/>
        <v>0</v>
      </c>
      <c r="AB43" s="128"/>
      <c r="AC43" s="128"/>
      <c r="AD43" s="128"/>
      <c r="AE43" s="128"/>
      <c r="AF43" s="128"/>
      <c r="AG43" s="1545"/>
      <c r="AN43" s="1009">
        <f t="shared" si="5"/>
        <v>0</v>
      </c>
      <c r="AO43" s="1546">
        <f>549107-533247</f>
        <v>15860</v>
      </c>
    </row>
    <row r="44" spans="1:41" ht="49.5" x14ac:dyDescent="0.25">
      <c r="A44" s="60">
        <v>20</v>
      </c>
      <c r="B44" s="67" t="s">
        <v>2032</v>
      </c>
      <c r="C44" s="61" t="s">
        <v>52</v>
      </c>
      <c r="D44" s="61" t="s">
        <v>2033</v>
      </c>
      <c r="E44" s="70" t="s">
        <v>97</v>
      </c>
      <c r="F44" s="118" t="s">
        <v>2034</v>
      </c>
      <c r="G44" s="1561">
        <v>8205</v>
      </c>
      <c r="H44" s="300">
        <f t="shared" si="22"/>
        <v>8205</v>
      </c>
      <c r="I44" s="1545"/>
      <c r="J44" s="1545"/>
      <c r="K44" s="1545"/>
      <c r="L44" s="1545"/>
      <c r="M44" s="300">
        <v>7180</v>
      </c>
      <c r="N44" s="300">
        <f t="shared" si="23"/>
        <v>7180</v>
      </c>
      <c r="O44" s="300"/>
      <c r="P44" s="300"/>
      <c r="Q44" s="300">
        <v>7180</v>
      </c>
      <c r="R44" s="300">
        <f t="shared" si="27"/>
        <v>7180</v>
      </c>
      <c r="S44" s="300"/>
      <c r="T44" s="300"/>
      <c r="U44" s="300">
        <v>7180</v>
      </c>
      <c r="V44" s="300">
        <f t="shared" si="28"/>
        <v>7180</v>
      </c>
      <c r="W44" s="300"/>
      <c r="X44" s="300"/>
      <c r="Y44" s="300">
        <f t="shared" si="29"/>
        <v>7180</v>
      </c>
      <c r="Z44" s="128">
        <f t="shared" si="11"/>
        <v>7180</v>
      </c>
      <c r="AA44" s="128">
        <f t="shared" si="12"/>
        <v>0</v>
      </c>
      <c r="AB44" s="128"/>
      <c r="AC44" s="128"/>
      <c r="AD44" s="128"/>
      <c r="AE44" s="128"/>
      <c r="AF44" s="128"/>
      <c r="AG44" s="1545"/>
      <c r="AN44" s="1009">
        <f t="shared" si="5"/>
        <v>0</v>
      </c>
    </row>
    <row r="45" spans="1:41" ht="49.5" x14ac:dyDescent="0.25">
      <c r="A45" s="60">
        <v>21</v>
      </c>
      <c r="B45" s="67" t="s">
        <v>2035</v>
      </c>
      <c r="C45" s="61" t="s">
        <v>52</v>
      </c>
      <c r="D45" s="61"/>
      <c r="E45" s="70" t="s">
        <v>97</v>
      </c>
      <c r="F45" s="118" t="s">
        <v>2036</v>
      </c>
      <c r="G45" s="1561">
        <v>12718</v>
      </c>
      <c r="H45" s="300">
        <f t="shared" si="22"/>
        <v>12718</v>
      </c>
      <c r="I45" s="1545"/>
      <c r="J45" s="1545"/>
      <c r="K45" s="1545"/>
      <c r="L45" s="1545"/>
      <c r="M45" s="300">
        <v>8900</v>
      </c>
      <c r="N45" s="300">
        <f t="shared" si="23"/>
        <v>8900</v>
      </c>
      <c r="O45" s="300"/>
      <c r="P45" s="300"/>
      <c r="Q45" s="300">
        <v>8900</v>
      </c>
      <c r="R45" s="300">
        <f t="shared" si="27"/>
        <v>8900</v>
      </c>
      <c r="S45" s="300"/>
      <c r="T45" s="300"/>
      <c r="U45" s="300">
        <v>8900</v>
      </c>
      <c r="V45" s="300">
        <f t="shared" si="28"/>
        <v>8900</v>
      </c>
      <c r="W45" s="300"/>
      <c r="X45" s="300"/>
      <c r="Y45" s="300">
        <f t="shared" si="29"/>
        <v>8900</v>
      </c>
      <c r="Z45" s="128">
        <f t="shared" si="11"/>
        <v>8900</v>
      </c>
      <c r="AA45" s="128">
        <f t="shared" si="12"/>
        <v>0</v>
      </c>
      <c r="AB45" s="128"/>
      <c r="AC45" s="128"/>
      <c r="AD45" s="128"/>
      <c r="AE45" s="128"/>
      <c r="AF45" s="128"/>
      <c r="AG45" s="61"/>
      <c r="AN45" s="1009">
        <f t="shared" si="5"/>
        <v>0</v>
      </c>
    </row>
    <row r="46" spans="1:41" ht="49.5" x14ac:dyDescent="0.25">
      <c r="A46" s="60">
        <v>22</v>
      </c>
      <c r="B46" s="67" t="s">
        <v>2038</v>
      </c>
      <c r="C46" s="61" t="s">
        <v>52</v>
      </c>
      <c r="D46" s="61" t="s">
        <v>2039</v>
      </c>
      <c r="E46" s="70" t="s">
        <v>97</v>
      </c>
      <c r="F46" s="118" t="s">
        <v>2040</v>
      </c>
      <c r="G46" s="1561">
        <v>3650</v>
      </c>
      <c r="H46" s="300">
        <f t="shared" si="22"/>
        <v>3650</v>
      </c>
      <c r="I46" s="1545"/>
      <c r="J46" s="1545"/>
      <c r="K46" s="1545"/>
      <c r="L46" s="1545"/>
      <c r="M46" s="300">
        <v>3470</v>
      </c>
      <c r="N46" s="300">
        <f t="shared" si="23"/>
        <v>3470</v>
      </c>
      <c r="O46" s="300"/>
      <c r="P46" s="300"/>
      <c r="Q46" s="300">
        <v>3470</v>
      </c>
      <c r="R46" s="300">
        <f t="shared" si="27"/>
        <v>3470</v>
      </c>
      <c r="S46" s="300"/>
      <c r="T46" s="300"/>
      <c r="U46" s="300">
        <v>3470</v>
      </c>
      <c r="V46" s="300">
        <f t="shared" si="28"/>
        <v>3470</v>
      </c>
      <c r="W46" s="300"/>
      <c r="X46" s="300"/>
      <c r="Y46" s="300">
        <f t="shared" si="29"/>
        <v>3470</v>
      </c>
      <c r="Z46" s="128">
        <f t="shared" si="11"/>
        <v>3470</v>
      </c>
      <c r="AA46" s="128">
        <f t="shared" si="12"/>
        <v>0</v>
      </c>
      <c r="AB46" s="128"/>
      <c r="AC46" s="128"/>
      <c r="AD46" s="128"/>
      <c r="AE46" s="128"/>
      <c r="AF46" s="128"/>
      <c r="AG46" s="1545"/>
      <c r="AN46" s="1009">
        <f t="shared" si="5"/>
        <v>0</v>
      </c>
    </row>
    <row r="47" spans="1:41" ht="49.5" x14ac:dyDescent="0.25">
      <c r="A47" s="60">
        <v>23</v>
      </c>
      <c r="B47" s="67" t="s">
        <v>2041</v>
      </c>
      <c r="C47" s="61" t="s">
        <v>99</v>
      </c>
      <c r="D47" s="118" t="s">
        <v>2042</v>
      </c>
      <c r="E47" s="70" t="s">
        <v>97</v>
      </c>
      <c r="F47" s="118" t="s">
        <v>2043</v>
      </c>
      <c r="G47" s="1561">
        <v>2849</v>
      </c>
      <c r="H47" s="300">
        <f t="shared" si="22"/>
        <v>2849</v>
      </c>
      <c r="I47" s="1545"/>
      <c r="J47" s="1545"/>
      <c r="K47" s="1545"/>
      <c r="L47" s="1545"/>
      <c r="M47" s="300">
        <v>2700</v>
      </c>
      <c r="N47" s="300">
        <f t="shared" si="23"/>
        <v>2700</v>
      </c>
      <c r="O47" s="300"/>
      <c r="P47" s="300"/>
      <c r="Q47" s="300">
        <v>2700</v>
      </c>
      <c r="R47" s="300">
        <f t="shared" si="27"/>
        <v>2700</v>
      </c>
      <c r="S47" s="300"/>
      <c r="T47" s="300"/>
      <c r="U47" s="300">
        <v>2700</v>
      </c>
      <c r="V47" s="300">
        <f t="shared" si="28"/>
        <v>2700</v>
      </c>
      <c r="W47" s="300"/>
      <c r="X47" s="300"/>
      <c r="Y47" s="300">
        <f t="shared" si="29"/>
        <v>2700</v>
      </c>
      <c r="Z47" s="128">
        <f t="shared" si="11"/>
        <v>2700</v>
      </c>
      <c r="AA47" s="128">
        <f t="shared" si="12"/>
        <v>0</v>
      </c>
      <c r="AB47" s="128"/>
      <c r="AC47" s="128"/>
      <c r="AD47" s="128"/>
      <c r="AE47" s="128"/>
      <c r="AF47" s="128"/>
      <c r="AG47" s="1545"/>
      <c r="AN47" s="1009">
        <f t="shared" si="5"/>
        <v>0</v>
      </c>
    </row>
    <row r="48" spans="1:41" ht="49.5" x14ac:dyDescent="0.25">
      <c r="A48" s="60">
        <v>24</v>
      </c>
      <c r="B48" s="67" t="s">
        <v>2044</v>
      </c>
      <c r="C48" s="61" t="s">
        <v>99</v>
      </c>
      <c r="D48" s="118" t="s">
        <v>2045</v>
      </c>
      <c r="E48" s="70" t="s">
        <v>97</v>
      </c>
      <c r="F48" s="118" t="s">
        <v>2046</v>
      </c>
      <c r="G48" s="1561">
        <v>3586</v>
      </c>
      <c r="H48" s="300">
        <f t="shared" si="22"/>
        <v>3586</v>
      </c>
      <c r="I48" s="1545"/>
      <c r="J48" s="1545"/>
      <c r="K48" s="1545"/>
      <c r="L48" s="1545"/>
      <c r="M48" s="300">
        <v>3400</v>
      </c>
      <c r="N48" s="300">
        <f t="shared" si="23"/>
        <v>3400</v>
      </c>
      <c r="O48" s="300"/>
      <c r="P48" s="300"/>
      <c r="Q48" s="300">
        <v>3400</v>
      </c>
      <c r="R48" s="300">
        <f t="shared" si="27"/>
        <v>3400</v>
      </c>
      <c r="S48" s="300"/>
      <c r="T48" s="300"/>
      <c r="U48" s="300">
        <v>3400</v>
      </c>
      <c r="V48" s="300">
        <f t="shared" si="28"/>
        <v>3400</v>
      </c>
      <c r="W48" s="300"/>
      <c r="X48" s="300"/>
      <c r="Y48" s="300">
        <f>Z48</f>
        <v>3400</v>
      </c>
      <c r="Z48" s="128">
        <f t="shared" si="11"/>
        <v>3400</v>
      </c>
      <c r="AA48" s="128">
        <f t="shared" si="12"/>
        <v>0</v>
      </c>
      <c r="AB48" s="128"/>
      <c r="AC48" s="128"/>
      <c r="AD48" s="128"/>
      <c r="AE48" s="128"/>
      <c r="AF48" s="128"/>
      <c r="AG48" s="1545"/>
      <c r="AN48" s="1009">
        <f t="shared" si="5"/>
        <v>0</v>
      </c>
    </row>
    <row r="49" spans="1:41" ht="66" x14ac:dyDescent="0.25">
      <c r="A49" s="60">
        <v>25</v>
      </c>
      <c r="B49" s="67" t="s">
        <v>2047</v>
      </c>
      <c r="C49" s="61" t="s">
        <v>99</v>
      </c>
      <c r="D49" s="61" t="s">
        <v>2741</v>
      </c>
      <c r="E49" s="70" t="s">
        <v>97</v>
      </c>
      <c r="F49" s="118" t="s">
        <v>2049</v>
      </c>
      <c r="G49" s="290">
        <v>33738</v>
      </c>
      <c r="H49" s="300">
        <f t="shared" si="22"/>
        <v>33738</v>
      </c>
      <c r="I49" s="1545"/>
      <c r="J49" s="1545"/>
      <c r="K49" s="1545"/>
      <c r="L49" s="1545"/>
      <c r="M49" s="300">
        <v>30350</v>
      </c>
      <c r="N49" s="300">
        <f t="shared" si="23"/>
        <v>30350</v>
      </c>
      <c r="O49" s="300"/>
      <c r="P49" s="300"/>
      <c r="Q49" s="300">
        <v>30350</v>
      </c>
      <c r="R49" s="300">
        <f t="shared" si="27"/>
        <v>30350</v>
      </c>
      <c r="S49" s="300"/>
      <c r="T49" s="300"/>
      <c r="U49" s="300">
        <v>30350</v>
      </c>
      <c r="V49" s="300">
        <f t="shared" si="28"/>
        <v>30350</v>
      </c>
      <c r="W49" s="300"/>
      <c r="X49" s="300"/>
      <c r="Y49" s="300">
        <f t="shared" si="29"/>
        <v>30350</v>
      </c>
      <c r="Z49" s="128">
        <f t="shared" si="11"/>
        <v>30350</v>
      </c>
      <c r="AA49" s="128">
        <f t="shared" si="12"/>
        <v>0</v>
      </c>
      <c r="AB49" s="128"/>
      <c r="AC49" s="128"/>
      <c r="AD49" s="128"/>
      <c r="AE49" s="128"/>
      <c r="AF49" s="128"/>
      <c r="AG49" s="1545"/>
      <c r="AN49" s="1009">
        <f t="shared" si="5"/>
        <v>0</v>
      </c>
    </row>
    <row r="50" spans="1:41" ht="49.5" x14ac:dyDescent="0.25">
      <c r="A50" s="60">
        <v>26</v>
      </c>
      <c r="B50" s="67" t="s">
        <v>2050</v>
      </c>
      <c r="C50" s="61" t="s">
        <v>52</v>
      </c>
      <c r="D50" s="61" t="s">
        <v>2051</v>
      </c>
      <c r="E50" s="70" t="s">
        <v>97</v>
      </c>
      <c r="F50" s="118" t="s">
        <v>2052</v>
      </c>
      <c r="G50" s="290">
        <v>3828</v>
      </c>
      <c r="H50" s="300">
        <f t="shared" si="22"/>
        <v>3828</v>
      </c>
      <c r="I50" s="1545"/>
      <c r="J50" s="1545"/>
      <c r="K50" s="1545"/>
      <c r="L50" s="1545"/>
      <c r="M50" s="300">
        <v>3300</v>
      </c>
      <c r="N50" s="300">
        <f t="shared" si="23"/>
        <v>3300</v>
      </c>
      <c r="O50" s="300"/>
      <c r="P50" s="300"/>
      <c r="Q50" s="300">
        <v>3300</v>
      </c>
      <c r="R50" s="300">
        <f t="shared" si="27"/>
        <v>3300</v>
      </c>
      <c r="S50" s="300"/>
      <c r="T50" s="300"/>
      <c r="U50" s="300">
        <v>3300</v>
      </c>
      <c r="V50" s="300">
        <f t="shared" si="28"/>
        <v>3300</v>
      </c>
      <c r="W50" s="300"/>
      <c r="X50" s="300"/>
      <c r="Y50" s="300">
        <f t="shared" si="29"/>
        <v>3300</v>
      </c>
      <c r="Z50" s="128">
        <f t="shared" si="11"/>
        <v>3300</v>
      </c>
      <c r="AA50" s="128">
        <f t="shared" si="12"/>
        <v>0</v>
      </c>
      <c r="AB50" s="128"/>
      <c r="AC50" s="128"/>
      <c r="AD50" s="128"/>
      <c r="AE50" s="128"/>
      <c r="AF50" s="128"/>
      <c r="AG50" s="1545"/>
      <c r="AN50" s="1009">
        <f t="shared" si="5"/>
        <v>0</v>
      </c>
    </row>
    <row r="51" spans="1:41" ht="49.5" x14ac:dyDescent="0.25">
      <c r="A51" s="60">
        <v>27</v>
      </c>
      <c r="B51" s="67" t="s">
        <v>2053</v>
      </c>
      <c r="C51" s="61" t="s">
        <v>52</v>
      </c>
      <c r="D51" s="61" t="s">
        <v>2054</v>
      </c>
      <c r="E51" s="70" t="s">
        <v>109</v>
      </c>
      <c r="F51" s="118" t="s">
        <v>2055</v>
      </c>
      <c r="G51" s="290">
        <v>9397</v>
      </c>
      <c r="H51" s="300">
        <f t="shared" si="22"/>
        <v>9397</v>
      </c>
      <c r="I51" s="1545"/>
      <c r="J51" s="1545"/>
      <c r="K51" s="1545"/>
      <c r="L51" s="1545"/>
      <c r="M51" s="300">
        <v>8300</v>
      </c>
      <c r="N51" s="300">
        <f t="shared" si="23"/>
        <v>8300</v>
      </c>
      <c r="O51" s="300"/>
      <c r="P51" s="300"/>
      <c r="Q51" s="300">
        <v>8300</v>
      </c>
      <c r="R51" s="300">
        <f t="shared" si="27"/>
        <v>8300</v>
      </c>
      <c r="S51" s="300"/>
      <c r="T51" s="300"/>
      <c r="U51" s="300">
        <v>8300</v>
      </c>
      <c r="V51" s="300">
        <f t="shared" si="28"/>
        <v>8300</v>
      </c>
      <c r="W51" s="300"/>
      <c r="X51" s="300"/>
      <c r="Y51" s="300">
        <f t="shared" si="29"/>
        <v>8300</v>
      </c>
      <c r="Z51" s="128">
        <f t="shared" si="11"/>
        <v>8300</v>
      </c>
      <c r="AA51" s="128">
        <f t="shared" si="12"/>
        <v>0</v>
      </c>
      <c r="AB51" s="128"/>
      <c r="AC51" s="128"/>
      <c r="AD51" s="128"/>
      <c r="AE51" s="128"/>
      <c r="AF51" s="128"/>
      <c r="AG51" s="1545"/>
      <c r="AN51" s="1009">
        <f t="shared" si="5"/>
        <v>0</v>
      </c>
    </row>
    <row r="52" spans="1:41" ht="66" x14ac:dyDescent="0.25">
      <c r="A52" s="60">
        <v>28</v>
      </c>
      <c r="B52" s="67" t="s">
        <v>2056</v>
      </c>
      <c r="C52" s="61" t="s">
        <v>52</v>
      </c>
      <c r="D52" s="61" t="s">
        <v>2057</v>
      </c>
      <c r="E52" s="70" t="s">
        <v>109</v>
      </c>
      <c r="F52" s="118" t="s">
        <v>2058</v>
      </c>
      <c r="G52" s="290">
        <v>14904</v>
      </c>
      <c r="H52" s="300">
        <f t="shared" si="22"/>
        <v>14904</v>
      </c>
      <c r="I52" s="1545"/>
      <c r="J52" s="1545"/>
      <c r="K52" s="1545"/>
      <c r="L52" s="1545"/>
      <c r="M52" s="300">
        <v>13400</v>
      </c>
      <c r="N52" s="300">
        <f t="shared" si="23"/>
        <v>13400</v>
      </c>
      <c r="O52" s="300"/>
      <c r="P52" s="300"/>
      <c r="Q52" s="300">
        <v>13400</v>
      </c>
      <c r="R52" s="300">
        <f t="shared" si="27"/>
        <v>13400</v>
      </c>
      <c r="S52" s="300"/>
      <c r="T52" s="300"/>
      <c r="U52" s="300">
        <v>13400</v>
      </c>
      <c r="V52" s="300">
        <f t="shared" si="28"/>
        <v>13400</v>
      </c>
      <c r="W52" s="300"/>
      <c r="X52" s="300"/>
      <c r="Y52" s="300">
        <f t="shared" si="29"/>
        <v>13400</v>
      </c>
      <c r="Z52" s="128">
        <f t="shared" si="11"/>
        <v>13400</v>
      </c>
      <c r="AA52" s="128">
        <f t="shared" si="12"/>
        <v>0</v>
      </c>
      <c r="AB52" s="128"/>
      <c r="AC52" s="128"/>
      <c r="AD52" s="128"/>
      <c r="AE52" s="128"/>
      <c r="AF52" s="128"/>
      <c r="AG52" s="1545"/>
      <c r="AN52" s="1009">
        <f t="shared" si="5"/>
        <v>0</v>
      </c>
    </row>
    <row r="53" spans="1:41" ht="29.25" customHeight="1" x14ac:dyDescent="0.25">
      <c r="A53" s="60">
        <v>29</v>
      </c>
      <c r="B53" s="67" t="s">
        <v>2059</v>
      </c>
      <c r="C53" s="61" t="s">
        <v>205</v>
      </c>
      <c r="D53" s="61"/>
      <c r="E53" s="70" t="s">
        <v>109</v>
      </c>
      <c r="F53" s="1545"/>
      <c r="G53" s="290">
        <v>14700</v>
      </c>
      <c r="H53" s="300">
        <f t="shared" si="22"/>
        <v>14700</v>
      </c>
      <c r="I53" s="1545"/>
      <c r="J53" s="1545"/>
      <c r="K53" s="1545"/>
      <c r="L53" s="1545"/>
      <c r="M53" s="300">
        <v>13200</v>
      </c>
      <c r="N53" s="300">
        <f t="shared" si="23"/>
        <v>13200</v>
      </c>
      <c r="O53" s="300"/>
      <c r="P53" s="300"/>
      <c r="Q53" s="300">
        <v>13200</v>
      </c>
      <c r="R53" s="300">
        <f t="shared" si="27"/>
        <v>13200</v>
      </c>
      <c r="S53" s="300"/>
      <c r="T53" s="300"/>
      <c r="U53" s="300">
        <v>13200</v>
      </c>
      <c r="V53" s="300">
        <f t="shared" si="28"/>
        <v>13200</v>
      </c>
      <c r="W53" s="300"/>
      <c r="X53" s="300"/>
      <c r="Y53" s="300">
        <f>Z53</f>
        <v>13200</v>
      </c>
      <c r="Z53" s="128">
        <f t="shared" si="11"/>
        <v>13200</v>
      </c>
      <c r="AA53" s="128">
        <f t="shared" si="12"/>
        <v>0</v>
      </c>
      <c r="AB53" s="128"/>
      <c r="AC53" s="128"/>
      <c r="AD53" s="128"/>
      <c r="AE53" s="128"/>
      <c r="AF53" s="128"/>
      <c r="AG53" s="1545"/>
      <c r="AN53" s="1009">
        <f t="shared" si="5"/>
        <v>0</v>
      </c>
    </row>
    <row r="54" spans="1:41" ht="186" customHeight="1" x14ac:dyDescent="0.25">
      <c r="A54" s="70">
        <v>30</v>
      </c>
      <c r="B54" s="1565" t="s">
        <v>2060</v>
      </c>
      <c r="C54" s="61" t="s">
        <v>2061</v>
      </c>
      <c r="D54" s="70" t="s">
        <v>2062</v>
      </c>
      <c r="E54" s="70" t="s">
        <v>109</v>
      </c>
      <c r="F54" s="61" t="s">
        <v>2063</v>
      </c>
      <c r="G54" s="300">
        <v>13490</v>
      </c>
      <c r="H54" s="300">
        <v>13490</v>
      </c>
      <c r="I54" s="300"/>
      <c r="J54" s="300"/>
      <c r="K54" s="1545"/>
      <c r="L54" s="1545"/>
      <c r="M54" s="300">
        <v>13490</v>
      </c>
      <c r="N54" s="300">
        <v>9220</v>
      </c>
      <c r="O54" s="300"/>
      <c r="P54" s="300"/>
      <c r="Q54" s="300">
        <v>13490</v>
      </c>
      <c r="R54" s="300">
        <v>9220</v>
      </c>
      <c r="S54" s="300"/>
      <c r="T54" s="300"/>
      <c r="U54" s="300">
        <v>13490</v>
      </c>
      <c r="V54" s="300">
        <v>9220</v>
      </c>
      <c r="W54" s="300"/>
      <c r="X54" s="300"/>
      <c r="Y54" s="300">
        <v>13490</v>
      </c>
      <c r="Z54" s="128">
        <f t="shared" si="11"/>
        <v>9220</v>
      </c>
      <c r="AA54" s="128">
        <f t="shared" si="12"/>
        <v>0</v>
      </c>
      <c r="AB54" s="128"/>
      <c r="AC54" s="128"/>
      <c r="AD54" s="128"/>
      <c r="AE54" s="128"/>
      <c r="AF54" s="128"/>
      <c r="AG54" s="2059"/>
      <c r="AN54" s="1009">
        <f t="shared" si="5"/>
        <v>0</v>
      </c>
    </row>
    <row r="55" spans="1:41" ht="186" customHeight="1" x14ac:dyDescent="0.25">
      <c r="A55" s="70">
        <v>31</v>
      </c>
      <c r="B55" s="1565" t="s">
        <v>2065</v>
      </c>
      <c r="C55" s="61" t="s">
        <v>2066</v>
      </c>
      <c r="D55" s="70" t="s">
        <v>2067</v>
      </c>
      <c r="E55" s="70" t="s">
        <v>109</v>
      </c>
      <c r="F55" s="61" t="s">
        <v>2068</v>
      </c>
      <c r="G55" s="300">
        <v>13852</v>
      </c>
      <c r="H55" s="300">
        <v>13852</v>
      </c>
      <c r="I55" s="300"/>
      <c r="J55" s="300"/>
      <c r="K55" s="1545"/>
      <c r="L55" s="1545"/>
      <c r="M55" s="300">
        <v>13852</v>
      </c>
      <c r="N55" s="300">
        <v>9227</v>
      </c>
      <c r="O55" s="300"/>
      <c r="P55" s="300"/>
      <c r="Q55" s="300">
        <v>13852</v>
      </c>
      <c r="R55" s="300">
        <v>9227</v>
      </c>
      <c r="S55" s="300"/>
      <c r="T55" s="300"/>
      <c r="U55" s="300">
        <v>13852</v>
      </c>
      <c r="V55" s="300">
        <v>9227</v>
      </c>
      <c r="W55" s="300"/>
      <c r="X55" s="300"/>
      <c r="Y55" s="300">
        <v>13852</v>
      </c>
      <c r="Z55" s="128">
        <f t="shared" si="11"/>
        <v>9227</v>
      </c>
      <c r="AA55" s="128">
        <f t="shared" si="12"/>
        <v>0</v>
      </c>
      <c r="AB55" s="128"/>
      <c r="AC55" s="128"/>
      <c r="AD55" s="128"/>
      <c r="AE55" s="128"/>
      <c r="AF55" s="128"/>
      <c r="AG55" s="2059"/>
      <c r="AN55" s="1009">
        <f t="shared" si="5"/>
        <v>0</v>
      </c>
    </row>
    <row r="56" spans="1:41" s="1713" customFormat="1" ht="63.75" customHeight="1" x14ac:dyDescent="0.25">
      <c r="A56" s="1705"/>
      <c r="B56" s="1706" t="s">
        <v>2069</v>
      </c>
      <c r="C56" s="1707"/>
      <c r="D56" s="1707"/>
      <c r="E56" s="1708"/>
      <c r="F56" s="1705"/>
      <c r="G56" s="1709"/>
      <c r="H56" s="1710">
        <f t="shared" si="22"/>
        <v>0</v>
      </c>
      <c r="I56" s="1705"/>
      <c r="J56" s="1705"/>
      <c r="K56" s="1705"/>
      <c r="L56" s="1705"/>
      <c r="M56" s="1711"/>
      <c r="N56" s="1710"/>
      <c r="O56" s="1710"/>
      <c r="P56" s="1710"/>
      <c r="Q56" s="1711"/>
      <c r="R56" s="1710"/>
      <c r="S56" s="1710"/>
      <c r="T56" s="1710"/>
      <c r="U56" s="1711"/>
      <c r="V56" s="1710"/>
      <c r="W56" s="1710"/>
      <c r="X56" s="1710"/>
      <c r="Y56" s="1711"/>
      <c r="Z56" s="1712">
        <f t="shared" si="11"/>
        <v>0</v>
      </c>
      <c r="AA56" s="1712">
        <f t="shared" si="12"/>
        <v>0</v>
      </c>
      <c r="AB56" s="1712"/>
      <c r="AC56" s="1712"/>
      <c r="AD56" s="1712"/>
      <c r="AE56" s="1712"/>
      <c r="AF56" s="1712"/>
      <c r="AG56" s="1705"/>
      <c r="AN56" s="1714">
        <f t="shared" si="5"/>
        <v>0</v>
      </c>
    </row>
    <row r="57" spans="1:41" ht="75" customHeight="1" x14ac:dyDescent="0.25">
      <c r="A57" s="60">
        <v>32</v>
      </c>
      <c r="B57" s="91" t="s">
        <v>2070</v>
      </c>
      <c r="C57" s="61" t="s">
        <v>2071</v>
      </c>
      <c r="D57" s="61" t="s">
        <v>2072</v>
      </c>
      <c r="E57" s="70" t="s">
        <v>461</v>
      </c>
      <c r="F57" s="1543" t="s">
        <v>2073</v>
      </c>
      <c r="G57" s="1543">
        <f>H57</f>
        <v>32275</v>
      </c>
      <c r="H57" s="300">
        <v>32275</v>
      </c>
      <c r="I57" s="1545"/>
      <c r="J57" s="1545"/>
      <c r="K57" s="1545"/>
      <c r="L57" s="1545"/>
      <c r="M57" s="128">
        <f>17300+280</f>
        <v>17580</v>
      </c>
      <c r="N57" s="300">
        <f t="shared" si="23"/>
        <v>17580</v>
      </c>
      <c r="O57" s="300">
        <f>R57-J57</f>
        <v>29000</v>
      </c>
      <c r="P57" s="300"/>
      <c r="Q57" s="128">
        <f>R57</f>
        <v>29000</v>
      </c>
      <c r="R57" s="300">
        <v>29000</v>
      </c>
      <c r="S57" s="300">
        <v>2300</v>
      </c>
      <c r="T57" s="300"/>
      <c r="U57" s="128">
        <f>V57</f>
        <v>31300</v>
      </c>
      <c r="V57" s="300">
        <f>S57+R57</f>
        <v>31300</v>
      </c>
      <c r="W57" s="300"/>
      <c r="X57" s="300"/>
      <c r="Y57" s="128">
        <f>Z57</f>
        <v>31300</v>
      </c>
      <c r="Z57" s="128">
        <f t="shared" si="11"/>
        <v>31300</v>
      </c>
      <c r="AA57" s="128">
        <f t="shared" si="12"/>
        <v>27899</v>
      </c>
      <c r="AB57" s="128"/>
      <c r="AC57" s="128"/>
      <c r="AD57" s="128">
        <v>8000</v>
      </c>
      <c r="AE57" s="128">
        <v>19899</v>
      </c>
      <c r="AF57" s="128"/>
      <c r="AG57" s="61"/>
      <c r="AN57" s="1009">
        <f t="shared" si="5"/>
        <v>0</v>
      </c>
    </row>
    <row r="58" spans="1:41" ht="51.75" x14ac:dyDescent="0.25">
      <c r="A58" s="50" t="s">
        <v>47</v>
      </c>
      <c r="B58" s="51" t="s">
        <v>2074</v>
      </c>
      <c r="C58" s="61"/>
      <c r="D58" s="61"/>
      <c r="E58" s="70"/>
      <c r="F58" s="1543"/>
      <c r="G58" s="1544">
        <f t="shared" ref="G58:H58" si="30">SUM(G59:G60)</f>
        <v>70000</v>
      </c>
      <c r="H58" s="1544">
        <f t="shared" si="30"/>
        <v>70000</v>
      </c>
      <c r="I58" s="1545"/>
      <c r="J58" s="1545"/>
      <c r="K58" s="1545"/>
      <c r="L58" s="1545"/>
      <c r="M58" s="1544">
        <f>SUM(M59:M60)</f>
        <v>35160</v>
      </c>
      <c r="N58" s="1544">
        <f t="shared" ref="N58:Q58" si="31">SUM(N59:N60)</f>
        <v>35160</v>
      </c>
      <c r="O58" s="1544">
        <f t="shared" si="31"/>
        <v>0</v>
      </c>
      <c r="P58" s="1544">
        <f t="shared" si="31"/>
        <v>27100</v>
      </c>
      <c r="Q58" s="1544">
        <f t="shared" si="31"/>
        <v>27140</v>
      </c>
      <c r="R58" s="1544">
        <f>SUM(R59:R60)</f>
        <v>27140</v>
      </c>
      <c r="S58" s="1544">
        <f t="shared" ref="S58:X58" si="32">SUM(S59:S60)</f>
        <v>0</v>
      </c>
      <c r="T58" s="1544">
        <f t="shared" si="32"/>
        <v>0</v>
      </c>
      <c r="U58" s="1544">
        <f t="shared" si="32"/>
        <v>27140</v>
      </c>
      <c r="V58" s="1544">
        <f t="shared" si="32"/>
        <v>27140</v>
      </c>
      <c r="W58" s="1544">
        <f t="shared" si="32"/>
        <v>15860</v>
      </c>
      <c r="X58" s="1544">
        <f t="shared" si="32"/>
        <v>0</v>
      </c>
      <c r="Y58" s="1544">
        <f t="shared" ref="Y58" si="33">SUM(Y59:Y60)</f>
        <v>43000</v>
      </c>
      <c r="Z58" s="128">
        <f t="shared" si="11"/>
        <v>43000</v>
      </c>
      <c r="AA58" s="128">
        <f t="shared" si="12"/>
        <v>0</v>
      </c>
      <c r="AB58" s="128"/>
      <c r="AC58" s="128"/>
      <c r="AD58" s="128"/>
      <c r="AE58" s="128"/>
      <c r="AF58" s="128"/>
      <c r="AG58" s="1545"/>
      <c r="AN58" s="1009">
        <f t="shared" si="5"/>
        <v>1</v>
      </c>
    </row>
    <row r="59" spans="1:41" s="1702" customFormat="1" ht="120" customHeight="1" x14ac:dyDescent="0.25">
      <c r="A59" s="1692">
        <v>33</v>
      </c>
      <c r="B59" s="1693" t="s">
        <v>2075</v>
      </c>
      <c r="C59" s="1694" t="s">
        <v>2076</v>
      </c>
      <c r="D59" s="1694" t="s">
        <v>2072</v>
      </c>
      <c r="E59" s="1695" t="s">
        <v>168</v>
      </c>
      <c r="F59" s="1696" t="s">
        <v>2573</v>
      </c>
      <c r="G59" s="1697">
        <v>30000</v>
      </c>
      <c r="H59" s="1698">
        <f t="shared" si="22"/>
        <v>30000</v>
      </c>
      <c r="I59" s="1699"/>
      <c r="J59" s="1699"/>
      <c r="K59" s="1699"/>
      <c r="L59" s="1699"/>
      <c r="M59" s="128">
        <f>17300+280</f>
        <v>17580</v>
      </c>
      <c r="N59" s="300">
        <f t="shared" si="23"/>
        <v>17580</v>
      </c>
      <c r="O59" s="300"/>
      <c r="P59" s="300">
        <v>13400</v>
      </c>
      <c r="Q59" s="1700">
        <f>R59</f>
        <v>13400</v>
      </c>
      <c r="R59" s="1698">
        <v>13400</v>
      </c>
      <c r="S59" s="300"/>
      <c r="T59" s="300"/>
      <c r="U59" s="1700">
        <f>V59</f>
        <v>13400</v>
      </c>
      <c r="V59" s="1698">
        <v>13400</v>
      </c>
      <c r="W59" s="1698">
        <v>4600</v>
      </c>
      <c r="X59" s="1698"/>
      <c r="Y59" s="1700">
        <f>Z59</f>
        <v>18000</v>
      </c>
      <c r="Z59" s="1700">
        <f t="shared" si="11"/>
        <v>18000</v>
      </c>
      <c r="AA59" s="1700">
        <f t="shared" si="12"/>
        <v>13400</v>
      </c>
      <c r="AB59" s="1700"/>
      <c r="AC59" s="1700"/>
      <c r="AD59" s="1700"/>
      <c r="AE59" s="1700"/>
      <c r="AF59" s="1700">
        <v>13400</v>
      </c>
      <c r="AG59" s="1694" t="s">
        <v>2728</v>
      </c>
      <c r="AH59" s="1546"/>
      <c r="AI59" s="1546"/>
      <c r="AJ59" s="1546"/>
      <c r="AK59" s="1546"/>
      <c r="AL59" s="1546"/>
      <c r="AM59" s="1546"/>
      <c r="AN59" s="1701">
        <f t="shared" si="5"/>
        <v>1</v>
      </c>
    </row>
    <row r="60" spans="1:41" s="1702" customFormat="1" ht="66" x14ac:dyDescent="0.25">
      <c r="A60" s="1692">
        <v>34</v>
      </c>
      <c r="B60" s="1693" t="s">
        <v>2721</v>
      </c>
      <c r="C60" s="1694" t="s">
        <v>2077</v>
      </c>
      <c r="D60" s="1694" t="s">
        <v>2072</v>
      </c>
      <c r="E60" s="1695" t="s">
        <v>168</v>
      </c>
      <c r="F60" s="1696" t="s">
        <v>2571</v>
      </c>
      <c r="G60" s="1697">
        <f>H60</f>
        <v>40000</v>
      </c>
      <c r="H60" s="1698">
        <v>40000</v>
      </c>
      <c r="I60" s="1699"/>
      <c r="J60" s="1699"/>
      <c r="K60" s="1699"/>
      <c r="L60" s="1699"/>
      <c r="M60" s="128">
        <f>17300+280</f>
        <v>17580</v>
      </c>
      <c r="N60" s="300">
        <f t="shared" si="23"/>
        <v>17580</v>
      </c>
      <c r="O60" s="300"/>
      <c r="P60" s="300">
        <v>13700</v>
      </c>
      <c r="Q60" s="1700">
        <f>R60</f>
        <v>13740</v>
      </c>
      <c r="R60" s="1698">
        <v>13740</v>
      </c>
      <c r="S60" s="300"/>
      <c r="T60" s="300"/>
      <c r="U60" s="1700">
        <f>V60</f>
        <v>13740</v>
      </c>
      <c r="V60" s="1698">
        <v>13740</v>
      </c>
      <c r="W60" s="1698">
        <v>11260</v>
      </c>
      <c r="X60" s="1698"/>
      <c r="Y60" s="1700">
        <f>Z60</f>
        <v>25000</v>
      </c>
      <c r="Z60" s="1700">
        <f t="shared" si="11"/>
        <v>25000</v>
      </c>
      <c r="AA60" s="1700">
        <f t="shared" si="12"/>
        <v>13740</v>
      </c>
      <c r="AB60" s="1700"/>
      <c r="AC60" s="1700"/>
      <c r="AD60" s="1700"/>
      <c r="AE60" s="1700"/>
      <c r="AF60" s="1700">
        <v>13740</v>
      </c>
      <c r="AG60" s="1694" t="s">
        <v>2728</v>
      </c>
      <c r="AH60" s="1546"/>
      <c r="AI60" s="1546"/>
      <c r="AJ60" s="1546"/>
      <c r="AK60" s="1546"/>
      <c r="AL60" s="1546"/>
      <c r="AM60" s="1546"/>
      <c r="AN60" s="1701">
        <f t="shared" si="5"/>
        <v>1</v>
      </c>
      <c r="AO60" s="1703"/>
    </row>
    <row r="61" spans="1:41" x14ac:dyDescent="0.25">
      <c r="A61" s="1566"/>
      <c r="B61" s="1566"/>
      <c r="C61" s="1566"/>
      <c r="D61" s="1566"/>
      <c r="E61" s="1566"/>
      <c r="F61" s="1566"/>
      <c r="G61" s="1566"/>
      <c r="H61" s="1566"/>
      <c r="I61" s="1566"/>
      <c r="J61" s="1566"/>
      <c r="K61" s="1566"/>
      <c r="L61" s="1566"/>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N61" s="1009">
        <f t="shared" si="5"/>
        <v>0</v>
      </c>
    </row>
    <row r="65" spans="13:21" x14ac:dyDescent="0.25">
      <c r="M65" s="1547"/>
      <c r="Q65" s="1547"/>
      <c r="U65" s="1547"/>
    </row>
    <row r="66" spans="13:21" x14ac:dyDescent="0.25">
      <c r="M66" s="1547"/>
      <c r="Q66" s="1547"/>
      <c r="U66" s="1547"/>
    </row>
  </sheetData>
  <autoFilter ref="A15:AN61"/>
  <mergeCells count="47">
    <mergeCell ref="AG54:AG55"/>
    <mergeCell ref="AG10:AG14"/>
    <mergeCell ref="W12:W14"/>
    <mergeCell ref="L12:L14"/>
    <mergeCell ref="M12:M14"/>
    <mergeCell ref="N12:N14"/>
    <mergeCell ref="O12:O14"/>
    <mergeCell ref="P12:P14"/>
    <mergeCell ref="R12:R14"/>
    <mergeCell ref="S12:S14"/>
    <mergeCell ref="T12:T14"/>
    <mergeCell ref="U12:U14"/>
    <mergeCell ref="V12:V14"/>
    <mergeCell ref="W10:X11"/>
    <mergeCell ref="Y10:Z11"/>
    <mergeCell ref="X12:X14"/>
    <mergeCell ref="S10:T11"/>
    <mergeCell ref="U10:V11"/>
    <mergeCell ref="F12:F14"/>
    <mergeCell ref="G12:H12"/>
    <mergeCell ref="I12:I14"/>
    <mergeCell ref="J12:J14"/>
    <mergeCell ref="K12:K14"/>
    <mergeCell ref="Q12:Q14"/>
    <mergeCell ref="G13:G14"/>
    <mergeCell ref="H13:H14"/>
    <mergeCell ref="I10:J11"/>
    <mergeCell ref="K10:L11"/>
    <mergeCell ref="M10:N11"/>
    <mergeCell ref="O10:P11"/>
    <mergeCell ref="Q10:R11"/>
    <mergeCell ref="Y12:Y14"/>
    <mergeCell ref="Z12:Z14"/>
    <mergeCell ref="A6:AG6"/>
    <mergeCell ref="A1:AG1"/>
    <mergeCell ref="A2:AG2"/>
    <mergeCell ref="A3:AG3"/>
    <mergeCell ref="A4:AG4"/>
    <mergeCell ref="A5:AG5"/>
    <mergeCell ref="A7:AG7"/>
    <mergeCell ref="A9:AG9"/>
    <mergeCell ref="A10:A14"/>
    <mergeCell ref="B10:B14"/>
    <mergeCell ref="C10:C14"/>
    <mergeCell ref="D10:D14"/>
    <mergeCell ref="E10:E14"/>
    <mergeCell ref="F10:H11"/>
  </mergeCells>
  <printOptions horizontalCentered="1"/>
  <pageMargins left="0.39370078740157499" right="0.196850393700787" top="0.59055118110236204" bottom="0.43307086614173201" header="0.43307086614173201" footer="0.31496062992126"/>
  <pageSetup paperSize="9" scale="47" fitToHeight="0" orientation="landscape" r:id="rId1"/>
  <headerFooter>
    <oddHeader>&amp;C&amp;"Times New Roman,Regular"&amp;14&amp;P</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335"/>
  <sheetViews>
    <sheetView topLeftCell="K22" workbookViewId="0">
      <selection activeCell="C11" sqref="C11:C16"/>
    </sheetView>
  </sheetViews>
  <sheetFormatPr defaultColWidth="9.140625" defaultRowHeight="18.75" x14ac:dyDescent="0.25"/>
  <cols>
    <col min="1" max="1" width="7.85546875" style="1395" customWidth="1"/>
    <col min="2" max="2" width="29.7109375" style="1396" customWidth="1"/>
    <col min="3" max="3" width="18.7109375" style="1396" customWidth="1"/>
    <col min="4" max="4" width="14.28515625" style="1396" customWidth="1"/>
    <col min="5" max="5" width="14.7109375" style="1396" customWidth="1"/>
    <col min="6" max="6" width="12.85546875" style="1396" customWidth="1"/>
    <col min="7" max="7" width="14.28515625" style="1396" customWidth="1"/>
    <col min="8" max="8" width="25.140625" style="1396" customWidth="1"/>
    <col min="9" max="9" width="14.85546875" style="1397" customWidth="1"/>
    <col min="10" max="10" width="11" style="1397" customWidth="1"/>
    <col min="11" max="11" width="14.85546875" style="1397" customWidth="1"/>
    <col min="12" max="12" width="22.140625" style="1397" customWidth="1"/>
    <col min="13" max="13" width="16.28515625" style="1398" customWidth="1"/>
    <col min="14" max="14" width="13.42578125" style="1398" customWidth="1"/>
    <col min="15" max="15" width="12.5703125" style="1398" customWidth="1"/>
    <col min="16" max="16" width="13.28515625" style="1398" customWidth="1"/>
    <col min="17" max="18" width="16.5703125" style="1398" customWidth="1"/>
    <col min="19" max="19" width="15.7109375" style="1398" customWidth="1"/>
    <col min="20" max="20" width="13.5703125" style="1398" hidden="1" customWidth="1"/>
    <col min="21" max="21" width="13.5703125" style="1398" customWidth="1"/>
    <col min="22" max="22" width="18.7109375" style="1398" customWidth="1"/>
    <col min="23" max="16384" width="9.140625" style="1389"/>
  </cols>
  <sheetData>
    <row r="1" spans="1:22" s="1537" customFormat="1" ht="30.75" customHeight="1" x14ac:dyDescent="0.25">
      <c r="A1" s="2063" t="s">
        <v>2738</v>
      </c>
      <c r="B1" s="2063"/>
      <c r="C1" s="2063"/>
      <c r="D1" s="2063"/>
      <c r="E1" s="2063"/>
      <c r="F1" s="2063"/>
      <c r="G1" s="2063"/>
      <c r="H1" s="2063"/>
      <c r="I1" s="2063"/>
      <c r="J1" s="2063"/>
      <c r="K1" s="2063"/>
      <c r="L1" s="2063"/>
      <c r="M1" s="2063"/>
      <c r="N1" s="2063"/>
      <c r="O1" s="2063"/>
      <c r="P1" s="2063"/>
      <c r="Q1" s="2063"/>
      <c r="R1" s="2063"/>
      <c r="S1" s="2063"/>
      <c r="T1" s="2063"/>
      <c r="U1" s="2063"/>
      <c r="V1" s="2063"/>
    </row>
    <row r="2" spans="1:22" s="1537" customFormat="1" ht="45.75" customHeight="1" x14ac:dyDescent="0.25">
      <c r="A2" s="2076" t="s">
        <v>2646</v>
      </c>
      <c r="B2" s="2076"/>
      <c r="C2" s="2076"/>
      <c r="D2" s="2076"/>
      <c r="E2" s="2076"/>
      <c r="F2" s="2076"/>
      <c r="G2" s="2076"/>
      <c r="H2" s="2076"/>
      <c r="I2" s="2076"/>
      <c r="J2" s="2076"/>
      <c r="K2" s="2076"/>
      <c r="L2" s="2076"/>
      <c r="M2" s="2076"/>
      <c r="N2" s="2076"/>
      <c r="O2" s="2076"/>
      <c r="P2" s="2076"/>
      <c r="Q2" s="2076"/>
      <c r="R2" s="2076"/>
      <c r="S2" s="2076"/>
      <c r="T2" s="2076"/>
      <c r="U2" s="2076"/>
      <c r="V2" s="2076"/>
    </row>
    <row r="3" spans="1:22" ht="26.25" hidden="1" customHeight="1" x14ac:dyDescent="0.25">
      <c r="A3" s="2074" t="s">
        <v>2647</v>
      </c>
      <c r="B3" s="2074"/>
      <c r="C3" s="2074"/>
      <c r="D3" s="2074"/>
      <c r="E3" s="2074"/>
      <c r="F3" s="2074"/>
      <c r="G3" s="2074"/>
      <c r="H3" s="2074"/>
      <c r="I3" s="2074"/>
      <c r="J3" s="2074"/>
      <c r="K3" s="2074"/>
      <c r="L3" s="2074"/>
      <c r="M3" s="2074"/>
      <c r="N3" s="2074"/>
      <c r="O3" s="2074"/>
      <c r="P3" s="2074"/>
      <c r="Q3" s="2074"/>
      <c r="R3" s="2074"/>
      <c r="S3" s="2074"/>
      <c r="T3" s="2074"/>
      <c r="U3" s="2074"/>
      <c r="V3" s="2074"/>
    </row>
    <row r="4" spans="1:22" ht="25.5" hidden="1" customHeight="1" x14ac:dyDescent="0.25">
      <c r="A4" s="2074" t="s">
        <v>2648</v>
      </c>
      <c r="B4" s="2074"/>
      <c r="C4" s="2074"/>
      <c r="D4" s="2074"/>
      <c r="E4" s="2074"/>
      <c r="F4" s="2074"/>
      <c r="G4" s="2074"/>
      <c r="H4" s="2074"/>
      <c r="I4" s="2074"/>
      <c r="J4" s="2074"/>
      <c r="K4" s="2074"/>
      <c r="L4" s="2074"/>
      <c r="M4" s="2074"/>
      <c r="N4" s="2074"/>
      <c r="O4" s="2074"/>
      <c r="P4" s="2074"/>
      <c r="Q4" s="2074"/>
      <c r="R4" s="2074"/>
      <c r="S4" s="2074"/>
      <c r="T4" s="2074"/>
      <c r="U4" s="2074"/>
      <c r="V4" s="2074"/>
    </row>
    <row r="5" spans="1:22" ht="24" hidden="1" customHeight="1" x14ac:dyDescent="0.25">
      <c r="A5" s="2074" t="s">
        <v>2649</v>
      </c>
      <c r="B5" s="2074"/>
      <c r="C5" s="2074"/>
      <c r="D5" s="2074"/>
      <c r="E5" s="2074"/>
      <c r="F5" s="2074"/>
      <c r="G5" s="2074"/>
      <c r="H5" s="2074"/>
      <c r="I5" s="2074"/>
      <c r="J5" s="2074"/>
      <c r="K5" s="2074"/>
      <c r="L5" s="2074"/>
      <c r="M5" s="2074"/>
      <c r="N5" s="2074"/>
      <c r="O5" s="2074"/>
      <c r="P5" s="2074"/>
      <c r="Q5" s="2074"/>
      <c r="R5" s="2074"/>
      <c r="S5" s="2074"/>
      <c r="T5" s="2074"/>
      <c r="U5" s="2074"/>
      <c r="V5" s="2074"/>
    </row>
    <row r="6" spans="1:22" ht="36" hidden="1" customHeight="1" x14ac:dyDescent="0.25">
      <c r="A6" s="2077" t="s">
        <v>2740</v>
      </c>
      <c r="B6" s="2077"/>
      <c r="C6" s="2077"/>
      <c r="D6" s="2077"/>
      <c r="E6" s="2077"/>
      <c r="F6" s="2077"/>
      <c r="G6" s="2077"/>
      <c r="H6" s="2077"/>
      <c r="I6" s="2077"/>
      <c r="J6" s="2077"/>
      <c r="K6" s="2077"/>
      <c r="L6" s="2077"/>
      <c r="M6" s="2077"/>
      <c r="N6" s="2077"/>
      <c r="O6" s="2077"/>
      <c r="P6" s="2077"/>
      <c r="Q6" s="2077"/>
      <c r="R6" s="2077"/>
      <c r="S6" s="2077"/>
      <c r="T6" s="2077"/>
      <c r="U6" s="2077"/>
      <c r="V6" s="2077"/>
    </row>
    <row r="7" spans="1:22" ht="27.75" customHeight="1" x14ac:dyDescent="0.25">
      <c r="A7" s="2074" t="s">
        <v>2770</v>
      </c>
      <c r="B7" s="2074"/>
      <c r="C7" s="2074"/>
      <c r="D7" s="2074"/>
      <c r="E7" s="2074"/>
      <c r="F7" s="2074"/>
      <c r="G7" s="2074"/>
      <c r="H7" s="2074"/>
      <c r="I7" s="2074"/>
      <c r="J7" s="2074"/>
      <c r="K7" s="2074"/>
      <c r="L7" s="2074"/>
      <c r="M7" s="2074"/>
      <c r="N7" s="2074"/>
      <c r="O7" s="2074"/>
      <c r="P7" s="2074"/>
      <c r="Q7" s="2074"/>
      <c r="R7" s="2074"/>
      <c r="S7" s="2074"/>
      <c r="T7" s="2074"/>
      <c r="U7" s="2074"/>
      <c r="V7" s="2074"/>
    </row>
    <row r="8" spans="1:22" s="1390" customFormat="1" ht="28.5" hidden="1" customHeight="1" x14ac:dyDescent="0.25">
      <c r="A8" s="2074" t="s">
        <v>2650</v>
      </c>
      <c r="B8" s="2074"/>
      <c r="C8" s="2074"/>
      <c r="D8" s="2074"/>
      <c r="E8" s="2074"/>
      <c r="F8" s="2074"/>
      <c r="G8" s="2074"/>
      <c r="H8" s="2074"/>
      <c r="I8" s="2074"/>
      <c r="J8" s="2074"/>
      <c r="K8" s="2074"/>
      <c r="L8" s="2074"/>
      <c r="M8" s="2074"/>
      <c r="N8" s="2074"/>
      <c r="O8" s="2074"/>
      <c r="P8" s="2074"/>
      <c r="Q8" s="2074"/>
      <c r="R8" s="2074"/>
      <c r="S8" s="2074"/>
      <c r="T8" s="2074"/>
      <c r="U8" s="2074"/>
      <c r="V8" s="2074"/>
    </row>
    <row r="9" spans="1:22" s="1390" customFormat="1" ht="36" hidden="1" customHeight="1" x14ac:dyDescent="0.25">
      <c r="A9" s="2075" t="s">
        <v>2769</v>
      </c>
      <c r="B9" s="2075"/>
      <c r="C9" s="2075"/>
      <c r="D9" s="2075"/>
      <c r="E9" s="2075"/>
      <c r="F9" s="2075"/>
      <c r="G9" s="2075"/>
      <c r="H9" s="2075"/>
      <c r="I9" s="2075"/>
      <c r="J9" s="2075"/>
      <c r="K9" s="2075"/>
      <c r="L9" s="2075"/>
      <c r="M9" s="2075"/>
      <c r="N9" s="2075"/>
      <c r="O9" s="2075"/>
      <c r="P9" s="2075"/>
      <c r="Q9" s="2075"/>
      <c r="R9" s="2075"/>
      <c r="S9" s="2075"/>
      <c r="T9" s="2075"/>
      <c r="U9" s="2075"/>
      <c r="V9" s="2075"/>
    </row>
    <row r="10" spans="1:22" s="1567" customFormat="1" ht="25.5" customHeight="1" x14ac:dyDescent="0.25">
      <c r="A10" s="1390"/>
      <c r="B10" s="1391"/>
      <c r="C10" s="1391"/>
      <c r="D10" s="1391"/>
      <c r="E10" s="1391"/>
      <c r="F10" s="1391"/>
      <c r="G10" s="1391"/>
      <c r="H10" s="1391"/>
      <c r="I10" s="1391"/>
      <c r="J10" s="1391"/>
      <c r="K10" s="1391"/>
      <c r="L10" s="1391"/>
      <c r="M10" s="1391"/>
      <c r="N10" s="1391"/>
      <c r="O10" s="1391"/>
      <c r="P10" s="1391"/>
      <c r="Q10" s="1391"/>
      <c r="R10" s="1391"/>
      <c r="S10" s="1391"/>
      <c r="T10" s="1391"/>
      <c r="U10" s="1391"/>
      <c r="V10" s="1392" t="s">
        <v>6</v>
      </c>
    </row>
    <row r="11" spans="1:22" s="1567" customFormat="1" ht="32.25" customHeight="1" x14ac:dyDescent="0.25">
      <c r="A11" s="2067" t="s">
        <v>2651</v>
      </c>
      <c r="B11" s="2067" t="s">
        <v>2652</v>
      </c>
      <c r="C11" s="2067" t="s">
        <v>2653</v>
      </c>
      <c r="D11" s="2067" t="s">
        <v>9</v>
      </c>
      <c r="E11" s="2067" t="s">
        <v>2654</v>
      </c>
      <c r="F11" s="2030" t="s">
        <v>2655</v>
      </c>
      <c r="G11" s="2030" t="s">
        <v>2656</v>
      </c>
      <c r="H11" s="2067" t="s">
        <v>2657</v>
      </c>
      <c r="I11" s="2067" t="s">
        <v>11</v>
      </c>
      <c r="J11" s="2067" t="s">
        <v>2658</v>
      </c>
      <c r="K11" s="2067" t="s">
        <v>2659</v>
      </c>
      <c r="L11" s="2067" t="s">
        <v>2660</v>
      </c>
      <c r="M11" s="2067"/>
      <c r="N11" s="2067"/>
      <c r="O11" s="2067"/>
      <c r="P11" s="2067"/>
      <c r="Q11" s="2067"/>
      <c r="R11" s="2067"/>
      <c r="S11" s="2067"/>
      <c r="T11" s="2067" t="s">
        <v>2661</v>
      </c>
      <c r="U11" s="2064" t="s">
        <v>2662</v>
      </c>
      <c r="V11" s="2064" t="s">
        <v>1870</v>
      </c>
    </row>
    <row r="12" spans="1:22" s="1567" customFormat="1" ht="32.25" customHeight="1" x14ac:dyDescent="0.25">
      <c r="A12" s="2067"/>
      <c r="B12" s="2067"/>
      <c r="C12" s="2067"/>
      <c r="D12" s="2067"/>
      <c r="E12" s="2067"/>
      <c r="F12" s="2030"/>
      <c r="G12" s="2030"/>
      <c r="H12" s="2067"/>
      <c r="I12" s="2067"/>
      <c r="J12" s="2067"/>
      <c r="K12" s="2067"/>
      <c r="L12" s="2067" t="s">
        <v>2663</v>
      </c>
      <c r="M12" s="2067" t="s">
        <v>33</v>
      </c>
      <c r="N12" s="2067"/>
      <c r="O12" s="2067"/>
      <c r="P12" s="2067"/>
      <c r="Q12" s="2067"/>
      <c r="R12" s="2067"/>
      <c r="S12" s="2067"/>
      <c r="T12" s="2067"/>
      <c r="U12" s="2065"/>
      <c r="V12" s="2065"/>
    </row>
    <row r="13" spans="1:22" s="1567" customFormat="1" ht="30.75" customHeight="1" x14ac:dyDescent="0.25">
      <c r="A13" s="2067"/>
      <c r="B13" s="2067"/>
      <c r="C13" s="2067"/>
      <c r="D13" s="2067"/>
      <c r="E13" s="2067"/>
      <c r="F13" s="2030"/>
      <c r="G13" s="2030"/>
      <c r="H13" s="2067"/>
      <c r="I13" s="2067"/>
      <c r="J13" s="2067"/>
      <c r="K13" s="2067"/>
      <c r="L13" s="2067"/>
      <c r="M13" s="2067" t="s">
        <v>34</v>
      </c>
      <c r="N13" s="2068" t="s">
        <v>2664</v>
      </c>
      <c r="O13" s="2068"/>
      <c r="P13" s="2068"/>
      <c r="Q13" s="2068"/>
      <c r="R13" s="2068"/>
      <c r="S13" s="2068"/>
      <c r="T13" s="2067"/>
      <c r="U13" s="2065"/>
      <c r="V13" s="2065"/>
    </row>
    <row r="14" spans="1:22" s="1567" customFormat="1" ht="33" customHeight="1" x14ac:dyDescent="0.25">
      <c r="A14" s="2067"/>
      <c r="B14" s="2067"/>
      <c r="C14" s="2067"/>
      <c r="D14" s="2067"/>
      <c r="E14" s="2067"/>
      <c r="F14" s="2030"/>
      <c r="G14" s="2030"/>
      <c r="H14" s="2067"/>
      <c r="I14" s="2067"/>
      <c r="J14" s="2067"/>
      <c r="K14" s="2067"/>
      <c r="L14" s="2067"/>
      <c r="M14" s="2067"/>
      <c r="N14" s="2067" t="s">
        <v>2665</v>
      </c>
      <c r="O14" s="2067"/>
      <c r="P14" s="2069" t="s">
        <v>2666</v>
      </c>
      <c r="Q14" s="2070"/>
      <c r="R14" s="2071"/>
      <c r="S14" s="2064" t="s">
        <v>2667</v>
      </c>
      <c r="T14" s="2067"/>
      <c r="U14" s="2065"/>
      <c r="V14" s="2065"/>
    </row>
    <row r="15" spans="1:22" s="1567" customFormat="1" ht="34.5" customHeight="1" x14ac:dyDescent="0.25">
      <c r="A15" s="2067"/>
      <c r="B15" s="2067"/>
      <c r="C15" s="2067"/>
      <c r="D15" s="2067"/>
      <c r="E15" s="2067"/>
      <c r="F15" s="2030"/>
      <c r="G15" s="2030"/>
      <c r="H15" s="2067"/>
      <c r="I15" s="2067"/>
      <c r="J15" s="2067"/>
      <c r="K15" s="2067"/>
      <c r="L15" s="2067"/>
      <c r="M15" s="2067"/>
      <c r="N15" s="2067" t="s">
        <v>2668</v>
      </c>
      <c r="O15" s="2067" t="s">
        <v>2669</v>
      </c>
      <c r="P15" s="2067" t="s">
        <v>2670</v>
      </c>
      <c r="Q15" s="2069" t="s">
        <v>2671</v>
      </c>
      <c r="R15" s="2071"/>
      <c r="S15" s="2072"/>
      <c r="T15" s="2067"/>
      <c r="U15" s="2065"/>
      <c r="V15" s="2065"/>
    </row>
    <row r="16" spans="1:22" s="1399" customFormat="1" ht="66.75" customHeight="1" x14ac:dyDescent="0.25">
      <c r="A16" s="2067"/>
      <c r="B16" s="2067"/>
      <c r="C16" s="2067"/>
      <c r="D16" s="2067"/>
      <c r="E16" s="2067"/>
      <c r="F16" s="2030"/>
      <c r="G16" s="2030"/>
      <c r="H16" s="2067"/>
      <c r="I16" s="2067"/>
      <c r="J16" s="2067"/>
      <c r="K16" s="2067"/>
      <c r="L16" s="2067"/>
      <c r="M16" s="2067"/>
      <c r="N16" s="2067"/>
      <c r="O16" s="2067"/>
      <c r="P16" s="2067"/>
      <c r="Q16" s="1549" t="s">
        <v>2668</v>
      </c>
      <c r="R16" s="1549" t="s">
        <v>2672</v>
      </c>
      <c r="S16" s="2073"/>
      <c r="T16" s="2067"/>
      <c r="U16" s="2066"/>
      <c r="V16" s="2066"/>
    </row>
    <row r="17" spans="1:22" s="1404" customFormat="1" ht="32.25" customHeight="1" x14ac:dyDescent="0.25">
      <c r="A17" s="1400"/>
      <c r="B17" s="1401" t="s">
        <v>2673</v>
      </c>
      <c r="C17" s="1402"/>
      <c r="D17" s="1402"/>
      <c r="E17" s="1402"/>
      <c r="F17" s="1402"/>
      <c r="G17" s="1402"/>
      <c r="H17" s="1402"/>
      <c r="I17" s="1400"/>
      <c r="J17" s="1400"/>
      <c r="K17" s="1400"/>
      <c r="L17" s="1400"/>
      <c r="M17" s="1403">
        <f>M18+M25</f>
        <v>621653</v>
      </c>
      <c r="N17" s="1403">
        <f>N18+N25</f>
        <v>215089</v>
      </c>
      <c r="O17" s="1403">
        <f>O18+O25</f>
        <v>53813</v>
      </c>
      <c r="P17" s="1403"/>
      <c r="Q17" s="1403">
        <f t="shared" ref="Q17:S17" si="0">Q18+Q25</f>
        <v>1269791.52</v>
      </c>
      <c r="R17" s="1403">
        <f t="shared" si="0"/>
        <v>1105433.52</v>
      </c>
      <c r="S17" s="1403">
        <f t="shared" si="0"/>
        <v>164358</v>
      </c>
      <c r="T17" s="1403"/>
      <c r="U17" s="1403">
        <f t="shared" ref="U17" si="1">U18+U25</f>
        <v>146300</v>
      </c>
      <c r="V17" s="1403"/>
    </row>
    <row r="18" spans="1:22" s="1409" customFormat="1" ht="35.25" customHeight="1" x14ac:dyDescent="0.25">
      <c r="A18" s="1568"/>
      <c r="B18" s="1569" t="s">
        <v>2674</v>
      </c>
      <c r="C18" s="1402"/>
      <c r="D18" s="1402"/>
      <c r="E18" s="1402"/>
      <c r="F18" s="1402"/>
      <c r="G18" s="1402"/>
      <c r="H18" s="1402"/>
      <c r="I18" s="1568"/>
      <c r="J18" s="1568"/>
      <c r="K18" s="1568"/>
      <c r="L18" s="1568"/>
      <c r="M18" s="1403">
        <f>M19+M22</f>
        <v>277529</v>
      </c>
      <c r="N18" s="1403">
        <f t="shared" ref="N18:S18" si="2">N19+N22</f>
        <v>124420</v>
      </c>
      <c r="O18" s="1403">
        <f t="shared" si="2"/>
        <v>53813</v>
      </c>
      <c r="P18" s="1403"/>
      <c r="Q18" s="1403">
        <f t="shared" si="2"/>
        <v>1016336.5199999999</v>
      </c>
      <c r="R18" s="1403">
        <f t="shared" si="2"/>
        <v>922103.5199999999</v>
      </c>
      <c r="S18" s="1403">
        <f t="shared" si="2"/>
        <v>94233</v>
      </c>
      <c r="T18" s="1403"/>
      <c r="U18" s="1403">
        <f t="shared" ref="U18" si="3">U19+U22</f>
        <v>84511</v>
      </c>
      <c r="V18" s="1403"/>
    </row>
    <row r="19" spans="1:22" s="1409" customFormat="1" ht="58.5" customHeight="1" x14ac:dyDescent="0.25">
      <c r="A19" s="1405" t="s">
        <v>45</v>
      </c>
      <c r="B19" s="1406" t="s">
        <v>2675</v>
      </c>
      <c r="C19" s="1407"/>
      <c r="D19" s="1406"/>
      <c r="E19" s="1406"/>
      <c r="F19" s="1406"/>
      <c r="G19" s="1406"/>
      <c r="H19" s="1406"/>
      <c r="I19" s="1550"/>
      <c r="J19" s="1550"/>
      <c r="K19" s="1550"/>
      <c r="L19" s="1550"/>
      <c r="M19" s="1408">
        <f>M21</f>
        <v>176625</v>
      </c>
      <c r="N19" s="1408">
        <f>N21</f>
        <v>107625</v>
      </c>
      <c r="O19" s="1408">
        <f>O21</f>
        <v>53813</v>
      </c>
      <c r="P19" s="1408"/>
      <c r="Q19" s="1408">
        <f t="shared" ref="Q19:S19" si="4">Q21</f>
        <v>932227.5199999999</v>
      </c>
      <c r="R19" s="1408">
        <f t="shared" si="4"/>
        <v>863227.5199999999</v>
      </c>
      <c r="S19" s="1408">
        <f t="shared" si="4"/>
        <v>69000</v>
      </c>
      <c r="T19" s="1408"/>
      <c r="U19" s="1408">
        <f t="shared" ref="U19" si="5">U21</f>
        <v>69000</v>
      </c>
      <c r="V19" s="1408"/>
    </row>
    <row r="20" spans="1:22" ht="33.75" customHeight="1" x14ac:dyDescent="0.25">
      <c r="A20" s="1410"/>
      <c r="B20" s="1406" t="s">
        <v>2676</v>
      </c>
      <c r="C20" s="1407"/>
      <c r="D20" s="1406"/>
      <c r="E20" s="1406"/>
      <c r="F20" s="1406"/>
      <c r="G20" s="1406"/>
      <c r="H20" s="1406"/>
      <c r="I20" s="1550"/>
      <c r="J20" s="1550"/>
      <c r="K20" s="1550"/>
      <c r="L20" s="1550"/>
      <c r="M20" s="1408"/>
      <c r="N20" s="1408"/>
      <c r="O20" s="1408"/>
      <c r="P20" s="1408"/>
      <c r="Q20" s="1411"/>
      <c r="R20" s="1408"/>
      <c r="S20" s="1408"/>
      <c r="T20" s="1408"/>
      <c r="U20" s="1408"/>
      <c r="V20" s="1408"/>
    </row>
    <row r="21" spans="1:22" s="1409" customFormat="1" ht="279" customHeight="1" x14ac:dyDescent="0.25">
      <c r="A21" s="1412" t="s">
        <v>1142</v>
      </c>
      <c r="B21" s="1413" t="s">
        <v>2677</v>
      </c>
      <c r="C21" s="1414" t="s">
        <v>2678</v>
      </c>
      <c r="D21" s="1414" t="s">
        <v>2679</v>
      </c>
      <c r="E21" s="1414" t="s">
        <v>2680</v>
      </c>
      <c r="F21" s="1415">
        <v>7388314</v>
      </c>
      <c r="G21" s="1414">
        <v>278</v>
      </c>
      <c r="H21" s="1414" t="s">
        <v>2681</v>
      </c>
      <c r="I21" s="1414" t="s">
        <v>698</v>
      </c>
      <c r="J21" s="1414" t="s">
        <v>2682</v>
      </c>
      <c r="K21" s="1414" t="s">
        <v>2683</v>
      </c>
      <c r="L21" s="1414" t="s">
        <v>2684</v>
      </c>
      <c r="M21" s="1416">
        <f>N21+S21</f>
        <v>176625</v>
      </c>
      <c r="N21" s="1416">
        <v>107625</v>
      </c>
      <c r="O21" s="1416">
        <v>53813</v>
      </c>
      <c r="P21" s="1417" t="s">
        <v>2685</v>
      </c>
      <c r="Q21" s="1416">
        <f>40880*22.804</f>
        <v>932227.5199999999</v>
      </c>
      <c r="R21" s="1416">
        <f>Q21-S21</f>
        <v>863227.5199999999</v>
      </c>
      <c r="S21" s="1416">
        <v>69000</v>
      </c>
      <c r="T21" s="1570"/>
      <c r="U21" s="1418">
        <v>69000</v>
      </c>
      <c r="V21" s="1419" t="s">
        <v>2686</v>
      </c>
    </row>
    <row r="22" spans="1:22" s="1409" customFormat="1" ht="68.25" customHeight="1" x14ac:dyDescent="0.25">
      <c r="A22" s="1405" t="s">
        <v>85</v>
      </c>
      <c r="B22" s="1406" t="s">
        <v>2687</v>
      </c>
      <c r="C22" s="1407"/>
      <c r="D22" s="1406"/>
      <c r="E22" s="1406"/>
      <c r="F22" s="1406"/>
      <c r="G22" s="1406"/>
      <c r="H22" s="1406"/>
      <c r="I22" s="1550"/>
      <c r="J22" s="1550"/>
      <c r="K22" s="1550"/>
      <c r="L22" s="1550"/>
      <c r="M22" s="1408">
        <f>M24</f>
        <v>100904</v>
      </c>
      <c r="N22" s="1408">
        <f t="shared" ref="N22:S22" si="6">N24</f>
        <v>16795</v>
      </c>
      <c r="O22" s="1408"/>
      <c r="P22" s="1408"/>
      <c r="Q22" s="1408">
        <f t="shared" si="6"/>
        <v>84109</v>
      </c>
      <c r="R22" s="1408">
        <f t="shared" si="6"/>
        <v>58876</v>
      </c>
      <c r="S22" s="1408">
        <f t="shared" si="6"/>
        <v>25233</v>
      </c>
      <c r="T22" s="1408"/>
      <c r="U22" s="1408">
        <f t="shared" ref="U22" si="7">U24</f>
        <v>15511</v>
      </c>
      <c r="V22" s="1408"/>
    </row>
    <row r="23" spans="1:22" ht="36" customHeight="1" x14ac:dyDescent="0.25">
      <c r="A23" s="1410"/>
      <c r="B23" s="1406" t="s">
        <v>2676</v>
      </c>
      <c r="C23" s="1407"/>
      <c r="D23" s="1406"/>
      <c r="E23" s="1406"/>
      <c r="F23" s="1406"/>
      <c r="G23" s="1406"/>
      <c r="H23" s="1406"/>
      <c r="I23" s="1550"/>
      <c r="J23" s="1550"/>
      <c r="K23" s="1550"/>
      <c r="L23" s="1550"/>
      <c r="M23" s="1408"/>
      <c r="N23" s="1408"/>
      <c r="O23" s="1408"/>
      <c r="P23" s="1408"/>
      <c r="Q23" s="1411"/>
      <c r="R23" s="1408"/>
      <c r="S23" s="1408"/>
      <c r="T23" s="1408"/>
      <c r="U23" s="1408"/>
      <c r="V23" s="1408"/>
    </row>
    <row r="24" spans="1:22" s="1404" customFormat="1" ht="147" customHeight="1" x14ac:dyDescent="0.25">
      <c r="A24" s="1412" t="s">
        <v>56</v>
      </c>
      <c r="B24" s="1413" t="s">
        <v>2688</v>
      </c>
      <c r="C24" s="1414" t="s">
        <v>2689</v>
      </c>
      <c r="D24" s="1420" t="s">
        <v>176</v>
      </c>
      <c r="E24" s="1414" t="s">
        <v>2680</v>
      </c>
      <c r="F24" s="1415">
        <v>7686806</v>
      </c>
      <c r="G24" s="1420">
        <v>332</v>
      </c>
      <c r="H24" s="1414" t="s">
        <v>2690</v>
      </c>
      <c r="I24" s="1549" t="s">
        <v>332</v>
      </c>
      <c r="J24" s="1414" t="s">
        <v>2691</v>
      </c>
      <c r="K24" s="1414" t="s">
        <v>2692</v>
      </c>
      <c r="L24" s="1421" t="s">
        <v>2693</v>
      </c>
      <c r="M24" s="1422">
        <v>100904</v>
      </c>
      <c r="N24" s="1423">
        <v>16795</v>
      </c>
      <c r="O24" s="1424"/>
      <c r="P24" s="1400" t="s">
        <v>2694</v>
      </c>
      <c r="Q24" s="1425">
        <v>84109</v>
      </c>
      <c r="R24" s="1416">
        <v>58876</v>
      </c>
      <c r="S24" s="1416">
        <f>Q24-R24</f>
        <v>25233</v>
      </c>
      <c r="T24" s="1571"/>
      <c r="U24" s="1418">
        <v>15511</v>
      </c>
      <c r="V24" s="1418"/>
    </row>
    <row r="25" spans="1:22" ht="32.25" customHeight="1" x14ac:dyDescent="0.25">
      <c r="A25" s="1568"/>
      <c r="B25" s="1569" t="s">
        <v>2695</v>
      </c>
      <c r="C25" s="1402"/>
      <c r="D25" s="1402"/>
      <c r="E25" s="1402"/>
      <c r="F25" s="1402"/>
      <c r="G25" s="1402"/>
      <c r="H25" s="1402"/>
      <c r="I25" s="1568"/>
      <c r="J25" s="1568"/>
      <c r="K25" s="1568"/>
      <c r="L25" s="1568"/>
      <c r="M25" s="1403">
        <f>M26</f>
        <v>344124</v>
      </c>
      <c r="N25" s="1403">
        <f>N26</f>
        <v>90669</v>
      </c>
      <c r="O25" s="1403">
        <f>O27+O30</f>
        <v>0</v>
      </c>
      <c r="P25" s="1403"/>
      <c r="Q25" s="1403">
        <f>Q26</f>
        <v>253455</v>
      </c>
      <c r="R25" s="1403">
        <f>R26</f>
        <v>183330</v>
      </c>
      <c r="S25" s="1403">
        <f>S26</f>
        <v>70125</v>
      </c>
      <c r="T25" s="1403"/>
      <c r="U25" s="1403">
        <f>U26</f>
        <v>61789</v>
      </c>
      <c r="V25" s="1403"/>
    </row>
    <row r="26" spans="1:22" ht="209.25" customHeight="1" x14ac:dyDescent="0.25">
      <c r="A26" s="1412">
        <v>3</v>
      </c>
      <c r="B26" s="1413" t="s">
        <v>872</v>
      </c>
      <c r="C26" s="1414" t="s">
        <v>2696</v>
      </c>
      <c r="D26" s="1420" t="s">
        <v>2697</v>
      </c>
      <c r="E26" s="1414" t="s">
        <v>2680</v>
      </c>
      <c r="F26" s="1415">
        <v>7232858</v>
      </c>
      <c r="G26" s="1420">
        <v>262</v>
      </c>
      <c r="H26" s="1414" t="s">
        <v>873</v>
      </c>
      <c r="I26" s="1549" t="s">
        <v>290</v>
      </c>
      <c r="J26" s="1414" t="s">
        <v>2698</v>
      </c>
      <c r="K26" s="1414" t="s">
        <v>2699</v>
      </c>
      <c r="L26" s="1421" t="s">
        <v>2700</v>
      </c>
      <c r="M26" s="1422">
        <v>344124</v>
      </c>
      <c r="N26" s="1423">
        <v>90669</v>
      </c>
      <c r="O26" s="1424"/>
      <c r="P26" s="1400" t="s">
        <v>2701</v>
      </c>
      <c r="Q26" s="1425">
        <v>253455</v>
      </c>
      <c r="R26" s="1416">
        <v>183330</v>
      </c>
      <c r="S26" s="1416">
        <f>Q26-R26</f>
        <v>70125</v>
      </c>
      <c r="T26" s="1571"/>
      <c r="U26" s="1418">
        <v>61789</v>
      </c>
      <c r="V26" s="1418"/>
    </row>
    <row r="27" spans="1:22" s="1393" customFormat="1" ht="29.25" customHeight="1" x14ac:dyDescent="0.25">
      <c r="A27" s="1426"/>
      <c r="B27" s="1426"/>
      <c r="C27" s="1426"/>
      <c r="D27" s="1426"/>
      <c r="E27" s="1426"/>
      <c r="F27" s="1426"/>
      <c r="G27" s="1426"/>
      <c r="H27" s="1426"/>
      <c r="I27" s="1426"/>
      <c r="J27" s="1426"/>
      <c r="K27" s="1426"/>
      <c r="L27" s="1426"/>
      <c r="M27" s="1426"/>
      <c r="N27" s="1426"/>
      <c r="O27" s="1426"/>
      <c r="P27" s="1426"/>
      <c r="Q27" s="1426"/>
      <c r="R27" s="1426"/>
      <c r="S27" s="1426"/>
      <c r="T27" s="1426"/>
      <c r="U27" s="1426"/>
      <c r="V27" s="1426"/>
    </row>
    <row r="28" spans="1:22" x14ac:dyDescent="0.25">
      <c r="A28" s="1394"/>
      <c r="B28" s="1394"/>
      <c r="C28" s="1394"/>
      <c r="D28" s="1394"/>
      <c r="E28" s="1394"/>
      <c r="F28" s="1394"/>
      <c r="G28" s="1394"/>
      <c r="H28" s="1394"/>
      <c r="I28" s="1394"/>
      <c r="J28" s="1394"/>
      <c r="K28" s="1394"/>
      <c r="L28" s="1394"/>
      <c r="M28" s="1394"/>
      <c r="N28" s="1394"/>
      <c r="O28" s="1394"/>
      <c r="P28" s="1394"/>
      <c r="Q28" s="1394"/>
      <c r="R28" s="1394"/>
      <c r="S28" s="1394"/>
      <c r="T28" s="1394"/>
      <c r="U28" s="1394"/>
      <c r="V28" s="1394"/>
    </row>
    <row r="29" spans="1:22" x14ac:dyDescent="0.25">
      <c r="A29" s="1389"/>
      <c r="B29" s="1389"/>
      <c r="C29" s="1389"/>
      <c r="D29" s="1389"/>
      <c r="E29" s="1389"/>
      <c r="F29" s="1389"/>
      <c r="G29" s="1389"/>
      <c r="H29" s="1389"/>
      <c r="I29" s="1389"/>
      <c r="J29" s="1389"/>
      <c r="K29" s="1389"/>
      <c r="L29" s="1389"/>
      <c r="M29" s="1389"/>
      <c r="N29" s="1389"/>
      <c r="O29" s="1389"/>
      <c r="P29" s="1389"/>
      <c r="Q29" s="1389"/>
      <c r="R29" s="1389"/>
      <c r="S29" s="1389"/>
      <c r="T29" s="1389"/>
      <c r="U29" s="1389"/>
      <c r="V29" s="1389"/>
    </row>
    <row r="30" spans="1:22" x14ac:dyDescent="0.25">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row>
    <row r="31" spans="1:22" x14ac:dyDescent="0.25">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row>
    <row r="32" spans="1:22" x14ac:dyDescent="0.25">
      <c r="A32" s="1389"/>
      <c r="B32" s="1389"/>
      <c r="C32" s="1389"/>
      <c r="D32" s="1389"/>
      <c r="E32" s="1389"/>
      <c r="F32" s="1389"/>
      <c r="G32" s="1389"/>
      <c r="H32" s="1389"/>
      <c r="I32" s="1389"/>
      <c r="J32" s="1389"/>
      <c r="K32" s="1389"/>
      <c r="L32" s="1389"/>
      <c r="M32" s="1389"/>
      <c r="N32" s="1389"/>
      <c r="O32" s="1389"/>
      <c r="P32" s="1389"/>
      <c r="Q32" s="1389"/>
      <c r="R32" s="1389"/>
      <c r="S32" s="1389"/>
      <c r="T32" s="1389"/>
      <c r="U32" s="1389"/>
      <c r="V32" s="1389"/>
    </row>
    <row r="33" spans="1:22" x14ac:dyDescent="0.25">
      <c r="A33" s="1389"/>
      <c r="B33" s="1389"/>
      <c r="C33" s="1389"/>
      <c r="D33" s="1389"/>
      <c r="E33" s="1389"/>
      <c r="F33" s="1389"/>
      <c r="G33" s="1389"/>
      <c r="H33" s="1389"/>
      <c r="I33" s="1389"/>
      <c r="J33" s="1389"/>
      <c r="K33" s="1389"/>
      <c r="L33" s="1389"/>
      <c r="M33" s="1389"/>
      <c r="N33" s="1389"/>
      <c r="O33" s="1389"/>
      <c r="P33" s="1389"/>
      <c r="Q33" s="1389"/>
      <c r="R33" s="1389"/>
      <c r="S33" s="1389"/>
      <c r="T33" s="1389"/>
      <c r="U33" s="1389"/>
      <c r="V33" s="1389"/>
    </row>
    <row r="34" spans="1:22" x14ac:dyDescent="0.25">
      <c r="A34" s="1389"/>
      <c r="B34" s="1389"/>
      <c r="C34" s="1389"/>
      <c r="D34" s="1389"/>
      <c r="E34" s="1389"/>
      <c r="F34" s="1389"/>
      <c r="G34" s="1389"/>
      <c r="H34" s="1389"/>
      <c r="I34" s="1389"/>
      <c r="J34" s="1389"/>
      <c r="K34" s="1389"/>
      <c r="L34" s="1389"/>
      <c r="M34" s="1389"/>
      <c r="N34" s="1389"/>
      <c r="O34" s="1389"/>
      <c r="P34" s="1389"/>
      <c r="Q34" s="1389"/>
      <c r="R34" s="1389"/>
      <c r="S34" s="1389"/>
      <c r="T34" s="1389"/>
      <c r="U34" s="1389"/>
      <c r="V34" s="1389"/>
    </row>
    <row r="35" spans="1:22" x14ac:dyDescent="0.25">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row>
    <row r="36" spans="1:22" x14ac:dyDescent="0.25">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row>
    <row r="37" spans="1:22" x14ac:dyDescent="0.25">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row>
    <row r="38" spans="1:22" x14ac:dyDescent="0.25">
      <c r="A38" s="1389"/>
      <c r="B38" s="1389"/>
      <c r="C38" s="1389"/>
      <c r="D38" s="1389"/>
      <c r="E38" s="1389"/>
      <c r="F38" s="1389"/>
      <c r="G38" s="1389"/>
      <c r="H38" s="1389"/>
      <c r="I38" s="1389"/>
      <c r="J38" s="1389"/>
      <c r="K38" s="1389"/>
      <c r="L38" s="1389"/>
      <c r="M38" s="1389"/>
      <c r="N38" s="1389"/>
      <c r="O38" s="1389"/>
      <c r="P38" s="1389"/>
      <c r="Q38" s="1389"/>
      <c r="R38" s="1389"/>
      <c r="S38" s="1389"/>
      <c r="T38" s="1389"/>
      <c r="U38" s="1389"/>
      <c r="V38" s="1389"/>
    </row>
    <row r="39" spans="1:22" x14ac:dyDescent="0.25">
      <c r="A39" s="1389"/>
      <c r="B39" s="1389"/>
      <c r="C39" s="1389"/>
      <c r="D39" s="1389"/>
      <c r="E39" s="1389"/>
      <c r="F39" s="1389"/>
      <c r="G39" s="1389"/>
      <c r="H39" s="1389"/>
      <c r="I39" s="1389"/>
      <c r="J39" s="1389"/>
      <c r="K39" s="1389"/>
      <c r="L39" s="1389"/>
      <c r="M39" s="1389"/>
      <c r="N39" s="1389"/>
      <c r="O39" s="1389"/>
      <c r="P39" s="1389"/>
      <c r="Q39" s="1389"/>
      <c r="R39" s="1389"/>
      <c r="S39" s="1389"/>
      <c r="T39" s="1389"/>
      <c r="U39" s="1389"/>
      <c r="V39" s="1389"/>
    </row>
    <row r="40" spans="1:22" x14ac:dyDescent="0.25">
      <c r="A40" s="1389"/>
      <c r="B40" s="1389"/>
      <c r="C40" s="1389"/>
      <c r="D40" s="1389"/>
      <c r="E40" s="1389"/>
      <c r="F40" s="1389"/>
      <c r="G40" s="1389"/>
      <c r="H40" s="1389"/>
      <c r="I40" s="1389"/>
      <c r="J40" s="1389"/>
      <c r="K40" s="1389"/>
      <c r="L40" s="1389"/>
      <c r="M40" s="1389"/>
      <c r="N40" s="1389"/>
      <c r="O40" s="1389"/>
      <c r="P40" s="1389"/>
      <c r="Q40" s="1389"/>
      <c r="R40" s="1389"/>
      <c r="S40" s="1389"/>
      <c r="T40" s="1389"/>
      <c r="U40" s="1389"/>
      <c r="V40" s="1389"/>
    </row>
    <row r="41" spans="1:22" x14ac:dyDescent="0.25">
      <c r="A41" s="1389"/>
      <c r="B41" s="1389"/>
      <c r="C41" s="1389"/>
      <c r="D41" s="1389"/>
      <c r="E41" s="1389"/>
      <c r="F41" s="1389"/>
      <c r="G41" s="1389"/>
      <c r="H41" s="1389"/>
      <c r="I41" s="1389"/>
      <c r="J41" s="1389"/>
      <c r="K41" s="1389"/>
      <c r="L41" s="1389"/>
      <c r="M41" s="1389"/>
      <c r="N41" s="1389"/>
      <c r="O41" s="1389"/>
      <c r="P41" s="1389"/>
      <c r="Q41" s="1389"/>
      <c r="R41" s="1389"/>
      <c r="S41" s="1389"/>
      <c r="T41" s="1389"/>
      <c r="U41" s="1389"/>
      <c r="V41" s="1389"/>
    </row>
    <row r="42" spans="1:22" x14ac:dyDescent="0.25">
      <c r="A42" s="1389"/>
      <c r="B42" s="1389"/>
      <c r="C42" s="1389"/>
      <c r="D42" s="1389"/>
      <c r="E42" s="1389"/>
      <c r="F42" s="1389"/>
      <c r="G42" s="1389"/>
      <c r="H42" s="1389"/>
      <c r="I42" s="1389"/>
      <c r="J42" s="1389"/>
      <c r="K42" s="1389"/>
      <c r="L42" s="1389"/>
      <c r="M42" s="1389"/>
      <c r="N42" s="1389"/>
      <c r="O42" s="1389"/>
      <c r="P42" s="1389"/>
      <c r="Q42" s="1389"/>
      <c r="R42" s="1389"/>
      <c r="S42" s="1389"/>
      <c r="T42" s="1389"/>
      <c r="U42" s="1389"/>
      <c r="V42" s="1389"/>
    </row>
    <row r="43" spans="1:22" x14ac:dyDescent="0.25">
      <c r="A43" s="1389"/>
      <c r="B43" s="1389"/>
      <c r="C43" s="1389"/>
      <c r="D43" s="1389"/>
      <c r="E43" s="1389"/>
      <c r="F43" s="1389"/>
      <c r="G43" s="1389"/>
      <c r="H43" s="1389"/>
      <c r="I43" s="1389"/>
      <c r="J43" s="1389"/>
      <c r="K43" s="1389"/>
      <c r="L43" s="1389"/>
      <c r="M43" s="1389"/>
      <c r="N43" s="1389"/>
      <c r="O43" s="1389"/>
      <c r="P43" s="1389"/>
      <c r="Q43" s="1389"/>
      <c r="R43" s="1389"/>
      <c r="S43" s="1389"/>
      <c r="T43" s="1389"/>
      <c r="U43" s="1389"/>
      <c r="V43" s="1389"/>
    </row>
    <row r="44" spans="1:22" x14ac:dyDescent="0.25">
      <c r="A44" s="1389"/>
      <c r="B44" s="1389"/>
      <c r="C44" s="1389"/>
      <c r="D44" s="1389"/>
      <c r="E44" s="1389"/>
      <c r="F44" s="1389"/>
      <c r="G44" s="1389"/>
      <c r="H44" s="1389"/>
      <c r="I44" s="1389"/>
      <c r="J44" s="1389"/>
      <c r="K44" s="1389"/>
      <c r="L44" s="1389"/>
      <c r="M44" s="1389"/>
      <c r="N44" s="1389"/>
      <c r="O44" s="1389"/>
      <c r="P44" s="1389"/>
      <c r="Q44" s="1389"/>
      <c r="R44" s="1389"/>
      <c r="S44" s="1389"/>
      <c r="T44" s="1389"/>
      <c r="U44" s="1389"/>
      <c r="V44" s="1389"/>
    </row>
    <row r="45" spans="1:22" x14ac:dyDescent="0.25">
      <c r="A45" s="1389"/>
      <c r="B45" s="1389"/>
      <c r="C45" s="1389"/>
      <c r="D45" s="1389"/>
      <c r="E45" s="1389"/>
      <c r="F45" s="1389"/>
      <c r="G45" s="1389"/>
      <c r="H45" s="1389"/>
      <c r="I45" s="1389"/>
      <c r="J45" s="1389"/>
      <c r="K45" s="1389"/>
      <c r="L45" s="1389"/>
      <c r="M45" s="1389"/>
      <c r="N45" s="1389"/>
      <c r="O45" s="1389"/>
      <c r="P45" s="1389"/>
      <c r="Q45" s="1389"/>
      <c r="R45" s="1389"/>
      <c r="S45" s="1389"/>
      <c r="T45" s="1389"/>
      <c r="U45" s="1389"/>
      <c r="V45" s="1389"/>
    </row>
    <row r="46" spans="1:22" x14ac:dyDescent="0.25">
      <c r="A46" s="1389"/>
      <c r="B46" s="1389"/>
      <c r="C46" s="1389"/>
      <c r="D46" s="1389"/>
      <c r="E46" s="1389"/>
      <c r="F46" s="1389"/>
      <c r="G46" s="1389"/>
      <c r="H46" s="1389"/>
      <c r="I46" s="1389"/>
      <c r="J46" s="1389"/>
      <c r="K46" s="1389"/>
      <c r="L46" s="1389"/>
      <c r="M46" s="1389"/>
      <c r="N46" s="1389"/>
      <c r="O46" s="1389"/>
      <c r="P46" s="1389"/>
      <c r="Q46" s="1389"/>
      <c r="R46" s="1389"/>
      <c r="S46" s="1389"/>
      <c r="T46" s="1389"/>
      <c r="U46" s="1389"/>
      <c r="V46" s="1389"/>
    </row>
    <row r="47" spans="1:22" x14ac:dyDescent="0.25">
      <c r="A47" s="1389"/>
      <c r="B47" s="1389"/>
      <c r="C47" s="1389"/>
      <c r="D47" s="1389"/>
      <c r="E47" s="1389"/>
      <c r="F47" s="1389"/>
      <c r="G47" s="1389"/>
      <c r="H47" s="1389"/>
      <c r="I47" s="1389"/>
      <c r="J47" s="1389"/>
      <c r="K47" s="1389"/>
      <c r="L47" s="1389"/>
      <c r="M47" s="1389"/>
      <c r="N47" s="1389"/>
      <c r="O47" s="1389"/>
      <c r="P47" s="1389"/>
      <c r="Q47" s="1389"/>
      <c r="R47" s="1389"/>
      <c r="S47" s="1389"/>
      <c r="T47" s="1389"/>
      <c r="U47" s="1389"/>
      <c r="V47" s="1389"/>
    </row>
    <row r="48" spans="1:22" x14ac:dyDescent="0.25">
      <c r="A48" s="1389"/>
      <c r="B48" s="1389"/>
      <c r="C48" s="1389"/>
      <c r="D48" s="1389"/>
      <c r="E48" s="1389"/>
      <c r="F48" s="1389"/>
      <c r="G48" s="1389"/>
      <c r="H48" s="1389"/>
      <c r="I48" s="1389"/>
      <c r="J48" s="1389"/>
      <c r="K48" s="1389"/>
      <c r="L48" s="1389"/>
      <c r="M48" s="1389"/>
      <c r="N48" s="1389"/>
      <c r="O48" s="1389"/>
      <c r="P48" s="1389"/>
      <c r="Q48" s="1389"/>
      <c r="R48" s="1389"/>
      <c r="S48" s="1389"/>
      <c r="T48" s="1389"/>
      <c r="U48" s="1389"/>
      <c r="V48" s="1389"/>
    </row>
    <row r="49" spans="1:22" x14ac:dyDescent="0.25">
      <c r="A49" s="1389"/>
      <c r="B49" s="1389"/>
      <c r="C49" s="1389"/>
      <c r="D49" s="1389"/>
      <c r="E49" s="1389"/>
      <c r="F49" s="1389"/>
      <c r="G49" s="1389"/>
      <c r="H49" s="1389"/>
      <c r="I49" s="1389"/>
      <c r="J49" s="1389"/>
      <c r="K49" s="1389"/>
      <c r="L49" s="1389"/>
      <c r="M49" s="1389"/>
      <c r="N49" s="1389"/>
      <c r="O49" s="1389"/>
      <c r="P49" s="1389"/>
      <c r="Q49" s="1389"/>
      <c r="R49" s="1389"/>
      <c r="S49" s="1389"/>
      <c r="T49" s="1389"/>
      <c r="U49" s="1389"/>
      <c r="V49" s="1389"/>
    </row>
    <row r="50" spans="1:22" x14ac:dyDescent="0.25">
      <c r="A50" s="1389"/>
      <c r="B50" s="1389"/>
      <c r="C50" s="1389"/>
      <c r="D50" s="1389"/>
      <c r="E50" s="1389"/>
      <c r="F50" s="1389"/>
      <c r="G50" s="1389"/>
      <c r="H50" s="1389"/>
      <c r="I50" s="1389"/>
      <c r="J50" s="1389"/>
      <c r="K50" s="1389"/>
      <c r="L50" s="1389"/>
      <c r="M50" s="1389"/>
      <c r="N50" s="1389"/>
      <c r="O50" s="1389"/>
      <c r="P50" s="1389"/>
      <c r="Q50" s="1389"/>
      <c r="R50" s="1389"/>
      <c r="S50" s="1389"/>
      <c r="T50" s="1389"/>
      <c r="U50" s="1389"/>
      <c r="V50" s="1389"/>
    </row>
    <row r="51" spans="1:22" x14ac:dyDescent="0.25">
      <c r="A51" s="1389"/>
      <c r="B51" s="1389"/>
      <c r="C51" s="1389"/>
      <c r="D51" s="1389"/>
      <c r="E51" s="1389"/>
      <c r="F51" s="1389"/>
      <c r="G51" s="1389"/>
      <c r="H51" s="1389"/>
      <c r="I51" s="1389"/>
      <c r="J51" s="1389"/>
      <c r="K51" s="1389"/>
      <c r="L51" s="1389"/>
      <c r="M51" s="1389"/>
      <c r="N51" s="1389"/>
      <c r="O51" s="1389"/>
      <c r="P51" s="1389"/>
      <c r="Q51" s="1389"/>
      <c r="R51" s="1389"/>
      <c r="S51" s="1389"/>
      <c r="T51" s="1389"/>
      <c r="U51" s="1389"/>
      <c r="V51" s="1389"/>
    </row>
    <row r="52" spans="1:22" x14ac:dyDescent="0.25">
      <c r="A52" s="1389"/>
      <c r="B52" s="1389"/>
      <c r="C52" s="1389"/>
      <c r="D52" s="1389"/>
      <c r="E52" s="1389"/>
      <c r="F52" s="1389"/>
      <c r="G52" s="1389"/>
      <c r="H52" s="1389"/>
      <c r="I52" s="1389"/>
      <c r="J52" s="1389"/>
      <c r="K52" s="1389"/>
      <c r="L52" s="1389"/>
      <c r="M52" s="1389"/>
      <c r="N52" s="1389"/>
      <c r="O52" s="1389"/>
      <c r="P52" s="1389"/>
      <c r="Q52" s="1389"/>
      <c r="R52" s="1389"/>
      <c r="S52" s="1389"/>
      <c r="T52" s="1389"/>
      <c r="U52" s="1389"/>
      <c r="V52" s="1389"/>
    </row>
    <row r="53" spans="1:22" x14ac:dyDescent="0.25">
      <c r="A53" s="1389"/>
      <c r="B53" s="1389"/>
      <c r="C53" s="1389"/>
      <c r="D53" s="1389"/>
      <c r="E53" s="1389"/>
      <c r="F53" s="1389"/>
      <c r="G53" s="1389"/>
      <c r="H53" s="1389"/>
      <c r="I53" s="1389"/>
      <c r="J53" s="1389"/>
      <c r="K53" s="1389"/>
      <c r="L53" s="1389"/>
      <c r="M53" s="1389"/>
      <c r="N53" s="1389"/>
      <c r="O53" s="1389"/>
      <c r="P53" s="1389"/>
      <c r="Q53" s="1389"/>
      <c r="R53" s="1389"/>
      <c r="S53" s="1389"/>
      <c r="T53" s="1389"/>
      <c r="U53" s="1389"/>
      <c r="V53" s="1389"/>
    </row>
    <row r="54" spans="1:22" x14ac:dyDescent="0.25">
      <c r="A54" s="1389"/>
      <c r="B54" s="1389"/>
      <c r="C54" s="1389"/>
      <c r="D54" s="1389"/>
      <c r="E54" s="1389"/>
      <c r="F54" s="1389"/>
      <c r="G54" s="1389"/>
      <c r="H54" s="1389"/>
      <c r="I54" s="1389"/>
      <c r="J54" s="1389"/>
      <c r="K54" s="1389"/>
      <c r="L54" s="1389"/>
      <c r="M54" s="1389"/>
      <c r="N54" s="1389"/>
      <c r="O54" s="1389"/>
      <c r="P54" s="1389"/>
      <c r="Q54" s="1389"/>
      <c r="R54" s="1389"/>
      <c r="S54" s="1389"/>
      <c r="T54" s="1389"/>
      <c r="U54" s="1389"/>
      <c r="V54" s="1389"/>
    </row>
    <row r="55" spans="1:22" x14ac:dyDescent="0.25">
      <c r="A55" s="1389"/>
      <c r="B55" s="1389"/>
      <c r="C55" s="1389"/>
      <c r="D55" s="1389"/>
      <c r="E55" s="1389"/>
      <c r="F55" s="1389"/>
      <c r="G55" s="1389"/>
      <c r="H55" s="1389"/>
      <c r="I55" s="1389"/>
      <c r="J55" s="1389"/>
      <c r="K55" s="1389"/>
      <c r="L55" s="1389"/>
      <c r="M55" s="1389"/>
      <c r="N55" s="1389"/>
      <c r="O55" s="1389"/>
      <c r="P55" s="1389"/>
      <c r="Q55" s="1389"/>
      <c r="R55" s="1389"/>
      <c r="S55" s="1389"/>
      <c r="T55" s="1389"/>
      <c r="U55" s="1389"/>
      <c r="V55" s="1389"/>
    </row>
    <row r="56" spans="1:22" x14ac:dyDescent="0.25">
      <c r="A56" s="1389"/>
      <c r="B56" s="1389"/>
      <c r="C56" s="1389"/>
      <c r="D56" s="1389"/>
      <c r="E56" s="1389"/>
      <c r="F56" s="1389"/>
      <c r="G56" s="1389"/>
      <c r="H56" s="1389"/>
      <c r="I56" s="1389"/>
      <c r="J56" s="1389"/>
      <c r="K56" s="1389"/>
      <c r="L56" s="1389"/>
      <c r="M56" s="1389"/>
      <c r="N56" s="1389"/>
      <c r="O56" s="1389"/>
      <c r="P56" s="1389"/>
      <c r="Q56" s="1389"/>
      <c r="R56" s="1389"/>
      <c r="S56" s="1389"/>
      <c r="T56" s="1389"/>
      <c r="U56" s="1389"/>
      <c r="V56" s="1389"/>
    </row>
    <row r="57" spans="1:22" x14ac:dyDescent="0.25">
      <c r="A57" s="1389"/>
      <c r="B57" s="1389"/>
      <c r="C57" s="1389"/>
      <c r="D57" s="1389"/>
      <c r="E57" s="1389"/>
      <c r="F57" s="1389"/>
      <c r="G57" s="1389"/>
      <c r="H57" s="1389"/>
      <c r="I57" s="1389"/>
      <c r="J57" s="1389"/>
      <c r="K57" s="1389"/>
      <c r="L57" s="1389"/>
      <c r="M57" s="1389"/>
      <c r="N57" s="1389"/>
      <c r="O57" s="1389"/>
      <c r="P57" s="1389"/>
      <c r="Q57" s="1389"/>
      <c r="R57" s="1389"/>
      <c r="S57" s="1389"/>
      <c r="T57" s="1389"/>
      <c r="U57" s="1389"/>
      <c r="V57" s="1389"/>
    </row>
    <row r="58" spans="1:22" x14ac:dyDescent="0.25">
      <c r="A58" s="1389"/>
      <c r="B58" s="1389"/>
      <c r="C58" s="1389"/>
      <c r="D58" s="1389"/>
      <c r="E58" s="1389"/>
      <c r="F58" s="1389"/>
      <c r="G58" s="1389"/>
      <c r="H58" s="1389"/>
      <c r="I58" s="1389"/>
      <c r="J58" s="1389"/>
      <c r="K58" s="1389"/>
      <c r="L58" s="1389"/>
      <c r="M58" s="1389"/>
      <c r="N58" s="1389"/>
      <c r="O58" s="1389"/>
      <c r="P58" s="1389"/>
      <c r="Q58" s="1389"/>
      <c r="R58" s="1389"/>
      <c r="S58" s="1389"/>
      <c r="T58" s="1389"/>
      <c r="U58" s="1389"/>
      <c r="V58" s="1389"/>
    </row>
    <row r="59" spans="1:22" x14ac:dyDescent="0.25">
      <c r="A59" s="1389"/>
      <c r="B59" s="1389"/>
      <c r="C59" s="1389"/>
      <c r="D59" s="1389"/>
      <c r="E59" s="1389"/>
      <c r="F59" s="1389"/>
      <c r="G59" s="1389"/>
      <c r="H59" s="1389"/>
      <c r="I59" s="1389"/>
      <c r="J59" s="1389"/>
      <c r="K59" s="1389"/>
      <c r="L59" s="1389"/>
      <c r="M59" s="1389"/>
      <c r="N59" s="1389"/>
      <c r="O59" s="1389"/>
      <c r="P59" s="1389"/>
      <c r="Q59" s="1389"/>
      <c r="R59" s="1389"/>
      <c r="S59" s="1389"/>
      <c r="T59" s="1389"/>
      <c r="U59" s="1389"/>
      <c r="V59" s="1389"/>
    </row>
    <row r="60" spans="1:22" x14ac:dyDescent="0.25">
      <c r="A60" s="1389"/>
      <c r="B60" s="1389"/>
      <c r="C60" s="1389"/>
      <c r="D60" s="1389"/>
      <c r="E60" s="1389"/>
      <c r="F60" s="1389"/>
      <c r="G60" s="1389"/>
      <c r="H60" s="1389"/>
      <c r="I60" s="1389"/>
      <c r="J60" s="1389"/>
      <c r="K60" s="1389"/>
      <c r="L60" s="1389"/>
      <c r="M60" s="1389"/>
      <c r="N60" s="1389"/>
      <c r="O60" s="1389"/>
      <c r="P60" s="1389"/>
      <c r="Q60" s="1389"/>
      <c r="R60" s="1389"/>
      <c r="S60" s="1389"/>
      <c r="T60" s="1389"/>
      <c r="U60" s="1389"/>
      <c r="V60" s="1389"/>
    </row>
    <row r="61" spans="1:22" x14ac:dyDescent="0.25">
      <c r="A61" s="1389"/>
      <c r="B61" s="1389"/>
      <c r="C61" s="1389"/>
      <c r="D61" s="1389"/>
      <c r="E61" s="1389"/>
      <c r="F61" s="1389"/>
      <c r="G61" s="1389"/>
      <c r="H61" s="1389"/>
      <c r="I61" s="1389"/>
      <c r="J61" s="1389"/>
      <c r="K61" s="1389"/>
      <c r="L61" s="1389"/>
      <c r="M61" s="1389"/>
      <c r="N61" s="1389"/>
      <c r="O61" s="1389"/>
      <c r="P61" s="1389"/>
      <c r="Q61" s="1389"/>
      <c r="R61" s="1389"/>
      <c r="S61" s="1389"/>
      <c r="T61" s="1389"/>
      <c r="U61" s="1389"/>
      <c r="V61" s="1389"/>
    </row>
    <row r="62" spans="1:22" x14ac:dyDescent="0.25">
      <c r="A62" s="1389"/>
      <c r="B62" s="1389"/>
      <c r="C62" s="1389"/>
      <c r="D62" s="1389"/>
      <c r="E62" s="1389"/>
      <c r="F62" s="1389"/>
      <c r="G62" s="1389"/>
      <c r="H62" s="1389"/>
      <c r="I62" s="1389"/>
      <c r="J62" s="1389"/>
      <c r="K62" s="1389"/>
      <c r="L62" s="1389"/>
      <c r="M62" s="1389"/>
      <c r="N62" s="1389"/>
      <c r="O62" s="1389"/>
      <c r="P62" s="1389"/>
      <c r="Q62" s="1389"/>
      <c r="R62" s="1389"/>
      <c r="S62" s="1389"/>
      <c r="T62" s="1389"/>
      <c r="U62" s="1389"/>
      <c r="V62" s="1389"/>
    </row>
    <row r="63" spans="1:22" x14ac:dyDescent="0.25">
      <c r="A63" s="1389"/>
      <c r="B63" s="1389"/>
      <c r="C63" s="1389"/>
      <c r="D63" s="1389"/>
      <c r="E63" s="1389"/>
      <c r="F63" s="1389"/>
      <c r="G63" s="1389"/>
      <c r="H63" s="1389"/>
      <c r="I63" s="1389"/>
      <c r="J63" s="1389"/>
      <c r="K63" s="1389"/>
      <c r="L63" s="1389"/>
      <c r="M63" s="1389"/>
      <c r="N63" s="1389"/>
      <c r="O63" s="1389"/>
      <c r="P63" s="1389"/>
      <c r="Q63" s="1389"/>
      <c r="R63" s="1389"/>
      <c r="S63" s="1389"/>
      <c r="T63" s="1389"/>
      <c r="U63" s="1389"/>
      <c r="V63" s="1389"/>
    </row>
    <row r="64" spans="1:22" x14ac:dyDescent="0.25">
      <c r="A64" s="1389"/>
      <c r="B64" s="1389"/>
      <c r="C64" s="1389"/>
      <c r="D64" s="1389"/>
      <c r="E64" s="1389"/>
      <c r="F64" s="1389"/>
      <c r="G64" s="1389"/>
      <c r="H64" s="1389"/>
      <c r="I64" s="1389"/>
      <c r="J64" s="1389"/>
      <c r="K64" s="1389"/>
      <c r="L64" s="1389"/>
      <c r="M64" s="1389"/>
      <c r="N64" s="1389"/>
      <c r="O64" s="1389"/>
      <c r="P64" s="1389"/>
      <c r="Q64" s="1389"/>
      <c r="R64" s="1389"/>
      <c r="S64" s="1389"/>
      <c r="T64" s="1389"/>
      <c r="U64" s="1389"/>
      <c r="V64" s="1389"/>
    </row>
    <row r="65" spans="1:22" x14ac:dyDescent="0.25">
      <c r="A65" s="1389"/>
      <c r="B65" s="1389"/>
      <c r="C65" s="1389"/>
      <c r="D65" s="1389"/>
      <c r="E65" s="1389"/>
      <c r="F65" s="1389"/>
      <c r="G65" s="1389"/>
      <c r="H65" s="1389"/>
      <c r="I65" s="1389"/>
      <c r="J65" s="1389"/>
      <c r="K65" s="1389"/>
      <c r="L65" s="1389"/>
      <c r="M65" s="1389"/>
      <c r="N65" s="1389"/>
      <c r="O65" s="1389"/>
      <c r="P65" s="1389"/>
      <c r="Q65" s="1389"/>
      <c r="R65" s="1389"/>
      <c r="S65" s="1389"/>
      <c r="T65" s="1389"/>
      <c r="U65" s="1389"/>
      <c r="V65" s="1389"/>
    </row>
    <row r="66" spans="1:22" x14ac:dyDescent="0.25">
      <c r="A66" s="1389"/>
      <c r="B66" s="1389"/>
      <c r="C66" s="1389"/>
      <c r="D66" s="1389"/>
      <c r="E66" s="1389"/>
      <c r="F66" s="1389"/>
      <c r="G66" s="1389"/>
      <c r="H66" s="1389"/>
      <c r="I66" s="1389"/>
      <c r="J66" s="1389"/>
      <c r="K66" s="1389"/>
      <c r="L66" s="1389"/>
      <c r="M66" s="1389"/>
      <c r="N66" s="1389"/>
      <c r="O66" s="1389"/>
      <c r="P66" s="1389"/>
      <c r="Q66" s="1389"/>
      <c r="R66" s="1389"/>
      <c r="S66" s="1389"/>
      <c r="T66" s="1389"/>
      <c r="U66" s="1389"/>
      <c r="V66" s="1389"/>
    </row>
    <row r="67" spans="1:22" x14ac:dyDescent="0.25">
      <c r="A67" s="1389"/>
      <c r="B67" s="1389"/>
      <c r="C67" s="1389"/>
      <c r="D67" s="1389"/>
      <c r="E67" s="1389"/>
      <c r="F67" s="1389"/>
      <c r="G67" s="1389"/>
      <c r="H67" s="1389"/>
      <c r="I67" s="1389"/>
      <c r="J67" s="1389"/>
      <c r="K67" s="1389"/>
      <c r="L67" s="1389"/>
      <c r="M67" s="1389"/>
      <c r="N67" s="1389"/>
      <c r="O67" s="1389"/>
      <c r="P67" s="1389"/>
      <c r="Q67" s="1389"/>
      <c r="R67" s="1389"/>
      <c r="S67" s="1389"/>
      <c r="T67" s="1389"/>
      <c r="U67" s="1389"/>
      <c r="V67" s="1389"/>
    </row>
    <row r="68" spans="1:22" x14ac:dyDescent="0.25">
      <c r="A68" s="1389"/>
      <c r="B68" s="1389"/>
      <c r="C68" s="1389"/>
      <c r="D68" s="1389"/>
      <c r="E68" s="1389"/>
      <c r="F68" s="1389"/>
      <c r="G68" s="1389"/>
      <c r="H68" s="1389"/>
      <c r="I68" s="1389"/>
      <c r="J68" s="1389"/>
      <c r="K68" s="1389"/>
      <c r="L68" s="1389"/>
      <c r="M68" s="1389"/>
      <c r="N68" s="1389"/>
      <c r="O68" s="1389"/>
      <c r="P68" s="1389"/>
      <c r="Q68" s="1389"/>
      <c r="R68" s="1389"/>
      <c r="S68" s="1389"/>
      <c r="T68" s="1389"/>
      <c r="U68" s="1389"/>
      <c r="V68" s="1389"/>
    </row>
    <row r="69" spans="1:22" x14ac:dyDescent="0.25">
      <c r="A69" s="1389"/>
      <c r="B69" s="1389"/>
      <c r="C69" s="1389"/>
      <c r="D69" s="1389"/>
      <c r="E69" s="1389"/>
      <c r="F69" s="1389"/>
      <c r="G69" s="1389"/>
      <c r="H69" s="1389"/>
      <c r="I69" s="1389"/>
      <c r="J69" s="1389"/>
      <c r="K69" s="1389"/>
      <c r="L69" s="1389"/>
      <c r="M69" s="1389"/>
      <c r="N69" s="1389"/>
      <c r="O69" s="1389"/>
      <c r="P69" s="1389"/>
      <c r="Q69" s="1389"/>
      <c r="R69" s="1389"/>
      <c r="S69" s="1389"/>
      <c r="T69" s="1389"/>
      <c r="U69" s="1389"/>
      <c r="V69" s="1389"/>
    </row>
    <row r="70" spans="1:22" x14ac:dyDescent="0.25">
      <c r="A70" s="1389"/>
      <c r="B70" s="1389"/>
      <c r="C70" s="1389"/>
      <c r="D70" s="1389"/>
      <c r="E70" s="1389"/>
      <c r="F70" s="1389"/>
      <c r="G70" s="1389"/>
      <c r="H70" s="1389"/>
      <c r="I70" s="1389"/>
      <c r="J70" s="1389"/>
      <c r="K70" s="1389"/>
      <c r="L70" s="1389"/>
      <c r="M70" s="1389"/>
      <c r="N70" s="1389"/>
      <c r="O70" s="1389"/>
      <c r="P70" s="1389"/>
      <c r="Q70" s="1389"/>
      <c r="R70" s="1389"/>
      <c r="S70" s="1389"/>
      <c r="T70" s="1389"/>
      <c r="U70" s="1389"/>
      <c r="V70" s="1389"/>
    </row>
    <row r="71" spans="1:22" x14ac:dyDescent="0.25">
      <c r="A71" s="1389"/>
      <c r="B71" s="1389"/>
      <c r="C71" s="1389"/>
      <c r="D71" s="1389"/>
      <c r="E71" s="1389"/>
      <c r="F71" s="1389"/>
      <c r="G71" s="1389"/>
      <c r="H71" s="1389"/>
      <c r="I71" s="1389"/>
      <c r="J71" s="1389"/>
      <c r="K71" s="1389"/>
      <c r="L71" s="1389"/>
      <c r="M71" s="1389"/>
      <c r="N71" s="1389"/>
      <c r="O71" s="1389"/>
      <c r="P71" s="1389"/>
      <c r="Q71" s="1389"/>
      <c r="R71" s="1389"/>
      <c r="S71" s="1389"/>
      <c r="T71" s="1389"/>
      <c r="U71" s="1389"/>
      <c r="V71" s="1389"/>
    </row>
    <row r="72" spans="1:22" x14ac:dyDescent="0.25">
      <c r="A72" s="1389"/>
      <c r="B72" s="1389"/>
      <c r="C72" s="1389"/>
      <c r="D72" s="1389"/>
      <c r="E72" s="1389"/>
      <c r="F72" s="1389"/>
      <c r="G72" s="1389"/>
      <c r="H72" s="1389"/>
      <c r="I72" s="1389"/>
      <c r="J72" s="1389"/>
      <c r="K72" s="1389"/>
      <c r="L72" s="1389"/>
      <c r="M72" s="1389"/>
      <c r="N72" s="1389"/>
      <c r="O72" s="1389"/>
      <c r="P72" s="1389"/>
      <c r="Q72" s="1389"/>
      <c r="R72" s="1389"/>
      <c r="S72" s="1389"/>
      <c r="T72" s="1389"/>
      <c r="U72" s="1389"/>
      <c r="V72" s="1389"/>
    </row>
    <row r="73" spans="1:22" x14ac:dyDescent="0.25">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row>
    <row r="74" spans="1:22" x14ac:dyDescent="0.25">
      <c r="A74" s="1389"/>
      <c r="B74" s="1389"/>
      <c r="C74" s="1389"/>
      <c r="D74" s="1389"/>
      <c r="E74" s="1389"/>
      <c r="F74" s="1389"/>
      <c r="G74" s="1389"/>
      <c r="H74" s="1389"/>
      <c r="I74" s="1389"/>
      <c r="J74" s="1389"/>
      <c r="K74" s="1389"/>
      <c r="L74" s="1389"/>
      <c r="M74" s="1389"/>
      <c r="N74" s="1389"/>
      <c r="O74" s="1389"/>
      <c r="P74" s="1389"/>
      <c r="Q74" s="1389"/>
      <c r="R74" s="1389"/>
      <c r="S74" s="1389"/>
      <c r="T74" s="1389"/>
      <c r="U74" s="1389"/>
      <c r="V74" s="1389"/>
    </row>
    <row r="75" spans="1:22" x14ac:dyDescent="0.25">
      <c r="A75" s="1389"/>
      <c r="B75" s="1389"/>
      <c r="C75" s="1389"/>
      <c r="D75" s="1389"/>
      <c r="E75" s="1389"/>
      <c r="F75" s="1389"/>
      <c r="G75" s="1389"/>
      <c r="H75" s="1389"/>
      <c r="I75" s="1389"/>
      <c r="J75" s="1389"/>
      <c r="K75" s="1389"/>
      <c r="L75" s="1389"/>
      <c r="M75" s="1389"/>
      <c r="N75" s="1389"/>
      <c r="O75" s="1389"/>
      <c r="P75" s="1389"/>
      <c r="Q75" s="1389"/>
      <c r="R75" s="1389"/>
      <c r="S75" s="1389"/>
      <c r="T75" s="1389"/>
      <c r="U75" s="1389"/>
      <c r="V75" s="1389"/>
    </row>
    <row r="76" spans="1:22" x14ac:dyDescent="0.25">
      <c r="A76" s="1389"/>
      <c r="B76" s="1389"/>
      <c r="C76" s="1389"/>
      <c r="D76" s="1389"/>
      <c r="E76" s="1389"/>
      <c r="F76" s="1389"/>
      <c r="G76" s="1389"/>
      <c r="H76" s="1389"/>
      <c r="I76" s="1389"/>
      <c r="J76" s="1389"/>
      <c r="K76" s="1389"/>
      <c r="L76" s="1389"/>
      <c r="M76" s="1389"/>
      <c r="N76" s="1389"/>
      <c r="O76" s="1389"/>
      <c r="P76" s="1389"/>
      <c r="Q76" s="1389"/>
      <c r="R76" s="1389"/>
      <c r="S76" s="1389"/>
      <c r="T76" s="1389"/>
      <c r="U76" s="1389"/>
      <c r="V76" s="1389"/>
    </row>
    <row r="77" spans="1:22" x14ac:dyDescent="0.25">
      <c r="A77" s="1389"/>
      <c r="B77" s="1389"/>
      <c r="C77" s="1389"/>
      <c r="D77" s="1389"/>
      <c r="E77" s="1389"/>
      <c r="F77" s="1389"/>
      <c r="G77" s="1389"/>
      <c r="H77" s="1389"/>
      <c r="I77" s="1389"/>
      <c r="J77" s="1389"/>
      <c r="K77" s="1389"/>
      <c r="L77" s="1389"/>
      <c r="M77" s="1389"/>
      <c r="N77" s="1389"/>
      <c r="O77" s="1389"/>
      <c r="P77" s="1389"/>
      <c r="Q77" s="1389"/>
      <c r="R77" s="1389"/>
      <c r="S77" s="1389"/>
      <c r="T77" s="1389"/>
      <c r="U77" s="1389"/>
      <c r="V77" s="1389"/>
    </row>
    <row r="78" spans="1:22" x14ac:dyDescent="0.25">
      <c r="A78" s="1389"/>
      <c r="B78" s="1389"/>
      <c r="C78" s="1389"/>
      <c r="D78" s="1389"/>
      <c r="E78" s="1389"/>
      <c r="F78" s="1389"/>
      <c r="G78" s="1389"/>
      <c r="H78" s="1389"/>
      <c r="I78" s="1389"/>
      <c r="J78" s="1389"/>
      <c r="K78" s="1389"/>
      <c r="L78" s="1389"/>
      <c r="M78" s="1389"/>
      <c r="N78" s="1389"/>
      <c r="O78" s="1389"/>
      <c r="P78" s="1389"/>
      <c r="Q78" s="1389"/>
      <c r="R78" s="1389"/>
      <c r="S78" s="1389"/>
      <c r="T78" s="1389"/>
      <c r="U78" s="1389"/>
      <c r="V78" s="1389"/>
    </row>
    <row r="79" spans="1:22" x14ac:dyDescent="0.25">
      <c r="A79" s="1389"/>
      <c r="B79" s="1389"/>
      <c r="C79" s="1389"/>
      <c r="D79" s="1389"/>
      <c r="E79" s="1389"/>
      <c r="F79" s="1389"/>
      <c r="G79" s="1389"/>
      <c r="H79" s="1389"/>
      <c r="I79" s="1389"/>
      <c r="J79" s="1389"/>
      <c r="K79" s="1389"/>
      <c r="L79" s="1389"/>
      <c r="M79" s="1389"/>
      <c r="N79" s="1389"/>
      <c r="O79" s="1389"/>
      <c r="P79" s="1389"/>
      <c r="Q79" s="1389"/>
      <c r="R79" s="1389"/>
      <c r="S79" s="1389"/>
      <c r="T79" s="1389"/>
      <c r="U79" s="1389"/>
      <c r="V79" s="1389"/>
    </row>
    <row r="80" spans="1:22" x14ac:dyDescent="0.25">
      <c r="A80" s="1389"/>
      <c r="B80" s="1389"/>
      <c r="C80" s="1389"/>
      <c r="D80" s="1389"/>
      <c r="E80" s="1389"/>
      <c r="F80" s="1389"/>
      <c r="G80" s="1389"/>
      <c r="H80" s="1389"/>
      <c r="I80" s="1389"/>
      <c r="J80" s="1389"/>
      <c r="K80" s="1389"/>
      <c r="L80" s="1389"/>
      <c r="M80" s="1389"/>
      <c r="N80" s="1389"/>
      <c r="O80" s="1389"/>
      <c r="P80" s="1389"/>
      <c r="Q80" s="1389"/>
      <c r="R80" s="1389"/>
      <c r="S80" s="1389"/>
      <c r="T80" s="1389"/>
      <c r="U80" s="1389"/>
      <c r="V80" s="1389"/>
    </row>
    <row r="81" spans="1:22" x14ac:dyDescent="0.25">
      <c r="A81" s="1389"/>
      <c r="B81" s="1389"/>
      <c r="C81" s="1389"/>
      <c r="D81" s="1389"/>
      <c r="E81" s="1389"/>
      <c r="F81" s="1389"/>
      <c r="G81" s="1389"/>
      <c r="H81" s="1389"/>
      <c r="I81" s="1389"/>
      <c r="J81" s="1389"/>
      <c r="K81" s="1389"/>
      <c r="L81" s="1389"/>
      <c r="M81" s="1389"/>
      <c r="N81" s="1389"/>
      <c r="O81" s="1389"/>
      <c r="P81" s="1389"/>
      <c r="Q81" s="1389"/>
      <c r="R81" s="1389"/>
      <c r="S81" s="1389"/>
      <c r="T81" s="1389"/>
      <c r="U81" s="1389"/>
      <c r="V81" s="1389"/>
    </row>
    <row r="82" spans="1:22" x14ac:dyDescent="0.25">
      <c r="A82" s="1389"/>
      <c r="B82" s="1389"/>
      <c r="C82" s="1389"/>
      <c r="D82" s="1389"/>
      <c r="E82" s="1389"/>
      <c r="F82" s="1389"/>
      <c r="G82" s="1389"/>
      <c r="H82" s="1389"/>
      <c r="I82" s="1389"/>
      <c r="J82" s="1389"/>
      <c r="K82" s="1389"/>
      <c r="L82" s="1389"/>
      <c r="M82" s="1389"/>
      <c r="N82" s="1389"/>
      <c r="O82" s="1389"/>
      <c r="P82" s="1389"/>
      <c r="Q82" s="1389"/>
      <c r="R82" s="1389"/>
      <c r="S82" s="1389"/>
      <c r="T82" s="1389"/>
      <c r="U82" s="1389"/>
      <c r="V82" s="1389"/>
    </row>
    <row r="83" spans="1:22" x14ac:dyDescent="0.25">
      <c r="A83" s="1389"/>
      <c r="B83" s="1389"/>
      <c r="C83" s="1389"/>
      <c r="D83" s="1389"/>
      <c r="E83" s="1389"/>
      <c r="F83" s="1389"/>
      <c r="G83" s="1389"/>
      <c r="H83" s="1389"/>
      <c r="I83" s="1389"/>
      <c r="J83" s="1389"/>
      <c r="K83" s="1389"/>
      <c r="L83" s="1389"/>
      <c r="M83" s="1389"/>
      <c r="N83" s="1389"/>
      <c r="O83" s="1389"/>
      <c r="P83" s="1389"/>
      <c r="Q83" s="1389"/>
      <c r="R83" s="1389"/>
      <c r="S83" s="1389"/>
      <c r="T83" s="1389"/>
      <c r="U83" s="1389"/>
      <c r="V83" s="1389"/>
    </row>
    <row r="84" spans="1:22" x14ac:dyDescent="0.25">
      <c r="A84" s="1389"/>
      <c r="B84" s="1389"/>
      <c r="C84" s="1389"/>
      <c r="D84" s="1389"/>
      <c r="E84" s="1389"/>
      <c r="F84" s="1389"/>
      <c r="G84" s="1389"/>
      <c r="H84" s="1389"/>
      <c r="I84" s="1389"/>
      <c r="J84" s="1389"/>
      <c r="K84" s="1389"/>
      <c r="L84" s="1389"/>
      <c r="M84" s="1389"/>
      <c r="N84" s="1389"/>
      <c r="O84" s="1389"/>
      <c r="P84" s="1389"/>
      <c r="Q84" s="1389"/>
      <c r="R84" s="1389"/>
      <c r="S84" s="1389"/>
      <c r="T84" s="1389"/>
      <c r="U84" s="1389"/>
      <c r="V84" s="1389"/>
    </row>
    <row r="85" spans="1:22" x14ac:dyDescent="0.25">
      <c r="A85" s="1389"/>
      <c r="B85" s="1389"/>
      <c r="C85" s="1389"/>
      <c r="D85" s="1389"/>
      <c r="E85" s="1389"/>
      <c r="F85" s="1389"/>
      <c r="G85" s="1389"/>
      <c r="H85" s="1389"/>
      <c r="I85" s="1389"/>
      <c r="J85" s="1389"/>
      <c r="K85" s="1389"/>
      <c r="L85" s="1389"/>
      <c r="M85" s="1389"/>
      <c r="N85" s="1389"/>
      <c r="O85" s="1389"/>
      <c r="P85" s="1389"/>
      <c r="Q85" s="1389"/>
      <c r="R85" s="1389"/>
      <c r="S85" s="1389"/>
      <c r="T85" s="1389"/>
      <c r="U85" s="1389"/>
      <c r="V85" s="1389"/>
    </row>
    <row r="86" spans="1:22" x14ac:dyDescent="0.25">
      <c r="A86" s="1389"/>
      <c r="B86" s="1389"/>
      <c r="C86" s="1389"/>
      <c r="D86" s="1389"/>
      <c r="E86" s="1389"/>
      <c r="F86" s="1389"/>
      <c r="G86" s="1389"/>
      <c r="H86" s="1389"/>
      <c r="I86" s="1389"/>
      <c r="J86" s="1389"/>
      <c r="K86" s="1389"/>
      <c r="L86" s="1389"/>
      <c r="M86" s="1389"/>
      <c r="N86" s="1389"/>
      <c r="O86" s="1389"/>
      <c r="P86" s="1389"/>
      <c r="Q86" s="1389"/>
      <c r="R86" s="1389"/>
      <c r="S86" s="1389"/>
      <c r="T86" s="1389"/>
      <c r="U86" s="1389"/>
      <c r="V86" s="1389"/>
    </row>
    <row r="87" spans="1:22" x14ac:dyDescent="0.25">
      <c r="A87" s="1389"/>
      <c r="B87" s="1389"/>
      <c r="C87" s="1389"/>
      <c r="D87" s="1389"/>
      <c r="E87" s="1389"/>
      <c r="F87" s="1389"/>
      <c r="G87" s="1389"/>
      <c r="H87" s="1389"/>
      <c r="I87" s="1389"/>
      <c r="J87" s="1389"/>
      <c r="K87" s="1389"/>
      <c r="L87" s="1389"/>
      <c r="M87" s="1389"/>
      <c r="N87" s="1389"/>
      <c r="O87" s="1389"/>
      <c r="P87" s="1389"/>
      <c r="Q87" s="1389"/>
      <c r="R87" s="1389"/>
      <c r="S87" s="1389"/>
      <c r="T87" s="1389"/>
      <c r="U87" s="1389"/>
      <c r="V87" s="1389"/>
    </row>
    <row r="88" spans="1:22" x14ac:dyDescent="0.25">
      <c r="A88" s="1389"/>
      <c r="B88" s="1389"/>
      <c r="C88" s="1389"/>
      <c r="D88" s="1389"/>
      <c r="E88" s="1389"/>
      <c r="F88" s="1389"/>
      <c r="G88" s="1389"/>
      <c r="H88" s="1389"/>
      <c r="I88" s="1389"/>
      <c r="J88" s="1389"/>
      <c r="K88" s="1389"/>
      <c r="L88" s="1389"/>
      <c r="M88" s="1389"/>
      <c r="N88" s="1389"/>
      <c r="O88" s="1389"/>
      <c r="P88" s="1389"/>
      <c r="Q88" s="1389"/>
      <c r="R88" s="1389"/>
      <c r="S88" s="1389"/>
      <c r="T88" s="1389"/>
      <c r="U88" s="1389"/>
      <c r="V88" s="1389"/>
    </row>
    <row r="89" spans="1:22" x14ac:dyDescent="0.25">
      <c r="A89" s="1389"/>
      <c r="B89" s="1389"/>
      <c r="C89" s="1389"/>
      <c r="D89" s="1389"/>
      <c r="E89" s="1389"/>
      <c r="F89" s="1389"/>
      <c r="G89" s="1389"/>
      <c r="H89" s="1389"/>
      <c r="I89" s="1389"/>
      <c r="J89" s="1389"/>
      <c r="K89" s="1389"/>
      <c r="L89" s="1389"/>
      <c r="M89" s="1389"/>
      <c r="N89" s="1389"/>
      <c r="O89" s="1389"/>
      <c r="P89" s="1389"/>
      <c r="Q89" s="1389"/>
      <c r="R89" s="1389"/>
      <c r="S89" s="1389"/>
      <c r="T89" s="1389"/>
      <c r="U89" s="1389"/>
      <c r="V89" s="1389"/>
    </row>
    <row r="90" spans="1:22" x14ac:dyDescent="0.25">
      <c r="A90" s="1389"/>
      <c r="B90" s="1389"/>
      <c r="C90" s="1389"/>
      <c r="D90" s="1389"/>
      <c r="E90" s="1389"/>
      <c r="F90" s="1389"/>
      <c r="G90" s="1389"/>
      <c r="H90" s="1389"/>
      <c r="I90" s="1389"/>
      <c r="J90" s="1389"/>
      <c r="K90" s="1389"/>
      <c r="L90" s="1389"/>
      <c r="M90" s="1389"/>
      <c r="N90" s="1389"/>
      <c r="O90" s="1389"/>
      <c r="P90" s="1389"/>
      <c r="Q90" s="1389"/>
      <c r="R90" s="1389"/>
      <c r="S90" s="1389"/>
      <c r="T90" s="1389"/>
      <c r="U90" s="1389"/>
      <c r="V90" s="1389"/>
    </row>
    <row r="91" spans="1:22" x14ac:dyDescent="0.25">
      <c r="A91" s="1389"/>
      <c r="B91" s="1389"/>
      <c r="C91" s="1389"/>
      <c r="D91" s="1389"/>
      <c r="E91" s="1389"/>
      <c r="F91" s="1389"/>
      <c r="G91" s="1389"/>
      <c r="H91" s="1389"/>
      <c r="I91" s="1389"/>
      <c r="J91" s="1389"/>
      <c r="K91" s="1389"/>
      <c r="L91" s="1389"/>
      <c r="M91" s="1389"/>
      <c r="N91" s="1389"/>
      <c r="O91" s="1389"/>
      <c r="P91" s="1389"/>
      <c r="Q91" s="1389"/>
      <c r="R91" s="1389"/>
      <c r="S91" s="1389"/>
      <c r="T91" s="1389"/>
      <c r="U91" s="1389"/>
      <c r="V91" s="1389"/>
    </row>
    <row r="92" spans="1:22" x14ac:dyDescent="0.25">
      <c r="A92" s="1389"/>
      <c r="B92" s="1389"/>
      <c r="C92" s="1389"/>
      <c r="D92" s="1389"/>
      <c r="E92" s="1389"/>
      <c r="F92" s="1389"/>
      <c r="G92" s="1389"/>
      <c r="H92" s="1389"/>
      <c r="I92" s="1389"/>
      <c r="J92" s="1389"/>
      <c r="K92" s="1389"/>
      <c r="L92" s="1389"/>
      <c r="M92" s="1389"/>
      <c r="N92" s="1389"/>
      <c r="O92" s="1389"/>
      <c r="P92" s="1389"/>
      <c r="Q92" s="1389"/>
      <c r="R92" s="1389"/>
      <c r="S92" s="1389"/>
      <c r="T92" s="1389"/>
      <c r="U92" s="1389"/>
      <c r="V92" s="1389"/>
    </row>
    <row r="93" spans="1:22" x14ac:dyDescent="0.25">
      <c r="A93" s="1389"/>
      <c r="B93" s="1389"/>
      <c r="C93" s="1389"/>
      <c r="D93" s="1389"/>
      <c r="E93" s="1389"/>
      <c r="F93" s="1389"/>
      <c r="G93" s="1389"/>
      <c r="H93" s="1389"/>
      <c r="I93" s="1389"/>
      <c r="J93" s="1389"/>
      <c r="K93" s="1389"/>
      <c r="L93" s="1389"/>
      <c r="M93" s="1389"/>
      <c r="N93" s="1389"/>
      <c r="O93" s="1389"/>
      <c r="P93" s="1389"/>
      <c r="Q93" s="1389"/>
      <c r="R93" s="1389"/>
      <c r="S93" s="1389"/>
      <c r="T93" s="1389"/>
      <c r="U93" s="1389"/>
      <c r="V93" s="1389"/>
    </row>
    <row r="94" spans="1:22" x14ac:dyDescent="0.25">
      <c r="A94" s="1389"/>
      <c r="B94" s="1389"/>
      <c r="C94" s="1389"/>
      <c r="D94" s="1389"/>
      <c r="E94" s="1389"/>
      <c r="F94" s="1389"/>
      <c r="G94" s="1389"/>
      <c r="H94" s="1389"/>
      <c r="I94" s="1389"/>
      <c r="J94" s="1389"/>
      <c r="K94" s="1389"/>
      <c r="L94" s="1389"/>
      <c r="M94" s="1389"/>
      <c r="N94" s="1389"/>
      <c r="O94" s="1389"/>
      <c r="P94" s="1389"/>
      <c r="Q94" s="1389"/>
      <c r="R94" s="1389"/>
      <c r="S94" s="1389"/>
      <c r="T94" s="1389"/>
      <c r="U94" s="1389"/>
      <c r="V94" s="1389"/>
    </row>
    <row r="95" spans="1:22" x14ac:dyDescent="0.25">
      <c r="A95" s="1389"/>
      <c r="B95" s="1389"/>
      <c r="C95" s="1389"/>
      <c r="D95" s="1389"/>
      <c r="E95" s="1389"/>
      <c r="F95" s="1389"/>
      <c r="G95" s="1389"/>
      <c r="H95" s="1389"/>
      <c r="I95" s="1389"/>
      <c r="J95" s="1389"/>
      <c r="K95" s="1389"/>
      <c r="L95" s="1389"/>
      <c r="M95" s="1389"/>
      <c r="N95" s="1389"/>
      <c r="O95" s="1389"/>
      <c r="P95" s="1389"/>
      <c r="Q95" s="1389"/>
      <c r="R95" s="1389"/>
      <c r="S95" s="1389"/>
      <c r="T95" s="1389"/>
      <c r="U95" s="1389"/>
      <c r="V95" s="1389"/>
    </row>
    <row r="96" spans="1:22" x14ac:dyDescent="0.25">
      <c r="A96" s="1389"/>
      <c r="B96" s="1389"/>
      <c r="C96" s="1389"/>
      <c r="D96" s="1389"/>
      <c r="E96" s="1389"/>
      <c r="F96" s="1389"/>
      <c r="G96" s="1389"/>
      <c r="H96" s="1389"/>
      <c r="I96" s="1389"/>
      <c r="J96" s="1389"/>
      <c r="K96" s="1389"/>
      <c r="L96" s="1389"/>
      <c r="M96" s="1389"/>
      <c r="N96" s="1389"/>
      <c r="O96" s="1389"/>
      <c r="P96" s="1389"/>
      <c r="Q96" s="1389"/>
      <c r="R96" s="1389"/>
      <c r="S96" s="1389"/>
      <c r="T96" s="1389"/>
      <c r="U96" s="1389"/>
      <c r="V96" s="1389"/>
    </row>
    <row r="97" spans="1:22" x14ac:dyDescent="0.25">
      <c r="A97" s="1389"/>
      <c r="B97" s="1389"/>
      <c r="C97" s="1389"/>
      <c r="D97" s="1389"/>
      <c r="E97" s="1389"/>
      <c r="F97" s="1389"/>
      <c r="G97" s="1389"/>
      <c r="H97" s="1389"/>
      <c r="I97" s="1389"/>
      <c r="J97" s="1389"/>
      <c r="K97" s="1389"/>
      <c r="L97" s="1389"/>
      <c r="M97" s="1389"/>
      <c r="N97" s="1389"/>
      <c r="O97" s="1389"/>
      <c r="P97" s="1389"/>
      <c r="Q97" s="1389"/>
      <c r="R97" s="1389"/>
      <c r="S97" s="1389"/>
      <c r="T97" s="1389"/>
      <c r="U97" s="1389"/>
      <c r="V97" s="1389"/>
    </row>
    <row r="98" spans="1:22" x14ac:dyDescent="0.25">
      <c r="A98" s="1389"/>
      <c r="B98" s="1389"/>
      <c r="C98" s="1389"/>
      <c r="D98" s="1389"/>
      <c r="E98" s="1389"/>
      <c r="F98" s="1389"/>
      <c r="G98" s="1389"/>
      <c r="H98" s="1389"/>
      <c r="I98" s="1389"/>
      <c r="J98" s="1389"/>
      <c r="K98" s="1389"/>
      <c r="L98" s="1389"/>
      <c r="M98" s="1389"/>
      <c r="N98" s="1389"/>
      <c r="O98" s="1389"/>
      <c r="P98" s="1389"/>
      <c r="Q98" s="1389"/>
      <c r="R98" s="1389"/>
      <c r="S98" s="1389"/>
      <c r="T98" s="1389"/>
      <c r="U98" s="1389"/>
      <c r="V98" s="1389"/>
    </row>
    <row r="99" spans="1:22" x14ac:dyDescent="0.25">
      <c r="A99" s="1389"/>
      <c r="B99" s="1389"/>
      <c r="C99" s="1389"/>
      <c r="D99" s="1389"/>
      <c r="E99" s="1389"/>
      <c r="F99" s="1389"/>
      <c r="G99" s="1389"/>
      <c r="H99" s="1389"/>
      <c r="I99" s="1389"/>
      <c r="J99" s="1389"/>
      <c r="K99" s="1389"/>
      <c r="L99" s="1389"/>
      <c r="M99" s="1389"/>
      <c r="N99" s="1389"/>
      <c r="O99" s="1389"/>
      <c r="P99" s="1389"/>
      <c r="Q99" s="1389"/>
      <c r="R99" s="1389"/>
      <c r="S99" s="1389"/>
      <c r="T99" s="1389"/>
      <c r="U99" s="1389"/>
      <c r="V99" s="1389"/>
    </row>
    <row r="100" spans="1:22" x14ac:dyDescent="0.25">
      <c r="A100" s="1389"/>
      <c r="B100" s="1389"/>
      <c r="C100" s="1389"/>
      <c r="D100" s="1389"/>
      <c r="E100" s="1389"/>
      <c r="F100" s="1389"/>
      <c r="G100" s="1389"/>
      <c r="H100" s="1389"/>
      <c r="I100" s="1389"/>
      <c r="J100" s="1389"/>
      <c r="K100" s="1389"/>
      <c r="L100" s="1389"/>
      <c r="M100" s="1389"/>
      <c r="N100" s="1389"/>
      <c r="O100" s="1389"/>
      <c r="P100" s="1389"/>
      <c r="Q100" s="1389"/>
      <c r="R100" s="1389"/>
      <c r="S100" s="1389"/>
      <c r="T100" s="1389"/>
      <c r="U100" s="1389"/>
      <c r="V100" s="1389"/>
    </row>
    <row r="101" spans="1:22" x14ac:dyDescent="0.25">
      <c r="A101" s="1389"/>
      <c r="B101" s="1389"/>
      <c r="C101" s="1389"/>
      <c r="D101" s="1389"/>
      <c r="E101" s="1389"/>
      <c r="F101" s="1389"/>
      <c r="G101" s="1389"/>
      <c r="H101" s="1389"/>
      <c r="I101" s="1389"/>
      <c r="J101" s="1389"/>
      <c r="K101" s="1389"/>
      <c r="L101" s="1389"/>
      <c r="M101" s="1389"/>
      <c r="N101" s="1389"/>
      <c r="O101" s="1389"/>
      <c r="P101" s="1389"/>
      <c r="Q101" s="1389"/>
      <c r="R101" s="1389"/>
      <c r="S101" s="1389"/>
      <c r="T101" s="1389"/>
      <c r="U101" s="1389"/>
      <c r="V101" s="1389"/>
    </row>
    <row r="102" spans="1:22" x14ac:dyDescent="0.25">
      <c r="A102" s="1389"/>
      <c r="B102" s="1389"/>
      <c r="C102" s="1389"/>
      <c r="D102" s="1389"/>
      <c r="E102" s="1389"/>
      <c r="F102" s="1389"/>
      <c r="G102" s="1389"/>
      <c r="H102" s="1389"/>
      <c r="I102" s="1389"/>
      <c r="J102" s="1389"/>
      <c r="K102" s="1389"/>
      <c r="L102" s="1389"/>
      <c r="M102" s="1389"/>
      <c r="N102" s="1389"/>
      <c r="O102" s="1389"/>
      <c r="P102" s="1389"/>
      <c r="Q102" s="1389"/>
      <c r="R102" s="1389"/>
      <c r="S102" s="1389"/>
      <c r="T102" s="1389"/>
      <c r="U102" s="1389"/>
      <c r="V102" s="1389"/>
    </row>
    <row r="103" spans="1:22" x14ac:dyDescent="0.25">
      <c r="A103" s="1389"/>
      <c r="B103" s="1389"/>
      <c r="C103" s="1389"/>
      <c r="D103" s="1389"/>
      <c r="E103" s="1389"/>
      <c r="F103" s="1389"/>
      <c r="G103" s="1389"/>
      <c r="H103" s="1389"/>
      <c r="I103" s="1389"/>
      <c r="J103" s="1389"/>
      <c r="K103" s="1389"/>
      <c r="L103" s="1389"/>
      <c r="M103" s="1389"/>
      <c r="N103" s="1389"/>
      <c r="O103" s="1389"/>
      <c r="P103" s="1389"/>
      <c r="Q103" s="1389"/>
      <c r="R103" s="1389"/>
      <c r="S103" s="1389"/>
      <c r="T103" s="1389"/>
      <c r="U103" s="1389"/>
      <c r="V103" s="1389"/>
    </row>
    <row r="104" spans="1:22" x14ac:dyDescent="0.25">
      <c r="A104" s="1389"/>
      <c r="B104" s="1389"/>
      <c r="C104" s="1389"/>
      <c r="D104" s="1389"/>
      <c r="E104" s="1389"/>
      <c r="F104" s="1389"/>
      <c r="G104" s="1389"/>
      <c r="H104" s="1389"/>
      <c r="I104" s="1389"/>
      <c r="J104" s="1389"/>
      <c r="K104" s="1389"/>
      <c r="L104" s="1389"/>
      <c r="M104" s="1389"/>
      <c r="N104" s="1389"/>
      <c r="O104" s="1389"/>
      <c r="P104" s="1389"/>
      <c r="Q104" s="1389"/>
      <c r="R104" s="1389"/>
      <c r="S104" s="1389"/>
      <c r="T104" s="1389"/>
      <c r="U104" s="1389"/>
      <c r="V104" s="1389"/>
    </row>
    <row r="105" spans="1:22" x14ac:dyDescent="0.25">
      <c r="A105" s="1389"/>
      <c r="B105" s="1389"/>
      <c r="C105" s="1389"/>
      <c r="D105" s="1389"/>
      <c r="E105" s="1389"/>
      <c r="F105" s="1389"/>
      <c r="G105" s="1389"/>
      <c r="H105" s="1389"/>
      <c r="I105" s="1389"/>
      <c r="J105" s="1389"/>
      <c r="K105" s="1389"/>
      <c r="L105" s="1389"/>
      <c r="M105" s="1389"/>
      <c r="N105" s="1389"/>
      <c r="O105" s="1389"/>
      <c r="P105" s="1389"/>
      <c r="Q105" s="1389"/>
      <c r="R105" s="1389"/>
      <c r="S105" s="1389"/>
      <c r="T105" s="1389"/>
      <c r="U105" s="1389"/>
      <c r="V105" s="1389"/>
    </row>
    <row r="106" spans="1:22" x14ac:dyDescent="0.25">
      <c r="A106" s="1389"/>
      <c r="B106" s="1389"/>
      <c r="C106" s="1389"/>
      <c r="D106" s="1389"/>
      <c r="E106" s="1389"/>
      <c r="F106" s="1389"/>
      <c r="G106" s="1389"/>
      <c r="H106" s="1389"/>
      <c r="I106" s="1389"/>
      <c r="J106" s="1389"/>
      <c r="K106" s="1389"/>
      <c r="L106" s="1389"/>
      <c r="M106" s="1389"/>
      <c r="N106" s="1389"/>
      <c r="O106" s="1389"/>
      <c r="P106" s="1389"/>
      <c r="Q106" s="1389"/>
      <c r="R106" s="1389"/>
      <c r="S106" s="1389"/>
      <c r="T106" s="1389"/>
      <c r="U106" s="1389"/>
      <c r="V106" s="1389"/>
    </row>
    <row r="107" spans="1:22" x14ac:dyDescent="0.25">
      <c r="A107" s="1389"/>
      <c r="B107" s="1389"/>
      <c r="C107" s="1389"/>
      <c r="D107" s="1389"/>
      <c r="E107" s="1389"/>
      <c r="F107" s="1389"/>
      <c r="G107" s="1389"/>
      <c r="H107" s="1389"/>
      <c r="I107" s="1389"/>
      <c r="J107" s="1389"/>
      <c r="K107" s="1389"/>
      <c r="L107" s="1389"/>
      <c r="M107" s="1389"/>
      <c r="N107" s="1389"/>
      <c r="O107" s="1389"/>
      <c r="P107" s="1389"/>
      <c r="Q107" s="1389"/>
      <c r="R107" s="1389"/>
      <c r="S107" s="1389"/>
      <c r="T107" s="1389"/>
      <c r="U107" s="1389"/>
      <c r="V107" s="1389"/>
    </row>
    <row r="108" spans="1:22" x14ac:dyDescent="0.25">
      <c r="A108" s="1389"/>
      <c r="B108" s="1389"/>
      <c r="C108" s="1389"/>
      <c r="D108" s="1389"/>
      <c r="E108" s="1389"/>
      <c r="F108" s="1389"/>
      <c r="G108" s="1389"/>
      <c r="H108" s="1389"/>
      <c r="I108" s="1389"/>
      <c r="J108" s="1389"/>
      <c r="K108" s="1389"/>
      <c r="L108" s="1389"/>
      <c r="M108" s="1389"/>
      <c r="N108" s="1389"/>
      <c r="O108" s="1389"/>
      <c r="P108" s="1389"/>
      <c r="Q108" s="1389"/>
      <c r="R108" s="1389"/>
      <c r="S108" s="1389"/>
      <c r="T108" s="1389"/>
      <c r="U108" s="1389"/>
      <c r="V108" s="1389"/>
    </row>
    <row r="109" spans="1:22" x14ac:dyDescent="0.25">
      <c r="A109" s="1389"/>
      <c r="B109" s="1389"/>
      <c r="C109" s="1389"/>
      <c r="D109" s="1389"/>
      <c r="E109" s="1389"/>
      <c r="F109" s="1389"/>
      <c r="G109" s="1389"/>
      <c r="H109" s="1389"/>
      <c r="I109" s="1389"/>
      <c r="J109" s="1389"/>
      <c r="K109" s="1389"/>
      <c r="L109" s="1389"/>
      <c r="M109" s="1389"/>
      <c r="N109" s="1389"/>
      <c r="O109" s="1389"/>
      <c r="P109" s="1389"/>
      <c r="Q109" s="1389"/>
      <c r="R109" s="1389"/>
      <c r="S109" s="1389"/>
      <c r="T109" s="1389"/>
      <c r="U109" s="1389"/>
      <c r="V109" s="1389"/>
    </row>
    <row r="110" spans="1:22" x14ac:dyDescent="0.25">
      <c r="A110" s="1389"/>
      <c r="B110" s="1389"/>
      <c r="C110" s="1389"/>
      <c r="D110" s="1389"/>
      <c r="E110" s="1389"/>
      <c r="F110" s="1389"/>
      <c r="G110" s="1389"/>
      <c r="H110" s="1389"/>
      <c r="I110" s="1389"/>
      <c r="J110" s="1389"/>
      <c r="K110" s="1389"/>
      <c r="L110" s="1389"/>
      <c r="M110" s="1389"/>
      <c r="N110" s="1389"/>
      <c r="O110" s="1389"/>
      <c r="P110" s="1389"/>
      <c r="Q110" s="1389"/>
      <c r="R110" s="1389"/>
      <c r="S110" s="1389"/>
      <c r="T110" s="1389"/>
      <c r="U110" s="1389"/>
      <c r="V110" s="1389"/>
    </row>
    <row r="111" spans="1:22" x14ac:dyDescent="0.25">
      <c r="A111" s="1389"/>
      <c r="B111" s="1389"/>
      <c r="C111" s="1389"/>
      <c r="D111" s="1389"/>
      <c r="E111" s="1389"/>
      <c r="F111" s="1389"/>
      <c r="G111" s="1389"/>
      <c r="H111" s="1389"/>
      <c r="I111" s="1389"/>
      <c r="J111" s="1389"/>
      <c r="K111" s="1389"/>
      <c r="L111" s="1389"/>
      <c r="M111" s="1389"/>
      <c r="N111" s="1389"/>
      <c r="O111" s="1389"/>
      <c r="P111" s="1389"/>
      <c r="Q111" s="1389"/>
      <c r="R111" s="1389"/>
      <c r="S111" s="1389"/>
      <c r="T111" s="1389"/>
      <c r="U111" s="1389"/>
      <c r="V111" s="1389"/>
    </row>
    <row r="112" spans="1:22" x14ac:dyDescent="0.25">
      <c r="A112" s="1389"/>
      <c r="B112" s="1389"/>
      <c r="C112" s="1389"/>
      <c r="D112" s="1389"/>
      <c r="E112" s="1389"/>
      <c r="F112" s="1389"/>
      <c r="G112" s="1389"/>
      <c r="H112" s="1389"/>
      <c r="I112" s="1389"/>
      <c r="J112" s="1389"/>
      <c r="K112" s="1389"/>
      <c r="L112" s="1389"/>
      <c r="M112" s="1389"/>
      <c r="N112" s="1389"/>
      <c r="O112" s="1389"/>
      <c r="P112" s="1389"/>
      <c r="Q112" s="1389"/>
      <c r="R112" s="1389"/>
      <c r="S112" s="1389"/>
      <c r="T112" s="1389"/>
      <c r="U112" s="1389"/>
      <c r="V112" s="1389"/>
    </row>
    <row r="113" spans="1:22" x14ac:dyDescent="0.25">
      <c r="A113" s="1389"/>
      <c r="B113" s="1389"/>
      <c r="C113" s="1389"/>
      <c r="D113" s="1389"/>
      <c r="E113" s="1389"/>
      <c r="F113" s="1389"/>
      <c r="G113" s="1389"/>
      <c r="H113" s="1389"/>
      <c r="I113" s="1389"/>
      <c r="J113" s="1389"/>
      <c r="K113" s="1389"/>
      <c r="L113" s="1389"/>
      <c r="M113" s="1389"/>
      <c r="N113" s="1389"/>
      <c r="O113" s="1389"/>
      <c r="P113" s="1389"/>
      <c r="Q113" s="1389"/>
      <c r="R113" s="1389"/>
      <c r="S113" s="1389"/>
      <c r="T113" s="1389"/>
      <c r="U113" s="1389"/>
      <c r="V113" s="1389"/>
    </row>
    <row r="114" spans="1:22" x14ac:dyDescent="0.25">
      <c r="A114" s="1389"/>
      <c r="B114" s="1389"/>
      <c r="C114" s="1389"/>
      <c r="D114" s="1389"/>
      <c r="E114" s="1389"/>
      <c r="F114" s="1389"/>
      <c r="G114" s="1389"/>
      <c r="H114" s="1389"/>
      <c r="I114" s="1389"/>
      <c r="J114" s="1389"/>
      <c r="K114" s="1389"/>
      <c r="L114" s="1389"/>
      <c r="M114" s="1389"/>
      <c r="N114" s="1389"/>
      <c r="O114" s="1389"/>
      <c r="P114" s="1389"/>
      <c r="Q114" s="1389"/>
      <c r="R114" s="1389"/>
      <c r="S114" s="1389"/>
      <c r="T114" s="1389"/>
      <c r="U114" s="1389"/>
      <c r="V114" s="1389"/>
    </row>
    <row r="115" spans="1:22" x14ac:dyDescent="0.25">
      <c r="A115" s="1389"/>
      <c r="B115" s="1389"/>
      <c r="C115" s="1389"/>
      <c r="D115" s="1389"/>
      <c r="E115" s="1389"/>
      <c r="F115" s="1389"/>
      <c r="G115" s="1389"/>
      <c r="H115" s="1389"/>
      <c r="I115" s="1389"/>
      <c r="J115" s="1389"/>
      <c r="K115" s="1389"/>
      <c r="L115" s="1389"/>
      <c r="M115" s="1389"/>
      <c r="N115" s="1389"/>
      <c r="O115" s="1389"/>
      <c r="P115" s="1389"/>
      <c r="Q115" s="1389"/>
      <c r="R115" s="1389"/>
      <c r="S115" s="1389"/>
      <c r="T115" s="1389"/>
      <c r="U115" s="1389"/>
      <c r="V115" s="1389"/>
    </row>
    <row r="116" spans="1:22" x14ac:dyDescent="0.25">
      <c r="A116" s="1389"/>
      <c r="B116" s="1389"/>
      <c r="C116" s="1389"/>
      <c r="D116" s="1389"/>
      <c r="E116" s="1389"/>
      <c r="F116" s="1389"/>
      <c r="G116" s="1389"/>
      <c r="H116" s="1389"/>
      <c r="I116" s="1389"/>
      <c r="J116" s="1389"/>
      <c r="K116" s="1389"/>
      <c r="L116" s="1389"/>
      <c r="M116" s="1389"/>
      <c r="N116" s="1389"/>
      <c r="O116" s="1389"/>
      <c r="P116" s="1389"/>
      <c r="Q116" s="1389"/>
      <c r="R116" s="1389"/>
      <c r="S116" s="1389"/>
      <c r="T116" s="1389"/>
      <c r="U116" s="1389"/>
      <c r="V116" s="1389"/>
    </row>
    <row r="117" spans="1:22" x14ac:dyDescent="0.25">
      <c r="A117" s="1389"/>
      <c r="B117" s="1389"/>
      <c r="C117" s="1389"/>
      <c r="D117" s="1389"/>
      <c r="E117" s="1389"/>
      <c r="F117" s="1389"/>
      <c r="G117" s="1389"/>
      <c r="H117" s="1389"/>
      <c r="I117" s="1389"/>
      <c r="J117" s="1389"/>
      <c r="K117" s="1389"/>
      <c r="L117" s="1389"/>
      <c r="M117" s="1389"/>
      <c r="N117" s="1389"/>
      <c r="O117" s="1389"/>
      <c r="P117" s="1389"/>
      <c r="Q117" s="1389"/>
      <c r="R117" s="1389"/>
      <c r="S117" s="1389"/>
      <c r="T117" s="1389"/>
      <c r="U117" s="1389"/>
      <c r="V117" s="1389"/>
    </row>
    <row r="118" spans="1:22" x14ac:dyDescent="0.25">
      <c r="A118" s="1389"/>
      <c r="B118" s="1389"/>
      <c r="C118" s="1389"/>
      <c r="D118" s="1389"/>
      <c r="E118" s="1389"/>
      <c r="F118" s="1389"/>
      <c r="G118" s="1389"/>
      <c r="H118" s="1389"/>
      <c r="I118" s="1389"/>
      <c r="J118" s="1389"/>
      <c r="K118" s="1389"/>
      <c r="L118" s="1389"/>
      <c r="M118" s="1389"/>
      <c r="N118" s="1389"/>
      <c r="O118" s="1389"/>
      <c r="P118" s="1389"/>
      <c r="Q118" s="1389"/>
      <c r="R118" s="1389"/>
      <c r="S118" s="1389"/>
      <c r="T118" s="1389"/>
      <c r="U118" s="1389"/>
      <c r="V118" s="1389"/>
    </row>
    <row r="119" spans="1:22" x14ac:dyDescent="0.25">
      <c r="A119" s="1389"/>
      <c r="B119" s="1389"/>
      <c r="C119" s="1389"/>
      <c r="D119" s="1389"/>
      <c r="E119" s="1389"/>
      <c r="F119" s="1389"/>
      <c r="G119" s="1389"/>
      <c r="H119" s="1389"/>
      <c r="I119" s="1389"/>
      <c r="J119" s="1389"/>
      <c r="K119" s="1389"/>
      <c r="L119" s="1389"/>
      <c r="M119" s="1389"/>
      <c r="N119" s="1389"/>
      <c r="O119" s="1389"/>
      <c r="P119" s="1389"/>
      <c r="Q119" s="1389"/>
      <c r="R119" s="1389"/>
      <c r="S119" s="1389"/>
      <c r="T119" s="1389"/>
      <c r="U119" s="1389"/>
      <c r="V119" s="1389"/>
    </row>
    <row r="120" spans="1:22" x14ac:dyDescent="0.25">
      <c r="A120" s="1389"/>
      <c r="B120" s="1389"/>
      <c r="C120" s="1389"/>
      <c r="D120" s="1389"/>
      <c r="E120" s="1389"/>
      <c r="F120" s="1389"/>
      <c r="G120" s="1389"/>
      <c r="H120" s="1389"/>
      <c r="I120" s="1389"/>
      <c r="J120" s="1389"/>
      <c r="K120" s="1389"/>
      <c r="L120" s="1389"/>
      <c r="M120" s="1389"/>
      <c r="N120" s="1389"/>
      <c r="O120" s="1389"/>
      <c r="P120" s="1389"/>
      <c r="Q120" s="1389"/>
      <c r="R120" s="1389"/>
      <c r="S120" s="1389"/>
      <c r="T120" s="1389"/>
      <c r="U120" s="1389"/>
      <c r="V120" s="1389"/>
    </row>
    <row r="121" spans="1:22" x14ac:dyDescent="0.25">
      <c r="A121" s="1389"/>
      <c r="B121" s="1389"/>
      <c r="C121" s="1389"/>
      <c r="D121" s="1389"/>
      <c r="E121" s="1389"/>
      <c r="F121" s="1389"/>
      <c r="G121" s="1389"/>
      <c r="H121" s="1389"/>
      <c r="I121" s="1389"/>
      <c r="J121" s="1389"/>
      <c r="K121" s="1389"/>
      <c r="L121" s="1389"/>
      <c r="M121" s="1389"/>
      <c r="N121" s="1389"/>
      <c r="O121" s="1389"/>
      <c r="P121" s="1389"/>
      <c r="Q121" s="1389"/>
      <c r="R121" s="1389"/>
      <c r="S121" s="1389"/>
      <c r="T121" s="1389"/>
      <c r="U121" s="1389"/>
      <c r="V121" s="1389"/>
    </row>
    <row r="122" spans="1:22" x14ac:dyDescent="0.25">
      <c r="A122" s="1389"/>
      <c r="B122" s="1389"/>
      <c r="C122" s="1389"/>
      <c r="D122" s="1389"/>
      <c r="E122" s="1389"/>
      <c r="F122" s="1389"/>
      <c r="G122" s="1389"/>
      <c r="H122" s="1389"/>
      <c r="I122" s="1389"/>
      <c r="J122" s="1389"/>
      <c r="K122" s="1389"/>
      <c r="L122" s="1389"/>
      <c r="M122" s="1389"/>
      <c r="N122" s="1389"/>
      <c r="O122" s="1389"/>
      <c r="P122" s="1389"/>
      <c r="Q122" s="1389"/>
      <c r="R122" s="1389"/>
      <c r="S122" s="1389"/>
      <c r="T122" s="1389"/>
      <c r="U122" s="1389"/>
      <c r="V122" s="1389"/>
    </row>
    <row r="123" spans="1:22" x14ac:dyDescent="0.25">
      <c r="A123" s="1389"/>
      <c r="B123" s="1389"/>
      <c r="C123" s="1389"/>
      <c r="D123" s="1389"/>
      <c r="E123" s="1389"/>
      <c r="F123" s="1389"/>
      <c r="G123" s="1389"/>
      <c r="H123" s="1389"/>
      <c r="I123" s="1389"/>
      <c r="J123" s="1389"/>
      <c r="K123" s="1389"/>
      <c r="L123" s="1389"/>
      <c r="M123" s="1389"/>
      <c r="N123" s="1389"/>
      <c r="O123" s="1389"/>
      <c r="P123" s="1389"/>
      <c r="Q123" s="1389"/>
      <c r="R123" s="1389"/>
      <c r="S123" s="1389"/>
      <c r="T123" s="1389"/>
      <c r="U123" s="1389"/>
      <c r="V123" s="1389"/>
    </row>
    <row r="124" spans="1:22" x14ac:dyDescent="0.25">
      <c r="A124" s="1389"/>
      <c r="B124" s="1389"/>
      <c r="C124" s="1389"/>
      <c r="D124" s="1389"/>
      <c r="E124" s="1389"/>
      <c r="F124" s="1389"/>
      <c r="G124" s="1389"/>
      <c r="H124" s="1389"/>
      <c r="I124" s="1389"/>
      <c r="J124" s="1389"/>
      <c r="K124" s="1389"/>
      <c r="L124" s="1389"/>
      <c r="M124" s="1389"/>
      <c r="N124" s="1389"/>
      <c r="O124" s="1389"/>
      <c r="P124" s="1389"/>
      <c r="Q124" s="1389"/>
      <c r="R124" s="1389"/>
      <c r="S124" s="1389"/>
      <c r="T124" s="1389"/>
      <c r="U124" s="1389"/>
      <c r="V124" s="1389"/>
    </row>
    <row r="125" spans="1:22" x14ac:dyDescent="0.25">
      <c r="A125" s="1389"/>
      <c r="B125" s="1389"/>
      <c r="C125" s="1389"/>
      <c r="D125" s="1389"/>
      <c r="E125" s="1389"/>
      <c r="F125" s="1389"/>
      <c r="G125" s="1389"/>
      <c r="H125" s="1389"/>
      <c r="I125" s="1389"/>
      <c r="J125" s="1389"/>
      <c r="K125" s="1389"/>
      <c r="L125" s="1389"/>
      <c r="M125" s="1389"/>
      <c r="N125" s="1389"/>
      <c r="O125" s="1389"/>
      <c r="P125" s="1389"/>
      <c r="Q125" s="1389"/>
      <c r="R125" s="1389"/>
      <c r="S125" s="1389"/>
      <c r="T125" s="1389"/>
      <c r="U125" s="1389"/>
      <c r="V125" s="1389"/>
    </row>
    <row r="126" spans="1:22" x14ac:dyDescent="0.25">
      <c r="A126" s="1389"/>
      <c r="B126" s="1389"/>
      <c r="C126" s="1389"/>
      <c r="D126" s="1389"/>
      <c r="E126" s="1389"/>
      <c r="F126" s="1389"/>
      <c r="G126" s="1389"/>
      <c r="H126" s="1389"/>
      <c r="I126" s="1389"/>
      <c r="J126" s="1389"/>
      <c r="K126" s="1389"/>
      <c r="L126" s="1389"/>
      <c r="M126" s="1389"/>
      <c r="N126" s="1389"/>
      <c r="O126" s="1389"/>
      <c r="P126" s="1389"/>
      <c r="Q126" s="1389"/>
      <c r="R126" s="1389"/>
      <c r="S126" s="1389"/>
      <c r="T126" s="1389"/>
      <c r="U126" s="1389"/>
      <c r="V126" s="1389"/>
    </row>
    <row r="127" spans="1:22" x14ac:dyDescent="0.25">
      <c r="A127" s="1389"/>
      <c r="B127" s="1389"/>
      <c r="C127" s="1389"/>
      <c r="D127" s="1389"/>
      <c r="E127" s="1389"/>
      <c r="F127" s="1389"/>
      <c r="G127" s="1389"/>
      <c r="H127" s="1389"/>
      <c r="I127" s="1389"/>
      <c r="J127" s="1389"/>
      <c r="K127" s="1389"/>
      <c r="L127" s="1389"/>
      <c r="M127" s="1389"/>
      <c r="N127" s="1389"/>
      <c r="O127" s="1389"/>
      <c r="P127" s="1389"/>
      <c r="Q127" s="1389"/>
      <c r="R127" s="1389"/>
      <c r="S127" s="1389"/>
      <c r="T127" s="1389"/>
      <c r="U127" s="1389"/>
      <c r="V127" s="1389"/>
    </row>
    <row r="128" spans="1:22" x14ac:dyDescent="0.25">
      <c r="A128" s="1389"/>
      <c r="B128" s="1389"/>
      <c r="C128" s="1389"/>
      <c r="D128" s="1389"/>
      <c r="E128" s="1389"/>
      <c r="F128" s="1389"/>
      <c r="G128" s="1389"/>
      <c r="H128" s="1389"/>
      <c r="I128" s="1389"/>
      <c r="J128" s="1389"/>
      <c r="K128" s="1389"/>
      <c r="L128" s="1389"/>
      <c r="M128" s="1389"/>
      <c r="N128" s="1389"/>
      <c r="O128" s="1389"/>
      <c r="P128" s="1389"/>
      <c r="Q128" s="1389"/>
      <c r="R128" s="1389"/>
      <c r="S128" s="1389"/>
      <c r="T128" s="1389"/>
      <c r="U128" s="1389"/>
      <c r="V128" s="1389"/>
    </row>
    <row r="129" spans="1:22" x14ac:dyDescent="0.25">
      <c r="A129" s="1389"/>
      <c r="B129" s="1389"/>
      <c r="C129" s="1389"/>
      <c r="D129" s="1389"/>
      <c r="E129" s="1389"/>
      <c r="F129" s="1389"/>
      <c r="G129" s="1389"/>
      <c r="H129" s="1389"/>
      <c r="I129" s="1389"/>
      <c r="J129" s="1389"/>
      <c r="K129" s="1389"/>
      <c r="L129" s="1389"/>
      <c r="M129" s="1389"/>
      <c r="N129" s="1389"/>
      <c r="O129" s="1389"/>
      <c r="P129" s="1389"/>
      <c r="Q129" s="1389"/>
      <c r="R129" s="1389"/>
      <c r="S129" s="1389"/>
      <c r="T129" s="1389"/>
      <c r="U129" s="1389"/>
      <c r="V129" s="1389"/>
    </row>
    <row r="130" spans="1:22" x14ac:dyDescent="0.25">
      <c r="A130" s="1389"/>
      <c r="B130" s="1389"/>
      <c r="C130" s="1389"/>
      <c r="D130" s="1389"/>
      <c r="E130" s="1389"/>
      <c r="F130" s="1389"/>
      <c r="G130" s="1389"/>
      <c r="H130" s="1389"/>
      <c r="I130" s="1389"/>
      <c r="J130" s="1389"/>
      <c r="K130" s="1389"/>
      <c r="L130" s="1389"/>
      <c r="M130" s="1389"/>
      <c r="N130" s="1389"/>
      <c r="O130" s="1389"/>
      <c r="P130" s="1389"/>
      <c r="Q130" s="1389"/>
      <c r="R130" s="1389"/>
      <c r="S130" s="1389"/>
      <c r="T130" s="1389"/>
      <c r="U130" s="1389"/>
      <c r="V130" s="1389"/>
    </row>
    <row r="131" spans="1:22" x14ac:dyDescent="0.25">
      <c r="A131" s="1389"/>
      <c r="B131" s="1389"/>
      <c r="C131" s="1389"/>
      <c r="D131" s="1389"/>
      <c r="E131" s="1389"/>
      <c r="F131" s="1389"/>
      <c r="G131" s="1389"/>
      <c r="H131" s="1389"/>
      <c r="I131" s="1389"/>
      <c r="J131" s="1389"/>
      <c r="K131" s="1389"/>
      <c r="L131" s="1389"/>
      <c r="M131" s="1389"/>
      <c r="N131" s="1389"/>
      <c r="O131" s="1389"/>
      <c r="P131" s="1389"/>
      <c r="Q131" s="1389"/>
      <c r="R131" s="1389"/>
      <c r="S131" s="1389"/>
      <c r="T131" s="1389"/>
      <c r="U131" s="1389"/>
      <c r="V131" s="1389"/>
    </row>
    <row r="132" spans="1:22" x14ac:dyDescent="0.25">
      <c r="A132" s="1389"/>
      <c r="B132" s="1389"/>
      <c r="C132" s="1389"/>
      <c r="D132" s="1389"/>
      <c r="E132" s="1389"/>
      <c r="F132" s="1389"/>
      <c r="G132" s="1389"/>
      <c r="H132" s="1389"/>
      <c r="I132" s="1389"/>
      <c r="J132" s="1389"/>
      <c r="K132" s="1389"/>
      <c r="L132" s="1389"/>
      <c r="M132" s="1389"/>
      <c r="N132" s="1389"/>
      <c r="O132" s="1389"/>
      <c r="P132" s="1389"/>
      <c r="Q132" s="1389"/>
      <c r="R132" s="1389"/>
      <c r="S132" s="1389"/>
      <c r="T132" s="1389"/>
      <c r="U132" s="1389"/>
      <c r="V132" s="1389"/>
    </row>
    <row r="133" spans="1:22" x14ac:dyDescent="0.25">
      <c r="A133" s="1389"/>
      <c r="B133" s="1389"/>
      <c r="C133" s="1389"/>
      <c r="D133" s="1389"/>
      <c r="E133" s="1389"/>
      <c r="F133" s="1389"/>
      <c r="G133" s="1389"/>
      <c r="H133" s="1389"/>
      <c r="I133" s="1389"/>
      <c r="J133" s="1389"/>
      <c r="K133" s="1389"/>
      <c r="L133" s="1389"/>
      <c r="M133" s="1389"/>
      <c r="N133" s="1389"/>
      <c r="O133" s="1389"/>
      <c r="P133" s="1389"/>
      <c r="Q133" s="1389"/>
      <c r="R133" s="1389"/>
      <c r="S133" s="1389"/>
      <c r="T133" s="1389"/>
      <c r="U133" s="1389"/>
      <c r="V133" s="1389"/>
    </row>
    <row r="134" spans="1:22" x14ac:dyDescent="0.25">
      <c r="A134" s="1389"/>
      <c r="B134" s="1389"/>
      <c r="C134" s="1389"/>
      <c r="D134" s="1389"/>
      <c r="E134" s="1389"/>
      <c r="F134" s="1389"/>
      <c r="G134" s="1389"/>
      <c r="H134" s="1389"/>
      <c r="I134" s="1389"/>
      <c r="J134" s="1389"/>
      <c r="K134" s="1389"/>
      <c r="L134" s="1389"/>
      <c r="M134" s="1389"/>
      <c r="N134" s="1389"/>
      <c r="O134" s="1389"/>
      <c r="P134" s="1389"/>
      <c r="Q134" s="1389"/>
      <c r="R134" s="1389"/>
      <c r="S134" s="1389"/>
      <c r="T134" s="1389"/>
      <c r="U134" s="1389"/>
      <c r="V134" s="1389"/>
    </row>
    <row r="135" spans="1:22" x14ac:dyDescent="0.25">
      <c r="A135" s="1389"/>
      <c r="B135" s="1389"/>
      <c r="C135" s="1389"/>
      <c r="D135" s="1389"/>
      <c r="E135" s="1389"/>
      <c r="F135" s="1389"/>
      <c r="G135" s="1389"/>
      <c r="H135" s="1389"/>
      <c r="I135" s="1389"/>
      <c r="J135" s="1389"/>
      <c r="K135" s="1389"/>
      <c r="L135" s="1389"/>
      <c r="M135" s="1389"/>
      <c r="N135" s="1389"/>
      <c r="O135" s="1389"/>
      <c r="P135" s="1389"/>
      <c r="Q135" s="1389"/>
      <c r="R135" s="1389"/>
      <c r="S135" s="1389"/>
      <c r="T135" s="1389"/>
      <c r="U135" s="1389"/>
      <c r="V135" s="1389"/>
    </row>
    <row r="136" spans="1:22" x14ac:dyDescent="0.25">
      <c r="A136" s="1389"/>
      <c r="B136" s="1389"/>
      <c r="C136" s="1389"/>
      <c r="D136" s="1389"/>
      <c r="E136" s="1389"/>
      <c r="F136" s="1389"/>
      <c r="G136" s="1389"/>
      <c r="H136" s="1389"/>
      <c r="I136" s="1389"/>
      <c r="J136" s="1389"/>
      <c r="K136" s="1389"/>
      <c r="L136" s="1389"/>
      <c r="M136" s="1389"/>
      <c r="N136" s="1389"/>
      <c r="O136" s="1389"/>
      <c r="P136" s="1389"/>
      <c r="Q136" s="1389"/>
      <c r="R136" s="1389"/>
      <c r="S136" s="1389"/>
      <c r="T136" s="1389"/>
      <c r="U136" s="1389"/>
      <c r="V136" s="1389"/>
    </row>
    <row r="137" spans="1:22" x14ac:dyDescent="0.25">
      <c r="A137" s="1389"/>
      <c r="B137" s="1389"/>
      <c r="C137" s="1389"/>
      <c r="D137" s="1389"/>
      <c r="E137" s="1389"/>
      <c r="F137" s="1389"/>
      <c r="G137" s="1389"/>
      <c r="H137" s="1389"/>
      <c r="I137" s="1389"/>
      <c r="J137" s="1389"/>
      <c r="K137" s="1389"/>
      <c r="L137" s="1389"/>
      <c r="M137" s="1389"/>
      <c r="N137" s="1389"/>
      <c r="O137" s="1389"/>
      <c r="P137" s="1389"/>
      <c r="Q137" s="1389"/>
      <c r="R137" s="1389"/>
      <c r="S137" s="1389"/>
      <c r="T137" s="1389"/>
      <c r="U137" s="1389"/>
      <c r="V137" s="1389"/>
    </row>
    <row r="138" spans="1:22" x14ac:dyDescent="0.25">
      <c r="A138" s="1389"/>
      <c r="B138" s="1389"/>
      <c r="C138" s="1389"/>
      <c r="D138" s="1389"/>
      <c r="E138" s="1389"/>
      <c r="F138" s="1389"/>
      <c r="G138" s="1389"/>
      <c r="H138" s="1389"/>
      <c r="I138" s="1389"/>
      <c r="J138" s="1389"/>
      <c r="K138" s="1389"/>
      <c r="L138" s="1389"/>
      <c r="M138" s="1389"/>
      <c r="N138" s="1389"/>
      <c r="O138" s="1389"/>
      <c r="P138" s="1389"/>
      <c r="Q138" s="1389"/>
      <c r="R138" s="1389"/>
      <c r="S138" s="1389"/>
      <c r="T138" s="1389"/>
      <c r="U138" s="1389"/>
      <c r="V138" s="1389"/>
    </row>
    <row r="139" spans="1:22" x14ac:dyDescent="0.25">
      <c r="A139" s="1389"/>
      <c r="B139" s="1389"/>
      <c r="C139" s="1389"/>
      <c r="D139" s="1389"/>
      <c r="E139" s="1389"/>
      <c r="F139" s="1389"/>
      <c r="G139" s="1389"/>
      <c r="H139" s="1389"/>
      <c r="I139" s="1389"/>
      <c r="J139" s="1389"/>
      <c r="K139" s="1389"/>
      <c r="L139" s="1389"/>
      <c r="M139" s="1389"/>
      <c r="N139" s="1389"/>
      <c r="O139" s="1389"/>
      <c r="P139" s="1389"/>
      <c r="Q139" s="1389"/>
      <c r="R139" s="1389"/>
      <c r="S139" s="1389"/>
      <c r="T139" s="1389"/>
      <c r="U139" s="1389"/>
      <c r="V139" s="1389"/>
    </row>
    <row r="140" spans="1:22" x14ac:dyDescent="0.25">
      <c r="A140" s="1389"/>
      <c r="B140" s="1389"/>
      <c r="C140" s="1389"/>
      <c r="D140" s="1389"/>
      <c r="E140" s="1389"/>
      <c r="F140" s="1389"/>
      <c r="G140" s="1389"/>
      <c r="H140" s="1389"/>
      <c r="I140" s="1389"/>
      <c r="J140" s="1389"/>
      <c r="K140" s="1389"/>
      <c r="L140" s="1389"/>
      <c r="M140" s="1389"/>
      <c r="N140" s="1389"/>
      <c r="O140" s="1389"/>
      <c r="P140" s="1389"/>
      <c r="Q140" s="1389"/>
      <c r="R140" s="1389"/>
      <c r="S140" s="1389"/>
      <c r="T140" s="1389"/>
      <c r="U140" s="1389"/>
      <c r="V140" s="1389"/>
    </row>
    <row r="141" spans="1:22" x14ac:dyDescent="0.25">
      <c r="A141" s="1389"/>
      <c r="B141" s="1389"/>
      <c r="C141" s="1389"/>
      <c r="D141" s="1389"/>
      <c r="E141" s="1389"/>
      <c r="F141" s="1389"/>
      <c r="G141" s="1389"/>
      <c r="H141" s="1389"/>
      <c r="I141" s="1389"/>
      <c r="J141" s="1389"/>
      <c r="K141" s="1389"/>
      <c r="L141" s="1389"/>
      <c r="M141" s="1389"/>
      <c r="N141" s="1389"/>
      <c r="O141" s="1389"/>
      <c r="P141" s="1389"/>
      <c r="Q141" s="1389"/>
      <c r="R141" s="1389"/>
      <c r="S141" s="1389"/>
      <c r="T141" s="1389"/>
      <c r="U141" s="1389"/>
      <c r="V141" s="1389"/>
    </row>
    <row r="142" spans="1:22" x14ac:dyDescent="0.25">
      <c r="A142" s="1389"/>
      <c r="B142" s="1389"/>
      <c r="C142" s="1389"/>
      <c r="D142" s="1389"/>
      <c r="E142" s="1389"/>
      <c r="F142" s="1389"/>
      <c r="G142" s="1389"/>
      <c r="H142" s="1389"/>
      <c r="I142" s="1389"/>
      <c r="J142" s="1389"/>
      <c r="K142" s="1389"/>
      <c r="L142" s="1389"/>
      <c r="M142" s="1389"/>
      <c r="N142" s="1389"/>
      <c r="O142" s="1389"/>
      <c r="P142" s="1389"/>
      <c r="Q142" s="1389"/>
      <c r="R142" s="1389"/>
      <c r="S142" s="1389"/>
      <c r="T142" s="1389"/>
      <c r="U142" s="1389"/>
      <c r="V142" s="1389"/>
    </row>
    <row r="143" spans="1:22" x14ac:dyDescent="0.25">
      <c r="A143" s="1389"/>
      <c r="B143" s="1389"/>
      <c r="C143" s="1389"/>
      <c r="D143" s="1389"/>
      <c r="E143" s="1389"/>
      <c r="F143" s="1389"/>
      <c r="G143" s="1389"/>
      <c r="H143" s="1389"/>
      <c r="I143" s="1389"/>
      <c r="J143" s="1389"/>
      <c r="K143" s="1389"/>
      <c r="L143" s="1389"/>
      <c r="M143" s="1389"/>
      <c r="N143" s="1389"/>
      <c r="O143" s="1389"/>
      <c r="P143" s="1389"/>
      <c r="Q143" s="1389"/>
      <c r="R143" s="1389"/>
      <c r="S143" s="1389"/>
      <c r="T143" s="1389"/>
      <c r="U143" s="1389"/>
      <c r="V143" s="1389"/>
    </row>
    <row r="144" spans="1:22" x14ac:dyDescent="0.25">
      <c r="A144" s="1389"/>
      <c r="B144" s="1389"/>
      <c r="C144" s="1389"/>
      <c r="D144" s="1389"/>
      <c r="E144" s="1389"/>
      <c r="F144" s="1389"/>
      <c r="G144" s="1389"/>
      <c r="H144" s="1389"/>
      <c r="I144" s="1389"/>
      <c r="J144" s="1389"/>
      <c r="K144" s="1389"/>
      <c r="L144" s="1389"/>
      <c r="M144" s="1389"/>
      <c r="N144" s="1389"/>
      <c r="O144" s="1389"/>
      <c r="P144" s="1389"/>
      <c r="Q144" s="1389"/>
      <c r="R144" s="1389"/>
      <c r="S144" s="1389"/>
      <c r="T144" s="1389"/>
      <c r="U144" s="1389"/>
      <c r="V144" s="1389"/>
    </row>
    <row r="145" spans="1:22" x14ac:dyDescent="0.25">
      <c r="A145" s="1389"/>
      <c r="B145" s="1389"/>
      <c r="C145" s="1389"/>
      <c r="D145" s="1389"/>
      <c r="E145" s="1389"/>
      <c r="F145" s="1389"/>
      <c r="G145" s="1389"/>
      <c r="H145" s="1389"/>
      <c r="I145" s="1389"/>
      <c r="J145" s="1389"/>
      <c r="K145" s="1389"/>
      <c r="L145" s="1389"/>
      <c r="M145" s="1389"/>
      <c r="N145" s="1389"/>
      <c r="O145" s="1389"/>
      <c r="P145" s="1389"/>
      <c r="Q145" s="1389"/>
      <c r="R145" s="1389"/>
      <c r="S145" s="1389"/>
      <c r="T145" s="1389"/>
      <c r="U145" s="1389"/>
      <c r="V145" s="1389"/>
    </row>
    <row r="146" spans="1:22" x14ac:dyDescent="0.25">
      <c r="A146" s="1389"/>
      <c r="B146" s="1389"/>
      <c r="C146" s="1389"/>
      <c r="D146" s="1389"/>
      <c r="E146" s="1389"/>
      <c r="F146" s="1389"/>
      <c r="G146" s="1389"/>
      <c r="H146" s="1389"/>
      <c r="I146" s="1389"/>
      <c r="J146" s="1389"/>
      <c r="K146" s="1389"/>
      <c r="L146" s="1389"/>
      <c r="M146" s="1389"/>
      <c r="N146" s="1389"/>
      <c r="O146" s="1389"/>
      <c r="P146" s="1389"/>
      <c r="Q146" s="1389"/>
      <c r="R146" s="1389"/>
      <c r="S146" s="1389"/>
      <c r="T146" s="1389"/>
      <c r="U146" s="1389"/>
      <c r="V146" s="1389"/>
    </row>
    <row r="147" spans="1:22" x14ac:dyDescent="0.25">
      <c r="A147" s="1389"/>
      <c r="B147" s="1389"/>
      <c r="C147" s="1389"/>
      <c r="D147" s="1389"/>
      <c r="E147" s="1389"/>
      <c r="F147" s="1389"/>
      <c r="G147" s="1389"/>
      <c r="H147" s="1389"/>
      <c r="I147" s="1389"/>
      <c r="J147" s="1389"/>
      <c r="K147" s="1389"/>
      <c r="L147" s="1389"/>
      <c r="M147" s="1389"/>
      <c r="N147" s="1389"/>
      <c r="O147" s="1389"/>
      <c r="P147" s="1389"/>
      <c r="Q147" s="1389"/>
      <c r="R147" s="1389"/>
      <c r="S147" s="1389"/>
      <c r="T147" s="1389"/>
      <c r="U147" s="1389"/>
      <c r="V147" s="1389"/>
    </row>
    <row r="148" spans="1:22" x14ac:dyDescent="0.25">
      <c r="A148" s="1389"/>
      <c r="B148" s="1389"/>
      <c r="C148" s="1389"/>
      <c r="D148" s="1389"/>
      <c r="E148" s="1389"/>
      <c r="F148" s="1389"/>
      <c r="G148" s="1389"/>
      <c r="H148" s="1389"/>
      <c r="I148" s="1389"/>
      <c r="J148" s="1389"/>
      <c r="K148" s="1389"/>
      <c r="L148" s="1389"/>
      <c r="M148" s="1389"/>
      <c r="N148" s="1389"/>
      <c r="O148" s="1389"/>
      <c r="P148" s="1389"/>
      <c r="Q148" s="1389"/>
      <c r="R148" s="1389"/>
      <c r="S148" s="1389"/>
      <c r="T148" s="1389"/>
      <c r="U148" s="1389"/>
      <c r="V148" s="1389"/>
    </row>
    <row r="149" spans="1:22" x14ac:dyDescent="0.25">
      <c r="A149" s="1389"/>
      <c r="B149" s="1389"/>
      <c r="C149" s="1389"/>
      <c r="D149" s="1389"/>
      <c r="E149" s="1389"/>
      <c r="F149" s="1389"/>
      <c r="G149" s="1389"/>
      <c r="H149" s="1389"/>
      <c r="I149" s="1389"/>
      <c r="J149" s="1389"/>
      <c r="K149" s="1389"/>
      <c r="L149" s="1389"/>
      <c r="M149" s="1389"/>
      <c r="N149" s="1389"/>
      <c r="O149" s="1389"/>
      <c r="P149" s="1389"/>
      <c r="Q149" s="1389"/>
      <c r="R149" s="1389"/>
      <c r="S149" s="1389"/>
      <c r="T149" s="1389"/>
      <c r="U149" s="1389"/>
      <c r="V149" s="1389"/>
    </row>
    <row r="150" spans="1:22" x14ac:dyDescent="0.25">
      <c r="A150" s="1389"/>
      <c r="B150" s="1389"/>
      <c r="C150" s="1389"/>
      <c r="D150" s="1389"/>
      <c r="E150" s="1389"/>
      <c r="F150" s="1389"/>
      <c r="G150" s="1389"/>
      <c r="H150" s="1389"/>
      <c r="I150" s="1389"/>
      <c r="J150" s="1389"/>
      <c r="K150" s="1389"/>
      <c r="L150" s="1389"/>
      <c r="M150" s="1389"/>
      <c r="N150" s="1389"/>
      <c r="O150" s="1389"/>
      <c r="P150" s="1389"/>
      <c r="Q150" s="1389"/>
      <c r="R150" s="1389"/>
      <c r="S150" s="1389"/>
      <c r="T150" s="1389"/>
      <c r="U150" s="1389"/>
      <c r="V150" s="1389"/>
    </row>
    <row r="151" spans="1:22" x14ac:dyDescent="0.25">
      <c r="A151" s="1389"/>
      <c r="B151" s="1389"/>
      <c r="C151" s="1389"/>
      <c r="D151" s="1389"/>
      <c r="E151" s="1389"/>
      <c r="F151" s="1389"/>
      <c r="G151" s="1389"/>
      <c r="H151" s="1389"/>
      <c r="I151" s="1389"/>
      <c r="J151" s="1389"/>
      <c r="K151" s="1389"/>
      <c r="L151" s="1389"/>
      <c r="M151" s="1389"/>
      <c r="N151" s="1389"/>
      <c r="O151" s="1389"/>
      <c r="P151" s="1389"/>
      <c r="Q151" s="1389"/>
      <c r="R151" s="1389"/>
      <c r="S151" s="1389"/>
      <c r="T151" s="1389"/>
      <c r="U151" s="1389"/>
      <c r="V151" s="1389"/>
    </row>
    <row r="152" spans="1:22" x14ac:dyDescent="0.25">
      <c r="A152" s="1389"/>
      <c r="B152" s="1389"/>
      <c r="C152" s="1389"/>
      <c r="D152" s="1389"/>
      <c r="E152" s="1389"/>
      <c r="F152" s="1389"/>
      <c r="G152" s="1389"/>
      <c r="H152" s="1389"/>
      <c r="I152" s="1389"/>
      <c r="J152" s="1389"/>
      <c r="K152" s="1389"/>
      <c r="L152" s="1389"/>
      <c r="M152" s="1389"/>
      <c r="N152" s="1389"/>
      <c r="O152" s="1389"/>
      <c r="P152" s="1389"/>
      <c r="Q152" s="1389"/>
      <c r="R152" s="1389"/>
      <c r="S152" s="1389"/>
      <c r="T152" s="1389"/>
      <c r="U152" s="1389"/>
      <c r="V152" s="1389"/>
    </row>
    <row r="153" spans="1:22" x14ac:dyDescent="0.25">
      <c r="A153" s="1389"/>
      <c r="B153" s="1389"/>
      <c r="C153" s="1389"/>
      <c r="D153" s="1389"/>
      <c r="E153" s="1389"/>
      <c r="F153" s="1389"/>
      <c r="G153" s="1389"/>
      <c r="H153" s="1389"/>
      <c r="I153" s="1389"/>
      <c r="J153" s="1389"/>
      <c r="K153" s="1389"/>
      <c r="L153" s="1389"/>
      <c r="M153" s="1389"/>
      <c r="N153" s="1389"/>
      <c r="O153" s="1389"/>
      <c r="P153" s="1389"/>
      <c r="Q153" s="1389"/>
      <c r="R153" s="1389"/>
      <c r="S153" s="1389"/>
      <c r="T153" s="1389"/>
      <c r="U153" s="1389"/>
      <c r="V153" s="1389"/>
    </row>
    <row r="154" spans="1:22" x14ac:dyDescent="0.25">
      <c r="A154" s="1389"/>
      <c r="B154" s="1389"/>
      <c r="C154" s="1389"/>
      <c r="D154" s="1389"/>
      <c r="E154" s="1389"/>
      <c r="F154" s="1389"/>
      <c r="G154" s="1389"/>
      <c r="H154" s="1389"/>
      <c r="I154" s="1389"/>
      <c r="J154" s="1389"/>
      <c r="K154" s="1389"/>
      <c r="L154" s="1389"/>
      <c r="M154" s="1389"/>
      <c r="N154" s="1389"/>
      <c r="O154" s="1389"/>
      <c r="P154" s="1389"/>
      <c r="Q154" s="1389"/>
      <c r="R154" s="1389"/>
      <c r="S154" s="1389"/>
      <c r="T154" s="1389"/>
      <c r="U154" s="1389"/>
      <c r="V154" s="1389"/>
    </row>
    <row r="155" spans="1:22" x14ac:dyDescent="0.25">
      <c r="A155" s="1389"/>
      <c r="B155" s="1389"/>
      <c r="C155" s="1389"/>
      <c r="D155" s="1389"/>
      <c r="E155" s="1389"/>
      <c r="F155" s="1389"/>
      <c r="G155" s="1389"/>
      <c r="H155" s="1389"/>
      <c r="I155" s="1389"/>
      <c r="J155" s="1389"/>
      <c r="K155" s="1389"/>
      <c r="L155" s="1389"/>
      <c r="M155" s="1389"/>
      <c r="N155" s="1389"/>
      <c r="O155" s="1389"/>
      <c r="P155" s="1389"/>
      <c r="Q155" s="1389"/>
      <c r="R155" s="1389"/>
      <c r="S155" s="1389"/>
      <c r="T155" s="1389"/>
      <c r="U155" s="1389"/>
      <c r="V155" s="1389"/>
    </row>
    <row r="156" spans="1:22" x14ac:dyDescent="0.25">
      <c r="A156" s="1389"/>
      <c r="B156" s="1389"/>
      <c r="C156" s="1389"/>
      <c r="D156" s="1389"/>
      <c r="E156" s="1389"/>
      <c r="F156" s="1389"/>
      <c r="G156" s="1389"/>
      <c r="H156" s="1389"/>
      <c r="I156" s="1389"/>
      <c r="J156" s="1389"/>
      <c r="K156" s="1389"/>
      <c r="L156" s="1389"/>
      <c r="M156" s="1389"/>
      <c r="N156" s="1389"/>
      <c r="O156" s="1389"/>
      <c r="P156" s="1389"/>
      <c r="Q156" s="1389"/>
      <c r="R156" s="1389"/>
      <c r="S156" s="1389"/>
      <c r="T156" s="1389"/>
      <c r="U156" s="1389"/>
      <c r="V156" s="1389"/>
    </row>
    <row r="157" spans="1:22" x14ac:dyDescent="0.25">
      <c r="A157" s="1389"/>
      <c r="B157" s="1389"/>
      <c r="C157" s="1389"/>
      <c r="D157" s="1389"/>
      <c r="E157" s="1389"/>
      <c r="F157" s="1389"/>
      <c r="G157" s="1389"/>
      <c r="H157" s="1389"/>
      <c r="I157" s="1389"/>
      <c r="J157" s="1389"/>
      <c r="K157" s="1389"/>
      <c r="L157" s="1389"/>
      <c r="M157" s="1389"/>
      <c r="N157" s="1389"/>
      <c r="O157" s="1389"/>
      <c r="P157" s="1389"/>
      <c r="Q157" s="1389"/>
      <c r="R157" s="1389"/>
      <c r="S157" s="1389"/>
      <c r="T157" s="1389"/>
      <c r="U157" s="1389"/>
      <c r="V157" s="1389"/>
    </row>
    <row r="158" spans="1:22" x14ac:dyDescent="0.25">
      <c r="A158" s="1389"/>
      <c r="B158" s="1389"/>
      <c r="C158" s="1389"/>
      <c r="D158" s="1389"/>
      <c r="E158" s="1389"/>
      <c r="F158" s="1389"/>
      <c r="G158" s="1389"/>
      <c r="H158" s="1389"/>
      <c r="I158" s="1389"/>
      <c r="J158" s="1389"/>
      <c r="K158" s="1389"/>
      <c r="L158" s="1389"/>
      <c r="M158" s="1389"/>
      <c r="N158" s="1389"/>
      <c r="O158" s="1389"/>
      <c r="P158" s="1389"/>
      <c r="Q158" s="1389"/>
      <c r="R158" s="1389"/>
      <c r="S158" s="1389"/>
      <c r="T158" s="1389"/>
      <c r="U158" s="1389"/>
      <c r="V158" s="1389"/>
    </row>
    <row r="159" spans="1:22" x14ac:dyDescent="0.25">
      <c r="A159" s="1389"/>
      <c r="B159" s="1389"/>
      <c r="C159" s="1389"/>
      <c r="D159" s="1389"/>
      <c r="E159" s="1389"/>
      <c r="F159" s="1389"/>
      <c r="G159" s="1389"/>
      <c r="H159" s="1389"/>
      <c r="I159" s="1389"/>
      <c r="J159" s="1389"/>
      <c r="K159" s="1389"/>
      <c r="L159" s="1389"/>
      <c r="M159" s="1389"/>
      <c r="N159" s="1389"/>
      <c r="O159" s="1389"/>
      <c r="P159" s="1389"/>
      <c r="Q159" s="1389"/>
      <c r="R159" s="1389"/>
      <c r="S159" s="1389"/>
      <c r="T159" s="1389"/>
      <c r="U159" s="1389"/>
      <c r="V159" s="1389"/>
    </row>
    <row r="160" spans="1:22" x14ac:dyDescent="0.25">
      <c r="A160" s="1389"/>
      <c r="B160" s="1389"/>
      <c r="C160" s="1389"/>
      <c r="D160" s="1389"/>
      <c r="E160" s="1389"/>
      <c r="F160" s="1389"/>
      <c r="G160" s="1389"/>
      <c r="H160" s="1389"/>
      <c r="I160" s="1389"/>
      <c r="J160" s="1389"/>
      <c r="K160" s="1389"/>
      <c r="L160" s="1389"/>
      <c r="M160" s="1389"/>
      <c r="N160" s="1389"/>
      <c r="O160" s="1389"/>
      <c r="P160" s="1389"/>
      <c r="Q160" s="1389"/>
      <c r="R160" s="1389"/>
      <c r="S160" s="1389"/>
      <c r="T160" s="1389"/>
      <c r="U160" s="1389"/>
      <c r="V160" s="1389"/>
    </row>
    <row r="161" spans="1:22" x14ac:dyDescent="0.25">
      <c r="A161" s="1389"/>
      <c r="B161" s="1389"/>
      <c r="C161" s="1389"/>
      <c r="D161" s="1389"/>
      <c r="E161" s="1389"/>
      <c r="F161" s="1389"/>
      <c r="G161" s="1389"/>
      <c r="H161" s="1389"/>
      <c r="I161" s="1389"/>
      <c r="J161" s="1389"/>
      <c r="K161" s="1389"/>
      <c r="L161" s="1389"/>
      <c r="M161" s="1389"/>
      <c r="N161" s="1389"/>
      <c r="O161" s="1389"/>
      <c r="P161" s="1389"/>
      <c r="Q161" s="1389"/>
      <c r="R161" s="1389"/>
      <c r="S161" s="1389"/>
      <c r="T161" s="1389"/>
      <c r="U161" s="1389"/>
      <c r="V161" s="1389"/>
    </row>
    <row r="162" spans="1:22" x14ac:dyDescent="0.25">
      <c r="A162" s="1389"/>
      <c r="B162" s="1389"/>
      <c r="C162" s="1389"/>
      <c r="D162" s="1389"/>
      <c r="E162" s="1389"/>
      <c r="F162" s="1389"/>
      <c r="G162" s="1389"/>
      <c r="H162" s="1389"/>
      <c r="I162" s="1389"/>
      <c r="J162" s="1389"/>
      <c r="K162" s="1389"/>
      <c r="L162" s="1389"/>
      <c r="M162" s="1389"/>
      <c r="N162" s="1389"/>
      <c r="O162" s="1389"/>
      <c r="P162" s="1389"/>
      <c r="Q162" s="1389"/>
      <c r="R162" s="1389"/>
      <c r="S162" s="1389"/>
      <c r="T162" s="1389"/>
      <c r="U162" s="1389"/>
      <c r="V162" s="1389"/>
    </row>
    <row r="163" spans="1:22" x14ac:dyDescent="0.25">
      <c r="A163" s="1389"/>
      <c r="B163" s="1389"/>
      <c r="C163" s="1389"/>
      <c r="D163" s="1389"/>
      <c r="E163" s="1389"/>
      <c r="F163" s="1389"/>
      <c r="G163" s="1389"/>
      <c r="H163" s="1389"/>
      <c r="I163" s="1389"/>
      <c r="J163" s="1389"/>
      <c r="K163" s="1389"/>
      <c r="L163" s="1389"/>
      <c r="M163" s="1389"/>
      <c r="N163" s="1389"/>
      <c r="O163" s="1389"/>
      <c r="P163" s="1389"/>
      <c r="Q163" s="1389"/>
      <c r="R163" s="1389"/>
      <c r="S163" s="1389"/>
      <c r="T163" s="1389"/>
      <c r="U163" s="1389"/>
      <c r="V163" s="1389"/>
    </row>
    <row r="164" spans="1:22" x14ac:dyDescent="0.25">
      <c r="A164" s="1389"/>
      <c r="B164" s="1389"/>
      <c r="C164" s="1389"/>
      <c r="D164" s="1389"/>
      <c r="E164" s="1389"/>
      <c r="F164" s="1389"/>
      <c r="G164" s="1389"/>
      <c r="H164" s="1389"/>
      <c r="I164" s="1389"/>
      <c r="J164" s="1389"/>
      <c r="K164" s="1389"/>
      <c r="L164" s="1389"/>
      <c r="M164" s="1389"/>
      <c r="N164" s="1389"/>
      <c r="O164" s="1389"/>
      <c r="P164" s="1389"/>
      <c r="Q164" s="1389"/>
      <c r="R164" s="1389"/>
      <c r="S164" s="1389"/>
      <c r="T164" s="1389"/>
      <c r="U164" s="1389"/>
      <c r="V164" s="1389"/>
    </row>
    <row r="165" spans="1:22" x14ac:dyDescent="0.25">
      <c r="A165" s="1389"/>
      <c r="B165" s="1389"/>
      <c r="C165" s="1389"/>
      <c r="D165" s="1389"/>
      <c r="E165" s="1389"/>
      <c r="F165" s="1389"/>
      <c r="G165" s="1389"/>
      <c r="H165" s="1389"/>
      <c r="I165" s="1389"/>
      <c r="J165" s="1389"/>
      <c r="K165" s="1389"/>
      <c r="L165" s="1389"/>
      <c r="M165" s="1389"/>
      <c r="N165" s="1389"/>
      <c r="O165" s="1389"/>
      <c r="P165" s="1389"/>
      <c r="Q165" s="1389"/>
      <c r="R165" s="1389"/>
      <c r="S165" s="1389"/>
      <c r="T165" s="1389"/>
      <c r="U165" s="1389"/>
      <c r="V165" s="1389"/>
    </row>
    <row r="166" spans="1:22" x14ac:dyDescent="0.25">
      <c r="A166" s="1389"/>
      <c r="B166" s="1389"/>
      <c r="C166" s="1389"/>
      <c r="D166" s="1389"/>
      <c r="E166" s="1389"/>
      <c r="F166" s="1389"/>
      <c r="G166" s="1389"/>
      <c r="H166" s="1389"/>
      <c r="I166" s="1389"/>
      <c r="J166" s="1389"/>
      <c r="K166" s="1389"/>
      <c r="L166" s="1389"/>
      <c r="M166" s="1389"/>
      <c r="N166" s="1389"/>
      <c r="O166" s="1389"/>
      <c r="P166" s="1389"/>
      <c r="Q166" s="1389"/>
      <c r="R166" s="1389"/>
      <c r="S166" s="1389"/>
      <c r="T166" s="1389"/>
      <c r="U166" s="1389"/>
      <c r="V166" s="1389"/>
    </row>
    <row r="167" spans="1:22" x14ac:dyDescent="0.25">
      <c r="A167" s="1389"/>
      <c r="B167" s="1389"/>
      <c r="C167" s="1389"/>
      <c r="D167" s="1389"/>
      <c r="E167" s="1389"/>
      <c r="F167" s="1389"/>
      <c r="G167" s="1389"/>
      <c r="H167" s="1389"/>
      <c r="I167" s="1389"/>
      <c r="J167" s="1389"/>
      <c r="K167" s="1389"/>
      <c r="L167" s="1389"/>
      <c r="M167" s="1389"/>
      <c r="N167" s="1389"/>
      <c r="O167" s="1389"/>
      <c r="P167" s="1389"/>
      <c r="Q167" s="1389"/>
      <c r="R167" s="1389"/>
      <c r="S167" s="1389"/>
      <c r="T167" s="1389"/>
      <c r="U167" s="1389"/>
      <c r="V167" s="1389"/>
    </row>
    <row r="168" spans="1:22" x14ac:dyDescent="0.25">
      <c r="A168" s="1389"/>
      <c r="B168" s="1389"/>
      <c r="C168" s="1389"/>
      <c r="D168" s="1389"/>
      <c r="E168" s="1389"/>
      <c r="F168" s="1389"/>
      <c r="G168" s="1389"/>
      <c r="H168" s="1389"/>
      <c r="I168" s="1389"/>
      <c r="J168" s="1389"/>
      <c r="K168" s="1389"/>
      <c r="L168" s="1389"/>
      <c r="M168" s="1389"/>
      <c r="N168" s="1389"/>
      <c r="O168" s="1389"/>
      <c r="P168" s="1389"/>
      <c r="Q168" s="1389"/>
      <c r="R168" s="1389"/>
      <c r="S168" s="1389"/>
      <c r="T168" s="1389"/>
      <c r="U168" s="1389"/>
      <c r="V168" s="1389"/>
    </row>
    <row r="169" spans="1:22" x14ac:dyDescent="0.25">
      <c r="A169" s="1389"/>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row>
    <row r="170" spans="1:22" x14ac:dyDescent="0.25">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row>
    <row r="171" spans="1:22" x14ac:dyDescent="0.25">
      <c r="A171" s="1389"/>
      <c r="B171" s="1389"/>
      <c r="C171" s="1389"/>
      <c r="D171" s="1389"/>
      <c r="E171" s="1389"/>
      <c r="F171" s="1389"/>
      <c r="G171" s="1389"/>
      <c r="H171" s="1389"/>
      <c r="I171" s="1389"/>
      <c r="J171" s="1389"/>
      <c r="K171" s="1389"/>
      <c r="L171" s="1389"/>
      <c r="M171" s="1389"/>
      <c r="N171" s="1389"/>
      <c r="O171" s="1389"/>
      <c r="P171" s="1389"/>
      <c r="Q171" s="1389"/>
      <c r="R171" s="1389"/>
      <c r="S171" s="1389"/>
      <c r="T171" s="1389"/>
      <c r="U171" s="1389"/>
      <c r="V171" s="1389"/>
    </row>
    <row r="172" spans="1:22" x14ac:dyDescent="0.25">
      <c r="A172" s="1389"/>
      <c r="B172" s="1389"/>
      <c r="C172" s="1389"/>
      <c r="D172" s="1389"/>
      <c r="E172" s="1389"/>
      <c r="F172" s="1389"/>
      <c r="G172" s="1389"/>
      <c r="H172" s="1389"/>
      <c r="I172" s="1389"/>
      <c r="J172" s="1389"/>
      <c r="K172" s="1389"/>
      <c r="L172" s="1389"/>
      <c r="M172" s="1389"/>
      <c r="N172" s="1389"/>
      <c r="O172" s="1389"/>
      <c r="P172" s="1389"/>
      <c r="Q172" s="1389"/>
      <c r="R172" s="1389"/>
      <c r="S172" s="1389"/>
      <c r="T172" s="1389"/>
      <c r="U172" s="1389"/>
      <c r="V172" s="1389"/>
    </row>
    <row r="173" spans="1:22" x14ac:dyDescent="0.25">
      <c r="A173" s="1389"/>
      <c r="B173" s="1389"/>
      <c r="C173" s="1389"/>
      <c r="D173" s="1389"/>
      <c r="E173" s="1389"/>
      <c r="F173" s="1389"/>
      <c r="G173" s="1389"/>
      <c r="H173" s="1389"/>
      <c r="I173" s="1389"/>
      <c r="J173" s="1389"/>
      <c r="K173" s="1389"/>
      <c r="L173" s="1389"/>
      <c r="M173" s="1389"/>
      <c r="N173" s="1389"/>
      <c r="O173" s="1389"/>
      <c r="P173" s="1389"/>
      <c r="Q173" s="1389"/>
      <c r="R173" s="1389"/>
      <c r="S173" s="1389"/>
      <c r="T173" s="1389"/>
      <c r="U173" s="1389"/>
      <c r="V173" s="1389"/>
    </row>
    <row r="174" spans="1:22" x14ac:dyDescent="0.25">
      <c r="A174" s="1389"/>
      <c r="B174" s="1389"/>
      <c r="C174" s="1389"/>
      <c r="D174" s="1389"/>
      <c r="E174" s="1389"/>
      <c r="F174" s="1389"/>
      <c r="G174" s="1389"/>
      <c r="H174" s="1389"/>
      <c r="I174" s="1389"/>
      <c r="J174" s="1389"/>
      <c r="K174" s="1389"/>
      <c r="L174" s="1389"/>
      <c r="M174" s="1389"/>
      <c r="N174" s="1389"/>
      <c r="O174" s="1389"/>
      <c r="P174" s="1389"/>
      <c r="Q174" s="1389"/>
      <c r="R174" s="1389"/>
      <c r="S174" s="1389"/>
      <c r="T174" s="1389"/>
      <c r="U174" s="1389"/>
      <c r="V174" s="1389"/>
    </row>
    <row r="175" spans="1:22" x14ac:dyDescent="0.25">
      <c r="A175" s="1389"/>
      <c r="B175" s="1389"/>
      <c r="C175" s="1389"/>
      <c r="D175" s="1389"/>
      <c r="E175" s="1389"/>
      <c r="F175" s="1389"/>
      <c r="G175" s="1389"/>
      <c r="H175" s="1389"/>
      <c r="I175" s="1389"/>
      <c r="J175" s="1389"/>
      <c r="K175" s="1389"/>
      <c r="L175" s="1389"/>
      <c r="M175" s="1389"/>
      <c r="N175" s="1389"/>
      <c r="O175" s="1389"/>
      <c r="P175" s="1389"/>
      <c r="Q175" s="1389"/>
      <c r="R175" s="1389"/>
      <c r="S175" s="1389"/>
      <c r="T175" s="1389"/>
      <c r="U175" s="1389"/>
      <c r="V175" s="1389"/>
    </row>
    <row r="176" spans="1:22" x14ac:dyDescent="0.25">
      <c r="A176" s="1389"/>
      <c r="B176" s="1389"/>
      <c r="C176" s="1389"/>
      <c r="D176" s="1389"/>
      <c r="E176" s="1389"/>
      <c r="F176" s="1389"/>
      <c r="G176" s="1389"/>
      <c r="H176" s="1389"/>
      <c r="I176" s="1389"/>
      <c r="J176" s="1389"/>
      <c r="K176" s="1389"/>
      <c r="L176" s="1389"/>
      <c r="M176" s="1389"/>
      <c r="N176" s="1389"/>
      <c r="O176" s="1389"/>
      <c r="P176" s="1389"/>
      <c r="Q176" s="1389"/>
      <c r="R176" s="1389"/>
      <c r="S176" s="1389"/>
      <c r="T176" s="1389"/>
      <c r="U176" s="1389"/>
      <c r="V176" s="1389"/>
    </row>
    <row r="177" spans="1:22" x14ac:dyDescent="0.25">
      <c r="A177" s="1389"/>
      <c r="B177" s="1389"/>
      <c r="C177" s="1389"/>
      <c r="D177" s="1389"/>
      <c r="E177" s="1389"/>
      <c r="F177" s="1389"/>
      <c r="G177" s="1389"/>
      <c r="H177" s="1389"/>
      <c r="I177" s="1389"/>
      <c r="J177" s="1389"/>
      <c r="K177" s="1389"/>
      <c r="L177" s="1389"/>
      <c r="M177" s="1389"/>
      <c r="N177" s="1389"/>
      <c r="O177" s="1389"/>
      <c r="P177" s="1389"/>
      <c r="Q177" s="1389"/>
      <c r="R177" s="1389"/>
      <c r="S177" s="1389"/>
      <c r="T177" s="1389"/>
      <c r="U177" s="1389"/>
      <c r="V177" s="1389"/>
    </row>
    <row r="178" spans="1:22" x14ac:dyDescent="0.25">
      <c r="A178" s="1389"/>
      <c r="B178" s="1389"/>
      <c r="C178" s="1389"/>
      <c r="D178" s="1389"/>
      <c r="E178" s="1389"/>
      <c r="F178" s="1389"/>
      <c r="G178" s="1389"/>
      <c r="H178" s="1389"/>
      <c r="I178" s="1389"/>
      <c r="J178" s="1389"/>
      <c r="K178" s="1389"/>
      <c r="L178" s="1389"/>
      <c r="M178" s="1389"/>
      <c r="N178" s="1389"/>
      <c r="O178" s="1389"/>
      <c r="P178" s="1389"/>
      <c r="Q178" s="1389"/>
      <c r="R178" s="1389"/>
      <c r="S178" s="1389"/>
      <c r="T178" s="1389"/>
      <c r="U178" s="1389"/>
      <c r="V178" s="1389"/>
    </row>
    <row r="179" spans="1:22" x14ac:dyDescent="0.25">
      <c r="A179" s="1389"/>
      <c r="B179" s="1389"/>
      <c r="C179" s="1389"/>
      <c r="D179" s="1389"/>
      <c r="E179" s="1389"/>
      <c r="F179" s="1389"/>
      <c r="G179" s="1389"/>
      <c r="H179" s="1389"/>
      <c r="I179" s="1389"/>
      <c r="J179" s="1389"/>
      <c r="K179" s="1389"/>
      <c r="L179" s="1389"/>
      <c r="M179" s="1389"/>
      <c r="N179" s="1389"/>
      <c r="O179" s="1389"/>
      <c r="P179" s="1389"/>
      <c r="Q179" s="1389"/>
      <c r="R179" s="1389"/>
      <c r="S179" s="1389"/>
      <c r="T179" s="1389"/>
      <c r="U179" s="1389"/>
      <c r="V179" s="1389"/>
    </row>
    <row r="180" spans="1:22" x14ac:dyDescent="0.25">
      <c r="A180" s="1389"/>
      <c r="B180" s="1389"/>
      <c r="C180" s="1389"/>
      <c r="D180" s="1389"/>
      <c r="E180" s="1389"/>
      <c r="F180" s="1389"/>
      <c r="G180" s="1389"/>
      <c r="H180" s="1389"/>
      <c r="I180" s="1389"/>
      <c r="J180" s="1389"/>
      <c r="K180" s="1389"/>
      <c r="L180" s="1389"/>
      <c r="M180" s="1389"/>
      <c r="N180" s="1389"/>
      <c r="O180" s="1389"/>
      <c r="P180" s="1389"/>
      <c r="Q180" s="1389"/>
      <c r="R180" s="1389"/>
      <c r="S180" s="1389"/>
      <c r="T180" s="1389"/>
      <c r="U180" s="1389"/>
      <c r="V180" s="1389"/>
    </row>
    <row r="181" spans="1:22" x14ac:dyDescent="0.25">
      <c r="A181" s="1389"/>
      <c r="B181" s="1389"/>
      <c r="C181" s="1389"/>
      <c r="D181" s="1389"/>
      <c r="E181" s="1389"/>
      <c r="F181" s="1389"/>
      <c r="G181" s="1389"/>
      <c r="H181" s="1389"/>
      <c r="I181" s="1389"/>
      <c r="J181" s="1389"/>
      <c r="K181" s="1389"/>
      <c r="L181" s="1389"/>
      <c r="M181" s="1389"/>
      <c r="N181" s="1389"/>
      <c r="O181" s="1389"/>
      <c r="P181" s="1389"/>
      <c r="Q181" s="1389"/>
      <c r="R181" s="1389"/>
      <c r="S181" s="1389"/>
      <c r="T181" s="1389"/>
      <c r="U181" s="1389"/>
      <c r="V181" s="1389"/>
    </row>
    <row r="182" spans="1:22" x14ac:dyDescent="0.25">
      <c r="A182" s="1389"/>
      <c r="B182" s="1389"/>
      <c r="C182" s="1389"/>
      <c r="D182" s="1389"/>
      <c r="E182" s="1389"/>
      <c r="F182" s="1389"/>
      <c r="G182" s="1389"/>
      <c r="H182" s="1389"/>
      <c r="I182" s="1389"/>
      <c r="J182" s="1389"/>
      <c r="K182" s="1389"/>
      <c r="L182" s="1389"/>
      <c r="M182" s="1389"/>
      <c r="N182" s="1389"/>
      <c r="O182" s="1389"/>
      <c r="P182" s="1389"/>
      <c r="Q182" s="1389"/>
      <c r="R182" s="1389"/>
      <c r="S182" s="1389"/>
      <c r="T182" s="1389"/>
      <c r="U182" s="1389"/>
      <c r="V182" s="1389"/>
    </row>
    <row r="183" spans="1:22" x14ac:dyDescent="0.25">
      <c r="A183" s="1389"/>
      <c r="B183" s="1389"/>
      <c r="C183" s="1389"/>
      <c r="D183" s="1389"/>
      <c r="E183" s="1389"/>
      <c r="F183" s="1389"/>
      <c r="G183" s="1389"/>
      <c r="H183" s="1389"/>
      <c r="I183" s="1389"/>
      <c r="J183" s="1389"/>
      <c r="K183" s="1389"/>
      <c r="L183" s="1389"/>
      <c r="M183" s="1389"/>
      <c r="N183" s="1389"/>
      <c r="O183" s="1389"/>
      <c r="P183" s="1389"/>
      <c r="Q183" s="1389"/>
      <c r="R183" s="1389"/>
      <c r="S183" s="1389"/>
      <c r="T183" s="1389"/>
      <c r="U183" s="1389"/>
      <c r="V183" s="1389"/>
    </row>
    <row r="184" spans="1:22" x14ac:dyDescent="0.25">
      <c r="A184" s="1389"/>
      <c r="B184" s="1389"/>
      <c r="C184" s="1389"/>
      <c r="D184" s="1389"/>
      <c r="E184" s="1389"/>
      <c r="F184" s="1389"/>
      <c r="G184" s="1389"/>
      <c r="H184" s="1389"/>
      <c r="I184" s="1389"/>
      <c r="J184" s="1389"/>
      <c r="K184" s="1389"/>
      <c r="L184" s="1389"/>
      <c r="M184" s="1389"/>
      <c r="N184" s="1389"/>
      <c r="O184" s="1389"/>
      <c r="P184" s="1389"/>
      <c r="Q184" s="1389"/>
      <c r="R184" s="1389"/>
      <c r="S184" s="1389"/>
      <c r="T184" s="1389"/>
      <c r="U184" s="1389"/>
      <c r="V184" s="1389"/>
    </row>
    <row r="185" spans="1:22" x14ac:dyDescent="0.25">
      <c r="A185" s="1389"/>
      <c r="B185" s="1389"/>
      <c r="C185" s="1389"/>
      <c r="D185" s="1389"/>
      <c r="E185" s="1389"/>
      <c r="F185" s="1389"/>
      <c r="G185" s="1389"/>
      <c r="H185" s="1389"/>
      <c r="I185" s="1389"/>
      <c r="J185" s="1389"/>
      <c r="K185" s="1389"/>
      <c r="L185" s="1389"/>
      <c r="M185" s="1389"/>
      <c r="N185" s="1389"/>
      <c r="O185" s="1389"/>
      <c r="P185" s="1389"/>
      <c r="Q185" s="1389"/>
      <c r="R185" s="1389"/>
      <c r="S185" s="1389"/>
      <c r="T185" s="1389"/>
      <c r="U185" s="1389"/>
      <c r="V185" s="1389"/>
    </row>
    <row r="186" spans="1:22" x14ac:dyDescent="0.25">
      <c r="A186" s="1389"/>
      <c r="B186" s="1389"/>
      <c r="C186" s="1389"/>
      <c r="D186" s="1389"/>
      <c r="E186" s="1389"/>
      <c r="F186" s="1389"/>
      <c r="G186" s="1389"/>
      <c r="H186" s="1389"/>
      <c r="I186" s="1389"/>
      <c r="J186" s="1389"/>
      <c r="K186" s="1389"/>
      <c r="L186" s="1389"/>
      <c r="M186" s="1389"/>
      <c r="N186" s="1389"/>
      <c r="O186" s="1389"/>
      <c r="P186" s="1389"/>
      <c r="Q186" s="1389"/>
      <c r="R186" s="1389"/>
      <c r="S186" s="1389"/>
      <c r="T186" s="1389"/>
      <c r="U186" s="1389"/>
      <c r="V186" s="1389"/>
    </row>
    <row r="187" spans="1:22" x14ac:dyDescent="0.25">
      <c r="A187" s="1389"/>
      <c r="B187" s="1389"/>
      <c r="C187" s="1389"/>
      <c r="D187" s="1389"/>
      <c r="E187" s="1389"/>
      <c r="F187" s="1389"/>
      <c r="G187" s="1389"/>
      <c r="H187" s="1389"/>
      <c r="I187" s="1389"/>
      <c r="J187" s="1389"/>
      <c r="K187" s="1389"/>
      <c r="L187" s="1389"/>
      <c r="M187" s="1389"/>
      <c r="N187" s="1389"/>
      <c r="O187" s="1389"/>
      <c r="P187" s="1389"/>
      <c r="Q187" s="1389"/>
      <c r="R187" s="1389"/>
      <c r="S187" s="1389"/>
      <c r="T187" s="1389"/>
      <c r="U187" s="1389"/>
      <c r="V187" s="1389"/>
    </row>
    <row r="188" spans="1:22" x14ac:dyDescent="0.25">
      <c r="A188" s="1389"/>
      <c r="B188" s="1389"/>
      <c r="C188" s="1389"/>
      <c r="D188" s="1389"/>
      <c r="E188" s="1389"/>
      <c r="F188" s="1389"/>
      <c r="G188" s="1389"/>
      <c r="H188" s="1389"/>
      <c r="I188" s="1389"/>
      <c r="J188" s="1389"/>
      <c r="K188" s="1389"/>
      <c r="L188" s="1389"/>
      <c r="M188" s="1389"/>
      <c r="N188" s="1389"/>
      <c r="O188" s="1389"/>
      <c r="P188" s="1389"/>
      <c r="Q188" s="1389"/>
      <c r="R188" s="1389"/>
      <c r="S188" s="1389"/>
      <c r="T188" s="1389"/>
      <c r="U188" s="1389"/>
      <c r="V188" s="1389"/>
    </row>
    <row r="189" spans="1:22" x14ac:dyDescent="0.25">
      <c r="A189" s="1389"/>
      <c r="B189" s="1389"/>
      <c r="C189" s="1389"/>
      <c r="D189" s="1389"/>
      <c r="E189" s="1389"/>
      <c r="F189" s="1389"/>
      <c r="G189" s="1389"/>
      <c r="H189" s="1389"/>
      <c r="I189" s="1389"/>
      <c r="J189" s="1389"/>
      <c r="K189" s="1389"/>
      <c r="L189" s="1389"/>
      <c r="M189" s="1389"/>
      <c r="N189" s="1389"/>
      <c r="O189" s="1389"/>
      <c r="P189" s="1389"/>
      <c r="Q189" s="1389"/>
      <c r="R189" s="1389"/>
      <c r="S189" s="1389"/>
      <c r="T189" s="1389"/>
      <c r="U189" s="1389"/>
      <c r="V189" s="1389"/>
    </row>
    <row r="190" spans="1:22" x14ac:dyDescent="0.25">
      <c r="A190" s="1389"/>
      <c r="B190" s="1389"/>
      <c r="C190" s="1389"/>
      <c r="D190" s="1389"/>
      <c r="E190" s="1389"/>
      <c r="F190" s="1389"/>
      <c r="G190" s="1389"/>
      <c r="H190" s="1389"/>
      <c r="I190" s="1389"/>
      <c r="J190" s="1389"/>
      <c r="K190" s="1389"/>
      <c r="L190" s="1389"/>
      <c r="M190" s="1389"/>
      <c r="N190" s="1389"/>
      <c r="O190" s="1389"/>
      <c r="P190" s="1389"/>
      <c r="Q190" s="1389"/>
      <c r="R190" s="1389"/>
      <c r="S190" s="1389"/>
      <c r="T190" s="1389"/>
      <c r="U190" s="1389"/>
      <c r="V190" s="1389"/>
    </row>
    <row r="191" spans="1:22" x14ac:dyDescent="0.25">
      <c r="A191" s="1389"/>
      <c r="B191" s="1389"/>
      <c r="C191" s="1389"/>
      <c r="D191" s="1389"/>
      <c r="E191" s="1389"/>
      <c r="F191" s="1389"/>
      <c r="G191" s="1389"/>
      <c r="H191" s="1389"/>
      <c r="I191" s="1389"/>
      <c r="J191" s="1389"/>
      <c r="K191" s="1389"/>
      <c r="L191" s="1389"/>
      <c r="M191" s="1389"/>
      <c r="N191" s="1389"/>
      <c r="O191" s="1389"/>
      <c r="P191" s="1389"/>
      <c r="Q191" s="1389"/>
      <c r="R191" s="1389"/>
      <c r="S191" s="1389"/>
      <c r="T191" s="1389"/>
      <c r="U191" s="1389"/>
      <c r="V191" s="1389"/>
    </row>
    <row r="192" spans="1:22" x14ac:dyDescent="0.25">
      <c r="A192" s="1389"/>
      <c r="B192" s="1389"/>
      <c r="C192" s="1389"/>
      <c r="D192" s="1389"/>
      <c r="E192" s="1389"/>
      <c r="F192" s="1389"/>
      <c r="G192" s="1389"/>
      <c r="H192" s="1389"/>
      <c r="I192" s="1389"/>
      <c r="J192" s="1389"/>
      <c r="K192" s="1389"/>
      <c r="L192" s="1389"/>
      <c r="M192" s="1389"/>
      <c r="N192" s="1389"/>
      <c r="O192" s="1389"/>
      <c r="P192" s="1389"/>
      <c r="Q192" s="1389"/>
      <c r="R192" s="1389"/>
      <c r="S192" s="1389"/>
      <c r="T192" s="1389"/>
      <c r="U192" s="1389"/>
      <c r="V192" s="1389"/>
    </row>
    <row r="193" spans="1:22" x14ac:dyDescent="0.25">
      <c r="A193" s="1389"/>
      <c r="B193" s="1389"/>
      <c r="C193" s="1389"/>
      <c r="D193" s="1389"/>
      <c r="E193" s="1389"/>
      <c r="F193" s="1389"/>
      <c r="G193" s="1389"/>
      <c r="H193" s="1389"/>
      <c r="I193" s="1389"/>
      <c r="J193" s="1389"/>
      <c r="K193" s="1389"/>
      <c r="L193" s="1389"/>
      <c r="M193" s="1389"/>
      <c r="N193" s="1389"/>
      <c r="O193" s="1389"/>
      <c r="P193" s="1389"/>
      <c r="Q193" s="1389"/>
      <c r="R193" s="1389"/>
      <c r="S193" s="1389"/>
      <c r="T193" s="1389"/>
      <c r="U193" s="1389"/>
      <c r="V193" s="1389"/>
    </row>
    <row r="194" spans="1:22" x14ac:dyDescent="0.25">
      <c r="A194" s="1389"/>
      <c r="B194" s="1389"/>
      <c r="C194" s="1389"/>
      <c r="D194" s="1389"/>
      <c r="E194" s="1389"/>
      <c r="F194" s="1389"/>
      <c r="G194" s="1389"/>
      <c r="H194" s="1389"/>
      <c r="I194" s="1389"/>
      <c r="J194" s="1389"/>
      <c r="K194" s="1389"/>
      <c r="L194" s="1389"/>
      <c r="M194" s="1389"/>
      <c r="N194" s="1389"/>
      <c r="O194" s="1389"/>
      <c r="P194" s="1389"/>
      <c r="Q194" s="1389"/>
      <c r="R194" s="1389"/>
      <c r="S194" s="1389"/>
      <c r="T194" s="1389"/>
      <c r="U194" s="1389"/>
      <c r="V194" s="1389"/>
    </row>
    <row r="195" spans="1:22" x14ac:dyDescent="0.25">
      <c r="A195" s="1389"/>
      <c r="B195" s="1389"/>
      <c r="C195" s="1389"/>
      <c r="D195" s="1389"/>
      <c r="E195" s="1389"/>
      <c r="F195" s="1389"/>
      <c r="G195" s="1389"/>
      <c r="H195" s="1389"/>
      <c r="I195" s="1389"/>
      <c r="J195" s="1389"/>
      <c r="K195" s="1389"/>
      <c r="L195" s="1389"/>
      <c r="M195" s="1389"/>
      <c r="N195" s="1389"/>
      <c r="O195" s="1389"/>
      <c r="P195" s="1389"/>
      <c r="Q195" s="1389"/>
      <c r="R195" s="1389"/>
      <c r="S195" s="1389"/>
      <c r="T195" s="1389"/>
      <c r="U195" s="1389"/>
      <c r="V195" s="1389"/>
    </row>
    <row r="196" spans="1:22" x14ac:dyDescent="0.25">
      <c r="A196" s="1389"/>
      <c r="B196" s="1389"/>
      <c r="C196" s="1389"/>
      <c r="D196" s="1389"/>
      <c r="E196" s="1389"/>
      <c r="F196" s="1389"/>
      <c r="G196" s="1389"/>
      <c r="H196" s="1389"/>
      <c r="I196" s="1389"/>
      <c r="J196" s="1389"/>
      <c r="K196" s="1389"/>
      <c r="L196" s="1389"/>
      <c r="M196" s="1389"/>
      <c r="N196" s="1389"/>
      <c r="O196" s="1389"/>
      <c r="P196" s="1389"/>
      <c r="Q196" s="1389"/>
      <c r="R196" s="1389"/>
      <c r="S196" s="1389"/>
      <c r="T196" s="1389"/>
      <c r="U196" s="1389"/>
      <c r="V196" s="1389"/>
    </row>
    <row r="197" spans="1:22" x14ac:dyDescent="0.25">
      <c r="A197" s="1389"/>
      <c r="B197" s="1389"/>
      <c r="C197" s="1389"/>
      <c r="D197" s="1389"/>
      <c r="E197" s="1389"/>
      <c r="F197" s="1389"/>
      <c r="G197" s="1389"/>
      <c r="H197" s="1389"/>
      <c r="I197" s="1389"/>
      <c r="J197" s="1389"/>
      <c r="K197" s="1389"/>
      <c r="L197" s="1389"/>
      <c r="M197" s="1389"/>
      <c r="N197" s="1389"/>
      <c r="O197" s="1389"/>
      <c r="P197" s="1389"/>
      <c r="Q197" s="1389"/>
      <c r="R197" s="1389"/>
      <c r="S197" s="1389"/>
      <c r="T197" s="1389"/>
      <c r="U197" s="1389"/>
      <c r="V197" s="1389"/>
    </row>
    <row r="198" spans="1:22" x14ac:dyDescent="0.25">
      <c r="A198" s="1389"/>
      <c r="B198" s="1389"/>
      <c r="C198" s="1389"/>
      <c r="D198" s="1389"/>
      <c r="E198" s="1389"/>
      <c r="F198" s="1389"/>
      <c r="G198" s="1389"/>
      <c r="H198" s="1389"/>
      <c r="I198" s="1389"/>
      <c r="J198" s="1389"/>
      <c r="K198" s="1389"/>
      <c r="L198" s="1389"/>
      <c r="M198" s="1389"/>
      <c r="N198" s="1389"/>
      <c r="O198" s="1389"/>
      <c r="P198" s="1389"/>
      <c r="Q198" s="1389"/>
      <c r="R198" s="1389"/>
      <c r="S198" s="1389"/>
      <c r="T198" s="1389"/>
      <c r="U198" s="1389"/>
      <c r="V198" s="1389"/>
    </row>
    <row r="199" spans="1:22" x14ac:dyDescent="0.25">
      <c r="A199" s="1389"/>
      <c r="B199" s="1389"/>
      <c r="C199" s="1389"/>
      <c r="D199" s="1389"/>
      <c r="E199" s="1389"/>
      <c r="F199" s="1389"/>
      <c r="G199" s="1389"/>
      <c r="H199" s="1389"/>
      <c r="I199" s="1389"/>
      <c r="J199" s="1389"/>
      <c r="K199" s="1389"/>
      <c r="L199" s="1389"/>
      <c r="M199" s="1389"/>
      <c r="N199" s="1389"/>
      <c r="O199" s="1389"/>
      <c r="P199" s="1389"/>
      <c r="Q199" s="1389"/>
      <c r="R199" s="1389"/>
      <c r="S199" s="1389"/>
      <c r="T199" s="1389"/>
      <c r="U199" s="1389"/>
      <c r="V199" s="1389"/>
    </row>
    <row r="200" spans="1:22" x14ac:dyDescent="0.25">
      <c r="A200" s="1389"/>
      <c r="B200" s="1389"/>
      <c r="C200" s="1389"/>
      <c r="D200" s="1389"/>
      <c r="E200" s="1389"/>
      <c r="F200" s="1389"/>
      <c r="G200" s="1389"/>
      <c r="H200" s="1389"/>
      <c r="I200" s="1389"/>
      <c r="J200" s="1389"/>
      <c r="K200" s="1389"/>
      <c r="L200" s="1389"/>
      <c r="M200" s="1389"/>
      <c r="N200" s="1389"/>
      <c r="O200" s="1389"/>
      <c r="P200" s="1389"/>
      <c r="Q200" s="1389"/>
      <c r="R200" s="1389"/>
      <c r="S200" s="1389"/>
      <c r="T200" s="1389"/>
      <c r="U200" s="1389"/>
      <c r="V200" s="1389"/>
    </row>
    <row r="201" spans="1:22" x14ac:dyDescent="0.25">
      <c r="A201" s="1389"/>
      <c r="B201" s="1389"/>
      <c r="C201" s="1389"/>
      <c r="D201" s="1389"/>
      <c r="E201" s="1389"/>
      <c r="F201" s="1389"/>
      <c r="G201" s="1389"/>
      <c r="H201" s="1389"/>
      <c r="I201" s="1389"/>
      <c r="J201" s="1389"/>
      <c r="K201" s="1389"/>
      <c r="L201" s="1389"/>
      <c r="M201" s="1389"/>
      <c r="N201" s="1389"/>
      <c r="O201" s="1389"/>
      <c r="P201" s="1389"/>
      <c r="Q201" s="1389"/>
      <c r="R201" s="1389"/>
      <c r="S201" s="1389"/>
      <c r="T201" s="1389"/>
      <c r="U201" s="1389"/>
      <c r="V201" s="1389"/>
    </row>
    <row r="202" spans="1:22" x14ac:dyDescent="0.25">
      <c r="A202" s="1389"/>
      <c r="B202" s="1389"/>
      <c r="C202" s="1389"/>
      <c r="D202" s="1389"/>
      <c r="E202" s="1389"/>
      <c r="F202" s="1389"/>
      <c r="G202" s="1389"/>
      <c r="H202" s="1389"/>
      <c r="I202" s="1389"/>
      <c r="J202" s="1389"/>
      <c r="K202" s="1389"/>
      <c r="L202" s="1389"/>
      <c r="M202" s="1389"/>
      <c r="N202" s="1389"/>
      <c r="O202" s="1389"/>
      <c r="P202" s="1389"/>
      <c r="Q202" s="1389"/>
      <c r="R202" s="1389"/>
      <c r="S202" s="1389"/>
      <c r="T202" s="1389"/>
      <c r="U202" s="1389"/>
      <c r="V202" s="1389"/>
    </row>
    <row r="203" spans="1:22" x14ac:dyDescent="0.25">
      <c r="A203" s="1389"/>
      <c r="B203" s="1389"/>
      <c r="C203" s="1389"/>
      <c r="D203" s="1389"/>
      <c r="E203" s="1389"/>
      <c r="F203" s="1389"/>
      <c r="G203" s="1389"/>
      <c r="H203" s="1389"/>
      <c r="I203" s="1389"/>
      <c r="J203" s="1389"/>
      <c r="K203" s="1389"/>
      <c r="L203" s="1389"/>
      <c r="M203" s="1389"/>
      <c r="N203" s="1389"/>
      <c r="O203" s="1389"/>
      <c r="P203" s="1389"/>
      <c r="Q203" s="1389"/>
      <c r="R203" s="1389"/>
      <c r="S203" s="1389"/>
      <c r="T203" s="1389"/>
      <c r="U203" s="1389"/>
      <c r="V203" s="1389"/>
    </row>
    <row r="204" spans="1:22" x14ac:dyDescent="0.25">
      <c r="A204" s="1389"/>
      <c r="B204" s="1389"/>
      <c r="C204" s="1389"/>
      <c r="D204" s="1389"/>
      <c r="E204" s="1389"/>
      <c r="F204" s="1389"/>
      <c r="G204" s="1389"/>
      <c r="H204" s="1389"/>
      <c r="I204" s="1389"/>
      <c r="J204" s="1389"/>
      <c r="K204" s="1389"/>
      <c r="L204" s="1389"/>
      <c r="M204" s="1389"/>
      <c r="N204" s="1389"/>
      <c r="O204" s="1389"/>
      <c r="P204" s="1389"/>
      <c r="Q204" s="1389"/>
      <c r="R204" s="1389"/>
      <c r="S204" s="1389"/>
      <c r="T204" s="1389"/>
      <c r="U204" s="1389"/>
      <c r="V204" s="1389"/>
    </row>
    <row r="205" spans="1:22" x14ac:dyDescent="0.25">
      <c r="A205" s="1389"/>
      <c r="B205" s="1389"/>
      <c r="C205" s="1389"/>
      <c r="D205" s="1389"/>
      <c r="E205" s="1389"/>
      <c r="F205" s="1389"/>
      <c r="G205" s="1389"/>
      <c r="H205" s="1389"/>
      <c r="I205" s="1389"/>
      <c r="J205" s="1389"/>
      <c r="K205" s="1389"/>
      <c r="L205" s="1389"/>
      <c r="M205" s="1389"/>
      <c r="N205" s="1389"/>
      <c r="O205" s="1389"/>
      <c r="P205" s="1389"/>
      <c r="Q205" s="1389"/>
      <c r="R205" s="1389"/>
      <c r="S205" s="1389"/>
      <c r="T205" s="1389"/>
      <c r="U205" s="1389"/>
      <c r="V205" s="1389"/>
    </row>
    <row r="206" spans="1:22" x14ac:dyDescent="0.25">
      <c r="A206" s="1389"/>
      <c r="B206" s="1389"/>
      <c r="C206" s="1389"/>
      <c r="D206" s="1389"/>
      <c r="E206" s="1389"/>
      <c r="F206" s="1389"/>
      <c r="G206" s="1389"/>
      <c r="H206" s="1389"/>
      <c r="I206" s="1389"/>
      <c r="J206" s="1389"/>
      <c r="K206" s="1389"/>
      <c r="L206" s="1389"/>
      <c r="M206" s="1389"/>
      <c r="N206" s="1389"/>
      <c r="O206" s="1389"/>
      <c r="P206" s="1389"/>
      <c r="Q206" s="1389"/>
      <c r="R206" s="1389"/>
      <c r="S206" s="1389"/>
      <c r="T206" s="1389"/>
      <c r="U206" s="1389"/>
      <c r="V206" s="1389"/>
    </row>
    <row r="207" spans="1:22" x14ac:dyDescent="0.25">
      <c r="A207" s="1389"/>
      <c r="B207" s="1389"/>
      <c r="C207" s="1389"/>
      <c r="D207" s="1389"/>
      <c r="E207" s="1389"/>
      <c r="F207" s="1389"/>
      <c r="G207" s="1389"/>
      <c r="H207" s="1389"/>
      <c r="I207" s="1389"/>
      <c r="J207" s="1389"/>
      <c r="K207" s="1389"/>
      <c r="L207" s="1389"/>
      <c r="M207" s="1389"/>
      <c r="N207" s="1389"/>
      <c r="O207" s="1389"/>
      <c r="P207" s="1389"/>
      <c r="Q207" s="1389"/>
      <c r="R207" s="1389"/>
      <c r="S207" s="1389"/>
      <c r="T207" s="1389"/>
      <c r="U207" s="1389"/>
      <c r="V207" s="1389"/>
    </row>
    <row r="208" spans="1:22" x14ac:dyDescent="0.25">
      <c r="A208" s="1389"/>
      <c r="B208" s="1389"/>
      <c r="C208" s="1389"/>
      <c r="D208" s="1389"/>
      <c r="E208" s="1389"/>
      <c r="F208" s="1389"/>
      <c r="G208" s="1389"/>
      <c r="H208" s="1389"/>
      <c r="I208" s="1389"/>
      <c r="J208" s="1389"/>
      <c r="K208" s="1389"/>
      <c r="L208" s="1389"/>
      <c r="M208" s="1389"/>
      <c r="N208" s="1389"/>
      <c r="O208" s="1389"/>
      <c r="P208" s="1389"/>
      <c r="Q208" s="1389"/>
      <c r="R208" s="1389"/>
      <c r="S208" s="1389"/>
      <c r="T208" s="1389"/>
      <c r="U208" s="1389"/>
      <c r="V208" s="1389"/>
    </row>
    <row r="209" spans="1:22" x14ac:dyDescent="0.25">
      <c r="A209" s="1389"/>
      <c r="B209" s="1389"/>
      <c r="C209" s="1389"/>
      <c r="D209" s="1389"/>
      <c r="E209" s="1389"/>
      <c r="F209" s="1389"/>
      <c r="G209" s="1389"/>
      <c r="H209" s="1389"/>
      <c r="I209" s="1389"/>
      <c r="J209" s="1389"/>
      <c r="K209" s="1389"/>
      <c r="L209" s="1389"/>
      <c r="M209" s="1389"/>
      <c r="N209" s="1389"/>
      <c r="O209" s="1389"/>
      <c r="P209" s="1389"/>
      <c r="Q209" s="1389"/>
      <c r="R209" s="1389"/>
      <c r="S209" s="1389"/>
      <c r="T209" s="1389"/>
      <c r="U209" s="1389"/>
      <c r="V209" s="1389"/>
    </row>
    <row r="210" spans="1:22" x14ac:dyDescent="0.25">
      <c r="A210" s="1389"/>
      <c r="B210" s="1389"/>
      <c r="C210" s="1389"/>
      <c r="D210" s="1389"/>
      <c r="E210" s="1389"/>
      <c r="F210" s="1389"/>
      <c r="G210" s="1389"/>
      <c r="H210" s="1389"/>
      <c r="I210" s="1389"/>
      <c r="J210" s="1389"/>
      <c r="K210" s="1389"/>
      <c r="L210" s="1389"/>
      <c r="M210" s="1389"/>
      <c r="N210" s="1389"/>
      <c r="O210" s="1389"/>
      <c r="P210" s="1389"/>
      <c r="Q210" s="1389"/>
      <c r="R210" s="1389"/>
      <c r="S210" s="1389"/>
      <c r="T210" s="1389"/>
      <c r="U210" s="1389"/>
      <c r="V210" s="1389"/>
    </row>
    <row r="211" spans="1:22" x14ac:dyDescent="0.25">
      <c r="A211" s="1389"/>
      <c r="B211" s="1389"/>
      <c r="C211" s="1389"/>
      <c r="D211" s="1389"/>
      <c r="E211" s="1389"/>
      <c r="F211" s="1389"/>
      <c r="G211" s="1389"/>
      <c r="H211" s="1389"/>
      <c r="I211" s="1389"/>
      <c r="J211" s="1389"/>
      <c r="K211" s="1389"/>
      <c r="L211" s="1389"/>
      <c r="M211" s="1389"/>
      <c r="N211" s="1389"/>
      <c r="O211" s="1389"/>
      <c r="P211" s="1389"/>
      <c r="Q211" s="1389"/>
      <c r="R211" s="1389"/>
      <c r="S211" s="1389"/>
      <c r="T211" s="1389"/>
      <c r="U211" s="1389"/>
      <c r="V211" s="1389"/>
    </row>
    <row r="212" spans="1:22" x14ac:dyDescent="0.25">
      <c r="A212" s="1389"/>
      <c r="B212" s="1389"/>
      <c r="C212" s="1389"/>
      <c r="D212" s="1389"/>
      <c r="E212" s="1389"/>
      <c r="F212" s="1389"/>
      <c r="G212" s="1389"/>
      <c r="H212" s="1389"/>
      <c r="I212" s="1389"/>
      <c r="J212" s="1389"/>
      <c r="K212" s="1389"/>
      <c r="L212" s="1389"/>
      <c r="M212" s="1389"/>
      <c r="N212" s="1389"/>
      <c r="O212" s="1389"/>
      <c r="P212" s="1389"/>
      <c r="Q212" s="1389"/>
      <c r="R212" s="1389"/>
      <c r="S212" s="1389"/>
      <c r="T212" s="1389"/>
      <c r="U212" s="1389"/>
      <c r="V212" s="1389"/>
    </row>
    <row r="213" spans="1:22" x14ac:dyDescent="0.25">
      <c r="A213" s="1389"/>
      <c r="B213" s="1389"/>
      <c r="C213" s="1389"/>
      <c r="D213" s="1389"/>
      <c r="E213" s="1389"/>
      <c r="F213" s="1389"/>
      <c r="G213" s="1389"/>
      <c r="H213" s="1389"/>
      <c r="I213" s="1389"/>
      <c r="J213" s="1389"/>
      <c r="K213" s="1389"/>
      <c r="L213" s="1389"/>
      <c r="M213" s="1389"/>
      <c r="N213" s="1389"/>
      <c r="O213" s="1389"/>
      <c r="P213" s="1389"/>
      <c r="Q213" s="1389"/>
      <c r="R213" s="1389"/>
      <c r="S213" s="1389"/>
      <c r="T213" s="1389"/>
      <c r="U213" s="1389"/>
      <c r="V213" s="1389"/>
    </row>
    <row r="214" spans="1:22" x14ac:dyDescent="0.25">
      <c r="A214" s="1389"/>
      <c r="B214" s="1389"/>
      <c r="C214" s="1389"/>
      <c r="D214" s="1389"/>
      <c r="E214" s="1389"/>
      <c r="F214" s="1389"/>
      <c r="G214" s="1389"/>
      <c r="H214" s="1389"/>
      <c r="I214" s="1389"/>
      <c r="J214" s="1389"/>
      <c r="K214" s="1389"/>
      <c r="L214" s="1389"/>
      <c r="M214" s="1389"/>
      <c r="N214" s="1389"/>
      <c r="O214" s="1389"/>
      <c r="P214" s="1389"/>
      <c r="Q214" s="1389"/>
      <c r="R214" s="1389"/>
      <c r="S214" s="1389"/>
      <c r="T214" s="1389"/>
      <c r="U214" s="1389"/>
      <c r="V214" s="1389"/>
    </row>
    <row r="215" spans="1:22" x14ac:dyDescent="0.25">
      <c r="A215" s="1389"/>
      <c r="B215" s="1389"/>
      <c r="C215" s="1389"/>
      <c r="D215" s="1389"/>
      <c r="E215" s="1389"/>
      <c r="F215" s="1389"/>
      <c r="G215" s="1389"/>
      <c r="H215" s="1389"/>
      <c r="I215" s="1389"/>
      <c r="J215" s="1389"/>
      <c r="K215" s="1389"/>
      <c r="L215" s="1389"/>
      <c r="M215" s="1389"/>
      <c r="N215" s="1389"/>
      <c r="O215" s="1389"/>
      <c r="P215" s="1389"/>
      <c r="Q215" s="1389"/>
      <c r="R215" s="1389"/>
      <c r="S215" s="1389"/>
      <c r="T215" s="1389"/>
      <c r="U215" s="1389"/>
      <c r="V215" s="1389"/>
    </row>
    <row r="216" spans="1:22" x14ac:dyDescent="0.25">
      <c r="A216" s="1389"/>
      <c r="B216" s="1389"/>
      <c r="C216" s="1389"/>
      <c r="D216" s="1389"/>
      <c r="E216" s="1389"/>
      <c r="F216" s="1389"/>
      <c r="G216" s="1389"/>
      <c r="H216" s="1389"/>
      <c r="I216" s="1389"/>
      <c r="J216" s="1389"/>
      <c r="K216" s="1389"/>
      <c r="L216" s="1389"/>
      <c r="M216" s="1389"/>
      <c r="N216" s="1389"/>
      <c r="O216" s="1389"/>
      <c r="P216" s="1389"/>
      <c r="Q216" s="1389"/>
      <c r="R216" s="1389"/>
      <c r="S216" s="1389"/>
      <c r="T216" s="1389"/>
      <c r="U216" s="1389"/>
      <c r="V216" s="1389"/>
    </row>
    <row r="217" spans="1:22" x14ac:dyDescent="0.25">
      <c r="A217" s="1389"/>
      <c r="B217" s="1389"/>
      <c r="C217" s="1389"/>
      <c r="D217" s="1389"/>
      <c r="E217" s="1389"/>
      <c r="F217" s="1389"/>
      <c r="G217" s="1389"/>
      <c r="H217" s="1389"/>
      <c r="I217" s="1389"/>
      <c r="J217" s="1389"/>
      <c r="K217" s="1389"/>
      <c r="L217" s="1389"/>
      <c r="M217" s="1389"/>
      <c r="N217" s="1389"/>
      <c r="O217" s="1389"/>
      <c r="P217" s="1389"/>
      <c r="Q217" s="1389"/>
      <c r="R217" s="1389"/>
      <c r="S217" s="1389"/>
      <c r="T217" s="1389"/>
      <c r="U217" s="1389"/>
      <c r="V217" s="1389"/>
    </row>
    <row r="218" spans="1:22" x14ac:dyDescent="0.25">
      <c r="A218" s="1389"/>
      <c r="B218" s="1389"/>
      <c r="C218" s="1389"/>
      <c r="D218" s="1389"/>
      <c r="E218" s="1389"/>
      <c r="F218" s="1389"/>
      <c r="G218" s="1389"/>
      <c r="H218" s="1389"/>
      <c r="I218" s="1389"/>
      <c r="J218" s="1389"/>
      <c r="K218" s="1389"/>
      <c r="L218" s="1389"/>
      <c r="M218" s="1389"/>
      <c r="N218" s="1389"/>
      <c r="O218" s="1389"/>
      <c r="P218" s="1389"/>
      <c r="Q218" s="1389"/>
      <c r="R218" s="1389"/>
      <c r="S218" s="1389"/>
      <c r="T218" s="1389"/>
      <c r="U218" s="1389"/>
      <c r="V218" s="1389"/>
    </row>
    <row r="219" spans="1:22" x14ac:dyDescent="0.25">
      <c r="A219" s="1389"/>
      <c r="B219" s="1389"/>
      <c r="C219" s="1389"/>
      <c r="D219" s="1389"/>
      <c r="E219" s="1389"/>
      <c r="F219" s="1389"/>
      <c r="G219" s="1389"/>
      <c r="H219" s="1389"/>
      <c r="I219" s="1389"/>
      <c r="J219" s="1389"/>
      <c r="K219" s="1389"/>
      <c r="L219" s="1389"/>
      <c r="M219" s="1389"/>
      <c r="N219" s="1389"/>
      <c r="O219" s="1389"/>
      <c r="P219" s="1389"/>
      <c r="Q219" s="1389"/>
      <c r="R219" s="1389"/>
      <c r="S219" s="1389"/>
      <c r="T219" s="1389"/>
      <c r="U219" s="1389"/>
      <c r="V219" s="1389"/>
    </row>
    <row r="220" spans="1:22" x14ac:dyDescent="0.25">
      <c r="A220" s="1389"/>
      <c r="B220" s="1389"/>
      <c r="C220" s="1389"/>
      <c r="D220" s="1389"/>
      <c r="E220" s="1389"/>
      <c r="F220" s="1389"/>
      <c r="G220" s="1389"/>
      <c r="H220" s="1389"/>
      <c r="I220" s="1389"/>
      <c r="J220" s="1389"/>
      <c r="K220" s="1389"/>
      <c r="L220" s="1389"/>
      <c r="M220" s="1389"/>
      <c r="N220" s="1389"/>
      <c r="O220" s="1389"/>
      <c r="P220" s="1389"/>
      <c r="Q220" s="1389"/>
      <c r="R220" s="1389"/>
      <c r="S220" s="1389"/>
      <c r="T220" s="1389"/>
      <c r="U220" s="1389"/>
      <c r="V220" s="1389"/>
    </row>
    <row r="221" spans="1:22" x14ac:dyDescent="0.25">
      <c r="A221" s="1389"/>
      <c r="B221" s="1389"/>
      <c r="C221" s="1389"/>
      <c r="D221" s="1389"/>
      <c r="E221" s="1389"/>
      <c r="F221" s="1389"/>
      <c r="G221" s="1389"/>
      <c r="H221" s="1389"/>
      <c r="I221" s="1389"/>
      <c r="J221" s="1389"/>
      <c r="K221" s="1389"/>
      <c r="L221" s="1389"/>
      <c r="M221" s="1389"/>
      <c r="N221" s="1389"/>
      <c r="O221" s="1389"/>
      <c r="P221" s="1389"/>
      <c r="Q221" s="1389"/>
      <c r="R221" s="1389"/>
      <c r="S221" s="1389"/>
      <c r="T221" s="1389"/>
      <c r="U221" s="1389"/>
      <c r="V221" s="1389"/>
    </row>
    <row r="222" spans="1:22" x14ac:dyDescent="0.25">
      <c r="A222" s="1389"/>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row>
    <row r="223" spans="1:22" x14ac:dyDescent="0.25">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row>
    <row r="224" spans="1:22" x14ac:dyDescent="0.25">
      <c r="A224" s="1389"/>
      <c r="B224" s="1389"/>
      <c r="C224" s="1389"/>
      <c r="D224" s="1389"/>
      <c r="E224" s="1389"/>
      <c r="F224" s="1389"/>
      <c r="G224" s="1389"/>
      <c r="H224" s="1389"/>
      <c r="I224" s="1389"/>
      <c r="J224" s="1389"/>
      <c r="K224" s="1389"/>
      <c r="L224" s="1389"/>
      <c r="M224" s="1389"/>
      <c r="N224" s="1389"/>
      <c r="O224" s="1389"/>
      <c r="P224" s="1389"/>
      <c r="Q224" s="1389"/>
      <c r="R224" s="1389"/>
      <c r="S224" s="1389"/>
      <c r="T224" s="1389"/>
      <c r="U224" s="1389"/>
      <c r="V224" s="1389"/>
    </row>
    <row r="225" spans="1:22" x14ac:dyDescent="0.25">
      <c r="A225" s="1389"/>
      <c r="B225" s="1389"/>
      <c r="C225" s="1389"/>
      <c r="D225" s="1389"/>
      <c r="E225" s="1389"/>
      <c r="F225" s="1389"/>
      <c r="G225" s="1389"/>
      <c r="H225" s="1389"/>
      <c r="I225" s="1389"/>
      <c r="J225" s="1389"/>
      <c r="K225" s="1389"/>
      <c r="L225" s="1389"/>
      <c r="M225" s="1389"/>
      <c r="N225" s="1389"/>
      <c r="O225" s="1389"/>
      <c r="P225" s="1389"/>
      <c r="Q225" s="1389"/>
      <c r="R225" s="1389"/>
      <c r="S225" s="1389"/>
      <c r="T225" s="1389"/>
      <c r="U225" s="1389"/>
      <c r="V225" s="1389"/>
    </row>
    <row r="226" spans="1:22" x14ac:dyDescent="0.25">
      <c r="A226" s="1389"/>
      <c r="B226" s="1389"/>
      <c r="C226" s="1389"/>
      <c r="D226" s="1389"/>
      <c r="E226" s="1389"/>
      <c r="F226" s="1389"/>
      <c r="G226" s="1389"/>
      <c r="H226" s="1389"/>
      <c r="I226" s="1389"/>
      <c r="J226" s="1389"/>
      <c r="K226" s="1389"/>
      <c r="L226" s="1389"/>
      <c r="M226" s="1389"/>
      <c r="N226" s="1389"/>
      <c r="O226" s="1389"/>
      <c r="P226" s="1389"/>
      <c r="Q226" s="1389"/>
      <c r="R226" s="1389"/>
      <c r="S226" s="1389"/>
      <c r="T226" s="1389"/>
      <c r="U226" s="1389"/>
      <c r="V226" s="1389"/>
    </row>
    <row r="227" spans="1:22" x14ac:dyDescent="0.25">
      <c r="A227" s="1389"/>
      <c r="B227" s="1389"/>
      <c r="C227" s="1389"/>
      <c r="D227" s="1389"/>
      <c r="E227" s="1389"/>
      <c r="F227" s="1389"/>
      <c r="G227" s="1389"/>
      <c r="H227" s="1389"/>
      <c r="I227" s="1389"/>
      <c r="J227" s="1389"/>
      <c r="K227" s="1389"/>
      <c r="L227" s="1389"/>
      <c r="M227" s="1389"/>
      <c r="N227" s="1389"/>
      <c r="O227" s="1389"/>
      <c r="P227" s="1389"/>
      <c r="Q227" s="1389"/>
      <c r="R227" s="1389"/>
      <c r="S227" s="1389"/>
      <c r="T227" s="1389"/>
      <c r="U227" s="1389"/>
      <c r="V227" s="1389"/>
    </row>
    <row r="228" spans="1:22" x14ac:dyDescent="0.25">
      <c r="A228" s="1389"/>
      <c r="B228" s="1389"/>
      <c r="C228" s="1389"/>
      <c r="D228" s="1389"/>
      <c r="E228" s="1389"/>
      <c r="F228" s="1389"/>
      <c r="G228" s="1389"/>
      <c r="H228" s="1389"/>
      <c r="I228" s="1389"/>
      <c r="J228" s="1389"/>
      <c r="K228" s="1389"/>
      <c r="L228" s="1389"/>
      <c r="M228" s="1389"/>
      <c r="N228" s="1389"/>
      <c r="O228" s="1389"/>
      <c r="P228" s="1389"/>
      <c r="Q228" s="1389"/>
      <c r="R228" s="1389"/>
      <c r="S228" s="1389"/>
      <c r="T228" s="1389"/>
      <c r="U228" s="1389"/>
      <c r="V228" s="1389"/>
    </row>
    <row r="229" spans="1:22" x14ac:dyDescent="0.25">
      <c r="A229" s="1389"/>
      <c r="B229" s="1389"/>
      <c r="C229" s="1389"/>
      <c r="D229" s="1389"/>
      <c r="E229" s="1389"/>
      <c r="F229" s="1389"/>
      <c r="G229" s="1389"/>
      <c r="H229" s="1389"/>
      <c r="I229" s="1389"/>
      <c r="J229" s="1389"/>
      <c r="K229" s="1389"/>
      <c r="L229" s="1389"/>
      <c r="M229" s="1389"/>
      <c r="N229" s="1389"/>
      <c r="O229" s="1389"/>
      <c r="P229" s="1389"/>
      <c r="Q229" s="1389"/>
      <c r="R229" s="1389"/>
      <c r="S229" s="1389"/>
      <c r="T229" s="1389"/>
      <c r="U229" s="1389"/>
      <c r="V229" s="1389"/>
    </row>
    <row r="230" spans="1:22" x14ac:dyDescent="0.25">
      <c r="A230" s="1389"/>
      <c r="B230" s="1389"/>
      <c r="C230" s="1389"/>
      <c r="D230" s="1389"/>
      <c r="E230" s="1389"/>
      <c r="F230" s="1389"/>
      <c r="G230" s="1389"/>
      <c r="H230" s="1389"/>
      <c r="I230" s="1389"/>
      <c r="J230" s="1389"/>
      <c r="K230" s="1389"/>
      <c r="L230" s="1389"/>
      <c r="M230" s="1389"/>
      <c r="N230" s="1389"/>
      <c r="O230" s="1389"/>
      <c r="P230" s="1389"/>
      <c r="Q230" s="1389"/>
      <c r="R230" s="1389"/>
      <c r="S230" s="1389"/>
      <c r="T230" s="1389"/>
      <c r="U230" s="1389"/>
      <c r="V230" s="1389"/>
    </row>
    <row r="231" spans="1:22" x14ac:dyDescent="0.25">
      <c r="A231" s="1389"/>
      <c r="B231" s="1389"/>
      <c r="C231" s="1389"/>
      <c r="D231" s="1389"/>
      <c r="E231" s="1389"/>
      <c r="F231" s="1389"/>
      <c r="G231" s="1389"/>
      <c r="H231" s="1389"/>
      <c r="I231" s="1389"/>
      <c r="J231" s="1389"/>
      <c r="K231" s="1389"/>
      <c r="L231" s="1389"/>
      <c r="M231" s="1389"/>
      <c r="N231" s="1389"/>
      <c r="O231" s="1389"/>
      <c r="P231" s="1389"/>
      <c r="Q231" s="1389"/>
      <c r="R231" s="1389"/>
      <c r="S231" s="1389"/>
      <c r="T231" s="1389"/>
      <c r="U231" s="1389"/>
      <c r="V231" s="1389"/>
    </row>
    <row r="232" spans="1:22" x14ac:dyDescent="0.25">
      <c r="A232" s="1389"/>
      <c r="B232" s="1389"/>
      <c r="C232" s="1389"/>
      <c r="D232" s="1389"/>
      <c r="E232" s="1389"/>
      <c r="F232" s="1389"/>
      <c r="G232" s="1389"/>
      <c r="H232" s="1389"/>
      <c r="I232" s="1389"/>
      <c r="J232" s="1389"/>
      <c r="K232" s="1389"/>
      <c r="L232" s="1389"/>
      <c r="M232" s="1389"/>
      <c r="N232" s="1389"/>
      <c r="O232" s="1389"/>
      <c r="P232" s="1389"/>
      <c r="Q232" s="1389"/>
      <c r="R232" s="1389"/>
      <c r="S232" s="1389"/>
      <c r="T232" s="1389"/>
      <c r="U232" s="1389"/>
      <c r="V232" s="1389"/>
    </row>
    <row r="233" spans="1:22" x14ac:dyDescent="0.25">
      <c r="A233" s="1389"/>
      <c r="B233" s="1389"/>
      <c r="C233" s="1389"/>
      <c r="D233" s="1389"/>
      <c r="E233" s="1389"/>
      <c r="F233" s="1389"/>
      <c r="G233" s="1389"/>
      <c r="H233" s="1389"/>
      <c r="I233" s="1389"/>
      <c r="J233" s="1389"/>
      <c r="K233" s="1389"/>
      <c r="L233" s="1389"/>
      <c r="M233" s="1389"/>
      <c r="N233" s="1389"/>
      <c r="O233" s="1389"/>
      <c r="P233" s="1389"/>
      <c r="Q233" s="1389"/>
      <c r="R233" s="1389"/>
      <c r="S233" s="1389"/>
      <c r="T233" s="1389"/>
      <c r="U233" s="1389"/>
      <c r="V233" s="1389"/>
    </row>
    <row r="234" spans="1:22" x14ac:dyDescent="0.25">
      <c r="A234" s="1389"/>
      <c r="B234" s="1389"/>
      <c r="C234" s="1389"/>
      <c r="D234" s="1389"/>
      <c r="E234" s="1389"/>
      <c r="F234" s="1389"/>
      <c r="G234" s="1389"/>
      <c r="H234" s="1389"/>
      <c r="I234" s="1389"/>
      <c r="J234" s="1389"/>
      <c r="K234" s="1389"/>
      <c r="L234" s="1389"/>
      <c r="M234" s="1389"/>
      <c r="N234" s="1389"/>
      <c r="O234" s="1389"/>
      <c r="P234" s="1389"/>
      <c r="Q234" s="1389"/>
      <c r="R234" s="1389"/>
      <c r="S234" s="1389"/>
      <c r="T234" s="1389"/>
      <c r="U234" s="1389"/>
      <c r="V234" s="1389"/>
    </row>
    <row r="235" spans="1:22" x14ac:dyDescent="0.25">
      <c r="A235" s="1389"/>
      <c r="B235" s="1389"/>
      <c r="C235" s="1389"/>
      <c r="D235" s="1389"/>
      <c r="E235" s="1389"/>
      <c r="F235" s="1389"/>
      <c r="G235" s="1389"/>
      <c r="H235" s="1389"/>
      <c r="I235" s="1389"/>
      <c r="J235" s="1389"/>
      <c r="K235" s="1389"/>
      <c r="L235" s="1389"/>
      <c r="M235" s="1389"/>
      <c r="N235" s="1389"/>
      <c r="O235" s="1389"/>
      <c r="P235" s="1389"/>
      <c r="Q235" s="1389"/>
      <c r="R235" s="1389"/>
      <c r="S235" s="1389"/>
      <c r="T235" s="1389"/>
      <c r="U235" s="1389"/>
      <c r="V235" s="1389"/>
    </row>
    <row r="236" spans="1:22" x14ac:dyDescent="0.25">
      <c r="A236" s="1389"/>
      <c r="B236" s="1389"/>
      <c r="C236" s="1389"/>
      <c r="D236" s="1389"/>
      <c r="E236" s="1389"/>
      <c r="F236" s="1389"/>
      <c r="G236" s="1389"/>
      <c r="H236" s="1389"/>
      <c r="I236" s="1389"/>
      <c r="J236" s="1389"/>
      <c r="K236" s="1389"/>
      <c r="L236" s="1389"/>
      <c r="M236" s="1389"/>
      <c r="N236" s="1389"/>
      <c r="O236" s="1389"/>
      <c r="P236" s="1389"/>
      <c r="Q236" s="1389"/>
      <c r="R236" s="1389"/>
      <c r="S236" s="1389"/>
      <c r="T236" s="1389"/>
      <c r="U236" s="1389"/>
      <c r="V236" s="1389"/>
    </row>
    <row r="237" spans="1:22" x14ac:dyDescent="0.25">
      <c r="A237" s="1389"/>
      <c r="B237" s="1389"/>
      <c r="C237" s="1389"/>
      <c r="D237" s="1389"/>
      <c r="E237" s="1389"/>
      <c r="F237" s="1389"/>
      <c r="G237" s="1389"/>
      <c r="H237" s="1389"/>
      <c r="I237" s="1389"/>
      <c r="J237" s="1389"/>
      <c r="K237" s="1389"/>
      <c r="L237" s="1389"/>
      <c r="M237" s="1389"/>
      <c r="N237" s="1389"/>
      <c r="O237" s="1389"/>
      <c r="P237" s="1389"/>
      <c r="Q237" s="1389"/>
      <c r="R237" s="1389"/>
      <c r="S237" s="1389"/>
      <c r="T237" s="1389"/>
      <c r="U237" s="1389"/>
      <c r="V237" s="1389"/>
    </row>
    <row r="238" spans="1:22" x14ac:dyDescent="0.25">
      <c r="A238" s="1389"/>
      <c r="B238" s="1389"/>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row>
    <row r="239" spans="1:22" x14ac:dyDescent="0.25">
      <c r="A239" s="1389"/>
      <c r="B239" s="1389"/>
      <c r="C239" s="1389"/>
      <c r="D239" s="1389"/>
      <c r="E239" s="1389"/>
      <c r="F239" s="1389"/>
      <c r="G239" s="1389"/>
      <c r="H239" s="1389"/>
      <c r="I239" s="1389"/>
      <c r="J239" s="1389"/>
      <c r="K239" s="1389"/>
      <c r="L239" s="1389"/>
      <c r="M239" s="1389"/>
      <c r="N239" s="1389"/>
      <c r="O239" s="1389"/>
      <c r="P239" s="1389"/>
      <c r="Q239" s="1389"/>
      <c r="R239" s="1389"/>
      <c r="S239" s="1389"/>
      <c r="T239" s="1389"/>
      <c r="U239" s="1389"/>
      <c r="V239" s="1389"/>
    </row>
    <row r="240" spans="1:22" x14ac:dyDescent="0.25">
      <c r="A240" s="1389"/>
      <c r="B240" s="1389"/>
      <c r="C240" s="1389"/>
      <c r="D240" s="1389"/>
      <c r="E240" s="1389"/>
      <c r="F240" s="1389"/>
      <c r="G240" s="1389"/>
      <c r="H240" s="1389"/>
      <c r="I240" s="1389"/>
      <c r="J240" s="1389"/>
      <c r="K240" s="1389"/>
      <c r="L240" s="1389"/>
      <c r="M240" s="1389"/>
      <c r="N240" s="1389"/>
      <c r="O240" s="1389"/>
      <c r="P240" s="1389"/>
      <c r="Q240" s="1389"/>
      <c r="R240" s="1389"/>
      <c r="S240" s="1389"/>
      <c r="T240" s="1389"/>
      <c r="U240" s="1389"/>
      <c r="V240" s="1389"/>
    </row>
    <row r="241" spans="1:22" x14ac:dyDescent="0.25">
      <c r="A241" s="1389"/>
      <c r="B241" s="1389"/>
      <c r="C241" s="1389"/>
      <c r="D241" s="1389"/>
      <c r="E241" s="1389"/>
      <c r="F241" s="1389"/>
      <c r="G241" s="1389"/>
      <c r="H241" s="1389"/>
      <c r="I241" s="1389"/>
      <c r="J241" s="1389"/>
      <c r="K241" s="1389"/>
      <c r="L241" s="1389"/>
      <c r="M241" s="1389"/>
      <c r="N241" s="1389"/>
      <c r="O241" s="1389"/>
      <c r="P241" s="1389"/>
      <c r="Q241" s="1389"/>
      <c r="R241" s="1389"/>
      <c r="S241" s="1389"/>
      <c r="T241" s="1389"/>
      <c r="U241" s="1389"/>
      <c r="V241" s="1389"/>
    </row>
    <row r="242" spans="1:22" x14ac:dyDescent="0.25">
      <c r="A242" s="1389"/>
      <c r="B242" s="1389"/>
      <c r="C242" s="1389"/>
      <c r="D242" s="1389"/>
      <c r="E242" s="1389"/>
      <c r="F242" s="1389"/>
      <c r="G242" s="1389"/>
      <c r="H242" s="1389"/>
      <c r="I242" s="1389"/>
      <c r="J242" s="1389"/>
      <c r="K242" s="1389"/>
      <c r="L242" s="1389"/>
      <c r="M242" s="1389"/>
      <c r="N242" s="1389"/>
      <c r="O242" s="1389"/>
      <c r="P242" s="1389"/>
      <c r="Q242" s="1389"/>
      <c r="R242" s="1389"/>
      <c r="S242" s="1389"/>
      <c r="T242" s="1389"/>
      <c r="U242" s="1389"/>
      <c r="V242" s="1389"/>
    </row>
    <row r="243" spans="1:22" x14ac:dyDescent="0.25">
      <c r="A243" s="1389"/>
      <c r="B243" s="1389"/>
      <c r="C243" s="1389"/>
      <c r="D243" s="1389"/>
      <c r="E243" s="1389"/>
      <c r="F243" s="1389"/>
      <c r="G243" s="1389"/>
      <c r="H243" s="1389"/>
      <c r="I243" s="1389"/>
      <c r="J243" s="1389"/>
      <c r="K243" s="1389"/>
      <c r="L243" s="1389"/>
      <c r="M243" s="1389"/>
      <c r="N243" s="1389"/>
      <c r="O243" s="1389"/>
      <c r="P243" s="1389"/>
      <c r="Q243" s="1389"/>
      <c r="R243" s="1389"/>
      <c r="S243" s="1389"/>
      <c r="T243" s="1389"/>
      <c r="U243" s="1389"/>
      <c r="V243" s="1389"/>
    </row>
    <row r="244" spans="1:22" x14ac:dyDescent="0.25">
      <c r="A244" s="1389"/>
      <c r="B244" s="1389"/>
      <c r="C244" s="1389"/>
      <c r="D244" s="1389"/>
      <c r="E244" s="1389"/>
      <c r="F244" s="1389"/>
      <c r="G244" s="1389"/>
      <c r="H244" s="1389"/>
      <c r="I244" s="1389"/>
      <c r="J244" s="1389"/>
      <c r="K244" s="1389"/>
      <c r="L244" s="1389"/>
      <c r="M244" s="1389"/>
      <c r="N244" s="1389"/>
      <c r="O244" s="1389"/>
      <c r="P244" s="1389"/>
      <c r="Q244" s="1389"/>
      <c r="R244" s="1389"/>
      <c r="S244" s="1389"/>
      <c r="T244" s="1389"/>
      <c r="U244" s="1389"/>
      <c r="V244" s="1389"/>
    </row>
    <row r="245" spans="1:22" x14ac:dyDescent="0.25">
      <c r="A245" s="1389"/>
      <c r="B245" s="1389"/>
      <c r="C245" s="1389"/>
      <c r="D245" s="1389"/>
      <c r="E245" s="1389"/>
      <c r="F245" s="1389"/>
      <c r="G245" s="1389"/>
      <c r="H245" s="1389"/>
      <c r="I245" s="1389"/>
      <c r="J245" s="1389"/>
      <c r="K245" s="1389"/>
      <c r="L245" s="1389"/>
      <c r="M245" s="1389"/>
      <c r="N245" s="1389"/>
      <c r="O245" s="1389"/>
      <c r="P245" s="1389"/>
      <c r="Q245" s="1389"/>
      <c r="R245" s="1389"/>
      <c r="S245" s="1389"/>
      <c r="T245" s="1389"/>
      <c r="U245" s="1389"/>
      <c r="V245" s="1389"/>
    </row>
    <row r="246" spans="1:22" x14ac:dyDescent="0.25">
      <c r="A246" s="1389"/>
      <c r="B246" s="1389"/>
      <c r="C246" s="1389"/>
      <c r="D246" s="1389"/>
      <c r="E246" s="1389"/>
      <c r="F246" s="1389"/>
      <c r="G246" s="1389"/>
      <c r="H246" s="1389"/>
      <c r="I246" s="1389"/>
      <c r="J246" s="1389"/>
      <c r="K246" s="1389"/>
      <c r="L246" s="1389"/>
      <c r="M246" s="1389"/>
      <c r="N246" s="1389"/>
      <c r="O246" s="1389"/>
      <c r="P246" s="1389"/>
      <c r="Q246" s="1389"/>
      <c r="R246" s="1389"/>
      <c r="S246" s="1389"/>
      <c r="T246" s="1389"/>
      <c r="U246" s="1389"/>
      <c r="V246" s="1389"/>
    </row>
    <row r="247" spans="1:22" x14ac:dyDescent="0.25">
      <c r="A247" s="1389"/>
      <c r="B247" s="1389"/>
      <c r="C247" s="1389"/>
      <c r="D247" s="1389"/>
      <c r="E247" s="1389"/>
      <c r="F247" s="1389"/>
      <c r="G247" s="1389"/>
      <c r="H247" s="1389"/>
      <c r="I247" s="1389"/>
      <c r="J247" s="1389"/>
      <c r="K247" s="1389"/>
      <c r="L247" s="1389"/>
      <c r="M247" s="1389"/>
      <c r="N247" s="1389"/>
      <c r="O247" s="1389"/>
      <c r="P247" s="1389"/>
      <c r="Q247" s="1389"/>
      <c r="R247" s="1389"/>
      <c r="S247" s="1389"/>
      <c r="T247" s="1389"/>
      <c r="U247" s="1389"/>
      <c r="V247" s="1389"/>
    </row>
    <row r="248" spans="1:22" x14ac:dyDescent="0.25">
      <c r="A248" s="1389"/>
      <c r="B248" s="1389"/>
      <c r="C248" s="1389"/>
      <c r="D248" s="1389"/>
      <c r="E248" s="1389"/>
      <c r="F248" s="1389"/>
      <c r="G248" s="1389"/>
      <c r="H248" s="1389"/>
      <c r="I248" s="1389"/>
      <c r="J248" s="1389"/>
      <c r="K248" s="1389"/>
      <c r="L248" s="1389"/>
      <c r="M248" s="1389"/>
      <c r="N248" s="1389"/>
      <c r="O248" s="1389"/>
      <c r="P248" s="1389"/>
      <c r="Q248" s="1389"/>
      <c r="R248" s="1389"/>
      <c r="S248" s="1389"/>
      <c r="T248" s="1389"/>
      <c r="U248" s="1389"/>
      <c r="V248" s="1389"/>
    </row>
    <row r="249" spans="1:22" x14ac:dyDescent="0.25">
      <c r="A249" s="1389"/>
      <c r="B249" s="1389"/>
      <c r="C249" s="1389"/>
      <c r="D249" s="1389"/>
      <c r="E249" s="1389"/>
      <c r="F249" s="1389"/>
      <c r="G249" s="1389"/>
      <c r="H249" s="1389"/>
      <c r="I249" s="1389"/>
      <c r="J249" s="1389"/>
      <c r="K249" s="1389"/>
      <c r="L249" s="1389"/>
      <c r="M249" s="1389"/>
      <c r="N249" s="1389"/>
      <c r="O249" s="1389"/>
      <c r="P249" s="1389"/>
      <c r="Q249" s="1389"/>
      <c r="R249" s="1389"/>
      <c r="S249" s="1389"/>
      <c r="T249" s="1389"/>
      <c r="U249" s="1389"/>
      <c r="V249" s="1389"/>
    </row>
    <row r="250" spans="1:22" x14ac:dyDescent="0.25">
      <c r="A250" s="1389"/>
      <c r="B250" s="1389"/>
      <c r="C250" s="1389"/>
      <c r="D250" s="1389"/>
      <c r="E250" s="1389"/>
      <c r="F250" s="1389"/>
      <c r="G250" s="1389"/>
      <c r="H250" s="1389"/>
      <c r="I250" s="1389"/>
      <c r="J250" s="1389"/>
      <c r="K250" s="1389"/>
      <c r="L250" s="1389"/>
      <c r="M250" s="1389"/>
      <c r="N250" s="1389"/>
      <c r="O250" s="1389"/>
      <c r="P250" s="1389"/>
      <c r="Q250" s="1389"/>
      <c r="R250" s="1389"/>
      <c r="S250" s="1389"/>
      <c r="T250" s="1389"/>
      <c r="U250" s="1389"/>
      <c r="V250" s="1389"/>
    </row>
    <row r="251" spans="1:22" x14ac:dyDescent="0.25">
      <c r="A251" s="1389"/>
      <c r="B251" s="1389"/>
      <c r="C251" s="1389"/>
      <c r="D251" s="1389"/>
      <c r="E251" s="1389"/>
      <c r="F251" s="1389"/>
      <c r="G251" s="1389"/>
      <c r="H251" s="1389"/>
      <c r="I251" s="1389"/>
      <c r="J251" s="1389"/>
      <c r="K251" s="1389"/>
      <c r="L251" s="1389"/>
      <c r="M251" s="1389"/>
      <c r="N251" s="1389"/>
      <c r="O251" s="1389"/>
      <c r="P251" s="1389"/>
      <c r="Q251" s="1389"/>
      <c r="R251" s="1389"/>
      <c r="S251" s="1389"/>
      <c r="T251" s="1389"/>
      <c r="U251" s="1389"/>
      <c r="V251" s="1389"/>
    </row>
    <row r="252" spans="1:22" x14ac:dyDescent="0.25">
      <c r="A252" s="1389"/>
      <c r="B252" s="1389"/>
      <c r="C252" s="1389"/>
      <c r="D252" s="1389"/>
      <c r="E252" s="1389"/>
      <c r="F252" s="1389"/>
      <c r="G252" s="1389"/>
      <c r="H252" s="1389"/>
      <c r="I252" s="1389"/>
      <c r="J252" s="1389"/>
      <c r="K252" s="1389"/>
      <c r="L252" s="1389"/>
      <c r="M252" s="1389"/>
      <c r="N252" s="1389"/>
      <c r="O252" s="1389"/>
      <c r="P252" s="1389"/>
      <c r="Q252" s="1389"/>
      <c r="R252" s="1389"/>
      <c r="S252" s="1389"/>
      <c r="T252" s="1389"/>
      <c r="U252" s="1389"/>
      <c r="V252" s="1389"/>
    </row>
    <row r="253" spans="1:22" x14ac:dyDescent="0.25">
      <c r="A253" s="1389"/>
      <c r="B253" s="1389"/>
      <c r="C253" s="1389"/>
      <c r="D253" s="1389"/>
      <c r="E253" s="1389"/>
      <c r="F253" s="1389"/>
      <c r="G253" s="1389"/>
      <c r="H253" s="1389"/>
      <c r="I253" s="1389"/>
      <c r="J253" s="1389"/>
      <c r="K253" s="1389"/>
      <c r="L253" s="1389"/>
      <c r="M253" s="1389"/>
      <c r="N253" s="1389"/>
      <c r="O253" s="1389"/>
      <c r="P253" s="1389"/>
      <c r="Q253" s="1389"/>
      <c r="R253" s="1389"/>
      <c r="S253" s="1389"/>
      <c r="T253" s="1389"/>
      <c r="U253" s="1389"/>
      <c r="V253" s="1389"/>
    </row>
    <row r="254" spans="1:22" x14ac:dyDescent="0.25">
      <c r="A254" s="1389"/>
      <c r="B254" s="1389"/>
      <c r="C254" s="1389"/>
      <c r="D254" s="1389"/>
      <c r="E254" s="1389"/>
      <c r="F254" s="1389"/>
      <c r="G254" s="1389"/>
      <c r="H254" s="1389"/>
      <c r="I254" s="1389"/>
      <c r="J254" s="1389"/>
      <c r="K254" s="1389"/>
      <c r="L254" s="1389"/>
      <c r="M254" s="1389"/>
      <c r="N254" s="1389"/>
      <c r="O254" s="1389"/>
      <c r="P254" s="1389"/>
      <c r="Q254" s="1389"/>
      <c r="R254" s="1389"/>
      <c r="S254" s="1389"/>
      <c r="T254" s="1389"/>
      <c r="U254" s="1389"/>
      <c r="V254" s="1389"/>
    </row>
    <row r="255" spans="1:22" x14ac:dyDescent="0.25">
      <c r="A255" s="1389"/>
      <c r="B255" s="1389"/>
      <c r="C255" s="1389"/>
      <c r="D255" s="1389"/>
      <c r="E255" s="1389"/>
      <c r="F255" s="1389"/>
      <c r="G255" s="1389"/>
      <c r="H255" s="1389"/>
      <c r="I255" s="1389"/>
      <c r="J255" s="1389"/>
      <c r="K255" s="1389"/>
      <c r="L255" s="1389"/>
      <c r="M255" s="1389"/>
      <c r="N255" s="1389"/>
      <c r="O255" s="1389"/>
      <c r="P255" s="1389"/>
      <c r="Q255" s="1389"/>
      <c r="R255" s="1389"/>
      <c r="S255" s="1389"/>
      <c r="T255" s="1389"/>
      <c r="U255" s="1389"/>
      <c r="V255" s="1389"/>
    </row>
    <row r="256" spans="1:22" x14ac:dyDescent="0.25">
      <c r="A256" s="1389"/>
      <c r="B256" s="1389"/>
      <c r="C256" s="1389"/>
      <c r="D256" s="1389"/>
      <c r="E256" s="1389"/>
      <c r="F256" s="1389"/>
      <c r="G256" s="1389"/>
      <c r="H256" s="1389"/>
      <c r="I256" s="1389"/>
      <c r="J256" s="1389"/>
      <c r="K256" s="1389"/>
      <c r="L256" s="1389"/>
      <c r="M256" s="1389"/>
      <c r="N256" s="1389"/>
      <c r="O256" s="1389"/>
      <c r="P256" s="1389"/>
      <c r="Q256" s="1389"/>
      <c r="R256" s="1389"/>
      <c r="S256" s="1389"/>
      <c r="T256" s="1389"/>
      <c r="U256" s="1389"/>
      <c r="V256" s="1389"/>
    </row>
    <row r="257" spans="1:22" x14ac:dyDescent="0.25">
      <c r="A257" s="1389"/>
      <c r="B257" s="1389"/>
      <c r="C257" s="1389"/>
      <c r="D257" s="1389"/>
      <c r="E257" s="1389"/>
      <c r="F257" s="1389"/>
      <c r="G257" s="1389"/>
      <c r="H257" s="1389"/>
      <c r="I257" s="1389"/>
      <c r="J257" s="1389"/>
      <c r="K257" s="1389"/>
      <c r="L257" s="1389"/>
      <c r="M257" s="1389"/>
      <c r="N257" s="1389"/>
      <c r="O257" s="1389"/>
      <c r="P257" s="1389"/>
      <c r="Q257" s="1389"/>
      <c r="R257" s="1389"/>
      <c r="S257" s="1389"/>
      <c r="T257" s="1389"/>
      <c r="U257" s="1389"/>
      <c r="V257" s="1389"/>
    </row>
    <row r="258" spans="1:22" x14ac:dyDescent="0.25">
      <c r="A258" s="1389"/>
      <c r="B258" s="1389"/>
      <c r="C258" s="1389"/>
      <c r="D258" s="1389"/>
      <c r="E258" s="1389"/>
      <c r="F258" s="1389"/>
      <c r="G258" s="1389"/>
      <c r="H258" s="1389"/>
      <c r="I258" s="1389"/>
      <c r="J258" s="1389"/>
      <c r="K258" s="1389"/>
      <c r="L258" s="1389"/>
      <c r="M258" s="1389"/>
      <c r="N258" s="1389"/>
      <c r="O258" s="1389"/>
      <c r="P258" s="1389"/>
      <c r="Q258" s="1389"/>
      <c r="R258" s="1389"/>
      <c r="S258" s="1389"/>
      <c r="T258" s="1389"/>
      <c r="U258" s="1389"/>
      <c r="V258" s="1389"/>
    </row>
    <row r="259" spans="1:22" x14ac:dyDescent="0.25">
      <c r="A259" s="1389"/>
      <c r="B259" s="1389"/>
      <c r="C259" s="1389"/>
      <c r="D259" s="1389"/>
      <c r="E259" s="1389"/>
      <c r="F259" s="1389"/>
      <c r="G259" s="1389"/>
      <c r="H259" s="1389"/>
      <c r="I259" s="1389"/>
      <c r="J259" s="1389"/>
      <c r="K259" s="1389"/>
      <c r="L259" s="1389"/>
      <c r="M259" s="1389"/>
      <c r="N259" s="1389"/>
      <c r="O259" s="1389"/>
      <c r="P259" s="1389"/>
      <c r="Q259" s="1389"/>
      <c r="R259" s="1389"/>
      <c r="S259" s="1389"/>
      <c r="T259" s="1389"/>
      <c r="U259" s="1389"/>
      <c r="V259" s="1389"/>
    </row>
    <row r="260" spans="1:22" x14ac:dyDescent="0.25">
      <c r="A260" s="1389"/>
      <c r="B260" s="1389"/>
      <c r="C260" s="1389"/>
      <c r="D260" s="1389"/>
      <c r="E260" s="1389"/>
      <c r="F260" s="1389"/>
      <c r="G260" s="1389"/>
      <c r="H260" s="1389"/>
      <c r="I260" s="1389"/>
      <c r="J260" s="1389"/>
      <c r="K260" s="1389"/>
      <c r="L260" s="1389"/>
      <c r="M260" s="1389"/>
      <c r="N260" s="1389"/>
      <c r="O260" s="1389"/>
      <c r="P260" s="1389"/>
      <c r="Q260" s="1389"/>
      <c r="R260" s="1389"/>
      <c r="S260" s="1389"/>
      <c r="T260" s="1389"/>
      <c r="U260" s="1389"/>
      <c r="V260" s="1389"/>
    </row>
    <row r="261" spans="1:22" x14ac:dyDescent="0.25">
      <c r="A261" s="1389"/>
      <c r="B261" s="1389"/>
      <c r="C261" s="1389"/>
      <c r="D261" s="1389"/>
      <c r="E261" s="1389"/>
      <c r="F261" s="1389"/>
      <c r="G261" s="1389"/>
      <c r="H261" s="1389"/>
      <c r="I261" s="1389"/>
      <c r="J261" s="1389"/>
      <c r="K261" s="1389"/>
      <c r="L261" s="1389"/>
      <c r="M261" s="1389"/>
      <c r="N261" s="1389"/>
      <c r="O261" s="1389"/>
      <c r="P261" s="1389"/>
      <c r="Q261" s="1389"/>
      <c r="R261" s="1389"/>
      <c r="S261" s="1389"/>
      <c r="T261" s="1389"/>
      <c r="U261" s="1389"/>
      <c r="V261" s="1389"/>
    </row>
    <row r="262" spans="1:22" x14ac:dyDescent="0.25">
      <c r="A262" s="1389"/>
      <c r="B262" s="1389"/>
      <c r="C262" s="1389"/>
      <c r="D262" s="1389"/>
      <c r="E262" s="1389"/>
      <c r="F262" s="1389"/>
      <c r="G262" s="1389"/>
      <c r="H262" s="1389"/>
      <c r="I262" s="1389"/>
      <c r="J262" s="1389"/>
      <c r="K262" s="1389"/>
      <c r="L262" s="1389"/>
      <c r="M262" s="1389"/>
      <c r="N262" s="1389"/>
      <c r="O262" s="1389"/>
      <c r="P262" s="1389"/>
      <c r="Q262" s="1389"/>
      <c r="R262" s="1389"/>
      <c r="S262" s="1389"/>
      <c r="T262" s="1389"/>
      <c r="U262" s="1389"/>
      <c r="V262" s="1389"/>
    </row>
    <row r="263" spans="1:22" x14ac:dyDescent="0.25">
      <c r="A263" s="1389"/>
      <c r="B263" s="1389"/>
      <c r="C263" s="1389"/>
      <c r="D263" s="1389"/>
      <c r="E263" s="1389"/>
      <c r="F263" s="1389"/>
      <c r="G263" s="1389"/>
      <c r="H263" s="1389"/>
      <c r="I263" s="1389"/>
      <c r="J263" s="1389"/>
      <c r="K263" s="1389"/>
      <c r="L263" s="1389"/>
      <c r="M263" s="1389"/>
      <c r="N263" s="1389"/>
      <c r="O263" s="1389"/>
      <c r="P263" s="1389"/>
      <c r="Q263" s="1389"/>
      <c r="R263" s="1389"/>
      <c r="S263" s="1389"/>
      <c r="T263" s="1389"/>
      <c r="U263" s="1389"/>
      <c r="V263" s="1389"/>
    </row>
    <row r="264" spans="1:22" x14ac:dyDescent="0.25">
      <c r="A264" s="1389"/>
      <c r="B264" s="1389"/>
      <c r="C264" s="1389"/>
      <c r="D264" s="1389"/>
      <c r="E264" s="1389"/>
      <c r="F264" s="1389"/>
      <c r="G264" s="1389"/>
      <c r="H264" s="1389"/>
      <c r="I264" s="1389"/>
      <c r="J264" s="1389"/>
      <c r="K264" s="1389"/>
      <c r="L264" s="1389"/>
      <c r="M264" s="1389"/>
      <c r="N264" s="1389"/>
      <c r="O264" s="1389"/>
      <c r="P264" s="1389"/>
      <c r="Q264" s="1389"/>
      <c r="R264" s="1389"/>
      <c r="S264" s="1389"/>
      <c r="T264" s="1389"/>
      <c r="U264" s="1389"/>
      <c r="V264" s="1389"/>
    </row>
    <row r="265" spans="1:22" x14ac:dyDescent="0.25">
      <c r="A265" s="1389"/>
      <c r="B265" s="1389"/>
      <c r="C265" s="1389"/>
      <c r="D265" s="1389"/>
      <c r="E265" s="1389"/>
      <c r="F265" s="1389"/>
      <c r="G265" s="1389"/>
      <c r="H265" s="1389"/>
      <c r="I265" s="1389"/>
      <c r="J265" s="1389"/>
      <c r="K265" s="1389"/>
      <c r="L265" s="1389"/>
      <c r="M265" s="1389"/>
      <c r="N265" s="1389"/>
      <c r="O265" s="1389"/>
      <c r="P265" s="1389"/>
      <c r="Q265" s="1389"/>
      <c r="R265" s="1389"/>
      <c r="S265" s="1389"/>
      <c r="T265" s="1389"/>
      <c r="U265" s="1389"/>
      <c r="V265" s="1389"/>
    </row>
    <row r="266" spans="1:22" x14ac:dyDescent="0.25">
      <c r="A266" s="1389"/>
      <c r="B266" s="1389"/>
      <c r="C266" s="1389"/>
      <c r="D266" s="1389"/>
      <c r="E266" s="1389"/>
      <c r="F266" s="1389"/>
      <c r="G266" s="1389"/>
      <c r="H266" s="1389"/>
      <c r="I266" s="1389"/>
      <c r="J266" s="1389"/>
      <c r="K266" s="1389"/>
      <c r="L266" s="1389"/>
      <c r="M266" s="1389"/>
      <c r="N266" s="1389"/>
      <c r="O266" s="1389"/>
      <c r="P266" s="1389"/>
      <c r="Q266" s="1389"/>
      <c r="R266" s="1389"/>
      <c r="S266" s="1389"/>
      <c r="T266" s="1389"/>
      <c r="U266" s="1389"/>
      <c r="V266" s="1389"/>
    </row>
    <row r="267" spans="1:22" x14ac:dyDescent="0.25">
      <c r="A267" s="1389"/>
      <c r="B267" s="1389"/>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row>
    <row r="268" spans="1:22" x14ac:dyDescent="0.25">
      <c r="A268" s="1389"/>
      <c r="B268" s="1389"/>
      <c r="C268" s="1389"/>
      <c r="D268" s="1389"/>
      <c r="E268" s="1389"/>
      <c r="F268" s="1389"/>
      <c r="G268" s="1389"/>
      <c r="H268" s="1389"/>
      <c r="I268" s="1389"/>
      <c r="J268" s="1389"/>
      <c r="K268" s="1389"/>
      <c r="L268" s="1389"/>
      <c r="M268" s="1389"/>
      <c r="N268" s="1389"/>
      <c r="O268" s="1389"/>
      <c r="P268" s="1389"/>
      <c r="Q268" s="1389"/>
      <c r="R268" s="1389"/>
      <c r="S268" s="1389"/>
      <c r="T268" s="1389"/>
      <c r="U268" s="1389"/>
      <c r="V268" s="1389"/>
    </row>
    <row r="269" spans="1:22" x14ac:dyDescent="0.25">
      <c r="A269" s="1389"/>
      <c r="B269" s="1389"/>
      <c r="C269" s="1389"/>
      <c r="D269" s="1389"/>
      <c r="E269" s="1389"/>
      <c r="F269" s="1389"/>
      <c r="G269" s="1389"/>
      <c r="H269" s="1389"/>
      <c r="I269" s="1389"/>
      <c r="J269" s="1389"/>
      <c r="K269" s="1389"/>
      <c r="L269" s="1389"/>
      <c r="M269" s="1389"/>
      <c r="N269" s="1389"/>
      <c r="O269" s="1389"/>
      <c r="P269" s="1389"/>
      <c r="Q269" s="1389"/>
      <c r="R269" s="1389"/>
      <c r="S269" s="1389"/>
      <c r="T269" s="1389"/>
      <c r="U269" s="1389"/>
      <c r="V269" s="1389"/>
    </row>
    <row r="270" spans="1:22" x14ac:dyDescent="0.25">
      <c r="A270" s="1389"/>
      <c r="B270" s="1389"/>
      <c r="C270" s="1389"/>
      <c r="D270" s="1389"/>
      <c r="E270" s="1389"/>
      <c r="F270" s="1389"/>
      <c r="G270" s="1389"/>
      <c r="H270" s="1389"/>
      <c r="I270" s="1389"/>
      <c r="J270" s="1389"/>
      <c r="K270" s="1389"/>
      <c r="L270" s="1389"/>
      <c r="M270" s="1389"/>
      <c r="N270" s="1389"/>
      <c r="O270" s="1389"/>
      <c r="P270" s="1389"/>
      <c r="Q270" s="1389"/>
      <c r="R270" s="1389"/>
      <c r="S270" s="1389"/>
      <c r="T270" s="1389"/>
      <c r="U270" s="1389"/>
      <c r="V270" s="1389"/>
    </row>
    <row r="271" spans="1:22" x14ac:dyDescent="0.25">
      <c r="A271" s="1389"/>
      <c r="B271" s="1389"/>
      <c r="C271" s="1389"/>
      <c r="D271" s="1389"/>
      <c r="E271" s="1389"/>
      <c r="F271" s="1389"/>
      <c r="G271" s="1389"/>
      <c r="H271" s="1389"/>
      <c r="I271" s="1389"/>
      <c r="J271" s="1389"/>
      <c r="K271" s="1389"/>
      <c r="L271" s="1389"/>
      <c r="M271" s="1389"/>
      <c r="N271" s="1389"/>
      <c r="O271" s="1389"/>
      <c r="P271" s="1389"/>
      <c r="Q271" s="1389"/>
      <c r="R271" s="1389"/>
      <c r="S271" s="1389"/>
      <c r="T271" s="1389"/>
      <c r="U271" s="1389"/>
      <c r="V271" s="1389"/>
    </row>
    <row r="272" spans="1:22" x14ac:dyDescent="0.25">
      <c r="A272" s="1389"/>
      <c r="B272" s="1389"/>
      <c r="C272" s="1389"/>
      <c r="D272" s="1389"/>
      <c r="E272" s="1389"/>
      <c r="F272" s="1389"/>
      <c r="G272" s="1389"/>
      <c r="H272" s="1389"/>
      <c r="I272" s="1389"/>
      <c r="J272" s="1389"/>
      <c r="K272" s="1389"/>
      <c r="L272" s="1389"/>
      <c r="M272" s="1389"/>
      <c r="N272" s="1389"/>
      <c r="O272" s="1389"/>
      <c r="P272" s="1389"/>
      <c r="Q272" s="1389"/>
      <c r="R272" s="1389"/>
      <c r="S272" s="1389"/>
      <c r="T272" s="1389"/>
      <c r="U272" s="1389"/>
      <c r="V272" s="1389"/>
    </row>
    <row r="273" spans="1:22" x14ac:dyDescent="0.25">
      <c r="A273" s="1389"/>
      <c r="B273" s="1389"/>
      <c r="C273" s="1389"/>
      <c r="D273" s="1389"/>
      <c r="E273" s="1389"/>
      <c r="F273" s="1389"/>
      <c r="G273" s="1389"/>
      <c r="H273" s="1389"/>
      <c r="I273" s="1389"/>
      <c r="J273" s="1389"/>
      <c r="K273" s="1389"/>
      <c r="L273" s="1389"/>
      <c r="M273" s="1389"/>
      <c r="N273" s="1389"/>
      <c r="O273" s="1389"/>
      <c r="P273" s="1389"/>
      <c r="Q273" s="1389"/>
      <c r="R273" s="1389"/>
      <c r="S273" s="1389"/>
      <c r="T273" s="1389"/>
      <c r="U273" s="1389"/>
      <c r="V273" s="1389"/>
    </row>
    <row r="274" spans="1:22" x14ac:dyDescent="0.25">
      <c r="A274" s="1389"/>
      <c r="B274" s="1389"/>
      <c r="C274" s="1389"/>
      <c r="D274" s="1389"/>
      <c r="E274" s="1389"/>
      <c r="F274" s="1389"/>
      <c r="G274" s="1389"/>
      <c r="H274" s="1389"/>
      <c r="I274" s="1389"/>
      <c r="J274" s="1389"/>
      <c r="K274" s="1389"/>
      <c r="L274" s="1389"/>
      <c r="M274" s="1389"/>
      <c r="N274" s="1389"/>
      <c r="O274" s="1389"/>
      <c r="P274" s="1389"/>
      <c r="Q274" s="1389"/>
      <c r="R274" s="1389"/>
      <c r="S274" s="1389"/>
      <c r="T274" s="1389"/>
      <c r="U274" s="1389"/>
      <c r="V274" s="1389"/>
    </row>
    <row r="275" spans="1:22" x14ac:dyDescent="0.25">
      <c r="A275" s="1389"/>
      <c r="B275" s="1389"/>
      <c r="C275" s="1389"/>
      <c r="D275" s="1389"/>
      <c r="E275" s="1389"/>
      <c r="F275" s="1389"/>
      <c r="G275" s="1389"/>
      <c r="H275" s="1389"/>
      <c r="I275" s="1389"/>
      <c r="J275" s="1389"/>
      <c r="K275" s="1389"/>
      <c r="L275" s="1389"/>
      <c r="M275" s="1389"/>
      <c r="N275" s="1389"/>
      <c r="O275" s="1389"/>
      <c r="P275" s="1389"/>
      <c r="Q275" s="1389"/>
      <c r="R275" s="1389"/>
      <c r="S275" s="1389"/>
      <c r="T275" s="1389"/>
      <c r="U275" s="1389"/>
      <c r="V275" s="1389"/>
    </row>
    <row r="276" spans="1:22" x14ac:dyDescent="0.25">
      <c r="A276" s="1389"/>
      <c r="B276" s="1389"/>
      <c r="C276" s="1389"/>
      <c r="D276" s="1389"/>
      <c r="E276" s="1389"/>
      <c r="F276" s="1389"/>
      <c r="G276" s="1389"/>
      <c r="H276" s="1389"/>
      <c r="I276" s="1389"/>
      <c r="J276" s="1389"/>
      <c r="K276" s="1389"/>
      <c r="L276" s="1389"/>
      <c r="M276" s="1389"/>
      <c r="N276" s="1389"/>
      <c r="O276" s="1389"/>
      <c r="P276" s="1389"/>
      <c r="Q276" s="1389"/>
      <c r="R276" s="1389"/>
      <c r="S276" s="1389"/>
      <c r="T276" s="1389"/>
      <c r="U276" s="1389"/>
      <c r="V276" s="1389"/>
    </row>
    <row r="277" spans="1:22" x14ac:dyDescent="0.25">
      <c r="A277" s="1389"/>
      <c r="B277" s="1389"/>
      <c r="C277" s="1389"/>
      <c r="D277" s="1389"/>
      <c r="E277" s="1389"/>
      <c r="F277" s="1389"/>
      <c r="G277" s="1389"/>
      <c r="H277" s="1389"/>
      <c r="I277" s="1389"/>
      <c r="J277" s="1389"/>
      <c r="K277" s="1389"/>
      <c r="L277" s="1389"/>
      <c r="M277" s="1389"/>
      <c r="N277" s="1389"/>
      <c r="O277" s="1389"/>
      <c r="P277" s="1389"/>
      <c r="Q277" s="1389"/>
      <c r="R277" s="1389"/>
      <c r="S277" s="1389"/>
      <c r="T277" s="1389"/>
      <c r="U277" s="1389"/>
      <c r="V277" s="1389"/>
    </row>
    <row r="278" spans="1:22" x14ac:dyDescent="0.25">
      <c r="A278" s="1389"/>
      <c r="B278" s="1389"/>
      <c r="C278" s="1389"/>
      <c r="D278" s="1389"/>
      <c r="E278" s="1389"/>
      <c r="F278" s="1389"/>
      <c r="G278" s="1389"/>
      <c r="H278" s="1389"/>
      <c r="I278" s="1389"/>
      <c r="J278" s="1389"/>
      <c r="K278" s="1389"/>
      <c r="L278" s="1389"/>
      <c r="M278" s="1389"/>
      <c r="N278" s="1389"/>
      <c r="O278" s="1389"/>
      <c r="P278" s="1389"/>
      <c r="Q278" s="1389"/>
      <c r="R278" s="1389"/>
      <c r="S278" s="1389"/>
      <c r="T278" s="1389"/>
      <c r="U278" s="1389"/>
      <c r="V278" s="1389"/>
    </row>
    <row r="279" spans="1:22" x14ac:dyDescent="0.25">
      <c r="A279" s="1389"/>
      <c r="B279" s="1389"/>
      <c r="C279" s="1389"/>
      <c r="D279" s="1389"/>
      <c r="E279" s="1389"/>
      <c r="F279" s="1389"/>
      <c r="G279" s="1389"/>
      <c r="H279" s="1389"/>
      <c r="I279" s="1389"/>
      <c r="J279" s="1389"/>
      <c r="K279" s="1389"/>
      <c r="L279" s="1389"/>
      <c r="M279" s="1389"/>
      <c r="N279" s="1389"/>
      <c r="O279" s="1389"/>
      <c r="P279" s="1389"/>
      <c r="Q279" s="1389"/>
      <c r="R279" s="1389"/>
      <c r="S279" s="1389"/>
      <c r="T279" s="1389"/>
      <c r="U279" s="1389"/>
      <c r="V279" s="1389"/>
    </row>
    <row r="280" spans="1:22" x14ac:dyDescent="0.25">
      <c r="A280" s="1389"/>
      <c r="B280" s="1389"/>
      <c r="C280" s="1389"/>
      <c r="D280" s="1389"/>
      <c r="E280" s="1389"/>
      <c r="F280" s="1389"/>
      <c r="G280" s="1389"/>
      <c r="H280" s="1389"/>
      <c r="I280" s="1389"/>
      <c r="J280" s="1389"/>
      <c r="K280" s="1389"/>
      <c r="L280" s="1389"/>
      <c r="M280" s="1389"/>
      <c r="N280" s="1389"/>
      <c r="O280" s="1389"/>
      <c r="P280" s="1389"/>
      <c r="Q280" s="1389"/>
      <c r="R280" s="1389"/>
      <c r="S280" s="1389"/>
      <c r="T280" s="1389"/>
      <c r="U280" s="1389"/>
      <c r="V280" s="1389"/>
    </row>
    <row r="281" spans="1:22" x14ac:dyDescent="0.25">
      <c r="A281" s="1389"/>
      <c r="B281" s="1389"/>
      <c r="C281" s="1389"/>
      <c r="D281" s="1389"/>
      <c r="E281" s="1389"/>
      <c r="F281" s="1389"/>
      <c r="G281" s="1389"/>
      <c r="H281" s="1389"/>
      <c r="I281" s="1389"/>
      <c r="J281" s="1389"/>
      <c r="K281" s="1389"/>
      <c r="L281" s="1389"/>
      <c r="M281" s="1389"/>
      <c r="N281" s="1389"/>
      <c r="O281" s="1389"/>
      <c r="P281" s="1389"/>
      <c r="Q281" s="1389"/>
      <c r="R281" s="1389"/>
      <c r="S281" s="1389"/>
      <c r="T281" s="1389"/>
      <c r="U281" s="1389"/>
      <c r="V281" s="1389"/>
    </row>
    <row r="282" spans="1:22" x14ac:dyDescent="0.25">
      <c r="A282" s="1389"/>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row>
    <row r="283" spans="1:22" x14ac:dyDescent="0.25">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row>
    <row r="284" spans="1:22" x14ac:dyDescent="0.25">
      <c r="A284" s="1389"/>
      <c r="B284" s="1389"/>
      <c r="C284" s="1389"/>
      <c r="D284" s="1389"/>
      <c r="E284" s="1389"/>
      <c r="F284" s="1389"/>
      <c r="G284" s="1389"/>
      <c r="H284" s="1389"/>
      <c r="I284" s="1389"/>
      <c r="J284" s="1389"/>
      <c r="K284" s="1389"/>
      <c r="L284" s="1389"/>
      <c r="M284" s="1389"/>
      <c r="N284" s="1389"/>
      <c r="O284" s="1389"/>
      <c r="P284" s="1389"/>
      <c r="Q284" s="1389"/>
      <c r="R284" s="1389"/>
      <c r="S284" s="1389"/>
      <c r="T284" s="1389"/>
      <c r="U284" s="1389"/>
      <c r="V284" s="1389"/>
    </row>
    <row r="285" spans="1:22" x14ac:dyDescent="0.25">
      <c r="A285" s="1389"/>
      <c r="B285" s="1389"/>
      <c r="C285" s="1389"/>
      <c r="D285" s="1389"/>
      <c r="E285" s="1389"/>
      <c r="F285" s="1389"/>
      <c r="G285" s="1389"/>
      <c r="H285" s="1389"/>
      <c r="I285" s="1389"/>
      <c r="J285" s="1389"/>
      <c r="K285" s="1389"/>
      <c r="L285" s="1389"/>
      <c r="M285" s="1389"/>
      <c r="N285" s="1389"/>
      <c r="O285" s="1389"/>
      <c r="P285" s="1389"/>
      <c r="Q285" s="1389"/>
      <c r="R285" s="1389"/>
      <c r="S285" s="1389"/>
      <c r="T285" s="1389"/>
      <c r="U285" s="1389"/>
      <c r="V285" s="1389"/>
    </row>
    <row r="286" spans="1:22" x14ac:dyDescent="0.25">
      <c r="A286" s="1389"/>
      <c r="B286" s="1389"/>
      <c r="C286" s="1389"/>
      <c r="D286" s="1389"/>
      <c r="E286" s="1389"/>
      <c r="F286" s="1389"/>
      <c r="G286" s="1389"/>
      <c r="H286" s="1389"/>
      <c r="I286" s="1389"/>
      <c r="J286" s="1389"/>
      <c r="K286" s="1389"/>
      <c r="L286" s="1389"/>
      <c r="M286" s="1389"/>
      <c r="N286" s="1389"/>
      <c r="O286" s="1389"/>
      <c r="P286" s="1389"/>
      <c r="Q286" s="1389"/>
      <c r="R286" s="1389"/>
      <c r="S286" s="1389"/>
      <c r="T286" s="1389"/>
      <c r="U286" s="1389"/>
      <c r="V286" s="1389"/>
    </row>
    <row r="287" spans="1:22" x14ac:dyDescent="0.25">
      <c r="A287" s="1389"/>
      <c r="B287" s="1389"/>
      <c r="C287" s="1389"/>
      <c r="D287" s="1389"/>
      <c r="E287" s="1389"/>
      <c r="F287" s="1389"/>
      <c r="G287" s="1389"/>
      <c r="H287" s="1389"/>
      <c r="I287" s="1389"/>
      <c r="J287" s="1389"/>
      <c r="K287" s="1389"/>
      <c r="L287" s="1389"/>
      <c r="M287" s="1389"/>
      <c r="N287" s="1389"/>
      <c r="O287" s="1389"/>
      <c r="P287" s="1389"/>
      <c r="Q287" s="1389"/>
      <c r="R287" s="1389"/>
      <c r="S287" s="1389"/>
      <c r="T287" s="1389"/>
      <c r="U287" s="1389"/>
      <c r="V287" s="1389"/>
    </row>
    <row r="288" spans="1:22" x14ac:dyDescent="0.25">
      <c r="A288" s="1389"/>
      <c r="B288" s="1389"/>
      <c r="C288" s="1389"/>
      <c r="D288" s="1389"/>
      <c r="E288" s="1389"/>
      <c r="F288" s="1389"/>
      <c r="G288" s="1389"/>
      <c r="H288" s="1389"/>
      <c r="I288" s="1389"/>
      <c r="J288" s="1389"/>
      <c r="K288" s="1389"/>
      <c r="L288" s="1389"/>
      <c r="M288" s="1389"/>
      <c r="N288" s="1389"/>
      <c r="O288" s="1389"/>
      <c r="P288" s="1389"/>
      <c r="Q288" s="1389"/>
      <c r="R288" s="1389"/>
      <c r="S288" s="1389"/>
      <c r="T288" s="1389"/>
      <c r="U288" s="1389"/>
      <c r="V288" s="1389"/>
    </row>
    <row r="289" spans="1:22" x14ac:dyDescent="0.25">
      <c r="A289" s="1389"/>
      <c r="B289" s="1389"/>
      <c r="C289" s="1389"/>
      <c r="D289" s="1389"/>
      <c r="E289" s="1389"/>
      <c r="F289" s="1389"/>
      <c r="G289" s="1389"/>
      <c r="H289" s="1389"/>
      <c r="I289" s="1389"/>
      <c r="J289" s="1389"/>
      <c r="K289" s="1389"/>
      <c r="L289" s="1389"/>
      <c r="M289" s="1389"/>
      <c r="N289" s="1389"/>
      <c r="O289" s="1389"/>
      <c r="P289" s="1389"/>
      <c r="Q289" s="1389"/>
      <c r="R289" s="1389"/>
      <c r="S289" s="1389"/>
      <c r="T289" s="1389"/>
      <c r="U289" s="1389"/>
      <c r="V289" s="1389"/>
    </row>
    <row r="290" spans="1:22" x14ac:dyDescent="0.25">
      <c r="A290" s="1389"/>
      <c r="B290" s="1389"/>
      <c r="C290" s="1389"/>
      <c r="D290" s="1389"/>
      <c r="E290" s="1389"/>
      <c r="F290" s="1389"/>
      <c r="G290" s="1389"/>
      <c r="H290" s="1389"/>
      <c r="I290" s="1389"/>
      <c r="J290" s="1389"/>
      <c r="K290" s="1389"/>
      <c r="L290" s="1389"/>
      <c r="M290" s="1389"/>
      <c r="N290" s="1389"/>
      <c r="O290" s="1389"/>
      <c r="P290" s="1389"/>
      <c r="Q290" s="1389"/>
      <c r="R290" s="1389"/>
      <c r="S290" s="1389"/>
      <c r="T290" s="1389"/>
      <c r="U290" s="1389"/>
      <c r="V290" s="1389"/>
    </row>
    <row r="291" spans="1:22" x14ac:dyDescent="0.25">
      <c r="A291" s="1389"/>
      <c r="B291" s="1389"/>
      <c r="C291" s="1389"/>
      <c r="D291" s="1389"/>
      <c r="E291" s="1389"/>
      <c r="F291" s="1389"/>
      <c r="G291" s="1389"/>
      <c r="H291" s="1389"/>
      <c r="I291" s="1389"/>
      <c r="J291" s="1389"/>
      <c r="K291" s="1389"/>
      <c r="L291" s="1389"/>
      <c r="M291" s="1389"/>
      <c r="N291" s="1389"/>
      <c r="O291" s="1389"/>
      <c r="P291" s="1389"/>
      <c r="Q291" s="1389"/>
      <c r="R291" s="1389"/>
      <c r="S291" s="1389"/>
      <c r="T291" s="1389"/>
      <c r="U291" s="1389"/>
      <c r="V291" s="1389"/>
    </row>
    <row r="292" spans="1:22" x14ac:dyDescent="0.25">
      <c r="A292" s="1389"/>
      <c r="B292" s="1389"/>
      <c r="C292" s="1389"/>
      <c r="D292" s="1389"/>
      <c r="E292" s="1389"/>
      <c r="F292" s="1389"/>
      <c r="G292" s="1389"/>
      <c r="H292" s="1389"/>
      <c r="I292" s="1389"/>
      <c r="J292" s="1389"/>
      <c r="K292" s="1389"/>
      <c r="L292" s="1389"/>
      <c r="M292" s="1389"/>
      <c r="N292" s="1389"/>
      <c r="O292" s="1389"/>
      <c r="P292" s="1389"/>
      <c r="Q292" s="1389"/>
      <c r="R292" s="1389"/>
      <c r="S292" s="1389"/>
      <c r="T292" s="1389"/>
      <c r="U292" s="1389"/>
      <c r="V292" s="1389"/>
    </row>
    <row r="293" spans="1:22" x14ac:dyDescent="0.25">
      <c r="A293" s="1389"/>
      <c r="B293" s="1389"/>
      <c r="C293" s="1389"/>
      <c r="D293" s="1389"/>
      <c r="E293" s="1389"/>
      <c r="F293" s="1389"/>
      <c r="G293" s="1389"/>
      <c r="H293" s="1389"/>
      <c r="I293" s="1389"/>
      <c r="J293" s="1389"/>
      <c r="K293" s="1389"/>
      <c r="L293" s="1389"/>
      <c r="M293" s="1389"/>
      <c r="N293" s="1389"/>
      <c r="O293" s="1389"/>
      <c r="P293" s="1389"/>
      <c r="Q293" s="1389"/>
      <c r="R293" s="1389"/>
      <c r="S293" s="1389"/>
      <c r="T293" s="1389"/>
      <c r="U293" s="1389"/>
      <c r="V293" s="1389"/>
    </row>
    <row r="294" spans="1:22" x14ac:dyDescent="0.25">
      <c r="A294" s="1389"/>
      <c r="B294" s="1389"/>
      <c r="C294" s="1389"/>
      <c r="D294" s="1389"/>
      <c r="E294" s="1389"/>
      <c r="F294" s="1389"/>
      <c r="G294" s="1389"/>
      <c r="H294" s="1389"/>
      <c r="I294" s="1389"/>
      <c r="J294" s="1389"/>
      <c r="K294" s="1389"/>
      <c r="L294" s="1389"/>
      <c r="M294" s="1389"/>
      <c r="N294" s="1389"/>
      <c r="O294" s="1389"/>
      <c r="P294" s="1389"/>
      <c r="Q294" s="1389"/>
      <c r="R294" s="1389"/>
      <c r="S294" s="1389"/>
      <c r="T294" s="1389"/>
      <c r="U294" s="1389"/>
      <c r="V294" s="1389"/>
    </row>
    <row r="295" spans="1:22" x14ac:dyDescent="0.25">
      <c r="A295" s="1389"/>
      <c r="B295" s="1389"/>
      <c r="C295" s="1389"/>
      <c r="D295" s="1389"/>
      <c r="E295" s="1389"/>
      <c r="F295" s="1389"/>
      <c r="G295" s="1389"/>
      <c r="H295" s="1389"/>
      <c r="I295" s="1389"/>
      <c r="J295" s="1389"/>
      <c r="K295" s="1389"/>
      <c r="L295" s="1389"/>
      <c r="M295" s="1389"/>
      <c r="N295" s="1389"/>
      <c r="O295" s="1389"/>
      <c r="P295" s="1389"/>
      <c r="Q295" s="1389"/>
      <c r="R295" s="1389"/>
      <c r="S295" s="1389"/>
      <c r="T295" s="1389"/>
      <c r="U295" s="1389"/>
      <c r="V295" s="1389"/>
    </row>
    <row r="296" spans="1:22" x14ac:dyDescent="0.25">
      <c r="A296" s="1389"/>
      <c r="B296" s="1389"/>
      <c r="C296" s="1389"/>
      <c r="D296" s="1389"/>
      <c r="E296" s="1389"/>
      <c r="F296" s="1389"/>
      <c r="G296" s="1389"/>
      <c r="H296" s="1389"/>
      <c r="I296" s="1389"/>
      <c r="J296" s="1389"/>
      <c r="K296" s="1389"/>
      <c r="L296" s="1389"/>
      <c r="M296" s="1389"/>
      <c r="N296" s="1389"/>
      <c r="O296" s="1389"/>
      <c r="P296" s="1389"/>
      <c r="Q296" s="1389"/>
      <c r="R296" s="1389"/>
      <c r="S296" s="1389"/>
      <c r="T296" s="1389"/>
      <c r="U296" s="1389"/>
      <c r="V296" s="1389"/>
    </row>
    <row r="297" spans="1:22" x14ac:dyDescent="0.25">
      <c r="A297" s="1389"/>
      <c r="B297" s="1389"/>
      <c r="C297" s="1389"/>
      <c r="D297" s="1389"/>
      <c r="E297" s="1389"/>
      <c r="F297" s="1389"/>
      <c r="G297" s="1389"/>
      <c r="H297" s="1389"/>
      <c r="I297" s="1389"/>
      <c r="J297" s="1389"/>
      <c r="K297" s="1389"/>
      <c r="L297" s="1389"/>
      <c r="M297" s="1389"/>
      <c r="N297" s="1389"/>
      <c r="O297" s="1389"/>
      <c r="P297" s="1389"/>
      <c r="Q297" s="1389"/>
      <c r="R297" s="1389"/>
      <c r="S297" s="1389"/>
      <c r="T297" s="1389"/>
      <c r="U297" s="1389"/>
      <c r="V297" s="1389"/>
    </row>
    <row r="298" spans="1:22" x14ac:dyDescent="0.25">
      <c r="A298" s="1389"/>
      <c r="B298" s="1389"/>
      <c r="C298" s="1389"/>
      <c r="D298" s="1389"/>
      <c r="E298" s="1389"/>
      <c r="F298" s="1389"/>
      <c r="G298" s="1389"/>
      <c r="H298" s="1389"/>
      <c r="I298" s="1389"/>
      <c r="J298" s="1389"/>
      <c r="K298" s="1389"/>
      <c r="L298" s="1389"/>
      <c r="M298" s="1389"/>
      <c r="N298" s="1389"/>
      <c r="O298" s="1389"/>
      <c r="P298" s="1389"/>
      <c r="Q298" s="1389"/>
      <c r="R298" s="1389"/>
      <c r="S298" s="1389"/>
      <c r="T298" s="1389"/>
      <c r="U298" s="1389"/>
      <c r="V298" s="1389"/>
    </row>
    <row r="299" spans="1:22" x14ac:dyDescent="0.25">
      <c r="A299" s="1389"/>
      <c r="B299" s="1389"/>
      <c r="C299" s="1389"/>
      <c r="D299" s="1389"/>
      <c r="E299" s="1389"/>
      <c r="F299" s="1389"/>
      <c r="G299" s="1389"/>
      <c r="H299" s="1389"/>
      <c r="I299" s="1389"/>
      <c r="J299" s="1389"/>
      <c r="K299" s="1389"/>
      <c r="L299" s="1389"/>
      <c r="M299" s="1389"/>
      <c r="N299" s="1389"/>
      <c r="O299" s="1389"/>
      <c r="P299" s="1389"/>
      <c r="Q299" s="1389"/>
      <c r="R299" s="1389"/>
      <c r="S299" s="1389"/>
      <c r="T299" s="1389"/>
      <c r="U299" s="1389"/>
      <c r="V299" s="1389"/>
    </row>
    <row r="300" spans="1:22" x14ac:dyDescent="0.25">
      <c r="A300" s="1389"/>
      <c r="B300" s="1389"/>
      <c r="C300" s="1389"/>
      <c r="D300" s="1389"/>
      <c r="E300" s="1389"/>
      <c r="F300" s="1389"/>
      <c r="G300" s="1389"/>
      <c r="H300" s="1389"/>
      <c r="I300" s="1389"/>
      <c r="J300" s="1389"/>
      <c r="K300" s="1389"/>
      <c r="L300" s="1389"/>
      <c r="M300" s="1389"/>
      <c r="N300" s="1389"/>
      <c r="O300" s="1389"/>
      <c r="P300" s="1389"/>
      <c r="Q300" s="1389"/>
      <c r="R300" s="1389"/>
      <c r="S300" s="1389"/>
      <c r="T300" s="1389"/>
      <c r="U300" s="1389"/>
      <c r="V300" s="1389"/>
    </row>
    <row r="301" spans="1:22" x14ac:dyDescent="0.25">
      <c r="A301" s="1389"/>
      <c r="B301" s="1389"/>
      <c r="C301" s="1389"/>
      <c r="D301" s="1389"/>
      <c r="E301" s="1389"/>
      <c r="F301" s="1389"/>
      <c r="G301" s="1389"/>
      <c r="H301" s="1389"/>
      <c r="I301" s="1389"/>
      <c r="J301" s="1389"/>
      <c r="K301" s="1389"/>
      <c r="L301" s="1389"/>
      <c r="M301" s="1389"/>
      <c r="N301" s="1389"/>
      <c r="O301" s="1389"/>
      <c r="P301" s="1389"/>
      <c r="Q301" s="1389"/>
      <c r="R301" s="1389"/>
      <c r="S301" s="1389"/>
      <c r="T301" s="1389"/>
      <c r="U301" s="1389"/>
      <c r="V301" s="1389"/>
    </row>
    <row r="302" spans="1:22" x14ac:dyDescent="0.25">
      <c r="A302" s="1389"/>
      <c r="B302" s="1389"/>
      <c r="C302" s="1389"/>
      <c r="D302" s="1389"/>
      <c r="E302" s="1389"/>
      <c r="F302" s="1389"/>
      <c r="G302" s="1389"/>
      <c r="H302" s="1389"/>
      <c r="I302" s="1389"/>
      <c r="J302" s="1389"/>
      <c r="K302" s="1389"/>
      <c r="L302" s="1389"/>
      <c r="M302" s="1389"/>
      <c r="N302" s="1389"/>
      <c r="O302" s="1389"/>
      <c r="P302" s="1389"/>
      <c r="Q302" s="1389"/>
      <c r="R302" s="1389"/>
      <c r="S302" s="1389"/>
      <c r="T302" s="1389"/>
      <c r="U302" s="1389"/>
      <c r="V302" s="1389"/>
    </row>
    <row r="303" spans="1:22" x14ac:dyDescent="0.25">
      <c r="A303" s="1389"/>
      <c r="B303" s="1389"/>
      <c r="C303" s="1389"/>
      <c r="D303" s="1389"/>
      <c r="E303" s="1389"/>
      <c r="F303" s="1389"/>
      <c r="G303" s="1389"/>
      <c r="H303" s="1389"/>
      <c r="I303" s="1389"/>
      <c r="J303" s="1389"/>
      <c r="K303" s="1389"/>
      <c r="L303" s="1389"/>
      <c r="M303" s="1389"/>
      <c r="N303" s="1389"/>
      <c r="O303" s="1389"/>
      <c r="P303" s="1389"/>
      <c r="Q303" s="1389"/>
      <c r="R303" s="1389"/>
      <c r="S303" s="1389"/>
      <c r="T303" s="1389"/>
      <c r="U303" s="1389"/>
      <c r="V303" s="1389"/>
    </row>
    <row r="304" spans="1:22" x14ac:dyDescent="0.25">
      <c r="A304" s="1389"/>
      <c r="B304" s="1389"/>
      <c r="C304" s="1389"/>
      <c r="D304" s="1389"/>
      <c r="E304" s="1389"/>
      <c r="F304" s="1389"/>
      <c r="G304" s="1389"/>
      <c r="H304" s="1389"/>
      <c r="I304" s="1389"/>
      <c r="J304" s="1389"/>
      <c r="K304" s="1389"/>
      <c r="L304" s="1389"/>
      <c r="M304" s="1389"/>
      <c r="N304" s="1389"/>
      <c r="O304" s="1389"/>
      <c r="P304" s="1389"/>
      <c r="Q304" s="1389"/>
      <c r="R304" s="1389"/>
      <c r="S304" s="1389"/>
      <c r="T304" s="1389"/>
      <c r="U304" s="1389"/>
      <c r="V304" s="1389"/>
    </row>
    <row r="305" spans="1:22" x14ac:dyDescent="0.25">
      <c r="A305" s="1389"/>
      <c r="B305" s="1389"/>
      <c r="C305" s="1389"/>
      <c r="D305" s="1389"/>
      <c r="E305" s="1389"/>
      <c r="F305" s="1389"/>
      <c r="G305" s="1389"/>
      <c r="H305" s="1389"/>
      <c r="I305" s="1389"/>
      <c r="J305" s="1389"/>
      <c r="K305" s="1389"/>
      <c r="L305" s="1389"/>
      <c r="M305" s="1389"/>
      <c r="N305" s="1389"/>
      <c r="O305" s="1389"/>
      <c r="P305" s="1389"/>
      <c r="Q305" s="1389"/>
      <c r="R305" s="1389"/>
      <c r="S305" s="1389"/>
      <c r="T305" s="1389"/>
      <c r="U305" s="1389"/>
      <c r="V305" s="1389"/>
    </row>
    <row r="306" spans="1:22" x14ac:dyDescent="0.25">
      <c r="A306" s="1389"/>
      <c r="B306" s="1389"/>
      <c r="C306" s="1389"/>
      <c r="D306" s="1389"/>
      <c r="E306" s="1389"/>
      <c r="F306" s="1389"/>
      <c r="G306" s="1389"/>
      <c r="H306" s="1389"/>
      <c r="I306" s="1389"/>
      <c r="J306" s="1389"/>
      <c r="K306" s="1389"/>
      <c r="L306" s="1389"/>
      <c r="M306" s="1389"/>
      <c r="N306" s="1389"/>
      <c r="O306" s="1389"/>
      <c r="P306" s="1389"/>
      <c r="Q306" s="1389"/>
      <c r="R306" s="1389"/>
      <c r="S306" s="1389"/>
      <c r="T306" s="1389"/>
      <c r="U306" s="1389"/>
      <c r="V306" s="1389"/>
    </row>
    <row r="307" spans="1:22" x14ac:dyDescent="0.25">
      <c r="A307" s="1389"/>
      <c r="B307" s="1389"/>
      <c r="C307" s="1389"/>
      <c r="D307" s="1389"/>
      <c r="E307" s="1389"/>
      <c r="F307" s="1389"/>
      <c r="G307" s="1389"/>
      <c r="H307" s="1389"/>
      <c r="I307" s="1389"/>
      <c r="J307" s="1389"/>
      <c r="K307" s="1389"/>
      <c r="L307" s="1389"/>
      <c r="M307" s="1389"/>
      <c r="N307" s="1389"/>
      <c r="O307" s="1389"/>
      <c r="P307" s="1389"/>
      <c r="Q307" s="1389"/>
      <c r="R307" s="1389"/>
      <c r="S307" s="1389"/>
      <c r="T307" s="1389"/>
      <c r="U307" s="1389"/>
      <c r="V307" s="1389"/>
    </row>
    <row r="308" spans="1:22" x14ac:dyDescent="0.25">
      <c r="A308" s="1389"/>
      <c r="B308" s="1389"/>
      <c r="C308" s="1389"/>
      <c r="D308" s="1389"/>
      <c r="E308" s="1389"/>
      <c r="F308" s="1389"/>
      <c r="G308" s="1389"/>
      <c r="H308" s="1389"/>
      <c r="I308" s="1389"/>
      <c r="J308" s="1389"/>
      <c r="K308" s="1389"/>
      <c r="L308" s="1389"/>
      <c r="M308" s="1389"/>
      <c r="N308" s="1389"/>
      <c r="O308" s="1389"/>
      <c r="P308" s="1389"/>
      <c r="Q308" s="1389"/>
      <c r="R308" s="1389"/>
      <c r="S308" s="1389"/>
      <c r="T308" s="1389"/>
      <c r="U308" s="1389"/>
      <c r="V308" s="1389"/>
    </row>
    <row r="309" spans="1:22" x14ac:dyDescent="0.25">
      <c r="A309" s="1389"/>
      <c r="B309" s="1389"/>
      <c r="C309" s="1389"/>
      <c r="D309" s="1389"/>
      <c r="E309" s="1389"/>
      <c r="F309" s="1389"/>
      <c r="G309" s="1389"/>
      <c r="H309" s="1389"/>
      <c r="I309" s="1389"/>
      <c r="J309" s="1389"/>
      <c r="K309" s="1389"/>
      <c r="L309" s="1389"/>
      <c r="M309" s="1389"/>
      <c r="N309" s="1389"/>
      <c r="O309" s="1389"/>
      <c r="P309" s="1389"/>
      <c r="Q309" s="1389"/>
      <c r="R309" s="1389"/>
      <c r="S309" s="1389"/>
      <c r="T309" s="1389"/>
      <c r="U309" s="1389"/>
      <c r="V309" s="1389"/>
    </row>
    <row r="310" spans="1:22" x14ac:dyDescent="0.25">
      <c r="A310" s="1389"/>
      <c r="B310" s="1389"/>
      <c r="C310" s="1389"/>
      <c r="D310" s="1389"/>
      <c r="E310" s="1389"/>
      <c r="F310" s="1389"/>
      <c r="G310" s="1389"/>
      <c r="H310" s="1389"/>
      <c r="I310" s="1389"/>
      <c r="J310" s="1389"/>
      <c r="K310" s="1389"/>
      <c r="L310" s="1389"/>
      <c r="M310" s="1389"/>
      <c r="N310" s="1389"/>
      <c r="O310" s="1389"/>
      <c r="P310" s="1389"/>
      <c r="Q310" s="1389"/>
      <c r="R310" s="1389"/>
      <c r="S310" s="1389"/>
      <c r="T310" s="1389"/>
      <c r="U310" s="1389"/>
      <c r="V310" s="1389"/>
    </row>
    <row r="311" spans="1:22" x14ac:dyDescent="0.25">
      <c r="A311" s="1389"/>
      <c r="B311" s="1389"/>
      <c r="C311" s="1389"/>
      <c r="D311" s="1389"/>
      <c r="E311" s="1389"/>
      <c r="F311" s="1389"/>
      <c r="G311" s="1389"/>
      <c r="H311" s="1389"/>
      <c r="I311" s="1389"/>
      <c r="J311" s="1389"/>
      <c r="K311" s="1389"/>
      <c r="L311" s="1389"/>
      <c r="M311" s="1389"/>
      <c r="N311" s="1389"/>
      <c r="O311" s="1389"/>
      <c r="P311" s="1389"/>
      <c r="Q311" s="1389"/>
      <c r="R311" s="1389"/>
      <c r="S311" s="1389"/>
      <c r="T311" s="1389"/>
      <c r="U311" s="1389"/>
      <c r="V311" s="1389"/>
    </row>
    <row r="312" spans="1:22" x14ac:dyDescent="0.25">
      <c r="A312" s="1389"/>
      <c r="B312" s="1389"/>
      <c r="C312" s="1389"/>
      <c r="D312" s="1389"/>
      <c r="E312" s="1389"/>
      <c r="F312" s="1389"/>
      <c r="G312" s="1389"/>
      <c r="H312" s="1389"/>
      <c r="I312" s="1389"/>
      <c r="J312" s="1389"/>
      <c r="K312" s="1389"/>
      <c r="L312" s="1389"/>
      <c r="M312" s="1389"/>
      <c r="N312" s="1389"/>
      <c r="O312" s="1389"/>
      <c r="P312" s="1389"/>
      <c r="Q312" s="1389"/>
      <c r="R312" s="1389"/>
      <c r="S312" s="1389"/>
      <c r="T312" s="1389"/>
      <c r="U312" s="1389"/>
      <c r="V312" s="1389"/>
    </row>
    <row r="313" spans="1:22" x14ac:dyDescent="0.25">
      <c r="A313" s="1389"/>
      <c r="B313" s="1389"/>
      <c r="C313" s="1389"/>
      <c r="D313" s="1389"/>
      <c r="E313" s="1389"/>
      <c r="F313" s="1389"/>
      <c r="G313" s="1389"/>
      <c r="H313" s="1389"/>
      <c r="I313" s="1389"/>
      <c r="J313" s="1389"/>
      <c r="K313" s="1389"/>
      <c r="L313" s="1389"/>
      <c r="M313" s="1389"/>
      <c r="N313" s="1389"/>
      <c r="O313" s="1389"/>
      <c r="P313" s="1389"/>
      <c r="Q313" s="1389"/>
      <c r="R313" s="1389"/>
      <c r="S313" s="1389"/>
      <c r="T313" s="1389"/>
      <c r="U313" s="1389"/>
      <c r="V313" s="1389"/>
    </row>
    <row r="314" spans="1:22" x14ac:dyDescent="0.25">
      <c r="A314" s="1389"/>
      <c r="B314" s="1389"/>
      <c r="C314" s="1389"/>
      <c r="D314" s="1389"/>
      <c r="E314" s="1389"/>
      <c r="F314" s="1389"/>
      <c r="G314" s="1389"/>
      <c r="H314" s="1389"/>
      <c r="I314" s="1389"/>
      <c r="J314" s="1389"/>
      <c r="K314" s="1389"/>
      <c r="L314" s="1389"/>
      <c r="M314" s="1389"/>
      <c r="N314" s="1389"/>
      <c r="O314" s="1389"/>
      <c r="P314" s="1389"/>
      <c r="Q314" s="1389"/>
      <c r="R314" s="1389"/>
      <c r="S314" s="1389"/>
      <c r="T314" s="1389"/>
      <c r="U314" s="1389"/>
      <c r="V314" s="1389"/>
    </row>
    <row r="315" spans="1:22" x14ac:dyDescent="0.25">
      <c r="A315" s="1389"/>
      <c r="B315" s="1389"/>
      <c r="C315" s="1389"/>
      <c r="D315" s="1389"/>
      <c r="E315" s="1389"/>
      <c r="F315" s="1389"/>
      <c r="G315" s="1389"/>
      <c r="H315" s="1389"/>
      <c r="I315" s="1389"/>
      <c r="J315" s="1389"/>
      <c r="K315" s="1389"/>
      <c r="L315" s="1389"/>
      <c r="M315" s="1389"/>
      <c r="N315" s="1389"/>
      <c r="O315" s="1389"/>
      <c r="P315" s="1389"/>
      <c r="Q315" s="1389"/>
      <c r="R315" s="1389"/>
      <c r="S315" s="1389"/>
      <c r="T315" s="1389"/>
      <c r="U315" s="1389"/>
      <c r="V315" s="1389"/>
    </row>
    <row r="316" spans="1:22" x14ac:dyDescent="0.25">
      <c r="A316" s="1389"/>
      <c r="B316" s="1389"/>
      <c r="C316" s="1389"/>
      <c r="D316" s="1389"/>
      <c r="E316" s="1389"/>
      <c r="F316" s="1389"/>
      <c r="G316" s="1389"/>
      <c r="H316" s="1389"/>
      <c r="I316" s="1389"/>
      <c r="J316" s="1389"/>
      <c r="K316" s="1389"/>
      <c r="L316" s="1389"/>
      <c r="M316" s="1389"/>
      <c r="N316" s="1389"/>
      <c r="O316" s="1389"/>
      <c r="P316" s="1389"/>
      <c r="Q316" s="1389"/>
      <c r="R316" s="1389"/>
      <c r="S316" s="1389"/>
      <c r="T316" s="1389"/>
      <c r="U316" s="1389"/>
      <c r="V316" s="1389"/>
    </row>
    <row r="317" spans="1:22" x14ac:dyDescent="0.25">
      <c r="A317" s="1389"/>
      <c r="B317" s="1389"/>
      <c r="C317" s="1389"/>
      <c r="D317" s="1389"/>
      <c r="E317" s="1389"/>
      <c r="F317" s="1389"/>
      <c r="G317" s="1389"/>
      <c r="H317" s="1389"/>
      <c r="I317" s="1389"/>
      <c r="J317" s="1389"/>
      <c r="K317" s="1389"/>
      <c r="L317" s="1389"/>
      <c r="M317" s="1389"/>
      <c r="N317" s="1389"/>
      <c r="O317" s="1389"/>
      <c r="P317" s="1389"/>
      <c r="Q317" s="1389"/>
      <c r="R317" s="1389"/>
      <c r="S317" s="1389"/>
      <c r="T317" s="1389"/>
      <c r="U317" s="1389"/>
      <c r="V317" s="1389"/>
    </row>
    <row r="318" spans="1:22" x14ac:dyDescent="0.25">
      <c r="A318" s="1389"/>
      <c r="B318" s="1389"/>
      <c r="C318" s="1389"/>
      <c r="D318" s="1389"/>
      <c r="E318" s="1389"/>
      <c r="F318" s="1389"/>
      <c r="G318" s="1389"/>
      <c r="H318" s="1389"/>
      <c r="I318" s="1389"/>
      <c r="J318" s="1389"/>
      <c r="K318" s="1389"/>
      <c r="L318" s="1389"/>
      <c r="M318" s="1389"/>
      <c r="N318" s="1389"/>
      <c r="O318" s="1389"/>
      <c r="P318" s="1389"/>
      <c r="Q318" s="1389"/>
      <c r="R318" s="1389"/>
      <c r="S318" s="1389"/>
      <c r="T318" s="1389"/>
      <c r="U318" s="1389"/>
      <c r="V318" s="1389"/>
    </row>
    <row r="319" spans="1:22" x14ac:dyDescent="0.25">
      <c r="A319" s="1389"/>
      <c r="B319" s="1389"/>
      <c r="C319" s="1389"/>
      <c r="D319" s="1389"/>
      <c r="E319" s="1389"/>
      <c r="F319" s="1389"/>
      <c r="G319" s="1389"/>
      <c r="H319" s="1389"/>
      <c r="I319" s="1389"/>
      <c r="J319" s="1389"/>
      <c r="K319" s="1389"/>
      <c r="L319" s="1389"/>
      <c r="M319" s="1389"/>
      <c r="N319" s="1389"/>
      <c r="O319" s="1389"/>
      <c r="P319" s="1389"/>
      <c r="Q319" s="1389"/>
      <c r="R319" s="1389"/>
      <c r="S319" s="1389"/>
      <c r="T319" s="1389"/>
      <c r="U319" s="1389"/>
      <c r="V319" s="1389"/>
    </row>
    <row r="320" spans="1:22" x14ac:dyDescent="0.25">
      <c r="A320" s="1389"/>
      <c r="B320" s="1389"/>
      <c r="C320" s="1389"/>
      <c r="D320" s="1389"/>
      <c r="E320" s="1389"/>
      <c r="F320" s="1389"/>
      <c r="G320" s="1389"/>
      <c r="H320" s="1389"/>
      <c r="I320" s="1389"/>
      <c r="J320" s="1389"/>
      <c r="K320" s="1389"/>
      <c r="L320" s="1389"/>
      <c r="M320" s="1389"/>
      <c r="N320" s="1389"/>
      <c r="O320" s="1389"/>
      <c r="P320" s="1389"/>
      <c r="Q320" s="1389"/>
      <c r="R320" s="1389"/>
      <c r="S320" s="1389"/>
      <c r="T320" s="1389"/>
      <c r="U320" s="1389"/>
      <c r="V320" s="1389"/>
    </row>
    <row r="321" spans="1:22" x14ac:dyDescent="0.25">
      <c r="A321" s="1389"/>
      <c r="B321" s="1389"/>
      <c r="C321" s="1389"/>
      <c r="D321" s="1389"/>
      <c r="E321" s="1389"/>
      <c r="F321" s="1389"/>
      <c r="G321" s="1389"/>
      <c r="H321" s="1389"/>
      <c r="I321" s="1389"/>
      <c r="J321" s="1389"/>
      <c r="K321" s="1389"/>
      <c r="L321" s="1389"/>
      <c r="M321" s="1389"/>
      <c r="N321" s="1389"/>
      <c r="O321" s="1389"/>
      <c r="P321" s="1389"/>
      <c r="Q321" s="1389"/>
      <c r="R321" s="1389"/>
      <c r="S321" s="1389"/>
      <c r="T321" s="1389"/>
      <c r="U321" s="1389"/>
      <c r="V321" s="1389"/>
    </row>
    <row r="322" spans="1:22" x14ac:dyDescent="0.25">
      <c r="A322" s="1389"/>
      <c r="B322" s="1389"/>
      <c r="C322" s="1389"/>
      <c r="D322" s="1389"/>
      <c r="E322" s="1389"/>
      <c r="F322" s="1389"/>
      <c r="G322" s="1389"/>
      <c r="H322" s="1389"/>
      <c r="I322" s="1389"/>
      <c r="J322" s="1389"/>
      <c r="K322" s="1389"/>
      <c r="L322" s="1389"/>
      <c r="M322" s="1389"/>
      <c r="N322" s="1389"/>
      <c r="O322" s="1389"/>
      <c r="P322" s="1389"/>
      <c r="Q322" s="1389"/>
      <c r="R322" s="1389"/>
      <c r="S322" s="1389"/>
      <c r="T322" s="1389"/>
      <c r="U322" s="1389"/>
      <c r="V322" s="1389"/>
    </row>
    <row r="323" spans="1:22" x14ac:dyDescent="0.25">
      <c r="A323" s="1389"/>
      <c r="B323" s="1389"/>
      <c r="C323" s="1389"/>
      <c r="D323" s="1389"/>
      <c r="E323" s="1389"/>
      <c r="F323" s="1389"/>
      <c r="G323" s="1389"/>
      <c r="H323" s="1389"/>
      <c r="I323" s="1389"/>
      <c r="J323" s="1389"/>
      <c r="K323" s="1389"/>
      <c r="L323" s="1389"/>
      <c r="M323" s="1389"/>
      <c r="N323" s="1389"/>
      <c r="O323" s="1389"/>
      <c r="P323" s="1389"/>
      <c r="Q323" s="1389"/>
      <c r="R323" s="1389"/>
      <c r="S323" s="1389"/>
      <c r="T323" s="1389"/>
      <c r="U323" s="1389"/>
      <c r="V323" s="1389"/>
    </row>
    <row r="324" spans="1:22" x14ac:dyDescent="0.25">
      <c r="A324" s="1389"/>
      <c r="B324" s="1389"/>
      <c r="C324" s="1389"/>
      <c r="D324" s="1389"/>
      <c r="E324" s="1389"/>
      <c r="F324" s="1389"/>
      <c r="G324" s="1389"/>
      <c r="H324" s="1389"/>
      <c r="I324" s="1389"/>
      <c r="J324" s="1389"/>
      <c r="K324" s="1389"/>
      <c r="L324" s="1389"/>
      <c r="M324" s="1389"/>
      <c r="N324" s="1389"/>
      <c r="O324" s="1389"/>
      <c r="P324" s="1389"/>
      <c r="Q324" s="1389"/>
      <c r="R324" s="1389"/>
      <c r="S324" s="1389"/>
      <c r="T324" s="1389"/>
      <c r="U324" s="1389"/>
      <c r="V324" s="1389"/>
    </row>
    <row r="325" spans="1:22" x14ac:dyDescent="0.25">
      <c r="A325" s="1389"/>
      <c r="B325" s="1389"/>
      <c r="C325" s="1389"/>
      <c r="D325" s="1389"/>
      <c r="E325" s="1389"/>
      <c r="F325" s="1389"/>
      <c r="G325" s="1389"/>
      <c r="H325" s="1389"/>
      <c r="I325" s="1389"/>
      <c r="J325" s="1389"/>
      <c r="K325" s="1389"/>
      <c r="L325" s="1389"/>
      <c r="M325" s="1389"/>
      <c r="N325" s="1389"/>
      <c r="O325" s="1389"/>
      <c r="P325" s="1389"/>
      <c r="Q325" s="1389"/>
      <c r="R325" s="1389"/>
      <c r="S325" s="1389"/>
      <c r="T325" s="1389"/>
      <c r="U325" s="1389"/>
      <c r="V325" s="1389"/>
    </row>
    <row r="326" spans="1:22" x14ac:dyDescent="0.25">
      <c r="A326" s="1389"/>
      <c r="B326" s="1389"/>
      <c r="C326" s="1389"/>
      <c r="D326" s="1389"/>
      <c r="E326" s="1389"/>
      <c r="F326" s="1389"/>
      <c r="G326" s="1389"/>
      <c r="H326" s="1389"/>
      <c r="I326" s="1389"/>
      <c r="J326" s="1389"/>
      <c r="K326" s="1389"/>
      <c r="L326" s="1389"/>
      <c r="M326" s="1389"/>
      <c r="N326" s="1389"/>
      <c r="O326" s="1389"/>
      <c r="P326" s="1389"/>
      <c r="Q326" s="1389"/>
      <c r="R326" s="1389"/>
      <c r="S326" s="1389"/>
      <c r="T326" s="1389"/>
      <c r="U326" s="1389"/>
      <c r="V326" s="1389"/>
    </row>
    <row r="327" spans="1:22" x14ac:dyDescent="0.25">
      <c r="A327" s="1389"/>
      <c r="B327" s="1389"/>
      <c r="C327" s="1389"/>
      <c r="D327" s="1389"/>
      <c r="E327" s="1389"/>
      <c r="F327" s="1389"/>
      <c r="G327" s="1389"/>
      <c r="H327" s="1389"/>
      <c r="I327" s="1389"/>
      <c r="J327" s="1389"/>
      <c r="K327" s="1389"/>
      <c r="L327" s="1389"/>
      <c r="M327" s="1389"/>
      <c r="N327" s="1389"/>
      <c r="O327" s="1389"/>
      <c r="P327" s="1389"/>
      <c r="Q327" s="1389"/>
      <c r="R327" s="1389"/>
      <c r="S327" s="1389"/>
      <c r="T327" s="1389"/>
      <c r="U327" s="1389"/>
      <c r="V327" s="1389"/>
    </row>
    <row r="328" spans="1:22" x14ac:dyDescent="0.25">
      <c r="A328" s="1389"/>
      <c r="B328" s="1389"/>
      <c r="C328" s="1389"/>
      <c r="D328" s="1389"/>
      <c r="E328" s="1389"/>
      <c r="F328" s="1389"/>
      <c r="G328" s="1389"/>
      <c r="H328" s="1389"/>
      <c r="I328" s="1389"/>
      <c r="J328" s="1389"/>
      <c r="K328" s="1389"/>
      <c r="L328" s="1389"/>
      <c r="M328" s="1389"/>
      <c r="N328" s="1389"/>
      <c r="O328" s="1389"/>
      <c r="P328" s="1389"/>
      <c r="Q328" s="1389"/>
      <c r="R328" s="1389"/>
      <c r="S328" s="1389"/>
      <c r="T328" s="1389"/>
      <c r="U328" s="1389"/>
      <c r="V328" s="1389"/>
    </row>
    <row r="329" spans="1:22" x14ac:dyDescent="0.25">
      <c r="A329" s="1389"/>
      <c r="B329" s="1389"/>
      <c r="C329" s="1389"/>
      <c r="D329" s="1389"/>
      <c r="E329" s="1389"/>
      <c r="F329" s="1389"/>
      <c r="G329" s="1389"/>
      <c r="H329" s="1389"/>
      <c r="I329" s="1389"/>
      <c r="J329" s="1389"/>
      <c r="K329" s="1389"/>
      <c r="L329" s="1389"/>
      <c r="M329" s="1389"/>
      <c r="N329" s="1389"/>
      <c r="O329" s="1389"/>
      <c r="P329" s="1389"/>
      <c r="Q329" s="1389"/>
      <c r="R329" s="1389"/>
      <c r="S329" s="1389"/>
      <c r="T329" s="1389"/>
      <c r="U329" s="1389"/>
      <c r="V329" s="1389"/>
    </row>
    <row r="330" spans="1:22" x14ac:dyDescent="0.25">
      <c r="A330" s="1389"/>
      <c r="B330" s="1389"/>
      <c r="C330" s="1389"/>
      <c r="D330" s="1389"/>
      <c r="E330" s="1389"/>
      <c r="F330" s="1389"/>
      <c r="G330" s="1389"/>
      <c r="H330" s="1389"/>
      <c r="I330" s="1389"/>
      <c r="J330" s="1389"/>
      <c r="K330" s="1389"/>
      <c r="L330" s="1389"/>
      <c r="M330" s="1389"/>
      <c r="N330" s="1389"/>
      <c r="O330" s="1389"/>
      <c r="P330" s="1389"/>
      <c r="Q330" s="1389"/>
      <c r="R330" s="1389"/>
      <c r="S330" s="1389"/>
      <c r="T330" s="1389"/>
      <c r="U330" s="1389"/>
      <c r="V330" s="1389"/>
    </row>
    <row r="331" spans="1:22" x14ac:dyDescent="0.25">
      <c r="A331" s="1389"/>
      <c r="B331" s="1389"/>
      <c r="C331" s="1389"/>
      <c r="D331" s="1389"/>
      <c r="E331" s="1389"/>
      <c r="F331" s="1389"/>
      <c r="G331" s="1389"/>
      <c r="H331" s="1389"/>
      <c r="I331" s="1389"/>
      <c r="J331" s="1389"/>
      <c r="K331" s="1389"/>
      <c r="L331" s="1389"/>
      <c r="M331" s="1389"/>
      <c r="N331" s="1389"/>
      <c r="O331" s="1389"/>
      <c r="P331" s="1389"/>
      <c r="Q331" s="1389"/>
      <c r="R331" s="1389"/>
      <c r="S331" s="1389"/>
      <c r="T331" s="1389"/>
      <c r="U331" s="1389"/>
      <c r="V331" s="1389"/>
    </row>
    <row r="332" spans="1:22" x14ac:dyDescent="0.25">
      <c r="A332" s="1389"/>
      <c r="B332" s="1389"/>
      <c r="C332" s="1389"/>
      <c r="D332" s="1389"/>
      <c r="E332" s="1389"/>
      <c r="F332" s="1389"/>
      <c r="G332" s="1389"/>
      <c r="H332" s="1389"/>
      <c r="I332" s="1389"/>
      <c r="J332" s="1389"/>
      <c r="K332" s="1389"/>
      <c r="L332" s="1389"/>
      <c r="M332" s="1389"/>
      <c r="N332" s="1389"/>
      <c r="O332" s="1389"/>
      <c r="P332" s="1389"/>
      <c r="Q332" s="1389"/>
      <c r="R332" s="1389"/>
      <c r="S332" s="1389"/>
      <c r="T332" s="1389"/>
      <c r="U332" s="1389"/>
      <c r="V332" s="1389"/>
    </row>
    <row r="333" spans="1:22" x14ac:dyDescent="0.25">
      <c r="A333" s="1389"/>
      <c r="B333" s="1389"/>
      <c r="C333" s="1389"/>
      <c r="D333" s="1389"/>
      <c r="E333" s="1389"/>
      <c r="F333" s="1389"/>
      <c r="G333" s="1389"/>
      <c r="H333" s="1389"/>
      <c r="I333" s="1389"/>
      <c r="J333" s="1389"/>
      <c r="K333" s="1389"/>
      <c r="L333" s="1389"/>
      <c r="M333" s="1389"/>
      <c r="N333" s="1389"/>
      <c r="O333" s="1389"/>
      <c r="P333" s="1389"/>
      <c r="Q333" s="1389"/>
      <c r="R333" s="1389"/>
      <c r="S333" s="1389"/>
      <c r="T333" s="1389"/>
      <c r="U333" s="1389"/>
      <c r="V333" s="1389"/>
    </row>
    <row r="334" spans="1:22" x14ac:dyDescent="0.25">
      <c r="A334" s="1389"/>
      <c r="B334" s="1389"/>
      <c r="C334" s="1389"/>
      <c r="D334" s="1389"/>
      <c r="E334" s="1389"/>
      <c r="F334" s="1389"/>
      <c r="G334" s="1389"/>
      <c r="H334" s="1389"/>
      <c r="I334" s="1389"/>
      <c r="J334" s="1389"/>
      <c r="K334" s="1389"/>
      <c r="L334" s="1389"/>
      <c r="M334" s="1389"/>
      <c r="N334" s="1389"/>
      <c r="O334" s="1389"/>
      <c r="P334" s="1389"/>
      <c r="Q334" s="1389"/>
      <c r="R334" s="1389"/>
      <c r="S334" s="1389"/>
      <c r="T334" s="1389"/>
      <c r="U334" s="1389"/>
      <c r="V334" s="1389"/>
    </row>
    <row r="335" spans="1:22" x14ac:dyDescent="0.25">
      <c r="A335" s="1389"/>
      <c r="B335" s="1389"/>
      <c r="C335" s="1389"/>
      <c r="D335" s="1389"/>
      <c r="E335" s="1389"/>
      <c r="F335" s="1389"/>
      <c r="G335" s="1389"/>
      <c r="H335" s="1389"/>
      <c r="I335" s="1389"/>
      <c r="J335" s="1389"/>
      <c r="K335" s="1389"/>
      <c r="L335" s="1389"/>
      <c r="M335" s="1389"/>
      <c r="N335" s="1389"/>
      <c r="O335" s="1389"/>
      <c r="P335" s="1389"/>
      <c r="Q335" s="1389"/>
      <c r="R335" s="1389"/>
      <c r="S335" s="1389"/>
      <c r="T335" s="1389"/>
      <c r="U335" s="1389"/>
      <c r="V335" s="1389"/>
    </row>
  </sheetData>
  <mergeCells count="35">
    <mergeCell ref="A7:V7"/>
    <mergeCell ref="A2:V2"/>
    <mergeCell ref="A3:V3"/>
    <mergeCell ref="A4:V4"/>
    <mergeCell ref="A5:V5"/>
    <mergeCell ref="A6:V6"/>
    <mergeCell ref="U11:U16"/>
    <mergeCell ref="P15:P16"/>
    <mergeCell ref="Q15:R15"/>
    <mergeCell ref="A8:V8"/>
    <mergeCell ref="A9:V9"/>
    <mergeCell ref="A11:A16"/>
    <mergeCell ref="B11:B16"/>
    <mergeCell ref="C11:C16"/>
    <mergeCell ref="D11:D16"/>
    <mergeCell ref="E11:E16"/>
    <mergeCell ref="F11:F16"/>
    <mergeCell ref="G11:G16"/>
    <mergeCell ref="H11:H16"/>
    <mergeCell ref="A1:V1"/>
    <mergeCell ref="V11:V16"/>
    <mergeCell ref="L12:L16"/>
    <mergeCell ref="M12:S12"/>
    <mergeCell ref="M13:M16"/>
    <mergeCell ref="N13:S13"/>
    <mergeCell ref="N14:O14"/>
    <mergeCell ref="P14:R14"/>
    <mergeCell ref="S14:S16"/>
    <mergeCell ref="N15:N16"/>
    <mergeCell ref="O15:O16"/>
    <mergeCell ref="I11:I16"/>
    <mergeCell ref="J11:J16"/>
    <mergeCell ref="K11:K16"/>
    <mergeCell ref="L11:S11"/>
    <mergeCell ref="T11:T16"/>
  </mergeCells>
  <pageMargins left="0.49" right="0.28999999999999998" top="0.51" bottom="0.37" header="0.31496062992125984" footer="0.31496062992125984"/>
  <pageSetup paperSize="9" scale="41" fitToHeight="0"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D661"/>
  <sheetViews>
    <sheetView topLeftCell="A29" zoomScale="85" zoomScaleNormal="85" workbookViewId="0">
      <selection activeCell="G31" sqref="G31"/>
    </sheetView>
  </sheetViews>
  <sheetFormatPr defaultColWidth="9.140625" defaultRowHeight="15" x14ac:dyDescent="0.25"/>
  <cols>
    <col min="1" max="1" width="9.140625" style="89"/>
    <col min="2" max="2" width="0" style="89" hidden="1" customWidth="1"/>
    <col min="3" max="3" width="32.7109375" style="89" customWidth="1"/>
    <col min="4" max="4" width="11.42578125" style="1363" customWidth="1"/>
    <col min="5" max="5" width="26.7109375" style="89" customWidth="1"/>
    <col min="6" max="6" width="12.5703125" style="89" customWidth="1"/>
    <col min="7" max="13" width="13.7109375" style="89" customWidth="1"/>
    <col min="14" max="15" width="13.7109375" style="89" hidden="1" customWidth="1"/>
    <col min="16" max="17" width="13.7109375" style="1325" hidden="1" customWidth="1"/>
    <col min="18" max="18" width="12.85546875" style="89" hidden="1" customWidth="1"/>
    <col min="19" max="19" width="13.140625" style="89" hidden="1" customWidth="1"/>
    <col min="20" max="20" width="16.5703125" style="1364" customWidth="1"/>
    <col min="21" max="21" width="16.140625" style="1364" customWidth="1"/>
    <col min="22" max="22" width="13.5703125" style="89" customWidth="1"/>
    <col min="23" max="23" width="15.140625" style="89" customWidth="1"/>
    <col min="24" max="24" width="16.5703125" style="1364" customWidth="1"/>
    <col min="25" max="25" width="16.140625" style="1364" customWidth="1"/>
    <col min="26" max="29" width="12.5703125" style="89" hidden="1" customWidth="1"/>
    <col min="30" max="37" width="9.140625" style="89" hidden="1" customWidth="1"/>
    <col min="38" max="38" width="12.85546875" style="89" customWidth="1"/>
    <col min="39" max="40" width="9.140625" style="89"/>
    <col min="41" max="41" width="10.5703125" style="89" bestFit="1" customWidth="1"/>
    <col min="42" max="42" width="11.140625" style="89" bestFit="1" customWidth="1"/>
    <col min="43" max="43" width="12" style="89" bestFit="1" customWidth="1"/>
    <col min="44" max="16384" width="9.140625" style="89"/>
  </cols>
  <sheetData>
    <row r="1" spans="1:42" ht="25.5" customHeight="1" x14ac:dyDescent="0.25">
      <c r="A1" s="1928" t="s">
        <v>1880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row>
    <row r="2" spans="1:42" s="1330" customFormat="1" ht="38.25" customHeight="1" x14ac:dyDescent="0.35">
      <c r="A2" s="1929" t="s">
        <v>2542</v>
      </c>
      <c r="B2" s="1929"/>
      <c r="C2" s="1929"/>
      <c r="D2" s="1929"/>
      <c r="E2" s="1929"/>
      <c r="F2" s="1929"/>
      <c r="G2" s="1929"/>
      <c r="H2" s="1929"/>
      <c r="I2" s="1929"/>
      <c r="J2" s="2052"/>
      <c r="K2" s="2052"/>
      <c r="L2" s="2052"/>
      <c r="M2" s="2052"/>
      <c r="N2" s="1929"/>
      <c r="O2" s="1929"/>
      <c r="P2" s="1929"/>
      <c r="Q2" s="1929"/>
      <c r="R2" s="1929"/>
      <c r="S2" s="1929"/>
      <c r="T2" s="1929"/>
      <c r="U2" s="1929"/>
      <c r="V2" s="1929"/>
      <c r="W2" s="1929"/>
      <c r="X2" s="1929"/>
      <c r="Y2" s="1929"/>
      <c r="Z2" s="2052"/>
      <c r="AA2" s="2052"/>
      <c r="AB2" s="2052"/>
      <c r="AC2" s="2052"/>
      <c r="AD2" s="2052"/>
      <c r="AE2" s="2052"/>
      <c r="AF2" s="2052"/>
      <c r="AG2" s="2052"/>
      <c r="AH2" s="2052"/>
      <c r="AI2" s="2052"/>
      <c r="AJ2" s="2052"/>
      <c r="AK2" s="2052"/>
      <c r="AL2" s="1929"/>
    </row>
    <row r="3" spans="1:42" s="1331" customFormat="1" ht="48.75" hidden="1" customHeight="1" x14ac:dyDescent="0.3">
      <c r="A3" s="1930" t="s">
        <v>2423</v>
      </c>
      <c r="B3" s="1930"/>
      <c r="C3" s="1930"/>
      <c r="D3" s="1930"/>
      <c r="E3" s="1930"/>
      <c r="F3" s="1930"/>
      <c r="G3" s="1930"/>
      <c r="H3" s="1930"/>
      <c r="I3" s="1930"/>
      <c r="J3" s="1927"/>
      <c r="K3" s="1927"/>
      <c r="L3" s="1927"/>
      <c r="M3" s="1927"/>
      <c r="N3" s="1930"/>
      <c r="O3" s="1930"/>
      <c r="P3" s="1930"/>
      <c r="Q3" s="1930"/>
      <c r="R3" s="1930"/>
      <c r="S3" s="1930"/>
      <c r="T3" s="1930"/>
      <c r="U3" s="1930"/>
      <c r="V3" s="1930"/>
      <c r="W3" s="1930"/>
      <c r="X3" s="1930"/>
      <c r="Y3" s="1930"/>
      <c r="Z3" s="1927"/>
      <c r="AA3" s="1927"/>
      <c r="AB3" s="1927"/>
      <c r="AC3" s="1927"/>
      <c r="AD3" s="1927"/>
      <c r="AE3" s="1927"/>
      <c r="AF3" s="1927"/>
      <c r="AG3" s="1927"/>
      <c r="AH3" s="1927"/>
      <c r="AI3" s="1927"/>
      <c r="AJ3" s="1927"/>
      <c r="AK3" s="1927"/>
      <c r="AL3" s="1930"/>
    </row>
    <row r="4" spans="1:42" ht="27.75" customHeight="1" x14ac:dyDescent="0.25">
      <c r="A4" s="1927" t="s">
        <v>2533</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927"/>
      <c r="AI4" s="1927"/>
      <c r="AJ4" s="1927"/>
      <c r="AK4" s="1927"/>
      <c r="AL4" s="1927"/>
    </row>
    <row r="5" spans="1:42" ht="27" hidden="1" customHeight="1" x14ac:dyDescent="0.25">
      <c r="A5" s="1927" t="s">
        <v>2619</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row>
    <row r="6" spans="1:42" ht="21.75" hidden="1" customHeight="1" x14ac:dyDescent="0.25">
      <c r="A6" s="1927" t="s">
        <v>1876</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927"/>
      <c r="AK6" s="1927"/>
      <c r="AL6" s="1927"/>
    </row>
    <row r="7" spans="1:42" ht="28.5" hidden="1" customHeight="1" x14ac:dyDescent="0.25">
      <c r="A7" s="1927" t="s">
        <v>2544</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927"/>
      <c r="AK7" s="1927"/>
      <c r="AL7" s="1927"/>
    </row>
    <row r="8" spans="1:42" ht="16.5" x14ac:dyDescent="0.25">
      <c r="A8" s="1317"/>
      <c r="B8" s="1317"/>
      <c r="C8" s="1317"/>
      <c r="D8" s="1317"/>
      <c r="E8" s="1317"/>
      <c r="F8" s="1317"/>
      <c r="G8" s="1317"/>
      <c r="H8" s="1317"/>
      <c r="I8" s="1317"/>
      <c r="J8" s="1317"/>
      <c r="K8" s="1317"/>
      <c r="L8" s="1317"/>
      <c r="M8" s="1317"/>
      <c r="N8" s="1317"/>
      <c r="O8" s="1317"/>
      <c r="P8" s="1006" t="s">
        <v>1875</v>
      </c>
      <c r="Q8" s="1006"/>
      <c r="R8" s="1007"/>
      <c r="S8" s="1007"/>
      <c r="T8" s="1008" t="s">
        <v>1875</v>
      </c>
      <c r="U8" s="1008"/>
      <c r="V8" s="1007"/>
      <c r="W8" s="1007"/>
      <c r="X8" s="1008" t="s">
        <v>1875</v>
      </c>
      <c r="Y8" s="1008"/>
      <c r="Z8" s="1007"/>
      <c r="AA8" s="1007"/>
      <c r="AB8" s="1007"/>
      <c r="AC8" s="1007"/>
      <c r="AD8" s="1007"/>
      <c r="AE8" s="1007"/>
      <c r="AF8" s="1007"/>
      <c r="AG8" s="1007"/>
      <c r="AH8" s="1007"/>
      <c r="AI8" s="1007"/>
      <c r="AJ8" s="1007"/>
      <c r="AK8" s="1007"/>
      <c r="AL8" s="1317"/>
    </row>
    <row r="9" spans="1:42" ht="16.5" x14ac:dyDescent="0.25">
      <c r="A9" s="2042" t="s">
        <v>6</v>
      </c>
      <c r="B9" s="2042"/>
      <c r="C9" s="2042"/>
      <c r="D9" s="2042"/>
      <c r="E9" s="2042"/>
      <c r="F9" s="2042"/>
      <c r="G9" s="2042"/>
      <c r="H9" s="2042"/>
      <c r="I9" s="2042"/>
      <c r="J9" s="2042"/>
      <c r="K9" s="2042"/>
      <c r="L9" s="2042"/>
      <c r="M9" s="2042"/>
      <c r="N9" s="2042"/>
      <c r="O9" s="2042"/>
      <c r="P9" s="2042"/>
      <c r="Q9" s="2042"/>
      <c r="R9" s="2042"/>
      <c r="S9" s="2042"/>
      <c r="T9" s="2042"/>
      <c r="U9" s="2042"/>
      <c r="V9" s="2042"/>
      <c r="W9" s="2042"/>
      <c r="X9" s="2042"/>
      <c r="Y9" s="2042"/>
      <c r="Z9" s="1933"/>
      <c r="AA9" s="1933"/>
      <c r="AB9" s="1933"/>
      <c r="AC9" s="1933"/>
      <c r="AD9" s="1933"/>
      <c r="AE9" s="1933"/>
      <c r="AF9" s="1933"/>
      <c r="AG9" s="1933"/>
      <c r="AH9" s="1933"/>
      <c r="AI9" s="1933"/>
      <c r="AJ9" s="1933"/>
      <c r="AK9" s="1933"/>
      <c r="AL9" s="2042"/>
    </row>
    <row r="10" spans="1:42" ht="32.25" customHeight="1" x14ac:dyDescent="0.25">
      <c r="A10" s="1934" t="s">
        <v>7</v>
      </c>
      <c r="B10" s="1318"/>
      <c r="C10" s="1934" t="s">
        <v>8</v>
      </c>
      <c r="D10" s="1934" t="s">
        <v>9</v>
      </c>
      <c r="E10" s="1934" t="s">
        <v>10</v>
      </c>
      <c r="F10" s="1934" t="s">
        <v>11</v>
      </c>
      <c r="G10" s="1934" t="s">
        <v>12</v>
      </c>
      <c r="H10" s="1934"/>
      <c r="I10" s="1934"/>
      <c r="J10" s="1934" t="s">
        <v>891</v>
      </c>
      <c r="K10" s="1934"/>
      <c r="L10" s="1934" t="s">
        <v>13</v>
      </c>
      <c r="M10" s="1934"/>
      <c r="N10" s="1934" t="s">
        <v>14</v>
      </c>
      <c r="O10" s="1934"/>
      <c r="P10" s="1934" t="s">
        <v>907</v>
      </c>
      <c r="Q10" s="1934"/>
      <c r="R10" s="2053" t="s">
        <v>2156</v>
      </c>
      <c r="S10" s="2053"/>
      <c r="T10" s="1934" t="s">
        <v>2539</v>
      </c>
      <c r="U10" s="1934"/>
      <c r="V10" s="1931" t="s">
        <v>2538</v>
      </c>
      <c r="W10" s="1931"/>
      <c r="X10" s="1934" t="s">
        <v>2540</v>
      </c>
      <c r="Y10" s="1934"/>
      <c r="Z10" s="1931" t="s">
        <v>15</v>
      </c>
      <c r="AA10" s="1931"/>
      <c r="AB10" s="1931" t="s">
        <v>16</v>
      </c>
      <c r="AC10" s="1931"/>
      <c r="AD10" s="1931" t="s">
        <v>17</v>
      </c>
      <c r="AE10" s="1931"/>
      <c r="AF10" s="1931" t="s">
        <v>18</v>
      </c>
      <c r="AG10" s="1931"/>
      <c r="AH10" s="1931" t="s">
        <v>19</v>
      </c>
      <c r="AI10" s="1931"/>
      <c r="AJ10" s="1931" t="s">
        <v>21</v>
      </c>
      <c r="AK10" s="1931"/>
      <c r="AL10" s="1934" t="s">
        <v>1870</v>
      </c>
      <c r="AO10" s="1934" t="s">
        <v>2545</v>
      </c>
    </row>
    <row r="11" spans="1:42" ht="39" customHeight="1" x14ac:dyDescent="0.25">
      <c r="A11" s="1935"/>
      <c r="B11" s="1319"/>
      <c r="C11" s="1935"/>
      <c r="D11" s="1935"/>
      <c r="E11" s="1935"/>
      <c r="F11" s="1935"/>
      <c r="G11" s="1935"/>
      <c r="H11" s="1935"/>
      <c r="I11" s="1935"/>
      <c r="J11" s="1935"/>
      <c r="K11" s="1935"/>
      <c r="L11" s="1935"/>
      <c r="M11" s="1935"/>
      <c r="N11" s="1935"/>
      <c r="O11" s="1935"/>
      <c r="P11" s="1935"/>
      <c r="Q11" s="1935"/>
      <c r="R11" s="2054"/>
      <c r="S11" s="2054"/>
      <c r="T11" s="1935"/>
      <c r="U11" s="1935"/>
      <c r="V11" s="1932"/>
      <c r="W11" s="1932"/>
      <c r="X11" s="1935"/>
      <c r="Y11" s="1935"/>
      <c r="Z11" s="1932"/>
      <c r="AA11" s="1932"/>
      <c r="AB11" s="1932"/>
      <c r="AC11" s="1932"/>
      <c r="AD11" s="1932"/>
      <c r="AE11" s="1932"/>
      <c r="AF11" s="1932"/>
      <c r="AG11" s="1932"/>
      <c r="AH11" s="1932"/>
      <c r="AI11" s="1932"/>
      <c r="AJ11" s="1932"/>
      <c r="AK11" s="1932"/>
      <c r="AL11" s="1935"/>
      <c r="AO11" s="1935"/>
    </row>
    <row r="12" spans="1:42" ht="24" customHeight="1" x14ac:dyDescent="0.25">
      <c r="A12" s="1935"/>
      <c r="B12" s="1319"/>
      <c r="C12" s="1935"/>
      <c r="D12" s="1935"/>
      <c r="E12" s="1935"/>
      <c r="F12" s="1935"/>
      <c r="G12" s="1935" t="s">
        <v>32</v>
      </c>
      <c r="H12" s="1935" t="s">
        <v>1869</v>
      </c>
      <c r="I12" s="1935"/>
      <c r="J12" s="1935" t="s">
        <v>34</v>
      </c>
      <c r="K12" s="1935" t="s">
        <v>35</v>
      </c>
      <c r="L12" s="1935" t="s">
        <v>34</v>
      </c>
      <c r="M12" s="1935" t="s">
        <v>35</v>
      </c>
      <c r="N12" s="1935" t="s">
        <v>34</v>
      </c>
      <c r="O12" s="1935" t="s">
        <v>35</v>
      </c>
      <c r="P12" s="1935" t="s">
        <v>34</v>
      </c>
      <c r="Q12" s="1935" t="s">
        <v>35</v>
      </c>
      <c r="R12" s="2054" t="s">
        <v>36</v>
      </c>
      <c r="S12" s="2054" t="s">
        <v>37</v>
      </c>
      <c r="T12" s="2078" t="s">
        <v>34</v>
      </c>
      <c r="U12" s="2078" t="s">
        <v>35</v>
      </c>
      <c r="V12" s="2054" t="s">
        <v>36</v>
      </c>
      <c r="W12" s="2054" t="s">
        <v>37</v>
      </c>
      <c r="X12" s="2078" t="s">
        <v>34</v>
      </c>
      <c r="Y12" s="2078" t="s">
        <v>35</v>
      </c>
      <c r="Z12" s="1941" t="s">
        <v>34</v>
      </c>
      <c r="AA12" s="1932" t="s">
        <v>35</v>
      </c>
      <c r="AB12" s="1932" t="s">
        <v>34</v>
      </c>
      <c r="AC12" s="1932" t="s">
        <v>35</v>
      </c>
      <c r="AD12" s="1932" t="s">
        <v>34</v>
      </c>
      <c r="AE12" s="1932" t="s">
        <v>35</v>
      </c>
      <c r="AF12" s="1932" t="s">
        <v>34</v>
      </c>
      <c r="AG12" s="1932" t="s">
        <v>35</v>
      </c>
      <c r="AH12" s="1932" t="s">
        <v>34</v>
      </c>
      <c r="AI12" s="1932" t="s">
        <v>35</v>
      </c>
      <c r="AJ12" s="1932" t="s">
        <v>34</v>
      </c>
      <c r="AK12" s="1932" t="s">
        <v>35</v>
      </c>
      <c r="AL12" s="1935"/>
      <c r="AO12" s="1935"/>
    </row>
    <row r="13" spans="1:42" ht="24.75" customHeight="1" x14ac:dyDescent="0.25">
      <c r="A13" s="1935"/>
      <c r="B13" s="1319"/>
      <c r="C13" s="1935"/>
      <c r="D13" s="1935"/>
      <c r="E13" s="1935"/>
      <c r="F13" s="1935"/>
      <c r="G13" s="1935"/>
      <c r="H13" s="1935" t="s">
        <v>34</v>
      </c>
      <c r="I13" s="1935" t="s">
        <v>2368</v>
      </c>
      <c r="J13" s="1935"/>
      <c r="K13" s="1935"/>
      <c r="L13" s="1935"/>
      <c r="M13" s="1935"/>
      <c r="N13" s="1935"/>
      <c r="O13" s="1935"/>
      <c r="P13" s="1935"/>
      <c r="Q13" s="1935"/>
      <c r="R13" s="2054"/>
      <c r="S13" s="2054"/>
      <c r="T13" s="2078"/>
      <c r="U13" s="2078"/>
      <c r="V13" s="2054"/>
      <c r="W13" s="2054"/>
      <c r="X13" s="2078"/>
      <c r="Y13" s="2078"/>
      <c r="Z13" s="1941"/>
      <c r="AA13" s="1932"/>
      <c r="AB13" s="1932"/>
      <c r="AC13" s="1932"/>
      <c r="AD13" s="1932"/>
      <c r="AE13" s="1932"/>
      <c r="AF13" s="1932"/>
      <c r="AG13" s="1932"/>
      <c r="AH13" s="1932"/>
      <c r="AI13" s="1932"/>
      <c r="AJ13" s="1932"/>
      <c r="AK13" s="1932"/>
      <c r="AL13" s="1935"/>
      <c r="AO13" s="1935"/>
    </row>
    <row r="14" spans="1:42" ht="41.25" customHeight="1" x14ac:dyDescent="0.25">
      <c r="A14" s="1935"/>
      <c r="B14" s="1319"/>
      <c r="C14" s="1935"/>
      <c r="D14" s="1935"/>
      <c r="E14" s="1935"/>
      <c r="F14" s="1935"/>
      <c r="G14" s="1935"/>
      <c r="H14" s="1935"/>
      <c r="I14" s="1935"/>
      <c r="J14" s="1935"/>
      <c r="K14" s="1935"/>
      <c r="L14" s="1935"/>
      <c r="M14" s="1935"/>
      <c r="N14" s="1935"/>
      <c r="O14" s="1935"/>
      <c r="P14" s="1935"/>
      <c r="Q14" s="1935"/>
      <c r="R14" s="2054"/>
      <c r="S14" s="2054"/>
      <c r="T14" s="2078"/>
      <c r="U14" s="2078"/>
      <c r="V14" s="2054"/>
      <c r="W14" s="2054"/>
      <c r="X14" s="2078"/>
      <c r="Y14" s="2078"/>
      <c r="Z14" s="1941"/>
      <c r="AA14" s="1932"/>
      <c r="AB14" s="1932"/>
      <c r="AC14" s="1932"/>
      <c r="AD14" s="1932"/>
      <c r="AE14" s="1932"/>
      <c r="AF14" s="1932"/>
      <c r="AG14" s="1932"/>
      <c r="AH14" s="1932"/>
      <c r="AI14" s="1932"/>
      <c r="AJ14" s="1932"/>
      <c r="AK14" s="1932"/>
      <c r="AL14" s="1935"/>
      <c r="AO14" s="1935"/>
    </row>
    <row r="15" spans="1:42" ht="16.5" x14ac:dyDescent="0.25">
      <c r="A15" s="18">
        <v>1</v>
      </c>
      <c r="B15" s="18"/>
      <c r="C15" s="18">
        <v>2</v>
      </c>
      <c r="D15" s="18">
        <v>3</v>
      </c>
      <c r="E15" s="18">
        <v>4</v>
      </c>
      <c r="F15" s="18">
        <v>5</v>
      </c>
      <c r="G15" s="18">
        <v>6</v>
      </c>
      <c r="H15" s="18">
        <v>7</v>
      </c>
      <c r="I15" s="18">
        <v>8</v>
      </c>
      <c r="J15" s="18">
        <v>9</v>
      </c>
      <c r="K15" s="18">
        <v>10</v>
      </c>
      <c r="L15" s="18">
        <v>11</v>
      </c>
      <c r="M15" s="18">
        <v>12</v>
      </c>
      <c r="N15" s="18">
        <v>9</v>
      </c>
      <c r="O15" s="18">
        <v>10</v>
      </c>
      <c r="P15" s="18">
        <v>13</v>
      </c>
      <c r="Q15" s="18">
        <v>14</v>
      </c>
      <c r="R15" s="18">
        <v>13</v>
      </c>
      <c r="S15" s="18">
        <v>14</v>
      </c>
      <c r="T15" s="18">
        <v>13</v>
      </c>
      <c r="U15" s="18">
        <v>14</v>
      </c>
      <c r="V15" s="18">
        <v>15</v>
      </c>
      <c r="W15" s="18">
        <v>16</v>
      </c>
      <c r="X15" s="18">
        <v>17</v>
      </c>
      <c r="Y15" s="18">
        <v>18</v>
      </c>
      <c r="Z15" s="18">
        <v>15</v>
      </c>
      <c r="AA15" s="18">
        <v>16</v>
      </c>
      <c r="AB15" s="18">
        <v>17</v>
      </c>
      <c r="AC15" s="18">
        <v>18</v>
      </c>
      <c r="AD15" s="18"/>
      <c r="AE15" s="18"/>
      <c r="AF15" s="18"/>
      <c r="AG15" s="18"/>
      <c r="AH15" s="18"/>
      <c r="AI15" s="18"/>
      <c r="AJ15" s="18"/>
      <c r="AK15" s="18"/>
      <c r="AL15" s="18">
        <v>19</v>
      </c>
      <c r="AM15" s="89">
        <v>1</v>
      </c>
    </row>
    <row r="16" spans="1:42" ht="16.5" x14ac:dyDescent="0.25">
      <c r="A16" s="18"/>
      <c r="B16" s="18"/>
      <c r="C16" s="20" t="s">
        <v>38</v>
      </c>
      <c r="D16" s="18"/>
      <c r="E16" s="18"/>
      <c r="F16" s="18"/>
      <c r="G16" s="18"/>
      <c r="H16" s="1229">
        <f>H44+H411+H413</f>
        <v>3273216.9179192549</v>
      </c>
      <c r="I16" s="1229">
        <f>I44+I411+I413</f>
        <v>3348130.9179192549</v>
      </c>
      <c r="J16" s="1229">
        <f t="shared" ref="J16:Y16" si="0">J17+J44+J398+J411+J412+J413</f>
        <v>135000</v>
      </c>
      <c r="K16" s="1229">
        <f t="shared" si="0"/>
        <v>147200</v>
      </c>
      <c r="L16" s="1229">
        <f t="shared" si="0"/>
        <v>147200</v>
      </c>
      <c r="M16" s="1229">
        <f t="shared" si="0"/>
        <v>147200</v>
      </c>
      <c r="N16" s="1229">
        <f t="shared" si="0"/>
        <v>2905699.5238095238</v>
      </c>
      <c r="O16" s="1229">
        <f t="shared" si="0"/>
        <v>2851699.5238095238</v>
      </c>
      <c r="P16" s="1229">
        <f t="shared" si="0"/>
        <v>1619573</v>
      </c>
      <c r="Q16" s="1229">
        <f t="shared" si="0"/>
        <v>1619573</v>
      </c>
      <c r="R16" s="1229">
        <f t="shared" si="0"/>
        <v>378165</v>
      </c>
      <c r="S16" s="1229">
        <f t="shared" si="0"/>
        <v>378364.52380952379</v>
      </c>
      <c r="T16" s="1229">
        <f t="shared" si="0"/>
        <v>2981294</v>
      </c>
      <c r="U16" s="1229">
        <f t="shared" si="0"/>
        <v>2966294</v>
      </c>
      <c r="V16" s="1229">
        <f t="shared" si="0"/>
        <v>1348702</v>
      </c>
      <c r="W16" s="1229">
        <f t="shared" si="0"/>
        <v>152070</v>
      </c>
      <c r="X16" s="1229">
        <f t="shared" si="0"/>
        <v>4247671</v>
      </c>
      <c r="Y16" s="1229">
        <f t="shared" si="0"/>
        <v>4232071</v>
      </c>
      <c r="Z16" s="1229" t="e">
        <f>Z44+Z411+Z413</f>
        <v>#REF!</v>
      </c>
      <c r="AA16" s="1229" t="e">
        <f>AA44+AA411+AA413</f>
        <v>#REF!</v>
      </c>
      <c r="AB16" s="1229" t="e">
        <f>AB44+AB411+AB413</f>
        <v>#REF!</v>
      </c>
      <c r="AC16" s="1229" t="e">
        <f>AC44+AC411+AC413</f>
        <v>#REF!</v>
      </c>
      <c r="AD16" s="1229"/>
      <c r="AE16" s="1229"/>
      <c r="AF16" s="1229"/>
      <c r="AG16" s="1229"/>
      <c r="AH16" s="1229"/>
      <c r="AI16" s="1229"/>
      <c r="AJ16" s="1229"/>
      <c r="AK16" s="1229"/>
      <c r="AL16" s="18"/>
      <c r="AM16" s="1009">
        <f>IF(Y16-U16=0,0,1)</f>
        <v>1</v>
      </c>
      <c r="AN16" s="1009">
        <f>IF(Y16=0,0,1)</f>
        <v>1</v>
      </c>
      <c r="AO16" s="144"/>
      <c r="AP16" s="144"/>
    </row>
    <row r="17" spans="1:42" ht="33" x14ac:dyDescent="0.25">
      <c r="A17" s="23" t="s">
        <v>39</v>
      </c>
      <c r="B17" s="23"/>
      <c r="C17" s="24" t="s">
        <v>1868</v>
      </c>
      <c r="D17" s="25"/>
      <c r="E17" s="25"/>
      <c r="F17" s="25"/>
      <c r="G17" s="25"/>
      <c r="H17" s="1028"/>
      <c r="I17" s="1028"/>
      <c r="J17" s="1028"/>
      <c r="K17" s="1028"/>
      <c r="L17" s="26"/>
      <c r="M17" s="26"/>
      <c r="N17" s="26">
        <f>O17</f>
        <v>1230000</v>
      </c>
      <c r="O17" s="26">
        <f t="shared" ref="O17:S17" si="1">SUM(O18:O41)</f>
        <v>1230000</v>
      </c>
      <c r="P17" s="26">
        <f t="shared" si="1"/>
        <v>0</v>
      </c>
      <c r="Q17" s="26">
        <f t="shared" si="1"/>
        <v>0</v>
      </c>
      <c r="R17" s="26">
        <f t="shared" si="1"/>
        <v>0</v>
      </c>
      <c r="S17" s="26">
        <f t="shared" si="1"/>
        <v>0</v>
      </c>
      <c r="T17" s="26">
        <f t="shared" ref="T17:U17" si="2">T18+T20+T23+T26+T29+T32+T35+T38+T41</f>
        <v>1335794</v>
      </c>
      <c r="U17" s="26">
        <f t="shared" si="2"/>
        <v>1335794</v>
      </c>
      <c r="V17" s="26">
        <f>V18+V20+V23+V26+V29+V32+V35+V38+V41</f>
        <v>619003</v>
      </c>
      <c r="W17" s="26">
        <f t="shared" ref="W17" si="3">SUM(W18:W41)</f>
        <v>69145</v>
      </c>
      <c r="X17" s="26">
        <f t="shared" ref="X17:Y17" si="4">X18+X20+X23+X26+X29+X32+X35+X38+X41</f>
        <v>1954797</v>
      </c>
      <c r="Y17" s="26">
        <f t="shared" si="4"/>
        <v>1954797</v>
      </c>
      <c r="Z17" s="26"/>
      <c r="AA17" s="26"/>
      <c r="AB17" s="26"/>
      <c r="AC17" s="26"/>
      <c r="AD17" s="1028"/>
      <c r="AE17" s="1028"/>
      <c r="AF17" s="1028"/>
      <c r="AG17" s="1028"/>
      <c r="AH17" s="1028"/>
      <c r="AI17" s="1028"/>
      <c r="AJ17" s="1028"/>
      <c r="AK17" s="1028"/>
      <c r="AL17" s="27"/>
      <c r="AM17" s="1009">
        <f t="shared" ref="AM17:AM45" si="5">IF(Y17-U17=0,0,1)</f>
        <v>1</v>
      </c>
      <c r="AN17" s="1009">
        <f t="shared" ref="AN17:AN45" si="6">IF(Y17=0,0,1)</f>
        <v>1</v>
      </c>
      <c r="AO17" s="144"/>
      <c r="AP17" s="144"/>
    </row>
    <row r="18" spans="1:42" ht="16.5" hidden="1" x14ac:dyDescent="0.25">
      <c r="A18" s="749">
        <v>1</v>
      </c>
      <c r="B18" s="749"/>
      <c r="C18" s="290" t="s">
        <v>526</v>
      </c>
      <c r="D18" s="118"/>
      <c r="E18" s="118"/>
      <c r="F18" s="126"/>
      <c r="G18" s="118"/>
      <c r="H18" s="130"/>
      <c r="I18" s="130"/>
      <c r="J18" s="5"/>
      <c r="K18" s="5"/>
      <c r="L18" s="5"/>
      <c r="M18" s="5"/>
      <c r="N18" s="68">
        <f>O18</f>
        <v>135000</v>
      </c>
      <c r="O18" s="63">
        <v>135000</v>
      </c>
      <c r="P18" s="1069"/>
      <c r="Q18" s="1069"/>
      <c r="R18" s="54"/>
      <c r="S18" s="54"/>
      <c r="T18" s="487">
        <f>N18</f>
        <v>135000</v>
      </c>
      <c r="U18" s="487">
        <f>O18</f>
        <v>135000</v>
      </c>
      <c r="V18" s="54">
        <f>8738</f>
        <v>8738</v>
      </c>
      <c r="W18" s="54"/>
      <c r="X18" s="54">
        <f>Y18</f>
        <v>143738</v>
      </c>
      <c r="Y18" s="54">
        <f>V18+U18</f>
        <v>143738</v>
      </c>
      <c r="Z18" s="5"/>
      <c r="AA18" s="5"/>
      <c r="AB18" s="5"/>
      <c r="AC18" s="5"/>
      <c r="AD18" s="5"/>
      <c r="AE18" s="5"/>
      <c r="AF18" s="5"/>
      <c r="AG18" s="5"/>
      <c r="AH18" s="5"/>
      <c r="AI18" s="5"/>
      <c r="AJ18" s="5"/>
      <c r="AK18" s="5"/>
      <c r="AL18" s="1052"/>
      <c r="AM18" s="1009">
        <f t="shared" si="5"/>
        <v>1</v>
      </c>
      <c r="AN18" s="1009">
        <f t="shared" si="6"/>
        <v>1</v>
      </c>
    </row>
    <row r="19" spans="1:42" s="1332" customFormat="1" ht="49.5" hidden="1" x14ac:dyDescent="0.25">
      <c r="A19" s="1134"/>
      <c r="B19" s="1134"/>
      <c r="C19" s="1251" t="s">
        <v>2515</v>
      </c>
      <c r="D19" s="1252"/>
      <c r="E19" s="1252"/>
      <c r="F19" s="1253"/>
      <c r="G19" s="1252"/>
      <c r="H19" s="1254"/>
      <c r="I19" s="1254"/>
      <c r="J19" s="53"/>
      <c r="K19" s="53"/>
      <c r="L19" s="53"/>
      <c r="M19" s="53"/>
      <c r="N19" s="85"/>
      <c r="O19" s="86"/>
      <c r="P19" s="1255"/>
      <c r="Q19" s="1255"/>
      <c r="R19" s="1139"/>
      <c r="S19" s="1139"/>
      <c r="T19" s="1022"/>
      <c r="U19" s="1022"/>
      <c r="V19" s="1139">
        <v>8738</v>
      </c>
      <c r="W19" s="1139"/>
      <c r="X19" s="1139"/>
      <c r="Y19" s="1139"/>
      <c r="Z19" s="53"/>
      <c r="AA19" s="53"/>
      <c r="AB19" s="53"/>
      <c r="AC19" s="53"/>
      <c r="AD19" s="53"/>
      <c r="AE19" s="53"/>
      <c r="AF19" s="53"/>
      <c r="AG19" s="53"/>
      <c r="AH19" s="53"/>
      <c r="AI19" s="53"/>
      <c r="AJ19" s="53"/>
      <c r="AK19" s="53"/>
      <c r="AL19" s="1256"/>
      <c r="AM19" s="1257">
        <v>1</v>
      </c>
      <c r="AN19" s="1257">
        <v>1</v>
      </c>
    </row>
    <row r="20" spans="1:42" ht="16.5" x14ac:dyDescent="0.25">
      <c r="A20" s="749">
        <v>2</v>
      </c>
      <c r="B20" s="749"/>
      <c r="C20" s="290" t="s">
        <v>95</v>
      </c>
      <c r="D20" s="118"/>
      <c r="E20" s="118"/>
      <c r="F20" s="126"/>
      <c r="G20" s="118"/>
      <c r="H20" s="130"/>
      <c r="I20" s="130"/>
      <c r="J20" s="5"/>
      <c r="K20" s="5"/>
      <c r="L20" s="5"/>
      <c r="M20" s="5"/>
      <c r="N20" s="68">
        <f t="shared" ref="N20:N41" si="7">O20</f>
        <v>135000</v>
      </c>
      <c r="O20" s="63">
        <v>135000</v>
      </c>
      <c r="P20" s="1069"/>
      <c r="Q20" s="1069"/>
      <c r="R20" s="54"/>
      <c r="S20" s="54"/>
      <c r="T20" s="487">
        <v>168803</v>
      </c>
      <c r="U20" s="487">
        <v>168803</v>
      </c>
      <c r="V20" s="54">
        <v>15000</v>
      </c>
      <c r="W20" s="54"/>
      <c r="X20" s="54">
        <f>Y20</f>
        <v>183803</v>
      </c>
      <c r="Y20" s="54">
        <f>U20+V20</f>
        <v>183803</v>
      </c>
      <c r="Z20" s="5"/>
      <c r="AA20" s="5"/>
      <c r="AB20" s="5"/>
      <c r="AC20" s="5"/>
      <c r="AD20" s="5"/>
      <c r="AE20" s="5"/>
      <c r="AF20" s="5"/>
      <c r="AG20" s="5"/>
      <c r="AH20" s="5"/>
      <c r="AI20" s="5"/>
      <c r="AJ20" s="5"/>
      <c r="AK20" s="5"/>
      <c r="AL20" s="25"/>
      <c r="AM20" s="1009">
        <f t="shared" si="5"/>
        <v>1</v>
      </c>
      <c r="AN20" s="1009">
        <f t="shared" si="6"/>
        <v>1</v>
      </c>
    </row>
    <row r="21" spans="1:42" ht="49.5" x14ac:dyDescent="0.25">
      <c r="A21" s="749"/>
      <c r="B21" s="749"/>
      <c r="C21" s="1251" t="s">
        <v>2515</v>
      </c>
      <c r="D21" s="118"/>
      <c r="E21" s="118"/>
      <c r="F21" s="126"/>
      <c r="G21" s="118"/>
      <c r="H21" s="130"/>
      <c r="I21" s="130"/>
      <c r="J21" s="5"/>
      <c r="K21" s="5"/>
      <c r="L21" s="5"/>
      <c r="M21" s="5"/>
      <c r="N21" s="68"/>
      <c r="O21" s="63"/>
      <c r="P21" s="1069"/>
      <c r="Q21" s="1069"/>
      <c r="R21" s="54"/>
      <c r="S21" s="54"/>
      <c r="T21" s="487"/>
      <c r="U21" s="487"/>
      <c r="V21" s="1139"/>
      <c r="W21" s="54"/>
      <c r="X21" s="54"/>
      <c r="Y21" s="54"/>
      <c r="Z21" s="5"/>
      <c r="AA21" s="5"/>
      <c r="AB21" s="5"/>
      <c r="AC21" s="5"/>
      <c r="AD21" s="5"/>
      <c r="AE21" s="5"/>
      <c r="AF21" s="5"/>
      <c r="AG21" s="5"/>
      <c r="AH21" s="5"/>
      <c r="AI21" s="5"/>
      <c r="AJ21" s="5"/>
      <c r="AK21" s="5"/>
      <c r="AL21" s="25"/>
      <c r="AM21" s="1257">
        <v>1</v>
      </c>
      <c r="AN21" s="1257">
        <v>1</v>
      </c>
    </row>
    <row r="22" spans="1:42" s="1323" customFormat="1" ht="33" x14ac:dyDescent="0.25">
      <c r="A22" s="1280"/>
      <c r="B22" s="1280"/>
      <c r="C22" s="1281" t="s">
        <v>2509</v>
      </c>
      <c r="D22" s="350"/>
      <c r="E22" s="350"/>
      <c r="F22" s="1245"/>
      <c r="G22" s="350"/>
      <c r="H22" s="1246"/>
      <c r="I22" s="1246"/>
      <c r="J22" s="150"/>
      <c r="K22" s="150"/>
      <c r="L22" s="150"/>
      <c r="M22" s="150"/>
      <c r="N22" s="4"/>
      <c r="O22" s="3"/>
      <c r="P22" s="1144"/>
      <c r="Q22" s="1144"/>
      <c r="R22" s="8"/>
      <c r="S22" s="8"/>
      <c r="T22" s="490"/>
      <c r="U22" s="490"/>
      <c r="V22" s="1279"/>
      <c r="W22" s="8"/>
      <c r="X22" s="8"/>
      <c r="Y22" s="8"/>
      <c r="Z22" s="150"/>
      <c r="AA22" s="150"/>
      <c r="AB22" s="150"/>
      <c r="AC22" s="150"/>
      <c r="AD22" s="150"/>
      <c r="AE22" s="150"/>
      <c r="AF22" s="150"/>
      <c r="AG22" s="150"/>
      <c r="AH22" s="150"/>
      <c r="AI22" s="150"/>
      <c r="AJ22" s="150"/>
      <c r="AK22" s="150"/>
      <c r="AL22" s="334"/>
      <c r="AM22" s="1283">
        <v>1</v>
      </c>
      <c r="AN22" s="1283">
        <v>1</v>
      </c>
    </row>
    <row r="23" spans="1:42" ht="16.5" hidden="1" x14ac:dyDescent="0.25">
      <c r="A23" s="749">
        <v>3</v>
      </c>
      <c r="B23" s="749"/>
      <c r="C23" s="290" t="s">
        <v>99</v>
      </c>
      <c r="D23" s="118"/>
      <c r="E23" s="118"/>
      <c r="F23" s="126"/>
      <c r="G23" s="118"/>
      <c r="H23" s="130"/>
      <c r="I23" s="130"/>
      <c r="J23" s="5"/>
      <c r="K23" s="5"/>
      <c r="L23" s="5"/>
      <c r="M23" s="5"/>
      <c r="N23" s="68">
        <f t="shared" si="7"/>
        <v>138000</v>
      </c>
      <c r="O23" s="63">
        <v>138000</v>
      </c>
      <c r="P23" s="1069"/>
      <c r="Q23" s="1069"/>
      <c r="R23" s="54"/>
      <c r="S23" s="54"/>
      <c r="T23" s="487">
        <f t="shared" ref="T23:T41" si="8">N23</f>
        <v>138000</v>
      </c>
      <c r="U23" s="487">
        <f t="shared" ref="U23:U41" si="9">O23</f>
        <v>138000</v>
      </c>
      <c r="V23" s="54">
        <v>126104</v>
      </c>
      <c r="W23" s="54"/>
      <c r="X23" s="54">
        <f t="shared" ref="X23:X41" si="10">Y23</f>
        <v>264104</v>
      </c>
      <c r="Y23" s="54">
        <f t="shared" ref="Y23:Y41" si="11">V23+U23</f>
        <v>264104</v>
      </c>
      <c r="Z23" s="5"/>
      <c r="AA23" s="5"/>
      <c r="AB23" s="5"/>
      <c r="AC23" s="5"/>
      <c r="AD23" s="5"/>
      <c r="AE23" s="5"/>
      <c r="AF23" s="5"/>
      <c r="AG23" s="5"/>
      <c r="AH23" s="5"/>
      <c r="AI23" s="5"/>
      <c r="AJ23" s="5"/>
      <c r="AK23" s="5"/>
      <c r="AL23" s="1052"/>
      <c r="AM23" s="1009">
        <f t="shared" si="5"/>
        <v>1</v>
      </c>
      <c r="AN23" s="1009">
        <f t="shared" si="6"/>
        <v>1</v>
      </c>
    </row>
    <row r="24" spans="1:42" ht="49.5" hidden="1" x14ac:dyDescent="0.25">
      <c r="A24" s="749"/>
      <c r="B24" s="749"/>
      <c r="C24" s="1251" t="s">
        <v>2515</v>
      </c>
      <c r="D24" s="118"/>
      <c r="E24" s="118"/>
      <c r="F24" s="126"/>
      <c r="G24" s="118"/>
      <c r="H24" s="130"/>
      <c r="I24" s="130"/>
      <c r="J24" s="5"/>
      <c r="K24" s="5"/>
      <c r="L24" s="5"/>
      <c r="M24" s="5"/>
      <c r="N24" s="68"/>
      <c r="O24" s="63"/>
      <c r="P24" s="1069"/>
      <c r="Q24" s="1069"/>
      <c r="R24" s="54"/>
      <c r="S24" s="54"/>
      <c r="T24" s="487"/>
      <c r="U24" s="487"/>
      <c r="V24" s="1139">
        <v>79104</v>
      </c>
      <c r="W24" s="54"/>
      <c r="X24" s="54"/>
      <c r="Y24" s="54"/>
      <c r="Z24" s="5"/>
      <c r="AA24" s="5"/>
      <c r="AB24" s="5"/>
      <c r="AC24" s="5"/>
      <c r="AD24" s="5"/>
      <c r="AE24" s="5"/>
      <c r="AF24" s="5"/>
      <c r="AG24" s="5"/>
      <c r="AH24" s="5"/>
      <c r="AI24" s="5"/>
      <c r="AJ24" s="5"/>
      <c r="AK24" s="5"/>
      <c r="AL24" s="1052"/>
      <c r="AM24" s="1257">
        <v>1</v>
      </c>
      <c r="AN24" s="1257">
        <v>1</v>
      </c>
    </row>
    <row r="25" spans="1:42" ht="33" hidden="1" x14ac:dyDescent="0.25">
      <c r="A25" s="749"/>
      <c r="B25" s="749"/>
      <c r="C25" s="1281" t="s">
        <v>2510</v>
      </c>
      <c r="D25" s="118"/>
      <c r="E25" s="118"/>
      <c r="F25" s="126"/>
      <c r="G25" s="118"/>
      <c r="H25" s="130"/>
      <c r="I25" s="130"/>
      <c r="J25" s="5"/>
      <c r="K25" s="5"/>
      <c r="L25" s="5"/>
      <c r="M25" s="5"/>
      <c r="N25" s="68"/>
      <c r="O25" s="63"/>
      <c r="P25" s="1069"/>
      <c r="Q25" s="1069"/>
      <c r="R25" s="54"/>
      <c r="S25" s="54"/>
      <c r="T25" s="487"/>
      <c r="U25" s="487"/>
      <c r="V25" s="1139">
        <v>47000</v>
      </c>
      <c r="W25" s="54"/>
      <c r="X25" s="54"/>
      <c r="Y25" s="54"/>
      <c r="Z25" s="5"/>
      <c r="AA25" s="5"/>
      <c r="AB25" s="5"/>
      <c r="AC25" s="5"/>
      <c r="AD25" s="5"/>
      <c r="AE25" s="5"/>
      <c r="AF25" s="5"/>
      <c r="AG25" s="5"/>
      <c r="AH25" s="5"/>
      <c r="AI25" s="5"/>
      <c r="AJ25" s="5"/>
      <c r="AK25" s="5"/>
      <c r="AL25" s="1052"/>
      <c r="AM25" s="1257">
        <v>1</v>
      </c>
      <c r="AN25" s="1257">
        <v>1</v>
      </c>
    </row>
    <row r="26" spans="1:42" ht="16.5" hidden="1" x14ac:dyDescent="0.25">
      <c r="A26" s="749">
        <v>4</v>
      </c>
      <c r="B26" s="749"/>
      <c r="C26" s="290" t="s">
        <v>230</v>
      </c>
      <c r="D26" s="118"/>
      <c r="E26" s="118"/>
      <c r="F26" s="126"/>
      <c r="G26" s="118"/>
      <c r="H26" s="130"/>
      <c r="I26" s="130"/>
      <c r="J26" s="5"/>
      <c r="K26" s="5"/>
      <c r="L26" s="5"/>
      <c r="M26" s="5"/>
      <c r="N26" s="68">
        <f t="shared" si="7"/>
        <v>135000</v>
      </c>
      <c r="O26" s="63">
        <v>135000</v>
      </c>
      <c r="P26" s="1069"/>
      <c r="Q26" s="1069"/>
      <c r="R26" s="54"/>
      <c r="S26" s="54"/>
      <c r="T26" s="487">
        <f t="shared" si="8"/>
        <v>135000</v>
      </c>
      <c r="U26" s="487">
        <f t="shared" si="9"/>
        <v>135000</v>
      </c>
      <c r="V26" s="54">
        <f>12156+72394+3800+15975+2250+19693-73</f>
        <v>126195</v>
      </c>
      <c r="W26" s="54"/>
      <c r="X26" s="54">
        <f t="shared" si="10"/>
        <v>261195</v>
      </c>
      <c r="Y26" s="54">
        <f t="shared" si="11"/>
        <v>261195</v>
      </c>
      <c r="Z26" s="5"/>
      <c r="AA26" s="5"/>
      <c r="AB26" s="5"/>
      <c r="AC26" s="5"/>
      <c r="AD26" s="5"/>
      <c r="AE26" s="5"/>
      <c r="AF26" s="5"/>
      <c r="AG26" s="5"/>
      <c r="AH26" s="5"/>
      <c r="AI26" s="5"/>
      <c r="AJ26" s="5"/>
      <c r="AK26" s="5"/>
      <c r="AL26" s="1052"/>
      <c r="AM26" s="1009">
        <f t="shared" si="5"/>
        <v>1</v>
      </c>
      <c r="AN26" s="1009">
        <f t="shared" si="6"/>
        <v>1</v>
      </c>
    </row>
    <row r="27" spans="1:42" ht="49.5" hidden="1" x14ac:dyDescent="0.25">
      <c r="A27" s="749"/>
      <c r="B27" s="749"/>
      <c r="C27" s="1251" t="s">
        <v>2515</v>
      </c>
      <c r="D27" s="118"/>
      <c r="E27" s="118"/>
      <c r="F27" s="126"/>
      <c r="G27" s="118"/>
      <c r="H27" s="130"/>
      <c r="I27" s="130"/>
      <c r="J27" s="5"/>
      <c r="K27" s="5"/>
      <c r="L27" s="5"/>
      <c r="M27" s="5"/>
      <c r="N27" s="68"/>
      <c r="O27" s="63"/>
      <c r="P27" s="1069"/>
      <c r="Q27" s="1069"/>
      <c r="R27" s="54"/>
      <c r="S27" s="54"/>
      <c r="T27" s="487"/>
      <c r="U27" s="487"/>
      <c r="V27" s="1139">
        <f>V26-V28</f>
        <v>53801</v>
      </c>
      <c r="W27" s="54"/>
      <c r="X27" s="54"/>
      <c r="Y27" s="54"/>
      <c r="Z27" s="5"/>
      <c r="AA27" s="5"/>
      <c r="AB27" s="5"/>
      <c r="AC27" s="5"/>
      <c r="AD27" s="5"/>
      <c r="AE27" s="5"/>
      <c r="AF27" s="5"/>
      <c r="AG27" s="5"/>
      <c r="AH27" s="5"/>
      <c r="AI27" s="5"/>
      <c r="AJ27" s="5"/>
      <c r="AK27" s="5"/>
      <c r="AL27" s="1052"/>
      <c r="AM27" s="1257">
        <v>1</v>
      </c>
      <c r="AN27" s="1257">
        <v>1</v>
      </c>
    </row>
    <row r="28" spans="1:42" s="1323" customFormat="1" ht="16.5" hidden="1" x14ac:dyDescent="0.25">
      <c r="A28" s="1280"/>
      <c r="B28" s="1280"/>
      <c r="C28" s="1281" t="s">
        <v>2508</v>
      </c>
      <c r="D28" s="350"/>
      <c r="E28" s="350"/>
      <c r="F28" s="1245"/>
      <c r="G28" s="350"/>
      <c r="H28" s="1246"/>
      <c r="I28" s="1246"/>
      <c r="J28" s="150"/>
      <c r="K28" s="150"/>
      <c r="L28" s="150"/>
      <c r="M28" s="150"/>
      <c r="N28" s="4"/>
      <c r="O28" s="3"/>
      <c r="P28" s="1144"/>
      <c r="Q28" s="1144"/>
      <c r="R28" s="8"/>
      <c r="S28" s="8"/>
      <c r="T28" s="490"/>
      <c r="U28" s="490"/>
      <c r="V28" s="1279">
        <v>72394</v>
      </c>
      <c r="W28" s="8"/>
      <c r="X28" s="8"/>
      <c r="Y28" s="8"/>
      <c r="Z28" s="150"/>
      <c r="AA28" s="150"/>
      <c r="AB28" s="150"/>
      <c r="AC28" s="150"/>
      <c r="AD28" s="150"/>
      <c r="AE28" s="150"/>
      <c r="AF28" s="150"/>
      <c r="AG28" s="150"/>
      <c r="AH28" s="150"/>
      <c r="AI28" s="150"/>
      <c r="AJ28" s="150"/>
      <c r="AK28" s="150"/>
      <c r="AL28" s="1282"/>
      <c r="AM28" s="1283">
        <v>1</v>
      </c>
      <c r="AN28" s="1283">
        <v>1</v>
      </c>
    </row>
    <row r="29" spans="1:42" ht="16.5" x14ac:dyDescent="0.25">
      <c r="A29" s="749">
        <v>5</v>
      </c>
      <c r="B29" s="749"/>
      <c r="C29" s="290" t="s">
        <v>146</v>
      </c>
      <c r="D29" s="118"/>
      <c r="E29" s="118"/>
      <c r="F29" s="126"/>
      <c r="G29" s="118"/>
      <c r="H29" s="130"/>
      <c r="I29" s="130"/>
      <c r="J29" s="5"/>
      <c r="K29" s="5"/>
      <c r="L29" s="5"/>
      <c r="M29" s="5"/>
      <c r="N29" s="68">
        <f t="shared" si="7"/>
        <v>138000</v>
      </c>
      <c r="O29" s="63">
        <v>138000</v>
      </c>
      <c r="P29" s="1069"/>
      <c r="Q29" s="1069"/>
      <c r="R29" s="54"/>
      <c r="S29" s="54"/>
      <c r="T29" s="487">
        <f>U29</f>
        <v>209991</v>
      </c>
      <c r="U29" s="487">
        <v>209991</v>
      </c>
      <c r="V29" s="54">
        <v>7000</v>
      </c>
      <c r="W29" s="54"/>
      <c r="X29" s="54">
        <f t="shared" si="10"/>
        <v>216991</v>
      </c>
      <c r="Y29" s="54">
        <f t="shared" si="11"/>
        <v>216991</v>
      </c>
      <c r="Z29" s="5"/>
      <c r="AA29" s="5"/>
      <c r="AB29" s="5"/>
      <c r="AC29" s="5"/>
      <c r="AD29" s="5"/>
      <c r="AE29" s="5"/>
      <c r="AF29" s="5"/>
      <c r="AG29" s="5"/>
      <c r="AH29" s="5"/>
      <c r="AI29" s="5"/>
      <c r="AJ29" s="5"/>
      <c r="AK29" s="5"/>
      <c r="AL29" s="1052"/>
      <c r="AM29" s="1009">
        <f t="shared" si="5"/>
        <v>1</v>
      </c>
      <c r="AN29" s="1009">
        <f t="shared" si="6"/>
        <v>1</v>
      </c>
    </row>
    <row r="30" spans="1:42" ht="49.5" x14ac:dyDescent="0.25">
      <c r="A30" s="749"/>
      <c r="B30" s="749"/>
      <c r="C30" s="1251" t="s">
        <v>2515</v>
      </c>
      <c r="D30" s="118"/>
      <c r="E30" s="118"/>
      <c r="F30" s="126"/>
      <c r="G30" s="118"/>
      <c r="H30" s="130"/>
      <c r="I30" s="130"/>
      <c r="J30" s="5"/>
      <c r="K30" s="5"/>
      <c r="L30" s="5"/>
      <c r="M30" s="5"/>
      <c r="N30" s="68"/>
      <c r="O30" s="63"/>
      <c r="P30" s="1069"/>
      <c r="Q30" s="1069"/>
      <c r="R30" s="54"/>
      <c r="S30" s="54"/>
      <c r="T30" s="487"/>
      <c r="U30" s="487"/>
      <c r="V30" s="1139"/>
      <c r="W30" s="54"/>
      <c r="X30" s="54"/>
      <c r="Y30" s="54"/>
      <c r="Z30" s="5"/>
      <c r="AA30" s="5"/>
      <c r="AB30" s="5"/>
      <c r="AC30" s="5"/>
      <c r="AD30" s="5"/>
      <c r="AE30" s="5"/>
      <c r="AF30" s="5"/>
      <c r="AG30" s="5"/>
      <c r="AH30" s="5"/>
      <c r="AI30" s="5"/>
      <c r="AJ30" s="5"/>
      <c r="AK30" s="5"/>
      <c r="AL30" s="1052"/>
      <c r="AM30" s="1257">
        <v>1</v>
      </c>
      <c r="AN30" s="1257">
        <v>1</v>
      </c>
    </row>
    <row r="31" spans="1:42" s="1323" customFormat="1" ht="33" x14ac:dyDescent="0.25">
      <c r="A31" s="1280"/>
      <c r="B31" s="1280"/>
      <c r="C31" s="1281" t="s">
        <v>2507</v>
      </c>
      <c r="D31" s="350"/>
      <c r="E31" s="350"/>
      <c r="F31" s="1245"/>
      <c r="G31" s="350"/>
      <c r="H31" s="1246"/>
      <c r="I31" s="1246"/>
      <c r="J31" s="150"/>
      <c r="K31" s="150"/>
      <c r="L31" s="150"/>
      <c r="M31" s="150"/>
      <c r="N31" s="4"/>
      <c r="O31" s="3"/>
      <c r="P31" s="1144"/>
      <c r="Q31" s="1144"/>
      <c r="R31" s="8"/>
      <c r="S31" s="8"/>
      <c r="T31" s="490"/>
      <c r="U31" s="490"/>
      <c r="V31" s="1279"/>
      <c r="W31" s="8"/>
      <c r="X31" s="8"/>
      <c r="Y31" s="8"/>
      <c r="Z31" s="150"/>
      <c r="AA31" s="150"/>
      <c r="AB31" s="150"/>
      <c r="AC31" s="150"/>
      <c r="AD31" s="150"/>
      <c r="AE31" s="150"/>
      <c r="AF31" s="150"/>
      <c r="AG31" s="150"/>
      <c r="AH31" s="150"/>
      <c r="AI31" s="150"/>
      <c r="AJ31" s="150"/>
      <c r="AK31" s="150"/>
      <c r="AL31" s="1282"/>
      <c r="AM31" s="1283">
        <v>1</v>
      </c>
      <c r="AN31" s="1283">
        <v>1</v>
      </c>
      <c r="AP31" s="1333"/>
    </row>
    <row r="32" spans="1:42" ht="16.5" hidden="1" x14ac:dyDescent="0.25">
      <c r="A32" s="749">
        <v>6</v>
      </c>
      <c r="B32" s="749"/>
      <c r="C32" s="290" t="s">
        <v>194</v>
      </c>
      <c r="D32" s="118"/>
      <c r="E32" s="118"/>
      <c r="F32" s="126"/>
      <c r="G32" s="118"/>
      <c r="H32" s="130"/>
      <c r="I32" s="130"/>
      <c r="J32" s="5"/>
      <c r="K32" s="5"/>
      <c r="L32" s="5"/>
      <c r="M32" s="5"/>
      <c r="N32" s="68">
        <f t="shared" si="7"/>
        <v>135000</v>
      </c>
      <c r="O32" s="63">
        <v>135000</v>
      </c>
      <c r="P32" s="1069"/>
      <c r="Q32" s="1069"/>
      <c r="R32" s="54"/>
      <c r="S32" s="54"/>
      <c r="T32" s="487">
        <f t="shared" si="8"/>
        <v>135000</v>
      </c>
      <c r="U32" s="487">
        <f t="shared" si="9"/>
        <v>135000</v>
      </c>
      <c r="V32" s="54">
        <f>3700+65000+6419</f>
        <v>75119</v>
      </c>
      <c r="W32" s="54"/>
      <c r="X32" s="54">
        <f t="shared" si="10"/>
        <v>210119</v>
      </c>
      <c r="Y32" s="54">
        <f t="shared" si="11"/>
        <v>210119</v>
      </c>
      <c r="Z32" s="5"/>
      <c r="AA32" s="5"/>
      <c r="AB32" s="5"/>
      <c r="AC32" s="5"/>
      <c r="AD32" s="5"/>
      <c r="AE32" s="5"/>
      <c r="AF32" s="5"/>
      <c r="AG32" s="5"/>
      <c r="AH32" s="5"/>
      <c r="AI32" s="5"/>
      <c r="AJ32" s="5"/>
      <c r="AK32" s="5"/>
      <c r="AL32" s="1052"/>
      <c r="AM32" s="1009">
        <f t="shared" si="5"/>
        <v>1</v>
      </c>
      <c r="AN32" s="1009">
        <f t="shared" si="6"/>
        <v>1</v>
      </c>
    </row>
    <row r="33" spans="1:43" ht="49.5" hidden="1" x14ac:dyDescent="0.25">
      <c r="A33" s="749"/>
      <c r="B33" s="749"/>
      <c r="C33" s="1251" t="s">
        <v>2515</v>
      </c>
      <c r="D33" s="118"/>
      <c r="E33" s="118"/>
      <c r="F33" s="126"/>
      <c r="G33" s="118"/>
      <c r="H33" s="130"/>
      <c r="I33" s="130"/>
      <c r="J33" s="5"/>
      <c r="K33" s="5"/>
      <c r="L33" s="5"/>
      <c r="M33" s="5"/>
      <c r="N33" s="68"/>
      <c r="O33" s="63"/>
      <c r="P33" s="1069"/>
      <c r="Q33" s="1069"/>
      <c r="R33" s="54"/>
      <c r="S33" s="54"/>
      <c r="T33" s="487"/>
      <c r="U33" s="487"/>
      <c r="V33" s="1139">
        <f>V32-V34</f>
        <v>10119</v>
      </c>
      <c r="W33" s="54"/>
      <c r="X33" s="54"/>
      <c r="Y33" s="54"/>
      <c r="Z33" s="5"/>
      <c r="AA33" s="5"/>
      <c r="AB33" s="5"/>
      <c r="AC33" s="5"/>
      <c r="AD33" s="5"/>
      <c r="AE33" s="5"/>
      <c r="AF33" s="5"/>
      <c r="AG33" s="5"/>
      <c r="AH33" s="5"/>
      <c r="AI33" s="5"/>
      <c r="AJ33" s="5"/>
      <c r="AK33" s="5"/>
      <c r="AL33" s="1052"/>
      <c r="AM33" s="1257">
        <v>1</v>
      </c>
      <c r="AN33" s="1257">
        <v>1</v>
      </c>
      <c r="AP33" s="1333"/>
    </row>
    <row r="34" spans="1:43" s="1323" customFormat="1" ht="33" hidden="1" x14ac:dyDescent="0.25">
      <c r="A34" s="1280"/>
      <c r="B34" s="1280"/>
      <c r="C34" s="1281" t="s">
        <v>2506</v>
      </c>
      <c r="D34" s="350"/>
      <c r="E34" s="350"/>
      <c r="F34" s="1245"/>
      <c r="G34" s="350"/>
      <c r="H34" s="1246"/>
      <c r="I34" s="1246"/>
      <c r="J34" s="150"/>
      <c r="K34" s="150"/>
      <c r="L34" s="150"/>
      <c r="M34" s="150"/>
      <c r="N34" s="4"/>
      <c r="O34" s="3"/>
      <c r="P34" s="1144"/>
      <c r="Q34" s="1144"/>
      <c r="R34" s="8"/>
      <c r="S34" s="8"/>
      <c r="T34" s="490"/>
      <c r="U34" s="490"/>
      <c r="V34" s="1279">
        <v>65000</v>
      </c>
      <c r="W34" s="8"/>
      <c r="X34" s="8"/>
      <c r="Y34" s="8"/>
      <c r="Z34" s="150"/>
      <c r="AA34" s="150"/>
      <c r="AB34" s="150"/>
      <c r="AC34" s="150"/>
      <c r="AD34" s="150"/>
      <c r="AE34" s="150"/>
      <c r="AF34" s="150"/>
      <c r="AG34" s="150"/>
      <c r="AH34" s="150"/>
      <c r="AI34" s="150"/>
      <c r="AJ34" s="150"/>
      <c r="AK34" s="150"/>
      <c r="AL34" s="1282"/>
      <c r="AM34" s="1283">
        <v>1</v>
      </c>
      <c r="AN34" s="1283">
        <v>1</v>
      </c>
      <c r="AP34" s="1333"/>
    </row>
    <row r="35" spans="1:43" ht="16.5" hidden="1" x14ac:dyDescent="0.25">
      <c r="A35" s="749">
        <v>7</v>
      </c>
      <c r="B35" s="749"/>
      <c r="C35" s="290" t="s">
        <v>205</v>
      </c>
      <c r="D35" s="118"/>
      <c r="E35" s="118"/>
      <c r="F35" s="126"/>
      <c r="G35" s="118"/>
      <c r="H35" s="130"/>
      <c r="I35" s="130"/>
      <c r="J35" s="5"/>
      <c r="K35" s="5"/>
      <c r="L35" s="5"/>
      <c r="M35" s="5"/>
      <c r="N35" s="68">
        <f t="shared" si="7"/>
        <v>138000</v>
      </c>
      <c r="O35" s="63">
        <v>138000</v>
      </c>
      <c r="P35" s="1069"/>
      <c r="Q35" s="1069"/>
      <c r="R35" s="54"/>
      <c r="S35" s="54"/>
      <c r="T35" s="487">
        <f t="shared" si="8"/>
        <v>138000</v>
      </c>
      <c r="U35" s="487">
        <f t="shared" si="9"/>
        <v>138000</v>
      </c>
      <c r="V35" s="54">
        <f>56000+3760+24970</f>
        <v>84730</v>
      </c>
      <c r="W35" s="54"/>
      <c r="X35" s="54">
        <f t="shared" si="10"/>
        <v>222730</v>
      </c>
      <c r="Y35" s="54">
        <f t="shared" si="11"/>
        <v>222730</v>
      </c>
      <c r="Z35" s="5"/>
      <c r="AA35" s="5"/>
      <c r="AB35" s="5"/>
      <c r="AC35" s="5"/>
      <c r="AD35" s="5"/>
      <c r="AE35" s="5"/>
      <c r="AF35" s="5"/>
      <c r="AG35" s="5"/>
      <c r="AH35" s="5"/>
      <c r="AI35" s="5"/>
      <c r="AJ35" s="5"/>
      <c r="AK35" s="5"/>
      <c r="AL35" s="1052"/>
      <c r="AM35" s="1009">
        <f t="shared" si="5"/>
        <v>1</v>
      </c>
      <c r="AN35" s="1009">
        <f t="shared" si="6"/>
        <v>1</v>
      </c>
    </row>
    <row r="36" spans="1:43" ht="49.5" hidden="1" x14ac:dyDescent="0.25">
      <c r="A36" s="749"/>
      <c r="B36" s="749"/>
      <c r="C36" s="1251" t="s">
        <v>2515</v>
      </c>
      <c r="D36" s="118"/>
      <c r="E36" s="118"/>
      <c r="F36" s="126"/>
      <c r="G36" s="118"/>
      <c r="H36" s="130"/>
      <c r="I36" s="130"/>
      <c r="J36" s="5"/>
      <c r="K36" s="5"/>
      <c r="L36" s="5"/>
      <c r="M36" s="5"/>
      <c r="N36" s="68"/>
      <c r="O36" s="63"/>
      <c r="P36" s="1069"/>
      <c r="Q36" s="1069"/>
      <c r="R36" s="54"/>
      <c r="S36" s="54"/>
      <c r="T36" s="487"/>
      <c r="U36" s="487"/>
      <c r="V36" s="1139">
        <f>V35-V37</f>
        <v>28730</v>
      </c>
      <c r="W36" s="54"/>
      <c r="X36" s="54"/>
      <c r="Y36" s="54"/>
      <c r="Z36" s="5"/>
      <c r="AA36" s="5"/>
      <c r="AB36" s="5"/>
      <c r="AC36" s="5"/>
      <c r="AD36" s="5"/>
      <c r="AE36" s="5"/>
      <c r="AF36" s="5"/>
      <c r="AG36" s="5"/>
      <c r="AH36" s="5"/>
      <c r="AI36" s="5"/>
      <c r="AJ36" s="5"/>
      <c r="AK36" s="5"/>
      <c r="AL36" s="1052"/>
      <c r="AM36" s="1257">
        <v>1</v>
      </c>
      <c r="AN36" s="1257">
        <v>1</v>
      </c>
    </row>
    <row r="37" spans="1:43" s="1323" customFormat="1" ht="33" hidden="1" x14ac:dyDescent="0.25">
      <c r="A37" s="1280"/>
      <c r="B37" s="1280"/>
      <c r="C37" s="1281" t="s">
        <v>2505</v>
      </c>
      <c r="D37" s="350"/>
      <c r="E37" s="350"/>
      <c r="F37" s="1245"/>
      <c r="G37" s="350"/>
      <c r="H37" s="1246"/>
      <c r="I37" s="1246"/>
      <c r="J37" s="150"/>
      <c r="K37" s="150"/>
      <c r="L37" s="150"/>
      <c r="M37" s="150"/>
      <c r="N37" s="4"/>
      <c r="O37" s="3"/>
      <c r="P37" s="1144"/>
      <c r="Q37" s="1144"/>
      <c r="R37" s="8"/>
      <c r="S37" s="8"/>
      <c r="T37" s="490"/>
      <c r="U37" s="490"/>
      <c r="V37" s="1279">
        <v>56000</v>
      </c>
      <c r="W37" s="8"/>
      <c r="X37" s="8"/>
      <c r="Y37" s="8"/>
      <c r="Z37" s="150"/>
      <c r="AA37" s="150"/>
      <c r="AB37" s="150"/>
      <c r="AC37" s="150"/>
      <c r="AD37" s="150"/>
      <c r="AE37" s="150"/>
      <c r="AF37" s="150"/>
      <c r="AG37" s="150"/>
      <c r="AH37" s="150"/>
      <c r="AI37" s="150"/>
      <c r="AJ37" s="150"/>
      <c r="AK37" s="150"/>
      <c r="AL37" s="1282"/>
      <c r="AM37" s="1283">
        <v>1</v>
      </c>
      <c r="AN37" s="1283">
        <v>1</v>
      </c>
    </row>
    <row r="38" spans="1:43" ht="16.5" hidden="1" x14ac:dyDescent="0.25">
      <c r="A38" s="749">
        <v>8</v>
      </c>
      <c r="B38" s="749"/>
      <c r="C38" s="290" t="s">
        <v>52</v>
      </c>
      <c r="D38" s="118"/>
      <c r="E38" s="118"/>
      <c r="F38" s="126"/>
      <c r="G38" s="118"/>
      <c r="H38" s="130"/>
      <c r="I38" s="130"/>
      <c r="J38" s="5"/>
      <c r="K38" s="5"/>
      <c r="L38" s="5"/>
      <c r="M38" s="5"/>
      <c r="N38" s="68">
        <f t="shared" si="7"/>
        <v>138000</v>
      </c>
      <c r="O38" s="63">
        <v>138000</v>
      </c>
      <c r="P38" s="1069"/>
      <c r="Q38" s="1069"/>
      <c r="R38" s="54"/>
      <c r="S38" s="54"/>
      <c r="T38" s="487">
        <f t="shared" si="8"/>
        <v>138000</v>
      </c>
      <c r="U38" s="487">
        <f t="shared" si="9"/>
        <v>138000</v>
      </c>
      <c r="V38" s="54">
        <f>38861+12550+11711</f>
        <v>63122</v>
      </c>
      <c r="W38" s="54"/>
      <c r="X38" s="54">
        <f t="shared" si="10"/>
        <v>201122</v>
      </c>
      <c r="Y38" s="54">
        <f t="shared" si="11"/>
        <v>201122</v>
      </c>
      <c r="Z38" s="5"/>
      <c r="AA38" s="5"/>
      <c r="AB38" s="5"/>
      <c r="AC38" s="5"/>
      <c r="AD38" s="5"/>
      <c r="AE38" s="5"/>
      <c r="AF38" s="5"/>
      <c r="AG38" s="5"/>
      <c r="AH38" s="5"/>
      <c r="AI38" s="5"/>
      <c r="AJ38" s="5"/>
      <c r="AK38" s="5"/>
      <c r="AL38" s="1052"/>
      <c r="AM38" s="1009">
        <f t="shared" si="5"/>
        <v>1</v>
      </c>
      <c r="AN38" s="1009">
        <f t="shared" si="6"/>
        <v>1</v>
      </c>
    </row>
    <row r="39" spans="1:43" ht="49.5" hidden="1" x14ac:dyDescent="0.25">
      <c r="A39" s="749"/>
      <c r="B39" s="749"/>
      <c r="C39" s="1251" t="s">
        <v>2515</v>
      </c>
      <c r="D39" s="118"/>
      <c r="E39" s="118"/>
      <c r="F39" s="126"/>
      <c r="G39" s="118"/>
      <c r="H39" s="130"/>
      <c r="I39" s="130"/>
      <c r="J39" s="5"/>
      <c r="K39" s="5"/>
      <c r="L39" s="5"/>
      <c r="M39" s="5"/>
      <c r="N39" s="68"/>
      <c r="O39" s="63"/>
      <c r="P39" s="1069"/>
      <c r="Q39" s="1069"/>
      <c r="R39" s="54"/>
      <c r="S39" s="54"/>
      <c r="T39" s="487"/>
      <c r="U39" s="487"/>
      <c r="V39" s="1139">
        <f>V38-V40</f>
        <v>24261</v>
      </c>
      <c r="W39" s="54"/>
      <c r="X39" s="54"/>
      <c r="Y39" s="54"/>
      <c r="Z39" s="5"/>
      <c r="AA39" s="5"/>
      <c r="AB39" s="5"/>
      <c r="AC39" s="5"/>
      <c r="AD39" s="5"/>
      <c r="AE39" s="5"/>
      <c r="AF39" s="5"/>
      <c r="AG39" s="5"/>
      <c r="AH39" s="5"/>
      <c r="AI39" s="5"/>
      <c r="AJ39" s="5"/>
      <c r="AK39" s="5"/>
      <c r="AL39" s="1052"/>
      <c r="AM39" s="1257">
        <v>1</v>
      </c>
      <c r="AN39" s="1257">
        <v>1</v>
      </c>
    </row>
    <row r="40" spans="1:43" s="1323" customFormat="1" ht="33" hidden="1" x14ac:dyDescent="0.25">
      <c r="A40" s="1280"/>
      <c r="B40" s="1280"/>
      <c r="C40" s="1281" t="s">
        <v>2504</v>
      </c>
      <c r="D40" s="350"/>
      <c r="E40" s="350"/>
      <c r="F40" s="1245"/>
      <c r="G40" s="350"/>
      <c r="H40" s="1246"/>
      <c r="I40" s="1246"/>
      <c r="J40" s="150"/>
      <c r="K40" s="150"/>
      <c r="L40" s="150"/>
      <c r="M40" s="150"/>
      <c r="N40" s="4"/>
      <c r="O40" s="3"/>
      <c r="P40" s="1144"/>
      <c r="Q40" s="1144"/>
      <c r="R40" s="8"/>
      <c r="S40" s="8"/>
      <c r="T40" s="490"/>
      <c r="U40" s="490"/>
      <c r="V40" s="1279">
        <f>38861</f>
        <v>38861</v>
      </c>
      <c r="W40" s="8"/>
      <c r="X40" s="8"/>
      <c r="Y40" s="8"/>
      <c r="Z40" s="150"/>
      <c r="AA40" s="150"/>
      <c r="AB40" s="150"/>
      <c r="AC40" s="150"/>
      <c r="AD40" s="150"/>
      <c r="AE40" s="150"/>
      <c r="AF40" s="150"/>
      <c r="AG40" s="150"/>
      <c r="AH40" s="150"/>
      <c r="AI40" s="150"/>
      <c r="AJ40" s="150"/>
      <c r="AK40" s="150"/>
      <c r="AL40" s="1282"/>
      <c r="AM40" s="1283">
        <v>1</v>
      </c>
      <c r="AN40" s="1283">
        <v>1</v>
      </c>
    </row>
    <row r="41" spans="1:43" ht="16.5" hidden="1" x14ac:dyDescent="0.25">
      <c r="A41" s="749">
        <v>9</v>
      </c>
      <c r="B41" s="749"/>
      <c r="C41" s="290" t="s">
        <v>58</v>
      </c>
      <c r="D41" s="118"/>
      <c r="E41" s="118"/>
      <c r="F41" s="126"/>
      <c r="G41" s="118"/>
      <c r="H41" s="130"/>
      <c r="I41" s="130"/>
      <c r="J41" s="5"/>
      <c r="K41" s="5"/>
      <c r="L41" s="5"/>
      <c r="M41" s="5"/>
      <c r="N41" s="68">
        <f t="shared" si="7"/>
        <v>138000</v>
      </c>
      <c r="O41" s="63">
        <v>138000</v>
      </c>
      <c r="P41" s="1069"/>
      <c r="Q41" s="1069"/>
      <c r="R41" s="54"/>
      <c r="S41" s="54"/>
      <c r="T41" s="487">
        <f t="shared" si="8"/>
        <v>138000</v>
      </c>
      <c r="U41" s="487">
        <f t="shared" si="9"/>
        <v>138000</v>
      </c>
      <c r="V41" s="54">
        <f>20798+31550+43850+5722+10060+1015</f>
        <v>112995</v>
      </c>
      <c r="W41" s="54">
        <f>20798+31550+5722+10060+1015</f>
        <v>69145</v>
      </c>
      <c r="X41" s="54">
        <f t="shared" si="10"/>
        <v>250995</v>
      </c>
      <c r="Y41" s="54">
        <f t="shared" si="11"/>
        <v>250995</v>
      </c>
      <c r="Z41" s="5"/>
      <c r="AA41" s="5"/>
      <c r="AB41" s="5"/>
      <c r="AC41" s="5"/>
      <c r="AD41" s="5"/>
      <c r="AE41" s="5"/>
      <c r="AF41" s="5"/>
      <c r="AG41" s="5"/>
      <c r="AH41" s="5"/>
      <c r="AI41" s="5"/>
      <c r="AJ41" s="5"/>
      <c r="AK41" s="5"/>
      <c r="AL41" s="25"/>
      <c r="AM41" s="1009">
        <f t="shared" si="5"/>
        <v>1</v>
      </c>
      <c r="AN41" s="1009">
        <f t="shared" si="6"/>
        <v>1</v>
      </c>
      <c r="AP41" s="144"/>
    </row>
    <row r="42" spans="1:43" ht="49.5" hidden="1" x14ac:dyDescent="0.25">
      <c r="A42" s="749"/>
      <c r="B42" s="749"/>
      <c r="C42" s="1251" t="s">
        <v>2515</v>
      </c>
      <c r="D42" s="118"/>
      <c r="E42" s="118"/>
      <c r="F42" s="126"/>
      <c r="G42" s="118"/>
      <c r="H42" s="130"/>
      <c r="I42" s="130"/>
      <c r="J42" s="5"/>
      <c r="K42" s="5"/>
      <c r="L42" s="5"/>
      <c r="M42" s="5"/>
      <c r="N42" s="68"/>
      <c r="O42" s="63"/>
      <c r="P42" s="1069"/>
      <c r="Q42" s="1069"/>
      <c r="R42" s="54"/>
      <c r="S42" s="54"/>
      <c r="T42" s="487"/>
      <c r="U42" s="487"/>
      <c r="V42" s="1279">
        <f>V41-V43</f>
        <v>69145</v>
      </c>
      <c r="W42" s="54"/>
      <c r="X42" s="54"/>
      <c r="Y42" s="54"/>
      <c r="Z42" s="5"/>
      <c r="AA42" s="5"/>
      <c r="AB42" s="5"/>
      <c r="AC42" s="5"/>
      <c r="AD42" s="5"/>
      <c r="AE42" s="5"/>
      <c r="AF42" s="5"/>
      <c r="AG42" s="5"/>
      <c r="AH42" s="5"/>
      <c r="AI42" s="5"/>
      <c r="AJ42" s="5"/>
      <c r="AK42" s="5"/>
      <c r="AL42" s="25"/>
      <c r="AM42" s="1257">
        <v>1</v>
      </c>
      <c r="AN42" s="1257">
        <v>1</v>
      </c>
      <c r="AP42" s="54"/>
    </row>
    <row r="43" spans="1:43" ht="33" hidden="1" x14ac:dyDescent="0.25">
      <c r="A43" s="749"/>
      <c r="B43" s="749"/>
      <c r="C43" s="1281" t="s">
        <v>2503</v>
      </c>
      <c r="D43" s="118"/>
      <c r="E43" s="118"/>
      <c r="F43" s="126"/>
      <c r="G43" s="118"/>
      <c r="H43" s="130"/>
      <c r="I43" s="130"/>
      <c r="J43" s="5"/>
      <c r="K43" s="5"/>
      <c r="L43" s="5"/>
      <c r="M43" s="5"/>
      <c r="N43" s="68"/>
      <c r="O43" s="63"/>
      <c r="P43" s="1069"/>
      <c r="Q43" s="1069"/>
      <c r="R43" s="54"/>
      <c r="S43" s="54"/>
      <c r="T43" s="487"/>
      <c r="U43" s="487"/>
      <c r="V43" s="1279">
        <f>43850</f>
        <v>43850</v>
      </c>
      <c r="W43" s="54"/>
      <c r="X43" s="54"/>
      <c r="Y43" s="54"/>
      <c r="Z43" s="5"/>
      <c r="AA43" s="5"/>
      <c r="AB43" s="5"/>
      <c r="AC43" s="5"/>
      <c r="AD43" s="5"/>
      <c r="AE43" s="5"/>
      <c r="AF43" s="5"/>
      <c r="AG43" s="5"/>
      <c r="AH43" s="5"/>
      <c r="AI43" s="5"/>
      <c r="AJ43" s="5"/>
      <c r="AK43" s="5"/>
      <c r="AL43" s="25"/>
      <c r="AM43" s="1257">
        <v>1</v>
      </c>
      <c r="AN43" s="1257">
        <v>1</v>
      </c>
      <c r="AP43" s="144"/>
    </row>
    <row r="44" spans="1:43" ht="33" hidden="1" x14ac:dyDescent="0.25">
      <c r="A44" s="23" t="s">
        <v>41</v>
      </c>
      <c r="B44" s="23"/>
      <c r="C44" s="24" t="s">
        <v>1867</v>
      </c>
      <c r="D44" s="25"/>
      <c r="E44" s="25"/>
      <c r="F44" s="25"/>
      <c r="G44" s="25"/>
      <c r="H44" s="1028">
        <f t="shared" ref="H44:AK44" si="12">H45+H173+H223+H335</f>
        <v>1436341.9179192546</v>
      </c>
      <c r="I44" s="1028">
        <f t="shared" si="12"/>
        <v>1509300.9179192546</v>
      </c>
      <c r="J44" s="1028">
        <f t="shared" si="12"/>
        <v>15000</v>
      </c>
      <c r="K44" s="1028">
        <f t="shared" si="12"/>
        <v>15000</v>
      </c>
      <c r="L44" s="26">
        <f t="shared" si="12"/>
        <v>15000</v>
      </c>
      <c r="M44" s="26">
        <f t="shared" si="12"/>
        <v>15000</v>
      </c>
      <c r="N44" s="26">
        <f t="shared" si="12"/>
        <v>645199.52380952379</v>
      </c>
      <c r="O44" s="26">
        <f t="shared" si="12"/>
        <v>645199.52380952379</v>
      </c>
      <c r="P44" s="26">
        <f t="shared" si="12"/>
        <v>667073</v>
      </c>
      <c r="Q44" s="26">
        <f t="shared" si="12"/>
        <v>667073</v>
      </c>
      <c r="R44" s="26">
        <f t="shared" si="12"/>
        <v>245520</v>
      </c>
      <c r="S44" s="26">
        <f t="shared" si="12"/>
        <v>225719.52380952379</v>
      </c>
      <c r="T44" s="26">
        <f t="shared" si="12"/>
        <v>665000</v>
      </c>
      <c r="U44" s="26">
        <f t="shared" si="12"/>
        <v>665000</v>
      </c>
      <c r="V44" s="26">
        <f t="shared" si="12"/>
        <v>280700</v>
      </c>
      <c r="W44" s="26">
        <f t="shared" si="12"/>
        <v>28215</v>
      </c>
      <c r="X44" s="26">
        <f t="shared" si="12"/>
        <v>918085</v>
      </c>
      <c r="Y44" s="26">
        <f t="shared" si="12"/>
        <v>917485</v>
      </c>
      <c r="Z44" s="26">
        <f t="shared" si="12"/>
        <v>56155</v>
      </c>
      <c r="AA44" s="26">
        <f t="shared" si="12"/>
        <v>56155</v>
      </c>
      <c r="AB44" s="26">
        <f t="shared" si="12"/>
        <v>78616</v>
      </c>
      <c r="AC44" s="26">
        <f t="shared" si="12"/>
        <v>78616</v>
      </c>
      <c r="AD44" s="1019">
        <f t="shared" si="12"/>
        <v>0</v>
      </c>
      <c r="AE44" s="1019">
        <f t="shared" si="12"/>
        <v>0</v>
      </c>
      <c r="AF44" s="1019">
        <f t="shared" si="12"/>
        <v>0</v>
      </c>
      <c r="AG44" s="1019">
        <f t="shared" si="12"/>
        <v>0</v>
      </c>
      <c r="AH44" s="1019">
        <f t="shared" si="12"/>
        <v>0</v>
      </c>
      <c r="AI44" s="1019">
        <f t="shared" si="12"/>
        <v>0</v>
      </c>
      <c r="AJ44" s="1019">
        <f t="shared" si="12"/>
        <v>0</v>
      </c>
      <c r="AK44" s="1019">
        <f t="shared" si="12"/>
        <v>0</v>
      </c>
      <c r="AL44" s="27"/>
      <c r="AM44" s="1009">
        <f t="shared" si="5"/>
        <v>1</v>
      </c>
      <c r="AN44" s="1009">
        <f t="shared" si="6"/>
        <v>1</v>
      </c>
      <c r="AO44" s="144">
        <f>IF(I44-Y44&gt;=0,1,0)</f>
        <v>1</v>
      </c>
      <c r="AP44" s="144"/>
      <c r="AQ44" s="144"/>
    </row>
    <row r="45" spans="1:43" ht="16.5" hidden="1" x14ac:dyDescent="0.25">
      <c r="A45" s="23" t="s">
        <v>43</v>
      </c>
      <c r="B45" s="23"/>
      <c r="C45" s="24" t="s">
        <v>1263</v>
      </c>
      <c r="D45" s="25"/>
      <c r="E45" s="25"/>
      <c r="F45" s="25"/>
      <c r="G45" s="25"/>
      <c r="H45" s="1028">
        <f t="shared" ref="H45" si="13">H52</f>
        <v>305396.2</v>
      </c>
      <c r="I45" s="1028">
        <f>I46+I52</f>
        <v>424147.20000000001</v>
      </c>
      <c r="J45" s="1028">
        <f t="shared" ref="J45:Y45" si="14">J46+J52</f>
        <v>4500</v>
      </c>
      <c r="K45" s="1028">
        <f t="shared" si="14"/>
        <v>4500</v>
      </c>
      <c r="L45" s="1028">
        <f t="shared" si="14"/>
        <v>4500</v>
      </c>
      <c r="M45" s="1028">
        <f t="shared" si="14"/>
        <v>4500</v>
      </c>
      <c r="N45" s="1028">
        <f t="shared" si="14"/>
        <v>200000</v>
      </c>
      <c r="O45" s="1028">
        <f t="shared" si="14"/>
        <v>200000</v>
      </c>
      <c r="P45" s="1028">
        <f t="shared" si="14"/>
        <v>200000</v>
      </c>
      <c r="Q45" s="1028">
        <f t="shared" si="14"/>
        <v>200000</v>
      </c>
      <c r="R45" s="1028">
        <f t="shared" si="14"/>
        <v>68180</v>
      </c>
      <c r="S45" s="1028">
        <f t="shared" si="14"/>
        <v>68180</v>
      </c>
      <c r="T45" s="1028">
        <f t="shared" si="14"/>
        <v>200000</v>
      </c>
      <c r="U45" s="1028">
        <f t="shared" si="14"/>
        <v>200000</v>
      </c>
      <c r="V45" s="1028">
        <f t="shared" si="14"/>
        <v>70700</v>
      </c>
      <c r="W45" s="1028">
        <f t="shared" si="14"/>
        <v>0</v>
      </c>
      <c r="X45" s="1028">
        <f t="shared" si="14"/>
        <v>270700</v>
      </c>
      <c r="Y45" s="1028">
        <f t="shared" si="14"/>
        <v>270700</v>
      </c>
      <c r="Z45" s="1028">
        <f t="shared" ref="Z45:AC45" si="15">Z52</f>
        <v>38500</v>
      </c>
      <c r="AA45" s="1028">
        <f t="shared" si="15"/>
        <v>38500</v>
      </c>
      <c r="AB45" s="1028">
        <f t="shared" si="15"/>
        <v>33165</v>
      </c>
      <c r="AC45" s="1028">
        <f t="shared" si="15"/>
        <v>33165</v>
      </c>
      <c r="AD45" s="1019">
        <f t="shared" ref="AD45:AK45" si="16">AD46+AD52</f>
        <v>0</v>
      </c>
      <c r="AE45" s="1019">
        <f t="shared" si="16"/>
        <v>0</v>
      </c>
      <c r="AF45" s="1019">
        <f t="shared" si="16"/>
        <v>0</v>
      </c>
      <c r="AG45" s="1019">
        <f t="shared" si="16"/>
        <v>0</v>
      </c>
      <c r="AH45" s="1019">
        <f t="shared" si="16"/>
        <v>0</v>
      </c>
      <c r="AI45" s="1019">
        <f t="shared" si="16"/>
        <v>0</v>
      </c>
      <c r="AJ45" s="1019">
        <f t="shared" si="16"/>
        <v>0</v>
      </c>
      <c r="AK45" s="1019">
        <f t="shared" si="16"/>
        <v>0</v>
      </c>
      <c r="AL45" s="27"/>
      <c r="AM45" s="1009">
        <f t="shared" si="5"/>
        <v>1</v>
      </c>
      <c r="AN45" s="1009">
        <f t="shared" si="6"/>
        <v>1</v>
      </c>
      <c r="AO45" s="144">
        <f t="shared" ref="AO45:AO108" si="17">IF(I45-Y45&gt;=0,1,0)</f>
        <v>1</v>
      </c>
      <c r="AP45" s="144"/>
    </row>
    <row r="46" spans="1:43" ht="51.75" hidden="1" x14ac:dyDescent="0.25">
      <c r="A46" s="1066" t="s">
        <v>45</v>
      </c>
      <c r="B46" s="1066"/>
      <c r="C46" s="51" t="s">
        <v>46</v>
      </c>
      <c r="D46" s="57"/>
      <c r="E46" s="57"/>
      <c r="F46" s="57"/>
      <c r="G46" s="57"/>
      <c r="H46" s="1017">
        <f t="shared" ref="H46:AK46" si="18">H47</f>
        <v>6944</v>
      </c>
      <c r="I46" s="1017">
        <f t="shared" si="18"/>
        <v>6944</v>
      </c>
      <c r="J46" s="1017">
        <f t="shared" si="18"/>
        <v>4500</v>
      </c>
      <c r="K46" s="1017">
        <f t="shared" si="18"/>
        <v>4500</v>
      </c>
      <c r="L46" s="1017">
        <f t="shared" si="18"/>
        <v>4500</v>
      </c>
      <c r="M46" s="1017">
        <f t="shared" si="18"/>
        <v>4500</v>
      </c>
      <c r="N46" s="1017">
        <f t="shared" si="18"/>
        <v>1500</v>
      </c>
      <c r="O46" s="1017">
        <f t="shared" si="18"/>
        <v>1500</v>
      </c>
      <c r="P46" s="1016">
        <f t="shared" si="18"/>
        <v>1500</v>
      </c>
      <c r="Q46" s="1016">
        <f t="shared" si="18"/>
        <v>1500</v>
      </c>
      <c r="R46" s="1017">
        <f t="shared" si="18"/>
        <v>0</v>
      </c>
      <c r="S46" s="1017">
        <f t="shared" si="18"/>
        <v>0</v>
      </c>
      <c r="T46" s="1018">
        <f t="shared" si="18"/>
        <v>1500</v>
      </c>
      <c r="U46" s="1018">
        <f t="shared" si="18"/>
        <v>1500</v>
      </c>
      <c r="V46" s="1017">
        <f t="shared" si="18"/>
        <v>0</v>
      </c>
      <c r="W46" s="1017">
        <f t="shared" si="18"/>
        <v>0</v>
      </c>
      <c r="X46" s="1018">
        <f t="shared" si="18"/>
        <v>1500</v>
      </c>
      <c r="Y46" s="1018">
        <f t="shared" si="18"/>
        <v>1500</v>
      </c>
      <c r="Z46" s="1016">
        <f t="shared" si="18"/>
        <v>1500</v>
      </c>
      <c r="AA46" s="1016">
        <f t="shared" si="18"/>
        <v>1500</v>
      </c>
      <c r="AB46" s="1016">
        <f t="shared" si="18"/>
        <v>0</v>
      </c>
      <c r="AC46" s="1016">
        <f t="shared" si="18"/>
        <v>0</v>
      </c>
      <c r="AD46" s="1016">
        <f t="shared" si="18"/>
        <v>0</v>
      </c>
      <c r="AE46" s="1016">
        <f t="shared" si="18"/>
        <v>0</v>
      </c>
      <c r="AF46" s="1016">
        <f t="shared" si="18"/>
        <v>0</v>
      </c>
      <c r="AG46" s="1016">
        <f t="shared" si="18"/>
        <v>0</v>
      </c>
      <c r="AH46" s="1016">
        <f t="shared" si="18"/>
        <v>0</v>
      </c>
      <c r="AI46" s="1016">
        <f t="shared" si="18"/>
        <v>0</v>
      </c>
      <c r="AJ46" s="1016">
        <f t="shared" si="18"/>
        <v>0</v>
      </c>
      <c r="AK46" s="1016">
        <f t="shared" si="18"/>
        <v>0</v>
      </c>
      <c r="AL46" s="59"/>
      <c r="AM46" s="1009">
        <f t="shared" ref="AM46:AM97" si="19">IF(Y46-U46=0,0,1)</f>
        <v>0</v>
      </c>
      <c r="AN46" s="1009">
        <f t="shared" ref="AN46:AN97" si="20">IF(Y46=0,0,1)</f>
        <v>1</v>
      </c>
      <c r="AO46" s="144">
        <f t="shared" si="17"/>
        <v>1</v>
      </c>
    </row>
    <row r="47" spans="1:43" ht="34.5" hidden="1" x14ac:dyDescent="0.25">
      <c r="A47" s="50" t="s">
        <v>47</v>
      </c>
      <c r="B47" s="50"/>
      <c r="C47" s="51" t="s">
        <v>48</v>
      </c>
      <c r="D47" s="57"/>
      <c r="E47" s="57"/>
      <c r="F47" s="57"/>
      <c r="G47" s="57"/>
      <c r="H47" s="1017">
        <f t="shared" ref="H47:AK47" si="21">SUM(H49:H51)</f>
        <v>6944</v>
      </c>
      <c r="I47" s="1017">
        <f t="shared" si="21"/>
        <v>6944</v>
      </c>
      <c r="J47" s="1017">
        <f t="shared" si="21"/>
        <v>4500</v>
      </c>
      <c r="K47" s="1017">
        <f t="shared" si="21"/>
        <v>4500</v>
      </c>
      <c r="L47" s="1017">
        <f t="shared" si="21"/>
        <v>4500</v>
      </c>
      <c r="M47" s="1017">
        <f t="shared" si="21"/>
        <v>4500</v>
      </c>
      <c r="N47" s="1017">
        <f t="shared" si="21"/>
        <v>1500</v>
      </c>
      <c r="O47" s="1017">
        <f t="shared" si="21"/>
        <v>1500</v>
      </c>
      <c r="P47" s="1016">
        <f t="shared" si="21"/>
        <v>1500</v>
      </c>
      <c r="Q47" s="1016">
        <f t="shared" si="21"/>
        <v>1500</v>
      </c>
      <c r="R47" s="1017">
        <f t="shared" si="21"/>
        <v>0</v>
      </c>
      <c r="S47" s="1017">
        <f t="shared" si="21"/>
        <v>0</v>
      </c>
      <c r="T47" s="1018">
        <f t="shared" si="21"/>
        <v>1500</v>
      </c>
      <c r="U47" s="1018">
        <f t="shared" si="21"/>
        <v>1500</v>
      </c>
      <c r="V47" s="1017">
        <f t="shared" ref="V47:Y47" si="22">SUM(V49:V51)</f>
        <v>0</v>
      </c>
      <c r="W47" s="1017">
        <f t="shared" si="22"/>
        <v>0</v>
      </c>
      <c r="X47" s="1018">
        <f t="shared" si="22"/>
        <v>1500</v>
      </c>
      <c r="Y47" s="1018">
        <f t="shared" si="22"/>
        <v>1500</v>
      </c>
      <c r="Z47" s="1016">
        <f t="shared" si="21"/>
        <v>1500</v>
      </c>
      <c r="AA47" s="1016">
        <f t="shared" si="21"/>
        <v>1500</v>
      </c>
      <c r="AB47" s="1016">
        <f t="shared" si="21"/>
        <v>0</v>
      </c>
      <c r="AC47" s="1016">
        <f t="shared" si="21"/>
        <v>0</v>
      </c>
      <c r="AD47" s="1016">
        <f t="shared" si="21"/>
        <v>0</v>
      </c>
      <c r="AE47" s="1016">
        <f t="shared" si="21"/>
        <v>0</v>
      </c>
      <c r="AF47" s="1016">
        <f t="shared" si="21"/>
        <v>0</v>
      </c>
      <c r="AG47" s="1016">
        <f t="shared" si="21"/>
        <v>0</v>
      </c>
      <c r="AH47" s="1016">
        <f t="shared" si="21"/>
        <v>0</v>
      </c>
      <c r="AI47" s="1016">
        <f t="shared" si="21"/>
        <v>0</v>
      </c>
      <c r="AJ47" s="1016">
        <f t="shared" si="21"/>
        <v>0</v>
      </c>
      <c r="AK47" s="1016">
        <f t="shared" si="21"/>
        <v>0</v>
      </c>
      <c r="AL47" s="1019"/>
      <c r="AM47" s="1009">
        <f t="shared" si="19"/>
        <v>0</v>
      </c>
      <c r="AN47" s="1009">
        <f t="shared" si="20"/>
        <v>1</v>
      </c>
      <c r="AO47" s="144">
        <f t="shared" si="17"/>
        <v>1</v>
      </c>
    </row>
    <row r="48" spans="1:43" ht="17.25" hidden="1" x14ac:dyDescent="0.25">
      <c r="A48" s="50"/>
      <c r="B48" s="50"/>
      <c r="C48" s="51" t="s">
        <v>49</v>
      </c>
      <c r="D48" s="52"/>
      <c r="E48" s="52"/>
      <c r="F48" s="52"/>
      <c r="G48" s="52"/>
      <c r="H48" s="1020"/>
      <c r="I48" s="1020"/>
      <c r="J48" s="1020"/>
      <c r="K48" s="1020"/>
      <c r="L48" s="1020"/>
      <c r="M48" s="1020"/>
      <c r="N48" s="1020"/>
      <c r="O48" s="1020"/>
      <c r="P48" s="1021"/>
      <c r="Q48" s="1021"/>
      <c r="R48" s="1020"/>
      <c r="S48" s="1020"/>
      <c r="T48" s="1022"/>
      <c r="U48" s="1022"/>
      <c r="V48" s="1020"/>
      <c r="W48" s="1020"/>
      <c r="X48" s="1022"/>
      <c r="Y48" s="1022"/>
      <c r="Z48" s="1020"/>
      <c r="AA48" s="1020"/>
      <c r="AB48" s="1020"/>
      <c r="AC48" s="1020"/>
      <c r="AD48" s="1020"/>
      <c r="AE48" s="1020"/>
      <c r="AF48" s="1020"/>
      <c r="AG48" s="1020"/>
      <c r="AH48" s="1020"/>
      <c r="AI48" s="1020"/>
      <c r="AJ48" s="1020"/>
      <c r="AK48" s="1019"/>
      <c r="AL48" s="1019"/>
      <c r="AM48" s="1009">
        <f t="shared" si="19"/>
        <v>0</v>
      </c>
      <c r="AN48" s="1009">
        <f t="shared" si="20"/>
        <v>0</v>
      </c>
      <c r="AO48" s="144">
        <f t="shared" si="17"/>
        <v>1</v>
      </c>
    </row>
    <row r="49" spans="1:42" ht="51.75" hidden="1" x14ac:dyDescent="0.25">
      <c r="A49" s="50"/>
      <c r="B49" s="50"/>
      <c r="C49" s="56" t="s">
        <v>50</v>
      </c>
      <c r="D49" s="57"/>
      <c r="E49" s="57"/>
      <c r="F49" s="57"/>
      <c r="G49" s="57"/>
      <c r="H49" s="1017"/>
      <c r="I49" s="1017"/>
      <c r="J49" s="1017"/>
      <c r="K49" s="1017"/>
      <c r="L49" s="1017"/>
      <c r="M49" s="1017"/>
      <c r="N49" s="1017"/>
      <c r="O49" s="1017"/>
      <c r="P49" s="1016"/>
      <c r="Q49" s="1016"/>
      <c r="R49" s="1017"/>
      <c r="S49" s="1017"/>
      <c r="T49" s="1018"/>
      <c r="U49" s="1018"/>
      <c r="V49" s="1017"/>
      <c r="W49" s="1017"/>
      <c r="X49" s="1018"/>
      <c r="Y49" s="1018"/>
      <c r="Z49" s="1017"/>
      <c r="AA49" s="1017"/>
      <c r="AB49" s="1017"/>
      <c r="AC49" s="1017"/>
      <c r="AD49" s="1017"/>
      <c r="AE49" s="1017"/>
      <c r="AF49" s="1017"/>
      <c r="AG49" s="1017"/>
      <c r="AH49" s="1017"/>
      <c r="AI49" s="1017"/>
      <c r="AJ49" s="1017"/>
      <c r="AK49" s="1016"/>
      <c r="AL49" s="1016"/>
      <c r="AM49" s="1009">
        <f t="shared" si="19"/>
        <v>0</v>
      </c>
      <c r="AN49" s="1009">
        <f t="shared" si="20"/>
        <v>0</v>
      </c>
      <c r="AO49" s="144">
        <f t="shared" si="17"/>
        <v>1</v>
      </c>
    </row>
    <row r="50" spans="1:42" ht="49.5" hidden="1" x14ac:dyDescent="0.25">
      <c r="A50" s="60">
        <v>1</v>
      </c>
      <c r="B50" s="60"/>
      <c r="C50" s="1023" t="s">
        <v>1866</v>
      </c>
      <c r="D50" s="1024" t="s">
        <v>1865</v>
      </c>
      <c r="E50" s="61"/>
      <c r="F50" s="1024" t="s">
        <v>199</v>
      </c>
      <c r="G50" s="1025" t="s">
        <v>1864</v>
      </c>
      <c r="H50" s="63">
        <v>4615</v>
      </c>
      <c r="I50" s="1026">
        <f>H50</f>
        <v>4615</v>
      </c>
      <c r="J50" s="63">
        <v>3000</v>
      </c>
      <c r="K50" s="282">
        <f>J50</f>
        <v>3000</v>
      </c>
      <c r="L50" s="63">
        <v>3000</v>
      </c>
      <c r="M50" s="282">
        <f>L50</f>
        <v>3000</v>
      </c>
      <c r="N50" s="63">
        <v>1100</v>
      </c>
      <c r="O50" s="282">
        <f>N50</f>
        <v>1100</v>
      </c>
      <c r="P50" s="290">
        <v>1100</v>
      </c>
      <c r="Q50" s="284">
        <f>P50</f>
        <v>1100</v>
      </c>
      <c r="R50" s="54"/>
      <c r="S50" s="54"/>
      <c r="T50" s="488">
        <v>1100</v>
      </c>
      <c r="U50" s="488">
        <v>1100</v>
      </c>
      <c r="V50" s="54"/>
      <c r="W50" s="54"/>
      <c r="X50" s="54">
        <v>1100</v>
      </c>
      <c r="Y50" s="54">
        <v>1100</v>
      </c>
      <c r="Z50" s="282">
        <f>AA50</f>
        <v>1100</v>
      </c>
      <c r="AA50" s="282">
        <v>1100</v>
      </c>
      <c r="AB50" s="282"/>
      <c r="AC50" s="282"/>
      <c r="AD50" s="282"/>
      <c r="AE50" s="282"/>
      <c r="AF50" s="282"/>
      <c r="AG50" s="282"/>
      <c r="AH50" s="282"/>
      <c r="AI50" s="282"/>
      <c r="AJ50" s="282"/>
      <c r="AK50" s="1016"/>
      <c r="AL50" s="1016"/>
      <c r="AM50" s="1009">
        <f t="shared" si="19"/>
        <v>0</v>
      </c>
      <c r="AN50" s="1009">
        <f t="shared" si="20"/>
        <v>1</v>
      </c>
      <c r="AO50" s="144">
        <f t="shared" si="17"/>
        <v>1</v>
      </c>
    </row>
    <row r="51" spans="1:42" ht="49.5" hidden="1" x14ac:dyDescent="0.25">
      <c r="A51" s="64" t="s">
        <v>56</v>
      </c>
      <c r="B51" s="64"/>
      <c r="C51" s="1023" t="s">
        <v>1863</v>
      </c>
      <c r="D51" s="61" t="s">
        <v>1252</v>
      </c>
      <c r="E51" s="61" t="s">
        <v>1862</v>
      </c>
      <c r="F51" s="88" t="s">
        <v>199</v>
      </c>
      <c r="G51" s="118" t="s">
        <v>1861</v>
      </c>
      <c r="H51" s="63">
        <v>2329</v>
      </c>
      <c r="I51" s="1026">
        <f>H51</f>
        <v>2329</v>
      </c>
      <c r="J51" s="1045">
        <v>1500</v>
      </c>
      <c r="K51" s="288">
        <f>J51</f>
        <v>1500</v>
      </c>
      <c r="L51" s="1045">
        <v>1500</v>
      </c>
      <c r="M51" s="288">
        <f>L51</f>
        <v>1500</v>
      </c>
      <c r="N51" s="1045">
        <v>400</v>
      </c>
      <c r="O51" s="282">
        <f>N51</f>
        <v>400</v>
      </c>
      <c r="P51" s="1023">
        <v>400</v>
      </c>
      <c r="Q51" s="284">
        <f>P51</f>
        <v>400</v>
      </c>
      <c r="R51" s="54"/>
      <c r="S51" s="54"/>
      <c r="T51" s="1036">
        <v>400</v>
      </c>
      <c r="U51" s="488">
        <v>400</v>
      </c>
      <c r="V51" s="54"/>
      <c r="W51" s="54"/>
      <c r="X51" s="54">
        <v>400</v>
      </c>
      <c r="Y51" s="54">
        <v>400</v>
      </c>
      <c r="Z51" s="282">
        <f>AA51</f>
        <v>400</v>
      </c>
      <c r="AA51" s="282">
        <v>400</v>
      </c>
      <c r="AB51" s="288"/>
      <c r="AC51" s="288"/>
      <c r="AD51" s="288"/>
      <c r="AE51" s="288"/>
      <c r="AF51" s="288"/>
      <c r="AG51" s="288"/>
      <c r="AH51" s="288"/>
      <c r="AI51" s="288"/>
      <c r="AJ51" s="288"/>
      <c r="AK51" s="288"/>
      <c r="AL51" s="66"/>
      <c r="AM51" s="1009">
        <f t="shared" si="19"/>
        <v>0</v>
      </c>
      <c r="AN51" s="1009">
        <f t="shared" si="20"/>
        <v>1</v>
      </c>
      <c r="AO51" s="144">
        <f t="shared" si="17"/>
        <v>1</v>
      </c>
    </row>
    <row r="52" spans="1:42" ht="34.5" hidden="1" x14ac:dyDescent="0.25">
      <c r="A52" s="1066" t="s">
        <v>85</v>
      </c>
      <c r="B52" s="1066"/>
      <c r="C52" s="51" t="s">
        <v>86</v>
      </c>
      <c r="D52" s="57"/>
      <c r="E52" s="57"/>
      <c r="F52" s="57"/>
      <c r="G52" s="57"/>
      <c r="H52" s="1017">
        <f>H53</f>
        <v>305396.2</v>
      </c>
      <c r="I52" s="1017">
        <f>I53+I133</f>
        <v>417203.20000000001</v>
      </c>
      <c r="J52" s="1017">
        <f t="shared" ref="J52:Y52" si="23">J53+J133</f>
        <v>0</v>
      </c>
      <c r="K52" s="1017">
        <f t="shared" si="23"/>
        <v>0</v>
      </c>
      <c r="L52" s="1017">
        <f t="shared" si="23"/>
        <v>0</v>
      </c>
      <c r="M52" s="1017">
        <f t="shared" si="23"/>
        <v>0</v>
      </c>
      <c r="N52" s="1017">
        <f t="shared" si="23"/>
        <v>198500</v>
      </c>
      <c r="O52" s="1017">
        <f t="shared" si="23"/>
        <v>198500</v>
      </c>
      <c r="P52" s="1017">
        <f t="shared" si="23"/>
        <v>198500</v>
      </c>
      <c r="Q52" s="1017">
        <f t="shared" si="23"/>
        <v>198500</v>
      </c>
      <c r="R52" s="1017">
        <f t="shared" si="23"/>
        <v>68180</v>
      </c>
      <c r="S52" s="1017">
        <f t="shared" si="23"/>
        <v>68180</v>
      </c>
      <c r="T52" s="1017">
        <f t="shared" si="23"/>
        <v>198500</v>
      </c>
      <c r="U52" s="1017">
        <f t="shared" si="23"/>
        <v>198500</v>
      </c>
      <c r="V52" s="1017">
        <f t="shared" si="23"/>
        <v>70700</v>
      </c>
      <c r="W52" s="1017">
        <f t="shared" si="23"/>
        <v>0</v>
      </c>
      <c r="X52" s="1017">
        <f t="shared" si="23"/>
        <v>269200</v>
      </c>
      <c r="Y52" s="1017">
        <f t="shared" si="23"/>
        <v>269200</v>
      </c>
      <c r="Z52" s="1016">
        <f t="shared" ref="Z52:AK52" si="24">Z53</f>
        <v>38500</v>
      </c>
      <c r="AA52" s="1016">
        <f t="shared" si="24"/>
        <v>38500</v>
      </c>
      <c r="AB52" s="1016">
        <f t="shared" si="24"/>
        <v>33165</v>
      </c>
      <c r="AC52" s="1016">
        <f t="shared" si="24"/>
        <v>33165</v>
      </c>
      <c r="AD52" s="1016">
        <f t="shared" si="24"/>
        <v>0</v>
      </c>
      <c r="AE52" s="1016">
        <f t="shared" si="24"/>
        <v>0</v>
      </c>
      <c r="AF52" s="1016">
        <f t="shared" si="24"/>
        <v>0</v>
      </c>
      <c r="AG52" s="1016">
        <f t="shared" si="24"/>
        <v>0</v>
      </c>
      <c r="AH52" s="1016">
        <f t="shared" si="24"/>
        <v>0</v>
      </c>
      <c r="AI52" s="1016">
        <f t="shared" si="24"/>
        <v>0</v>
      </c>
      <c r="AJ52" s="1016">
        <f t="shared" si="24"/>
        <v>0</v>
      </c>
      <c r="AK52" s="1016">
        <f t="shared" si="24"/>
        <v>0</v>
      </c>
      <c r="AL52" s="59"/>
      <c r="AM52" s="1009">
        <f>IF(Y52-U52=0,0,1)</f>
        <v>1</v>
      </c>
      <c r="AN52" s="1009">
        <f>IF(Y52=0,0,1)</f>
        <v>1</v>
      </c>
      <c r="AO52" s="144">
        <f t="shared" si="17"/>
        <v>1</v>
      </c>
      <c r="AP52" s="144"/>
    </row>
    <row r="53" spans="1:42" ht="51.75" hidden="1" x14ac:dyDescent="0.25">
      <c r="A53" s="50" t="s">
        <v>87</v>
      </c>
      <c r="B53" s="50"/>
      <c r="C53" s="51" t="s">
        <v>88</v>
      </c>
      <c r="D53" s="57"/>
      <c r="E53" s="57"/>
      <c r="F53" s="57"/>
      <c r="G53" s="57"/>
      <c r="H53" s="1017">
        <f t="shared" ref="H53:X53" si="25">SUM(H54:H132)</f>
        <v>305396.2</v>
      </c>
      <c r="I53" s="1017">
        <f t="shared" si="25"/>
        <v>305396.2</v>
      </c>
      <c r="J53" s="1017">
        <f t="shared" si="25"/>
        <v>0</v>
      </c>
      <c r="K53" s="1017">
        <f t="shared" si="25"/>
        <v>0</v>
      </c>
      <c r="L53" s="1017">
        <f t="shared" si="25"/>
        <v>0</v>
      </c>
      <c r="M53" s="1017">
        <f t="shared" si="25"/>
        <v>0</v>
      </c>
      <c r="N53" s="1017">
        <f t="shared" si="25"/>
        <v>198500</v>
      </c>
      <c r="O53" s="1017">
        <f t="shared" si="25"/>
        <v>198500</v>
      </c>
      <c r="P53" s="1017">
        <f t="shared" si="25"/>
        <v>198500</v>
      </c>
      <c r="Q53" s="1017">
        <f t="shared" si="25"/>
        <v>198500</v>
      </c>
      <c r="R53" s="1017">
        <f t="shared" si="25"/>
        <v>68180</v>
      </c>
      <c r="S53" s="1017">
        <f t="shared" si="25"/>
        <v>68180</v>
      </c>
      <c r="T53" s="1017">
        <f t="shared" si="25"/>
        <v>198500</v>
      </c>
      <c r="U53" s="1017">
        <f t="shared" si="25"/>
        <v>198500</v>
      </c>
      <c r="V53" s="1017">
        <f>SUM(V54:V132)</f>
        <v>0</v>
      </c>
      <c r="W53" s="1017">
        <f t="shared" si="25"/>
        <v>0</v>
      </c>
      <c r="X53" s="1017">
        <f t="shared" si="25"/>
        <v>198500</v>
      </c>
      <c r="Y53" s="1017">
        <f>SUM(Y54:Y132)</f>
        <v>198500</v>
      </c>
      <c r="Z53" s="1017">
        <f t="shared" ref="Z53:AC53" si="26">SUM(Z54:Z72)+SUM(Z74:Z79)+Z81+Z84+SUM(Z88:Z100)+SUM(Z103:Z131)</f>
        <v>38500</v>
      </c>
      <c r="AA53" s="1017">
        <f t="shared" si="26"/>
        <v>38500</v>
      </c>
      <c r="AB53" s="1017">
        <f t="shared" si="26"/>
        <v>33165</v>
      </c>
      <c r="AC53" s="1017">
        <f t="shared" si="26"/>
        <v>33165</v>
      </c>
      <c r="AD53" s="1016">
        <f t="shared" ref="AD53:AK53" si="27">SUM(AD54:AD131)</f>
        <v>0</v>
      </c>
      <c r="AE53" s="1016">
        <f t="shared" si="27"/>
        <v>0</v>
      </c>
      <c r="AF53" s="1016">
        <f t="shared" si="27"/>
        <v>0</v>
      </c>
      <c r="AG53" s="1016">
        <f t="shared" si="27"/>
        <v>0</v>
      </c>
      <c r="AH53" s="1016">
        <f t="shared" si="27"/>
        <v>0</v>
      </c>
      <c r="AI53" s="1016">
        <f t="shared" si="27"/>
        <v>0</v>
      </c>
      <c r="AJ53" s="1016">
        <f t="shared" si="27"/>
        <v>0</v>
      </c>
      <c r="AK53" s="1016">
        <f t="shared" si="27"/>
        <v>0</v>
      </c>
      <c r="AL53" s="59"/>
      <c r="AM53" s="1009">
        <f t="shared" si="19"/>
        <v>0</v>
      </c>
      <c r="AN53" s="1009">
        <f t="shared" si="20"/>
        <v>1</v>
      </c>
      <c r="AO53" s="144">
        <f t="shared" si="17"/>
        <v>1</v>
      </c>
    </row>
    <row r="54" spans="1:42" ht="49.5" hidden="1" x14ac:dyDescent="0.25">
      <c r="A54" s="60">
        <v>1</v>
      </c>
      <c r="B54" s="60"/>
      <c r="C54" s="1023" t="s">
        <v>1860</v>
      </c>
      <c r="D54" s="1024" t="s">
        <v>1859</v>
      </c>
      <c r="E54" s="1024" t="s">
        <v>1858</v>
      </c>
      <c r="F54" s="1024" t="s">
        <v>199</v>
      </c>
      <c r="G54" s="1025" t="s">
        <v>1857</v>
      </c>
      <c r="H54" s="63">
        <v>14164</v>
      </c>
      <c r="I54" s="1026">
        <f t="shared" ref="I54:I75" si="28">H54</f>
        <v>14164</v>
      </c>
      <c r="J54" s="282"/>
      <c r="K54" s="282"/>
      <c r="L54" s="282"/>
      <c r="M54" s="282"/>
      <c r="N54" s="282">
        <v>13460</v>
      </c>
      <c r="O54" s="282">
        <f t="shared" ref="O54:O117" si="29">N54</f>
        <v>13460</v>
      </c>
      <c r="P54" s="284">
        <v>20000</v>
      </c>
      <c r="Q54" s="284">
        <f t="shared" ref="Q54:Q60" si="30">P54</f>
        <v>20000</v>
      </c>
      <c r="R54" s="282">
        <f>U54-O54</f>
        <v>6540</v>
      </c>
      <c r="S54" s="282"/>
      <c r="T54" s="488">
        <v>20000</v>
      </c>
      <c r="U54" s="488">
        <v>20000</v>
      </c>
      <c r="V54" s="282"/>
      <c r="W54" s="282"/>
      <c r="X54" s="54">
        <v>20000</v>
      </c>
      <c r="Y54" s="54">
        <v>20000</v>
      </c>
      <c r="Z54" s="282">
        <f t="shared" ref="Z54:Z71" si="31">AA54</f>
        <v>500</v>
      </c>
      <c r="AA54" s="282">
        <v>500</v>
      </c>
      <c r="AB54" s="282">
        <f t="shared" ref="AB54:AB73" si="32">AC54</f>
        <v>12300</v>
      </c>
      <c r="AC54" s="282">
        <v>12300</v>
      </c>
      <c r="AD54" s="282"/>
      <c r="AE54" s="282"/>
      <c r="AF54" s="282"/>
      <c r="AG54" s="282"/>
      <c r="AH54" s="282"/>
      <c r="AI54" s="282"/>
      <c r="AJ54" s="282"/>
      <c r="AK54" s="282"/>
      <c r="AL54" s="66"/>
      <c r="AM54" s="1009">
        <f t="shared" si="19"/>
        <v>0</v>
      </c>
      <c r="AN54" s="1009">
        <f t="shared" si="20"/>
        <v>1</v>
      </c>
      <c r="AO54" s="144">
        <f t="shared" si="17"/>
        <v>0</v>
      </c>
    </row>
    <row r="55" spans="1:42" ht="49.5" hidden="1" x14ac:dyDescent="0.25">
      <c r="A55" s="60">
        <v>2</v>
      </c>
      <c r="B55" s="60"/>
      <c r="C55" s="1023" t="s">
        <v>1856</v>
      </c>
      <c r="D55" s="1024" t="s">
        <v>1252</v>
      </c>
      <c r="E55" s="1024" t="s">
        <v>1855</v>
      </c>
      <c r="F55" s="1024" t="s">
        <v>199</v>
      </c>
      <c r="G55" s="1025" t="s">
        <v>1854</v>
      </c>
      <c r="H55" s="63">
        <v>2888</v>
      </c>
      <c r="I55" s="1026">
        <f t="shared" si="28"/>
        <v>2888</v>
      </c>
      <c r="J55" s="282"/>
      <c r="K55" s="282"/>
      <c r="L55" s="282"/>
      <c r="M55" s="282"/>
      <c r="N55" s="282">
        <v>2490</v>
      </c>
      <c r="O55" s="282">
        <f t="shared" si="29"/>
        <v>2490</v>
      </c>
      <c r="P55" s="284">
        <v>2350</v>
      </c>
      <c r="Q55" s="284">
        <f t="shared" si="30"/>
        <v>2350</v>
      </c>
      <c r="R55" s="282"/>
      <c r="S55" s="282">
        <f>O55-U55</f>
        <v>140</v>
      </c>
      <c r="T55" s="488">
        <v>2350</v>
      </c>
      <c r="U55" s="488">
        <v>2350</v>
      </c>
      <c r="V55" s="282"/>
      <c r="W55" s="282"/>
      <c r="X55" s="54">
        <v>2350</v>
      </c>
      <c r="Y55" s="54">
        <v>2350</v>
      </c>
      <c r="Z55" s="282">
        <f t="shared" si="31"/>
        <v>2000</v>
      </c>
      <c r="AA55" s="282">
        <v>2000</v>
      </c>
      <c r="AB55" s="282">
        <f t="shared" si="32"/>
        <v>350</v>
      </c>
      <c r="AC55" s="282">
        <v>350</v>
      </c>
      <c r="AD55" s="282"/>
      <c r="AE55" s="282"/>
      <c r="AF55" s="282"/>
      <c r="AG55" s="282"/>
      <c r="AH55" s="282"/>
      <c r="AI55" s="282"/>
      <c r="AJ55" s="282"/>
      <c r="AK55" s="282"/>
      <c r="AL55" s="69"/>
      <c r="AM55" s="1009">
        <f t="shared" si="19"/>
        <v>0</v>
      </c>
      <c r="AN55" s="1009">
        <f t="shared" si="20"/>
        <v>1</v>
      </c>
      <c r="AO55" s="144">
        <f t="shared" si="17"/>
        <v>1</v>
      </c>
    </row>
    <row r="56" spans="1:42" ht="49.5" hidden="1" x14ac:dyDescent="0.25">
      <c r="A56" s="60">
        <v>3</v>
      </c>
      <c r="B56" s="60"/>
      <c r="C56" s="1023" t="s">
        <v>1853</v>
      </c>
      <c r="D56" s="1024" t="s">
        <v>1806</v>
      </c>
      <c r="E56" s="1024" t="s">
        <v>1852</v>
      </c>
      <c r="F56" s="1024" t="s">
        <v>199</v>
      </c>
      <c r="G56" s="1025" t="s">
        <v>1851</v>
      </c>
      <c r="H56" s="63">
        <v>2842</v>
      </c>
      <c r="I56" s="1026">
        <f t="shared" si="28"/>
        <v>2842</v>
      </c>
      <c r="J56" s="282"/>
      <c r="K56" s="282"/>
      <c r="L56" s="282"/>
      <c r="M56" s="282"/>
      <c r="N56" s="282">
        <v>2340</v>
      </c>
      <c r="O56" s="282">
        <f t="shared" si="29"/>
        <v>2340</v>
      </c>
      <c r="P56" s="284">
        <v>2640</v>
      </c>
      <c r="Q56" s="284">
        <f t="shared" si="30"/>
        <v>2640</v>
      </c>
      <c r="R56" s="282">
        <f>U56-O56</f>
        <v>300</v>
      </c>
      <c r="S56" s="282"/>
      <c r="T56" s="488">
        <v>2640</v>
      </c>
      <c r="U56" s="488">
        <v>2640</v>
      </c>
      <c r="V56" s="282"/>
      <c r="W56" s="282"/>
      <c r="X56" s="488">
        <v>2640</v>
      </c>
      <c r="Y56" s="488">
        <v>2640</v>
      </c>
      <c r="Z56" s="282">
        <f t="shared" si="31"/>
        <v>1800</v>
      </c>
      <c r="AA56" s="282">
        <v>1800</v>
      </c>
      <c r="AB56" s="282">
        <f t="shared" si="32"/>
        <v>841</v>
      </c>
      <c r="AC56" s="282">
        <v>841</v>
      </c>
      <c r="AD56" s="282"/>
      <c r="AE56" s="282"/>
      <c r="AF56" s="282"/>
      <c r="AG56" s="282"/>
      <c r="AH56" s="282"/>
      <c r="AI56" s="282"/>
      <c r="AJ56" s="282"/>
      <c r="AK56" s="282"/>
      <c r="AL56" s="69"/>
      <c r="AM56" s="1009">
        <f t="shared" si="19"/>
        <v>0</v>
      </c>
      <c r="AN56" s="1009">
        <f t="shared" si="20"/>
        <v>1</v>
      </c>
      <c r="AO56" s="144">
        <f t="shared" si="17"/>
        <v>1</v>
      </c>
    </row>
    <row r="57" spans="1:42" ht="49.5" hidden="1" x14ac:dyDescent="0.25">
      <c r="A57" s="60">
        <v>4</v>
      </c>
      <c r="B57" s="60"/>
      <c r="C57" s="1023" t="s">
        <v>1850</v>
      </c>
      <c r="D57" s="1024" t="s">
        <v>1709</v>
      </c>
      <c r="E57" s="1024" t="s">
        <v>1849</v>
      </c>
      <c r="F57" s="1024" t="s">
        <v>199</v>
      </c>
      <c r="G57" s="1025" t="s">
        <v>1848</v>
      </c>
      <c r="H57" s="63">
        <v>3166</v>
      </c>
      <c r="I57" s="1026">
        <f t="shared" si="28"/>
        <v>3166</v>
      </c>
      <c r="J57" s="282"/>
      <c r="K57" s="282"/>
      <c r="L57" s="282"/>
      <c r="M57" s="282"/>
      <c r="N57" s="282">
        <v>2600</v>
      </c>
      <c r="O57" s="282">
        <f t="shared" si="29"/>
        <v>2600</v>
      </c>
      <c r="P57" s="284">
        <v>2300</v>
      </c>
      <c r="Q57" s="284">
        <f t="shared" si="30"/>
        <v>2300</v>
      </c>
      <c r="R57" s="282"/>
      <c r="S57" s="282">
        <f t="shared" ref="S57:S75" si="33">O57-U57</f>
        <v>300</v>
      </c>
      <c r="T57" s="488">
        <v>2300</v>
      </c>
      <c r="U57" s="488">
        <v>2300</v>
      </c>
      <c r="V57" s="282"/>
      <c r="W57" s="282"/>
      <c r="X57" s="488">
        <v>2300</v>
      </c>
      <c r="Y57" s="488">
        <v>2300</v>
      </c>
      <c r="Z57" s="282">
        <f t="shared" si="31"/>
        <v>2300</v>
      </c>
      <c r="AA57" s="282">
        <v>2300</v>
      </c>
      <c r="AB57" s="282">
        <f t="shared" si="32"/>
        <v>0</v>
      </c>
      <c r="AC57" s="282">
        <v>0</v>
      </c>
      <c r="AD57" s="282"/>
      <c r="AE57" s="282"/>
      <c r="AF57" s="282"/>
      <c r="AG57" s="282"/>
      <c r="AH57" s="282"/>
      <c r="AI57" s="282"/>
      <c r="AJ57" s="282"/>
      <c r="AK57" s="282"/>
      <c r="AL57" s="69"/>
      <c r="AM57" s="1009">
        <f t="shared" si="19"/>
        <v>0</v>
      </c>
      <c r="AN57" s="1009">
        <f t="shared" si="20"/>
        <v>1</v>
      </c>
      <c r="AO57" s="144">
        <f t="shared" si="17"/>
        <v>1</v>
      </c>
    </row>
    <row r="58" spans="1:42" ht="49.5" hidden="1" x14ac:dyDescent="0.25">
      <c r="A58" s="60">
        <v>5</v>
      </c>
      <c r="B58" s="60"/>
      <c r="C58" s="1023" t="s">
        <v>1847</v>
      </c>
      <c r="D58" s="1024" t="s">
        <v>1846</v>
      </c>
      <c r="E58" s="1024" t="s">
        <v>1845</v>
      </c>
      <c r="F58" s="1024" t="s">
        <v>199</v>
      </c>
      <c r="G58" s="1025" t="s">
        <v>1844</v>
      </c>
      <c r="H58" s="63">
        <v>2139</v>
      </c>
      <c r="I58" s="1026">
        <f t="shared" si="28"/>
        <v>2139</v>
      </c>
      <c r="J58" s="282"/>
      <c r="K58" s="282"/>
      <c r="L58" s="282"/>
      <c r="M58" s="282"/>
      <c r="N58" s="282">
        <v>1900</v>
      </c>
      <c r="O58" s="282">
        <f t="shared" si="29"/>
        <v>1900</v>
      </c>
      <c r="P58" s="284">
        <v>1800</v>
      </c>
      <c r="Q58" s="284">
        <f t="shared" si="30"/>
        <v>1800</v>
      </c>
      <c r="R58" s="282"/>
      <c r="S58" s="282">
        <f t="shared" si="33"/>
        <v>100</v>
      </c>
      <c r="T58" s="488">
        <v>1800</v>
      </c>
      <c r="U58" s="488">
        <v>1800</v>
      </c>
      <c r="V58" s="282"/>
      <c r="W58" s="282"/>
      <c r="X58" s="488">
        <v>1800</v>
      </c>
      <c r="Y58" s="488">
        <v>1800</v>
      </c>
      <c r="Z58" s="282">
        <f t="shared" si="31"/>
        <v>1500</v>
      </c>
      <c r="AA58" s="282">
        <v>1500</v>
      </c>
      <c r="AB58" s="282">
        <f t="shared" si="32"/>
        <v>300</v>
      </c>
      <c r="AC58" s="282">
        <v>300</v>
      </c>
      <c r="AD58" s="282"/>
      <c r="AE58" s="282"/>
      <c r="AF58" s="282"/>
      <c r="AG58" s="282"/>
      <c r="AH58" s="282"/>
      <c r="AI58" s="282"/>
      <c r="AJ58" s="282"/>
      <c r="AK58" s="282"/>
      <c r="AL58" s="69"/>
      <c r="AM58" s="1009">
        <f t="shared" si="19"/>
        <v>0</v>
      </c>
      <c r="AN58" s="1009">
        <f t="shared" si="20"/>
        <v>1</v>
      </c>
      <c r="AO58" s="144">
        <f t="shared" si="17"/>
        <v>1</v>
      </c>
    </row>
    <row r="59" spans="1:42" ht="49.5" hidden="1" x14ac:dyDescent="0.25">
      <c r="A59" s="60">
        <v>6</v>
      </c>
      <c r="B59" s="60"/>
      <c r="C59" s="1023" t="s">
        <v>1843</v>
      </c>
      <c r="D59" s="1024" t="s">
        <v>1709</v>
      </c>
      <c r="E59" s="1024" t="s">
        <v>1842</v>
      </c>
      <c r="F59" s="1024" t="s">
        <v>199</v>
      </c>
      <c r="G59" s="1025" t="s">
        <v>1841</v>
      </c>
      <c r="H59" s="63">
        <v>5646</v>
      </c>
      <c r="I59" s="1026">
        <f t="shared" si="28"/>
        <v>5646</v>
      </c>
      <c r="J59" s="282"/>
      <c r="K59" s="282"/>
      <c r="L59" s="282"/>
      <c r="M59" s="282"/>
      <c r="N59" s="282">
        <v>5000</v>
      </c>
      <c r="O59" s="282">
        <f t="shared" si="29"/>
        <v>5000</v>
      </c>
      <c r="P59" s="284">
        <v>4750</v>
      </c>
      <c r="Q59" s="284">
        <f t="shared" si="30"/>
        <v>4750</v>
      </c>
      <c r="R59" s="282"/>
      <c r="S59" s="282">
        <f t="shared" si="33"/>
        <v>250</v>
      </c>
      <c r="T59" s="488">
        <v>4750</v>
      </c>
      <c r="U59" s="488">
        <v>4750</v>
      </c>
      <c r="V59" s="282"/>
      <c r="W59" s="282"/>
      <c r="X59" s="488">
        <v>4750</v>
      </c>
      <c r="Y59" s="488">
        <v>4750</v>
      </c>
      <c r="Z59" s="282">
        <f t="shared" si="31"/>
        <v>3500</v>
      </c>
      <c r="AA59" s="282">
        <v>3500</v>
      </c>
      <c r="AB59" s="282">
        <f t="shared" si="32"/>
        <v>1248</v>
      </c>
      <c r="AC59" s="282">
        <v>1248</v>
      </c>
      <c r="AD59" s="282"/>
      <c r="AE59" s="282"/>
      <c r="AF59" s="282"/>
      <c r="AG59" s="282"/>
      <c r="AH59" s="282"/>
      <c r="AI59" s="282"/>
      <c r="AJ59" s="282"/>
      <c r="AK59" s="282"/>
      <c r="AL59" s="69"/>
      <c r="AM59" s="1009">
        <f t="shared" si="19"/>
        <v>0</v>
      </c>
      <c r="AN59" s="1009">
        <f t="shared" si="20"/>
        <v>1</v>
      </c>
      <c r="AO59" s="144">
        <f t="shared" si="17"/>
        <v>1</v>
      </c>
    </row>
    <row r="60" spans="1:42" ht="49.5" hidden="1" x14ac:dyDescent="0.25">
      <c r="A60" s="60">
        <v>7</v>
      </c>
      <c r="B60" s="60"/>
      <c r="C60" s="1023" t="s">
        <v>1840</v>
      </c>
      <c r="D60" s="1024" t="s">
        <v>1709</v>
      </c>
      <c r="E60" s="1024" t="s">
        <v>1839</v>
      </c>
      <c r="F60" s="1024" t="s">
        <v>199</v>
      </c>
      <c r="G60" s="1025" t="s">
        <v>1838</v>
      </c>
      <c r="H60" s="63">
        <v>4084</v>
      </c>
      <c r="I60" s="1026">
        <f t="shared" si="28"/>
        <v>4084</v>
      </c>
      <c r="J60" s="282"/>
      <c r="K60" s="282"/>
      <c r="L60" s="282"/>
      <c r="M60" s="282"/>
      <c r="N60" s="282">
        <v>3620</v>
      </c>
      <c r="O60" s="282">
        <f t="shared" si="29"/>
        <v>3620</v>
      </c>
      <c r="P60" s="284">
        <v>3400</v>
      </c>
      <c r="Q60" s="284">
        <f t="shared" si="30"/>
        <v>3400</v>
      </c>
      <c r="R60" s="282"/>
      <c r="S60" s="282">
        <f t="shared" si="33"/>
        <v>220</v>
      </c>
      <c r="T60" s="488">
        <v>3400</v>
      </c>
      <c r="U60" s="488">
        <v>3400</v>
      </c>
      <c r="V60" s="282"/>
      <c r="W60" s="282"/>
      <c r="X60" s="488">
        <v>3400</v>
      </c>
      <c r="Y60" s="488">
        <v>3400</v>
      </c>
      <c r="Z60" s="282">
        <f t="shared" si="31"/>
        <v>3400</v>
      </c>
      <c r="AA60" s="282">
        <v>3400</v>
      </c>
      <c r="AB60" s="282">
        <f t="shared" si="32"/>
        <v>0</v>
      </c>
      <c r="AC60" s="282">
        <v>0</v>
      </c>
      <c r="AD60" s="282"/>
      <c r="AE60" s="282"/>
      <c r="AF60" s="282"/>
      <c r="AG60" s="282"/>
      <c r="AH60" s="282"/>
      <c r="AI60" s="282"/>
      <c r="AJ60" s="282"/>
      <c r="AK60" s="282"/>
      <c r="AL60" s="25"/>
      <c r="AM60" s="1009">
        <f t="shared" si="19"/>
        <v>0</v>
      </c>
      <c r="AN60" s="1009">
        <f t="shared" si="20"/>
        <v>1</v>
      </c>
      <c r="AO60" s="144">
        <f t="shared" si="17"/>
        <v>1</v>
      </c>
    </row>
    <row r="61" spans="1:42" ht="49.5" hidden="1" x14ac:dyDescent="0.25">
      <c r="A61" s="60">
        <v>8</v>
      </c>
      <c r="B61" s="60"/>
      <c r="C61" s="1023" t="s">
        <v>1837</v>
      </c>
      <c r="D61" s="1024" t="s">
        <v>1709</v>
      </c>
      <c r="E61" s="1024" t="s">
        <v>1836</v>
      </c>
      <c r="F61" s="1024" t="s">
        <v>199</v>
      </c>
      <c r="G61" s="1025" t="s">
        <v>1835</v>
      </c>
      <c r="H61" s="63">
        <v>6480</v>
      </c>
      <c r="I61" s="1026">
        <f t="shared" si="28"/>
        <v>6480</v>
      </c>
      <c r="J61" s="282"/>
      <c r="K61" s="282"/>
      <c r="L61" s="282"/>
      <c r="M61" s="282"/>
      <c r="N61" s="282">
        <v>5750</v>
      </c>
      <c r="O61" s="282">
        <f t="shared" si="29"/>
        <v>5750</v>
      </c>
      <c r="P61" s="284">
        <f>Q61</f>
        <v>5600</v>
      </c>
      <c r="Q61" s="284">
        <v>5600</v>
      </c>
      <c r="R61" s="282"/>
      <c r="S61" s="282">
        <f t="shared" si="33"/>
        <v>150</v>
      </c>
      <c r="T61" s="488">
        <f>U61</f>
        <v>5600</v>
      </c>
      <c r="U61" s="488">
        <v>5600</v>
      </c>
      <c r="V61" s="282"/>
      <c r="W61" s="282"/>
      <c r="X61" s="488">
        <f>Y61</f>
        <v>5600</v>
      </c>
      <c r="Y61" s="488">
        <v>5600</v>
      </c>
      <c r="Z61" s="282">
        <f t="shared" si="31"/>
        <v>4600</v>
      </c>
      <c r="AA61" s="282">
        <v>4600</v>
      </c>
      <c r="AB61" s="282">
        <f t="shared" si="32"/>
        <v>1007</v>
      </c>
      <c r="AC61" s="282">
        <v>1007</v>
      </c>
      <c r="AD61" s="282"/>
      <c r="AE61" s="282"/>
      <c r="AF61" s="282"/>
      <c r="AG61" s="282"/>
      <c r="AH61" s="282"/>
      <c r="AI61" s="282"/>
      <c r="AJ61" s="282"/>
      <c r="AK61" s="282"/>
      <c r="AL61" s="25"/>
      <c r="AM61" s="1009">
        <f t="shared" si="19"/>
        <v>0</v>
      </c>
      <c r="AN61" s="1009">
        <f t="shared" si="20"/>
        <v>1</v>
      </c>
      <c r="AO61" s="144">
        <f t="shared" si="17"/>
        <v>1</v>
      </c>
    </row>
    <row r="62" spans="1:42" ht="49.5" hidden="1" x14ac:dyDescent="0.25">
      <c r="A62" s="60">
        <v>9</v>
      </c>
      <c r="B62" s="60"/>
      <c r="C62" s="1023" t="s">
        <v>1834</v>
      </c>
      <c r="D62" s="1024" t="s">
        <v>1713</v>
      </c>
      <c r="E62" s="1024" t="s">
        <v>1833</v>
      </c>
      <c r="F62" s="1024" t="s">
        <v>199</v>
      </c>
      <c r="G62" s="1025" t="s">
        <v>1832</v>
      </c>
      <c r="H62" s="63">
        <v>2557</v>
      </c>
      <c r="I62" s="1026">
        <f t="shared" si="28"/>
        <v>2557</v>
      </c>
      <c r="J62" s="282"/>
      <c r="K62" s="282"/>
      <c r="L62" s="282"/>
      <c r="M62" s="282"/>
      <c r="N62" s="282">
        <v>2270</v>
      </c>
      <c r="O62" s="282">
        <f t="shared" si="29"/>
        <v>2270</v>
      </c>
      <c r="P62" s="284">
        <v>2200</v>
      </c>
      <c r="Q62" s="284">
        <f t="shared" ref="Q62:Q74" si="34">P62</f>
        <v>2200</v>
      </c>
      <c r="R62" s="282"/>
      <c r="S62" s="282">
        <f t="shared" si="33"/>
        <v>70</v>
      </c>
      <c r="T62" s="488">
        <v>2200</v>
      </c>
      <c r="U62" s="488">
        <v>2200</v>
      </c>
      <c r="V62" s="282"/>
      <c r="W62" s="282"/>
      <c r="X62" s="488">
        <v>2200</v>
      </c>
      <c r="Y62" s="488">
        <v>2200</v>
      </c>
      <c r="Z62" s="282">
        <f t="shared" si="31"/>
        <v>2200</v>
      </c>
      <c r="AA62" s="282">
        <v>2200</v>
      </c>
      <c r="AB62" s="282">
        <f t="shared" si="32"/>
        <v>0</v>
      </c>
      <c r="AC62" s="282">
        <v>0</v>
      </c>
      <c r="AD62" s="282"/>
      <c r="AE62" s="282"/>
      <c r="AF62" s="282"/>
      <c r="AG62" s="282"/>
      <c r="AH62" s="282"/>
      <c r="AI62" s="282"/>
      <c r="AJ62" s="282"/>
      <c r="AK62" s="282"/>
      <c r="AL62" s="25"/>
      <c r="AM62" s="1009">
        <f t="shared" si="19"/>
        <v>0</v>
      </c>
      <c r="AN62" s="1009">
        <f t="shared" si="20"/>
        <v>1</v>
      </c>
      <c r="AO62" s="144">
        <f t="shared" si="17"/>
        <v>1</v>
      </c>
    </row>
    <row r="63" spans="1:42" ht="49.5" hidden="1" x14ac:dyDescent="0.25">
      <c r="A63" s="60">
        <v>10</v>
      </c>
      <c r="B63" s="60"/>
      <c r="C63" s="1023" t="s">
        <v>1831</v>
      </c>
      <c r="D63" s="1024" t="s">
        <v>1713</v>
      </c>
      <c r="E63" s="1024" t="s">
        <v>1830</v>
      </c>
      <c r="F63" s="1024" t="s">
        <v>199</v>
      </c>
      <c r="G63" s="1025" t="s">
        <v>1829</v>
      </c>
      <c r="H63" s="63">
        <v>7209</v>
      </c>
      <c r="I63" s="1026">
        <f t="shared" si="28"/>
        <v>7209</v>
      </c>
      <c r="J63" s="1087"/>
      <c r="K63" s="282"/>
      <c r="L63" s="282"/>
      <c r="M63" s="282"/>
      <c r="N63" s="282">
        <v>6400</v>
      </c>
      <c r="O63" s="282">
        <f t="shared" si="29"/>
        <v>6400</v>
      </c>
      <c r="P63" s="284">
        <v>6100</v>
      </c>
      <c r="Q63" s="284">
        <f t="shared" si="34"/>
        <v>6100</v>
      </c>
      <c r="R63" s="282"/>
      <c r="S63" s="282">
        <f t="shared" si="33"/>
        <v>300</v>
      </c>
      <c r="T63" s="488">
        <v>6100</v>
      </c>
      <c r="U63" s="488">
        <v>6100</v>
      </c>
      <c r="V63" s="282"/>
      <c r="W63" s="282"/>
      <c r="X63" s="488">
        <v>6100</v>
      </c>
      <c r="Y63" s="488">
        <v>6100</v>
      </c>
      <c r="Z63" s="282">
        <f t="shared" si="31"/>
        <v>5000</v>
      </c>
      <c r="AA63" s="282">
        <v>5000</v>
      </c>
      <c r="AB63" s="282">
        <f t="shared" si="32"/>
        <v>1100</v>
      </c>
      <c r="AC63" s="282">
        <v>1100</v>
      </c>
      <c r="AD63" s="282"/>
      <c r="AE63" s="282"/>
      <c r="AF63" s="282"/>
      <c r="AG63" s="282"/>
      <c r="AH63" s="282"/>
      <c r="AI63" s="282"/>
      <c r="AJ63" s="282"/>
      <c r="AK63" s="282"/>
      <c r="AL63" s="25"/>
      <c r="AM63" s="1009">
        <f t="shared" si="19"/>
        <v>0</v>
      </c>
      <c r="AN63" s="1009">
        <f t="shared" si="20"/>
        <v>1</v>
      </c>
      <c r="AO63" s="144">
        <f t="shared" si="17"/>
        <v>1</v>
      </c>
    </row>
    <row r="64" spans="1:42" ht="49.5" hidden="1" x14ac:dyDescent="0.25">
      <c r="A64" s="60">
        <v>11</v>
      </c>
      <c r="B64" s="60"/>
      <c r="C64" s="1023" t="s">
        <v>1828</v>
      </c>
      <c r="D64" s="1024" t="s">
        <v>1713</v>
      </c>
      <c r="E64" s="1024" t="s">
        <v>1827</v>
      </c>
      <c r="F64" s="1025">
        <v>2016</v>
      </c>
      <c r="G64" s="1025" t="s">
        <v>1826</v>
      </c>
      <c r="H64" s="1045">
        <v>1946</v>
      </c>
      <c r="I64" s="1026">
        <f t="shared" si="28"/>
        <v>1946</v>
      </c>
      <c r="J64" s="1088"/>
      <c r="K64" s="1088"/>
      <c r="L64" s="1088"/>
      <c r="M64" s="1088"/>
      <c r="N64" s="1045">
        <v>1750</v>
      </c>
      <c r="O64" s="282">
        <f t="shared" si="29"/>
        <v>1750</v>
      </c>
      <c r="P64" s="1023">
        <v>1650</v>
      </c>
      <c r="Q64" s="284">
        <f t="shared" si="34"/>
        <v>1650</v>
      </c>
      <c r="R64" s="282"/>
      <c r="S64" s="282">
        <f t="shared" si="33"/>
        <v>100</v>
      </c>
      <c r="T64" s="1036">
        <v>1650</v>
      </c>
      <c r="U64" s="488">
        <v>1650</v>
      </c>
      <c r="V64" s="282"/>
      <c r="W64" s="282"/>
      <c r="X64" s="1036">
        <v>1650</v>
      </c>
      <c r="Y64" s="488">
        <v>1650</v>
      </c>
      <c r="Z64" s="282">
        <f t="shared" si="31"/>
        <v>1200</v>
      </c>
      <c r="AA64" s="282">
        <v>1200</v>
      </c>
      <c r="AB64" s="282">
        <f t="shared" si="32"/>
        <v>448</v>
      </c>
      <c r="AC64" s="282">
        <v>448</v>
      </c>
      <c r="AD64" s="282"/>
      <c r="AE64" s="282"/>
      <c r="AF64" s="282"/>
      <c r="AG64" s="282"/>
      <c r="AH64" s="282"/>
      <c r="AI64" s="282"/>
      <c r="AJ64" s="282"/>
      <c r="AK64" s="282"/>
      <c r="AL64" s="1089"/>
      <c r="AM64" s="1009">
        <f t="shared" si="19"/>
        <v>0</v>
      </c>
      <c r="AN64" s="1009">
        <f t="shared" si="20"/>
        <v>1</v>
      </c>
      <c r="AO64" s="144">
        <f t="shared" si="17"/>
        <v>1</v>
      </c>
    </row>
    <row r="65" spans="1:41" ht="115.5" hidden="1" x14ac:dyDescent="0.25">
      <c r="A65" s="60">
        <v>12</v>
      </c>
      <c r="B65" s="60"/>
      <c r="C65" s="1023" t="s">
        <v>1825</v>
      </c>
      <c r="D65" s="1024" t="s">
        <v>1713</v>
      </c>
      <c r="E65" s="1024" t="s">
        <v>1824</v>
      </c>
      <c r="F65" s="1024" t="s">
        <v>97</v>
      </c>
      <c r="G65" s="1025" t="s">
        <v>1823</v>
      </c>
      <c r="H65" s="63">
        <v>8073</v>
      </c>
      <c r="I65" s="1026">
        <f t="shared" si="28"/>
        <v>8073</v>
      </c>
      <c r="J65" s="282"/>
      <c r="K65" s="282"/>
      <c r="L65" s="282"/>
      <c r="M65" s="282"/>
      <c r="N65" s="63">
        <v>7170</v>
      </c>
      <c r="O65" s="282">
        <f t="shared" si="29"/>
        <v>7170</v>
      </c>
      <c r="P65" s="290">
        <v>6880</v>
      </c>
      <c r="Q65" s="284">
        <f t="shared" si="34"/>
        <v>6880</v>
      </c>
      <c r="R65" s="282"/>
      <c r="S65" s="282">
        <f t="shared" si="33"/>
        <v>290</v>
      </c>
      <c r="T65" s="488">
        <v>6880</v>
      </c>
      <c r="U65" s="488">
        <v>6880</v>
      </c>
      <c r="V65" s="282"/>
      <c r="W65" s="282"/>
      <c r="X65" s="488">
        <v>6880</v>
      </c>
      <c r="Y65" s="488">
        <v>6880</v>
      </c>
      <c r="Z65" s="282">
        <f t="shared" si="31"/>
        <v>3150</v>
      </c>
      <c r="AA65" s="282">
        <v>3150</v>
      </c>
      <c r="AB65" s="282">
        <f t="shared" si="32"/>
        <v>3724</v>
      </c>
      <c r="AC65" s="282">
        <v>3724</v>
      </c>
      <c r="AD65" s="282"/>
      <c r="AE65" s="282"/>
      <c r="AF65" s="282"/>
      <c r="AG65" s="282"/>
      <c r="AH65" s="282"/>
      <c r="AI65" s="282"/>
      <c r="AJ65" s="282"/>
      <c r="AK65" s="282"/>
      <c r="AL65" s="25"/>
      <c r="AM65" s="1009">
        <f t="shared" si="19"/>
        <v>0</v>
      </c>
      <c r="AN65" s="1009">
        <f t="shared" si="20"/>
        <v>1</v>
      </c>
      <c r="AO65" s="144">
        <f t="shared" si="17"/>
        <v>1</v>
      </c>
    </row>
    <row r="66" spans="1:41" ht="115.5" hidden="1" x14ac:dyDescent="0.25">
      <c r="A66" s="60">
        <v>13</v>
      </c>
      <c r="B66" s="60"/>
      <c r="C66" s="1023" t="s">
        <v>1822</v>
      </c>
      <c r="D66" s="1024" t="s">
        <v>1713</v>
      </c>
      <c r="E66" s="1024" t="s">
        <v>1821</v>
      </c>
      <c r="F66" s="1024" t="s">
        <v>97</v>
      </c>
      <c r="G66" s="1025" t="s">
        <v>1820</v>
      </c>
      <c r="H66" s="63">
        <v>4532</v>
      </c>
      <c r="I66" s="1026">
        <f t="shared" si="28"/>
        <v>4532</v>
      </c>
      <c r="J66" s="282"/>
      <c r="K66" s="282"/>
      <c r="L66" s="282"/>
      <c r="M66" s="282"/>
      <c r="N66" s="63">
        <v>4020</v>
      </c>
      <c r="O66" s="282">
        <f t="shared" si="29"/>
        <v>4020</v>
      </c>
      <c r="P66" s="290">
        <v>3700</v>
      </c>
      <c r="Q66" s="284">
        <f t="shared" si="34"/>
        <v>3700</v>
      </c>
      <c r="R66" s="282"/>
      <c r="S66" s="282">
        <f t="shared" si="33"/>
        <v>320</v>
      </c>
      <c r="T66" s="488">
        <v>3700</v>
      </c>
      <c r="U66" s="488">
        <v>3700</v>
      </c>
      <c r="V66" s="282"/>
      <c r="W66" s="282"/>
      <c r="X66" s="488">
        <v>3700</v>
      </c>
      <c r="Y66" s="488">
        <v>3700</v>
      </c>
      <c r="Z66" s="282">
        <f t="shared" si="31"/>
        <v>1700</v>
      </c>
      <c r="AA66" s="282">
        <v>1700</v>
      </c>
      <c r="AB66" s="282">
        <f t="shared" si="32"/>
        <v>2001</v>
      </c>
      <c r="AC66" s="282">
        <v>2001</v>
      </c>
      <c r="AD66" s="282"/>
      <c r="AE66" s="282"/>
      <c r="AF66" s="282"/>
      <c r="AG66" s="282"/>
      <c r="AH66" s="282"/>
      <c r="AI66" s="282"/>
      <c r="AJ66" s="282"/>
      <c r="AK66" s="282"/>
      <c r="AL66" s="69"/>
      <c r="AM66" s="1009">
        <f t="shared" si="19"/>
        <v>0</v>
      </c>
      <c r="AN66" s="1009">
        <f t="shared" si="20"/>
        <v>1</v>
      </c>
      <c r="AO66" s="144">
        <f t="shared" si="17"/>
        <v>1</v>
      </c>
    </row>
    <row r="67" spans="1:41" ht="115.5" hidden="1" x14ac:dyDescent="0.25">
      <c r="A67" s="60">
        <v>14</v>
      </c>
      <c r="B67" s="60"/>
      <c r="C67" s="1023" t="s">
        <v>1819</v>
      </c>
      <c r="D67" s="1024" t="s">
        <v>1713</v>
      </c>
      <c r="E67" s="1024" t="s">
        <v>1818</v>
      </c>
      <c r="F67" s="1024" t="s">
        <v>97</v>
      </c>
      <c r="G67" s="1025" t="s">
        <v>1817</v>
      </c>
      <c r="H67" s="63">
        <v>5170</v>
      </c>
      <c r="I67" s="1026">
        <f t="shared" si="28"/>
        <v>5170</v>
      </c>
      <c r="J67" s="282"/>
      <c r="K67" s="282"/>
      <c r="L67" s="282"/>
      <c r="M67" s="282"/>
      <c r="N67" s="63">
        <v>4590</v>
      </c>
      <c r="O67" s="282">
        <f t="shared" si="29"/>
        <v>4590</v>
      </c>
      <c r="P67" s="290">
        <v>4400</v>
      </c>
      <c r="Q67" s="284">
        <f t="shared" si="34"/>
        <v>4400</v>
      </c>
      <c r="R67" s="282"/>
      <c r="S67" s="282">
        <f t="shared" si="33"/>
        <v>190</v>
      </c>
      <c r="T67" s="488">
        <v>4400</v>
      </c>
      <c r="U67" s="488">
        <v>4400</v>
      </c>
      <c r="V67" s="282"/>
      <c r="W67" s="282"/>
      <c r="X67" s="488">
        <v>4400</v>
      </c>
      <c r="Y67" s="488">
        <v>4400</v>
      </c>
      <c r="Z67" s="282">
        <f t="shared" si="31"/>
        <v>2000</v>
      </c>
      <c r="AA67" s="282">
        <v>2000</v>
      </c>
      <c r="AB67" s="282">
        <f t="shared" si="32"/>
        <v>2401</v>
      </c>
      <c r="AC67" s="282">
        <v>2401</v>
      </c>
      <c r="AD67" s="282"/>
      <c r="AE67" s="282"/>
      <c r="AF67" s="282"/>
      <c r="AG67" s="282"/>
      <c r="AH67" s="282"/>
      <c r="AI67" s="282"/>
      <c r="AJ67" s="282"/>
      <c r="AK67" s="282"/>
      <c r="AL67" s="69"/>
      <c r="AM67" s="1009">
        <f t="shared" si="19"/>
        <v>0</v>
      </c>
      <c r="AN67" s="1009">
        <f t="shared" si="20"/>
        <v>1</v>
      </c>
      <c r="AO67" s="144">
        <f t="shared" si="17"/>
        <v>1</v>
      </c>
    </row>
    <row r="68" spans="1:41" ht="115.5" hidden="1" x14ac:dyDescent="0.25">
      <c r="A68" s="60">
        <v>15</v>
      </c>
      <c r="B68" s="60"/>
      <c r="C68" s="1023" t="s">
        <v>1816</v>
      </c>
      <c r="D68" s="1024" t="s">
        <v>1713</v>
      </c>
      <c r="E68" s="1024" t="s">
        <v>1815</v>
      </c>
      <c r="F68" s="1024" t="s">
        <v>97</v>
      </c>
      <c r="G68" s="1025" t="s">
        <v>1814</v>
      </c>
      <c r="H68" s="63">
        <v>2413</v>
      </c>
      <c r="I68" s="1026">
        <f t="shared" si="28"/>
        <v>2413</v>
      </c>
      <c r="J68" s="282"/>
      <c r="K68" s="282"/>
      <c r="L68" s="282"/>
      <c r="M68" s="282"/>
      <c r="N68" s="63">
        <v>2140</v>
      </c>
      <c r="O68" s="282">
        <f t="shared" si="29"/>
        <v>2140</v>
      </c>
      <c r="P68" s="290">
        <v>1950</v>
      </c>
      <c r="Q68" s="284">
        <f t="shared" si="34"/>
        <v>1950</v>
      </c>
      <c r="R68" s="282"/>
      <c r="S68" s="282">
        <f t="shared" si="33"/>
        <v>190</v>
      </c>
      <c r="T68" s="488">
        <v>1950</v>
      </c>
      <c r="U68" s="488">
        <v>1950</v>
      </c>
      <c r="V68" s="282"/>
      <c r="W68" s="282"/>
      <c r="X68" s="488">
        <v>1950</v>
      </c>
      <c r="Y68" s="488">
        <v>1950</v>
      </c>
      <c r="Z68" s="282">
        <f t="shared" si="31"/>
        <v>1000</v>
      </c>
      <c r="AA68" s="282">
        <v>1000</v>
      </c>
      <c r="AB68" s="282">
        <f t="shared" si="32"/>
        <v>946</v>
      </c>
      <c r="AC68" s="282">
        <v>946</v>
      </c>
      <c r="AD68" s="282"/>
      <c r="AE68" s="282"/>
      <c r="AF68" s="282"/>
      <c r="AG68" s="282"/>
      <c r="AH68" s="282"/>
      <c r="AI68" s="282"/>
      <c r="AJ68" s="282"/>
      <c r="AK68" s="282"/>
      <c r="AL68" s="25"/>
      <c r="AM68" s="1009">
        <f t="shared" si="19"/>
        <v>0</v>
      </c>
      <c r="AN68" s="1009">
        <f t="shared" si="20"/>
        <v>1</v>
      </c>
      <c r="AO68" s="144">
        <f t="shared" si="17"/>
        <v>1</v>
      </c>
    </row>
    <row r="69" spans="1:41" ht="49.5" hidden="1" x14ac:dyDescent="0.25">
      <c r="A69" s="60">
        <v>16</v>
      </c>
      <c r="B69" s="60"/>
      <c r="C69" s="1023" t="s">
        <v>1813</v>
      </c>
      <c r="D69" s="1024" t="s">
        <v>1709</v>
      </c>
      <c r="E69" s="1024" t="s">
        <v>1812</v>
      </c>
      <c r="F69" s="1024" t="s">
        <v>97</v>
      </c>
      <c r="G69" s="1025" t="s">
        <v>1811</v>
      </c>
      <c r="H69" s="63">
        <v>1490</v>
      </c>
      <c r="I69" s="1026">
        <f t="shared" si="28"/>
        <v>1490</v>
      </c>
      <c r="J69" s="282"/>
      <c r="K69" s="282"/>
      <c r="L69" s="282"/>
      <c r="M69" s="282"/>
      <c r="N69" s="63">
        <v>1420</v>
      </c>
      <c r="O69" s="282">
        <f t="shared" si="29"/>
        <v>1420</v>
      </c>
      <c r="P69" s="290">
        <v>1360</v>
      </c>
      <c r="Q69" s="284">
        <f t="shared" si="34"/>
        <v>1360</v>
      </c>
      <c r="R69" s="282"/>
      <c r="S69" s="282">
        <f t="shared" si="33"/>
        <v>60</v>
      </c>
      <c r="T69" s="488">
        <v>1360</v>
      </c>
      <c r="U69" s="488">
        <v>1360</v>
      </c>
      <c r="V69" s="282"/>
      <c r="W69" s="282"/>
      <c r="X69" s="488">
        <v>1360</v>
      </c>
      <c r="Y69" s="488">
        <v>1360</v>
      </c>
      <c r="Z69" s="282">
        <f t="shared" si="31"/>
        <v>700</v>
      </c>
      <c r="AA69" s="282">
        <v>700</v>
      </c>
      <c r="AB69" s="282">
        <f t="shared" si="32"/>
        <v>657</v>
      </c>
      <c r="AC69" s="282">
        <v>657</v>
      </c>
      <c r="AD69" s="282"/>
      <c r="AE69" s="282"/>
      <c r="AF69" s="282"/>
      <c r="AG69" s="282"/>
      <c r="AH69" s="282"/>
      <c r="AI69" s="282"/>
      <c r="AJ69" s="282"/>
      <c r="AK69" s="282"/>
      <c r="AL69" s="69"/>
      <c r="AM69" s="1009">
        <f t="shared" si="19"/>
        <v>0</v>
      </c>
      <c r="AN69" s="1009">
        <f t="shared" si="20"/>
        <v>1</v>
      </c>
      <c r="AO69" s="144">
        <f t="shared" si="17"/>
        <v>1</v>
      </c>
    </row>
    <row r="70" spans="1:41" ht="49.5" hidden="1" x14ac:dyDescent="0.25">
      <c r="A70" s="60">
        <v>17</v>
      </c>
      <c r="B70" s="60"/>
      <c r="C70" s="1023" t="s">
        <v>1810</v>
      </c>
      <c r="D70" s="1024" t="s">
        <v>1259</v>
      </c>
      <c r="E70" s="1024" t="s">
        <v>1809</v>
      </c>
      <c r="F70" s="1024" t="s">
        <v>97</v>
      </c>
      <c r="G70" s="1025" t="s">
        <v>1808</v>
      </c>
      <c r="H70" s="63">
        <v>2531</v>
      </c>
      <c r="I70" s="1026">
        <f t="shared" si="28"/>
        <v>2531</v>
      </c>
      <c r="J70" s="282"/>
      <c r="K70" s="282"/>
      <c r="L70" s="282"/>
      <c r="M70" s="282"/>
      <c r="N70" s="63">
        <v>2180</v>
      </c>
      <c r="O70" s="282">
        <f t="shared" si="29"/>
        <v>2180</v>
      </c>
      <c r="P70" s="290">
        <v>2060</v>
      </c>
      <c r="Q70" s="284">
        <f t="shared" si="34"/>
        <v>2060</v>
      </c>
      <c r="R70" s="282"/>
      <c r="S70" s="282">
        <f t="shared" si="33"/>
        <v>120</v>
      </c>
      <c r="T70" s="488">
        <v>2060</v>
      </c>
      <c r="U70" s="488">
        <v>2060</v>
      </c>
      <c r="V70" s="282"/>
      <c r="W70" s="282"/>
      <c r="X70" s="488">
        <v>2060</v>
      </c>
      <c r="Y70" s="488">
        <v>2060</v>
      </c>
      <c r="Z70" s="282">
        <f t="shared" si="31"/>
        <v>1000</v>
      </c>
      <c r="AA70" s="282">
        <v>1000</v>
      </c>
      <c r="AB70" s="282">
        <f t="shared" si="32"/>
        <v>1060</v>
      </c>
      <c r="AC70" s="282">
        <v>1060</v>
      </c>
      <c r="AD70" s="282"/>
      <c r="AE70" s="282"/>
      <c r="AF70" s="282"/>
      <c r="AG70" s="282"/>
      <c r="AH70" s="282"/>
      <c r="AI70" s="282"/>
      <c r="AJ70" s="282"/>
      <c r="AK70" s="282"/>
      <c r="AL70" s="69"/>
      <c r="AM70" s="1009">
        <f t="shared" si="19"/>
        <v>0</v>
      </c>
      <c r="AN70" s="1009">
        <f t="shared" si="20"/>
        <v>1</v>
      </c>
      <c r="AO70" s="144">
        <f t="shared" si="17"/>
        <v>1</v>
      </c>
    </row>
    <row r="71" spans="1:41" ht="115.5" hidden="1" x14ac:dyDescent="0.25">
      <c r="A71" s="60">
        <v>18</v>
      </c>
      <c r="B71" s="60"/>
      <c r="C71" s="1023" t="s">
        <v>1807</v>
      </c>
      <c r="D71" s="1024" t="s">
        <v>1806</v>
      </c>
      <c r="E71" s="1024" t="s">
        <v>1805</v>
      </c>
      <c r="F71" s="1024" t="s">
        <v>97</v>
      </c>
      <c r="G71" s="1025" t="s">
        <v>1804</v>
      </c>
      <c r="H71" s="1045">
        <v>1996</v>
      </c>
      <c r="I71" s="1026">
        <f t="shared" si="28"/>
        <v>1996</v>
      </c>
      <c r="J71" s="282"/>
      <c r="K71" s="282"/>
      <c r="L71" s="282"/>
      <c r="M71" s="282"/>
      <c r="N71" s="1045">
        <v>1770</v>
      </c>
      <c r="O71" s="282">
        <f t="shared" si="29"/>
        <v>1770</v>
      </c>
      <c r="P71" s="1023">
        <v>1660</v>
      </c>
      <c r="Q71" s="284">
        <f t="shared" si="34"/>
        <v>1660</v>
      </c>
      <c r="R71" s="282"/>
      <c r="S71" s="282">
        <f t="shared" si="33"/>
        <v>110</v>
      </c>
      <c r="T71" s="1036">
        <v>1660</v>
      </c>
      <c r="U71" s="488">
        <v>1660</v>
      </c>
      <c r="V71" s="282"/>
      <c r="W71" s="282"/>
      <c r="X71" s="1036">
        <v>1660</v>
      </c>
      <c r="Y71" s="488">
        <v>1660</v>
      </c>
      <c r="Z71" s="282">
        <f t="shared" si="31"/>
        <v>950</v>
      </c>
      <c r="AA71" s="282">
        <v>950</v>
      </c>
      <c r="AB71" s="282">
        <f t="shared" si="32"/>
        <v>707</v>
      </c>
      <c r="AC71" s="282">
        <v>707</v>
      </c>
      <c r="AD71" s="282"/>
      <c r="AE71" s="282"/>
      <c r="AF71" s="282"/>
      <c r="AG71" s="282"/>
      <c r="AH71" s="282"/>
      <c r="AI71" s="282"/>
      <c r="AJ71" s="282"/>
      <c r="AK71" s="282"/>
      <c r="AL71" s="69"/>
      <c r="AM71" s="1009">
        <f t="shared" si="19"/>
        <v>0</v>
      </c>
      <c r="AN71" s="1009">
        <f t="shared" si="20"/>
        <v>1</v>
      </c>
      <c r="AO71" s="144">
        <f t="shared" si="17"/>
        <v>1</v>
      </c>
    </row>
    <row r="72" spans="1:41" ht="33" hidden="1" x14ac:dyDescent="0.25">
      <c r="A72" s="60">
        <v>19</v>
      </c>
      <c r="B72" s="60"/>
      <c r="C72" s="1090" t="s">
        <v>1803</v>
      </c>
      <c r="D72" s="1024"/>
      <c r="E72" s="1039" t="s">
        <v>1802</v>
      </c>
      <c r="F72" s="1024" t="s">
        <v>109</v>
      </c>
      <c r="G72" s="1025"/>
      <c r="H72" s="68">
        <v>2612</v>
      </c>
      <c r="I72" s="1026">
        <f t="shared" si="28"/>
        <v>2612</v>
      </c>
      <c r="J72" s="282"/>
      <c r="K72" s="282"/>
      <c r="L72" s="282"/>
      <c r="M72" s="282"/>
      <c r="N72" s="68">
        <v>2460</v>
      </c>
      <c r="O72" s="282">
        <f t="shared" si="29"/>
        <v>2460</v>
      </c>
      <c r="P72" s="299">
        <v>1490</v>
      </c>
      <c r="Q72" s="284">
        <f t="shared" si="34"/>
        <v>1490</v>
      </c>
      <c r="R72" s="282"/>
      <c r="S72" s="282">
        <f t="shared" si="33"/>
        <v>970</v>
      </c>
      <c r="T72" s="462">
        <v>1490</v>
      </c>
      <c r="U72" s="488">
        <v>1490</v>
      </c>
      <c r="V72" s="282"/>
      <c r="W72" s="282"/>
      <c r="X72" s="462">
        <v>1490</v>
      </c>
      <c r="Y72" s="488">
        <v>1490</v>
      </c>
      <c r="Z72" s="282"/>
      <c r="AA72" s="282"/>
      <c r="AB72" s="282">
        <f t="shared" si="32"/>
        <v>1488</v>
      </c>
      <c r="AC72" s="282">
        <v>1488</v>
      </c>
      <c r="AD72" s="282"/>
      <c r="AE72" s="282"/>
      <c r="AF72" s="282"/>
      <c r="AG72" s="282"/>
      <c r="AH72" s="282"/>
      <c r="AI72" s="282"/>
      <c r="AJ72" s="282"/>
      <c r="AK72" s="282"/>
      <c r="AL72" s="69"/>
      <c r="AM72" s="1009">
        <f t="shared" si="19"/>
        <v>0</v>
      </c>
      <c r="AN72" s="1009">
        <f t="shared" si="20"/>
        <v>1</v>
      </c>
      <c r="AO72" s="144">
        <f t="shared" si="17"/>
        <v>1</v>
      </c>
    </row>
    <row r="73" spans="1:41" ht="33" hidden="1" x14ac:dyDescent="0.25">
      <c r="A73" s="60">
        <v>20</v>
      </c>
      <c r="B73" s="60"/>
      <c r="C73" s="1090" t="s">
        <v>1801</v>
      </c>
      <c r="D73" s="1024"/>
      <c r="E73" s="1039" t="s">
        <v>1800</v>
      </c>
      <c r="F73" s="1024" t="s">
        <v>109</v>
      </c>
      <c r="G73" s="1025"/>
      <c r="H73" s="1091">
        <v>803</v>
      </c>
      <c r="I73" s="1026">
        <f t="shared" si="28"/>
        <v>803</v>
      </c>
      <c r="J73" s="1028"/>
      <c r="K73" s="1028"/>
      <c r="L73" s="1028"/>
      <c r="M73" s="1028"/>
      <c r="N73" s="68">
        <v>760</v>
      </c>
      <c r="O73" s="282">
        <f t="shared" si="29"/>
        <v>760</v>
      </c>
      <c r="P73" s="299">
        <v>760</v>
      </c>
      <c r="Q73" s="284">
        <f t="shared" si="34"/>
        <v>760</v>
      </c>
      <c r="R73" s="282">
        <f>U73-O73</f>
        <v>0</v>
      </c>
      <c r="S73" s="282">
        <f t="shared" si="33"/>
        <v>0</v>
      </c>
      <c r="T73" s="462">
        <v>760</v>
      </c>
      <c r="U73" s="488">
        <v>760</v>
      </c>
      <c r="V73" s="282"/>
      <c r="W73" s="282"/>
      <c r="X73" s="462">
        <v>760</v>
      </c>
      <c r="Y73" s="488">
        <v>760</v>
      </c>
      <c r="Z73" s="282"/>
      <c r="AA73" s="282"/>
      <c r="AB73" s="282">
        <f t="shared" si="32"/>
        <v>765</v>
      </c>
      <c r="AC73" s="282">
        <v>765</v>
      </c>
      <c r="AD73" s="282"/>
      <c r="AE73" s="282"/>
      <c r="AF73" s="282"/>
      <c r="AG73" s="282"/>
      <c r="AH73" s="282"/>
      <c r="AI73" s="282"/>
      <c r="AJ73" s="282"/>
      <c r="AK73" s="282"/>
      <c r="AL73" s="27"/>
      <c r="AM73" s="1009">
        <f t="shared" si="19"/>
        <v>0</v>
      </c>
      <c r="AN73" s="1009">
        <f t="shared" si="20"/>
        <v>1</v>
      </c>
      <c r="AO73" s="144">
        <f t="shared" si="17"/>
        <v>1</v>
      </c>
    </row>
    <row r="74" spans="1:41" ht="49.5" hidden="1" x14ac:dyDescent="0.25">
      <c r="A74" s="60">
        <v>21</v>
      </c>
      <c r="B74" s="60"/>
      <c r="C74" s="1090" t="s">
        <v>1799</v>
      </c>
      <c r="D74" s="1024"/>
      <c r="E74" s="1039" t="s">
        <v>1798</v>
      </c>
      <c r="F74" s="1024" t="s">
        <v>109</v>
      </c>
      <c r="G74" s="1025"/>
      <c r="H74" s="1092">
        <v>3500</v>
      </c>
      <c r="I74" s="1026">
        <f t="shared" si="28"/>
        <v>3500</v>
      </c>
      <c r="J74" s="1017"/>
      <c r="K74" s="1017"/>
      <c r="L74" s="1017"/>
      <c r="M74" s="1017"/>
      <c r="N74" s="68">
        <v>3300</v>
      </c>
      <c r="O74" s="282">
        <f t="shared" si="29"/>
        <v>3300</v>
      </c>
      <c r="P74" s="299">
        <v>2930</v>
      </c>
      <c r="Q74" s="284">
        <f t="shared" si="34"/>
        <v>2930</v>
      </c>
      <c r="R74" s="282"/>
      <c r="S74" s="282">
        <f t="shared" si="33"/>
        <v>700</v>
      </c>
      <c r="T74" s="462">
        <f>U74</f>
        <v>2600</v>
      </c>
      <c r="U74" s="488">
        <v>2600</v>
      </c>
      <c r="V74" s="282"/>
      <c r="W74" s="282"/>
      <c r="X74" s="462">
        <f>Y74</f>
        <v>2600</v>
      </c>
      <c r="Y74" s="488">
        <v>2600</v>
      </c>
      <c r="Z74" s="282"/>
      <c r="AA74" s="282"/>
      <c r="AB74" s="282"/>
      <c r="AC74" s="282"/>
      <c r="AD74" s="282"/>
      <c r="AE74" s="282"/>
      <c r="AF74" s="282"/>
      <c r="AG74" s="282"/>
      <c r="AH74" s="282"/>
      <c r="AI74" s="282"/>
      <c r="AJ74" s="282"/>
      <c r="AK74" s="282"/>
      <c r="AL74" s="59"/>
      <c r="AM74" s="1009">
        <f t="shared" si="19"/>
        <v>0</v>
      </c>
      <c r="AN74" s="1009">
        <f t="shared" si="20"/>
        <v>1</v>
      </c>
      <c r="AO74" s="144">
        <f t="shared" si="17"/>
        <v>1</v>
      </c>
    </row>
    <row r="75" spans="1:41" ht="49.5" hidden="1" x14ac:dyDescent="0.25">
      <c r="A75" s="60">
        <v>22</v>
      </c>
      <c r="B75" s="60"/>
      <c r="C75" s="1090" t="s">
        <v>1797</v>
      </c>
      <c r="D75" s="1024"/>
      <c r="E75" s="1039" t="s">
        <v>1796</v>
      </c>
      <c r="F75" s="1024" t="s">
        <v>109</v>
      </c>
      <c r="G75" s="1025"/>
      <c r="H75" s="1027">
        <f>621*4.2</f>
        <v>2608.2000000000003</v>
      </c>
      <c r="I75" s="1026">
        <f t="shared" si="28"/>
        <v>2608.2000000000003</v>
      </c>
      <c r="J75" s="1017"/>
      <c r="K75" s="1017"/>
      <c r="L75" s="1017"/>
      <c r="M75" s="1017"/>
      <c r="N75" s="68">
        <v>2400</v>
      </c>
      <c r="O75" s="282">
        <f t="shared" si="29"/>
        <v>2400</v>
      </c>
      <c r="P75" s="299"/>
      <c r="Q75" s="284"/>
      <c r="R75" s="282"/>
      <c r="S75" s="282">
        <f t="shared" si="33"/>
        <v>2400</v>
      </c>
      <c r="T75" s="462"/>
      <c r="U75" s="488"/>
      <c r="V75" s="282"/>
      <c r="W75" s="282"/>
      <c r="X75" s="462"/>
      <c r="Y75" s="488"/>
      <c r="Z75" s="282"/>
      <c r="AA75" s="282"/>
      <c r="AB75" s="282"/>
      <c r="AC75" s="282"/>
      <c r="AD75" s="282"/>
      <c r="AE75" s="282"/>
      <c r="AF75" s="282"/>
      <c r="AG75" s="282"/>
      <c r="AH75" s="282"/>
      <c r="AI75" s="282"/>
      <c r="AJ75" s="282"/>
      <c r="AK75" s="282"/>
      <c r="AL75" s="1093"/>
      <c r="AM75" s="1009">
        <f t="shared" si="19"/>
        <v>0</v>
      </c>
      <c r="AN75" s="1009">
        <f t="shared" si="20"/>
        <v>0</v>
      </c>
      <c r="AO75" s="144">
        <f t="shared" si="17"/>
        <v>1</v>
      </c>
    </row>
    <row r="76" spans="1:41" s="1323" customFormat="1" ht="49.5" hidden="1" x14ac:dyDescent="0.25">
      <c r="A76" s="152">
        <v>23</v>
      </c>
      <c r="B76" s="152"/>
      <c r="C76" s="337" t="s">
        <v>1795</v>
      </c>
      <c r="D76" s="1" t="s">
        <v>1713</v>
      </c>
      <c r="E76" s="1" t="s">
        <v>2548</v>
      </c>
      <c r="F76" s="424" t="s">
        <v>109</v>
      </c>
      <c r="G76" s="1025" t="s">
        <v>2552</v>
      </c>
      <c r="H76" s="331">
        <f>I76</f>
        <v>2266</v>
      </c>
      <c r="I76" s="422">
        <v>2266</v>
      </c>
      <c r="J76" s="1082"/>
      <c r="K76" s="1082"/>
      <c r="L76" s="1082"/>
      <c r="M76" s="1082"/>
      <c r="N76" s="4">
        <v>2000</v>
      </c>
      <c r="O76" s="244">
        <f t="shared" si="29"/>
        <v>2000</v>
      </c>
      <c r="P76" s="243">
        <v>1800</v>
      </c>
      <c r="Q76" s="354">
        <f t="shared" ref="Q76:Q88" si="35">P76</f>
        <v>1800</v>
      </c>
      <c r="R76" s="244">
        <f>U76-O76</f>
        <v>843</v>
      </c>
      <c r="S76" s="244"/>
      <c r="T76" s="457">
        <f>U76</f>
        <v>2843</v>
      </c>
      <c r="U76" s="476">
        <v>2843</v>
      </c>
      <c r="V76" s="244"/>
      <c r="W76" s="244"/>
      <c r="X76" s="457">
        <f>Y76</f>
        <v>2843</v>
      </c>
      <c r="Y76" s="476">
        <v>2843</v>
      </c>
      <c r="Z76" s="244"/>
      <c r="AA76" s="244"/>
      <c r="AB76" s="244"/>
      <c r="AC76" s="244"/>
      <c r="AD76" s="244"/>
      <c r="AE76" s="244"/>
      <c r="AF76" s="244"/>
      <c r="AG76" s="244"/>
      <c r="AH76" s="244"/>
      <c r="AI76" s="244"/>
      <c r="AJ76" s="244"/>
      <c r="AK76" s="244"/>
      <c r="AL76" s="1371"/>
      <c r="AM76" s="933">
        <f t="shared" si="19"/>
        <v>0</v>
      </c>
      <c r="AN76" s="933">
        <f t="shared" si="20"/>
        <v>1</v>
      </c>
      <c r="AO76" s="1333">
        <f t="shared" si="17"/>
        <v>0</v>
      </c>
    </row>
    <row r="77" spans="1:41" ht="33" hidden="1" x14ac:dyDescent="0.25">
      <c r="A77" s="60">
        <v>24</v>
      </c>
      <c r="B77" s="60"/>
      <c r="C77" s="91" t="s">
        <v>1793</v>
      </c>
      <c r="D77" s="61" t="s">
        <v>1713</v>
      </c>
      <c r="E77" s="61" t="s">
        <v>1792</v>
      </c>
      <c r="F77" s="1024" t="s">
        <v>109</v>
      </c>
      <c r="G77" s="1025"/>
      <c r="H77" s="1027">
        <f>I77</f>
        <v>5411</v>
      </c>
      <c r="I77" s="1026">
        <v>5411</v>
      </c>
      <c r="J77" s="1017"/>
      <c r="K77" s="1017"/>
      <c r="L77" s="1017"/>
      <c r="M77" s="1017"/>
      <c r="N77" s="68">
        <v>2400</v>
      </c>
      <c r="O77" s="282">
        <f t="shared" si="29"/>
        <v>2400</v>
      </c>
      <c r="P77" s="299">
        <v>4540</v>
      </c>
      <c r="Q77" s="284">
        <f t="shared" si="35"/>
        <v>4540</v>
      </c>
      <c r="R77" s="282">
        <f>U77-O77</f>
        <v>1240</v>
      </c>
      <c r="S77" s="282"/>
      <c r="T77" s="462">
        <f>U77</f>
        <v>3640</v>
      </c>
      <c r="U77" s="488">
        <v>3640</v>
      </c>
      <c r="V77" s="282"/>
      <c r="W77" s="282"/>
      <c r="X77" s="462">
        <f>Y77</f>
        <v>3640</v>
      </c>
      <c r="Y77" s="488">
        <v>3640</v>
      </c>
      <c r="Z77" s="282"/>
      <c r="AA77" s="282"/>
      <c r="AB77" s="282"/>
      <c r="AC77" s="282"/>
      <c r="AD77" s="282"/>
      <c r="AE77" s="282"/>
      <c r="AF77" s="282"/>
      <c r="AG77" s="282"/>
      <c r="AH77" s="282"/>
      <c r="AI77" s="282"/>
      <c r="AJ77" s="282"/>
      <c r="AK77" s="282"/>
      <c r="AL77" s="59"/>
      <c r="AM77" s="1009">
        <f t="shared" si="19"/>
        <v>0</v>
      </c>
      <c r="AN77" s="1009">
        <f t="shared" si="20"/>
        <v>1</v>
      </c>
      <c r="AO77" s="144">
        <f t="shared" si="17"/>
        <v>1</v>
      </c>
    </row>
    <row r="78" spans="1:41" ht="33" hidden="1" x14ac:dyDescent="0.25">
      <c r="A78" s="60">
        <v>25</v>
      </c>
      <c r="B78" s="60"/>
      <c r="C78" s="91" t="s">
        <v>1791</v>
      </c>
      <c r="D78" s="61" t="s">
        <v>1713</v>
      </c>
      <c r="E78" s="61" t="s">
        <v>1778</v>
      </c>
      <c r="F78" s="1024" t="s">
        <v>109</v>
      </c>
      <c r="G78" s="1025"/>
      <c r="H78" s="1027">
        <f>1000*4.2</f>
        <v>4200</v>
      </c>
      <c r="I78" s="1026">
        <f>H78</f>
        <v>4200</v>
      </c>
      <c r="J78" s="282"/>
      <c r="K78" s="282"/>
      <c r="L78" s="282"/>
      <c r="M78" s="282"/>
      <c r="N78" s="68">
        <v>4000</v>
      </c>
      <c r="O78" s="282">
        <f t="shared" si="29"/>
        <v>4000</v>
      </c>
      <c r="P78" s="299">
        <v>3530</v>
      </c>
      <c r="Q78" s="284">
        <f t="shared" si="35"/>
        <v>3530</v>
      </c>
      <c r="R78" s="282"/>
      <c r="S78" s="282">
        <f t="shared" ref="S78:S100" si="36">O78-U78</f>
        <v>800</v>
      </c>
      <c r="T78" s="462">
        <f>U78</f>
        <v>3200</v>
      </c>
      <c r="U78" s="488">
        <v>3200</v>
      </c>
      <c r="V78" s="282"/>
      <c r="W78" s="282"/>
      <c r="X78" s="462">
        <f>Y78</f>
        <v>3200</v>
      </c>
      <c r="Y78" s="488">
        <v>3200</v>
      </c>
      <c r="Z78" s="282"/>
      <c r="AA78" s="282"/>
      <c r="AB78" s="282"/>
      <c r="AC78" s="282"/>
      <c r="AD78" s="282"/>
      <c r="AE78" s="282"/>
      <c r="AF78" s="282"/>
      <c r="AG78" s="282"/>
      <c r="AH78" s="282"/>
      <c r="AI78" s="282"/>
      <c r="AJ78" s="282"/>
      <c r="AK78" s="282"/>
      <c r="AL78" s="69"/>
      <c r="AM78" s="1009">
        <f t="shared" si="19"/>
        <v>0</v>
      </c>
      <c r="AN78" s="1009">
        <f t="shared" si="20"/>
        <v>1</v>
      </c>
      <c r="AO78" s="144">
        <f t="shared" si="17"/>
        <v>1</v>
      </c>
    </row>
    <row r="79" spans="1:41" ht="33" hidden="1" x14ac:dyDescent="0.25">
      <c r="A79" s="60">
        <v>26</v>
      </c>
      <c r="B79" s="60"/>
      <c r="C79" s="91" t="s">
        <v>1790</v>
      </c>
      <c r="D79" s="61" t="s">
        <v>1713</v>
      </c>
      <c r="E79" s="61" t="s">
        <v>1789</v>
      </c>
      <c r="F79" s="1024" t="s">
        <v>461</v>
      </c>
      <c r="G79" s="1025"/>
      <c r="H79" s="1027">
        <f>700*4.2</f>
        <v>2940</v>
      </c>
      <c r="I79" s="1026">
        <f>H79</f>
        <v>2940</v>
      </c>
      <c r="J79" s="282"/>
      <c r="K79" s="282"/>
      <c r="L79" s="282"/>
      <c r="M79" s="282"/>
      <c r="N79" s="68">
        <v>2800</v>
      </c>
      <c r="O79" s="282">
        <f t="shared" si="29"/>
        <v>2800</v>
      </c>
      <c r="P79" s="299">
        <v>2630</v>
      </c>
      <c r="Q79" s="284">
        <f t="shared" si="35"/>
        <v>2630</v>
      </c>
      <c r="R79" s="282"/>
      <c r="S79" s="282">
        <f t="shared" si="36"/>
        <v>319</v>
      </c>
      <c r="T79" s="462">
        <f>U79</f>
        <v>2481</v>
      </c>
      <c r="U79" s="488">
        <v>2481</v>
      </c>
      <c r="V79" s="282"/>
      <c r="W79" s="282"/>
      <c r="X79" s="462">
        <f>Y79</f>
        <v>2481</v>
      </c>
      <c r="Y79" s="488">
        <v>2481</v>
      </c>
      <c r="Z79" s="282"/>
      <c r="AA79" s="282"/>
      <c r="AB79" s="282"/>
      <c r="AC79" s="282"/>
      <c r="AD79" s="282"/>
      <c r="AE79" s="282"/>
      <c r="AF79" s="282"/>
      <c r="AG79" s="282"/>
      <c r="AH79" s="282"/>
      <c r="AI79" s="282"/>
      <c r="AJ79" s="282"/>
      <c r="AK79" s="282"/>
      <c r="AL79" s="69"/>
      <c r="AM79" s="1009">
        <f t="shared" si="19"/>
        <v>0</v>
      </c>
      <c r="AN79" s="1009">
        <f t="shared" si="20"/>
        <v>1</v>
      </c>
      <c r="AO79" s="144">
        <f t="shared" si="17"/>
        <v>1</v>
      </c>
    </row>
    <row r="80" spans="1:41" ht="33" hidden="1" x14ac:dyDescent="0.25">
      <c r="A80" s="60">
        <v>27</v>
      </c>
      <c r="B80" s="60"/>
      <c r="C80" s="91" t="s">
        <v>1788</v>
      </c>
      <c r="D80" s="61" t="s">
        <v>1713</v>
      </c>
      <c r="E80" s="61" t="s">
        <v>1787</v>
      </c>
      <c r="F80" s="1024" t="s">
        <v>461</v>
      </c>
      <c r="G80" s="1025"/>
      <c r="H80" s="1027">
        <f>2200*4.2</f>
        <v>9240</v>
      </c>
      <c r="I80" s="1026">
        <f>H80</f>
        <v>9240</v>
      </c>
      <c r="J80" s="282"/>
      <c r="K80" s="282"/>
      <c r="L80" s="282"/>
      <c r="M80" s="282"/>
      <c r="N80" s="68">
        <v>8800</v>
      </c>
      <c r="O80" s="282">
        <f t="shared" si="29"/>
        <v>8800</v>
      </c>
      <c r="P80" s="299">
        <v>8800</v>
      </c>
      <c r="Q80" s="284">
        <f t="shared" si="35"/>
        <v>8800</v>
      </c>
      <c r="R80" s="282"/>
      <c r="S80" s="282">
        <f t="shared" si="36"/>
        <v>1300</v>
      </c>
      <c r="T80" s="462">
        <f>U80</f>
        <v>7500</v>
      </c>
      <c r="U80" s="488">
        <v>7500</v>
      </c>
      <c r="V80" s="282"/>
      <c r="W80" s="282"/>
      <c r="X80" s="462">
        <f>Y80</f>
        <v>7500</v>
      </c>
      <c r="Y80" s="488">
        <v>7500</v>
      </c>
      <c r="Z80" s="282"/>
      <c r="AA80" s="282"/>
      <c r="AB80" s="282"/>
      <c r="AC80" s="282"/>
      <c r="AD80" s="282"/>
      <c r="AE80" s="282"/>
      <c r="AF80" s="282"/>
      <c r="AG80" s="282"/>
      <c r="AH80" s="282"/>
      <c r="AI80" s="282"/>
      <c r="AJ80" s="282"/>
      <c r="AK80" s="282"/>
      <c r="AL80" s="69"/>
      <c r="AM80" s="1009">
        <f t="shared" si="19"/>
        <v>0</v>
      </c>
      <c r="AN80" s="1009">
        <f t="shared" si="20"/>
        <v>1</v>
      </c>
      <c r="AO80" s="144">
        <f t="shared" si="17"/>
        <v>1</v>
      </c>
    </row>
    <row r="81" spans="1:41" ht="33" hidden="1" x14ac:dyDescent="0.25">
      <c r="A81" s="60">
        <v>28</v>
      </c>
      <c r="B81" s="60"/>
      <c r="C81" s="91" t="s">
        <v>1786</v>
      </c>
      <c r="D81" s="61" t="s">
        <v>1709</v>
      </c>
      <c r="E81" s="61" t="s">
        <v>1785</v>
      </c>
      <c r="F81" s="1024" t="s">
        <v>461</v>
      </c>
      <c r="G81" s="1025"/>
      <c r="H81" s="1027">
        <f>I81</f>
        <v>5119</v>
      </c>
      <c r="I81" s="1026">
        <v>5119</v>
      </c>
      <c r="J81" s="282"/>
      <c r="K81" s="282"/>
      <c r="L81" s="282"/>
      <c r="M81" s="282"/>
      <c r="N81" s="68">
        <v>4600</v>
      </c>
      <c r="O81" s="282">
        <f t="shared" si="29"/>
        <v>4600</v>
      </c>
      <c r="P81" s="299">
        <v>4390</v>
      </c>
      <c r="Q81" s="284">
        <f t="shared" si="35"/>
        <v>4390</v>
      </c>
      <c r="R81" s="282"/>
      <c r="S81" s="282">
        <f t="shared" si="36"/>
        <v>210</v>
      </c>
      <c r="T81" s="462">
        <v>4390</v>
      </c>
      <c r="U81" s="488">
        <v>4390</v>
      </c>
      <c r="V81" s="282"/>
      <c r="W81" s="282"/>
      <c r="X81" s="462">
        <v>4390</v>
      </c>
      <c r="Y81" s="488">
        <v>4390</v>
      </c>
      <c r="Z81" s="282"/>
      <c r="AA81" s="282"/>
      <c r="AB81" s="282">
        <f>AC81</f>
        <v>2587</v>
      </c>
      <c r="AC81" s="282">
        <v>2587</v>
      </c>
      <c r="AD81" s="282"/>
      <c r="AE81" s="282"/>
      <c r="AF81" s="282"/>
      <c r="AG81" s="282"/>
      <c r="AH81" s="282"/>
      <c r="AI81" s="282"/>
      <c r="AJ81" s="282"/>
      <c r="AK81" s="282"/>
      <c r="AL81" s="69"/>
      <c r="AM81" s="1009">
        <f t="shared" si="19"/>
        <v>0</v>
      </c>
      <c r="AN81" s="1009">
        <f t="shared" si="20"/>
        <v>1</v>
      </c>
      <c r="AO81" s="144">
        <f t="shared" si="17"/>
        <v>1</v>
      </c>
    </row>
    <row r="82" spans="1:41" ht="33" hidden="1" x14ac:dyDescent="0.25">
      <c r="A82" s="60">
        <v>29</v>
      </c>
      <c r="B82" s="60"/>
      <c r="C82" s="91" t="s">
        <v>1784</v>
      </c>
      <c r="D82" s="61" t="s">
        <v>1709</v>
      </c>
      <c r="E82" s="61" t="s">
        <v>1783</v>
      </c>
      <c r="F82" s="1024" t="s">
        <v>461</v>
      </c>
      <c r="G82" s="1025"/>
      <c r="H82" s="1027">
        <f>720*4.2</f>
        <v>3024</v>
      </c>
      <c r="I82" s="1026">
        <f t="shared" ref="I82:I113" si="37">H82</f>
        <v>3024</v>
      </c>
      <c r="J82" s="282"/>
      <c r="K82" s="80"/>
      <c r="L82" s="282"/>
      <c r="M82" s="282"/>
      <c r="N82" s="68">
        <v>2800</v>
      </c>
      <c r="O82" s="282">
        <f t="shared" si="29"/>
        <v>2800</v>
      </c>
      <c r="P82" s="299">
        <v>2800</v>
      </c>
      <c r="Q82" s="284">
        <f t="shared" si="35"/>
        <v>2800</v>
      </c>
      <c r="R82" s="282">
        <f t="shared" ref="R82:R86" si="38">U82-O82</f>
        <v>0</v>
      </c>
      <c r="S82" s="282">
        <f t="shared" si="36"/>
        <v>0</v>
      </c>
      <c r="T82" s="462">
        <v>2800</v>
      </c>
      <c r="U82" s="488">
        <v>2800</v>
      </c>
      <c r="V82" s="282"/>
      <c r="W82" s="282"/>
      <c r="X82" s="462">
        <v>2800</v>
      </c>
      <c r="Y82" s="488">
        <v>2800</v>
      </c>
      <c r="Z82" s="282"/>
      <c r="AA82" s="282"/>
      <c r="AB82" s="282"/>
      <c r="AC82" s="282"/>
      <c r="AD82" s="282"/>
      <c r="AE82" s="282"/>
      <c r="AF82" s="282"/>
      <c r="AG82" s="282"/>
      <c r="AH82" s="282"/>
      <c r="AI82" s="282"/>
      <c r="AJ82" s="282"/>
      <c r="AK82" s="282"/>
      <c r="AL82" s="69"/>
      <c r="AM82" s="1009">
        <f t="shared" si="19"/>
        <v>0</v>
      </c>
      <c r="AN82" s="1009">
        <f t="shared" si="20"/>
        <v>1</v>
      </c>
      <c r="AO82" s="144">
        <f t="shared" si="17"/>
        <v>1</v>
      </c>
    </row>
    <row r="83" spans="1:41" ht="33" hidden="1" x14ac:dyDescent="0.25">
      <c r="A83" s="60">
        <v>30</v>
      </c>
      <c r="B83" s="60"/>
      <c r="C83" s="91" t="s">
        <v>1782</v>
      </c>
      <c r="D83" s="61" t="s">
        <v>1709</v>
      </c>
      <c r="E83" s="61" t="s">
        <v>1780</v>
      </c>
      <c r="F83" s="1024" t="s">
        <v>461</v>
      </c>
      <c r="G83" s="1025"/>
      <c r="H83" s="1027">
        <f>780*4.2</f>
        <v>3276</v>
      </c>
      <c r="I83" s="1026">
        <f t="shared" si="37"/>
        <v>3276</v>
      </c>
      <c r="J83" s="282"/>
      <c r="K83" s="80"/>
      <c r="L83" s="282"/>
      <c r="M83" s="282"/>
      <c r="N83" s="68">
        <v>3100</v>
      </c>
      <c r="O83" s="282">
        <f t="shared" si="29"/>
        <v>3100</v>
      </c>
      <c r="P83" s="299">
        <v>3100</v>
      </c>
      <c r="Q83" s="284">
        <f t="shared" si="35"/>
        <v>3100</v>
      </c>
      <c r="R83" s="282"/>
      <c r="S83" s="282">
        <f t="shared" si="36"/>
        <v>781</v>
      </c>
      <c r="T83" s="462">
        <f>U83</f>
        <v>2319</v>
      </c>
      <c r="U83" s="488">
        <v>2319</v>
      </c>
      <c r="V83" s="282"/>
      <c r="W83" s="282"/>
      <c r="X83" s="462">
        <f>Y83</f>
        <v>2319</v>
      </c>
      <c r="Y83" s="488">
        <v>2319</v>
      </c>
      <c r="Z83" s="282"/>
      <c r="AA83" s="282"/>
      <c r="AB83" s="282"/>
      <c r="AC83" s="282"/>
      <c r="AD83" s="282"/>
      <c r="AE83" s="282"/>
      <c r="AF83" s="282"/>
      <c r="AG83" s="282"/>
      <c r="AH83" s="282"/>
      <c r="AI83" s="282"/>
      <c r="AJ83" s="282"/>
      <c r="AK83" s="282"/>
      <c r="AL83" s="69"/>
      <c r="AM83" s="1009">
        <f t="shared" si="19"/>
        <v>0</v>
      </c>
      <c r="AN83" s="1009">
        <f t="shared" si="20"/>
        <v>1</v>
      </c>
      <c r="AO83" s="144">
        <f t="shared" si="17"/>
        <v>1</v>
      </c>
    </row>
    <row r="84" spans="1:41" ht="33" hidden="1" x14ac:dyDescent="0.25">
      <c r="A84" s="60">
        <v>31</v>
      </c>
      <c r="B84" s="60"/>
      <c r="C84" s="91" t="s">
        <v>1781</v>
      </c>
      <c r="D84" s="61" t="s">
        <v>1709</v>
      </c>
      <c r="E84" s="61" t="s">
        <v>1780</v>
      </c>
      <c r="F84" s="1024" t="s">
        <v>461</v>
      </c>
      <c r="G84" s="1025"/>
      <c r="H84" s="1027">
        <f>780*4.2</f>
        <v>3276</v>
      </c>
      <c r="I84" s="1026">
        <f t="shared" si="37"/>
        <v>3276</v>
      </c>
      <c r="J84" s="282"/>
      <c r="K84" s="80"/>
      <c r="L84" s="282"/>
      <c r="M84" s="282"/>
      <c r="N84" s="68">
        <v>3100</v>
      </c>
      <c r="O84" s="282">
        <f t="shared" si="29"/>
        <v>3100</v>
      </c>
      <c r="P84" s="299">
        <v>2700</v>
      </c>
      <c r="Q84" s="284">
        <f t="shared" si="35"/>
        <v>2700</v>
      </c>
      <c r="R84" s="282"/>
      <c r="S84" s="282">
        <f t="shared" si="36"/>
        <v>400</v>
      </c>
      <c r="T84" s="462">
        <v>2700</v>
      </c>
      <c r="U84" s="488">
        <v>2700</v>
      </c>
      <c r="V84" s="282"/>
      <c r="W84" s="282"/>
      <c r="X84" s="462">
        <v>2700</v>
      </c>
      <c r="Y84" s="488">
        <v>2700</v>
      </c>
      <c r="Z84" s="282"/>
      <c r="AA84" s="282"/>
      <c r="AB84" s="282"/>
      <c r="AC84" s="282"/>
      <c r="AD84" s="282"/>
      <c r="AE84" s="282"/>
      <c r="AF84" s="282"/>
      <c r="AG84" s="282"/>
      <c r="AH84" s="282"/>
      <c r="AI84" s="282"/>
      <c r="AJ84" s="282"/>
      <c r="AK84" s="282"/>
      <c r="AL84" s="69"/>
      <c r="AM84" s="1009">
        <f t="shared" si="19"/>
        <v>0</v>
      </c>
      <c r="AN84" s="1009">
        <f t="shared" si="20"/>
        <v>1</v>
      </c>
      <c r="AO84" s="144">
        <f t="shared" si="17"/>
        <v>1</v>
      </c>
    </row>
    <row r="85" spans="1:41" ht="33" hidden="1" x14ac:dyDescent="0.25">
      <c r="A85" s="60">
        <v>32</v>
      </c>
      <c r="B85" s="60"/>
      <c r="C85" s="91" t="s">
        <v>1779</v>
      </c>
      <c r="D85" s="61" t="s">
        <v>1709</v>
      </c>
      <c r="E85" s="61" t="s">
        <v>1778</v>
      </c>
      <c r="F85" s="1024" t="s">
        <v>461</v>
      </c>
      <c r="G85" s="1025"/>
      <c r="H85" s="1027">
        <f>1000*4.2</f>
        <v>4200</v>
      </c>
      <c r="I85" s="1026">
        <f t="shared" si="37"/>
        <v>4200</v>
      </c>
      <c r="J85" s="1017"/>
      <c r="K85" s="1017"/>
      <c r="L85" s="1017"/>
      <c r="M85" s="1017"/>
      <c r="N85" s="68">
        <v>4000</v>
      </c>
      <c r="O85" s="282">
        <f t="shared" si="29"/>
        <v>4000</v>
      </c>
      <c r="P85" s="299">
        <v>4000</v>
      </c>
      <c r="Q85" s="284">
        <f t="shared" si="35"/>
        <v>4000</v>
      </c>
      <c r="R85" s="282">
        <f t="shared" si="38"/>
        <v>0</v>
      </c>
      <c r="S85" s="282">
        <f t="shared" si="36"/>
        <v>0</v>
      </c>
      <c r="T85" s="462">
        <v>4000</v>
      </c>
      <c r="U85" s="488">
        <v>4000</v>
      </c>
      <c r="V85" s="282"/>
      <c r="W85" s="282"/>
      <c r="X85" s="462">
        <v>4000</v>
      </c>
      <c r="Y85" s="488">
        <v>4000</v>
      </c>
      <c r="Z85" s="282"/>
      <c r="AA85" s="282"/>
      <c r="AB85" s="282"/>
      <c r="AC85" s="282"/>
      <c r="AD85" s="1017"/>
      <c r="AE85" s="1017"/>
      <c r="AF85" s="1017"/>
      <c r="AG85" s="1017"/>
      <c r="AH85" s="1017"/>
      <c r="AI85" s="1017"/>
      <c r="AJ85" s="1017"/>
      <c r="AK85" s="1017"/>
      <c r="AL85" s="59"/>
      <c r="AM85" s="1009">
        <f t="shared" si="19"/>
        <v>0</v>
      </c>
      <c r="AN85" s="1009">
        <f t="shared" si="20"/>
        <v>1</v>
      </c>
      <c r="AO85" s="144">
        <f t="shared" si="17"/>
        <v>1</v>
      </c>
    </row>
    <row r="86" spans="1:41" ht="33" hidden="1" x14ac:dyDescent="0.25">
      <c r="A86" s="60">
        <v>33</v>
      </c>
      <c r="B86" s="60"/>
      <c r="C86" s="91" t="s">
        <v>1777</v>
      </c>
      <c r="D86" s="61" t="s">
        <v>1709</v>
      </c>
      <c r="E86" s="61" t="s">
        <v>1776</v>
      </c>
      <c r="F86" s="1024" t="s">
        <v>461</v>
      </c>
      <c r="G86" s="1025"/>
      <c r="H86" s="1027">
        <f>1100*4.2</f>
        <v>4620</v>
      </c>
      <c r="I86" s="1026">
        <f t="shared" si="37"/>
        <v>4620</v>
      </c>
      <c r="J86" s="1028"/>
      <c r="K86" s="1028"/>
      <c r="L86" s="1028"/>
      <c r="M86" s="1028"/>
      <c r="N86" s="68">
        <v>4400</v>
      </c>
      <c r="O86" s="282">
        <f t="shared" si="29"/>
        <v>4400</v>
      </c>
      <c r="P86" s="299">
        <v>4400</v>
      </c>
      <c r="Q86" s="284">
        <f t="shared" si="35"/>
        <v>4400</v>
      </c>
      <c r="R86" s="282">
        <f t="shared" si="38"/>
        <v>0</v>
      </c>
      <c r="S86" s="282">
        <f t="shared" si="36"/>
        <v>0</v>
      </c>
      <c r="T86" s="462">
        <v>4400</v>
      </c>
      <c r="U86" s="488">
        <v>4400</v>
      </c>
      <c r="V86" s="282"/>
      <c r="W86" s="282"/>
      <c r="X86" s="462">
        <v>4400</v>
      </c>
      <c r="Y86" s="488">
        <v>4400</v>
      </c>
      <c r="Z86" s="282"/>
      <c r="AA86" s="282"/>
      <c r="AB86" s="282"/>
      <c r="AC86" s="282"/>
      <c r="AD86" s="1017"/>
      <c r="AE86" s="1017"/>
      <c r="AF86" s="1017"/>
      <c r="AG86" s="1017"/>
      <c r="AH86" s="1017"/>
      <c r="AI86" s="1017"/>
      <c r="AJ86" s="1017"/>
      <c r="AK86" s="1017"/>
      <c r="AL86" s="1029"/>
      <c r="AM86" s="1009">
        <f t="shared" si="19"/>
        <v>0</v>
      </c>
      <c r="AN86" s="1009">
        <f t="shared" si="20"/>
        <v>1</v>
      </c>
      <c r="AO86" s="144">
        <f t="shared" si="17"/>
        <v>1</v>
      </c>
    </row>
    <row r="87" spans="1:41" ht="33" hidden="1" x14ac:dyDescent="0.25">
      <c r="A87" s="60">
        <v>34</v>
      </c>
      <c r="B87" s="60"/>
      <c r="C87" s="91" t="s">
        <v>1775</v>
      </c>
      <c r="D87" s="61" t="s">
        <v>1709</v>
      </c>
      <c r="E87" s="61" t="s">
        <v>1774</v>
      </c>
      <c r="F87" s="1024" t="s">
        <v>461</v>
      </c>
      <c r="G87" s="1025"/>
      <c r="H87" s="1027">
        <f>970*4.2</f>
        <v>4074</v>
      </c>
      <c r="I87" s="1026">
        <f t="shared" si="37"/>
        <v>4074</v>
      </c>
      <c r="J87" s="282"/>
      <c r="K87" s="282"/>
      <c r="L87" s="282"/>
      <c r="M87" s="282"/>
      <c r="N87" s="68">
        <v>3800</v>
      </c>
      <c r="O87" s="282">
        <f t="shared" si="29"/>
        <v>3800</v>
      </c>
      <c r="P87" s="299">
        <v>3800</v>
      </c>
      <c r="Q87" s="284">
        <f t="shared" si="35"/>
        <v>3800</v>
      </c>
      <c r="R87" s="282">
        <f>U87-O87</f>
        <v>0</v>
      </c>
      <c r="S87" s="282">
        <f t="shared" si="36"/>
        <v>0</v>
      </c>
      <c r="T87" s="462">
        <v>3800</v>
      </c>
      <c r="U87" s="488">
        <v>3800</v>
      </c>
      <c r="V87" s="282"/>
      <c r="W87" s="282"/>
      <c r="X87" s="462">
        <v>3800</v>
      </c>
      <c r="Y87" s="488">
        <v>3800</v>
      </c>
      <c r="Z87" s="282"/>
      <c r="AA87" s="282"/>
      <c r="AB87" s="282"/>
      <c r="AC87" s="282"/>
      <c r="AD87" s="282"/>
      <c r="AE87" s="282"/>
      <c r="AF87" s="282"/>
      <c r="AG87" s="282"/>
      <c r="AH87" s="282"/>
      <c r="AI87" s="282"/>
      <c r="AJ87" s="282"/>
      <c r="AK87" s="282"/>
      <c r="AL87" s="69"/>
      <c r="AM87" s="1009">
        <f t="shared" si="19"/>
        <v>0</v>
      </c>
      <c r="AN87" s="1009">
        <f t="shared" si="20"/>
        <v>1</v>
      </c>
      <c r="AO87" s="144">
        <f t="shared" si="17"/>
        <v>1</v>
      </c>
    </row>
    <row r="88" spans="1:41" ht="33" hidden="1" x14ac:dyDescent="0.25">
      <c r="A88" s="60">
        <v>35</v>
      </c>
      <c r="B88" s="60"/>
      <c r="C88" s="91" t="s">
        <v>1773</v>
      </c>
      <c r="D88" s="61" t="s">
        <v>1709</v>
      </c>
      <c r="E88" s="61" t="s">
        <v>1772</v>
      </c>
      <c r="F88" s="1024" t="s">
        <v>461</v>
      </c>
      <c r="G88" s="1025"/>
      <c r="H88" s="1027">
        <f>2800*4.2</f>
        <v>11760</v>
      </c>
      <c r="I88" s="1026">
        <f t="shared" si="37"/>
        <v>11760</v>
      </c>
      <c r="J88" s="282"/>
      <c r="K88" s="282"/>
      <c r="L88" s="282"/>
      <c r="M88" s="282"/>
      <c r="N88" s="68">
        <v>11200</v>
      </c>
      <c r="O88" s="282">
        <f t="shared" si="29"/>
        <v>11200</v>
      </c>
      <c r="P88" s="299">
        <v>9000</v>
      </c>
      <c r="Q88" s="284">
        <f t="shared" si="35"/>
        <v>9000</v>
      </c>
      <c r="R88" s="282"/>
      <c r="S88" s="282">
        <f t="shared" si="36"/>
        <v>2380</v>
      </c>
      <c r="T88" s="462">
        <f>U88</f>
        <v>8820</v>
      </c>
      <c r="U88" s="488">
        <v>8820</v>
      </c>
      <c r="V88" s="282"/>
      <c r="W88" s="282"/>
      <c r="X88" s="462">
        <f>Y88</f>
        <v>8820</v>
      </c>
      <c r="Y88" s="488">
        <v>8820</v>
      </c>
      <c r="Z88" s="282"/>
      <c r="AA88" s="282"/>
      <c r="AB88" s="282"/>
      <c r="AC88" s="282"/>
      <c r="AD88" s="282"/>
      <c r="AE88" s="282"/>
      <c r="AF88" s="282"/>
      <c r="AG88" s="282"/>
      <c r="AH88" s="282"/>
      <c r="AI88" s="282"/>
      <c r="AJ88" s="282"/>
      <c r="AK88" s="282"/>
      <c r="AL88" s="69"/>
      <c r="AM88" s="1009">
        <f t="shared" si="19"/>
        <v>0</v>
      </c>
      <c r="AN88" s="1009">
        <f t="shared" si="20"/>
        <v>1</v>
      </c>
      <c r="AO88" s="144">
        <f t="shared" si="17"/>
        <v>1</v>
      </c>
    </row>
    <row r="89" spans="1:41" ht="33" hidden="1" x14ac:dyDescent="0.25">
      <c r="A89" s="60">
        <v>36</v>
      </c>
      <c r="B89" s="60"/>
      <c r="C89" s="91" t="s">
        <v>1771</v>
      </c>
      <c r="D89" s="61" t="s">
        <v>1713</v>
      </c>
      <c r="E89" s="61" t="s">
        <v>1770</v>
      </c>
      <c r="F89" s="1024" t="s">
        <v>461</v>
      </c>
      <c r="G89" s="1025"/>
      <c r="H89" s="1027">
        <f>1600*4.2</f>
        <v>6720</v>
      </c>
      <c r="I89" s="1026">
        <f t="shared" si="37"/>
        <v>6720</v>
      </c>
      <c r="J89" s="282"/>
      <c r="K89" s="282"/>
      <c r="L89" s="282"/>
      <c r="M89" s="282"/>
      <c r="N89" s="68">
        <v>6400</v>
      </c>
      <c r="O89" s="282">
        <f t="shared" si="29"/>
        <v>6400</v>
      </c>
      <c r="P89" s="299"/>
      <c r="Q89" s="284"/>
      <c r="R89" s="282"/>
      <c r="S89" s="282">
        <f t="shared" si="36"/>
        <v>6400</v>
      </c>
      <c r="T89" s="462"/>
      <c r="U89" s="488"/>
      <c r="V89" s="282"/>
      <c r="W89" s="282"/>
      <c r="X89" s="462"/>
      <c r="Y89" s="488"/>
      <c r="Z89" s="282"/>
      <c r="AA89" s="282"/>
      <c r="AB89" s="282"/>
      <c r="AC89" s="282"/>
      <c r="AD89" s="282"/>
      <c r="AE89" s="282"/>
      <c r="AF89" s="282"/>
      <c r="AG89" s="282"/>
      <c r="AH89" s="282"/>
      <c r="AI89" s="282"/>
      <c r="AJ89" s="282"/>
      <c r="AK89" s="282"/>
      <c r="AL89" s="25"/>
      <c r="AM89" s="1009">
        <f t="shared" si="19"/>
        <v>0</v>
      </c>
      <c r="AN89" s="1009">
        <f t="shared" si="20"/>
        <v>0</v>
      </c>
      <c r="AO89" s="144">
        <f t="shared" si="17"/>
        <v>1</v>
      </c>
    </row>
    <row r="90" spans="1:41" ht="33" hidden="1" x14ac:dyDescent="0.25">
      <c r="A90" s="60">
        <v>37</v>
      </c>
      <c r="B90" s="60"/>
      <c r="C90" s="91" t="s">
        <v>1769</v>
      </c>
      <c r="D90" s="61" t="s">
        <v>1713</v>
      </c>
      <c r="E90" s="61" t="s">
        <v>1768</v>
      </c>
      <c r="F90" s="1024" t="s">
        <v>461</v>
      </c>
      <c r="G90" s="1025"/>
      <c r="H90" s="1027">
        <v>1750</v>
      </c>
      <c r="I90" s="1026">
        <f t="shared" si="37"/>
        <v>1750</v>
      </c>
      <c r="J90" s="282"/>
      <c r="K90" s="282"/>
      <c r="L90" s="282"/>
      <c r="M90" s="282"/>
      <c r="N90" s="68">
        <v>1600</v>
      </c>
      <c r="O90" s="282">
        <f t="shared" si="29"/>
        <v>1600</v>
      </c>
      <c r="P90" s="299"/>
      <c r="Q90" s="284"/>
      <c r="R90" s="282"/>
      <c r="S90" s="282">
        <f t="shared" si="36"/>
        <v>1600</v>
      </c>
      <c r="T90" s="462"/>
      <c r="U90" s="488"/>
      <c r="V90" s="282"/>
      <c r="W90" s="282"/>
      <c r="X90" s="462"/>
      <c r="Y90" s="488"/>
      <c r="Z90" s="282"/>
      <c r="AA90" s="282"/>
      <c r="AB90" s="282"/>
      <c r="AC90" s="282"/>
      <c r="AD90" s="282"/>
      <c r="AE90" s="282"/>
      <c r="AF90" s="282"/>
      <c r="AG90" s="282"/>
      <c r="AH90" s="282"/>
      <c r="AI90" s="282"/>
      <c r="AJ90" s="282"/>
      <c r="AK90" s="282"/>
      <c r="AL90" s="25"/>
      <c r="AM90" s="1009">
        <f t="shared" si="19"/>
        <v>0</v>
      </c>
      <c r="AN90" s="1009">
        <f t="shared" si="20"/>
        <v>0</v>
      </c>
      <c r="AO90" s="144">
        <f t="shared" si="17"/>
        <v>1</v>
      </c>
    </row>
    <row r="91" spans="1:41" ht="33" hidden="1" x14ac:dyDescent="0.25">
      <c r="A91" s="60">
        <v>38</v>
      </c>
      <c r="B91" s="60"/>
      <c r="C91" s="91" t="s">
        <v>1767</v>
      </c>
      <c r="D91" s="61" t="s">
        <v>1713</v>
      </c>
      <c r="E91" s="61" t="s">
        <v>1766</v>
      </c>
      <c r="F91" s="1024" t="s">
        <v>461</v>
      </c>
      <c r="G91" s="1025"/>
      <c r="H91" s="1027">
        <v>2851</v>
      </c>
      <c r="I91" s="1026">
        <f t="shared" si="37"/>
        <v>2851</v>
      </c>
      <c r="J91" s="282"/>
      <c r="K91" s="282"/>
      <c r="L91" s="282"/>
      <c r="M91" s="282"/>
      <c r="N91" s="68">
        <v>2700</v>
      </c>
      <c r="O91" s="282">
        <f t="shared" si="29"/>
        <v>2700</v>
      </c>
      <c r="P91" s="299"/>
      <c r="Q91" s="284"/>
      <c r="R91" s="282"/>
      <c r="S91" s="282">
        <f t="shared" si="36"/>
        <v>2700</v>
      </c>
      <c r="T91" s="462"/>
      <c r="U91" s="488"/>
      <c r="V91" s="282"/>
      <c r="W91" s="282"/>
      <c r="X91" s="462"/>
      <c r="Y91" s="488"/>
      <c r="Z91" s="282"/>
      <c r="AA91" s="282"/>
      <c r="AB91" s="282"/>
      <c r="AC91" s="282"/>
      <c r="AD91" s="282"/>
      <c r="AE91" s="282"/>
      <c r="AF91" s="282"/>
      <c r="AG91" s="282"/>
      <c r="AH91" s="282"/>
      <c r="AI91" s="282"/>
      <c r="AJ91" s="282"/>
      <c r="AK91" s="282"/>
      <c r="AL91" s="25"/>
      <c r="AM91" s="1009">
        <f t="shared" si="19"/>
        <v>0</v>
      </c>
      <c r="AN91" s="1009">
        <f t="shared" si="20"/>
        <v>0</v>
      </c>
      <c r="AO91" s="144">
        <f t="shared" si="17"/>
        <v>1</v>
      </c>
    </row>
    <row r="92" spans="1:41" ht="33" hidden="1" x14ac:dyDescent="0.25">
      <c r="A92" s="60">
        <v>39</v>
      </c>
      <c r="B92" s="60"/>
      <c r="C92" s="91" t="s">
        <v>1765</v>
      </c>
      <c r="D92" s="61" t="s">
        <v>1713</v>
      </c>
      <c r="E92" s="61" t="s">
        <v>1764</v>
      </c>
      <c r="F92" s="1024" t="s">
        <v>461</v>
      </c>
      <c r="G92" s="1025"/>
      <c r="H92" s="1027">
        <v>2839</v>
      </c>
      <c r="I92" s="1026">
        <f t="shared" si="37"/>
        <v>2839</v>
      </c>
      <c r="J92" s="282"/>
      <c r="K92" s="282"/>
      <c r="L92" s="282"/>
      <c r="M92" s="282"/>
      <c r="N92" s="68">
        <v>2500</v>
      </c>
      <c r="O92" s="282">
        <f t="shared" si="29"/>
        <v>2500</v>
      </c>
      <c r="P92" s="299"/>
      <c r="Q92" s="284"/>
      <c r="R92" s="282"/>
      <c r="S92" s="282">
        <f t="shared" si="36"/>
        <v>2500</v>
      </c>
      <c r="T92" s="462"/>
      <c r="U92" s="488"/>
      <c r="V92" s="282"/>
      <c r="W92" s="282"/>
      <c r="X92" s="462"/>
      <c r="Y92" s="488"/>
      <c r="Z92" s="282"/>
      <c r="AA92" s="282"/>
      <c r="AB92" s="282"/>
      <c r="AC92" s="282"/>
      <c r="AD92" s="282"/>
      <c r="AE92" s="282"/>
      <c r="AF92" s="282"/>
      <c r="AG92" s="282"/>
      <c r="AH92" s="282"/>
      <c r="AI92" s="282"/>
      <c r="AJ92" s="282"/>
      <c r="AK92" s="282"/>
      <c r="AL92" s="25"/>
      <c r="AM92" s="1009">
        <f t="shared" si="19"/>
        <v>0</v>
      </c>
      <c r="AN92" s="1009">
        <f t="shared" si="20"/>
        <v>0</v>
      </c>
      <c r="AO92" s="144">
        <f t="shared" si="17"/>
        <v>1</v>
      </c>
    </row>
    <row r="93" spans="1:41" ht="33" hidden="1" x14ac:dyDescent="0.25">
      <c r="A93" s="60">
        <v>40</v>
      </c>
      <c r="B93" s="60"/>
      <c r="C93" s="9" t="s">
        <v>1763</v>
      </c>
      <c r="D93" s="61"/>
      <c r="E93" s="61"/>
      <c r="F93" s="1024" t="s">
        <v>290</v>
      </c>
      <c r="G93" s="1025"/>
      <c r="H93" s="68">
        <v>3900</v>
      </c>
      <c r="I93" s="1026">
        <f t="shared" si="37"/>
        <v>3900</v>
      </c>
      <c r="J93" s="282"/>
      <c r="K93" s="282"/>
      <c r="L93" s="282"/>
      <c r="M93" s="282"/>
      <c r="N93" s="68">
        <v>3700</v>
      </c>
      <c r="O93" s="282">
        <f t="shared" si="29"/>
        <v>3700</v>
      </c>
      <c r="P93" s="299"/>
      <c r="Q93" s="284"/>
      <c r="R93" s="282"/>
      <c r="S93" s="282">
        <f t="shared" si="36"/>
        <v>3700</v>
      </c>
      <c r="T93" s="462"/>
      <c r="U93" s="488"/>
      <c r="V93" s="282"/>
      <c r="W93" s="282"/>
      <c r="X93" s="462"/>
      <c r="Y93" s="488"/>
      <c r="Z93" s="282"/>
      <c r="AA93" s="282"/>
      <c r="AB93" s="282"/>
      <c r="AC93" s="282"/>
      <c r="AD93" s="282"/>
      <c r="AE93" s="282"/>
      <c r="AF93" s="282"/>
      <c r="AG93" s="282"/>
      <c r="AH93" s="282"/>
      <c r="AI93" s="282"/>
      <c r="AJ93" s="282"/>
      <c r="AK93" s="282"/>
      <c r="AL93" s="25"/>
      <c r="AM93" s="1009">
        <f t="shared" si="19"/>
        <v>0</v>
      </c>
      <c r="AN93" s="1009">
        <f t="shared" si="20"/>
        <v>0</v>
      </c>
      <c r="AO93" s="144">
        <f t="shared" si="17"/>
        <v>1</v>
      </c>
    </row>
    <row r="94" spans="1:41" ht="33" hidden="1" x14ac:dyDescent="0.25">
      <c r="A94" s="60">
        <v>41</v>
      </c>
      <c r="B94" s="60"/>
      <c r="C94" s="9" t="s">
        <v>1762</v>
      </c>
      <c r="D94" s="61"/>
      <c r="E94" s="61"/>
      <c r="F94" s="1024" t="s">
        <v>290</v>
      </c>
      <c r="G94" s="1025"/>
      <c r="H94" s="1091">
        <v>700</v>
      </c>
      <c r="I94" s="1026">
        <f t="shared" si="37"/>
        <v>700</v>
      </c>
      <c r="J94" s="282"/>
      <c r="K94" s="282"/>
      <c r="L94" s="282"/>
      <c r="M94" s="282"/>
      <c r="N94" s="68">
        <v>660</v>
      </c>
      <c r="O94" s="282">
        <f t="shared" si="29"/>
        <v>660</v>
      </c>
      <c r="P94" s="299"/>
      <c r="Q94" s="284"/>
      <c r="R94" s="282"/>
      <c r="S94" s="282">
        <f t="shared" si="36"/>
        <v>660</v>
      </c>
      <c r="T94" s="462"/>
      <c r="U94" s="488"/>
      <c r="V94" s="282"/>
      <c r="W94" s="282"/>
      <c r="X94" s="462"/>
      <c r="Y94" s="488"/>
      <c r="Z94" s="282"/>
      <c r="AA94" s="282"/>
      <c r="AB94" s="282"/>
      <c r="AC94" s="282"/>
      <c r="AD94" s="282"/>
      <c r="AE94" s="282"/>
      <c r="AF94" s="282"/>
      <c r="AG94" s="282"/>
      <c r="AH94" s="282"/>
      <c r="AI94" s="282"/>
      <c r="AJ94" s="282"/>
      <c r="AK94" s="282"/>
      <c r="AL94" s="25"/>
      <c r="AM94" s="1009">
        <f t="shared" si="19"/>
        <v>0</v>
      </c>
      <c r="AN94" s="1009">
        <f t="shared" si="20"/>
        <v>0</v>
      </c>
      <c r="AO94" s="144">
        <f t="shared" si="17"/>
        <v>1</v>
      </c>
    </row>
    <row r="95" spans="1:41" ht="33" hidden="1" x14ac:dyDescent="0.25">
      <c r="A95" s="60">
        <v>42</v>
      </c>
      <c r="B95" s="60"/>
      <c r="C95" s="9" t="s">
        <v>1761</v>
      </c>
      <c r="D95" s="61"/>
      <c r="E95" s="61"/>
      <c r="F95" s="1024" t="s">
        <v>290</v>
      </c>
      <c r="G95" s="1025"/>
      <c r="H95" s="1091">
        <v>800</v>
      </c>
      <c r="I95" s="1026">
        <f t="shared" si="37"/>
        <v>800</v>
      </c>
      <c r="J95" s="282"/>
      <c r="K95" s="282"/>
      <c r="L95" s="282"/>
      <c r="M95" s="282"/>
      <c r="N95" s="68">
        <v>760</v>
      </c>
      <c r="O95" s="282">
        <f t="shared" si="29"/>
        <v>760</v>
      </c>
      <c r="P95" s="299"/>
      <c r="Q95" s="284"/>
      <c r="R95" s="282"/>
      <c r="S95" s="282">
        <f t="shared" si="36"/>
        <v>760</v>
      </c>
      <c r="T95" s="462"/>
      <c r="U95" s="488"/>
      <c r="V95" s="282"/>
      <c r="W95" s="282"/>
      <c r="X95" s="462"/>
      <c r="Y95" s="488"/>
      <c r="Z95" s="282"/>
      <c r="AA95" s="282"/>
      <c r="AB95" s="282"/>
      <c r="AC95" s="282"/>
      <c r="AD95" s="282"/>
      <c r="AE95" s="282"/>
      <c r="AF95" s="282"/>
      <c r="AG95" s="282"/>
      <c r="AH95" s="282"/>
      <c r="AI95" s="282"/>
      <c r="AJ95" s="282"/>
      <c r="AK95" s="282"/>
      <c r="AL95" s="25"/>
      <c r="AM95" s="1009">
        <f t="shared" si="19"/>
        <v>0</v>
      </c>
      <c r="AN95" s="1009">
        <f t="shared" si="20"/>
        <v>0</v>
      </c>
      <c r="AO95" s="144">
        <f t="shared" si="17"/>
        <v>1</v>
      </c>
    </row>
    <row r="96" spans="1:41" ht="33" hidden="1" x14ac:dyDescent="0.25">
      <c r="A96" s="60">
        <v>43</v>
      </c>
      <c r="B96" s="60"/>
      <c r="C96" s="9" t="s">
        <v>1760</v>
      </c>
      <c r="D96" s="61"/>
      <c r="E96" s="61"/>
      <c r="F96" s="1024" t="s">
        <v>290</v>
      </c>
      <c r="G96" s="1025"/>
      <c r="H96" s="1091">
        <v>800</v>
      </c>
      <c r="I96" s="1026">
        <f t="shared" si="37"/>
        <v>800</v>
      </c>
      <c r="J96" s="282"/>
      <c r="K96" s="282"/>
      <c r="L96" s="282"/>
      <c r="M96" s="282"/>
      <c r="N96" s="68">
        <v>760</v>
      </c>
      <c r="O96" s="282">
        <f t="shared" si="29"/>
        <v>760</v>
      </c>
      <c r="P96" s="299"/>
      <c r="Q96" s="284"/>
      <c r="R96" s="282"/>
      <c r="S96" s="282">
        <f t="shared" si="36"/>
        <v>760</v>
      </c>
      <c r="T96" s="462"/>
      <c r="U96" s="488"/>
      <c r="V96" s="282"/>
      <c r="W96" s="282"/>
      <c r="X96" s="462"/>
      <c r="Y96" s="488"/>
      <c r="Z96" s="282"/>
      <c r="AA96" s="282"/>
      <c r="AB96" s="282"/>
      <c r="AC96" s="282"/>
      <c r="AD96" s="282"/>
      <c r="AE96" s="282"/>
      <c r="AF96" s="282"/>
      <c r="AG96" s="282"/>
      <c r="AH96" s="282"/>
      <c r="AI96" s="282"/>
      <c r="AJ96" s="282"/>
      <c r="AK96" s="282"/>
      <c r="AL96" s="25"/>
      <c r="AM96" s="1009">
        <f t="shared" si="19"/>
        <v>0</v>
      </c>
      <c r="AN96" s="1009">
        <f t="shared" si="20"/>
        <v>0</v>
      </c>
      <c r="AO96" s="144">
        <f t="shared" si="17"/>
        <v>1</v>
      </c>
    </row>
    <row r="97" spans="1:41" ht="33" hidden="1" x14ac:dyDescent="0.25">
      <c r="A97" s="60">
        <v>44</v>
      </c>
      <c r="B97" s="60"/>
      <c r="C97" s="9" t="s">
        <v>1759</v>
      </c>
      <c r="D97" s="61"/>
      <c r="E97" s="61"/>
      <c r="F97" s="1024" t="s">
        <v>290</v>
      </c>
      <c r="G97" s="1025"/>
      <c r="H97" s="1091">
        <v>700</v>
      </c>
      <c r="I97" s="1026">
        <f t="shared" si="37"/>
        <v>700</v>
      </c>
      <c r="J97" s="282"/>
      <c r="K97" s="282"/>
      <c r="L97" s="282"/>
      <c r="M97" s="282"/>
      <c r="N97" s="68">
        <v>660</v>
      </c>
      <c r="O97" s="282">
        <f t="shared" si="29"/>
        <v>660</v>
      </c>
      <c r="P97" s="299"/>
      <c r="Q97" s="284"/>
      <c r="R97" s="282"/>
      <c r="S97" s="282">
        <f t="shared" si="36"/>
        <v>660</v>
      </c>
      <c r="T97" s="462"/>
      <c r="U97" s="488"/>
      <c r="V97" s="282"/>
      <c r="W97" s="282"/>
      <c r="X97" s="462"/>
      <c r="Y97" s="488"/>
      <c r="Z97" s="282"/>
      <c r="AA97" s="282"/>
      <c r="AB97" s="282"/>
      <c r="AC97" s="282"/>
      <c r="AD97" s="282"/>
      <c r="AE97" s="282"/>
      <c r="AF97" s="282"/>
      <c r="AG97" s="282"/>
      <c r="AH97" s="282"/>
      <c r="AI97" s="282"/>
      <c r="AJ97" s="282"/>
      <c r="AK97" s="282"/>
      <c r="AL97" s="25"/>
      <c r="AM97" s="1009">
        <f t="shared" si="19"/>
        <v>0</v>
      </c>
      <c r="AN97" s="1009">
        <f t="shared" si="20"/>
        <v>0</v>
      </c>
      <c r="AO97" s="144">
        <f t="shared" si="17"/>
        <v>1</v>
      </c>
    </row>
    <row r="98" spans="1:41" ht="33" hidden="1" x14ac:dyDescent="0.25">
      <c r="A98" s="60">
        <v>45</v>
      </c>
      <c r="B98" s="60"/>
      <c r="C98" s="9" t="s">
        <v>1758</v>
      </c>
      <c r="D98" s="61"/>
      <c r="E98" s="61"/>
      <c r="F98" s="1024" t="s">
        <v>290</v>
      </c>
      <c r="G98" s="1025"/>
      <c r="H98" s="68">
        <v>4500</v>
      </c>
      <c r="I98" s="1026">
        <f t="shared" si="37"/>
        <v>4500</v>
      </c>
      <c r="J98" s="282"/>
      <c r="K98" s="282"/>
      <c r="L98" s="282"/>
      <c r="M98" s="282"/>
      <c r="N98" s="68">
        <v>4200</v>
      </c>
      <c r="O98" s="282">
        <f t="shared" si="29"/>
        <v>4200</v>
      </c>
      <c r="P98" s="299">
        <v>2000</v>
      </c>
      <c r="Q98" s="284">
        <f t="shared" ref="Q98:Q103" si="39">P98</f>
        <v>2000</v>
      </c>
      <c r="R98" s="282"/>
      <c r="S98" s="282">
        <f t="shared" si="36"/>
        <v>4200</v>
      </c>
      <c r="T98" s="462"/>
      <c r="U98" s="488"/>
      <c r="V98" s="282"/>
      <c r="W98" s="282"/>
      <c r="X98" s="462"/>
      <c r="Y98" s="488"/>
      <c r="Z98" s="282"/>
      <c r="AA98" s="282"/>
      <c r="AB98" s="282"/>
      <c r="AC98" s="282"/>
      <c r="AD98" s="282"/>
      <c r="AE98" s="282"/>
      <c r="AF98" s="282"/>
      <c r="AG98" s="282"/>
      <c r="AH98" s="282"/>
      <c r="AI98" s="282"/>
      <c r="AJ98" s="282"/>
      <c r="AK98" s="282"/>
      <c r="AL98" s="25"/>
      <c r="AM98" s="1009">
        <f t="shared" ref="AM98:AM201" si="40">IF(Y98-U98=0,0,1)</f>
        <v>0</v>
      </c>
      <c r="AN98" s="1009">
        <f t="shared" ref="AN98:AN201" si="41">IF(Y98=0,0,1)</f>
        <v>0</v>
      </c>
      <c r="AO98" s="144">
        <f t="shared" si="17"/>
        <v>1</v>
      </c>
    </row>
    <row r="99" spans="1:41" ht="49.5" hidden="1" x14ac:dyDescent="0.25">
      <c r="A99" s="60">
        <v>46</v>
      </c>
      <c r="B99" s="60"/>
      <c r="C99" s="9" t="s">
        <v>1757</v>
      </c>
      <c r="D99" s="61"/>
      <c r="E99" s="61"/>
      <c r="F99" s="1024" t="s">
        <v>290</v>
      </c>
      <c r="G99" s="1025"/>
      <c r="H99" s="68">
        <v>2200</v>
      </c>
      <c r="I99" s="1026">
        <f t="shared" si="37"/>
        <v>2200</v>
      </c>
      <c r="J99" s="282"/>
      <c r="K99" s="282"/>
      <c r="L99" s="282"/>
      <c r="M99" s="282"/>
      <c r="N99" s="68">
        <v>2000</v>
      </c>
      <c r="O99" s="282">
        <f t="shared" si="29"/>
        <v>2000</v>
      </c>
      <c r="P99" s="299">
        <v>1500</v>
      </c>
      <c r="Q99" s="284">
        <f t="shared" si="39"/>
        <v>1500</v>
      </c>
      <c r="R99" s="282"/>
      <c r="S99" s="282">
        <f t="shared" si="36"/>
        <v>2000</v>
      </c>
      <c r="T99" s="462"/>
      <c r="U99" s="488"/>
      <c r="V99" s="282"/>
      <c r="W99" s="282"/>
      <c r="X99" s="462"/>
      <c r="Y99" s="488"/>
      <c r="Z99" s="282"/>
      <c r="AA99" s="282"/>
      <c r="AB99" s="282"/>
      <c r="AC99" s="282"/>
      <c r="AD99" s="282"/>
      <c r="AE99" s="282"/>
      <c r="AF99" s="282"/>
      <c r="AG99" s="282"/>
      <c r="AH99" s="282"/>
      <c r="AI99" s="282"/>
      <c r="AJ99" s="282"/>
      <c r="AK99" s="282"/>
      <c r="AL99" s="25"/>
      <c r="AM99" s="1009">
        <f t="shared" si="40"/>
        <v>0</v>
      </c>
      <c r="AN99" s="1009">
        <f t="shared" si="41"/>
        <v>0</v>
      </c>
      <c r="AO99" s="144">
        <f t="shared" si="17"/>
        <v>1</v>
      </c>
    </row>
    <row r="100" spans="1:41" ht="49.5" hidden="1" x14ac:dyDescent="0.25">
      <c r="A100" s="60">
        <v>47</v>
      </c>
      <c r="B100" s="60"/>
      <c r="C100" s="9" t="s">
        <v>1756</v>
      </c>
      <c r="D100" s="61"/>
      <c r="E100" s="61"/>
      <c r="F100" s="1024" t="s">
        <v>290</v>
      </c>
      <c r="G100" s="1025"/>
      <c r="H100" s="68">
        <v>700</v>
      </c>
      <c r="I100" s="1026">
        <f t="shared" si="37"/>
        <v>700</v>
      </c>
      <c r="J100" s="282"/>
      <c r="K100" s="282"/>
      <c r="L100" s="282"/>
      <c r="M100" s="282"/>
      <c r="N100" s="68">
        <v>660</v>
      </c>
      <c r="O100" s="282">
        <f t="shared" si="29"/>
        <v>660</v>
      </c>
      <c r="P100" s="299">
        <v>700</v>
      </c>
      <c r="Q100" s="284">
        <f t="shared" si="39"/>
        <v>700</v>
      </c>
      <c r="R100" s="282"/>
      <c r="S100" s="282">
        <f t="shared" si="36"/>
        <v>660</v>
      </c>
      <c r="T100" s="462"/>
      <c r="U100" s="488"/>
      <c r="V100" s="282"/>
      <c r="W100" s="282"/>
      <c r="X100" s="462"/>
      <c r="Y100" s="488"/>
      <c r="Z100" s="282"/>
      <c r="AA100" s="282"/>
      <c r="AB100" s="282"/>
      <c r="AC100" s="282"/>
      <c r="AD100" s="282"/>
      <c r="AE100" s="282"/>
      <c r="AF100" s="282"/>
      <c r="AG100" s="282"/>
      <c r="AH100" s="282"/>
      <c r="AI100" s="282"/>
      <c r="AJ100" s="282"/>
      <c r="AK100" s="282"/>
      <c r="AL100" s="25"/>
      <c r="AM100" s="1009">
        <f t="shared" si="40"/>
        <v>0</v>
      </c>
      <c r="AN100" s="1009">
        <f t="shared" si="41"/>
        <v>0</v>
      </c>
      <c r="AO100" s="144">
        <f t="shared" si="17"/>
        <v>1</v>
      </c>
    </row>
    <row r="101" spans="1:41" ht="49.5" hidden="1" x14ac:dyDescent="0.25">
      <c r="A101" s="60">
        <v>48</v>
      </c>
      <c r="B101" s="60"/>
      <c r="C101" s="9" t="s">
        <v>1755</v>
      </c>
      <c r="D101" s="61"/>
      <c r="E101" s="61"/>
      <c r="F101" s="1024" t="s">
        <v>290</v>
      </c>
      <c r="G101" s="1025"/>
      <c r="H101" s="68">
        <v>1100</v>
      </c>
      <c r="I101" s="1026">
        <f t="shared" si="37"/>
        <v>1100</v>
      </c>
      <c r="J101" s="282"/>
      <c r="K101" s="282"/>
      <c r="L101" s="282"/>
      <c r="M101" s="282"/>
      <c r="N101" s="68">
        <v>1000</v>
      </c>
      <c r="O101" s="282">
        <f t="shared" si="29"/>
        <v>1000</v>
      </c>
      <c r="P101" s="299">
        <v>1000</v>
      </c>
      <c r="Q101" s="284">
        <f t="shared" si="39"/>
        <v>1000</v>
      </c>
      <c r="R101" s="282"/>
      <c r="S101" s="282">
        <f>O101-U101</f>
        <v>1000</v>
      </c>
      <c r="T101" s="462"/>
      <c r="U101" s="488"/>
      <c r="V101" s="282"/>
      <c r="W101" s="282"/>
      <c r="X101" s="462"/>
      <c r="Y101" s="488"/>
      <c r="Z101" s="282"/>
      <c r="AA101" s="282"/>
      <c r="AB101" s="282"/>
      <c r="AC101" s="282"/>
      <c r="AD101" s="282"/>
      <c r="AE101" s="282"/>
      <c r="AF101" s="282"/>
      <c r="AG101" s="282"/>
      <c r="AH101" s="282"/>
      <c r="AI101" s="282"/>
      <c r="AJ101" s="282"/>
      <c r="AK101" s="282"/>
      <c r="AL101" s="25"/>
      <c r="AM101" s="1009">
        <f t="shared" si="40"/>
        <v>0</v>
      </c>
      <c r="AN101" s="1009">
        <f t="shared" si="41"/>
        <v>0</v>
      </c>
      <c r="AO101" s="144">
        <f t="shared" si="17"/>
        <v>1</v>
      </c>
    </row>
    <row r="102" spans="1:41" ht="33" hidden="1" x14ac:dyDescent="0.25">
      <c r="A102" s="60">
        <v>49</v>
      </c>
      <c r="B102" s="60"/>
      <c r="C102" s="9" t="s">
        <v>1754</v>
      </c>
      <c r="D102" s="61"/>
      <c r="E102" s="61"/>
      <c r="F102" s="1024" t="s">
        <v>290</v>
      </c>
      <c r="G102" s="1025"/>
      <c r="H102" s="68">
        <v>1600</v>
      </c>
      <c r="I102" s="1026">
        <f t="shared" si="37"/>
        <v>1600</v>
      </c>
      <c r="J102" s="282"/>
      <c r="K102" s="282"/>
      <c r="L102" s="282"/>
      <c r="M102" s="282"/>
      <c r="N102" s="68">
        <v>1500</v>
      </c>
      <c r="O102" s="282">
        <f t="shared" si="29"/>
        <v>1500</v>
      </c>
      <c r="P102" s="299">
        <v>1500</v>
      </c>
      <c r="Q102" s="284">
        <f t="shared" si="39"/>
        <v>1500</v>
      </c>
      <c r="R102" s="54"/>
      <c r="S102" s="282">
        <f>O102-U102</f>
        <v>1500</v>
      </c>
      <c r="T102" s="462"/>
      <c r="U102" s="488"/>
      <c r="V102" s="54"/>
      <c r="W102" s="282"/>
      <c r="X102" s="462"/>
      <c r="Y102" s="488"/>
      <c r="Z102" s="282"/>
      <c r="AA102" s="282"/>
      <c r="AB102" s="282"/>
      <c r="AC102" s="282"/>
      <c r="AD102" s="282"/>
      <c r="AE102" s="282"/>
      <c r="AF102" s="282"/>
      <c r="AG102" s="282"/>
      <c r="AH102" s="282"/>
      <c r="AI102" s="282"/>
      <c r="AJ102" s="282"/>
      <c r="AK102" s="282"/>
      <c r="AL102" s="25"/>
      <c r="AM102" s="1009">
        <f t="shared" si="40"/>
        <v>0</v>
      </c>
      <c r="AN102" s="1009">
        <f t="shared" si="41"/>
        <v>0</v>
      </c>
      <c r="AO102" s="144">
        <f t="shared" si="17"/>
        <v>1</v>
      </c>
    </row>
    <row r="103" spans="1:41" ht="33" hidden="1" x14ac:dyDescent="0.25">
      <c r="A103" s="60">
        <v>50</v>
      </c>
      <c r="B103" s="60"/>
      <c r="C103" s="9" t="s">
        <v>1753</v>
      </c>
      <c r="D103" s="61"/>
      <c r="E103" s="61"/>
      <c r="F103" s="1024" t="s">
        <v>290</v>
      </c>
      <c r="G103" s="1025"/>
      <c r="H103" s="68">
        <v>800</v>
      </c>
      <c r="I103" s="1026">
        <f t="shared" si="37"/>
        <v>800</v>
      </c>
      <c r="J103" s="282"/>
      <c r="K103" s="282"/>
      <c r="L103" s="282"/>
      <c r="M103" s="282"/>
      <c r="N103" s="68">
        <v>760</v>
      </c>
      <c r="O103" s="282">
        <f t="shared" si="29"/>
        <v>760</v>
      </c>
      <c r="P103" s="299">
        <v>800</v>
      </c>
      <c r="Q103" s="284">
        <f t="shared" si="39"/>
        <v>800</v>
      </c>
      <c r="R103" s="282"/>
      <c r="S103" s="282">
        <f>O103-U103</f>
        <v>760</v>
      </c>
      <c r="T103" s="462"/>
      <c r="U103" s="488"/>
      <c r="V103" s="282"/>
      <c r="W103" s="282"/>
      <c r="X103" s="462"/>
      <c r="Y103" s="488"/>
      <c r="Z103" s="282"/>
      <c r="AA103" s="282"/>
      <c r="AB103" s="282"/>
      <c r="AC103" s="282"/>
      <c r="AD103" s="282"/>
      <c r="AE103" s="282"/>
      <c r="AF103" s="282"/>
      <c r="AG103" s="282"/>
      <c r="AH103" s="282"/>
      <c r="AI103" s="282"/>
      <c r="AJ103" s="282"/>
      <c r="AK103" s="282"/>
      <c r="AL103" s="25"/>
      <c r="AM103" s="1009">
        <f t="shared" si="40"/>
        <v>0</v>
      </c>
      <c r="AN103" s="1009">
        <f t="shared" si="41"/>
        <v>0</v>
      </c>
      <c r="AO103" s="144">
        <f t="shared" si="17"/>
        <v>1</v>
      </c>
    </row>
    <row r="104" spans="1:41" ht="33" hidden="1" x14ac:dyDescent="0.25">
      <c r="A104" s="60">
        <v>51</v>
      </c>
      <c r="B104" s="60"/>
      <c r="C104" s="9" t="s">
        <v>1752</v>
      </c>
      <c r="D104" s="61"/>
      <c r="E104" s="61"/>
      <c r="F104" s="1024" t="s">
        <v>290</v>
      </c>
      <c r="G104" s="1025"/>
      <c r="H104" s="68">
        <v>1100</v>
      </c>
      <c r="I104" s="1026">
        <f t="shared" si="37"/>
        <v>1100</v>
      </c>
      <c r="J104" s="282"/>
      <c r="K104" s="282"/>
      <c r="L104" s="282"/>
      <c r="M104" s="282"/>
      <c r="N104" s="68">
        <v>1000</v>
      </c>
      <c r="O104" s="282">
        <f t="shared" si="29"/>
        <v>1000</v>
      </c>
      <c r="P104" s="299"/>
      <c r="Q104" s="284"/>
      <c r="R104" s="54"/>
      <c r="S104" s="282">
        <f t="shared" ref="S104:S110" si="42">O104-U104</f>
        <v>1000</v>
      </c>
      <c r="T104" s="462"/>
      <c r="U104" s="488"/>
      <c r="V104" s="54"/>
      <c r="W104" s="282"/>
      <c r="X104" s="462"/>
      <c r="Y104" s="488"/>
      <c r="Z104" s="282"/>
      <c r="AA104" s="282"/>
      <c r="AB104" s="282"/>
      <c r="AC104" s="282"/>
      <c r="AD104" s="282"/>
      <c r="AE104" s="282"/>
      <c r="AF104" s="282"/>
      <c r="AG104" s="282"/>
      <c r="AH104" s="282"/>
      <c r="AI104" s="282"/>
      <c r="AJ104" s="282"/>
      <c r="AK104" s="282"/>
      <c r="AL104" s="25"/>
      <c r="AM104" s="1009">
        <f t="shared" si="40"/>
        <v>0</v>
      </c>
      <c r="AN104" s="1009">
        <f t="shared" si="41"/>
        <v>0</v>
      </c>
      <c r="AO104" s="144">
        <f t="shared" si="17"/>
        <v>1</v>
      </c>
    </row>
    <row r="105" spans="1:41" ht="33" hidden="1" x14ac:dyDescent="0.25">
      <c r="A105" s="60">
        <v>52</v>
      </c>
      <c r="B105" s="60"/>
      <c r="C105" s="9" t="s">
        <v>1751</v>
      </c>
      <c r="D105" s="61"/>
      <c r="E105" s="61"/>
      <c r="F105" s="1024" t="s">
        <v>290</v>
      </c>
      <c r="G105" s="1025"/>
      <c r="H105" s="68">
        <v>1300</v>
      </c>
      <c r="I105" s="1026">
        <f t="shared" si="37"/>
        <v>1300</v>
      </c>
      <c r="J105" s="282"/>
      <c r="K105" s="282"/>
      <c r="L105" s="282"/>
      <c r="M105" s="282"/>
      <c r="N105" s="68">
        <v>1200</v>
      </c>
      <c r="O105" s="282">
        <f t="shared" si="29"/>
        <v>1200</v>
      </c>
      <c r="P105" s="299">
        <v>1100</v>
      </c>
      <c r="Q105" s="284">
        <f>P105</f>
        <v>1100</v>
      </c>
      <c r="R105" s="54"/>
      <c r="S105" s="282">
        <f t="shared" si="42"/>
        <v>1200</v>
      </c>
      <c r="T105" s="462"/>
      <c r="U105" s="488"/>
      <c r="V105" s="54"/>
      <c r="W105" s="282"/>
      <c r="X105" s="462"/>
      <c r="Y105" s="488"/>
      <c r="Z105" s="282"/>
      <c r="AA105" s="282"/>
      <c r="AB105" s="282"/>
      <c r="AC105" s="282"/>
      <c r="AD105" s="282"/>
      <c r="AE105" s="282"/>
      <c r="AF105" s="282"/>
      <c r="AG105" s="282"/>
      <c r="AH105" s="282"/>
      <c r="AI105" s="282"/>
      <c r="AJ105" s="282"/>
      <c r="AK105" s="282"/>
      <c r="AL105" s="25"/>
      <c r="AM105" s="1009">
        <f t="shared" si="40"/>
        <v>0</v>
      </c>
      <c r="AN105" s="1009">
        <f t="shared" si="41"/>
        <v>0</v>
      </c>
      <c r="AO105" s="144">
        <f t="shared" si="17"/>
        <v>1</v>
      </c>
    </row>
    <row r="106" spans="1:41" ht="33" hidden="1" x14ac:dyDescent="0.25">
      <c r="A106" s="60">
        <v>53</v>
      </c>
      <c r="B106" s="60"/>
      <c r="C106" s="9" t="s">
        <v>1750</v>
      </c>
      <c r="D106" s="61"/>
      <c r="E106" s="61"/>
      <c r="F106" s="1024" t="s">
        <v>290</v>
      </c>
      <c r="G106" s="1025"/>
      <c r="H106" s="68">
        <v>1000</v>
      </c>
      <c r="I106" s="1026">
        <f t="shared" si="37"/>
        <v>1000</v>
      </c>
      <c r="J106" s="282"/>
      <c r="K106" s="282"/>
      <c r="L106" s="282"/>
      <c r="M106" s="282"/>
      <c r="N106" s="68">
        <v>950</v>
      </c>
      <c r="O106" s="282">
        <f t="shared" si="29"/>
        <v>950</v>
      </c>
      <c r="P106" s="299"/>
      <c r="Q106" s="284"/>
      <c r="R106" s="54"/>
      <c r="S106" s="282">
        <f t="shared" si="42"/>
        <v>950</v>
      </c>
      <c r="T106" s="462"/>
      <c r="U106" s="488"/>
      <c r="V106" s="54"/>
      <c r="W106" s="282"/>
      <c r="X106" s="462"/>
      <c r="Y106" s="488"/>
      <c r="Z106" s="282"/>
      <c r="AA106" s="282"/>
      <c r="AB106" s="282"/>
      <c r="AC106" s="282"/>
      <c r="AD106" s="282"/>
      <c r="AE106" s="282"/>
      <c r="AF106" s="282"/>
      <c r="AG106" s="282"/>
      <c r="AH106" s="282"/>
      <c r="AI106" s="282"/>
      <c r="AJ106" s="282"/>
      <c r="AK106" s="282"/>
      <c r="AL106" s="25"/>
      <c r="AM106" s="1009">
        <f t="shared" si="40"/>
        <v>0</v>
      </c>
      <c r="AN106" s="1009">
        <f t="shared" si="41"/>
        <v>0</v>
      </c>
      <c r="AO106" s="144">
        <f t="shared" si="17"/>
        <v>1</v>
      </c>
    </row>
    <row r="107" spans="1:41" ht="33" hidden="1" x14ac:dyDescent="0.25">
      <c r="A107" s="60">
        <v>54</v>
      </c>
      <c r="B107" s="60"/>
      <c r="C107" s="9" t="s">
        <v>1749</v>
      </c>
      <c r="D107" s="61"/>
      <c r="E107" s="61"/>
      <c r="F107" s="1024" t="s">
        <v>290</v>
      </c>
      <c r="G107" s="1025"/>
      <c r="H107" s="68">
        <v>950</v>
      </c>
      <c r="I107" s="1026">
        <f t="shared" si="37"/>
        <v>950</v>
      </c>
      <c r="J107" s="282"/>
      <c r="K107" s="282"/>
      <c r="L107" s="282"/>
      <c r="M107" s="282"/>
      <c r="N107" s="68">
        <v>900</v>
      </c>
      <c r="O107" s="282">
        <f t="shared" si="29"/>
        <v>900</v>
      </c>
      <c r="P107" s="299"/>
      <c r="Q107" s="284"/>
      <c r="R107" s="54"/>
      <c r="S107" s="282">
        <f t="shared" si="42"/>
        <v>900</v>
      </c>
      <c r="T107" s="462"/>
      <c r="U107" s="488"/>
      <c r="V107" s="54"/>
      <c r="W107" s="282"/>
      <c r="X107" s="462"/>
      <c r="Y107" s="488"/>
      <c r="Z107" s="282"/>
      <c r="AA107" s="282"/>
      <c r="AB107" s="282"/>
      <c r="AC107" s="282"/>
      <c r="AD107" s="282"/>
      <c r="AE107" s="282"/>
      <c r="AF107" s="282"/>
      <c r="AG107" s="282"/>
      <c r="AH107" s="282"/>
      <c r="AI107" s="282"/>
      <c r="AJ107" s="282"/>
      <c r="AK107" s="282"/>
      <c r="AL107" s="25"/>
      <c r="AM107" s="1009">
        <f t="shared" si="40"/>
        <v>0</v>
      </c>
      <c r="AN107" s="1009">
        <f t="shared" si="41"/>
        <v>0</v>
      </c>
      <c r="AO107" s="144">
        <f t="shared" si="17"/>
        <v>1</v>
      </c>
    </row>
    <row r="108" spans="1:41" ht="33" hidden="1" x14ac:dyDescent="0.25">
      <c r="A108" s="60">
        <v>55</v>
      </c>
      <c r="B108" s="60"/>
      <c r="C108" s="9" t="s">
        <v>1748</v>
      </c>
      <c r="D108" s="61"/>
      <c r="E108" s="61"/>
      <c r="F108" s="1024" t="s">
        <v>290</v>
      </c>
      <c r="G108" s="1025"/>
      <c r="H108" s="68">
        <v>1400</v>
      </c>
      <c r="I108" s="1026">
        <f t="shared" si="37"/>
        <v>1400</v>
      </c>
      <c r="J108" s="282"/>
      <c r="K108" s="282"/>
      <c r="L108" s="282"/>
      <c r="M108" s="282"/>
      <c r="N108" s="68">
        <v>1300</v>
      </c>
      <c r="O108" s="282">
        <f t="shared" si="29"/>
        <v>1300</v>
      </c>
      <c r="P108" s="299">
        <v>1200</v>
      </c>
      <c r="Q108" s="284">
        <f>P108</f>
        <v>1200</v>
      </c>
      <c r="R108" s="54"/>
      <c r="S108" s="282">
        <f t="shared" si="42"/>
        <v>1300</v>
      </c>
      <c r="T108" s="462"/>
      <c r="U108" s="488"/>
      <c r="V108" s="54"/>
      <c r="W108" s="282"/>
      <c r="X108" s="462"/>
      <c r="Y108" s="488"/>
      <c r="Z108" s="282"/>
      <c r="AA108" s="282"/>
      <c r="AB108" s="282"/>
      <c r="AC108" s="282"/>
      <c r="AD108" s="282"/>
      <c r="AE108" s="282"/>
      <c r="AF108" s="282"/>
      <c r="AG108" s="282"/>
      <c r="AH108" s="282"/>
      <c r="AI108" s="282"/>
      <c r="AJ108" s="282"/>
      <c r="AK108" s="282"/>
      <c r="AL108" s="25"/>
      <c r="AM108" s="1009">
        <f t="shared" si="40"/>
        <v>0</v>
      </c>
      <c r="AN108" s="1009">
        <f t="shared" si="41"/>
        <v>0</v>
      </c>
      <c r="AO108" s="144">
        <f t="shared" si="17"/>
        <v>1</v>
      </c>
    </row>
    <row r="109" spans="1:41" ht="33" hidden="1" x14ac:dyDescent="0.25">
      <c r="A109" s="60">
        <v>56</v>
      </c>
      <c r="B109" s="60"/>
      <c r="C109" s="9" t="s">
        <v>1747</v>
      </c>
      <c r="D109" s="61"/>
      <c r="E109" s="61"/>
      <c r="F109" s="1024" t="s">
        <v>290</v>
      </c>
      <c r="G109" s="1025"/>
      <c r="H109" s="68">
        <v>2200</v>
      </c>
      <c r="I109" s="1026">
        <f t="shared" si="37"/>
        <v>2200</v>
      </c>
      <c r="J109" s="282"/>
      <c r="K109" s="282"/>
      <c r="L109" s="282"/>
      <c r="M109" s="282"/>
      <c r="N109" s="68">
        <v>2100</v>
      </c>
      <c r="O109" s="282">
        <f t="shared" si="29"/>
        <v>2100</v>
      </c>
      <c r="P109" s="299">
        <v>1800</v>
      </c>
      <c r="Q109" s="284">
        <f>P109</f>
        <v>1800</v>
      </c>
      <c r="R109" s="54"/>
      <c r="S109" s="282">
        <f t="shared" si="42"/>
        <v>2100</v>
      </c>
      <c r="T109" s="462"/>
      <c r="U109" s="488"/>
      <c r="V109" s="54"/>
      <c r="W109" s="282"/>
      <c r="X109" s="462"/>
      <c r="Y109" s="488"/>
      <c r="Z109" s="282"/>
      <c r="AA109" s="282"/>
      <c r="AB109" s="282"/>
      <c r="AC109" s="282"/>
      <c r="AD109" s="282"/>
      <c r="AE109" s="282"/>
      <c r="AF109" s="282"/>
      <c r="AG109" s="282"/>
      <c r="AH109" s="282"/>
      <c r="AI109" s="282"/>
      <c r="AJ109" s="282"/>
      <c r="AK109" s="282"/>
      <c r="AL109" s="25"/>
      <c r="AM109" s="1009">
        <f t="shared" si="40"/>
        <v>0</v>
      </c>
      <c r="AN109" s="1009">
        <f t="shared" si="41"/>
        <v>0</v>
      </c>
      <c r="AO109" s="144">
        <f t="shared" ref="AO109:AO172" si="43">IF(I109-Y109&gt;=0,1,0)</f>
        <v>1</v>
      </c>
    </row>
    <row r="110" spans="1:41" ht="33" hidden="1" x14ac:dyDescent="0.25">
      <c r="A110" s="60">
        <v>57</v>
      </c>
      <c r="B110" s="60"/>
      <c r="C110" s="9" t="s">
        <v>1746</v>
      </c>
      <c r="D110" s="61"/>
      <c r="E110" s="61"/>
      <c r="F110" s="1024" t="s">
        <v>290</v>
      </c>
      <c r="G110" s="1025"/>
      <c r="H110" s="68">
        <v>1600</v>
      </c>
      <c r="I110" s="1026">
        <f t="shared" si="37"/>
        <v>1600</v>
      </c>
      <c r="J110" s="282"/>
      <c r="K110" s="282"/>
      <c r="L110" s="282"/>
      <c r="M110" s="282"/>
      <c r="N110" s="68">
        <v>1500</v>
      </c>
      <c r="O110" s="282">
        <f t="shared" si="29"/>
        <v>1500</v>
      </c>
      <c r="P110" s="299">
        <v>1400</v>
      </c>
      <c r="Q110" s="284">
        <f>P110</f>
        <v>1400</v>
      </c>
      <c r="R110" s="54"/>
      <c r="S110" s="282">
        <f t="shared" si="42"/>
        <v>1500</v>
      </c>
      <c r="T110" s="462"/>
      <c r="U110" s="488"/>
      <c r="V110" s="54"/>
      <c r="W110" s="282"/>
      <c r="X110" s="462"/>
      <c r="Y110" s="488"/>
      <c r="Z110" s="282"/>
      <c r="AA110" s="282"/>
      <c r="AB110" s="282"/>
      <c r="AC110" s="282"/>
      <c r="AD110" s="282"/>
      <c r="AE110" s="282"/>
      <c r="AF110" s="282"/>
      <c r="AG110" s="282"/>
      <c r="AH110" s="282"/>
      <c r="AI110" s="282"/>
      <c r="AJ110" s="282"/>
      <c r="AK110" s="282"/>
      <c r="AL110" s="25"/>
      <c r="AM110" s="1009">
        <f t="shared" si="40"/>
        <v>0</v>
      </c>
      <c r="AN110" s="1009">
        <f t="shared" si="41"/>
        <v>0</v>
      </c>
      <c r="AO110" s="144">
        <f t="shared" si="43"/>
        <v>1</v>
      </c>
    </row>
    <row r="111" spans="1:41" ht="33" hidden="1" x14ac:dyDescent="0.25">
      <c r="A111" s="60">
        <v>58</v>
      </c>
      <c r="B111" s="60"/>
      <c r="C111" s="91" t="s">
        <v>1745</v>
      </c>
      <c r="D111" s="61" t="s">
        <v>1709</v>
      </c>
      <c r="E111" s="61"/>
      <c r="F111" s="1024" t="s">
        <v>290</v>
      </c>
      <c r="G111" s="1025"/>
      <c r="H111" s="1027">
        <v>10727</v>
      </c>
      <c r="I111" s="1026">
        <f t="shared" si="37"/>
        <v>10727</v>
      </c>
      <c r="J111" s="282"/>
      <c r="K111" s="282"/>
      <c r="L111" s="282"/>
      <c r="M111" s="282"/>
      <c r="N111" s="68">
        <v>1900</v>
      </c>
      <c r="O111" s="282">
        <f t="shared" si="29"/>
        <v>1900</v>
      </c>
      <c r="P111" s="299">
        <v>9230</v>
      </c>
      <c r="Q111" s="284">
        <f>P111</f>
        <v>9230</v>
      </c>
      <c r="R111" s="282">
        <f>U111-O111</f>
        <v>6100</v>
      </c>
      <c r="S111" s="282"/>
      <c r="T111" s="462">
        <f>U111</f>
        <v>8000</v>
      </c>
      <c r="U111" s="488">
        <v>8000</v>
      </c>
      <c r="V111" s="282"/>
      <c r="W111" s="282"/>
      <c r="X111" s="462">
        <f>Y111</f>
        <v>8000</v>
      </c>
      <c r="Y111" s="488">
        <v>8000</v>
      </c>
      <c r="Z111" s="282"/>
      <c r="AA111" s="282"/>
      <c r="AB111" s="282"/>
      <c r="AC111" s="282"/>
      <c r="AD111" s="282"/>
      <c r="AE111" s="282"/>
      <c r="AF111" s="282"/>
      <c r="AG111" s="282"/>
      <c r="AH111" s="282"/>
      <c r="AI111" s="282"/>
      <c r="AJ111" s="282"/>
      <c r="AK111" s="282"/>
      <c r="AL111" s="69"/>
      <c r="AM111" s="1009">
        <f t="shared" si="40"/>
        <v>0</v>
      </c>
      <c r="AN111" s="1009">
        <f t="shared" si="41"/>
        <v>1</v>
      </c>
      <c r="AO111" s="144">
        <f t="shared" si="43"/>
        <v>1</v>
      </c>
    </row>
    <row r="112" spans="1:41" ht="33" hidden="1" x14ac:dyDescent="0.25">
      <c r="A112" s="60">
        <v>59</v>
      </c>
      <c r="B112" s="60"/>
      <c r="C112" s="91" t="s">
        <v>1744</v>
      </c>
      <c r="D112" s="61" t="s">
        <v>1713</v>
      </c>
      <c r="E112" s="61" t="s">
        <v>1730</v>
      </c>
      <c r="F112" s="1024" t="s">
        <v>290</v>
      </c>
      <c r="G112" s="1025"/>
      <c r="H112" s="1027">
        <v>2918</v>
      </c>
      <c r="I112" s="1026">
        <f t="shared" si="37"/>
        <v>2918</v>
      </c>
      <c r="J112" s="282"/>
      <c r="K112" s="282"/>
      <c r="L112" s="282"/>
      <c r="M112" s="282"/>
      <c r="N112" s="68">
        <v>2800</v>
      </c>
      <c r="O112" s="282">
        <f t="shared" si="29"/>
        <v>2800</v>
      </c>
      <c r="P112" s="299"/>
      <c r="Q112" s="284"/>
      <c r="R112" s="54"/>
      <c r="S112" s="282">
        <f t="shared" ref="S112:S118" si="44">O112-U112</f>
        <v>2800</v>
      </c>
      <c r="T112" s="462"/>
      <c r="U112" s="488"/>
      <c r="V112" s="54"/>
      <c r="W112" s="282"/>
      <c r="X112" s="462"/>
      <c r="Y112" s="488"/>
      <c r="Z112" s="282"/>
      <c r="AA112" s="282"/>
      <c r="AB112" s="282"/>
      <c r="AC112" s="282"/>
      <c r="AD112" s="282"/>
      <c r="AE112" s="282"/>
      <c r="AF112" s="282"/>
      <c r="AG112" s="282"/>
      <c r="AH112" s="282"/>
      <c r="AI112" s="282"/>
      <c r="AJ112" s="282"/>
      <c r="AK112" s="282"/>
      <c r="AL112" s="25"/>
      <c r="AM112" s="1009">
        <f t="shared" si="40"/>
        <v>0</v>
      </c>
      <c r="AN112" s="1009">
        <f t="shared" si="41"/>
        <v>0</v>
      </c>
      <c r="AO112" s="144">
        <f t="shared" si="43"/>
        <v>1</v>
      </c>
    </row>
    <row r="113" spans="1:41" ht="33" hidden="1" x14ac:dyDescent="0.25">
      <c r="A113" s="60">
        <v>60</v>
      </c>
      <c r="B113" s="60"/>
      <c r="C113" s="91" t="s">
        <v>1743</v>
      </c>
      <c r="D113" s="61" t="s">
        <v>1709</v>
      </c>
      <c r="E113" s="61" t="s">
        <v>1742</v>
      </c>
      <c r="F113" s="1024" t="s">
        <v>290</v>
      </c>
      <c r="G113" s="1025"/>
      <c r="H113" s="1027">
        <v>2750</v>
      </c>
      <c r="I113" s="1026">
        <f t="shared" si="37"/>
        <v>2750</v>
      </c>
      <c r="J113" s="282"/>
      <c r="K113" s="282"/>
      <c r="L113" s="282"/>
      <c r="M113" s="282"/>
      <c r="N113" s="68">
        <v>2600</v>
      </c>
      <c r="O113" s="282">
        <f t="shared" si="29"/>
        <v>2600</v>
      </c>
      <c r="P113" s="299"/>
      <c r="Q113" s="284"/>
      <c r="R113" s="54"/>
      <c r="S113" s="282">
        <f t="shared" si="44"/>
        <v>2600</v>
      </c>
      <c r="T113" s="462"/>
      <c r="U113" s="488"/>
      <c r="V113" s="54"/>
      <c r="W113" s="282"/>
      <c r="X113" s="462"/>
      <c r="Y113" s="488"/>
      <c r="Z113" s="282"/>
      <c r="AA113" s="282"/>
      <c r="AB113" s="282"/>
      <c r="AC113" s="282"/>
      <c r="AD113" s="282"/>
      <c r="AE113" s="282"/>
      <c r="AF113" s="282"/>
      <c r="AG113" s="282"/>
      <c r="AH113" s="282"/>
      <c r="AI113" s="282"/>
      <c r="AJ113" s="282"/>
      <c r="AK113" s="282"/>
      <c r="AL113" s="25"/>
      <c r="AM113" s="1009">
        <f t="shared" si="40"/>
        <v>0</v>
      </c>
      <c r="AN113" s="1009">
        <f t="shared" si="41"/>
        <v>0</v>
      </c>
      <c r="AO113" s="144">
        <f t="shared" si="43"/>
        <v>1</v>
      </c>
    </row>
    <row r="114" spans="1:41" ht="33" hidden="1" x14ac:dyDescent="0.25">
      <c r="A114" s="60">
        <v>61</v>
      </c>
      <c r="B114" s="60"/>
      <c r="C114" s="91" t="s">
        <v>1740</v>
      </c>
      <c r="D114" s="61" t="s">
        <v>1709</v>
      </c>
      <c r="E114" s="61" t="s">
        <v>1739</v>
      </c>
      <c r="F114" s="1024" t="s">
        <v>290</v>
      </c>
      <c r="G114" s="1025"/>
      <c r="H114" s="1027">
        <f>I114</f>
        <v>3568</v>
      </c>
      <c r="I114" s="1026">
        <v>3568</v>
      </c>
      <c r="J114" s="282"/>
      <c r="K114" s="282"/>
      <c r="L114" s="282"/>
      <c r="M114" s="282"/>
      <c r="N114" s="68">
        <v>2200</v>
      </c>
      <c r="O114" s="282">
        <f t="shared" si="29"/>
        <v>2200</v>
      </c>
      <c r="P114" s="299">
        <v>3200</v>
      </c>
      <c r="Q114" s="284">
        <f>P114</f>
        <v>3200</v>
      </c>
      <c r="R114" s="282"/>
      <c r="S114" s="282">
        <f t="shared" si="44"/>
        <v>100</v>
      </c>
      <c r="T114" s="462">
        <f>U114</f>
        <v>2100</v>
      </c>
      <c r="U114" s="488">
        <v>2100</v>
      </c>
      <c r="V114" s="282"/>
      <c r="W114" s="282"/>
      <c r="X114" s="462">
        <f>Y114</f>
        <v>2100</v>
      </c>
      <c r="Y114" s="488">
        <v>2100</v>
      </c>
      <c r="Z114" s="282"/>
      <c r="AA114" s="282"/>
      <c r="AB114" s="282"/>
      <c r="AC114" s="282"/>
      <c r="AD114" s="282"/>
      <c r="AE114" s="282"/>
      <c r="AF114" s="282"/>
      <c r="AG114" s="282"/>
      <c r="AH114" s="282"/>
      <c r="AI114" s="282"/>
      <c r="AJ114" s="282"/>
      <c r="AK114" s="282"/>
      <c r="AL114" s="69"/>
      <c r="AM114" s="1009">
        <f t="shared" si="40"/>
        <v>0</v>
      </c>
      <c r="AN114" s="1009">
        <f t="shared" si="41"/>
        <v>1</v>
      </c>
      <c r="AO114" s="144">
        <f t="shared" si="43"/>
        <v>1</v>
      </c>
    </row>
    <row r="115" spans="1:41" ht="36" hidden="1" customHeight="1" x14ac:dyDescent="0.25">
      <c r="A115" s="60">
        <v>62</v>
      </c>
      <c r="B115" s="60"/>
      <c r="C115" s="91" t="s">
        <v>1738</v>
      </c>
      <c r="D115" s="61" t="s">
        <v>1737</v>
      </c>
      <c r="E115" s="61" t="s">
        <v>1736</v>
      </c>
      <c r="F115" s="1024" t="s">
        <v>290</v>
      </c>
      <c r="G115" s="1025"/>
      <c r="H115" s="1027">
        <v>5000</v>
      </c>
      <c r="I115" s="1026">
        <f>H115</f>
        <v>5000</v>
      </c>
      <c r="J115" s="282"/>
      <c r="K115" s="282"/>
      <c r="L115" s="282"/>
      <c r="M115" s="282"/>
      <c r="N115" s="68">
        <v>4750</v>
      </c>
      <c r="O115" s="282">
        <f t="shared" si="29"/>
        <v>4750</v>
      </c>
      <c r="P115" s="299"/>
      <c r="Q115" s="284"/>
      <c r="R115" s="54"/>
      <c r="S115" s="282">
        <f t="shared" si="44"/>
        <v>4750</v>
      </c>
      <c r="T115" s="462"/>
      <c r="U115" s="488"/>
      <c r="V115" s="54"/>
      <c r="W115" s="282"/>
      <c r="X115" s="462"/>
      <c r="Y115" s="488"/>
      <c r="Z115" s="282"/>
      <c r="AA115" s="282"/>
      <c r="AB115" s="282"/>
      <c r="AC115" s="282"/>
      <c r="AD115" s="282"/>
      <c r="AE115" s="282"/>
      <c r="AF115" s="282"/>
      <c r="AG115" s="282"/>
      <c r="AH115" s="282"/>
      <c r="AI115" s="282"/>
      <c r="AJ115" s="282"/>
      <c r="AK115" s="282"/>
      <c r="AL115" s="25"/>
      <c r="AM115" s="1009">
        <f t="shared" si="40"/>
        <v>0</v>
      </c>
      <c r="AN115" s="1009">
        <f t="shared" si="41"/>
        <v>0</v>
      </c>
      <c r="AO115" s="144">
        <f t="shared" si="43"/>
        <v>1</v>
      </c>
    </row>
    <row r="116" spans="1:41" ht="33" hidden="1" x14ac:dyDescent="0.25">
      <c r="A116" s="60">
        <v>63</v>
      </c>
      <c r="B116" s="60"/>
      <c r="C116" s="91" t="s">
        <v>1735</v>
      </c>
      <c r="D116" s="61" t="s">
        <v>1709</v>
      </c>
      <c r="E116" s="61" t="s">
        <v>1733</v>
      </c>
      <c r="F116" s="1024" t="s">
        <v>290</v>
      </c>
      <c r="G116" s="1025"/>
      <c r="H116" s="1027">
        <v>3100</v>
      </c>
      <c r="I116" s="1026">
        <f>H116</f>
        <v>3100</v>
      </c>
      <c r="J116" s="282"/>
      <c r="K116" s="282"/>
      <c r="L116" s="282"/>
      <c r="M116" s="282"/>
      <c r="N116" s="68">
        <v>2950</v>
      </c>
      <c r="O116" s="282">
        <f t="shared" si="29"/>
        <v>2950</v>
      </c>
      <c r="P116" s="299"/>
      <c r="Q116" s="284"/>
      <c r="R116" s="54"/>
      <c r="S116" s="282">
        <f t="shared" si="44"/>
        <v>2950</v>
      </c>
      <c r="T116" s="462"/>
      <c r="U116" s="488"/>
      <c r="V116" s="54"/>
      <c r="W116" s="282"/>
      <c r="X116" s="462"/>
      <c r="Y116" s="488"/>
      <c r="Z116" s="282"/>
      <c r="AA116" s="282"/>
      <c r="AB116" s="282"/>
      <c r="AC116" s="282"/>
      <c r="AD116" s="282"/>
      <c r="AE116" s="282"/>
      <c r="AF116" s="282"/>
      <c r="AG116" s="282"/>
      <c r="AH116" s="282"/>
      <c r="AI116" s="282"/>
      <c r="AJ116" s="282"/>
      <c r="AK116" s="282"/>
      <c r="AL116" s="25"/>
      <c r="AM116" s="1009">
        <f t="shared" si="40"/>
        <v>0</v>
      </c>
      <c r="AN116" s="1009">
        <f t="shared" si="41"/>
        <v>0</v>
      </c>
      <c r="AO116" s="144">
        <f t="shared" si="43"/>
        <v>1</v>
      </c>
    </row>
    <row r="117" spans="1:41" ht="33" hidden="1" x14ac:dyDescent="0.25">
      <c r="A117" s="60">
        <v>64</v>
      </c>
      <c r="B117" s="60"/>
      <c r="C117" s="91" t="s">
        <v>1734</v>
      </c>
      <c r="D117" s="61" t="s">
        <v>1709</v>
      </c>
      <c r="E117" s="61" t="s">
        <v>1733</v>
      </c>
      <c r="F117" s="1024" t="s">
        <v>290</v>
      </c>
      <c r="G117" s="1025"/>
      <c r="H117" s="1027">
        <v>3000</v>
      </c>
      <c r="I117" s="1026">
        <f>H117</f>
        <v>3000</v>
      </c>
      <c r="J117" s="282"/>
      <c r="K117" s="282"/>
      <c r="L117" s="282"/>
      <c r="M117" s="282"/>
      <c r="N117" s="68">
        <v>2850</v>
      </c>
      <c r="O117" s="282">
        <f t="shared" si="29"/>
        <v>2850</v>
      </c>
      <c r="P117" s="299"/>
      <c r="Q117" s="284"/>
      <c r="R117" s="54"/>
      <c r="S117" s="282">
        <f t="shared" si="44"/>
        <v>2850</v>
      </c>
      <c r="T117" s="462"/>
      <c r="U117" s="488"/>
      <c r="V117" s="54"/>
      <c r="W117" s="282"/>
      <c r="X117" s="462"/>
      <c r="Y117" s="488"/>
      <c r="Z117" s="282"/>
      <c r="AA117" s="282"/>
      <c r="AB117" s="282"/>
      <c r="AC117" s="282"/>
      <c r="AD117" s="282"/>
      <c r="AE117" s="282"/>
      <c r="AF117" s="282"/>
      <c r="AG117" s="282"/>
      <c r="AH117" s="282"/>
      <c r="AI117" s="282"/>
      <c r="AJ117" s="282"/>
      <c r="AK117" s="282"/>
      <c r="AL117" s="25"/>
      <c r="AM117" s="1009">
        <f t="shared" si="40"/>
        <v>0</v>
      </c>
      <c r="AN117" s="1009">
        <f t="shared" si="41"/>
        <v>0</v>
      </c>
      <c r="AO117" s="144">
        <f t="shared" si="43"/>
        <v>1</v>
      </c>
    </row>
    <row r="118" spans="1:41" ht="49.5" hidden="1" x14ac:dyDescent="0.25">
      <c r="A118" s="60">
        <v>65</v>
      </c>
      <c r="B118" s="60"/>
      <c r="C118" s="9" t="s">
        <v>1732</v>
      </c>
      <c r="D118" s="61" t="s">
        <v>1709</v>
      </c>
      <c r="E118" s="61" t="s">
        <v>1715</v>
      </c>
      <c r="F118" s="1024" t="s">
        <v>290</v>
      </c>
      <c r="G118" s="1025"/>
      <c r="H118" s="1027">
        <f>I118</f>
        <v>3895</v>
      </c>
      <c r="I118" s="1026">
        <v>3895</v>
      </c>
      <c r="J118" s="282"/>
      <c r="K118" s="282"/>
      <c r="L118" s="282"/>
      <c r="M118" s="282"/>
      <c r="N118" s="68">
        <v>2850</v>
      </c>
      <c r="O118" s="282">
        <f t="shared" ref="O118" si="45">N118</f>
        <v>2850</v>
      </c>
      <c r="P118" s="299">
        <v>3350</v>
      </c>
      <c r="Q118" s="284">
        <f>P118</f>
        <v>3350</v>
      </c>
      <c r="R118" s="282"/>
      <c r="S118" s="282">
        <f t="shared" si="44"/>
        <v>150</v>
      </c>
      <c r="T118" s="462">
        <f t="shared" ref="T118:T124" si="46">U118</f>
        <v>2700</v>
      </c>
      <c r="U118" s="488">
        <v>2700</v>
      </c>
      <c r="V118" s="282"/>
      <c r="W118" s="282"/>
      <c r="X118" s="462">
        <f t="shared" ref="X118:X124" si="47">Y118</f>
        <v>2700</v>
      </c>
      <c r="Y118" s="488">
        <v>2700</v>
      </c>
      <c r="Z118" s="282"/>
      <c r="AA118" s="282"/>
      <c r="AB118" s="282"/>
      <c r="AC118" s="282"/>
      <c r="AD118" s="282"/>
      <c r="AE118" s="282"/>
      <c r="AF118" s="282"/>
      <c r="AG118" s="282"/>
      <c r="AH118" s="282"/>
      <c r="AI118" s="282"/>
      <c r="AJ118" s="282"/>
      <c r="AK118" s="282"/>
      <c r="AL118" s="69"/>
      <c r="AM118" s="1009">
        <f t="shared" si="40"/>
        <v>0</v>
      </c>
      <c r="AN118" s="1009">
        <f t="shared" si="41"/>
        <v>1</v>
      </c>
      <c r="AO118" s="144">
        <f t="shared" si="43"/>
        <v>1</v>
      </c>
    </row>
    <row r="119" spans="1:41" ht="33" hidden="1" x14ac:dyDescent="0.25">
      <c r="A119" s="60">
        <v>66</v>
      </c>
      <c r="B119" s="60"/>
      <c r="C119" s="91" t="s">
        <v>1731</v>
      </c>
      <c r="D119" s="61" t="s">
        <v>1709</v>
      </c>
      <c r="E119" s="61" t="s">
        <v>1730</v>
      </c>
      <c r="F119" s="1024" t="s">
        <v>290</v>
      </c>
      <c r="G119" s="1025"/>
      <c r="H119" s="1027">
        <v>1365</v>
      </c>
      <c r="I119" s="1026">
        <f>H119</f>
        <v>1365</v>
      </c>
      <c r="J119" s="282"/>
      <c r="K119" s="282"/>
      <c r="L119" s="282"/>
      <c r="M119" s="282"/>
      <c r="N119" s="68"/>
      <c r="O119" s="282"/>
      <c r="P119" s="299">
        <v>1000</v>
      </c>
      <c r="Q119" s="284">
        <f>P119</f>
        <v>1000</v>
      </c>
      <c r="R119" s="282">
        <f t="shared" ref="R119:R132" si="48">U119-O119</f>
        <v>1100</v>
      </c>
      <c r="S119" s="282"/>
      <c r="T119" s="462">
        <f t="shared" si="46"/>
        <v>1100</v>
      </c>
      <c r="U119" s="488">
        <v>1100</v>
      </c>
      <c r="V119" s="282"/>
      <c r="W119" s="282"/>
      <c r="X119" s="462">
        <f t="shared" si="47"/>
        <v>1100</v>
      </c>
      <c r="Y119" s="488">
        <v>1100</v>
      </c>
      <c r="Z119" s="282"/>
      <c r="AA119" s="282"/>
      <c r="AB119" s="282"/>
      <c r="AC119" s="282"/>
      <c r="AD119" s="282"/>
      <c r="AE119" s="282"/>
      <c r="AF119" s="282"/>
      <c r="AG119" s="282"/>
      <c r="AH119" s="282"/>
      <c r="AI119" s="282"/>
      <c r="AJ119" s="282"/>
      <c r="AK119" s="282"/>
      <c r="AL119" s="69"/>
      <c r="AM119" s="1009">
        <f t="shared" si="40"/>
        <v>0</v>
      </c>
      <c r="AN119" s="1009">
        <f t="shared" si="41"/>
        <v>1</v>
      </c>
      <c r="AO119" s="144">
        <f t="shared" si="43"/>
        <v>1</v>
      </c>
    </row>
    <row r="120" spans="1:41" ht="49.5" hidden="1" x14ac:dyDescent="0.25">
      <c r="A120" s="60">
        <v>67</v>
      </c>
      <c r="B120" s="60"/>
      <c r="C120" s="9" t="s">
        <v>1728</v>
      </c>
      <c r="D120" s="61" t="s">
        <v>1252</v>
      </c>
      <c r="E120" s="61" t="s">
        <v>1727</v>
      </c>
      <c r="F120" s="1024" t="s">
        <v>290</v>
      </c>
      <c r="G120" s="1025"/>
      <c r="H120" s="1027">
        <f t="shared" ref="H120:H132" si="49">I120</f>
        <v>4075</v>
      </c>
      <c r="I120" s="1026">
        <v>4075</v>
      </c>
      <c r="J120" s="282"/>
      <c r="K120" s="282"/>
      <c r="L120" s="282"/>
      <c r="M120" s="282"/>
      <c r="N120" s="68"/>
      <c r="O120" s="282"/>
      <c r="P120" s="299">
        <v>3530</v>
      </c>
      <c r="Q120" s="284">
        <v>3530</v>
      </c>
      <c r="R120" s="282">
        <f t="shared" si="48"/>
        <v>3000</v>
      </c>
      <c r="S120" s="282"/>
      <c r="T120" s="462">
        <f t="shared" si="46"/>
        <v>3000</v>
      </c>
      <c r="U120" s="488">
        <v>3000</v>
      </c>
      <c r="V120" s="282"/>
      <c r="W120" s="282"/>
      <c r="X120" s="462">
        <f t="shared" si="47"/>
        <v>3000</v>
      </c>
      <c r="Y120" s="488">
        <v>3000</v>
      </c>
      <c r="Z120" s="282"/>
      <c r="AA120" s="282"/>
      <c r="AB120" s="282"/>
      <c r="AC120" s="282"/>
      <c r="AD120" s="282"/>
      <c r="AE120" s="282"/>
      <c r="AF120" s="282"/>
      <c r="AG120" s="282"/>
      <c r="AH120" s="282"/>
      <c r="AI120" s="282"/>
      <c r="AJ120" s="282"/>
      <c r="AK120" s="282"/>
      <c r="AL120" s="69"/>
      <c r="AM120" s="1009">
        <f t="shared" si="40"/>
        <v>0</v>
      </c>
      <c r="AN120" s="1009">
        <f t="shared" si="41"/>
        <v>1</v>
      </c>
      <c r="AO120" s="144">
        <f t="shared" si="43"/>
        <v>1</v>
      </c>
    </row>
    <row r="121" spans="1:41" ht="49.5" hidden="1" x14ac:dyDescent="0.25">
      <c r="A121" s="60">
        <v>68</v>
      </c>
      <c r="B121" s="60"/>
      <c r="C121" s="9" t="s">
        <v>1726</v>
      </c>
      <c r="D121" s="61" t="s">
        <v>1709</v>
      </c>
      <c r="E121" s="61" t="s">
        <v>1715</v>
      </c>
      <c r="F121" s="1024" t="s">
        <v>290</v>
      </c>
      <c r="G121" s="1025"/>
      <c r="H121" s="1027">
        <f t="shared" si="49"/>
        <v>6196</v>
      </c>
      <c r="I121" s="1026">
        <v>6196</v>
      </c>
      <c r="J121" s="282"/>
      <c r="K121" s="282"/>
      <c r="L121" s="282"/>
      <c r="M121" s="282"/>
      <c r="N121" s="68"/>
      <c r="O121" s="282"/>
      <c r="P121" s="299">
        <v>5420</v>
      </c>
      <c r="Q121" s="284">
        <f t="shared" ref="Q121:Q131" si="50">P121</f>
        <v>5420</v>
      </c>
      <c r="R121" s="282">
        <f t="shared" si="48"/>
        <v>3645</v>
      </c>
      <c r="S121" s="282"/>
      <c r="T121" s="462">
        <f t="shared" si="46"/>
        <v>3645</v>
      </c>
      <c r="U121" s="488">
        <v>3645</v>
      </c>
      <c r="V121" s="282"/>
      <c r="W121" s="282"/>
      <c r="X121" s="462">
        <f t="shared" si="47"/>
        <v>3645</v>
      </c>
      <c r="Y121" s="488">
        <v>3645</v>
      </c>
      <c r="Z121" s="282"/>
      <c r="AA121" s="282"/>
      <c r="AB121" s="282"/>
      <c r="AC121" s="282"/>
      <c r="AD121" s="282"/>
      <c r="AE121" s="282"/>
      <c r="AF121" s="282"/>
      <c r="AG121" s="282"/>
      <c r="AH121" s="282"/>
      <c r="AI121" s="282"/>
      <c r="AJ121" s="282"/>
      <c r="AK121" s="282"/>
      <c r="AL121" s="69"/>
      <c r="AM121" s="1009">
        <f t="shared" si="40"/>
        <v>0</v>
      </c>
      <c r="AN121" s="1009">
        <f t="shared" si="41"/>
        <v>1</v>
      </c>
      <c r="AO121" s="144">
        <f t="shared" si="43"/>
        <v>1</v>
      </c>
    </row>
    <row r="122" spans="1:41" s="1323" customFormat="1" ht="49.5" hidden="1" x14ac:dyDescent="0.25">
      <c r="A122" s="152">
        <v>69</v>
      </c>
      <c r="B122" s="60"/>
      <c r="C122" s="153" t="s">
        <v>1725</v>
      </c>
      <c r="D122" s="1" t="s">
        <v>1713</v>
      </c>
      <c r="E122" s="1" t="s">
        <v>2549</v>
      </c>
      <c r="F122" s="424" t="s">
        <v>290</v>
      </c>
      <c r="G122" s="1025" t="s">
        <v>2553</v>
      </c>
      <c r="H122" s="331">
        <f>I122</f>
        <v>4618</v>
      </c>
      <c r="I122" s="422">
        <v>4618</v>
      </c>
      <c r="J122" s="244"/>
      <c r="K122" s="244"/>
      <c r="L122" s="244"/>
      <c r="M122" s="244"/>
      <c r="N122" s="68"/>
      <c r="O122" s="282"/>
      <c r="P122" s="299">
        <v>1000</v>
      </c>
      <c r="Q122" s="284">
        <f t="shared" si="50"/>
        <v>1000</v>
      </c>
      <c r="R122" s="282">
        <f t="shared" si="48"/>
        <v>3385</v>
      </c>
      <c r="S122" s="282"/>
      <c r="T122" s="457">
        <f t="shared" si="46"/>
        <v>3385</v>
      </c>
      <c r="U122" s="476">
        <v>3385</v>
      </c>
      <c r="V122" s="244"/>
      <c r="W122" s="244"/>
      <c r="X122" s="457">
        <f t="shared" si="47"/>
        <v>3385</v>
      </c>
      <c r="Y122" s="476">
        <v>3385</v>
      </c>
      <c r="Z122" s="282"/>
      <c r="AA122" s="282"/>
      <c r="AB122" s="282"/>
      <c r="AC122" s="282"/>
      <c r="AD122" s="282"/>
      <c r="AE122" s="282"/>
      <c r="AF122" s="282"/>
      <c r="AG122" s="282"/>
      <c r="AH122" s="282"/>
      <c r="AI122" s="282"/>
      <c r="AJ122" s="282"/>
      <c r="AK122" s="282"/>
      <c r="AL122" s="242"/>
      <c r="AM122" s="933">
        <f t="shared" si="40"/>
        <v>0</v>
      </c>
      <c r="AN122" s="933">
        <f t="shared" si="41"/>
        <v>1</v>
      </c>
      <c r="AO122" s="1333">
        <f t="shared" si="43"/>
        <v>1</v>
      </c>
    </row>
    <row r="123" spans="1:41" ht="33" hidden="1" x14ac:dyDescent="0.25">
      <c r="A123" s="60">
        <v>70</v>
      </c>
      <c r="B123" s="60"/>
      <c r="C123" s="9" t="s">
        <v>1723</v>
      </c>
      <c r="D123" s="61" t="s">
        <v>1713</v>
      </c>
      <c r="E123" s="61" t="s">
        <v>1722</v>
      </c>
      <c r="F123" s="1024" t="s">
        <v>290</v>
      </c>
      <c r="G123" s="1025"/>
      <c r="H123" s="1027">
        <f t="shared" si="49"/>
        <v>2940</v>
      </c>
      <c r="I123" s="1026">
        <v>2940</v>
      </c>
      <c r="J123" s="282"/>
      <c r="K123" s="282"/>
      <c r="L123" s="282"/>
      <c r="M123" s="282"/>
      <c r="N123" s="68"/>
      <c r="O123" s="282"/>
      <c r="P123" s="299">
        <v>600</v>
      </c>
      <c r="Q123" s="284">
        <f t="shared" si="50"/>
        <v>600</v>
      </c>
      <c r="R123" s="282">
        <f t="shared" si="48"/>
        <v>2345</v>
      </c>
      <c r="S123" s="282"/>
      <c r="T123" s="462">
        <f t="shared" si="46"/>
        <v>2345</v>
      </c>
      <c r="U123" s="488">
        <v>2345</v>
      </c>
      <c r="V123" s="282"/>
      <c r="W123" s="282"/>
      <c r="X123" s="462">
        <f t="shared" si="47"/>
        <v>2345</v>
      </c>
      <c r="Y123" s="488">
        <v>2345</v>
      </c>
      <c r="Z123" s="282"/>
      <c r="AA123" s="282"/>
      <c r="AB123" s="282"/>
      <c r="AC123" s="282"/>
      <c r="AD123" s="282"/>
      <c r="AE123" s="282"/>
      <c r="AF123" s="282"/>
      <c r="AG123" s="282"/>
      <c r="AH123" s="282"/>
      <c r="AI123" s="282"/>
      <c r="AJ123" s="282"/>
      <c r="AK123" s="282"/>
      <c r="AL123" s="69"/>
      <c r="AM123" s="1009">
        <f t="shared" si="40"/>
        <v>0</v>
      </c>
      <c r="AN123" s="1009">
        <f t="shared" si="41"/>
        <v>1</v>
      </c>
      <c r="AO123" s="144">
        <f t="shared" si="43"/>
        <v>1</v>
      </c>
    </row>
    <row r="124" spans="1:41" s="1323" customFormat="1" ht="49.5" hidden="1" x14ac:dyDescent="0.25">
      <c r="A124" s="152">
        <v>71</v>
      </c>
      <c r="B124" s="60"/>
      <c r="C124" s="153" t="s">
        <v>1721</v>
      </c>
      <c r="D124" s="1" t="s">
        <v>1713</v>
      </c>
      <c r="E124" s="1" t="s">
        <v>2550</v>
      </c>
      <c r="F124" s="424" t="s">
        <v>290</v>
      </c>
      <c r="G124" s="1025" t="s">
        <v>2554</v>
      </c>
      <c r="H124" s="331">
        <f>I124</f>
        <v>7463</v>
      </c>
      <c r="I124" s="422">
        <v>7463</v>
      </c>
      <c r="J124" s="244"/>
      <c r="K124" s="244"/>
      <c r="L124" s="244"/>
      <c r="M124" s="244"/>
      <c r="N124" s="68"/>
      <c r="O124" s="282"/>
      <c r="P124" s="299">
        <v>2000</v>
      </c>
      <c r="Q124" s="284">
        <f t="shared" si="50"/>
        <v>2000</v>
      </c>
      <c r="R124" s="282">
        <f t="shared" si="48"/>
        <v>6571</v>
      </c>
      <c r="S124" s="282"/>
      <c r="T124" s="457">
        <f t="shared" si="46"/>
        <v>6571</v>
      </c>
      <c r="U124" s="476">
        <v>6571</v>
      </c>
      <c r="V124" s="244"/>
      <c r="W124" s="244"/>
      <c r="X124" s="457">
        <f t="shared" si="47"/>
        <v>6571</v>
      </c>
      <c r="Y124" s="476">
        <v>6571</v>
      </c>
      <c r="Z124" s="282"/>
      <c r="AA124" s="282"/>
      <c r="AB124" s="282"/>
      <c r="AC124" s="282"/>
      <c r="AD124" s="282"/>
      <c r="AE124" s="282"/>
      <c r="AF124" s="282"/>
      <c r="AG124" s="282"/>
      <c r="AH124" s="282"/>
      <c r="AI124" s="282"/>
      <c r="AJ124" s="282"/>
      <c r="AK124" s="282"/>
      <c r="AL124" s="242"/>
      <c r="AM124" s="933">
        <f t="shared" si="40"/>
        <v>0</v>
      </c>
      <c r="AN124" s="933">
        <f t="shared" si="41"/>
        <v>1</v>
      </c>
      <c r="AO124" s="1333">
        <f t="shared" si="43"/>
        <v>1</v>
      </c>
    </row>
    <row r="125" spans="1:41" ht="33" hidden="1" x14ac:dyDescent="0.25">
      <c r="A125" s="60">
        <v>72</v>
      </c>
      <c r="B125" s="60"/>
      <c r="C125" s="9" t="s">
        <v>1720</v>
      </c>
      <c r="D125" s="61" t="s">
        <v>1713</v>
      </c>
      <c r="E125" s="61" t="s">
        <v>1719</v>
      </c>
      <c r="F125" s="1024" t="s">
        <v>290</v>
      </c>
      <c r="G125" s="1025"/>
      <c r="H125" s="1027">
        <f t="shared" si="49"/>
        <v>2730</v>
      </c>
      <c r="I125" s="1026">
        <v>2730</v>
      </c>
      <c r="J125" s="282"/>
      <c r="K125" s="282"/>
      <c r="L125" s="282"/>
      <c r="M125" s="282"/>
      <c r="N125" s="68"/>
      <c r="O125" s="282"/>
      <c r="P125" s="299">
        <v>2300</v>
      </c>
      <c r="Q125" s="284">
        <f t="shared" si="50"/>
        <v>2300</v>
      </c>
      <c r="R125" s="282">
        <f t="shared" si="48"/>
        <v>2300</v>
      </c>
      <c r="S125" s="282"/>
      <c r="T125" s="462">
        <v>2300</v>
      </c>
      <c r="U125" s="488">
        <v>2300</v>
      </c>
      <c r="V125" s="282"/>
      <c r="W125" s="282"/>
      <c r="X125" s="462">
        <v>2300</v>
      </c>
      <c r="Y125" s="488">
        <v>2300</v>
      </c>
      <c r="Z125" s="282"/>
      <c r="AA125" s="282"/>
      <c r="AB125" s="282"/>
      <c r="AC125" s="282"/>
      <c r="AD125" s="282"/>
      <c r="AE125" s="282"/>
      <c r="AF125" s="282"/>
      <c r="AG125" s="282"/>
      <c r="AH125" s="282"/>
      <c r="AI125" s="282"/>
      <c r="AJ125" s="282"/>
      <c r="AK125" s="282"/>
      <c r="AL125" s="69"/>
      <c r="AM125" s="1009">
        <f t="shared" si="40"/>
        <v>0</v>
      </c>
      <c r="AN125" s="1009">
        <f t="shared" si="41"/>
        <v>1</v>
      </c>
      <c r="AO125" s="144">
        <f t="shared" si="43"/>
        <v>1</v>
      </c>
    </row>
    <row r="126" spans="1:41" s="1323" customFormat="1" ht="49.5" hidden="1" x14ac:dyDescent="0.25">
      <c r="A126" s="152">
        <v>73</v>
      </c>
      <c r="B126" s="60"/>
      <c r="C126" s="153" t="s">
        <v>1718</v>
      </c>
      <c r="D126" s="1" t="s">
        <v>1713</v>
      </c>
      <c r="E126" s="1" t="s">
        <v>2551</v>
      </c>
      <c r="F126" s="424" t="s">
        <v>290</v>
      </c>
      <c r="G126" s="1025" t="s">
        <v>2555</v>
      </c>
      <c r="H126" s="331">
        <f>I126</f>
        <v>3549</v>
      </c>
      <c r="I126" s="422">
        <v>3549</v>
      </c>
      <c r="J126" s="244"/>
      <c r="K126" s="244"/>
      <c r="L126" s="244"/>
      <c r="M126" s="244"/>
      <c r="N126" s="68"/>
      <c r="O126" s="282"/>
      <c r="P126" s="299">
        <v>1400</v>
      </c>
      <c r="Q126" s="284">
        <f t="shared" si="50"/>
        <v>1400</v>
      </c>
      <c r="R126" s="282">
        <f t="shared" si="48"/>
        <v>2865</v>
      </c>
      <c r="S126" s="282"/>
      <c r="T126" s="457">
        <f>U126</f>
        <v>2865</v>
      </c>
      <c r="U126" s="476">
        <v>2865</v>
      </c>
      <c r="V126" s="244"/>
      <c r="W126" s="244"/>
      <c r="X126" s="457">
        <f>Y126</f>
        <v>2865</v>
      </c>
      <c r="Y126" s="476">
        <v>2865</v>
      </c>
      <c r="Z126" s="282"/>
      <c r="AA126" s="282"/>
      <c r="AB126" s="282"/>
      <c r="AC126" s="282"/>
      <c r="AD126" s="282"/>
      <c r="AE126" s="282"/>
      <c r="AF126" s="282"/>
      <c r="AG126" s="282"/>
      <c r="AH126" s="282"/>
      <c r="AI126" s="282"/>
      <c r="AJ126" s="282"/>
      <c r="AK126" s="282"/>
      <c r="AL126" s="242"/>
      <c r="AM126" s="933">
        <f t="shared" si="40"/>
        <v>0</v>
      </c>
      <c r="AN126" s="933">
        <f t="shared" si="41"/>
        <v>1</v>
      </c>
      <c r="AO126" s="1333">
        <f t="shared" si="43"/>
        <v>1</v>
      </c>
    </row>
    <row r="127" spans="1:41" ht="33" hidden="1" x14ac:dyDescent="0.25">
      <c r="A127" s="60">
        <v>74</v>
      </c>
      <c r="B127" s="60"/>
      <c r="C127" s="9" t="s">
        <v>1717</v>
      </c>
      <c r="D127" s="61" t="s">
        <v>1713</v>
      </c>
      <c r="E127" s="61" t="s">
        <v>1715</v>
      </c>
      <c r="F127" s="1024" t="s">
        <v>290</v>
      </c>
      <c r="G127" s="1025"/>
      <c r="H127" s="1027">
        <f t="shared" si="49"/>
        <v>1890</v>
      </c>
      <c r="I127" s="1026">
        <v>1890</v>
      </c>
      <c r="J127" s="282"/>
      <c r="K127" s="282"/>
      <c r="L127" s="282"/>
      <c r="M127" s="282"/>
      <c r="N127" s="68"/>
      <c r="O127" s="282"/>
      <c r="P127" s="299">
        <v>1600</v>
      </c>
      <c r="Q127" s="284">
        <f t="shared" si="50"/>
        <v>1600</v>
      </c>
      <c r="R127" s="282">
        <f t="shared" si="48"/>
        <v>1607</v>
      </c>
      <c r="S127" s="282"/>
      <c r="T127" s="462">
        <f>U127</f>
        <v>1607</v>
      </c>
      <c r="U127" s="488">
        <v>1607</v>
      </c>
      <c r="V127" s="282"/>
      <c r="W127" s="282"/>
      <c r="X127" s="462">
        <f>Y127</f>
        <v>1607</v>
      </c>
      <c r="Y127" s="488">
        <v>1607</v>
      </c>
      <c r="Z127" s="282"/>
      <c r="AA127" s="282"/>
      <c r="AB127" s="282"/>
      <c r="AC127" s="282"/>
      <c r="AD127" s="282"/>
      <c r="AE127" s="282"/>
      <c r="AF127" s="282"/>
      <c r="AG127" s="282"/>
      <c r="AH127" s="282"/>
      <c r="AI127" s="282"/>
      <c r="AJ127" s="282"/>
      <c r="AK127" s="282"/>
      <c r="AL127" s="69"/>
      <c r="AM127" s="1009">
        <f t="shared" si="40"/>
        <v>0</v>
      </c>
      <c r="AN127" s="1009">
        <f t="shared" si="41"/>
        <v>1</v>
      </c>
      <c r="AO127" s="144">
        <f t="shared" si="43"/>
        <v>1</v>
      </c>
    </row>
    <row r="128" spans="1:41" ht="33" hidden="1" x14ac:dyDescent="0.25">
      <c r="A128" s="60">
        <v>75</v>
      </c>
      <c r="B128" s="60"/>
      <c r="C128" s="9" t="s">
        <v>1716</v>
      </c>
      <c r="D128" s="61" t="s">
        <v>1713</v>
      </c>
      <c r="E128" s="61" t="s">
        <v>1715</v>
      </c>
      <c r="F128" s="1024" t="s">
        <v>290</v>
      </c>
      <c r="G128" s="1025"/>
      <c r="H128" s="1027">
        <f t="shared" si="49"/>
        <v>2100</v>
      </c>
      <c r="I128" s="1026">
        <v>2100</v>
      </c>
      <c r="J128" s="282"/>
      <c r="K128" s="282"/>
      <c r="L128" s="282"/>
      <c r="M128" s="282"/>
      <c r="N128" s="68"/>
      <c r="O128" s="282"/>
      <c r="P128" s="299">
        <v>1700</v>
      </c>
      <c r="Q128" s="284">
        <f t="shared" si="50"/>
        <v>1700</v>
      </c>
      <c r="R128" s="282">
        <f t="shared" si="48"/>
        <v>1700</v>
      </c>
      <c r="S128" s="282"/>
      <c r="T128" s="462">
        <v>1700</v>
      </c>
      <c r="U128" s="488">
        <v>1700</v>
      </c>
      <c r="V128" s="282"/>
      <c r="W128" s="282"/>
      <c r="X128" s="462">
        <v>1700</v>
      </c>
      <c r="Y128" s="488">
        <v>1700</v>
      </c>
      <c r="Z128" s="282"/>
      <c r="AA128" s="282"/>
      <c r="AB128" s="282"/>
      <c r="AC128" s="282"/>
      <c r="AD128" s="282"/>
      <c r="AE128" s="282"/>
      <c r="AF128" s="282"/>
      <c r="AG128" s="282"/>
      <c r="AH128" s="282"/>
      <c r="AI128" s="282"/>
      <c r="AJ128" s="282"/>
      <c r="AK128" s="282"/>
      <c r="AL128" s="69"/>
      <c r="AM128" s="1009">
        <f t="shared" si="40"/>
        <v>0</v>
      </c>
      <c r="AN128" s="1009">
        <f t="shared" si="41"/>
        <v>1</v>
      </c>
      <c r="AO128" s="144">
        <f t="shared" si="43"/>
        <v>1</v>
      </c>
    </row>
    <row r="129" spans="1:43" s="1323" customFormat="1" ht="58.5" hidden="1" customHeight="1" x14ac:dyDescent="0.25">
      <c r="A129" s="152">
        <v>76</v>
      </c>
      <c r="B129" s="152"/>
      <c r="C129" s="153" t="s">
        <v>1714</v>
      </c>
      <c r="D129" s="1" t="s">
        <v>1713</v>
      </c>
      <c r="E129" s="1" t="s">
        <v>2491</v>
      </c>
      <c r="F129" s="424" t="s">
        <v>168</v>
      </c>
      <c r="G129" s="423" t="s">
        <v>2605</v>
      </c>
      <c r="H129" s="331">
        <f>I129</f>
        <v>28537</v>
      </c>
      <c r="I129" s="422">
        <v>28537</v>
      </c>
      <c r="J129" s="244"/>
      <c r="K129" s="244"/>
      <c r="L129" s="244"/>
      <c r="M129" s="244"/>
      <c r="N129" s="4"/>
      <c r="O129" s="244"/>
      <c r="P129" s="243">
        <v>10500</v>
      </c>
      <c r="Q129" s="354">
        <f t="shared" si="50"/>
        <v>10500</v>
      </c>
      <c r="R129" s="244">
        <f t="shared" si="48"/>
        <v>15864</v>
      </c>
      <c r="S129" s="244"/>
      <c r="T129" s="457">
        <f>U129</f>
        <v>15864</v>
      </c>
      <c r="U129" s="476">
        <v>15864</v>
      </c>
      <c r="V129" s="244"/>
      <c r="W129" s="244"/>
      <c r="X129" s="457">
        <f>Y129</f>
        <v>15864</v>
      </c>
      <c r="Y129" s="476">
        <v>15864</v>
      </c>
      <c r="Z129" s="244"/>
      <c r="AA129" s="244"/>
      <c r="AB129" s="244"/>
      <c r="AC129" s="244"/>
      <c r="AD129" s="244"/>
      <c r="AE129" s="244"/>
      <c r="AF129" s="244"/>
      <c r="AG129" s="244"/>
      <c r="AH129" s="244"/>
      <c r="AI129" s="244"/>
      <c r="AJ129" s="244"/>
      <c r="AK129" s="244"/>
      <c r="AL129" s="242"/>
      <c r="AM129" s="933">
        <f t="shared" si="40"/>
        <v>0</v>
      </c>
      <c r="AN129" s="933">
        <f t="shared" si="41"/>
        <v>1</v>
      </c>
      <c r="AO129" s="1333">
        <f t="shared" si="43"/>
        <v>1</v>
      </c>
    </row>
    <row r="130" spans="1:43" ht="49.5" hidden="1" x14ac:dyDescent="0.25">
      <c r="A130" s="60">
        <v>77</v>
      </c>
      <c r="B130" s="60"/>
      <c r="C130" s="9" t="s">
        <v>1711</v>
      </c>
      <c r="D130" s="61" t="s">
        <v>1709</v>
      </c>
      <c r="E130" s="61"/>
      <c r="F130" s="1024"/>
      <c r="G130" s="1025"/>
      <c r="H130" s="1027">
        <f t="shared" si="49"/>
        <v>1616</v>
      </c>
      <c r="I130" s="1026">
        <v>1616</v>
      </c>
      <c r="J130" s="282"/>
      <c r="K130" s="282"/>
      <c r="L130" s="282"/>
      <c r="M130" s="282"/>
      <c r="N130" s="68"/>
      <c r="O130" s="282"/>
      <c r="P130" s="299">
        <v>1400</v>
      </c>
      <c r="Q130" s="284">
        <f t="shared" si="50"/>
        <v>1400</v>
      </c>
      <c r="R130" s="282">
        <f t="shared" si="48"/>
        <v>1308</v>
      </c>
      <c r="S130" s="282"/>
      <c r="T130" s="462">
        <f>U130</f>
        <v>1308</v>
      </c>
      <c r="U130" s="488">
        <v>1308</v>
      </c>
      <c r="V130" s="282"/>
      <c r="W130" s="282"/>
      <c r="X130" s="462">
        <f>Y130</f>
        <v>1308</v>
      </c>
      <c r="Y130" s="488">
        <v>1308</v>
      </c>
      <c r="Z130" s="282"/>
      <c r="AA130" s="282"/>
      <c r="AB130" s="282"/>
      <c r="AC130" s="282"/>
      <c r="AD130" s="282"/>
      <c r="AE130" s="282"/>
      <c r="AF130" s="282"/>
      <c r="AG130" s="282"/>
      <c r="AH130" s="282"/>
      <c r="AI130" s="282"/>
      <c r="AJ130" s="282"/>
      <c r="AK130" s="282"/>
      <c r="AL130" s="69"/>
      <c r="AM130" s="1009">
        <f t="shared" si="40"/>
        <v>0</v>
      </c>
      <c r="AN130" s="1009">
        <f t="shared" si="41"/>
        <v>1</v>
      </c>
      <c r="AO130" s="144">
        <f t="shared" si="43"/>
        <v>1</v>
      </c>
    </row>
    <row r="131" spans="1:43" ht="49.5" hidden="1" x14ac:dyDescent="0.25">
      <c r="A131" s="60">
        <v>78</v>
      </c>
      <c r="B131" s="60"/>
      <c r="C131" s="9" t="s">
        <v>1710</v>
      </c>
      <c r="D131" s="61" t="s">
        <v>1709</v>
      </c>
      <c r="E131" s="61"/>
      <c r="F131" s="1024"/>
      <c r="G131" s="1025"/>
      <c r="H131" s="1027">
        <f t="shared" si="49"/>
        <v>2074</v>
      </c>
      <c r="I131" s="1026">
        <v>2074</v>
      </c>
      <c r="J131" s="282"/>
      <c r="K131" s="282"/>
      <c r="L131" s="282"/>
      <c r="M131" s="282"/>
      <c r="N131" s="68"/>
      <c r="O131" s="282"/>
      <c r="P131" s="299">
        <v>1800</v>
      </c>
      <c r="Q131" s="284">
        <f t="shared" si="50"/>
        <v>1800</v>
      </c>
      <c r="R131" s="282">
        <f t="shared" si="48"/>
        <v>1827</v>
      </c>
      <c r="S131" s="282"/>
      <c r="T131" s="462">
        <f>U131</f>
        <v>1827</v>
      </c>
      <c r="U131" s="488">
        <v>1827</v>
      </c>
      <c r="V131" s="282"/>
      <c r="W131" s="282"/>
      <c r="X131" s="462">
        <f>Y131</f>
        <v>1827</v>
      </c>
      <c r="Y131" s="488">
        <v>1827</v>
      </c>
      <c r="Z131" s="282"/>
      <c r="AA131" s="282"/>
      <c r="AB131" s="282"/>
      <c r="AC131" s="282"/>
      <c r="AD131" s="282"/>
      <c r="AE131" s="282"/>
      <c r="AF131" s="282"/>
      <c r="AG131" s="282"/>
      <c r="AH131" s="282"/>
      <c r="AI131" s="282"/>
      <c r="AJ131" s="282"/>
      <c r="AK131" s="282"/>
      <c r="AL131" s="69"/>
      <c r="AM131" s="1009">
        <f t="shared" si="40"/>
        <v>0</v>
      </c>
      <c r="AN131" s="1009">
        <f t="shared" si="41"/>
        <v>1</v>
      </c>
      <c r="AO131" s="144">
        <f t="shared" si="43"/>
        <v>1</v>
      </c>
    </row>
    <row r="132" spans="1:43" ht="49.5" hidden="1" x14ac:dyDescent="0.25">
      <c r="A132" s="60">
        <v>79</v>
      </c>
      <c r="B132" s="60"/>
      <c r="C132" s="9" t="s">
        <v>2137</v>
      </c>
      <c r="D132" s="61" t="s">
        <v>1709</v>
      </c>
      <c r="E132" s="61" t="s">
        <v>1715</v>
      </c>
      <c r="F132" s="1024" t="s">
        <v>290</v>
      </c>
      <c r="G132" s="1025"/>
      <c r="H132" s="1027">
        <f t="shared" si="49"/>
        <v>7520</v>
      </c>
      <c r="I132" s="1026">
        <v>7520</v>
      </c>
      <c r="J132" s="282"/>
      <c r="K132" s="282"/>
      <c r="L132" s="282"/>
      <c r="M132" s="282"/>
      <c r="N132" s="68"/>
      <c r="O132" s="282"/>
      <c r="P132" s="299"/>
      <c r="Q132" s="284"/>
      <c r="R132" s="282">
        <f t="shared" si="48"/>
        <v>5640</v>
      </c>
      <c r="S132" s="282"/>
      <c r="T132" s="462">
        <f>U132</f>
        <v>5640</v>
      </c>
      <c r="U132" s="488">
        <v>5640</v>
      </c>
      <c r="V132" s="282"/>
      <c r="W132" s="282"/>
      <c r="X132" s="462">
        <f>Y132</f>
        <v>5640</v>
      </c>
      <c r="Y132" s="488">
        <v>5640</v>
      </c>
      <c r="Z132" s="282"/>
      <c r="AA132" s="282"/>
      <c r="AB132" s="282"/>
      <c r="AC132" s="282"/>
      <c r="AD132" s="282"/>
      <c r="AE132" s="282"/>
      <c r="AF132" s="282"/>
      <c r="AG132" s="282"/>
      <c r="AH132" s="282"/>
      <c r="AI132" s="282"/>
      <c r="AJ132" s="282"/>
      <c r="AK132" s="282"/>
      <c r="AL132" s="69"/>
      <c r="AM132" s="1009">
        <f t="shared" si="40"/>
        <v>0</v>
      </c>
      <c r="AN132" s="1009">
        <f t="shared" si="41"/>
        <v>1</v>
      </c>
      <c r="AO132" s="144">
        <f t="shared" si="43"/>
        <v>1</v>
      </c>
    </row>
    <row r="133" spans="1:43" ht="51.75" hidden="1" x14ac:dyDescent="0.25">
      <c r="A133" s="50" t="s">
        <v>47</v>
      </c>
      <c r="B133" s="50"/>
      <c r="C133" s="51" t="s">
        <v>2074</v>
      </c>
      <c r="D133" s="57"/>
      <c r="E133" s="57"/>
      <c r="F133" s="57"/>
      <c r="G133" s="57"/>
      <c r="H133" s="1017">
        <f t="shared" ref="H133:M133" si="51">SUM(H134:H172)</f>
        <v>119589</v>
      </c>
      <c r="I133" s="1017">
        <f t="shared" si="51"/>
        <v>111807</v>
      </c>
      <c r="J133" s="1017">
        <f t="shared" si="51"/>
        <v>0</v>
      </c>
      <c r="K133" s="1017">
        <f t="shared" si="51"/>
        <v>0</v>
      </c>
      <c r="L133" s="1017">
        <f t="shared" si="51"/>
        <v>0</v>
      </c>
      <c r="M133" s="1017">
        <f t="shared" si="51"/>
        <v>0</v>
      </c>
      <c r="N133" s="1017">
        <f t="shared" ref="N133:S133" si="52">SUM(N134:N165)</f>
        <v>0</v>
      </c>
      <c r="O133" s="1017">
        <f t="shared" si="52"/>
        <v>0</v>
      </c>
      <c r="P133" s="1017">
        <f t="shared" si="52"/>
        <v>0</v>
      </c>
      <c r="Q133" s="1017">
        <f t="shared" si="52"/>
        <v>0</v>
      </c>
      <c r="R133" s="1017">
        <f t="shared" si="52"/>
        <v>0</v>
      </c>
      <c r="S133" s="1017">
        <f t="shared" si="52"/>
        <v>0</v>
      </c>
      <c r="T133" s="1017">
        <f t="shared" ref="T133:W133" si="53">SUM(T134:T172)</f>
        <v>0</v>
      </c>
      <c r="U133" s="1017">
        <f t="shared" si="53"/>
        <v>0</v>
      </c>
      <c r="V133" s="1017">
        <f t="shared" si="53"/>
        <v>70700</v>
      </c>
      <c r="W133" s="1017">
        <f t="shared" si="53"/>
        <v>0</v>
      </c>
      <c r="X133" s="1017">
        <f>SUM(X134:X172)</f>
        <v>70700</v>
      </c>
      <c r="Y133" s="1017">
        <f>SUM(Y134:Y172)</f>
        <v>70700</v>
      </c>
      <c r="Z133" s="1017">
        <f>SUM(Z134:Z151)+SUM(Z153:Z157)+Z159+Z162+SUM(Z173:Z177)+SUM(Z180:Z226)</f>
        <v>101199</v>
      </c>
      <c r="AA133" s="1017">
        <f>SUM(AA134:AA151)+SUM(AA153:AA157)+AA159+AA162+SUM(AA173:AA177)+SUM(AA180:AA226)</f>
        <v>101199</v>
      </c>
      <c r="AB133" s="1017">
        <f>SUM(AB134:AB151)+SUM(AB153:AB157)+AB159+AB162+SUM(AB173:AB177)+SUM(AB180:AB226)</f>
        <v>121330</v>
      </c>
      <c r="AC133" s="1017">
        <f>SUM(AC134:AC151)+SUM(AC153:AC157)+AC159+AC162+SUM(AC173:AC177)+SUM(AC180:AC226)</f>
        <v>121330</v>
      </c>
      <c r="AD133" s="1016">
        <f t="shared" ref="AD133:AK133" si="54">SUM(AD134:AD226)</f>
        <v>0</v>
      </c>
      <c r="AE133" s="1016">
        <f t="shared" si="54"/>
        <v>0</v>
      </c>
      <c r="AF133" s="1016">
        <f t="shared" si="54"/>
        <v>0</v>
      </c>
      <c r="AG133" s="1016">
        <f t="shared" si="54"/>
        <v>0</v>
      </c>
      <c r="AH133" s="1016">
        <f t="shared" si="54"/>
        <v>0</v>
      </c>
      <c r="AI133" s="1016">
        <f t="shared" si="54"/>
        <v>0</v>
      </c>
      <c r="AJ133" s="1016">
        <f t="shared" si="54"/>
        <v>0</v>
      </c>
      <c r="AK133" s="1016">
        <f t="shared" si="54"/>
        <v>0</v>
      </c>
      <c r="AL133" s="59"/>
      <c r="AM133" s="1009">
        <f t="shared" si="40"/>
        <v>1</v>
      </c>
      <c r="AN133" s="1009">
        <f t="shared" si="41"/>
        <v>1</v>
      </c>
      <c r="AO133" s="144">
        <f t="shared" si="43"/>
        <v>1</v>
      </c>
      <c r="AQ133" s="1334"/>
    </row>
    <row r="134" spans="1:43" ht="66" hidden="1" x14ac:dyDescent="0.25">
      <c r="A134" s="60">
        <v>80</v>
      </c>
      <c r="B134" s="60">
        <v>1</v>
      </c>
      <c r="C134" s="67" t="s">
        <v>2226</v>
      </c>
      <c r="D134" s="61" t="s">
        <v>2291</v>
      </c>
      <c r="E134" s="118" t="s">
        <v>2259</v>
      </c>
      <c r="F134" s="118" t="s">
        <v>1354</v>
      </c>
      <c r="G134" s="1025"/>
      <c r="H134" s="331">
        <v>12998</v>
      </c>
      <c r="I134" s="422">
        <f>H134-1182</f>
        <v>11816</v>
      </c>
      <c r="J134" s="282"/>
      <c r="K134" s="282"/>
      <c r="L134" s="282"/>
      <c r="M134" s="282"/>
      <c r="N134" s="1077"/>
      <c r="O134" s="1075"/>
      <c r="P134" s="1080"/>
      <c r="Q134" s="1079"/>
      <c r="R134" s="1075"/>
      <c r="S134" s="1075"/>
      <c r="T134" s="462"/>
      <c r="U134" s="488"/>
      <c r="V134" s="282">
        <v>7200</v>
      </c>
      <c r="W134" s="282"/>
      <c r="X134" s="462">
        <f>Y134</f>
        <v>7200</v>
      </c>
      <c r="Y134" s="488">
        <f>V134</f>
        <v>7200</v>
      </c>
      <c r="Z134" s="1075"/>
      <c r="AA134" s="1075"/>
      <c r="AB134" s="1075"/>
      <c r="AC134" s="1075"/>
      <c r="AD134" s="1075"/>
      <c r="AE134" s="1075"/>
      <c r="AF134" s="1075"/>
      <c r="AG134" s="1075"/>
      <c r="AH134" s="1075"/>
      <c r="AI134" s="1075"/>
      <c r="AJ134" s="1075"/>
      <c r="AK134" s="1075"/>
      <c r="AL134" s="25" t="s">
        <v>980</v>
      </c>
      <c r="AM134" s="1009">
        <f t="shared" si="40"/>
        <v>1</v>
      </c>
      <c r="AN134" s="1009">
        <f t="shared" si="41"/>
        <v>1</v>
      </c>
      <c r="AO134" s="144">
        <f t="shared" si="43"/>
        <v>1</v>
      </c>
    </row>
    <row r="135" spans="1:43" ht="49.5" hidden="1" x14ac:dyDescent="0.25">
      <c r="A135" s="60">
        <v>81</v>
      </c>
      <c r="B135" s="60">
        <v>3</v>
      </c>
      <c r="C135" s="67" t="s">
        <v>2228</v>
      </c>
      <c r="D135" s="118" t="s">
        <v>2292</v>
      </c>
      <c r="E135" s="118" t="s">
        <v>2260</v>
      </c>
      <c r="F135" s="118" t="s">
        <v>1354</v>
      </c>
      <c r="G135" s="1025"/>
      <c r="H135" s="331">
        <v>4743</v>
      </c>
      <c r="I135" s="422">
        <f>H135-226</f>
        <v>4517</v>
      </c>
      <c r="J135" s="282"/>
      <c r="K135" s="282"/>
      <c r="L135" s="282"/>
      <c r="M135" s="282"/>
      <c r="N135" s="1077"/>
      <c r="O135" s="1075"/>
      <c r="P135" s="1080"/>
      <c r="Q135" s="1079"/>
      <c r="R135" s="1075"/>
      <c r="S135" s="1075"/>
      <c r="T135" s="462"/>
      <c r="U135" s="488"/>
      <c r="V135" s="282">
        <v>2800</v>
      </c>
      <c r="W135" s="282"/>
      <c r="X135" s="462">
        <f t="shared" ref="X135:X165" si="55">Y135</f>
        <v>2800</v>
      </c>
      <c r="Y135" s="488">
        <f t="shared" ref="Y135:Y165" si="56">V135</f>
        <v>2800</v>
      </c>
      <c r="Z135" s="1075"/>
      <c r="AA135" s="1075"/>
      <c r="AB135" s="1075"/>
      <c r="AC135" s="1075"/>
      <c r="AD135" s="1075"/>
      <c r="AE135" s="1075"/>
      <c r="AF135" s="1075"/>
      <c r="AG135" s="1075"/>
      <c r="AH135" s="1075"/>
      <c r="AI135" s="1075"/>
      <c r="AJ135" s="1075"/>
      <c r="AK135" s="1075"/>
      <c r="AL135" s="25" t="s">
        <v>980</v>
      </c>
      <c r="AM135" s="1009">
        <f t="shared" si="40"/>
        <v>1</v>
      </c>
      <c r="AN135" s="1009">
        <f t="shared" si="41"/>
        <v>1</v>
      </c>
      <c r="AO135" s="144">
        <f t="shared" si="43"/>
        <v>1</v>
      </c>
    </row>
    <row r="136" spans="1:43" ht="49.5" hidden="1" x14ac:dyDescent="0.25">
      <c r="A136" s="60">
        <v>82</v>
      </c>
      <c r="B136" s="60">
        <v>4</v>
      </c>
      <c r="C136" s="67" t="s">
        <v>2229</v>
      </c>
      <c r="D136" s="118" t="s">
        <v>2292</v>
      </c>
      <c r="E136" s="118" t="s">
        <v>2261</v>
      </c>
      <c r="F136" s="118" t="s">
        <v>1354</v>
      </c>
      <c r="G136" s="1025"/>
      <c r="H136" s="331">
        <v>2354</v>
      </c>
      <c r="I136" s="422">
        <f>H136-164</f>
        <v>2190</v>
      </c>
      <c r="J136" s="282"/>
      <c r="K136" s="282"/>
      <c r="L136" s="282"/>
      <c r="M136" s="282"/>
      <c r="N136" s="1077"/>
      <c r="O136" s="1075"/>
      <c r="P136" s="1080"/>
      <c r="Q136" s="1079"/>
      <c r="R136" s="1075"/>
      <c r="S136" s="1075"/>
      <c r="T136" s="462"/>
      <c r="U136" s="488"/>
      <c r="V136" s="282">
        <v>1400</v>
      </c>
      <c r="W136" s="282"/>
      <c r="X136" s="462">
        <f t="shared" si="55"/>
        <v>1400</v>
      </c>
      <c r="Y136" s="488">
        <f t="shared" si="56"/>
        <v>1400</v>
      </c>
      <c r="Z136" s="1075"/>
      <c r="AA136" s="1075"/>
      <c r="AB136" s="1075"/>
      <c r="AC136" s="1075"/>
      <c r="AD136" s="1075"/>
      <c r="AE136" s="1075"/>
      <c r="AF136" s="1075"/>
      <c r="AG136" s="1075"/>
      <c r="AH136" s="1075"/>
      <c r="AI136" s="1075"/>
      <c r="AJ136" s="1075"/>
      <c r="AK136" s="1075"/>
      <c r="AL136" s="25" t="s">
        <v>980</v>
      </c>
      <c r="AM136" s="1009">
        <f t="shared" si="40"/>
        <v>1</v>
      </c>
      <c r="AN136" s="1009">
        <f t="shared" si="41"/>
        <v>1</v>
      </c>
      <c r="AO136" s="144">
        <f t="shared" si="43"/>
        <v>1</v>
      </c>
    </row>
    <row r="137" spans="1:43" ht="49.5" hidden="1" x14ac:dyDescent="0.25">
      <c r="A137" s="60">
        <v>83</v>
      </c>
      <c r="B137" s="60">
        <v>5</v>
      </c>
      <c r="C137" s="67" t="s">
        <v>2230</v>
      </c>
      <c r="D137" s="118" t="s">
        <v>2292</v>
      </c>
      <c r="E137" s="118" t="s">
        <v>2262</v>
      </c>
      <c r="F137" s="118" t="s">
        <v>1354</v>
      </c>
      <c r="G137" s="1025"/>
      <c r="H137" s="331">
        <v>3972</v>
      </c>
      <c r="I137" s="422">
        <f>H137-276</f>
        <v>3696</v>
      </c>
      <c r="J137" s="282"/>
      <c r="K137" s="282"/>
      <c r="L137" s="282"/>
      <c r="M137" s="282"/>
      <c r="N137" s="1077"/>
      <c r="O137" s="1075"/>
      <c r="P137" s="1080"/>
      <c r="Q137" s="1079"/>
      <c r="R137" s="1075"/>
      <c r="S137" s="1075"/>
      <c r="T137" s="462"/>
      <c r="U137" s="488"/>
      <c r="V137" s="282">
        <v>3100</v>
      </c>
      <c r="W137" s="282"/>
      <c r="X137" s="462">
        <f t="shared" si="55"/>
        <v>3100</v>
      </c>
      <c r="Y137" s="488">
        <f t="shared" si="56"/>
        <v>3100</v>
      </c>
      <c r="Z137" s="1075"/>
      <c r="AA137" s="1075"/>
      <c r="AB137" s="1075"/>
      <c r="AC137" s="1075"/>
      <c r="AD137" s="1075"/>
      <c r="AE137" s="1075"/>
      <c r="AF137" s="1075"/>
      <c r="AG137" s="1075"/>
      <c r="AH137" s="1075"/>
      <c r="AI137" s="1075"/>
      <c r="AJ137" s="1075"/>
      <c r="AK137" s="1075"/>
      <c r="AL137" s="25" t="s">
        <v>980</v>
      </c>
      <c r="AM137" s="1009">
        <f t="shared" si="40"/>
        <v>1</v>
      </c>
      <c r="AN137" s="1009">
        <f t="shared" si="41"/>
        <v>1</v>
      </c>
      <c r="AO137" s="144">
        <f t="shared" si="43"/>
        <v>1</v>
      </c>
    </row>
    <row r="138" spans="1:43" ht="49.5" hidden="1" x14ac:dyDescent="0.25">
      <c r="A138" s="60">
        <v>84</v>
      </c>
      <c r="B138" s="60">
        <v>6</v>
      </c>
      <c r="C138" s="67" t="s">
        <v>2231</v>
      </c>
      <c r="D138" s="118" t="s">
        <v>2292</v>
      </c>
      <c r="E138" s="118" t="s">
        <v>2263</v>
      </c>
      <c r="F138" s="118" t="s">
        <v>1354</v>
      </c>
      <c r="G138" s="1025"/>
      <c r="H138" s="331">
        <v>5980</v>
      </c>
      <c r="I138" s="422">
        <f>H138-415</f>
        <v>5565</v>
      </c>
      <c r="J138" s="282"/>
      <c r="K138" s="282"/>
      <c r="L138" s="282"/>
      <c r="M138" s="282"/>
      <c r="N138" s="1077"/>
      <c r="O138" s="1075"/>
      <c r="P138" s="1080"/>
      <c r="Q138" s="1079"/>
      <c r="R138" s="1075"/>
      <c r="S138" s="1075"/>
      <c r="T138" s="462"/>
      <c r="U138" s="488"/>
      <c r="V138" s="282">
        <v>3600</v>
      </c>
      <c r="W138" s="282"/>
      <c r="X138" s="462">
        <f t="shared" si="55"/>
        <v>3600</v>
      </c>
      <c r="Y138" s="488">
        <f t="shared" si="56"/>
        <v>3600</v>
      </c>
      <c r="Z138" s="1075"/>
      <c r="AA138" s="1075"/>
      <c r="AB138" s="1075"/>
      <c r="AC138" s="1075"/>
      <c r="AD138" s="1075"/>
      <c r="AE138" s="1075"/>
      <c r="AF138" s="1075"/>
      <c r="AG138" s="1075"/>
      <c r="AH138" s="1075"/>
      <c r="AI138" s="1075"/>
      <c r="AJ138" s="1075"/>
      <c r="AK138" s="1075"/>
      <c r="AL138" s="25" t="s">
        <v>980</v>
      </c>
      <c r="AM138" s="1009">
        <f t="shared" si="40"/>
        <v>1</v>
      </c>
      <c r="AN138" s="1009">
        <f t="shared" si="41"/>
        <v>1</v>
      </c>
      <c r="AO138" s="144">
        <f t="shared" si="43"/>
        <v>1</v>
      </c>
    </row>
    <row r="139" spans="1:43" ht="66" hidden="1" x14ac:dyDescent="0.25">
      <c r="A139" s="60">
        <v>85</v>
      </c>
      <c r="B139" s="60">
        <v>7</v>
      </c>
      <c r="C139" s="67" t="s">
        <v>2232</v>
      </c>
      <c r="D139" s="118" t="s">
        <v>2292</v>
      </c>
      <c r="E139" s="118" t="s">
        <v>2264</v>
      </c>
      <c r="F139" s="118" t="s">
        <v>1354</v>
      </c>
      <c r="G139" s="1025"/>
      <c r="H139" s="331">
        <v>1489</v>
      </c>
      <c r="I139" s="422">
        <f>H139-100</f>
        <v>1389</v>
      </c>
      <c r="J139" s="282"/>
      <c r="K139" s="282"/>
      <c r="L139" s="282"/>
      <c r="M139" s="282"/>
      <c r="N139" s="1077"/>
      <c r="O139" s="1075"/>
      <c r="P139" s="1080"/>
      <c r="Q139" s="1079"/>
      <c r="R139" s="1075"/>
      <c r="S139" s="1075"/>
      <c r="T139" s="462"/>
      <c r="U139" s="488"/>
      <c r="V139" s="282">
        <v>900</v>
      </c>
      <c r="W139" s="282"/>
      <c r="X139" s="462">
        <f t="shared" si="55"/>
        <v>900</v>
      </c>
      <c r="Y139" s="488">
        <f t="shared" si="56"/>
        <v>900</v>
      </c>
      <c r="Z139" s="1075"/>
      <c r="AA139" s="1075"/>
      <c r="AB139" s="1075"/>
      <c r="AC139" s="1075"/>
      <c r="AD139" s="1075"/>
      <c r="AE139" s="1075"/>
      <c r="AF139" s="1075"/>
      <c r="AG139" s="1075"/>
      <c r="AH139" s="1075"/>
      <c r="AI139" s="1075"/>
      <c r="AJ139" s="1075"/>
      <c r="AK139" s="1075"/>
      <c r="AL139" s="25" t="s">
        <v>980</v>
      </c>
      <c r="AM139" s="1009">
        <f t="shared" si="40"/>
        <v>1</v>
      </c>
      <c r="AN139" s="1009">
        <f t="shared" si="41"/>
        <v>1</v>
      </c>
      <c r="AO139" s="144">
        <f t="shared" si="43"/>
        <v>1</v>
      </c>
    </row>
    <row r="140" spans="1:43" ht="49.5" hidden="1" x14ac:dyDescent="0.25">
      <c r="A140" s="60">
        <v>86</v>
      </c>
      <c r="B140" s="60">
        <v>8</v>
      </c>
      <c r="C140" s="67" t="s">
        <v>2233</v>
      </c>
      <c r="D140" s="118" t="s">
        <v>2292</v>
      </c>
      <c r="E140" s="118" t="s">
        <v>2265</v>
      </c>
      <c r="F140" s="118" t="s">
        <v>1354</v>
      </c>
      <c r="G140" s="1025"/>
      <c r="H140" s="331">
        <v>2101</v>
      </c>
      <c r="I140" s="422">
        <f t="shared" ref="I140" si="57">H140</f>
        <v>2101</v>
      </c>
      <c r="J140" s="282"/>
      <c r="K140" s="282"/>
      <c r="L140" s="282"/>
      <c r="M140" s="282"/>
      <c r="N140" s="1077"/>
      <c r="O140" s="1075"/>
      <c r="P140" s="1080"/>
      <c r="Q140" s="1079"/>
      <c r="R140" s="1075"/>
      <c r="S140" s="1075"/>
      <c r="T140" s="462"/>
      <c r="U140" s="488"/>
      <c r="V140" s="282">
        <v>1200</v>
      </c>
      <c r="W140" s="282"/>
      <c r="X140" s="462">
        <f t="shared" si="55"/>
        <v>1200</v>
      </c>
      <c r="Y140" s="488">
        <f t="shared" si="56"/>
        <v>1200</v>
      </c>
      <c r="Z140" s="1075"/>
      <c r="AA140" s="1075"/>
      <c r="AB140" s="1075"/>
      <c r="AC140" s="1075"/>
      <c r="AD140" s="1075"/>
      <c r="AE140" s="1075"/>
      <c r="AF140" s="1075"/>
      <c r="AG140" s="1075"/>
      <c r="AH140" s="1075"/>
      <c r="AI140" s="1075"/>
      <c r="AJ140" s="1075"/>
      <c r="AK140" s="1075"/>
      <c r="AL140" s="25" t="s">
        <v>980</v>
      </c>
      <c r="AM140" s="1009">
        <f t="shared" si="40"/>
        <v>1</v>
      </c>
      <c r="AN140" s="1009">
        <f t="shared" si="41"/>
        <v>1</v>
      </c>
      <c r="AO140" s="144">
        <f t="shared" si="43"/>
        <v>1</v>
      </c>
    </row>
    <row r="141" spans="1:43" ht="49.5" hidden="1" x14ac:dyDescent="0.25">
      <c r="A141" s="60">
        <v>87</v>
      </c>
      <c r="B141" s="60">
        <v>9</v>
      </c>
      <c r="C141" s="67" t="s">
        <v>2234</v>
      </c>
      <c r="D141" s="118" t="s">
        <v>2292</v>
      </c>
      <c r="E141" s="118" t="s">
        <v>2266</v>
      </c>
      <c r="F141" s="118" t="s">
        <v>1354</v>
      </c>
      <c r="G141" s="1025"/>
      <c r="H141" s="331">
        <v>5762</v>
      </c>
      <c r="I141" s="422">
        <f>H141-385</f>
        <v>5377</v>
      </c>
      <c r="J141" s="282"/>
      <c r="K141" s="282"/>
      <c r="L141" s="282"/>
      <c r="M141" s="282"/>
      <c r="N141" s="1077"/>
      <c r="O141" s="1075"/>
      <c r="P141" s="1080"/>
      <c r="Q141" s="1079"/>
      <c r="R141" s="1075"/>
      <c r="S141" s="1075"/>
      <c r="T141" s="462"/>
      <c r="U141" s="488"/>
      <c r="V141" s="282">
        <v>3400</v>
      </c>
      <c r="W141" s="282"/>
      <c r="X141" s="462">
        <f t="shared" si="55"/>
        <v>3400</v>
      </c>
      <c r="Y141" s="488">
        <f t="shared" si="56"/>
        <v>3400</v>
      </c>
      <c r="Z141" s="1075"/>
      <c r="AA141" s="1075"/>
      <c r="AB141" s="1075"/>
      <c r="AC141" s="1075"/>
      <c r="AD141" s="1075"/>
      <c r="AE141" s="1075"/>
      <c r="AF141" s="1075"/>
      <c r="AG141" s="1075"/>
      <c r="AH141" s="1075"/>
      <c r="AI141" s="1075"/>
      <c r="AJ141" s="1075"/>
      <c r="AK141" s="1075"/>
      <c r="AL141" s="25" t="s">
        <v>980</v>
      </c>
      <c r="AM141" s="1009">
        <f t="shared" si="40"/>
        <v>1</v>
      </c>
      <c r="AN141" s="1009">
        <f t="shared" si="41"/>
        <v>1</v>
      </c>
      <c r="AO141" s="144">
        <f t="shared" si="43"/>
        <v>1</v>
      </c>
    </row>
    <row r="142" spans="1:43" ht="49.5" hidden="1" x14ac:dyDescent="0.25">
      <c r="A142" s="60">
        <v>88</v>
      </c>
      <c r="B142" s="60">
        <v>10</v>
      </c>
      <c r="C142" s="67" t="s">
        <v>2235</v>
      </c>
      <c r="D142" s="118" t="s">
        <v>2292</v>
      </c>
      <c r="E142" s="118" t="s">
        <v>2267</v>
      </c>
      <c r="F142" s="118" t="s">
        <v>1354</v>
      </c>
      <c r="G142" s="1025"/>
      <c r="H142" s="331">
        <v>804</v>
      </c>
      <c r="I142" s="422">
        <f>H142-72</f>
        <v>732</v>
      </c>
      <c r="J142" s="282"/>
      <c r="K142" s="282"/>
      <c r="L142" s="282"/>
      <c r="M142" s="282"/>
      <c r="N142" s="1077"/>
      <c r="O142" s="1075"/>
      <c r="P142" s="1080"/>
      <c r="Q142" s="1079"/>
      <c r="R142" s="1075"/>
      <c r="S142" s="1075"/>
      <c r="T142" s="462"/>
      <c r="U142" s="488"/>
      <c r="V142" s="282">
        <v>500</v>
      </c>
      <c r="W142" s="282"/>
      <c r="X142" s="462">
        <f t="shared" si="55"/>
        <v>500</v>
      </c>
      <c r="Y142" s="488">
        <f t="shared" si="56"/>
        <v>500</v>
      </c>
      <c r="Z142" s="1075"/>
      <c r="AA142" s="1075"/>
      <c r="AB142" s="1075"/>
      <c r="AC142" s="1075"/>
      <c r="AD142" s="1075"/>
      <c r="AE142" s="1075"/>
      <c r="AF142" s="1075"/>
      <c r="AG142" s="1075"/>
      <c r="AH142" s="1075"/>
      <c r="AI142" s="1075"/>
      <c r="AJ142" s="1075"/>
      <c r="AK142" s="1075"/>
      <c r="AL142" s="25" t="s">
        <v>980</v>
      </c>
      <c r="AM142" s="1009">
        <f t="shared" si="40"/>
        <v>1</v>
      </c>
      <c r="AN142" s="1009">
        <f t="shared" si="41"/>
        <v>1</v>
      </c>
      <c r="AO142" s="144">
        <f t="shared" si="43"/>
        <v>1</v>
      </c>
    </row>
    <row r="143" spans="1:43" ht="49.5" hidden="1" x14ac:dyDescent="0.25">
      <c r="A143" s="60">
        <v>89</v>
      </c>
      <c r="B143" s="60">
        <v>11</v>
      </c>
      <c r="C143" s="9" t="s">
        <v>2236</v>
      </c>
      <c r="D143" s="118" t="s">
        <v>2292</v>
      </c>
      <c r="E143" s="118" t="s">
        <v>2268</v>
      </c>
      <c r="F143" s="118" t="s">
        <v>1354</v>
      </c>
      <c r="G143" s="1025"/>
      <c r="H143" s="331">
        <v>1719</v>
      </c>
      <c r="I143" s="422">
        <f>H143-119</f>
        <v>1600</v>
      </c>
      <c r="J143" s="282"/>
      <c r="K143" s="282"/>
      <c r="L143" s="282"/>
      <c r="M143" s="282"/>
      <c r="N143" s="1077"/>
      <c r="O143" s="1075"/>
      <c r="P143" s="1080"/>
      <c r="Q143" s="1079"/>
      <c r="R143" s="1075"/>
      <c r="S143" s="1075"/>
      <c r="T143" s="462"/>
      <c r="U143" s="488"/>
      <c r="V143" s="282">
        <v>1000</v>
      </c>
      <c r="W143" s="282"/>
      <c r="X143" s="462">
        <f t="shared" si="55"/>
        <v>1000</v>
      </c>
      <c r="Y143" s="488">
        <f t="shared" si="56"/>
        <v>1000</v>
      </c>
      <c r="Z143" s="1075"/>
      <c r="AA143" s="1075"/>
      <c r="AB143" s="1075"/>
      <c r="AC143" s="1075"/>
      <c r="AD143" s="1075"/>
      <c r="AE143" s="1075"/>
      <c r="AF143" s="1075"/>
      <c r="AG143" s="1075"/>
      <c r="AH143" s="1075"/>
      <c r="AI143" s="1075"/>
      <c r="AJ143" s="1075"/>
      <c r="AK143" s="1075"/>
      <c r="AL143" s="25" t="s">
        <v>980</v>
      </c>
      <c r="AM143" s="1009">
        <f t="shared" si="40"/>
        <v>1</v>
      </c>
      <c r="AN143" s="1009">
        <f t="shared" si="41"/>
        <v>1</v>
      </c>
      <c r="AO143" s="144">
        <f t="shared" si="43"/>
        <v>1</v>
      </c>
    </row>
    <row r="144" spans="1:43" ht="66" hidden="1" x14ac:dyDescent="0.25">
      <c r="A144" s="60">
        <v>90</v>
      </c>
      <c r="B144" s="60">
        <v>12</v>
      </c>
      <c r="C144" s="9" t="s">
        <v>2237</v>
      </c>
      <c r="D144" s="61" t="s">
        <v>2291</v>
      </c>
      <c r="E144" s="61" t="s">
        <v>2269</v>
      </c>
      <c r="F144" s="118" t="s">
        <v>1354</v>
      </c>
      <c r="G144" s="1025"/>
      <c r="H144" s="331">
        <v>3162</v>
      </c>
      <c r="I144" s="422">
        <f>H144-211</f>
        <v>2951</v>
      </c>
      <c r="J144" s="282"/>
      <c r="K144" s="282"/>
      <c r="L144" s="282"/>
      <c r="M144" s="282"/>
      <c r="N144" s="1077"/>
      <c r="O144" s="1075"/>
      <c r="P144" s="1080"/>
      <c r="Q144" s="1079"/>
      <c r="R144" s="1075"/>
      <c r="S144" s="1075"/>
      <c r="T144" s="462"/>
      <c r="U144" s="488"/>
      <c r="V144" s="282">
        <v>1900</v>
      </c>
      <c r="W144" s="282"/>
      <c r="X144" s="462">
        <f t="shared" si="55"/>
        <v>1900</v>
      </c>
      <c r="Y144" s="488">
        <f t="shared" si="56"/>
        <v>1900</v>
      </c>
      <c r="Z144" s="1075"/>
      <c r="AA144" s="1075"/>
      <c r="AB144" s="1075"/>
      <c r="AC144" s="1075"/>
      <c r="AD144" s="1075"/>
      <c r="AE144" s="1075"/>
      <c r="AF144" s="1075"/>
      <c r="AG144" s="1075"/>
      <c r="AH144" s="1075"/>
      <c r="AI144" s="1075"/>
      <c r="AJ144" s="1075"/>
      <c r="AK144" s="1075"/>
      <c r="AL144" s="25" t="s">
        <v>980</v>
      </c>
      <c r="AM144" s="1009">
        <f t="shared" si="40"/>
        <v>1</v>
      </c>
      <c r="AN144" s="1009">
        <f t="shared" si="41"/>
        <v>1</v>
      </c>
      <c r="AO144" s="144">
        <f t="shared" si="43"/>
        <v>1</v>
      </c>
    </row>
    <row r="145" spans="1:41" ht="66" hidden="1" x14ac:dyDescent="0.25">
      <c r="A145" s="60">
        <v>91</v>
      </c>
      <c r="B145" s="60">
        <v>13</v>
      </c>
      <c r="C145" s="9" t="s">
        <v>2238</v>
      </c>
      <c r="D145" s="61" t="s">
        <v>2291</v>
      </c>
      <c r="E145" s="61" t="s">
        <v>2270</v>
      </c>
      <c r="F145" s="118" t="s">
        <v>1354</v>
      </c>
      <c r="G145" s="1025"/>
      <c r="H145" s="331">
        <v>3424</v>
      </c>
      <c r="I145" s="422">
        <f>H145-226</f>
        <v>3198</v>
      </c>
      <c r="J145" s="282"/>
      <c r="K145" s="282"/>
      <c r="L145" s="282"/>
      <c r="M145" s="282"/>
      <c r="N145" s="1077"/>
      <c r="O145" s="1075"/>
      <c r="P145" s="1080"/>
      <c r="Q145" s="1079"/>
      <c r="R145" s="1075"/>
      <c r="S145" s="1075"/>
      <c r="T145" s="462"/>
      <c r="U145" s="488"/>
      <c r="V145" s="282">
        <v>2000</v>
      </c>
      <c r="W145" s="282"/>
      <c r="X145" s="462">
        <f t="shared" si="55"/>
        <v>2000</v>
      </c>
      <c r="Y145" s="488">
        <f t="shared" si="56"/>
        <v>2000</v>
      </c>
      <c r="Z145" s="1075"/>
      <c r="AA145" s="1075"/>
      <c r="AB145" s="1075"/>
      <c r="AC145" s="1075"/>
      <c r="AD145" s="1075"/>
      <c r="AE145" s="1075"/>
      <c r="AF145" s="1075"/>
      <c r="AG145" s="1075"/>
      <c r="AH145" s="1075"/>
      <c r="AI145" s="1075"/>
      <c r="AJ145" s="1075"/>
      <c r="AK145" s="1075"/>
      <c r="AL145" s="25" t="s">
        <v>980</v>
      </c>
      <c r="AM145" s="1009">
        <f t="shared" si="40"/>
        <v>1</v>
      </c>
      <c r="AN145" s="1009">
        <f t="shared" si="41"/>
        <v>1</v>
      </c>
      <c r="AO145" s="144">
        <f t="shared" si="43"/>
        <v>1</v>
      </c>
    </row>
    <row r="146" spans="1:41" ht="66" hidden="1" x14ac:dyDescent="0.25">
      <c r="A146" s="60">
        <v>92</v>
      </c>
      <c r="B146" s="60">
        <v>14</v>
      </c>
      <c r="C146" s="9" t="s">
        <v>2239</v>
      </c>
      <c r="D146" s="61" t="s">
        <v>2291</v>
      </c>
      <c r="E146" s="61" t="s">
        <v>2271</v>
      </c>
      <c r="F146" s="118" t="s">
        <v>1354</v>
      </c>
      <c r="G146" s="1025"/>
      <c r="H146" s="331">
        <v>2529</v>
      </c>
      <c r="I146" s="422">
        <f>H146-205</f>
        <v>2324</v>
      </c>
      <c r="J146" s="282"/>
      <c r="K146" s="282"/>
      <c r="L146" s="282"/>
      <c r="M146" s="282"/>
      <c r="N146" s="1077"/>
      <c r="O146" s="1075"/>
      <c r="P146" s="1080"/>
      <c r="Q146" s="1079"/>
      <c r="R146" s="1075"/>
      <c r="S146" s="1075"/>
      <c r="T146" s="462"/>
      <c r="U146" s="488"/>
      <c r="V146" s="282">
        <v>1500</v>
      </c>
      <c r="W146" s="282"/>
      <c r="X146" s="462">
        <f t="shared" si="55"/>
        <v>1500</v>
      </c>
      <c r="Y146" s="488">
        <f t="shared" si="56"/>
        <v>1500</v>
      </c>
      <c r="Z146" s="1075"/>
      <c r="AA146" s="1075"/>
      <c r="AB146" s="1075"/>
      <c r="AC146" s="1075"/>
      <c r="AD146" s="1075"/>
      <c r="AE146" s="1075"/>
      <c r="AF146" s="1075"/>
      <c r="AG146" s="1075"/>
      <c r="AH146" s="1075"/>
      <c r="AI146" s="1075"/>
      <c r="AJ146" s="1075"/>
      <c r="AK146" s="1075"/>
      <c r="AL146" s="25" t="s">
        <v>980</v>
      </c>
      <c r="AM146" s="1009">
        <f t="shared" si="40"/>
        <v>1</v>
      </c>
      <c r="AN146" s="1009">
        <f t="shared" si="41"/>
        <v>1</v>
      </c>
      <c r="AO146" s="144">
        <f t="shared" si="43"/>
        <v>1</v>
      </c>
    </row>
    <row r="147" spans="1:41" ht="66" hidden="1" x14ac:dyDescent="0.25">
      <c r="A147" s="60">
        <v>93</v>
      </c>
      <c r="B147" s="60">
        <v>15</v>
      </c>
      <c r="C147" s="9" t="s">
        <v>2240</v>
      </c>
      <c r="D147" s="61" t="s">
        <v>2291</v>
      </c>
      <c r="E147" s="61" t="s">
        <v>2272</v>
      </c>
      <c r="F147" s="118" t="s">
        <v>1354</v>
      </c>
      <c r="G147" s="1025"/>
      <c r="H147" s="331">
        <v>905</v>
      </c>
      <c r="I147" s="422">
        <f>H147-15</f>
        <v>890</v>
      </c>
      <c r="J147" s="282"/>
      <c r="K147" s="282"/>
      <c r="L147" s="282"/>
      <c r="M147" s="282"/>
      <c r="N147" s="1077"/>
      <c r="O147" s="1075"/>
      <c r="P147" s="1080"/>
      <c r="Q147" s="1079"/>
      <c r="R147" s="1075"/>
      <c r="S147" s="1075"/>
      <c r="T147" s="462"/>
      <c r="U147" s="488"/>
      <c r="V147" s="282">
        <v>500</v>
      </c>
      <c r="W147" s="282"/>
      <c r="X147" s="462">
        <f t="shared" si="55"/>
        <v>500</v>
      </c>
      <c r="Y147" s="488">
        <f t="shared" si="56"/>
        <v>500</v>
      </c>
      <c r="Z147" s="1075"/>
      <c r="AA147" s="1075"/>
      <c r="AB147" s="1075"/>
      <c r="AC147" s="1075"/>
      <c r="AD147" s="1075"/>
      <c r="AE147" s="1075"/>
      <c r="AF147" s="1075"/>
      <c r="AG147" s="1075"/>
      <c r="AH147" s="1075"/>
      <c r="AI147" s="1075"/>
      <c r="AJ147" s="1075"/>
      <c r="AK147" s="1075"/>
      <c r="AL147" s="25" t="s">
        <v>980</v>
      </c>
      <c r="AM147" s="1009">
        <f t="shared" si="40"/>
        <v>1</v>
      </c>
      <c r="AN147" s="1009">
        <f t="shared" si="41"/>
        <v>1</v>
      </c>
      <c r="AO147" s="144">
        <f t="shared" si="43"/>
        <v>1</v>
      </c>
    </row>
    <row r="148" spans="1:41" ht="66" hidden="1" x14ac:dyDescent="0.25">
      <c r="A148" s="60">
        <v>94</v>
      </c>
      <c r="B148" s="60">
        <v>16</v>
      </c>
      <c r="C148" s="9" t="s">
        <v>2241</v>
      </c>
      <c r="D148" s="61" t="s">
        <v>2291</v>
      </c>
      <c r="E148" s="61" t="s">
        <v>2273</v>
      </c>
      <c r="F148" s="118" t="s">
        <v>1354</v>
      </c>
      <c r="G148" s="1025"/>
      <c r="H148" s="331">
        <v>1058</v>
      </c>
      <c r="I148" s="422">
        <f>H148-101</f>
        <v>957</v>
      </c>
      <c r="J148" s="282"/>
      <c r="K148" s="282"/>
      <c r="L148" s="282"/>
      <c r="M148" s="282"/>
      <c r="N148" s="1077"/>
      <c r="O148" s="1075"/>
      <c r="P148" s="1080"/>
      <c r="Q148" s="1079"/>
      <c r="R148" s="1075"/>
      <c r="S148" s="1075"/>
      <c r="T148" s="462"/>
      <c r="U148" s="488"/>
      <c r="V148" s="282">
        <v>600</v>
      </c>
      <c r="W148" s="282"/>
      <c r="X148" s="462">
        <f t="shared" si="55"/>
        <v>600</v>
      </c>
      <c r="Y148" s="488">
        <f t="shared" si="56"/>
        <v>600</v>
      </c>
      <c r="Z148" s="1075"/>
      <c r="AA148" s="1075"/>
      <c r="AB148" s="1075"/>
      <c r="AC148" s="1075"/>
      <c r="AD148" s="1075"/>
      <c r="AE148" s="1075"/>
      <c r="AF148" s="1075"/>
      <c r="AG148" s="1075"/>
      <c r="AH148" s="1075"/>
      <c r="AI148" s="1075"/>
      <c r="AJ148" s="1075"/>
      <c r="AK148" s="1075"/>
      <c r="AL148" s="25" t="s">
        <v>980</v>
      </c>
      <c r="AM148" s="1009">
        <f t="shared" si="40"/>
        <v>1</v>
      </c>
      <c r="AN148" s="1009">
        <f t="shared" si="41"/>
        <v>1</v>
      </c>
      <c r="AO148" s="144">
        <f t="shared" si="43"/>
        <v>1</v>
      </c>
    </row>
    <row r="149" spans="1:41" ht="66" hidden="1" x14ac:dyDescent="0.25">
      <c r="A149" s="60">
        <v>95</v>
      </c>
      <c r="B149" s="60">
        <v>17</v>
      </c>
      <c r="C149" s="9" t="s">
        <v>2242</v>
      </c>
      <c r="D149" s="61" t="s">
        <v>2293</v>
      </c>
      <c r="E149" s="61" t="s">
        <v>2274</v>
      </c>
      <c r="F149" s="118" t="s">
        <v>1354</v>
      </c>
      <c r="G149" s="1025"/>
      <c r="H149" s="331">
        <v>1205</v>
      </c>
      <c r="I149" s="422">
        <f>H149-84</f>
        <v>1121</v>
      </c>
      <c r="J149" s="282"/>
      <c r="K149" s="282"/>
      <c r="L149" s="282"/>
      <c r="M149" s="282"/>
      <c r="N149" s="1077"/>
      <c r="O149" s="1075"/>
      <c r="P149" s="1080"/>
      <c r="Q149" s="1079"/>
      <c r="R149" s="1075"/>
      <c r="S149" s="1075"/>
      <c r="T149" s="462"/>
      <c r="U149" s="488"/>
      <c r="V149" s="282">
        <v>700</v>
      </c>
      <c r="W149" s="282"/>
      <c r="X149" s="462">
        <f t="shared" si="55"/>
        <v>700</v>
      </c>
      <c r="Y149" s="488">
        <f t="shared" si="56"/>
        <v>700</v>
      </c>
      <c r="Z149" s="1075"/>
      <c r="AA149" s="1075"/>
      <c r="AB149" s="1075"/>
      <c r="AC149" s="1075"/>
      <c r="AD149" s="1075"/>
      <c r="AE149" s="1075"/>
      <c r="AF149" s="1075"/>
      <c r="AG149" s="1075"/>
      <c r="AH149" s="1075"/>
      <c r="AI149" s="1075"/>
      <c r="AJ149" s="1075"/>
      <c r="AK149" s="1075"/>
      <c r="AL149" s="25" t="s">
        <v>980</v>
      </c>
      <c r="AM149" s="1009">
        <f t="shared" si="40"/>
        <v>1</v>
      </c>
      <c r="AN149" s="1009">
        <f t="shared" si="41"/>
        <v>1</v>
      </c>
      <c r="AO149" s="144">
        <f t="shared" si="43"/>
        <v>1</v>
      </c>
    </row>
    <row r="150" spans="1:41" ht="66" hidden="1" x14ac:dyDescent="0.25">
      <c r="A150" s="60">
        <v>96</v>
      </c>
      <c r="B150" s="60">
        <v>18</v>
      </c>
      <c r="C150" s="9" t="s">
        <v>2243</v>
      </c>
      <c r="D150" s="61" t="s">
        <v>2293</v>
      </c>
      <c r="E150" s="61" t="s">
        <v>2275</v>
      </c>
      <c r="F150" s="118" t="s">
        <v>1354</v>
      </c>
      <c r="G150" s="1025"/>
      <c r="H150" s="331">
        <v>1187</v>
      </c>
      <c r="I150" s="422">
        <f>H150-82</f>
        <v>1105</v>
      </c>
      <c r="J150" s="282"/>
      <c r="K150" s="282"/>
      <c r="L150" s="282"/>
      <c r="M150" s="282"/>
      <c r="N150" s="1077"/>
      <c r="O150" s="1075"/>
      <c r="P150" s="1080"/>
      <c r="Q150" s="1079"/>
      <c r="R150" s="1075"/>
      <c r="S150" s="1075"/>
      <c r="T150" s="462"/>
      <c r="U150" s="488"/>
      <c r="V150" s="282">
        <v>700</v>
      </c>
      <c r="W150" s="282"/>
      <c r="X150" s="462">
        <f t="shared" si="55"/>
        <v>700</v>
      </c>
      <c r="Y150" s="488">
        <f t="shared" si="56"/>
        <v>700</v>
      </c>
      <c r="Z150" s="1075"/>
      <c r="AA150" s="1075"/>
      <c r="AB150" s="1075"/>
      <c r="AC150" s="1075"/>
      <c r="AD150" s="1075"/>
      <c r="AE150" s="1075"/>
      <c r="AF150" s="1075"/>
      <c r="AG150" s="1075"/>
      <c r="AH150" s="1075"/>
      <c r="AI150" s="1075"/>
      <c r="AJ150" s="1075"/>
      <c r="AK150" s="1075"/>
      <c r="AL150" s="25" t="s">
        <v>980</v>
      </c>
      <c r="AM150" s="1009">
        <f t="shared" si="40"/>
        <v>1</v>
      </c>
      <c r="AN150" s="1009">
        <f t="shared" si="41"/>
        <v>1</v>
      </c>
      <c r="AO150" s="144">
        <f t="shared" si="43"/>
        <v>1</v>
      </c>
    </row>
    <row r="151" spans="1:41" ht="66" hidden="1" x14ac:dyDescent="0.25">
      <c r="A151" s="60">
        <v>97</v>
      </c>
      <c r="B151" s="60">
        <v>19</v>
      </c>
      <c r="C151" s="9" t="s">
        <v>2244</v>
      </c>
      <c r="D151" s="61" t="s">
        <v>2293</v>
      </c>
      <c r="E151" s="61" t="s">
        <v>2276</v>
      </c>
      <c r="F151" s="118" t="s">
        <v>1354</v>
      </c>
      <c r="G151" s="1025"/>
      <c r="H151" s="331">
        <v>3215</v>
      </c>
      <c r="I151" s="422">
        <f>H151-223</f>
        <v>2992</v>
      </c>
      <c r="J151" s="282"/>
      <c r="K151" s="282"/>
      <c r="L151" s="282"/>
      <c r="M151" s="282"/>
      <c r="N151" s="1077"/>
      <c r="O151" s="1075"/>
      <c r="P151" s="1080"/>
      <c r="Q151" s="1079"/>
      <c r="R151" s="1075"/>
      <c r="S151" s="1075"/>
      <c r="T151" s="462"/>
      <c r="U151" s="488"/>
      <c r="V151" s="282">
        <v>1900</v>
      </c>
      <c r="W151" s="282"/>
      <c r="X151" s="462">
        <f t="shared" si="55"/>
        <v>1900</v>
      </c>
      <c r="Y151" s="488">
        <f t="shared" si="56"/>
        <v>1900</v>
      </c>
      <c r="Z151" s="1075"/>
      <c r="AA151" s="1075"/>
      <c r="AB151" s="1075"/>
      <c r="AC151" s="1075"/>
      <c r="AD151" s="1075"/>
      <c r="AE151" s="1075"/>
      <c r="AF151" s="1075"/>
      <c r="AG151" s="1075"/>
      <c r="AH151" s="1075"/>
      <c r="AI151" s="1075"/>
      <c r="AJ151" s="1075"/>
      <c r="AK151" s="1075"/>
      <c r="AL151" s="25" t="s">
        <v>980</v>
      </c>
      <c r="AM151" s="1009">
        <f t="shared" si="40"/>
        <v>1</v>
      </c>
      <c r="AN151" s="1009">
        <f t="shared" si="41"/>
        <v>1</v>
      </c>
      <c r="AO151" s="144">
        <f t="shared" si="43"/>
        <v>1</v>
      </c>
    </row>
    <row r="152" spans="1:41" ht="66" hidden="1" x14ac:dyDescent="0.25">
      <c r="A152" s="60">
        <v>98</v>
      </c>
      <c r="B152" s="60">
        <v>20</v>
      </c>
      <c r="C152" s="9" t="s">
        <v>2245</v>
      </c>
      <c r="D152" s="61" t="s">
        <v>2293</v>
      </c>
      <c r="E152" s="61" t="s">
        <v>2277</v>
      </c>
      <c r="F152" s="118" t="s">
        <v>1354</v>
      </c>
      <c r="G152" s="1025"/>
      <c r="H152" s="331">
        <v>2928</v>
      </c>
      <c r="I152" s="422">
        <f>H152-203</f>
        <v>2725</v>
      </c>
      <c r="J152" s="282"/>
      <c r="K152" s="282"/>
      <c r="L152" s="282"/>
      <c r="M152" s="282"/>
      <c r="N152" s="1077"/>
      <c r="O152" s="1075"/>
      <c r="P152" s="1080"/>
      <c r="Q152" s="1079"/>
      <c r="R152" s="1075"/>
      <c r="S152" s="1075"/>
      <c r="T152" s="462"/>
      <c r="U152" s="488"/>
      <c r="V152" s="282">
        <v>1700</v>
      </c>
      <c r="W152" s="282"/>
      <c r="X152" s="462">
        <f t="shared" si="55"/>
        <v>1700</v>
      </c>
      <c r="Y152" s="488">
        <f t="shared" si="56"/>
        <v>1700</v>
      </c>
      <c r="Z152" s="1075"/>
      <c r="AA152" s="1075"/>
      <c r="AB152" s="1075"/>
      <c r="AC152" s="1075"/>
      <c r="AD152" s="1075"/>
      <c r="AE152" s="1075"/>
      <c r="AF152" s="1075"/>
      <c r="AG152" s="1075"/>
      <c r="AH152" s="1075"/>
      <c r="AI152" s="1075"/>
      <c r="AJ152" s="1075"/>
      <c r="AK152" s="1075"/>
      <c r="AL152" s="25" t="s">
        <v>980</v>
      </c>
      <c r="AM152" s="1009">
        <f t="shared" si="40"/>
        <v>1</v>
      </c>
      <c r="AN152" s="1009">
        <f t="shared" si="41"/>
        <v>1</v>
      </c>
      <c r="AO152" s="144">
        <f t="shared" si="43"/>
        <v>1</v>
      </c>
    </row>
    <row r="153" spans="1:41" ht="66" hidden="1" x14ac:dyDescent="0.25">
      <c r="A153" s="60">
        <v>99</v>
      </c>
      <c r="B153" s="60">
        <v>21</v>
      </c>
      <c r="C153" s="9" t="s">
        <v>2246</v>
      </c>
      <c r="D153" s="61" t="s">
        <v>2293</v>
      </c>
      <c r="E153" s="61" t="s">
        <v>2278</v>
      </c>
      <c r="F153" s="118" t="s">
        <v>1354</v>
      </c>
      <c r="G153" s="1025"/>
      <c r="H153" s="331">
        <v>1623</v>
      </c>
      <c r="I153" s="422">
        <f>H153-154</f>
        <v>1469</v>
      </c>
      <c r="J153" s="282"/>
      <c r="K153" s="282"/>
      <c r="L153" s="282"/>
      <c r="M153" s="282"/>
      <c r="N153" s="1077"/>
      <c r="O153" s="1075"/>
      <c r="P153" s="1080"/>
      <c r="Q153" s="1079"/>
      <c r="R153" s="1075"/>
      <c r="S153" s="1075"/>
      <c r="T153" s="462"/>
      <c r="U153" s="488"/>
      <c r="V153" s="282">
        <v>1000</v>
      </c>
      <c r="W153" s="282"/>
      <c r="X153" s="462">
        <f t="shared" si="55"/>
        <v>1000</v>
      </c>
      <c r="Y153" s="488">
        <f t="shared" si="56"/>
        <v>1000</v>
      </c>
      <c r="Z153" s="1075"/>
      <c r="AA153" s="1075"/>
      <c r="AB153" s="1075"/>
      <c r="AC153" s="1075"/>
      <c r="AD153" s="1075"/>
      <c r="AE153" s="1075"/>
      <c r="AF153" s="1075"/>
      <c r="AG153" s="1075"/>
      <c r="AH153" s="1075"/>
      <c r="AI153" s="1075"/>
      <c r="AJ153" s="1075"/>
      <c r="AK153" s="1075"/>
      <c r="AL153" s="25" t="s">
        <v>980</v>
      </c>
      <c r="AM153" s="1009">
        <f t="shared" si="40"/>
        <v>1</v>
      </c>
      <c r="AN153" s="1009">
        <f t="shared" si="41"/>
        <v>1</v>
      </c>
      <c r="AO153" s="144">
        <f t="shared" si="43"/>
        <v>1</v>
      </c>
    </row>
    <row r="154" spans="1:41" ht="66" hidden="1" x14ac:dyDescent="0.25">
      <c r="A154" s="60">
        <v>100</v>
      </c>
      <c r="B154" s="60">
        <v>22</v>
      </c>
      <c r="C154" s="9" t="s">
        <v>2247</v>
      </c>
      <c r="D154" s="61" t="s">
        <v>2293</v>
      </c>
      <c r="E154" s="61" t="s">
        <v>2279</v>
      </c>
      <c r="F154" s="118" t="s">
        <v>1354</v>
      </c>
      <c r="G154" s="1025"/>
      <c r="H154" s="331">
        <v>4792</v>
      </c>
      <c r="I154" s="422">
        <f>H154-333</f>
        <v>4459</v>
      </c>
      <c r="J154" s="282"/>
      <c r="K154" s="282"/>
      <c r="L154" s="282"/>
      <c r="M154" s="282"/>
      <c r="N154" s="1077"/>
      <c r="O154" s="1075"/>
      <c r="P154" s="1080"/>
      <c r="Q154" s="1079"/>
      <c r="R154" s="1075"/>
      <c r="S154" s="1075"/>
      <c r="T154" s="462"/>
      <c r="U154" s="488"/>
      <c r="V154" s="282">
        <v>2900</v>
      </c>
      <c r="W154" s="282"/>
      <c r="X154" s="462">
        <f t="shared" si="55"/>
        <v>2900</v>
      </c>
      <c r="Y154" s="488">
        <f t="shared" si="56"/>
        <v>2900</v>
      </c>
      <c r="Z154" s="1075"/>
      <c r="AA154" s="1075"/>
      <c r="AB154" s="1075"/>
      <c r="AC154" s="1075"/>
      <c r="AD154" s="1075"/>
      <c r="AE154" s="1075"/>
      <c r="AF154" s="1075"/>
      <c r="AG154" s="1075"/>
      <c r="AH154" s="1075"/>
      <c r="AI154" s="1075"/>
      <c r="AJ154" s="1075"/>
      <c r="AK154" s="1075"/>
      <c r="AL154" s="25" t="s">
        <v>980</v>
      </c>
      <c r="AM154" s="1009">
        <f t="shared" si="40"/>
        <v>1</v>
      </c>
      <c r="AN154" s="1009">
        <f t="shared" si="41"/>
        <v>1</v>
      </c>
      <c r="AO154" s="144">
        <f t="shared" si="43"/>
        <v>1</v>
      </c>
    </row>
    <row r="155" spans="1:41" ht="66" hidden="1" x14ac:dyDescent="0.25">
      <c r="A155" s="60">
        <v>101</v>
      </c>
      <c r="B155" s="60">
        <v>23</v>
      </c>
      <c r="C155" s="9" t="s">
        <v>2248</v>
      </c>
      <c r="D155" s="61" t="s">
        <v>2293</v>
      </c>
      <c r="E155" s="61" t="s">
        <v>2280</v>
      </c>
      <c r="F155" s="118" t="s">
        <v>1354</v>
      </c>
      <c r="G155" s="1025"/>
      <c r="H155" s="331">
        <v>4007</v>
      </c>
      <c r="I155" s="422">
        <f>H155-278</f>
        <v>3729</v>
      </c>
      <c r="J155" s="282"/>
      <c r="K155" s="282"/>
      <c r="L155" s="282"/>
      <c r="M155" s="282"/>
      <c r="N155" s="1077"/>
      <c r="O155" s="1075"/>
      <c r="P155" s="1080"/>
      <c r="Q155" s="1079"/>
      <c r="R155" s="1075"/>
      <c r="S155" s="1075"/>
      <c r="T155" s="462"/>
      <c r="U155" s="488"/>
      <c r="V155" s="282">
        <v>2400</v>
      </c>
      <c r="W155" s="282"/>
      <c r="X155" s="462">
        <f t="shared" si="55"/>
        <v>2400</v>
      </c>
      <c r="Y155" s="488">
        <f t="shared" si="56"/>
        <v>2400</v>
      </c>
      <c r="Z155" s="1075"/>
      <c r="AA155" s="1075"/>
      <c r="AB155" s="1075"/>
      <c r="AC155" s="1075"/>
      <c r="AD155" s="1075"/>
      <c r="AE155" s="1075"/>
      <c r="AF155" s="1075"/>
      <c r="AG155" s="1075"/>
      <c r="AH155" s="1075"/>
      <c r="AI155" s="1075"/>
      <c r="AJ155" s="1075"/>
      <c r="AK155" s="1075"/>
      <c r="AL155" s="25" t="s">
        <v>980</v>
      </c>
      <c r="AM155" s="1009">
        <f t="shared" si="40"/>
        <v>1</v>
      </c>
      <c r="AN155" s="1009">
        <f t="shared" si="41"/>
        <v>1</v>
      </c>
      <c r="AO155" s="144">
        <f t="shared" si="43"/>
        <v>1</v>
      </c>
    </row>
    <row r="156" spans="1:41" ht="66" hidden="1" x14ac:dyDescent="0.25">
      <c r="A156" s="60">
        <v>102</v>
      </c>
      <c r="B156" s="60">
        <v>24</v>
      </c>
      <c r="C156" s="9" t="s">
        <v>2249</v>
      </c>
      <c r="D156" s="61" t="s">
        <v>2293</v>
      </c>
      <c r="E156" s="61" t="s">
        <v>2281</v>
      </c>
      <c r="F156" s="118" t="s">
        <v>1354</v>
      </c>
      <c r="G156" s="1025"/>
      <c r="H156" s="331">
        <v>4130</v>
      </c>
      <c r="I156" s="422">
        <f>H156-278</f>
        <v>3852</v>
      </c>
      <c r="J156" s="282"/>
      <c r="K156" s="282"/>
      <c r="L156" s="282"/>
      <c r="M156" s="282"/>
      <c r="N156" s="1077"/>
      <c r="O156" s="1075"/>
      <c r="P156" s="1080"/>
      <c r="Q156" s="1079"/>
      <c r="R156" s="1075"/>
      <c r="S156" s="1075"/>
      <c r="T156" s="462"/>
      <c r="U156" s="488"/>
      <c r="V156" s="282">
        <v>2500</v>
      </c>
      <c r="W156" s="282"/>
      <c r="X156" s="462">
        <f t="shared" si="55"/>
        <v>2500</v>
      </c>
      <c r="Y156" s="488">
        <f t="shared" si="56"/>
        <v>2500</v>
      </c>
      <c r="Z156" s="1075"/>
      <c r="AA156" s="1075"/>
      <c r="AB156" s="1075"/>
      <c r="AC156" s="1075"/>
      <c r="AD156" s="1075"/>
      <c r="AE156" s="1075"/>
      <c r="AF156" s="1075"/>
      <c r="AG156" s="1075"/>
      <c r="AH156" s="1075"/>
      <c r="AI156" s="1075"/>
      <c r="AJ156" s="1075"/>
      <c r="AK156" s="1075"/>
      <c r="AL156" s="25" t="s">
        <v>980</v>
      </c>
      <c r="AM156" s="1009">
        <f t="shared" si="40"/>
        <v>1</v>
      </c>
      <c r="AN156" s="1009">
        <f t="shared" si="41"/>
        <v>1</v>
      </c>
      <c r="AO156" s="144">
        <f t="shared" si="43"/>
        <v>1</v>
      </c>
    </row>
    <row r="157" spans="1:41" ht="66" hidden="1" x14ac:dyDescent="0.25">
      <c r="A157" s="60">
        <v>103</v>
      </c>
      <c r="B157" s="60">
        <v>25</v>
      </c>
      <c r="C157" s="9" t="s">
        <v>2250</v>
      </c>
      <c r="D157" s="61" t="s">
        <v>2293</v>
      </c>
      <c r="E157" s="61" t="s">
        <v>2282</v>
      </c>
      <c r="F157" s="118" t="s">
        <v>1354</v>
      </c>
      <c r="G157" s="1025"/>
      <c r="H157" s="331">
        <v>1189</v>
      </c>
      <c r="I157" s="422">
        <f>H157-83</f>
        <v>1106</v>
      </c>
      <c r="J157" s="282"/>
      <c r="K157" s="282"/>
      <c r="L157" s="282"/>
      <c r="M157" s="282"/>
      <c r="N157" s="1077"/>
      <c r="O157" s="1075"/>
      <c r="P157" s="1080"/>
      <c r="Q157" s="1079"/>
      <c r="R157" s="1075"/>
      <c r="S157" s="1075"/>
      <c r="T157" s="462"/>
      <c r="U157" s="488"/>
      <c r="V157" s="282">
        <v>700</v>
      </c>
      <c r="W157" s="282"/>
      <c r="X157" s="462">
        <f t="shared" si="55"/>
        <v>700</v>
      </c>
      <c r="Y157" s="488">
        <f t="shared" si="56"/>
        <v>700</v>
      </c>
      <c r="Z157" s="1075"/>
      <c r="AA157" s="1075"/>
      <c r="AB157" s="1075"/>
      <c r="AC157" s="1075"/>
      <c r="AD157" s="1075"/>
      <c r="AE157" s="1075"/>
      <c r="AF157" s="1075"/>
      <c r="AG157" s="1075"/>
      <c r="AH157" s="1075"/>
      <c r="AI157" s="1075"/>
      <c r="AJ157" s="1075"/>
      <c r="AK157" s="1075"/>
      <c r="AL157" s="25" t="s">
        <v>980</v>
      </c>
      <c r="AM157" s="1009">
        <f t="shared" si="40"/>
        <v>1</v>
      </c>
      <c r="AN157" s="1009">
        <f t="shared" si="41"/>
        <v>1</v>
      </c>
      <c r="AO157" s="144">
        <f t="shared" si="43"/>
        <v>1</v>
      </c>
    </row>
    <row r="158" spans="1:41" ht="66" hidden="1" x14ac:dyDescent="0.25">
      <c r="A158" s="60">
        <v>104</v>
      </c>
      <c r="B158" s="60">
        <v>26</v>
      </c>
      <c r="C158" s="9" t="s">
        <v>2251</v>
      </c>
      <c r="D158" s="61" t="s">
        <v>2293</v>
      </c>
      <c r="E158" s="61" t="s">
        <v>2283</v>
      </c>
      <c r="F158" s="118" t="s">
        <v>1354</v>
      </c>
      <c r="G158" s="1025"/>
      <c r="H158" s="331">
        <v>1469</v>
      </c>
      <c r="I158" s="422">
        <f>H158-102</f>
        <v>1367</v>
      </c>
      <c r="J158" s="282"/>
      <c r="K158" s="282"/>
      <c r="L158" s="282"/>
      <c r="M158" s="282"/>
      <c r="N158" s="1077"/>
      <c r="O158" s="1075"/>
      <c r="P158" s="1080"/>
      <c r="Q158" s="1079"/>
      <c r="R158" s="1075"/>
      <c r="S158" s="1075"/>
      <c r="T158" s="462"/>
      <c r="U158" s="488"/>
      <c r="V158" s="282">
        <v>900</v>
      </c>
      <c r="W158" s="282"/>
      <c r="X158" s="462">
        <f t="shared" si="55"/>
        <v>900</v>
      </c>
      <c r="Y158" s="488">
        <f t="shared" si="56"/>
        <v>900</v>
      </c>
      <c r="Z158" s="1075"/>
      <c r="AA158" s="1075"/>
      <c r="AB158" s="1075"/>
      <c r="AC158" s="1075"/>
      <c r="AD158" s="1075"/>
      <c r="AE158" s="1075"/>
      <c r="AF158" s="1075"/>
      <c r="AG158" s="1075"/>
      <c r="AH158" s="1075"/>
      <c r="AI158" s="1075"/>
      <c r="AJ158" s="1075"/>
      <c r="AK158" s="1075"/>
      <c r="AL158" s="25" t="s">
        <v>980</v>
      </c>
      <c r="AM158" s="1009">
        <f t="shared" si="40"/>
        <v>1</v>
      </c>
      <c r="AN158" s="1009">
        <f t="shared" si="41"/>
        <v>1</v>
      </c>
      <c r="AO158" s="144">
        <f t="shared" si="43"/>
        <v>1</v>
      </c>
    </row>
    <row r="159" spans="1:41" ht="66" hidden="1" x14ac:dyDescent="0.25">
      <c r="A159" s="60">
        <v>105</v>
      </c>
      <c r="B159" s="60">
        <v>27</v>
      </c>
      <c r="C159" s="9" t="s">
        <v>2252</v>
      </c>
      <c r="D159" s="61" t="s">
        <v>2293</v>
      </c>
      <c r="E159" s="61" t="s">
        <v>2284</v>
      </c>
      <c r="F159" s="118" t="s">
        <v>1354</v>
      </c>
      <c r="G159" s="1025"/>
      <c r="H159" s="331">
        <v>6368</v>
      </c>
      <c r="I159" s="422">
        <f>H159-442</f>
        <v>5926</v>
      </c>
      <c r="J159" s="282"/>
      <c r="K159" s="282"/>
      <c r="L159" s="282"/>
      <c r="M159" s="282"/>
      <c r="N159" s="1077"/>
      <c r="O159" s="1075"/>
      <c r="P159" s="1080"/>
      <c r="Q159" s="1079"/>
      <c r="R159" s="1075"/>
      <c r="S159" s="1075"/>
      <c r="T159" s="462"/>
      <c r="U159" s="488"/>
      <c r="V159" s="282">
        <v>3800</v>
      </c>
      <c r="W159" s="282"/>
      <c r="X159" s="462">
        <f t="shared" si="55"/>
        <v>3800</v>
      </c>
      <c r="Y159" s="488">
        <f t="shared" si="56"/>
        <v>3800</v>
      </c>
      <c r="Z159" s="1075"/>
      <c r="AA159" s="1075"/>
      <c r="AB159" s="1075"/>
      <c r="AC159" s="1075"/>
      <c r="AD159" s="1075"/>
      <c r="AE159" s="1075"/>
      <c r="AF159" s="1075"/>
      <c r="AG159" s="1075"/>
      <c r="AH159" s="1075"/>
      <c r="AI159" s="1075"/>
      <c r="AJ159" s="1075"/>
      <c r="AK159" s="1075"/>
      <c r="AL159" s="25" t="s">
        <v>980</v>
      </c>
      <c r="AM159" s="1009">
        <f t="shared" si="40"/>
        <v>1</v>
      </c>
      <c r="AN159" s="1009">
        <f t="shared" si="41"/>
        <v>1</v>
      </c>
      <c r="AO159" s="144">
        <f t="shared" si="43"/>
        <v>1</v>
      </c>
    </row>
    <row r="160" spans="1:41" ht="49.5" hidden="1" x14ac:dyDescent="0.25">
      <c r="A160" s="60">
        <v>106</v>
      </c>
      <c r="B160" s="60">
        <v>28</v>
      </c>
      <c r="C160" s="9" t="s">
        <v>2253</v>
      </c>
      <c r="D160" s="61" t="s">
        <v>2294</v>
      </c>
      <c r="E160" s="61" t="s">
        <v>2285</v>
      </c>
      <c r="F160" s="118" t="s">
        <v>1354</v>
      </c>
      <c r="G160" s="1025"/>
      <c r="H160" s="331">
        <v>1129</v>
      </c>
      <c r="I160" s="422">
        <f>H160-101</f>
        <v>1028</v>
      </c>
      <c r="J160" s="282"/>
      <c r="K160" s="282"/>
      <c r="L160" s="282"/>
      <c r="M160" s="282"/>
      <c r="N160" s="1077"/>
      <c r="O160" s="1075"/>
      <c r="P160" s="1080"/>
      <c r="Q160" s="1079"/>
      <c r="R160" s="1075"/>
      <c r="S160" s="1075"/>
      <c r="T160" s="462"/>
      <c r="U160" s="488"/>
      <c r="V160" s="282">
        <v>700</v>
      </c>
      <c r="W160" s="282"/>
      <c r="X160" s="462">
        <f t="shared" si="55"/>
        <v>700</v>
      </c>
      <c r="Y160" s="488">
        <f t="shared" si="56"/>
        <v>700</v>
      </c>
      <c r="Z160" s="1075"/>
      <c r="AA160" s="1075"/>
      <c r="AB160" s="1075"/>
      <c r="AC160" s="1075"/>
      <c r="AD160" s="1075"/>
      <c r="AE160" s="1075"/>
      <c r="AF160" s="1075"/>
      <c r="AG160" s="1075"/>
      <c r="AH160" s="1075"/>
      <c r="AI160" s="1075"/>
      <c r="AJ160" s="1075"/>
      <c r="AK160" s="1075"/>
      <c r="AL160" s="25" t="s">
        <v>980</v>
      </c>
      <c r="AM160" s="1009">
        <f t="shared" si="40"/>
        <v>1</v>
      </c>
      <c r="AN160" s="1009">
        <f t="shared" si="41"/>
        <v>1</v>
      </c>
      <c r="AO160" s="144">
        <f t="shared" si="43"/>
        <v>1</v>
      </c>
    </row>
    <row r="161" spans="1:42" ht="66" hidden="1" x14ac:dyDescent="0.25">
      <c r="A161" s="60">
        <v>107</v>
      </c>
      <c r="B161" s="60">
        <v>29</v>
      </c>
      <c r="C161" s="9" t="s">
        <v>2254</v>
      </c>
      <c r="D161" s="61" t="s">
        <v>2294</v>
      </c>
      <c r="E161" s="61" t="s">
        <v>2286</v>
      </c>
      <c r="F161" s="118" t="s">
        <v>1354</v>
      </c>
      <c r="G161" s="1025"/>
      <c r="H161" s="331">
        <v>1133</v>
      </c>
      <c r="I161" s="422">
        <f>H161-101</f>
        <v>1032</v>
      </c>
      <c r="J161" s="282"/>
      <c r="K161" s="282"/>
      <c r="L161" s="282"/>
      <c r="M161" s="282"/>
      <c r="N161" s="1077"/>
      <c r="O161" s="1075"/>
      <c r="P161" s="1080"/>
      <c r="Q161" s="1079"/>
      <c r="R161" s="1075"/>
      <c r="S161" s="1075"/>
      <c r="T161" s="462"/>
      <c r="U161" s="488"/>
      <c r="V161" s="282">
        <v>700</v>
      </c>
      <c r="W161" s="282"/>
      <c r="X161" s="462">
        <f t="shared" si="55"/>
        <v>700</v>
      </c>
      <c r="Y161" s="488">
        <f t="shared" si="56"/>
        <v>700</v>
      </c>
      <c r="Z161" s="1075"/>
      <c r="AA161" s="1075"/>
      <c r="AB161" s="1075"/>
      <c r="AC161" s="1075"/>
      <c r="AD161" s="1075"/>
      <c r="AE161" s="1075"/>
      <c r="AF161" s="1075"/>
      <c r="AG161" s="1075"/>
      <c r="AH161" s="1075"/>
      <c r="AI161" s="1075"/>
      <c r="AJ161" s="1075"/>
      <c r="AK161" s="1075"/>
      <c r="AL161" s="25" t="s">
        <v>980</v>
      </c>
      <c r="AM161" s="1009">
        <f t="shared" si="40"/>
        <v>1</v>
      </c>
      <c r="AN161" s="1009">
        <f t="shared" si="41"/>
        <v>1</v>
      </c>
      <c r="AO161" s="144">
        <f t="shared" si="43"/>
        <v>1</v>
      </c>
    </row>
    <row r="162" spans="1:42" ht="33" hidden="1" x14ac:dyDescent="0.25">
      <c r="A162" s="60">
        <v>108</v>
      </c>
      <c r="B162" s="60">
        <v>30</v>
      </c>
      <c r="C162" s="9" t="s">
        <v>2255</v>
      </c>
      <c r="D162" s="61" t="s">
        <v>2294</v>
      </c>
      <c r="E162" s="61" t="s">
        <v>2287</v>
      </c>
      <c r="F162" s="118" t="s">
        <v>1354</v>
      </c>
      <c r="G162" s="1025"/>
      <c r="H162" s="331">
        <v>888</v>
      </c>
      <c r="I162" s="422">
        <f>H162-79</f>
        <v>809</v>
      </c>
      <c r="J162" s="282"/>
      <c r="K162" s="282"/>
      <c r="L162" s="282"/>
      <c r="M162" s="282"/>
      <c r="N162" s="1077"/>
      <c r="O162" s="1075"/>
      <c r="P162" s="1080"/>
      <c r="Q162" s="1079"/>
      <c r="R162" s="1075"/>
      <c r="S162" s="1075"/>
      <c r="T162" s="462"/>
      <c r="U162" s="488"/>
      <c r="V162" s="282">
        <v>500</v>
      </c>
      <c r="W162" s="282"/>
      <c r="X162" s="462">
        <f t="shared" si="55"/>
        <v>500</v>
      </c>
      <c r="Y162" s="488">
        <f t="shared" si="56"/>
        <v>500</v>
      </c>
      <c r="Z162" s="1075"/>
      <c r="AA162" s="1075"/>
      <c r="AB162" s="1075"/>
      <c r="AC162" s="1075"/>
      <c r="AD162" s="1075"/>
      <c r="AE162" s="1075"/>
      <c r="AF162" s="1075"/>
      <c r="AG162" s="1075"/>
      <c r="AH162" s="1075"/>
      <c r="AI162" s="1075"/>
      <c r="AJ162" s="1075"/>
      <c r="AK162" s="1075"/>
      <c r="AL162" s="25" t="s">
        <v>980</v>
      </c>
      <c r="AM162" s="1009">
        <f t="shared" si="40"/>
        <v>1</v>
      </c>
      <c r="AN162" s="1009">
        <f t="shared" si="41"/>
        <v>1</v>
      </c>
      <c r="AO162" s="144">
        <f t="shared" si="43"/>
        <v>1</v>
      </c>
    </row>
    <row r="163" spans="1:42" ht="49.5" hidden="1" x14ac:dyDescent="0.25">
      <c r="A163" s="60">
        <v>109</v>
      </c>
      <c r="B163" s="60">
        <v>31</v>
      </c>
      <c r="C163" s="9" t="s">
        <v>2256</v>
      </c>
      <c r="D163" s="61" t="s">
        <v>2294</v>
      </c>
      <c r="E163" s="61" t="s">
        <v>2288</v>
      </c>
      <c r="F163" s="118" t="s">
        <v>1354</v>
      </c>
      <c r="G163" s="1025"/>
      <c r="H163" s="331">
        <v>1277</v>
      </c>
      <c r="I163" s="422">
        <f>H163-114</f>
        <v>1163</v>
      </c>
      <c r="J163" s="282"/>
      <c r="K163" s="282"/>
      <c r="L163" s="282"/>
      <c r="M163" s="282"/>
      <c r="N163" s="1077"/>
      <c r="O163" s="1075"/>
      <c r="P163" s="1080"/>
      <c r="Q163" s="1079"/>
      <c r="R163" s="1075"/>
      <c r="S163" s="1075"/>
      <c r="T163" s="462"/>
      <c r="U163" s="488"/>
      <c r="V163" s="282">
        <v>700</v>
      </c>
      <c r="W163" s="282"/>
      <c r="X163" s="462">
        <f t="shared" si="55"/>
        <v>700</v>
      </c>
      <c r="Y163" s="488">
        <f t="shared" si="56"/>
        <v>700</v>
      </c>
      <c r="Z163" s="1075"/>
      <c r="AA163" s="1075"/>
      <c r="AB163" s="1075"/>
      <c r="AC163" s="1075"/>
      <c r="AD163" s="1075"/>
      <c r="AE163" s="1075"/>
      <c r="AF163" s="1075"/>
      <c r="AG163" s="1075"/>
      <c r="AH163" s="1075"/>
      <c r="AI163" s="1075"/>
      <c r="AJ163" s="1075"/>
      <c r="AK163" s="1075"/>
      <c r="AL163" s="25" t="s">
        <v>980</v>
      </c>
      <c r="AM163" s="1009">
        <f t="shared" si="40"/>
        <v>1</v>
      </c>
      <c r="AN163" s="1009">
        <f t="shared" si="41"/>
        <v>1</v>
      </c>
      <c r="AO163" s="144">
        <f t="shared" si="43"/>
        <v>1</v>
      </c>
    </row>
    <row r="164" spans="1:42" ht="49.5" hidden="1" x14ac:dyDescent="0.25">
      <c r="A164" s="60">
        <v>110</v>
      </c>
      <c r="B164" s="60">
        <v>32</v>
      </c>
      <c r="C164" s="9" t="s">
        <v>2257</v>
      </c>
      <c r="D164" s="61" t="s">
        <v>2295</v>
      </c>
      <c r="E164" s="61" t="s">
        <v>2289</v>
      </c>
      <c r="F164" s="118" t="s">
        <v>1354</v>
      </c>
      <c r="G164" s="1025"/>
      <c r="H164" s="331">
        <v>2786</v>
      </c>
      <c r="I164" s="422">
        <f>H164-268</f>
        <v>2518</v>
      </c>
      <c r="J164" s="282"/>
      <c r="K164" s="282"/>
      <c r="L164" s="282"/>
      <c r="M164" s="282"/>
      <c r="N164" s="1077"/>
      <c r="O164" s="1075"/>
      <c r="P164" s="1080"/>
      <c r="Q164" s="1079"/>
      <c r="R164" s="1075"/>
      <c r="S164" s="1075"/>
      <c r="T164" s="462"/>
      <c r="U164" s="488"/>
      <c r="V164" s="282">
        <v>1000</v>
      </c>
      <c r="W164" s="282"/>
      <c r="X164" s="462">
        <f t="shared" si="55"/>
        <v>1000</v>
      </c>
      <c r="Y164" s="488">
        <f t="shared" si="56"/>
        <v>1000</v>
      </c>
      <c r="Z164" s="1075"/>
      <c r="AA164" s="1075"/>
      <c r="AB164" s="1075"/>
      <c r="AC164" s="1075"/>
      <c r="AD164" s="1075"/>
      <c r="AE164" s="1075"/>
      <c r="AF164" s="1075"/>
      <c r="AG164" s="1075"/>
      <c r="AH164" s="1075"/>
      <c r="AI164" s="1075"/>
      <c r="AJ164" s="1075"/>
      <c r="AK164" s="1075"/>
      <c r="AL164" s="25" t="s">
        <v>980</v>
      </c>
      <c r="AM164" s="1009">
        <f t="shared" si="40"/>
        <v>1</v>
      </c>
      <c r="AN164" s="1009">
        <f t="shared" si="41"/>
        <v>1</v>
      </c>
      <c r="AO164" s="144">
        <f t="shared" si="43"/>
        <v>1</v>
      </c>
    </row>
    <row r="165" spans="1:42" ht="49.5" hidden="1" x14ac:dyDescent="0.25">
      <c r="A165" s="60">
        <v>111</v>
      </c>
      <c r="B165" s="60">
        <v>33</v>
      </c>
      <c r="C165" s="9" t="s">
        <v>2258</v>
      </c>
      <c r="D165" s="61" t="s">
        <v>2296</v>
      </c>
      <c r="E165" s="61" t="s">
        <v>2290</v>
      </c>
      <c r="F165" s="118" t="s">
        <v>1354</v>
      </c>
      <c r="G165" s="1025"/>
      <c r="H165" s="331">
        <v>1280</v>
      </c>
      <c r="I165" s="422">
        <f>H165-123</f>
        <v>1157</v>
      </c>
      <c r="J165" s="282"/>
      <c r="K165" s="282"/>
      <c r="L165" s="282"/>
      <c r="M165" s="282"/>
      <c r="N165" s="1077"/>
      <c r="O165" s="1075"/>
      <c r="P165" s="1080"/>
      <c r="Q165" s="1079"/>
      <c r="R165" s="1075"/>
      <c r="S165" s="1075"/>
      <c r="T165" s="462"/>
      <c r="U165" s="488"/>
      <c r="V165" s="282">
        <v>600</v>
      </c>
      <c r="W165" s="282"/>
      <c r="X165" s="462">
        <f t="shared" si="55"/>
        <v>600</v>
      </c>
      <c r="Y165" s="488">
        <f t="shared" si="56"/>
        <v>600</v>
      </c>
      <c r="Z165" s="1075"/>
      <c r="AA165" s="1075"/>
      <c r="AB165" s="1075"/>
      <c r="AC165" s="1075"/>
      <c r="AD165" s="1075"/>
      <c r="AE165" s="1075"/>
      <c r="AF165" s="1075"/>
      <c r="AG165" s="1075"/>
      <c r="AH165" s="1075"/>
      <c r="AI165" s="1075"/>
      <c r="AJ165" s="1075"/>
      <c r="AK165" s="1075"/>
      <c r="AL165" s="25" t="s">
        <v>980</v>
      </c>
      <c r="AM165" s="1009">
        <f t="shared" si="40"/>
        <v>1</v>
      </c>
      <c r="AN165" s="1009">
        <f t="shared" si="41"/>
        <v>1</v>
      </c>
      <c r="AO165" s="144">
        <f t="shared" si="43"/>
        <v>1</v>
      </c>
    </row>
    <row r="166" spans="1:42" s="1323" customFormat="1" ht="33" hidden="1" x14ac:dyDescent="0.25">
      <c r="A166" s="152">
        <v>112</v>
      </c>
      <c r="B166" s="152">
        <v>34</v>
      </c>
      <c r="C166" s="153" t="s">
        <v>2328</v>
      </c>
      <c r="D166" s="1" t="s">
        <v>1246</v>
      </c>
      <c r="E166" s="1" t="s">
        <v>2340</v>
      </c>
      <c r="F166" s="350" t="s">
        <v>1354</v>
      </c>
      <c r="G166" s="423"/>
      <c r="H166" s="331">
        <v>6750</v>
      </c>
      <c r="I166" s="422">
        <f>H166-504</f>
        <v>6246</v>
      </c>
      <c r="J166" s="244"/>
      <c r="K166" s="244"/>
      <c r="L166" s="244"/>
      <c r="M166" s="244"/>
      <c r="N166" s="4"/>
      <c r="O166" s="244"/>
      <c r="P166" s="243"/>
      <c r="Q166" s="354"/>
      <c r="R166" s="244"/>
      <c r="S166" s="244"/>
      <c r="T166" s="457"/>
      <c r="U166" s="476"/>
      <c r="V166" s="244">
        <v>3500</v>
      </c>
      <c r="W166" s="244"/>
      <c r="X166" s="457">
        <f>Y166</f>
        <v>3500</v>
      </c>
      <c r="Y166" s="476">
        <f>V166</f>
        <v>3500</v>
      </c>
      <c r="Z166" s="244"/>
      <c r="AA166" s="244"/>
      <c r="AB166" s="244"/>
      <c r="AC166" s="244"/>
      <c r="AD166" s="244"/>
      <c r="AE166" s="244"/>
      <c r="AF166" s="244"/>
      <c r="AG166" s="244"/>
      <c r="AH166" s="244"/>
      <c r="AI166" s="244"/>
      <c r="AJ166" s="244"/>
      <c r="AK166" s="244"/>
      <c r="AL166" s="334" t="s">
        <v>980</v>
      </c>
      <c r="AM166" s="933">
        <f t="shared" ref="AM166:AM172" si="58">IF(Y166-U166=0,0,1)</f>
        <v>1</v>
      </c>
      <c r="AN166" s="933">
        <f t="shared" ref="AN166:AN172" si="59">IF(Y166=0,0,1)</f>
        <v>1</v>
      </c>
      <c r="AO166" s="1333">
        <f t="shared" si="43"/>
        <v>1</v>
      </c>
    </row>
    <row r="167" spans="1:42" s="1323" customFormat="1" ht="33" hidden="1" x14ac:dyDescent="0.25">
      <c r="A167" s="152">
        <v>113</v>
      </c>
      <c r="B167" s="152">
        <v>35</v>
      </c>
      <c r="C167" s="153" t="s">
        <v>2329</v>
      </c>
      <c r="D167" s="1" t="s">
        <v>1246</v>
      </c>
      <c r="E167" s="1" t="s">
        <v>2341</v>
      </c>
      <c r="F167" s="350" t="s">
        <v>1354</v>
      </c>
      <c r="G167" s="423"/>
      <c r="H167" s="331">
        <v>5410</v>
      </c>
      <c r="I167" s="422">
        <f>H167-361</f>
        <v>5049</v>
      </c>
      <c r="J167" s="244"/>
      <c r="K167" s="244"/>
      <c r="L167" s="244"/>
      <c r="M167" s="244"/>
      <c r="N167" s="4"/>
      <c r="O167" s="244"/>
      <c r="P167" s="243"/>
      <c r="Q167" s="354"/>
      <c r="R167" s="244"/>
      <c r="S167" s="244"/>
      <c r="T167" s="457"/>
      <c r="U167" s="476"/>
      <c r="V167" s="244">
        <v>3500</v>
      </c>
      <c r="W167" s="244"/>
      <c r="X167" s="457">
        <f t="shared" ref="X167:X172" si="60">Y167</f>
        <v>3500</v>
      </c>
      <c r="Y167" s="476">
        <v>3500</v>
      </c>
      <c r="Z167" s="244"/>
      <c r="AA167" s="244"/>
      <c r="AB167" s="244"/>
      <c r="AC167" s="244"/>
      <c r="AD167" s="244"/>
      <c r="AE167" s="244"/>
      <c r="AF167" s="244"/>
      <c r="AG167" s="244"/>
      <c r="AH167" s="244"/>
      <c r="AI167" s="244"/>
      <c r="AJ167" s="244"/>
      <c r="AK167" s="244"/>
      <c r="AL167" s="334" t="s">
        <v>980</v>
      </c>
      <c r="AM167" s="933">
        <f t="shared" si="58"/>
        <v>1</v>
      </c>
      <c r="AN167" s="933">
        <f t="shared" si="59"/>
        <v>1</v>
      </c>
      <c r="AO167" s="1333">
        <f t="shared" si="43"/>
        <v>1</v>
      </c>
    </row>
    <row r="168" spans="1:42" s="1323" customFormat="1" ht="49.5" hidden="1" x14ac:dyDescent="0.25">
      <c r="A168" s="152">
        <v>114</v>
      </c>
      <c r="B168" s="152">
        <v>36</v>
      </c>
      <c r="C168" s="153" t="s">
        <v>2330</v>
      </c>
      <c r="D168" s="1" t="s">
        <v>1246</v>
      </c>
      <c r="E168" s="1" t="s">
        <v>2335</v>
      </c>
      <c r="F168" s="350" t="s">
        <v>1354</v>
      </c>
      <c r="G168" s="423"/>
      <c r="H168" s="331">
        <v>1923</v>
      </c>
      <c r="I168" s="422">
        <f>H168-172</f>
        <v>1751</v>
      </c>
      <c r="J168" s="244"/>
      <c r="K168" s="244"/>
      <c r="L168" s="244"/>
      <c r="M168" s="244"/>
      <c r="N168" s="4"/>
      <c r="O168" s="244"/>
      <c r="P168" s="243"/>
      <c r="Q168" s="354"/>
      <c r="R168" s="244"/>
      <c r="S168" s="244"/>
      <c r="T168" s="457"/>
      <c r="U168" s="476"/>
      <c r="V168" s="244">
        <v>1400</v>
      </c>
      <c r="W168" s="244"/>
      <c r="X168" s="457">
        <f t="shared" si="60"/>
        <v>1400</v>
      </c>
      <c r="Y168" s="476">
        <v>1400</v>
      </c>
      <c r="Z168" s="244"/>
      <c r="AA168" s="244"/>
      <c r="AB168" s="244"/>
      <c r="AC168" s="244"/>
      <c r="AD168" s="244"/>
      <c r="AE168" s="244"/>
      <c r="AF168" s="244"/>
      <c r="AG168" s="244"/>
      <c r="AH168" s="244"/>
      <c r="AI168" s="244"/>
      <c r="AJ168" s="244"/>
      <c r="AK168" s="244"/>
      <c r="AL168" s="334" t="s">
        <v>980</v>
      </c>
      <c r="AM168" s="933">
        <f t="shared" si="58"/>
        <v>1</v>
      </c>
      <c r="AN168" s="933">
        <f t="shared" si="59"/>
        <v>1</v>
      </c>
      <c r="AO168" s="1333">
        <f t="shared" si="43"/>
        <v>1</v>
      </c>
    </row>
    <row r="169" spans="1:42" ht="49.5" hidden="1" x14ac:dyDescent="0.25">
      <c r="A169" s="60">
        <v>115</v>
      </c>
      <c r="B169" s="60">
        <v>37</v>
      </c>
      <c r="C169" s="9" t="s">
        <v>2331</v>
      </c>
      <c r="D169" s="61" t="s">
        <v>1246</v>
      </c>
      <c r="E169" s="61" t="s">
        <v>2336</v>
      </c>
      <c r="F169" s="118" t="s">
        <v>1354</v>
      </c>
      <c r="G169" s="1025"/>
      <c r="H169" s="1027">
        <f t="shared" ref="H169:H172" si="61">I169</f>
        <v>4100</v>
      </c>
      <c r="I169" s="1026">
        <v>4100</v>
      </c>
      <c r="J169" s="282"/>
      <c r="K169" s="282"/>
      <c r="L169" s="282"/>
      <c r="M169" s="282"/>
      <c r="N169" s="68"/>
      <c r="O169" s="282"/>
      <c r="P169" s="299"/>
      <c r="Q169" s="284"/>
      <c r="R169" s="282"/>
      <c r="S169" s="282"/>
      <c r="T169" s="462"/>
      <c r="U169" s="488"/>
      <c r="V169" s="282">
        <v>2500</v>
      </c>
      <c r="W169" s="282"/>
      <c r="X169" s="462">
        <f t="shared" si="60"/>
        <v>2500</v>
      </c>
      <c r="Y169" s="488">
        <v>2500</v>
      </c>
      <c r="Z169" s="282"/>
      <c r="AA169" s="282"/>
      <c r="AB169" s="282"/>
      <c r="AC169" s="282"/>
      <c r="AD169" s="282"/>
      <c r="AE169" s="282"/>
      <c r="AF169" s="282"/>
      <c r="AG169" s="282"/>
      <c r="AH169" s="282"/>
      <c r="AI169" s="282"/>
      <c r="AJ169" s="282"/>
      <c r="AK169" s="282"/>
      <c r="AL169" s="25" t="s">
        <v>980</v>
      </c>
      <c r="AM169" s="1009">
        <f t="shared" si="58"/>
        <v>1</v>
      </c>
      <c r="AN169" s="1009">
        <f t="shared" si="59"/>
        <v>1</v>
      </c>
      <c r="AO169" s="144">
        <f t="shared" si="43"/>
        <v>1</v>
      </c>
    </row>
    <row r="170" spans="1:42" ht="49.5" hidden="1" x14ac:dyDescent="0.25">
      <c r="A170" s="60">
        <v>116</v>
      </c>
      <c r="B170" s="60">
        <v>38</v>
      </c>
      <c r="C170" s="9" t="s">
        <v>2334</v>
      </c>
      <c r="D170" s="61" t="s">
        <v>1246</v>
      </c>
      <c r="E170" s="61" t="s">
        <v>2337</v>
      </c>
      <c r="F170" s="118" t="s">
        <v>1354</v>
      </c>
      <c r="G170" s="1025"/>
      <c r="H170" s="1027">
        <f t="shared" si="61"/>
        <v>2500</v>
      </c>
      <c r="I170" s="1026">
        <v>2500</v>
      </c>
      <c r="J170" s="282"/>
      <c r="K170" s="282"/>
      <c r="L170" s="282"/>
      <c r="M170" s="282"/>
      <c r="N170" s="68"/>
      <c r="O170" s="282"/>
      <c r="P170" s="299"/>
      <c r="Q170" s="284"/>
      <c r="R170" s="282"/>
      <c r="S170" s="282"/>
      <c r="T170" s="462"/>
      <c r="U170" s="488"/>
      <c r="V170" s="282">
        <v>1500</v>
      </c>
      <c r="W170" s="282"/>
      <c r="X170" s="462">
        <f t="shared" si="60"/>
        <v>1500</v>
      </c>
      <c r="Y170" s="488">
        <v>1500</v>
      </c>
      <c r="Z170" s="282"/>
      <c r="AA170" s="282"/>
      <c r="AB170" s="282"/>
      <c r="AC170" s="282"/>
      <c r="AD170" s="282"/>
      <c r="AE170" s="282"/>
      <c r="AF170" s="282"/>
      <c r="AG170" s="282"/>
      <c r="AH170" s="282"/>
      <c r="AI170" s="282"/>
      <c r="AJ170" s="282"/>
      <c r="AK170" s="282"/>
      <c r="AL170" s="25" t="s">
        <v>980</v>
      </c>
      <c r="AM170" s="1009">
        <f t="shared" si="58"/>
        <v>1</v>
      </c>
      <c r="AN170" s="1009">
        <f t="shared" si="59"/>
        <v>1</v>
      </c>
      <c r="AO170" s="144">
        <f t="shared" si="43"/>
        <v>1</v>
      </c>
    </row>
    <row r="171" spans="1:42" ht="49.5" hidden="1" x14ac:dyDescent="0.25">
      <c r="A171" s="60">
        <v>117</v>
      </c>
      <c r="B171" s="60">
        <v>39</v>
      </c>
      <c r="C171" s="9" t="s">
        <v>2332</v>
      </c>
      <c r="D171" s="61" t="s">
        <v>1246</v>
      </c>
      <c r="E171" s="61" t="s">
        <v>2338</v>
      </c>
      <c r="F171" s="118" t="s">
        <v>1354</v>
      </c>
      <c r="G171" s="1025"/>
      <c r="H171" s="1027">
        <f t="shared" si="61"/>
        <v>2600</v>
      </c>
      <c r="I171" s="1026">
        <v>2600</v>
      </c>
      <c r="J171" s="282"/>
      <c r="K171" s="282"/>
      <c r="L171" s="282"/>
      <c r="M171" s="282"/>
      <c r="N171" s="68"/>
      <c r="O171" s="282"/>
      <c r="P171" s="299"/>
      <c r="Q171" s="284"/>
      <c r="R171" s="282"/>
      <c r="S171" s="282"/>
      <c r="T171" s="462"/>
      <c r="U171" s="488"/>
      <c r="V171" s="282">
        <v>1600</v>
      </c>
      <c r="W171" s="282"/>
      <c r="X171" s="462">
        <f t="shared" si="60"/>
        <v>1600</v>
      </c>
      <c r="Y171" s="488">
        <v>1600</v>
      </c>
      <c r="Z171" s="282"/>
      <c r="AA171" s="282"/>
      <c r="AB171" s="282"/>
      <c r="AC171" s="282"/>
      <c r="AD171" s="282"/>
      <c r="AE171" s="282"/>
      <c r="AF171" s="282"/>
      <c r="AG171" s="282"/>
      <c r="AH171" s="282"/>
      <c r="AI171" s="282"/>
      <c r="AJ171" s="282"/>
      <c r="AK171" s="282"/>
      <c r="AL171" s="25" t="s">
        <v>980</v>
      </c>
      <c r="AM171" s="1009">
        <f t="shared" si="58"/>
        <v>1</v>
      </c>
      <c r="AN171" s="1009">
        <f t="shared" si="59"/>
        <v>1</v>
      </c>
      <c r="AO171" s="144">
        <f t="shared" si="43"/>
        <v>1</v>
      </c>
    </row>
    <row r="172" spans="1:42" ht="49.5" hidden="1" x14ac:dyDescent="0.25">
      <c r="A172" s="60">
        <v>118</v>
      </c>
      <c r="B172" s="60">
        <v>40</v>
      </c>
      <c r="C172" s="9" t="s">
        <v>2333</v>
      </c>
      <c r="D172" s="61" t="s">
        <v>1246</v>
      </c>
      <c r="E172" s="61" t="s">
        <v>2339</v>
      </c>
      <c r="F172" s="118" t="s">
        <v>1354</v>
      </c>
      <c r="G172" s="1025"/>
      <c r="H172" s="1027">
        <f t="shared" si="61"/>
        <v>2700</v>
      </c>
      <c r="I172" s="1026">
        <v>2700</v>
      </c>
      <c r="J172" s="282"/>
      <c r="K172" s="282"/>
      <c r="L172" s="282"/>
      <c r="M172" s="282"/>
      <c r="N172" s="68"/>
      <c r="O172" s="282"/>
      <c r="P172" s="299"/>
      <c r="Q172" s="284"/>
      <c r="R172" s="282"/>
      <c r="S172" s="282"/>
      <c r="T172" s="462"/>
      <c r="U172" s="488"/>
      <c r="V172" s="282">
        <v>1700</v>
      </c>
      <c r="W172" s="282"/>
      <c r="X172" s="462">
        <f t="shared" si="60"/>
        <v>1700</v>
      </c>
      <c r="Y172" s="488">
        <v>1700</v>
      </c>
      <c r="Z172" s="282"/>
      <c r="AA172" s="282"/>
      <c r="AB172" s="282"/>
      <c r="AC172" s="282"/>
      <c r="AD172" s="282"/>
      <c r="AE172" s="282"/>
      <c r="AF172" s="282"/>
      <c r="AG172" s="282"/>
      <c r="AH172" s="282"/>
      <c r="AI172" s="282"/>
      <c r="AJ172" s="282"/>
      <c r="AK172" s="282"/>
      <c r="AL172" s="25" t="s">
        <v>980</v>
      </c>
      <c r="AM172" s="1009">
        <f t="shared" si="58"/>
        <v>1</v>
      </c>
      <c r="AN172" s="1009">
        <f t="shared" si="59"/>
        <v>1</v>
      </c>
      <c r="AO172" s="144">
        <f t="shared" si="43"/>
        <v>1</v>
      </c>
    </row>
    <row r="173" spans="1:42" ht="28.5" hidden="1" customHeight="1" x14ac:dyDescent="0.25">
      <c r="A173" s="1210" t="s">
        <v>173</v>
      </c>
      <c r="B173" s="1210"/>
      <c r="C173" s="1335" t="s">
        <v>1114</v>
      </c>
      <c r="D173" s="1212"/>
      <c r="E173" s="1210"/>
      <c r="F173" s="1210"/>
      <c r="G173" s="1336"/>
      <c r="H173" s="1337">
        <f t="shared" ref="H173:I173" si="62">H174+H182</f>
        <v>505021</v>
      </c>
      <c r="I173" s="1337">
        <f t="shared" si="62"/>
        <v>459229</v>
      </c>
      <c r="J173" s="1337">
        <f t="shared" ref="J173:X173" si="63">J174+J182</f>
        <v>10500</v>
      </c>
      <c r="K173" s="1337">
        <f t="shared" si="63"/>
        <v>10500</v>
      </c>
      <c r="L173" s="1337">
        <f t="shared" si="63"/>
        <v>10500</v>
      </c>
      <c r="M173" s="1337">
        <f t="shared" si="63"/>
        <v>10500</v>
      </c>
      <c r="N173" s="1337">
        <f t="shared" si="63"/>
        <v>190000</v>
      </c>
      <c r="O173" s="1337">
        <f t="shared" si="63"/>
        <v>190000</v>
      </c>
      <c r="P173" s="1337">
        <f t="shared" si="63"/>
        <v>192073</v>
      </c>
      <c r="Q173" s="1337">
        <f t="shared" si="63"/>
        <v>192073</v>
      </c>
      <c r="R173" s="1337">
        <f t="shared" si="63"/>
        <v>40000</v>
      </c>
      <c r="S173" s="1337">
        <f t="shared" si="63"/>
        <v>40000</v>
      </c>
      <c r="T173" s="1337">
        <f t="shared" si="63"/>
        <v>190000</v>
      </c>
      <c r="U173" s="1337">
        <f t="shared" si="63"/>
        <v>190000</v>
      </c>
      <c r="V173" s="1337">
        <f t="shared" si="63"/>
        <v>119100</v>
      </c>
      <c r="W173" s="1337">
        <f t="shared" si="63"/>
        <v>23015</v>
      </c>
      <c r="X173" s="1337">
        <f t="shared" si="63"/>
        <v>286685</v>
      </c>
      <c r="Y173" s="1337">
        <f>Y174+Y182</f>
        <v>286085</v>
      </c>
      <c r="Z173" s="1337">
        <f t="shared" ref="Z173:AC173" si="64">Z182</f>
        <v>0</v>
      </c>
      <c r="AA173" s="1337">
        <f t="shared" si="64"/>
        <v>0</v>
      </c>
      <c r="AB173" s="1337">
        <f t="shared" si="64"/>
        <v>0</v>
      </c>
      <c r="AC173" s="1337">
        <f t="shared" si="64"/>
        <v>0</v>
      </c>
      <c r="AD173" s="1335">
        <f t="shared" ref="AD173:AK173" si="65">AD174+AD182</f>
        <v>0</v>
      </c>
      <c r="AE173" s="1335">
        <f t="shared" si="65"/>
        <v>0</v>
      </c>
      <c r="AF173" s="1335">
        <f t="shared" si="65"/>
        <v>0</v>
      </c>
      <c r="AG173" s="1335">
        <f t="shared" si="65"/>
        <v>0</v>
      </c>
      <c r="AH173" s="1335">
        <f t="shared" si="65"/>
        <v>0</v>
      </c>
      <c r="AI173" s="1335">
        <f t="shared" si="65"/>
        <v>0</v>
      </c>
      <c r="AJ173" s="1335">
        <f t="shared" si="65"/>
        <v>0</v>
      </c>
      <c r="AK173" s="1335">
        <f t="shared" si="65"/>
        <v>0</v>
      </c>
      <c r="AL173" s="69"/>
      <c r="AM173" s="1009">
        <f t="shared" si="40"/>
        <v>1</v>
      </c>
      <c r="AN173" s="1009">
        <f t="shared" si="41"/>
        <v>1</v>
      </c>
      <c r="AO173" s="144">
        <f t="shared" ref="AO173:AO236" si="66">IF(I173-Y173&gt;=0,1,0)</f>
        <v>1</v>
      </c>
      <c r="AP173" s="144"/>
    </row>
    <row r="174" spans="1:42" ht="51.75" hidden="1" x14ac:dyDescent="0.25">
      <c r="A174" s="1066" t="s">
        <v>45</v>
      </c>
      <c r="B174" s="1066"/>
      <c r="C174" s="51" t="s">
        <v>46</v>
      </c>
      <c r="D174" s="57"/>
      <c r="E174" s="57"/>
      <c r="F174" s="57"/>
      <c r="G174" s="57"/>
      <c r="H174" s="1017">
        <f t="shared" ref="H174:AK174" si="67">H175</f>
        <v>17774</v>
      </c>
      <c r="I174" s="1017">
        <f t="shared" si="67"/>
        <v>17774</v>
      </c>
      <c r="J174" s="1017">
        <f t="shared" si="67"/>
        <v>10500</v>
      </c>
      <c r="K174" s="1017">
        <f t="shared" si="67"/>
        <v>10500</v>
      </c>
      <c r="L174" s="1017">
        <f t="shared" si="67"/>
        <v>10500</v>
      </c>
      <c r="M174" s="1017">
        <f t="shared" si="67"/>
        <v>10500</v>
      </c>
      <c r="N174" s="1017">
        <f t="shared" si="67"/>
        <v>4370</v>
      </c>
      <c r="O174" s="1017">
        <f t="shared" si="67"/>
        <v>4370</v>
      </c>
      <c r="P174" s="1017">
        <f t="shared" si="67"/>
        <v>4370</v>
      </c>
      <c r="Q174" s="1017">
        <f t="shared" si="67"/>
        <v>4370</v>
      </c>
      <c r="R174" s="1017">
        <f t="shared" si="67"/>
        <v>0</v>
      </c>
      <c r="S174" s="1017">
        <f t="shared" si="67"/>
        <v>0</v>
      </c>
      <c r="T174" s="1017">
        <f t="shared" si="67"/>
        <v>4370</v>
      </c>
      <c r="U174" s="1017">
        <f t="shared" si="67"/>
        <v>4370</v>
      </c>
      <c r="V174" s="1017">
        <f t="shared" si="67"/>
        <v>0</v>
      </c>
      <c r="W174" s="1017">
        <f t="shared" si="67"/>
        <v>0</v>
      </c>
      <c r="X174" s="1017">
        <f t="shared" si="67"/>
        <v>4370</v>
      </c>
      <c r="Y174" s="1017">
        <f t="shared" si="67"/>
        <v>4370</v>
      </c>
      <c r="Z174" s="1017">
        <f t="shared" si="67"/>
        <v>4373</v>
      </c>
      <c r="AA174" s="1017">
        <f t="shared" si="67"/>
        <v>4373</v>
      </c>
      <c r="AB174" s="1017">
        <f t="shared" si="67"/>
        <v>0</v>
      </c>
      <c r="AC174" s="1017">
        <f t="shared" si="67"/>
        <v>0</v>
      </c>
      <c r="AD174" s="1017">
        <f t="shared" si="67"/>
        <v>0</v>
      </c>
      <c r="AE174" s="1017">
        <f t="shared" si="67"/>
        <v>0</v>
      </c>
      <c r="AF174" s="1017">
        <f t="shared" si="67"/>
        <v>0</v>
      </c>
      <c r="AG174" s="1017">
        <f t="shared" si="67"/>
        <v>0</v>
      </c>
      <c r="AH174" s="1017">
        <f t="shared" si="67"/>
        <v>0</v>
      </c>
      <c r="AI174" s="1017">
        <f t="shared" si="67"/>
        <v>0</v>
      </c>
      <c r="AJ174" s="1017">
        <f t="shared" si="67"/>
        <v>0</v>
      </c>
      <c r="AK174" s="1017">
        <f t="shared" si="67"/>
        <v>0</v>
      </c>
      <c r="AL174" s="1017"/>
      <c r="AM174" s="1009">
        <f t="shared" si="40"/>
        <v>0</v>
      </c>
      <c r="AN174" s="1009">
        <f t="shared" si="41"/>
        <v>1</v>
      </c>
      <c r="AO174" s="144">
        <f t="shared" si="66"/>
        <v>1</v>
      </c>
    </row>
    <row r="175" spans="1:42" ht="34.5" hidden="1" x14ac:dyDescent="0.25">
      <c r="A175" s="50" t="s">
        <v>47</v>
      </c>
      <c r="B175" s="50"/>
      <c r="C175" s="51" t="s">
        <v>48</v>
      </c>
      <c r="D175" s="57"/>
      <c r="E175" s="57"/>
      <c r="F175" s="57"/>
      <c r="G175" s="57"/>
      <c r="H175" s="1017">
        <f t="shared" ref="H175:AK175" si="68">SUM(H178:H181)</f>
        <v>17774</v>
      </c>
      <c r="I175" s="1017">
        <f t="shared" si="68"/>
        <v>17774</v>
      </c>
      <c r="J175" s="1017">
        <f t="shared" si="68"/>
        <v>10500</v>
      </c>
      <c r="K175" s="1017">
        <f t="shared" si="68"/>
        <v>10500</v>
      </c>
      <c r="L175" s="1017">
        <f t="shared" si="68"/>
        <v>10500</v>
      </c>
      <c r="M175" s="1017">
        <f t="shared" si="68"/>
        <v>10500</v>
      </c>
      <c r="N175" s="1017">
        <f t="shared" si="68"/>
        <v>4370</v>
      </c>
      <c r="O175" s="1017">
        <f t="shared" si="68"/>
        <v>4370</v>
      </c>
      <c r="P175" s="1017">
        <f t="shared" si="68"/>
        <v>4370</v>
      </c>
      <c r="Q175" s="1017">
        <f t="shared" si="68"/>
        <v>4370</v>
      </c>
      <c r="R175" s="1017">
        <f t="shared" si="68"/>
        <v>0</v>
      </c>
      <c r="S175" s="1017">
        <f t="shared" si="68"/>
        <v>0</v>
      </c>
      <c r="T175" s="1017">
        <f t="shared" si="68"/>
        <v>4370</v>
      </c>
      <c r="U175" s="1017">
        <f t="shared" si="68"/>
        <v>4370</v>
      </c>
      <c r="V175" s="1017">
        <f t="shared" si="68"/>
        <v>0</v>
      </c>
      <c r="W175" s="1017">
        <f t="shared" si="68"/>
        <v>0</v>
      </c>
      <c r="X175" s="1017">
        <f t="shared" si="68"/>
        <v>4370</v>
      </c>
      <c r="Y175" s="1017">
        <f t="shared" ref="Y175" si="69">SUM(Y178:Y181)</f>
        <v>4370</v>
      </c>
      <c r="Z175" s="1016">
        <f t="shared" si="68"/>
        <v>4373</v>
      </c>
      <c r="AA175" s="1016">
        <f t="shared" si="68"/>
        <v>4373</v>
      </c>
      <c r="AB175" s="1016">
        <f t="shared" si="68"/>
        <v>0</v>
      </c>
      <c r="AC175" s="1016">
        <f t="shared" si="68"/>
        <v>0</v>
      </c>
      <c r="AD175" s="1016">
        <f t="shared" si="68"/>
        <v>0</v>
      </c>
      <c r="AE175" s="1016">
        <f t="shared" si="68"/>
        <v>0</v>
      </c>
      <c r="AF175" s="1016">
        <f t="shared" si="68"/>
        <v>0</v>
      </c>
      <c r="AG175" s="1016">
        <f t="shared" si="68"/>
        <v>0</v>
      </c>
      <c r="AH175" s="1016">
        <f t="shared" si="68"/>
        <v>0</v>
      </c>
      <c r="AI175" s="1016">
        <f t="shared" si="68"/>
        <v>0</v>
      </c>
      <c r="AJ175" s="1016">
        <f t="shared" si="68"/>
        <v>0</v>
      </c>
      <c r="AK175" s="1016">
        <f t="shared" si="68"/>
        <v>0</v>
      </c>
      <c r="AL175" s="59"/>
      <c r="AM175" s="1009">
        <f t="shared" si="40"/>
        <v>0</v>
      </c>
      <c r="AN175" s="1009">
        <f t="shared" si="41"/>
        <v>1</v>
      </c>
      <c r="AO175" s="144">
        <f t="shared" si="66"/>
        <v>1</v>
      </c>
    </row>
    <row r="176" spans="1:42" ht="17.25" hidden="1" x14ac:dyDescent="0.25">
      <c r="A176" s="50"/>
      <c r="B176" s="50"/>
      <c r="C176" s="51" t="s">
        <v>49</v>
      </c>
      <c r="D176" s="52"/>
      <c r="E176" s="52"/>
      <c r="F176" s="52"/>
      <c r="G176" s="52"/>
      <c r="H176" s="1020"/>
      <c r="I176" s="1020"/>
      <c r="J176" s="1020"/>
      <c r="K176" s="1020"/>
      <c r="L176" s="1020"/>
      <c r="M176" s="1020"/>
      <c r="N176" s="1020"/>
      <c r="O176" s="1020"/>
      <c r="P176" s="1021"/>
      <c r="Q176" s="1021"/>
      <c r="R176" s="54" t="e">
        <f>IF(#REF!&gt;0,#REF!,0)</f>
        <v>#REF!</v>
      </c>
      <c r="S176" s="54" t="e">
        <f>IF(#REF!&lt;0,-#REF!,0)</f>
        <v>#REF!</v>
      </c>
      <c r="T176" s="1022"/>
      <c r="U176" s="1022"/>
      <c r="V176" s="54"/>
      <c r="W176" s="54"/>
      <c r="X176" s="1022"/>
      <c r="Y176" s="1022"/>
      <c r="Z176" s="1020"/>
      <c r="AA176" s="1020"/>
      <c r="AB176" s="1020"/>
      <c r="AC176" s="1020"/>
      <c r="AD176" s="1020"/>
      <c r="AE176" s="1020"/>
      <c r="AF176" s="1020"/>
      <c r="AG176" s="1020"/>
      <c r="AH176" s="1020"/>
      <c r="AI176" s="1020"/>
      <c r="AJ176" s="1020"/>
      <c r="AK176" s="1020"/>
      <c r="AL176" s="55"/>
      <c r="AM176" s="1009">
        <f t="shared" si="40"/>
        <v>0</v>
      </c>
      <c r="AN176" s="1009">
        <f t="shared" si="41"/>
        <v>0</v>
      </c>
      <c r="AO176" s="144">
        <f t="shared" si="66"/>
        <v>1</v>
      </c>
    </row>
    <row r="177" spans="1:43" ht="51.75" hidden="1" x14ac:dyDescent="0.25">
      <c r="A177" s="50"/>
      <c r="B177" s="50"/>
      <c r="C177" s="56" t="s">
        <v>50</v>
      </c>
      <c r="D177" s="57"/>
      <c r="E177" s="57"/>
      <c r="F177" s="57"/>
      <c r="G177" s="57"/>
      <c r="H177" s="1017"/>
      <c r="I177" s="1017"/>
      <c r="J177" s="1017"/>
      <c r="K177" s="1017"/>
      <c r="L177" s="1017"/>
      <c r="M177" s="1017"/>
      <c r="N177" s="1017"/>
      <c r="O177" s="1017"/>
      <c r="P177" s="1016"/>
      <c r="Q177" s="1016"/>
      <c r="R177" s="54" t="e">
        <f>IF(#REF!&gt;0,#REF!,0)</f>
        <v>#REF!</v>
      </c>
      <c r="S177" s="54" t="e">
        <f>IF(#REF!&lt;0,-#REF!,0)</f>
        <v>#REF!</v>
      </c>
      <c r="T177" s="1018"/>
      <c r="U177" s="1018"/>
      <c r="V177" s="54"/>
      <c r="W177" s="54"/>
      <c r="X177" s="1018"/>
      <c r="Y177" s="1018"/>
      <c r="Z177" s="1017"/>
      <c r="AA177" s="1017"/>
      <c r="AB177" s="1017"/>
      <c r="AC177" s="1017"/>
      <c r="AD177" s="1017"/>
      <c r="AE177" s="1017"/>
      <c r="AF177" s="1017"/>
      <c r="AG177" s="1017"/>
      <c r="AH177" s="1017"/>
      <c r="AI177" s="1017"/>
      <c r="AJ177" s="1017"/>
      <c r="AK177" s="1017"/>
      <c r="AL177" s="59"/>
      <c r="AM177" s="1009">
        <f t="shared" si="40"/>
        <v>0</v>
      </c>
      <c r="AN177" s="1009">
        <f t="shared" si="41"/>
        <v>0</v>
      </c>
      <c r="AO177" s="144">
        <f t="shared" si="66"/>
        <v>1</v>
      </c>
    </row>
    <row r="178" spans="1:43" ht="49.5" hidden="1" x14ac:dyDescent="0.25">
      <c r="A178" s="1024">
        <v>1</v>
      </c>
      <c r="B178" s="1024"/>
      <c r="C178" s="91" t="s">
        <v>1708</v>
      </c>
      <c r="D178" s="1024" t="s">
        <v>1206</v>
      </c>
      <c r="E178" s="301" t="s">
        <v>1707</v>
      </c>
      <c r="F178" s="1030">
        <v>2015</v>
      </c>
      <c r="G178" s="118" t="s">
        <v>1706</v>
      </c>
      <c r="H178" s="1031">
        <v>5957</v>
      </c>
      <c r="I178" s="1026">
        <f>H178</f>
        <v>5957</v>
      </c>
      <c r="J178" s="1031">
        <v>3500</v>
      </c>
      <c r="K178" s="282">
        <f>J178</f>
        <v>3500</v>
      </c>
      <c r="L178" s="1031">
        <v>3500</v>
      </c>
      <c r="M178" s="282">
        <f>L178</f>
        <v>3500</v>
      </c>
      <c r="N178" s="1031">
        <f>O178</f>
        <v>1030</v>
      </c>
      <c r="O178" s="1031">
        <v>1030</v>
      </c>
      <c r="P178" s="284">
        <f>Q178</f>
        <v>1030</v>
      </c>
      <c r="Q178" s="1032">
        <v>1030</v>
      </c>
      <c r="R178" s="54"/>
      <c r="S178" s="54"/>
      <c r="T178" s="488">
        <f>U178</f>
        <v>1030</v>
      </c>
      <c r="U178" s="1033">
        <v>1030</v>
      </c>
      <c r="V178" s="54"/>
      <c r="W178" s="54"/>
      <c r="X178" s="488">
        <f>Y178</f>
        <v>1030</v>
      </c>
      <c r="Y178" s="1033">
        <v>1030</v>
      </c>
      <c r="Z178" s="1032">
        <v>1030</v>
      </c>
      <c r="AA178" s="1032">
        <v>1030</v>
      </c>
      <c r="AB178" s="282"/>
      <c r="AC178" s="282"/>
      <c r="AD178" s="282"/>
      <c r="AE178" s="282"/>
      <c r="AF178" s="282"/>
      <c r="AG178" s="282"/>
      <c r="AH178" s="282"/>
      <c r="AI178" s="282"/>
      <c r="AJ178" s="282"/>
      <c r="AK178" s="282"/>
      <c r="AL178" s="25"/>
      <c r="AM178" s="1009">
        <f t="shared" si="40"/>
        <v>0</v>
      </c>
      <c r="AN178" s="1009">
        <f t="shared" si="41"/>
        <v>1</v>
      </c>
      <c r="AO178" s="144">
        <f t="shared" si="66"/>
        <v>1</v>
      </c>
    </row>
    <row r="179" spans="1:43" ht="49.5" hidden="1" x14ac:dyDescent="0.25">
      <c r="A179" s="1024">
        <v>2</v>
      </c>
      <c r="B179" s="1024"/>
      <c r="C179" s="91" t="s">
        <v>1705</v>
      </c>
      <c r="D179" s="1024" t="s">
        <v>1206</v>
      </c>
      <c r="E179" s="118" t="s">
        <v>1704</v>
      </c>
      <c r="F179" s="1030">
        <v>2015</v>
      </c>
      <c r="G179" s="61" t="s">
        <v>1703</v>
      </c>
      <c r="H179" s="1031">
        <v>2448</v>
      </c>
      <c r="I179" s="1026">
        <f>H179</f>
        <v>2448</v>
      </c>
      <c r="J179" s="1031">
        <v>1500</v>
      </c>
      <c r="K179" s="282">
        <f>J179</f>
        <v>1500</v>
      </c>
      <c r="L179" s="1031">
        <v>1500</v>
      </c>
      <c r="M179" s="282">
        <f>L179</f>
        <v>1500</v>
      </c>
      <c r="N179" s="1031">
        <f>O179</f>
        <v>500</v>
      </c>
      <c r="O179" s="1031">
        <v>500</v>
      </c>
      <c r="P179" s="284">
        <f>Q179</f>
        <v>500</v>
      </c>
      <c r="Q179" s="1032">
        <v>500</v>
      </c>
      <c r="R179" s="54"/>
      <c r="S179" s="54"/>
      <c r="T179" s="488">
        <f>U179</f>
        <v>500</v>
      </c>
      <c r="U179" s="1033">
        <v>500</v>
      </c>
      <c r="V179" s="54"/>
      <c r="W179" s="54"/>
      <c r="X179" s="488">
        <f>Y179</f>
        <v>500</v>
      </c>
      <c r="Y179" s="1033">
        <v>500</v>
      </c>
      <c r="Z179" s="1032">
        <v>500</v>
      </c>
      <c r="AA179" s="1032">
        <v>500</v>
      </c>
      <c r="AB179" s="282"/>
      <c r="AC179" s="282"/>
      <c r="AD179" s="282"/>
      <c r="AE179" s="282"/>
      <c r="AF179" s="282"/>
      <c r="AG179" s="282"/>
      <c r="AH179" s="282"/>
      <c r="AI179" s="282"/>
      <c r="AJ179" s="282"/>
      <c r="AK179" s="282"/>
      <c r="AL179" s="25"/>
      <c r="AM179" s="1009">
        <f t="shared" si="40"/>
        <v>0</v>
      </c>
      <c r="AN179" s="1009">
        <f t="shared" si="41"/>
        <v>1</v>
      </c>
      <c r="AO179" s="144">
        <f t="shared" si="66"/>
        <v>1</v>
      </c>
    </row>
    <row r="180" spans="1:43" ht="49.5" hidden="1" x14ac:dyDescent="0.25">
      <c r="A180" s="1024">
        <v>3</v>
      </c>
      <c r="B180" s="1024"/>
      <c r="C180" s="1034" t="s">
        <v>1702</v>
      </c>
      <c r="D180" s="1024" t="s">
        <v>1206</v>
      </c>
      <c r="E180" s="1024" t="s">
        <v>1701</v>
      </c>
      <c r="F180" s="1030">
        <v>2015</v>
      </c>
      <c r="G180" s="61" t="s">
        <v>1700</v>
      </c>
      <c r="H180" s="1031">
        <v>3528</v>
      </c>
      <c r="I180" s="1026">
        <f>H180</f>
        <v>3528</v>
      </c>
      <c r="J180" s="1031">
        <v>2000</v>
      </c>
      <c r="K180" s="282">
        <f>J180</f>
        <v>2000</v>
      </c>
      <c r="L180" s="1031">
        <v>2000</v>
      </c>
      <c r="M180" s="282">
        <f>L180</f>
        <v>2000</v>
      </c>
      <c r="N180" s="1031">
        <f>O180</f>
        <v>1390</v>
      </c>
      <c r="O180" s="1031">
        <v>1390</v>
      </c>
      <c r="P180" s="284">
        <f>Q180</f>
        <v>1390</v>
      </c>
      <c r="Q180" s="1032">
        <v>1390</v>
      </c>
      <c r="R180" s="54"/>
      <c r="S180" s="54"/>
      <c r="T180" s="488">
        <f>U180</f>
        <v>1390</v>
      </c>
      <c r="U180" s="1033">
        <v>1390</v>
      </c>
      <c r="V180" s="54"/>
      <c r="W180" s="54"/>
      <c r="X180" s="488">
        <f>Y180</f>
        <v>1390</v>
      </c>
      <c r="Y180" s="1033">
        <v>1390</v>
      </c>
      <c r="Z180" s="1032">
        <f>AA180</f>
        <v>1394</v>
      </c>
      <c r="AA180" s="1032">
        <v>1394</v>
      </c>
      <c r="AB180" s="282"/>
      <c r="AC180" s="282"/>
      <c r="AD180" s="282"/>
      <c r="AE180" s="282"/>
      <c r="AF180" s="282"/>
      <c r="AG180" s="282"/>
      <c r="AH180" s="282"/>
      <c r="AI180" s="282"/>
      <c r="AJ180" s="282"/>
      <c r="AK180" s="282"/>
      <c r="AL180" s="25"/>
      <c r="AM180" s="1009">
        <f t="shared" si="40"/>
        <v>0</v>
      </c>
      <c r="AN180" s="1009">
        <f t="shared" si="41"/>
        <v>1</v>
      </c>
      <c r="AO180" s="144">
        <f t="shared" si="66"/>
        <v>1</v>
      </c>
    </row>
    <row r="181" spans="1:43" ht="49.5" hidden="1" x14ac:dyDescent="0.25">
      <c r="A181" s="1024">
        <v>4</v>
      </c>
      <c r="B181" s="1024"/>
      <c r="C181" s="1034" t="s">
        <v>1699</v>
      </c>
      <c r="D181" s="1024" t="s">
        <v>1206</v>
      </c>
      <c r="E181" s="1037" t="s">
        <v>1698</v>
      </c>
      <c r="F181" s="1030">
        <v>2015</v>
      </c>
      <c r="G181" s="118" t="s">
        <v>1697</v>
      </c>
      <c r="H181" s="1031">
        <v>5841</v>
      </c>
      <c r="I181" s="1026">
        <f>H181</f>
        <v>5841</v>
      </c>
      <c r="J181" s="1031">
        <v>3500</v>
      </c>
      <c r="K181" s="282">
        <f>J181</f>
        <v>3500</v>
      </c>
      <c r="L181" s="1031">
        <v>3500</v>
      </c>
      <c r="M181" s="282">
        <f>L181</f>
        <v>3500</v>
      </c>
      <c r="N181" s="1031">
        <f>O181</f>
        <v>1450</v>
      </c>
      <c r="O181" s="1031">
        <v>1450</v>
      </c>
      <c r="P181" s="284">
        <f>Q181</f>
        <v>1450</v>
      </c>
      <c r="Q181" s="1032">
        <v>1450</v>
      </c>
      <c r="R181" s="54"/>
      <c r="S181" s="54"/>
      <c r="T181" s="488">
        <f>U181</f>
        <v>1450</v>
      </c>
      <c r="U181" s="1033">
        <v>1450</v>
      </c>
      <c r="V181" s="54"/>
      <c r="W181" s="54"/>
      <c r="X181" s="488">
        <f>Y181</f>
        <v>1450</v>
      </c>
      <c r="Y181" s="1033">
        <v>1450</v>
      </c>
      <c r="Z181" s="1032">
        <f>AA181</f>
        <v>1449</v>
      </c>
      <c r="AA181" s="1032">
        <v>1449</v>
      </c>
      <c r="AB181" s="282"/>
      <c r="AC181" s="282"/>
      <c r="AD181" s="282"/>
      <c r="AE181" s="282"/>
      <c r="AF181" s="282"/>
      <c r="AG181" s="282"/>
      <c r="AH181" s="282"/>
      <c r="AI181" s="282"/>
      <c r="AJ181" s="282"/>
      <c r="AK181" s="282"/>
      <c r="AL181" s="25"/>
      <c r="AM181" s="1009">
        <f t="shared" si="40"/>
        <v>0</v>
      </c>
      <c r="AN181" s="1009">
        <f t="shared" si="41"/>
        <v>1</v>
      </c>
      <c r="AO181" s="144">
        <f t="shared" si="66"/>
        <v>1</v>
      </c>
    </row>
    <row r="182" spans="1:43" ht="34.5" hidden="1" x14ac:dyDescent="0.25">
      <c r="A182" s="1066" t="s">
        <v>85</v>
      </c>
      <c r="B182" s="1066"/>
      <c r="C182" s="51" t="s">
        <v>86</v>
      </c>
      <c r="D182" s="57"/>
      <c r="E182" s="57"/>
      <c r="F182" s="57"/>
      <c r="G182" s="57"/>
      <c r="H182" s="1017">
        <f t="shared" ref="H182:O182" si="70">H183+H216</f>
        <v>487247</v>
      </c>
      <c r="I182" s="1017">
        <f t="shared" si="70"/>
        <v>441455</v>
      </c>
      <c r="J182" s="1017">
        <f t="shared" si="70"/>
        <v>0</v>
      </c>
      <c r="K182" s="1017">
        <f t="shared" si="70"/>
        <v>0</v>
      </c>
      <c r="L182" s="1017">
        <f t="shared" si="70"/>
        <v>0</v>
      </c>
      <c r="M182" s="1017">
        <f t="shared" si="70"/>
        <v>0</v>
      </c>
      <c r="N182" s="1017">
        <f t="shared" si="70"/>
        <v>185630</v>
      </c>
      <c r="O182" s="1017">
        <f t="shared" si="70"/>
        <v>185630</v>
      </c>
      <c r="P182" s="1017">
        <f t="shared" ref="P182:Q182" si="71">P183</f>
        <v>187703</v>
      </c>
      <c r="Q182" s="1017">
        <f t="shared" si="71"/>
        <v>187703</v>
      </c>
      <c r="R182" s="1017">
        <f t="shared" ref="R182:AK182" si="72">R183</f>
        <v>40000</v>
      </c>
      <c r="S182" s="1017">
        <f t="shared" si="72"/>
        <v>40000</v>
      </c>
      <c r="T182" s="1017">
        <f t="shared" si="72"/>
        <v>185630</v>
      </c>
      <c r="U182" s="1017">
        <f t="shared" si="72"/>
        <v>185630</v>
      </c>
      <c r="V182" s="1017">
        <f>V183+V216</f>
        <v>119100</v>
      </c>
      <c r="W182" s="1017">
        <f>W183+W216</f>
        <v>23015</v>
      </c>
      <c r="X182" s="1017">
        <f>X183+X216</f>
        <v>282315</v>
      </c>
      <c r="Y182" s="1017">
        <f>Y183+Y216</f>
        <v>281715</v>
      </c>
      <c r="Z182" s="1017">
        <f t="shared" si="72"/>
        <v>0</v>
      </c>
      <c r="AA182" s="1017">
        <f t="shared" si="72"/>
        <v>0</v>
      </c>
      <c r="AB182" s="1017">
        <f t="shared" si="72"/>
        <v>0</v>
      </c>
      <c r="AC182" s="1017">
        <f t="shared" si="72"/>
        <v>0</v>
      </c>
      <c r="AD182" s="1016">
        <f t="shared" si="72"/>
        <v>0</v>
      </c>
      <c r="AE182" s="1016">
        <f t="shared" si="72"/>
        <v>0</v>
      </c>
      <c r="AF182" s="1016">
        <f t="shared" si="72"/>
        <v>0</v>
      </c>
      <c r="AG182" s="1016">
        <f t="shared" si="72"/>
        <v>0</v>
      </c>
      <c r="AH182" s="1016">
        <f t="shared" si="72"/>
        <v>0</v>
      </c>
      <c r="AI182" s="1016">
        <f t="shared" si="72"/>
        <v>0</v>
      </c>
      <c r="AJ182" s="1016">
        <f t="shared" si="72"/>
        <v>0</v>
      </c>
      <c r="AK182" s="1016">
        <f t="shared" si="72"/>
        <v>0</v>
      </c>
      <c r="AL182" s="59"/>
      <c r="AM182" s="1009">
        <f t="shared" si="40"/>
        <v>1</v>
      </c>
      <c r="AN182" s="1009">
        <f t="shared" si="41"/>
        <v>1</v>
      </c>
      <c r="AO182" s="144">
        <f t="shared" si="66"/>
        <v>1</v>
      </c>
    </row>
    <row r="183" spans="1:43" ht="51.75" hidden="1" x14ac:dyDescent="0.25">
      <c r="A183" s="50" t="s">
        <v>87</v>
      </c>
      <c r="B183" s="50"/>
      <c r="C183" s="51" t="s">
        <v>88</v>
      </c>
      <c r="D183" s="57"/>
      <c r="E183" s="57"/>
      <c r="F183" s="57"/>
      <c r="G183" s="57"/>
      <c r="H183" s="1017">
        <f t="shared" ref="H183:Y183" si="73">SUM(H184:H208)</f>
        <v>379544</v>
      </c>
      <c r="I183" s="1017">
        <f t="shared" si="73"/>
        <v>333752</v>
      </c>
      <c r="J183" s="1017">
        <f t="shared" si="73"/>
        <v>0</v>
      </c>
      <c r="K183" s="1017">
        <f t="shared" si="73"/>
        <v>0</v>
      </c>
      <c r="L183" s="1017">
        <f t="shared" si="73"/>
        <v>0</v>
      </c>
      <c r="M183" s="1017">
        <f t="shared" si="73"/>
        <v>0</v>
      </c>
      <c r="N183" s="1017">
        <f t="shared" si="73"/>
        <v>185630</v>
      </c>
      <c r="O183" s="1017">
        <f t="shared" si="73"/>
        <v>185630</v>
      </c>
      <c r="P183" s="1017">
        <f t="shared" si="73"/>
        <v>187703</v>
      </c>
      <c r="Q183" s="1017">
        <f t="shared" si="73"/>
        <v>187703</v>
      </c>
      <c r="R183" s="1017">
        <f t="shared" si="73"/>
        <v>40000</v>
      </c>
      <c r="S183" s="1017">
        <f t="shared" si="73"/>
        <v>40000</v>
      </c>
      <c r="T183" s="1017">
        <f t="shared" si="73"/>
        <v>185630</v>
      </c>
      <c r="U183" s="1017">
        <f t="shared" si="73"/>
        <v>185630</v>
      </c>
      <c r="V183" s="1017">
        <f t="shared" si="73"/>
        <v>78600</v>
      </c>
      <c r="W183" s="1017">
        <f t="shared" si="73"/>
        <v>23015</v>
      </c>
      <c r="X183" s="1017">
        <f t="shared" si="73"/>
        <v>241815</v>
      </c>
      <c r="Y183" s="1017">
        <f t="shared" si="73"/>
        <v>241215</v>
      </c>
      <c r="Z183" s="1017">
        <f t="shared" ref="Z183:AC183" si="74">SUM(Z198:Z202)</f>
        <v>0</v>
      </c>
      <c r="AA183" s="1017">
        <f t="shared" si="74"/>
        <v>0</v>
      </c>
      <c r="AB183" s="1017">
        <f t="shared" si="74"/>
        <v>0</v>
      </c>
      <c r="AC183" s="1017">
        <f t="shared" si="74"/>
        <v>0</v>
      </c>
      <c r="AD183" s="1016">
        <f t="shared" ref="AD183:AK183" si="75">SUM(AD184:AD202)</f>
        <v>0</v>
      </c>
      <c r="AE183" s="1016">
        <f t="shared" si="75"/>
        <v>0</v>
      </c>
      <c r="AF183" s="1016">
        <f t="shared" si="75"/>
        <v>0</v>
      </c>
      <c r="AG183" s="1016">
        <f t="shared" si="75"/>
        <v>0</v>
      </c>
      <c r="AH183" s="1016">
        <f t="shared" si="75"/>
        <v>0</v>
      </c>
      <c r="AI183" s="1016">
        <f t="shared" si="75"/>
        <v>0</v>
      </c>
      <c r="AJ183" s="1016">
        <f t="shared" si="75"/>
        <v>0</v>
      </c>
      <c r="AK183" s="1016">
        <f t="shared" si="75"/>
        <v>0</v>
      </c>
      <c r="AL183" s="59"/>
      <c r="AM183" s="1009">
        <f t="shared" si="40"/>
        <v>1</v>
      </c>
      <c r="AN183" s="1009">
        <f t="shared" si="41"/>
        <v>1</v>
      </c>
      <c r="AO183" s="144">
        <f t="shared" si="66"/>
        <v>1</v>
      </c>
      <c r="AQ183" s="144"/>
    </row>
    <row r="184" spans="1:43" ht="49.5" hidden="1" x14ac:dyDescent="0.25">
      <c r="A184" s="1037">
        <v>5</v>
      </c>
      <c r="B184" s="1037"/>
      <c r="C184" s="1023" t="s">
        <v>1696</v>
      </c>
      <c r="D184" s="1024" t="s">
        <v>1206</v>
      </c>
      <c r="E184" s="1037" t="s">
        <v>1666</v>
      </c>
      <c r="F184" s="1030" t="s">
        <v>199</v>
      </c>
      <c r="G184" s="118" t="s">
        <v>1695</v>
      </c>
      <c r="H184" s="1230">
        <v>538</v>
      </c>
      <c r="I184" s="1026">
        <f t="shared" ref="I184:I198" si="76">H184</f>
        <v>538</v>
      </c>
      <c r="J184" s="282"/>
      <c r="K184" s="282"/>
      <c r="L184" s="282"/>
      <c r="M184" s="282"/>
      <c r="N184" s="1031">
        <f>O184</f>
        <v>480</v>
      </c>
      <c r="O184" s="1031">
        <v>480</v>
      </c>
      <c r="P184" s="284">
        <v>480</v>
      </c>
      <c r="Q184" s="1032">
        <v>480</v>
      </c>
      <c r="R184" s="54"/>
      <c r="S184" s="54">
        <f t="shared" ref="S184:S198" si="77">O184-U184</f>
        <v>0</v>
      </c>
      <c r="T184" s="488">
        <v>480</v>
      </c>
      <c r="U184" s="1033">
        <v>480</v>
      </c>
      <c r="V184" s="54"/>
      <c r="W184" s="54"/>
      <c r="X184" s="488">
        <v>480</v>
      </c>
      <c r="Y184" s="1033">
        <v>480</v>
      </c>
      <c r="Z184" s="290">
        <v>480</v>
      </c>
      <c r="AA184" s="290">
        <v>480</v>
      </c>
      <c r="AB184" s="282"/>
      <c r="AC184" s="282"/>
      <c r="AD184" s="282"/>
      <c r="AE184" s="282"/>
      <c r="AF184" s="282"/>
      <c r="AG184" s="282"/>
      <c r="AH184" s="282"/>
      <c r="AI184" s="282"/>
      <c r="AJ184" s="282"/>
      <c r="AK184" s="282"/>
      <c r="AL184" s="25"/>
      <c r="AM184" s="1009">
        <f t="shared" si="40"/>
        <v>0</v>
      </c>
      <c r="AN184" s="1009">
        <f t="shared" si="41"/>
        <v>1</v>
      </c>
      <c r="AO184" s="144">
        <f t="shared" si="66"/>
        <v>1</v>
      </c>
    </row>
    <row r="185" spans="1:43" ht="66" hidden="1" x14ac:dyDescent="0.25">
      <c r="A185" s="1024">
        <v>6</v>
      </c>
      <c r="B185" s="1024"/>
      <c r="C185" s="91" t="s">
        <v>1694</v>
      </c>
      <c r="D185" s="1024" t="s">
        <v>1206</v>
      </c>
      <c r="E185" s="88" t="s">
        <v>1693</v>
      </c>
      <c r="F185" s="1030" t="s">
        <v>199</v>
      </c>
      <c r="G185" s="118" t="s">
        <v>1692</v>
      </c>
      <c r="H185" s="1035">
        <v>6689</v>
      </c>
      <c r="I185" s="1026">
        <f t="shared" si="76"/>
        <v>6689</v>
      </c>
      <c r="J185" s="282"/>
      <c r="K185" s="282"/>
      <c r="L185" s="282"/>
      <c r="M185" s="282"/>
      <c r="N185" s="1031">
        <f>O185</f>
        <v>5900</v>
      </c>
      <c r="O185" s="1031">
        <v>5900</v>
      </c>
      <c r="P185" s="284">
        <v>5900</v>
      </c>
      <c r="Q185" s="1032">
        <v>5900</v>
      </c>
      <c r="R185" s="54"/>
      <c r="S185" s="54">
        <f t="shared" si="77"/>
        <v>0</v>
      </c>
      <c r="T185" s="488">
        <v>5900</v>
      </c>
      <c r="U185" s="1033">
        <v>5900</v>
      </c>
      <c r="V185" s="54"/>
      <c r="W185" s="54"/>
      <c r="X185" s="488">
        <v>5900</v>
      </c>
      <c r="Y185" s="1033">
        <v>5900</v>
      </c>
      <c r="Z185" s="290">
        <v>5650</v>
      </c>
      <c r="AA185" s="290">
        <v>5650</v>
      </c>
      <c r="AB185" s="282"/>
      <c r="AC185" s="282"/>
      <c r="AD185" s="282"/>
      <c r="AE185" s="282"/>
      <c r="AF185" s="282"/>
      <c r="AG185" s="282"/>
      <c r="AH185" s="282"/>
      <c r="AI185" s="282"/>
      <c r="AJ185" s="282"/>
      <c r="AK185" s="282"/>
      <c r="AL185" s="25"/>
      <c r="AM185" s="1009">
        <f t="shared" si="40"/>
        <v>0</v>
      </c>
      <c r="AN185" s="1009">
        <f t="shared" si="41"/>
        <v>1</v>
      </c>
      <c r="AO185" s="144">
        <f t="shared" si="66"/>
        <v>1</v>
      </c>
    </row>
    <row r="186" spans="1:43" ht="49.5" hidden="1" x14ac:dyDescent="0.25">
      <c r="A186" s="1024">
        <v>7</v>
      </c>
      <c r="B186" s="1024"/>
      <c r="C186" s="91" t="s">
        <v>1691</v>
      </c>
      <c r="D186" s="1024" t="s">
        <v>1206</v>
      </c>
      <c r="E186" s="61" t="s">
        <v>1690</v>
      </c>
      <c r="F186" s="61" t="s">
        <v>199</v>
      </c>
      <c r="G186" s="61" t="s">
        <v>1689</v>
      </c>
      <c r="H186" s="80">
        <v>9864</v>
      </c>
      <c r="I186" s="1026">
        <f t="shared" si="76"/>
        <v>9864</v>
      </c>
      <c r="J186" s="282"/>
      <c r="K186" s="282"/>
      <c r="L186" s="282"/>
      <c r="M186" s="282"/>
      <c r="N186" s="1031">
        <v>8760</v>
      </c>
      <c r="O186" s="1031">
        <v>8760</v>
      </c>
      <c r="P186" s="284">
        <v>8760</v>
      </c>
      <c r="Q186" s="290">
        <v>8760</v>
      </c>
      <c r="R186" s="54"/>
      <c r="S186" s="54">
        <f t="shared" si="77"/>
        <v>0</v>
      </c>
      <c r="T186" s="488">
        <v>8760</v>
      </c>
      <c r="U186" s="488">
        <v>8760</v>
      </c>
      <c r="V186" s="54"/>
      <c r="W186" s="54"/>
      <c r="X186" s="488">
        <v>8760</v>
      </c>
      <c r="Y186" s="488">
        <v>8760</v>
      </c>
      <c r="Z186" s="290">
        <v>8400</v>
      </c>
      <c r="AA186" s="290">
        <v>8400</v>
      </c>
      <c r="AB186" s="282"/>
      <c r="AC186" s="282"/>
      <c r="AD186" s="282"/>
      <c r="AE186" s="282"/>
      <c r="AF186" s="282"/>
      <c r="AG186" s="282"/>
      <c r="AH186" s="282"/>
      <c r="AI186" s="282"/>
      <c r="AJ186" s="282"/>
      <c r="AK186" s="282"/>
      <c r="AL186" s="25"/>
      <c r="AM186" s="1009">
        <f t="shared" si="40"/>
        <v>0</v>
      </c>
      <c r="AN186" s="1009">
        <f t="shared" si="41"/>
        <v>1</v>
      </c>
      <c r="AO186" s="144">
        <f t="shared" si="66"/>
        <v>1</v>
      </c>
    </row>
    <row r="187" spans="1:43" s="1316" customFormat="1" ht="49.5" hidden="1" x14ac:dyDescent="0.25">
      <c r="A187" s="1191">
        <v>8</v>
      </c>
      <c r="B187" s="1191">
        <v>1</v>
      </c>
      <c r="C187" s="1205" t="s">
        <v>1688</v>
      </c>
      <c r="D187" s="1024" t="s">
        <v>1206</v>
      </c>
      <c r="E187" s="1206" t="s">
        <v>1687</v>
      </c>
      <c r="F187" s="1184" t="s">
        <v>199</v>
      </c>
      <c r="G187" s="1184" t="s">
        <v>1686</v>
      </c>
      <c r="H187" s="1186">
        <v>4475</v>
      </c>
      <c r="I187" s="1178">
        <f t="shared" si="76"/>
        <v>4475</v>
      </c>
      <c r="J187" s="1179"/>
      <c r="K187" s="1179"/>
      <c r="L187" s="1179"/>
      <c r="M187" s="1179"/>
      <c r="N187" s="1194">
        <f t="shared" ref="N187:N202" si="78">O187</f>
        <v>3800</v>
      </c>
      <c r="O187" s="1194">
        <v>3800</v>
      </c>
      <c r="P187" s="1207">
        <v>3800</v>
      </c>
      <c r="Q187" s="1201">
        <v>3800</v>
      </c>
      <c r="R187" s="1185"/>
      <c r="S187" s="1185">
        <f t="shared" si="77"/>
        <v>0</v>
      </c>
      <c r="T187" s="1181">
        <v>3800</v>
      </c>
      <c r="U187" s="1181">
        <v>3800</v>
      </c>
      <c r="V187" s="1185"/>
      <c r="W187" s="1185">
        <v>35</v>
      </c>
      <c r="X187" s="1181">
        <f>Y187</f>
        <v>3765</v>
      </c>
      <c r="Y187" s="1181">
        <f>U187-W187</f>
        <v>3765</v>
      </c>
      <c r="Z187" s="1201">
        <v>3800</v>
      </c>
      <c r="AA187" s="1201">
        <v>3800</v>
      </c>
      <c r="AB187" s="1179"/>
      <c r="AC187" s="1179"/>
      <c r="AD187" s="1179"/>
      <c r="AE187" s="1179"/>
      <c r="AF187" s="1179"/>
      <c r="AG187" s="1179"/>
      <c r="AH187" s="1179"/>
      <c r="AI187" s="1179"/>
      <c r="AJ187" s="1179"/>
      <c r="AK187" s="1179"/>
      <c r="AL187" s="1198"/>
      <c r="AM187" s="1182">
        <f t="shared" si="40"/>
        <v>1</v>
      </c>
      <c r="AN187" s="1182">
        <f t="shared" si="41"/>
        <v>1</v>
      </c>
      <c r="AO187" s="144">
        <f t="shared" si="66"/>
        <v>1</v>
      </c>
    </row>
    <row r="188" spans="1:43" ht="49.5" hidden="1" x14ac:dyDescent="0.25">
      <c r="A188" s="1024">
        <v>9</v>
      </c>
      <c r="B188" s="1024"/>
      <c r="C188" s="91" t="s">
        <v>1685</v>
      </c>
      <c r="D188" s="1024" t="s">
        <v>1206</v>
      </c>
      <c r="E188" s="118" t="s">
        <v>1684</v>
      </c>
      <c r="F188" s="61" t="s">
        <v>199</v>
      </c>
      <c r="G188" s="61" t="s">
        <v>1683</v>
      </c>
      <c r="H188" s="80">
        <v>8281</v>
      </c>
      <c r="I188" s="1026">
        <f t="shared" si="76"/>
        <v>8281</v>
      </c>
      <c r="J188" s="282"/>
      <c r="K188" s="282"/>
      <c r="L188" s="282"/>
      <c r="M188" s="282"/>
      <c r="N188" s="1031">
        <f t="shared" si="78"/>
        <v>7300</v>
      </c>
      <c r="O188" s="1031">
        <v>7300</v>
      </c>
      <c r="P188" s="284">
        <v>7300</v>
      </c>
      <c r="Q188" s="290">
        <v>7300</v>
      </c>
      <c r="R188" s="54"/>
      <c r="S188" s="54">
        <f t="shared" si="77"/>
        <v>0</v>
      </c>
      <c r="T188" s="488">
        <v>7300</v>
      </c>
      <c r="U188" s="488">
        <v>7300</v>
      </c>
      <c r="V188" s="54"/>
      <c r="W188" s="54"/>
      <c r="X188" s="488">
        <v>7300</v>
      </c>
      <c r="Y188" s="488">
        <v>7300</v>
      </c>
      <c r="Z188" s="290">
        <v>7300</v>
      </c>
      <c r="AA188" s="290">
        <v>7300</v>
      </c>
      <c r="AB188" s="282"/>
      <c r="AC188" s="282"/>
      <c r="AD188" s="282"/>
      <c r="AE188" s="282"/>
      <c r="AF188" s="282"/>
      <c r="AG188" s="282"/>
      <c r="AH188" s="282"/>
      <c r="AI188" s="282"/>
      <c r="AJ188" s="282"/>
      <c r="AK188" s="282"/>
      <c r="AL188" s="69"/>
      <c r="AM188" s="1009">
        <f t="shared" si="40"/>
        <v>0</v>
      </c>
      <c r="AN188" s="1009">
        <f t="shared" si="41"/>
        <v>1</v>
      </c>
      <c r="AO188" s="144">
        <f t="shared" si="66"/>
        <v>1</v>
      </c>
    </row>
    <row r="189" spans="1:43" ht="49.5" hidden="1" x14ac:dyDescent="0.25">
      <c r="A189" s="1024">
        <v>10</v>
      </c>
      <c r="B189" s="1024"/>
      <c r="C189" s="1231" t="s">
        <v>1682</v>
      </c>
      <c r="D189" s="1024" t="s">
        <v>1206</v>
      </c>
      <c r="E189" s="118" t="s">
        <v>1681</v>
      </c>
      <c r="F189" s="61" t="s">
        <v>199</v>
      </c>
      <c r="G189" s="61" t="s">
        <v>1680</v>
      </c>
      <c r="H189" s="75">
        <v>1823</v>
      </c>
      <c r="I189" s="1026">
        <f t="shared" si="76"/>
        <v>1823</v>
      </c>
      <c r="J189" s="282"/>
      <c r="K189" s="282"/>
      <c r="L189" s="282"/>
      <c r="M189" s="282"/>
      <c r="N189" s="1031">
        <f t="shared" si="78"/>
        <v>1550</v>
      </c>
      <c r="O189" s="1031">
        <v>1550</v>
      </c>
      <c r="P189" s="284">
        <v>1550</v>
      </c>
      <c r="Q189" s="290">
        <v>1550</v>
      </c>
      <c r="R189" s="54"/>
      <c r="S189" s="54">
        <f t="shared" si="77"/>
        <v>0</v>
      </c>
      <c r="T189" s="488">
        <v>1550</v>
      </c>
      <c r="U189" s="488">
        <v>1550</v>
      </c>
      <c r="V189" s="54"/>
      <c r="W189" s="54"/>
      <c r="X189" s="488">
        <v>1550</v>
      </c>
      <c r="Y189" s="488">
        <v>1550</v>
      </c>
      <c r="Z189" s="290">
        <v>1550</v>
      </c>
      <c r="AA189" s="290">
        <v>1550</v>
      </c>
      <c r="AB189" s="282"/>
      <c r="AC189" s="282"/>
      <c r="AD189" s="282"/>
      <c r="AE189" s="282"/>
      <c r="AF189" s="282"/>
      <c r="AG189" s="282"/>
      <c r="AH189" s="282"/>
      <c r="AI189" s="282"/>
      <c r="AJ189" s="282"/>
      <c r="AK189" s="282"/>
      <c r="AL189" s="25"/>
      <c r="AM189" s="1009">
        <f t="shared" si="40"/>
        <v>0</v>
      </c>
      <c r="AN189" s="1009">
        <f t="shared" si="41"/>
        <v>1</v>
      </c>
      <c r="AO189" s="144">
        <f t="shared" si="66"/>
        <v>1</v>
      </c>
    </row>
    <row r="190" spans="1:43" s="1316" customFormat="1" ht="49.5" hidden="1" x14ac:dyDescent="0.25">
      <c r="A190" s="1191">
        <v>11</v>
      </c>
      <c r="B190" s="1191">
        <v>2</v>
      </c>
      <c r="C190" s="1205" t="s">
        <v>1679</v>
      </c>
      <c r="D190" s="1024" t="s">
        <v>1206</v>
      </c>
      <c r="E190" s="1208" t="s">
        <v>1678</v>
      </c>
      <c r="F190" s="1184" t="s">
        <v>199</v>
      </c>
      <c r="G190" s="1184" t="s">
        <v>1677</v>
      </c>
      <c r="H190" s="1209">
        <v>333</v>
      </c>
      <c r="I190" s="1178">
        <f t="shared" si="76"/>
        <v>333</v>
      </c>
      <c r="J190" s="1179"/>
      <c r="K190" s="1179"/>
      <c r="L190" s="1179"/>
      <c r="M190" s="1179"/>
      <c r="N190" s="1194">
        <f t="shared" si="78"/>
        <v>290</v>
      </c>
      <c r="O190" s="1194">
        <v>290</v>
      </c>
      <c r="P190" s="1207">
        <v>290</v>
      </c>
      <c r="Q190" s="1201">
        <v>290</v>
      </c>
      <c r="R190" s="1185"/>
      <c r="S190" s="1185">
        <f t="shared" si="77"/>
        <v>0</v>
      </c>
      <c r="T190" s="1181">
        <v>290</v>
      </c>
      <c r="U190" s="1181">
        <v>290</v>
      </c>
      <c r="V190" s="1185"/>
      <c r="W190" s="1185">
        <v>8</v>
      </c>
      <c r="X190" s="1181">
        <f>Y190</f>
        <v>282</v>
      </c>
      <c r="Y190" s="1181">
        <f>U190-W190</f>
        <v>282</v>
      </c>
      <c r="Z190" s="1201">
        <v>290</v>
      </c>
      <c r="AA190" s="1201">
        <v>290</v>
      </c>
      <c r="AB190" s="1179"/>
      <c r="AC190" s="1179"/>
      <c r="AD190" s="1179"/>
      <c r="AE190" s="1179"/>
      <c r="AF190" s="1179"/>
      <c r="AG190" s="1179"/>
      <c r="AH190" s="1179"/>
      <c r="AI190" s="1179"/>
      <c r="AJ190" s="1179"/>
      <c r="AK190" s="1179"/>
      <c r="AL190" s="1198"/>
      <c r="AM190" s="1182">
        <f t="shared" si="40"/>
        <v>1</v>
      </c>
      <c r="AN190" s="1182">
        <f t="shared" si="41"/>
        <v>1</v>
      </c>
      <c r="AO190" s="144">
        <f t="shared" si="66"/>
        <v>1</v>
      </c>
    </row>
    <row r="191" spans="1:43" s="1316" customFormat="1" ht="49.5" hidden="1" x14ac:dyDescent="0.25">
      <c r="A191" s="1191">
        <v>12</v>
      </c>
      <c r="B191" s="1191">
        <v>3</v>
      </c>
      <c r="C191" s="1205" t="s">
        <v>1676</v>
      </c>
      <c r="D191" s="1024" t="s">
        <v>1206</v>
      </c>
      <c r="E191" s="1208" t="s">
        <v>1675</v>
      </c>
      <c r="F191" s="1184" t="s">
        <v>199</v>
      </c>
      <c r="G191" s="1184" t="s">
        <v>1674</v>
      </c>
      <c r="H191" s="1209">
        <v>1716</v>
      </c>
      <c r="I191" s="1178">
        <f t="shared" si="76"/>
        <v>1716</v>
      </c>
      <c r="J191" s="1179"/>
      <c r="K191" s="1179"/>
      <c r="L191" s="1179"/>
      <c r="M191" s="1179"/>
      <c r="N191" s="1194">
        <f t="shared" si="78"/>
        <v>1570</v>
      </c>
      <c r="O191" s="1194">
        <v>1570</v>
      </c>
      <c r="P191" s="1207">
        <v>1570</v>
      </c>
      <c r="Q191" s="1201">
        <v>1570</v>
      </c>
      <c r="R191" s="1185"/>
      <c r="S191" s="1185">
        <f t="shared" si="77"/>
        <v>0</v>
      </c>
      <c r="T191" s="1181">
        <v>1570</v>
      </c>
      <c r="U191" s="1181">
        <v>1570</v>
      </c>
      <c r="V191" s="1185"/>
      <c r="W191" s="1185">
        <v>271</v>
      </c>
      <c r="X191" s="1204">
        <f t="shared" ref="X191:X192" si="79">Y191</f>
        <v>1299</v>
      </c>
      <c r="Y191" s="1204">
        <f t="shared" ref="Y191:Y192" si="80">U191-W191</f>
        <v>1299</v>
      </c>
      <c r="Z191" s="1201">
        <v>1570</v>
      </c>
      <c r="AA191" s="1201">
        <v>1570</v>
      </c>
      <c r="AB191" s="1179"/>
      <c r="AC191" s="1179"/>
      <c r="AD191" s="1179"/>
      <c r="AE191" s="1179"/>
      <c r="AF191" s="1179"/>
      <c r="AG191" s="1179"/>
      <c r="AH191" s="1179"/>
      <c r="AI191" s="1179"/>
      <c r="AJ191" s="1179"/>
      <c r="AK191" s="1179"/>
      <c r="AL191" s="1198"/>
      <c r="AM191" s="1182">
        <f t="shared" si="40"/>
        <v>1</v>
      </c>
      <c r="AN191" s="1182">
        <f t="shared" si="41"/>
        <v>1</v>
      </c>
      <c r="AO191" s="144">
        <f t="shared" si="66"/>
        <v>1</v>
      </c>
    </row>
    <row r="192" spans="1:43" s="1316" customFormat="1" ht="49.5" hidden="1" x14ac:dyDescent="0.25">
      <c r="A192" s="1191">
        <v>13</v>
      </c>
      <c r="B192" s="1191">
        <v>4</v>
      </c>
      <c r="C192" s="1205" t="s">
        <v>1673</v>
      </c>
      <c r="D192" s="1024" t="s">
        <v>1206</v>
      </c>
      <c r="E192" s="1208" t="s">
        <v>1672</v>
      </c>
      <c r="F192" s="1184" t="s">
        <v>199</v>
      </c>
      <c r="G192" s="1184" t="s">
        <v>1671</v>
      </c>
      <c r="H192" s="1209">
        <v>1307</v>
      </c>
      <c r="I192" s="1178">
        <f t="shared" si="76"/>
        <v>1307</v>
      </c>
      <c r="J192" s="1179"/>
      <c r="K192" s="1179"/>
      <c r="L192" s="1179"/>
      <c r="M192" s="1179"/>
      <c r="N192" s="1194">
        <f t="shared" si="78"/>
        <v>1180</v>
      </c>
      <c r="O192" s="1194">
        <v>1180</v>
      </c>
      <c r="P192" s="1207">
        <v>1180</v>
      </c>
      <c r="Q192" s="1201">
        <v>1180</v>
      </c>
      <c r="R192" s="1185"/>
      <c r="S192" s="1185">
        <f t="shared" si="77"/>
        <v>0</v>
      </c>
      <c r="T192" s="1181">
        <v>1180</v>
      </c>
      <c r="U192" s="1181">
        <v>1180</v>
      </c>
      <c r="V192" s="1185"/>
      <c r="W192" s="1185">
        <v>113</v>
      </c>
      <c r="X192" s="1204">
        <f t="shared" si="79"/>
        <v>1067</v>
      </c>
      <c r="Y192" s="1204">
        <f t="shared" si="80"/>
        <v>1067</v>
      </c>
      <c r="Z192" s="1201">
        <v>1140</v>
      </c>
      <c r="AA192" s="1201">
        <v>1140</v>
      </c>
      <c r="AB192" s="1179"/>
      <c r="AC192" s="1179"/>
      <c r="AD192" s="1179"/>
      <c r="AE192" s="1179"/>
      <c r="AF192" s="1179"/>
      <c r="AG192" s="1179"/>
      <c r="AH192" s="1179"/>
      <c r="AI192" s="1179"/>
      <c r="AJ192" s="1179"/>
      <c r="AK192" s="1179"/>
      <c r="AL192" s="1198"/>
      <c r="AM192" s="1182">
        <f t="shared" si="40"/>
        <v>1</v>
      </c>
      <c r="AN192" s="1182">
        <f t="shared" si="41"/>
        <v>1</v>
      </c>
      <c r="AO192" s="144">
        <f t="shared" si="66"/>
        <v>1</v>
      </c>
    </row>
    <row r="193" spans="1:41 16367:16379" ht="49.5" hidden="1" x14ac:dyDescent="0.25">
      <c r="A193" s="1024">
        <v>14</v>
      </c>
      <c r="B193" s="1024"/>
      <c r="C193" s="91" t="s">
        <v>1670</v>
      </c>
      <c r="D193" s="1024" t="s">
        <v>1206</v>
      </c>
      <c r="E193" s="70" t="s">
        <v>1669</v>
      </c>
      <c r="F193" s="61" t="s">
        <v>199</v>
      </c>
      <c r="G193" s="61" t="s">
        <v>1668</v>
      </c>
      <c r="H193" s="75">
        <v>418</v>
      </c>
      <c r="I193" s="1026">
        <f t="shared" si="76"/>
        <v>418</v>
      </c>
      <c r="J193" s="282"/>
      <c r="K193" s="282"/>
      <c r="L193" s="282"/>
      <c r="M193" s="282"/>
      <c r="N193" s="1031">
        <f t="shared" si="78"/>
        <v>370</v>
      </c>
      <c r="O193" s="1031">
        <v>370</v>
      </c>
      <c r="P193" s="284">
        <v>370</v>
      </c>
      <c r="Q193" s="290">
        <v>370</v>
      </c>
      <c r="R193" s="54"/>
      <c r="S193" s="54">
        <f t="shared" si="77"/>
        <v>0</v>
      </c>
      <c r="T193" s="488">
        <v>370</v>
      </c>
      <c r="U193" s="488">
        <v>370</v>
      </c>
      <c r="V193" s="54"/>
      <c r="W193" s="54"/>
      <c r="X193" s="488">
        <v>370</v>
      </c>
      <c r="Y193" s="488">
        <v>370</v>
      </c>
      <c r="Z193" s="290">
        <f>AA193</f>
        <v>365</v>
      </c>
      <c r="AA193" s="290">
        <v>365</v>
      </c>
      <c r="AB193" s="282"/>
      <c r="AC193" s="282"/>
      <c r="AD193" s="282"/>
      <c r="AE193" s="282"/>
      <c r="AF193" s="282"/>
      <c r="AG193" s="282"/>
      <c r="AH193" s="282"/>
      <c r="AI193" s="282"/>
      <c r="AJ193" s="282"/>
      <c r="AK193" s="282"/>
      <c r="AL193" s="25"/>
      <c r="AM193" s="1009">
        <f t="shared" si="40"/>
        <v>0</v>
      </c>
      <c r="AN193" s="1009">
        <f t="shared" si="41"/>
        <v>1</v>
      </c>
      <c r="AO193" s="144">
        <f t="shared" si="66"/>
        <v>1</v>
      </c>
    </row>
    <row r="194" spans="1:41 16367:16379" ht="49.5" hidden="1" x14ac:dyDescent="0.25">
      <c r="A194" s="1024">
        <v>15</v>
      </c>
      <c r="B194" s="1024"/>
      <c r="C194" s="91" t="s">
        <v>1667</v>
      </c>
      <c r="D194" s="1024" t="s">
        <v>1206</v>
      </c>
      <c r="E194" s="70" t="s">
        <v>1666</v>
      </c>
      <c r="F194" s="61" t="s">
        <v>199</v>
      </c>
      <c r="G194" s="61" t="s">
        <v>1665</v>
      </c>
      <c r="H194" s="75">
        <v>379</v>
      </c>
      <c r="I194" s="1026">
        <f t="shared" si="76"/>
        <v>379</v>
      </c>
      <c r="J194" s="282"/>
      <c r="K194" s="282"/>
      <c r="L194" s="282"/>
      <c r="M194" s="282"/>
      <c r="N194" s="1031">
        <f t="shared" si="78"/>
        <v>330</v>
      </c>
      <c r="O194" s="1031">
        <v>330</v>
      </c>
      <c r="P194" s="284">
        <v>330</v>
      </c>
      <c r="Q194" s="1023">
        <v>330</v>
      </c>
      <c r="R194" s="54"/>
      <c r="S194" s="54">
        <f t="shared" si="77"/>
        <v>0</v>
      </c>
      <c r="T194" s="488">
        <v>330</v>
      </c>
      <c r="U194" s="1036">
        <v>330</v>
      </c>
      <c r="V194" s="54"/>
      <c r="W194" s="54"/>
      <c r="X194" s="488">
        <v>330</v>
      </c>
      <c r="Y194" s="1036">
        <v>330</v>
      </c>
      <c r="Z194" s="290">
        <v>330</v>
      </c>
      <c r="AA194" s="290">
        <v>330</v>
      </c>
      <c r="AB194" s="282"/>
      <c r="AC194" s="282"/>
      <c r="AD194" s="282"/>
      <c r="AE194" s="282"/>
      <c r="AF194" s="282"/>
      <c r="AG194" s="282"/>
      <c r="AH194" s="282"/>
      <c r="AI194" s="282"/>
      <c r="AJ194" s="282"/>
      <c r="AK194" s="282"/>
      <c r="AL194" s="25"/>
      <c r="AM194" s="1009">
        <f t="shared" si="40"/>
        <v>0</v>
      </c>
      <c r="AN194" s="1009">
        <f t="shared" si="41"/>
        <v>1</v>
      </c>
      <c r="AO194" s="144">
        <f t="shared" si="66"/>
        <v>1</v>
      </c>
    </row>
    <row r="195" spans="1:41 16367:16379" ht="94.5" hidden="1" customHeight="1" x14ac:dyDescent="0.25">
      <c r="A195" s="1037">
        <v>16</v>
      </c>
      <c r="B195" s="1037"/>
      <c r="C195" s="1038" t="s">
        <v>1664</v>
      </c>
      <c r="D195" s="1024" t="s">
        <v>1206</v>
      </c>
      <c r="E195" s="1039" t="s">
        <v>2523</v>
      </c>
      <c r="F195" s="61" t="s">
        <v>109</v>
      </c>
      <c r="G195" s="61" t="s">
        <v>1662</v>
      </c>
      <c r="H195" s="1040">
        <v>13052</v>
      </c>
      <c r="I195" s="1026">
        <f t="shared" si="76"/>
        <v>13052</v>
      </c>
      <c r="J195" s="1017"/>
      <c r="K195" s="1017"/>
      <c r="L195" s="1017"/>
      <c r="M195" s="1017"/>
      <c r="N195" s="1031">
        <f t="shared" si="78"/>
        <v>11700</v>
      </c>
      <c r="O195" s="1031">
        <v>11700</v>
      </c>
      <c r="P195" s="284">
        <v>11700</v>
      </c>
      <c r="Q195" s="284">
        <v>11700</v>
      </c>
      <c r="R195" s="54"/>
      <c r="S195" s="54">
        <f t="shared" si="77"/>
        <v>0</v>
      </c>
      <c r="T195" s="488">
        <v>11700</v>
      </c>
      <c r="U195" s="488">
        <v>11700</v>
      </c>
      <c r="V195" s="54"/>
      <c r="W195" s="54"/>
      <c r="X195" s="488">
        <v>11700</v>
      </c>
      <c r="Y195" s="488">
        <v>11700</v>
      </c>
      <c r="Z195" s="290"/>
      <c r="AA195" s="290"/>
      <c r="AB195" s="284">
        <v>8974</v>
      </c>
      <c r="AC195" s="284">
        <v>8974</v>
      </c>
      <c r="AD195" s="288"/>
      <c r="AE195" s="288"/>
      <c r="AF195" s="288"/>
      <c r="AG195" s="288"/>
      <c r="AH195" s="288"/>
      <c r="AI195" s="288"/>
      <c r="AJ195" s="288"/>
      <c r="AK195" s="288"/>
      <c r="AL195" s="59"/>
      <c r="AM195" s="1009">
        <f t="shared" si="40"/>
        <v>0</v>
      </c>
      <c r="AN195" s="1009">
        <f t="shared" si="41"/>
        <v>1</v>
      </c>
      <c r="AO195" s="144">
        <f t="shared" si="66"/>
        <v>1</v>
      </c>
    </row>
    <row r="196" spans="1:41 16367:16379" s="1316" customFormat="1" ht="72.75" hidden="1" customHeight="1" x14ac:dyDescent="0.25">
      <c r="A196" s="1190">
        <v>17</v>
      </c>
      <c r="B196" s="1190">
        <v>5</v>
      </c>
      <c r="C196" s="1199" t="s">
        <v>1661</v>
      </c>
      <c r="D196" s="1024" t="s">
        <v>1206</v>
      </c>
      <c r="E196" s="1192" t="s">
        <v>1660</v>
      </c>
      <c r="F196" s="1184" t="s">
        <v>109</v>
      </c>
      <c r="G196" s="1184" t="s">
        <v>1659</v>
      </c>
      <c r="H196" s="1193">
        <v>14817</v>
      </c>
      <c r="I196" s="1178">
        <f t="shared" si="76"/>
        <v>14817</v>
      </c>
      <c r="J196" s="1232"/>
      <c r="K196" s="1232"/>
      <c r="L196" s="1232"/>
      <c r="M196" s="1232"/>
      <c r="N196" s="1194">
        <f t="shared" si="78"/>
        <v>13300</v>
      </c>
      <c r="O196" s="1194">
        <v>13300</v>
      </c>
      <c r="P196" s="1203">
        <v>13300</v>
      </c>
      <c r="Q196" s="1203">
        <v>13300</v>
      </c>
      <c r="R196" s="1185"/>
      <c r="S196" s="1185">
        <f t="shared" si="77"/>
        <v>0</v>
      </c>
      <c r="T196" s="1204">
        <v>13300</v>
      </c>
      <c r="U196" s="1204">
        <v>13300</v>
      </c>
      <c r="V196" s="1185"/>
      <c r="W196" s="1185">
        <v>694</v>
      </c>
      <c r="X196" s="1204">
        <f>Y196</f>
        <v>12606</v>
      </c>
      <c r="Y196" s="1204">
        <f>U196-W196</f>
        <v>12606</v>
      </c>
      <c r="Z196" s="1197"/>
      <c r="AA196" s="1197"/>
      <c r="AB196" s="1207">
        <v>10189</v>
      </c>
      <c r="AC196" s="1207">
        <v>10189</v>
      </c>
      <c r="AD196" s="1197"/>
      <c r="AE196" s="1197"/>
      <c r="AF196" s="1197"/>
      <c r="AG196" s="1197"/>
      <c r="AH196" s="1197"/>
      <c r="AI196" s="1197"/>
      <c r="AJ196" s="1197"/>
      <c r="AK196" s="1197"/>
      <c r="AL196" s="1233"/>
      <c r="AM196" s="1182">
        <f t="shared" si="40"/>
        <v>1</v>
      </c>
      <c r="AN196" s="1182">
        <f t="shared" si="41"/>
        <v>1</v>
      </c>
      <c r="AO196" s="144">
        <f t="shared" si="66"/>
        <v>1</v>
      </c>
    </row>
    <row r="197" spans="1:41 16367:16379" ht="49.5" hidden="1" x14ac:dyDescent="0.25">
      <c r="A197" s="1037">
        <v>18</v>
      </c>
      <c r="B197" s="1037">
        <v>6</v>
      </c>
      <c r="C197" s="1038" t="s">
        <v>1658</v>
      </c>
      <c r="D197" s="1024" t="s">
        <v>1206</v>
      </c>
      <c r="E197" s="1039"/>
      <c r="F197" s="61" t="s">
        <v>109</v>
      </c>
      <c r="G197" s="61" t="s">
        <v>1657</v>
      </c>
      <c r="H197" s="1040">
        <v>12800</v>
      </c>
      <c r="I197" s="1026">
        <f t="shared" si="76"/>
        <v>12800</v>
      </c>
      <c r="J197" s="1028"/>
      <c r="K197" s="1028"/>
      <c r="L197" s="1028"/>
      <c r="M197" s="1028"/>
      <c r="N197" s="1031">
        <f t="shared" si="78"/>
        <v>11800</v>
      </c>
      <c r="O197" s="1031">
        <v>11800</v>
      </c>
      <c r="P197" s="1041">
        <v>11800</v>
      </c>
      <c r="Q197" s="1041">
        <v>11800</v>
      </c>
      <c r="R197" s="54"/>
      <c r="S197" s="54">
        <f t="shared" si="77"/>
        <v>0</v>
      </c>
      <c r="T197" s="1095">
        <v>11800</v>
      </c>
      <c r="U197" s="1095">
        <v>11800</v>
      </c>
      <c r="V197" s="54"/>
      <c r="W197" s="54">
        <v>893</v>
      </c>
      <c r="X197" s="1095">
        <f>Y197</f>
        <v>10907</v>
      </c>
      <c r="Y197" s="1095">
        <f>U197-W197</f>
        <v>10907</v>
      </c>
      <c r="Z197" s="288"/>
      <c r="AA197" s="288"/>
      <c r="AB197" s="284">
        <v>11637</v>
      </c>
      <c r="AC197" s="284">
        <v>11637</v>
      </c>
      <c r="AD197" s="288"/>
      <c r="AE197" s="288"/>
      <c r="AF197" s="288"/>
      <c r="AG197" s="288"/>
      <c r="AH197" s="288"/>
      <c r="AI197" s="288"/>
      <c r="AJ197" s="288"/>
      <c r="AK197" s="288"/>
      <c r="AL197" s="27"/>
      <c r="AM197" s="1009">
        <f t="shared" si="40"/>
        <v>1</v>
      </c>
      <c r="AN197" s="1009">
        <f t="shared" si="41"/>
        <v>1</v>
      </c>
      <c r="AO197" s="144">
        <f t="shared" si="66"/>
        <v>1</v>
      </c>
    </row>
    <row r="198" spans="1:41 16367:16379" ht="33" hidden="1" x14ac:dyDescent="0.25">
      <c r="A198" s="1037">
        <v>19</v>
      </c>
      <c r="B198" s="1037"/>
      <c r="C198" s="1038" t="s">
        <v>1656</v>
      </c>
      <c r="D198" s="1024" t="s">
        <v>1206</v>
      </c>
      <c r="E198" s="1039" t="s">
        <v>1655</v>
      </c>
      <c r="F198" s="61" t="s">
        <v>109</v>
      </c>
      <c r="G198" s="61"/>
      <c r="H198" s="1040">
        <v>14560</v>
      </c>
      <c r="I198" s="1026">
        <f t="shared" si="76"/>
        <v>14560</v>
      </c>
      <c r="J198" s="1017"/>
      <c r="K198" s="1017"/>
      <c r="L198" s="1017"/>
      <c r="M198" s="1017"/>
      <c r="N198" s="1031">
        <f t="shared" si="78"/>
        <v>13000</v>
      </c>
      <c r="O198" s="1031">
        <v>13000</v>
      </c>
      <c r="P198" s="283"/>
      <c r="Q198" s="283"/>
      <c r="R198" s="54"/>
      <c r="S198" s="54">
        <f t="shared" si="77"/>
        <v>13000</v>
      </c>
      <c r="T198" s="487"/>
      <c r="U198" s="487"/>
      <c r="V198" s="54"/>
      <c r="W198" s="54"/>
      <c r="X198" s="487"/>
      <c r="Y198" s="487"/>
      <c r="Z198" s="288"/>
      <c r="AA198" s="288"/>
      <c r="AB198" s="288"/>
      <c r="AC198" s="288"/>
      <c r="AD198" s="288"/>
      <c r="AE198" s="288"/>
      <c r="AF198" s="288"/>
      <c r="AG198" s="288"/>
      <c r="AH198" s="288"/>
      <c r="AI198" s="288"/>
      <c r="AJ198" s="288"/>
      <c r="AK198" s="288"/>
      <c r="AL198" s="25"/>
      <c r="AM198" s="1009">
        <f t="shared" si="40"/>
        <v>0</v>
      </c>
      <c r="AN198" s="1009">
        <f t="shared" si="41"/>
        <v>0</v>
      </c>
      <c r="AO198" s="144">
        <f t="shared" si="66"/>
        <v>1</v>
      </c>
    </row>
    <row r="199" spans="1:41 16367:16379" ht="99" hidden="1" x14ac:dyDescent="0.25">
      <c r="A199" s="1037">
        <v>20</v>
      </c>
      <c r="B199" s="1037">
        <v>7</v>
      </c>
      <c r="C199" s="1038" t="s">
        <v>1654</v>
      </c>
      <c r="D199" s="1024" t="s">
        <v>1206</v>
      </c>
      <c r="E199" s="1039" t="s">
        <v>2351</v>
      </c>
      <c r="F199" s="61" t="s">
        <v>248</v>
      </c>
      <c r="G199" s="61" t="s">
        <v>2349</v>
      </c>
      <c r="H199" s="1040">
        <f>I199</f>
        <v>83800</v>
      </c>
      <c r="I199" s="1026">
        <v>83800</v>
      </c>
      <c r="J199" s="1017"/>
      <c r="K199" s="1017"/>
      <c r="L199" s="1017"/>
      <c r="M199" s="1017"/>
      <c r="N199" s="1031">
        <f t="shared" si="78"/>
        <v>68200</v>
      </c>
      <c r="O199" s="1031">
        <f>71400-3200</f>
        <v>68200</v>
      </c>
      <c r="P199" s="1041">
        <f>Q199</f>
        <v>82300</v>
      </c>
      <c r="Q199" s="1041">
        <v>82300</v>
      </c>
      <c r="R199" s="54">
        <f>U199-O199</f>
        <v>14100</v>
      </c>
      <c r="S199" s="54"/>
      <c r="T199" s="1095">
        <f>U199</f>
        <v>82300</v>
      </c>
      <c r="U199" s="1095">
        <v>82300</v>
      </c>
      <c r="V199" s="54"/>
      <c r="W199" s="54">
        <v>21001</v>
      </c>
      <c r="X199" s="1095">
        <f>Y199</f>
        <v>61299</v>
      </c>
      <c r="Y199" s="1095">
        <f>U199-W199</f>
        <v>61299</v>
      </c>
      <c r="Z199" s="288"/>
      <c r="AA199" s="288"/>
      <c r="AB199" s="288"/>
      <c r="AC199" s="288"/>
      <c r="AD199" s="288"/>
      <c r="AE199" s="288"/>
      <c r="AF199" s="288"/>
      <c r="AG199" s="288"/>
      <c r="AH199" s="288"/>
      <c r="AI199" s="288"/>
      <c r="AJ199" s="288"/>
      <c r="AK199" s="288"/>
      <c r="AL199" s="59"/>
      <c r="AM199" s="1009">
        <f t="shared" si="40"/>
        <v>1</v>
      </c>
      <c r="AN199" s="1009">
        <f t="shared" si="41"/>
        <v>1</v>
      </c>
      <c r="AO199" s="144">
        <f t="shared" si="66"/>
        <v>1</v>
      </c>
    </row>
    <row r="200" spans="1:41 16367:16379" ht="16.5" hidden="1" x14ac:dyDescent="0.25">
      <c r="A200" s="1037">
        <v>21</v>
      </c>
      <c r="B200" s="1037"/>
      <c r="C200" s="1038" t="s">
        <v>1653</v>
      </c>
      <c r="D200" s="1024" t="s">
        <v>1206</v>
      </c>
      <c r="E200" s="25" t="s">
        <v>1652</v>
      </c>
      <c r="F200" s="61" t="s">
        <v>290</v>
      </c>
      <c r="G200" s="61"/>
      <c r="H200" s="1040">
        <v>20000</v>
      </c>
      <c r="I200" s="1026">
        <f>H200</f>
        <v>20000</v>
      </c>
      <c r="J200" s="1020"/>
      <c r="K200" s="1020"/>
      <c r="L200" s="1020"/>
      <c r="M200" s="1020"/>
      <c r="N200" s="1031">
        <f t="shared" si="78"/>
        <v>18000</v>
      </c>
      <c r="O200" s="1031">
        <v>18000</v>
      </c>
      <c r="P200" s="284"/>
      <c r="Q200" s="284"/>
      <c r="R200" s="54"/>
      <c r="S200" s="54">
        <f>O200-U200</f>
        <v>18000</v>
      </c>
      <c r="T200" s="488"/>
      <c r="U200" s="488"/>
      <c r="V200" s="54"/>
      <c r="W200" s="54"/>
      <c r="X200" s="488"/>
      <c r="Y200" s="488"/>
      <c r="Z200" s="288"/>
      <c r="AA200" s="288"/>
      <c r="AB200" s="288"/>
      <c r="AC200" s="288"/>
      <c r="AD200" s="288"/>
      <c r="AE200" s="288"/>
      <c r="AF200" s="288"/>
      <c r="AG200" s="288"/>
      <c r="AH200" s="288"/>
      <c r="AI200" s="288"/>
      <c r="AJ200" s="288"/>
      <c r="AK200" s="288"/>
      <c r="AL200" s="25"/>
      <c r="AM200" s="1009">
        <f t="shared" si="40"/>
        <v>0</v>
      </c>
      <c r="AN200" s="1009">
        <f t="shared" si="41"/>
        <v>0</v>
      </c>
      <c r="AO200" s="144">
        <f t="shared" si="66"/>
        <v>1</v>
      </c>
    </row>
    <row r="201" spans="1:41 16367:16379" s="1316" customFormat="1" ht="49.5" hidden="1" x14ac:dyDescent="0.25">
      <c r="A201" s="1190">
        <v>22</v>
      </c>
      <c r="B201" s="1190">
        <v>8</v>
      </c>
      <c r="C201" s="1199" t="s">
        <v>1651</v>
      </c>
      <c r="D201" s="1024" t="s">
        <v>1206</v>
      </c>
      <c r="E201" s="1192" t="s">
        <v>2350</v>
      </c>
      <c r="F201" s="1184" t="s">
        <v>116</v>
      </c>
      <c r="G201" s="1184" t="s">
        <v>2577</v>
      </c>
      <c r="H201" s="1193">
        <v>37073</v>
      </c>
      <c r="I201" s="1178">
        <f>H201</f>
        <v>37073</v>
      </c>
      <c r="J201" s="1200"/>
      <c r="K201" s="1200"/>
      <c r="L201" s="1200"/>
      <c r="M201" s="1200"/>
      <c r="N201" s="1194">
        <f t="shared" si="78"/>
        <v>9100</v>
      </c>
      <c r="O201" s="1194">
        <v>9100</v>
      </c>
      <c r="P201" s="1201">
        <f>H201</f>
        <v>37073</v>
      </c>
      <c r="Q201" s="1201">
        <f>I201</f>
        <v>37073</v>
      </c>
      <c r="R201" s="1185">
        <v>25900</v>
      </c>
      <c r="S201" s="1185"/>
      <c r="T201" s="1181">
        <f>U201</f>
        <v>35000</v>
      </c>
      <c r="U201" s="1181">
        <v>35000</v>
      </c>
      <c r="V201" s="1185"/>
      <c r="W201" s="1185"/>
      <c r="X201" s="1181">
        <f>Y201</f>
        <v>35000</v>
      </c>
      <c r="Y201" s="1181">
        <f>V201+U201</f>
        <v>35000</v>
      </c>
      <c r="Z201" s="1197"/>
      <c r="AA201" s="1197"/>
      <c r="AB201" s="1197"/>
      <c r="AC201" s="1197"/>
      <c r="AD201" s="1197"/>
      <c r="AE201" s="1197"/>
      <c r="AF201" s="1197"/>
      <c r="AG201" s="1197"/>
      <c r="AH201" s="1197"/>
      <c r="AI201" s="1197"/>
      <c r="AJ201" s="1197"/>
      <c r="AK201" s="1197"/>
      <c r="AL201" s="1202"/>
      <c r="AM201" s="1182">
        <f t="shared" si="40"/>
        <v>0</v>
      </c>
      <c r="AN201" s="1182">
        <f t="shared" si="41"/>
        <v>1</v>
      </c>
      <c r="AO201" s="144">
        <f t="shared" si="66"/>
        <v>1</v>
      </c>
    </row>
    <row r="202" spans="1:41 16367:16379" ht="33" hidden="1" x14ac:dyDescent="0.25">
      <c r="A202" s="1037">
        <v>23</v>
      </c>
      <c r="B202" s="1037"/>
      <c r="C202" s="1038" t="s">
        <v>1650</v>
      </c>
      <c r="D202" s="1024" t="s">
        <v>1206</v>
      </c>
      <c r="E202" s="1039"/>
      <c r="F202" s="61" t="s">
        <v>290</v>
      </c>
      <c r="G202" s="61"/>
      <c r="H202" s="1040">
        <f t="shared" ref="H202:H206" si="81">I202</f>
        <v>10000</v>
      </c>
      <c r="I202" s="1026">
        <v>10000</v>
      </c>
      <c r="J202" s="1017"/>
      <c r="K202" s="1017"/>
      <c r="L202" s="1017"/>
      <c r="M202" s="1017"/>
      <c r="N202" s="1031">
        <f t="shared" si="78"/>
        <v>9000</v>
      </c>
      <c r="O202" s="1031">
        <v>9000</v>
      </c>
      <c r="P202" s="290"/>
      <c r="Q202" s="290"/>
      <c r="R202" s="54"/>
      <c r="S202" s="54">
        <f>O202-U202</f>
        <v>9000</v>
      </c>
      <c r="T202" s="488"/>
      <c r="U202" s="488"/>
      <c r="V202" s="54"/>
      <c r="W202" s="54"/>
      <c r="X202" s="488"/>
      <c r="Y202" s="488"/>
      <c r="Z202" s="288"/>
      <c r="AA202" s="288"/>
      <c r="AB202" s="288"/>
      <c r="AC202" s="288"/>
      <c r="AD202" s="288"/>
      <c r="AE202" s="288"/>
      <c r="AF202" s="288"/>
      <c r="AG202" s="288"/>
      <c r="AH202" s="288"/>
      <c r="AI202" s="288"/>
      <c r="AJ202" s="288"/>
      <c r="AK202" s="288"/>
      <c r="AL202" s="59"/>
      <c r="AM202" s="1009">
        <f t="shared" ref="AM202:AM283" si="82">IF(Y202-U202=0,0,1)</f>
        <v>0</v>
      </c>
      <c r="AN202" s="1009">
        <f t="shared" ref="AN202:AN283" si="83">IF(Y202=0,0,1)</f>
        <v>0</v>
      </c>
      <c r="AO202" s="144">
        <f t="shared" si="66"/>
        <v>1</v>
      </c>
    </row>
    <row r="203" spans="1:41 16367:16379" ht="33" hidden="1" x14ac:dyDescent="0.25">
      <c r="A203" s="1037">
        <v>24</v>
      </c>
      <c r="B203" s="1037">
        <v>9</v>
      </c>
      <c r="C203" s="1038" t="s">
        <v>2354</v>
      </c>
      <c r="D203" s="1024" t="s">
        <v>1206</v>
      </c>
      <c r="E203" s="1039" t="s">
        <v>2356</v>
      </c>
      <c r="F203" s="61" t="s">
        <v>290</v>
      </c>
      <c r="G203" s="61"/>
      <c r="H203" s="1040">
        <f t="shared" si="81"/>
        <v>7800</v>
      </c>
      <c r="I203" s="1026">
        <v>7800</v>
      </c>
      <c r="J203" s="1017"/>
      <c r="K203" s="1017"/>
      <c r="L203" s="1017"/>
      <c r="M203" s="1017"/>
      <c r="N203" s="1031"/>
      <c r="O203" s="1031"/>
      <c r="P203" s="290"/>
      <c r="Q203" s="290"/>
      <c r="R203" s="54"/>
      <c r="S203" s="54"/>
      <c r="T203" s="488"/>
      <c r="U203" s="488"/>
      <c r="V203" s="54">
        <v>7000</v>
      </c>
      <c r="W203" s="54"/>
      <c r="X203" s="488">
        <f t="shared" ref="X203:X206" si="84">Y203</f>
        <v>7000</v>
      </c>
      <c r="Y203" s="488">
        <f>V203</f>
        <v>7000</v>
      </c>
      <c r="Z203" s="288"/>
      <c r="AA203" s="288"/>
      <c r="AB203" s="288"/>
      <c r="AC203" s="288"/>
      <c r="AD203" s="288"/>
      <c r="AE203" s="288"/>
      <c r="AF203" s="288"/>
      <c r="AG203" s="288"/>
      <c r="AH203" s="288"/>
      <c r="AI203" s="288"/>
      <c r="AJ203" s="288"/>
      <c r="AK203" s="288"/>
      <c r="AL203" s="25" t="s">
        <v>980</v>
      </c>
      <c r="AM203" s="1009">
        <f t="shared" ref="AM203" si="85">IF(Y203-U203=0,0,1)</f>
        <v>1</v>
      </c>
      <c r="AN203" s="1009">
        <f t="shared" ref="AN203" si="86">IF(Y203=0,0,1)</f>
        <v>1</v>
      </c>
      <c r="AO203" s="144">
        <f t="shared" si="66"/>
        <v>1</v>
      </c>
    </row>
    <row r="204" spans="1:41 16367:16379" ht="66" hidden="1" x14ac:dyDescent="0.25">
      <c r="A204" s="1037">
        <v>25</v>
      </c>
      <c r="B204" s="1037">
        <v>10</v>
      </c>
      <c r="C204" s="1038" t="s">
        <v>2352</v>
      </c>
      <c r="D204" s="1024" t="s">
        <v>1206</v>
      </c>
      <c r="E204" s="1039" t="s">
        <v>2353</v>
      </c>
      <c r="F204" s="61" t="s">
        <v>290</v>
      </c>
      <c r="G204" s="61"/>
      <c r="H204" s="1040">
        <f t="shared" si="81"/>
        <v>9332</v>
      </c>
      <c r="I204" s="1026">
        <v>9332</v>
      </c>
      <c r="J204" s="1017"/>
      <c r="K204" s="1017"/>
      <c r="L204" s="1017"/>
      <c r="M204" s="1017"/>
      <c r="N204" s="488"/>
      <c r="O204" s="488"/>
      <c r="P204" s="54"/>
      <c r="Q204" s="54"/>
      <c r="R204" s="488"/>
      <c r="S204" s="488"/>
      <c r="T204" s="25"/>
      <c r="U204" s="1009"/>
      <c r="V204" s="54">
        <v>3800</v>
      </c>
      <c r="W204" s="54"/>
      <c r="X204" s="54">
        <f t="shared" si="84"/>
        <v>3800</v>
      </c>
      <c r="Y204" s="54">
        <f>V204+U204</f>
        <v>3800</v>
      </c>
      <c r="Z204" s="54"/>
      <c r="AA204" s="54"/>
      <c r="AB204" s="54"/>
      <c r="AC204" s="54"/>
      <c r="AD204" s="54"/>
      <c r="AE204" s="54"/>
      <c r="AF204" s="54"/>
      <c r="AG204" s="54"/>
      <c r="AH204" s="54"/>
      <c r="AI204" s="54"/>
      <c r="AJ204" s="54"/>
      <c r="AK204" s="54"/>
      <c r="AL204" s="25" t="s">
        <v>980</v>
      </c>
      <c r="AM204" s="89">
        <f t="shared" si="82"/>
        <v>1</v>
      </c>
      <c r="AN204" s="89">
        <f t="shared" si="83"/>
        <v>1</v>
      </c>
      <c r="AO204" s="144">
        <f t="shared" si="66"/>
        <v>1</v>
      </c>
    </row>
    <row r="205" spans="1:41 16367:16379" ht="33" hidden="1" x14ac:dyDescent="0.25">
      <c r="A205" s="1037">
        <v>26</v>
      </c>
      <c r="B205" s="1037">
        <v>11</v>
      </c>
      <c r="C205" s="1038" t="s">
        <v>2355</v>
      </c>
      <c r="D205" s="1024" t="s">
        <v>1206</v>
      </c>
      <c r="E205" s="1039"/>
      <c r="F205" s="61" t="s">
        <v>290</v>
      </c>
      <c r="G205" s="61"/>
      <c r="H205" s="1040">
        <f t="shared" si="81"/>
        <v>14800</v>
      </c>
      <c r="I205" s="1026">
        <v>14800</v>
      </c>
      <c r="J205" s="1017"/>
      <c r="K205" s="1017"/>
      <c r="L205" s="1017"/>
      <c r="M205" s="1017"/>
      <c r="N205" s="1031"/>
      <c r="O205" s="1031"/>
      <c r="P205" s="290"/>
      <c r="Q205" s="290"/>
      <c r="R205" s="54"/>
      <c r="S205" s="54"/>
      <c r="T205" s="488"/>
      <c r="U205" s="488"/>
      <c r="V205" s="54">
        <v>13300</v>
      </c>
      <c r="W205" s="54"/>
      <c r="X205" s="488">
        <f t="shared" si="84"/>
        <v>13300</v>
      </c>
      <c r="Y205" s="488">
        <f t="shared" ref="Y205:Y206" si="87">V205</f>
        <v>13300</v>
      </c>
      <c r="Z205" s="288"/>
      <c r="AA205" s="288"/>
      <c r="AB205" s="288"/>
      <c r="AC205" s="288"/>
      <c r="AD205" s="288"/>
      <c r="AE205" s="288"/>
      <c r="AF205" s="288"/>
      <c r="AG205" s="288"/>
      <c r="AH205" s="288"/>
      <c r="AI205" s="288"/>
      <c r="AJ205" s="288"/>
      <c r="AK205" s="288"/>
      <c r="AL205" s="25" t="s">
        <v>980</v>
      </c>
      <c r="AM205" s="1009">
        <f t="shared" si="82"/>
        <v>1</v>
      </c>
      <c r="AN205" s="1009">
        <f t="shared" si="83"/>
        <v>1</v>
      </c>
      <c r="AO205" s="144">
        <f t="shared" si="66"/>
        <v>1</v>
      </c>
      <c r="XEM205" s="1037"/>
      <c r="XEN205" s="1037"/>
      <c r="XEO205" s="1038"/>
      <c r="XEP205" s="1024"/>
      <c r="XEQ205" s="1039"/>
      <c r="XER205" s="61"/>
      <c r="XES205" s="61"/>
      <c r="XET205" s="1040"/>
      <c r="XEU205" s="1026"/>
      <c r="XEV205" s="1017"/>
      <c r="XEW205" s="1017"/>
      <c r="XEX205" s="1017"/>
      <c r="XEY205" s="1017"/>
    </row>
    <row r="206" spans="1:41 16367:16379" ht="33" hidden="1" x14ac:dyDescent="0.25">
      <c r="A206" s="1037">
        <v>27</v>
      </c>
      <c r="B206" s="1037">
        <v>13</v>
      </c>
      <c r="C206" s="1038" t="s">
        <v>2358</v>
      </c>
      <c r="D206" s="1024" t="s">
        <v>1206</v>
      </c>
      <c r="E206" s="1039"/>
      <c r="F206" s="61" t="s">
        <v>290</v>
      </c>
      <c r="G206" s="61"/>
      <c r="H206" s="1040">
        <f t="shared" si="81"/>
        <v>8600</v>
      </c>
      <c r="I206" s="1026">
        <v>8600</v>
      </c>
      <c r="J206" s="1017"/>
      <c r="K206" s="1017"/>
      <c r="L206" s="1017"/>
      <c r="M206" s="1017"/>
      <c r="N206" s="1031"/>
      <c r="O206" s="1031"/>
      <c r="P206" s="290"/>
      <c r="Q206" s="290"/>
      <c r="R206" s="54"/>
      <c r="S206" s="54"/>
      <c r="T206" s="488"/>
      <c r="U206" s="488"/>
      <c r="V206" s="54">
        <v>7700</v>
      </c>
      <c r="W206" s="54"/>
      <c r="X206" s="488">
        <f t="shared" si="84"/>
        <v>7700</v>
      </c>
      <c r="Y206" s="488">
        <f t="shared" si="87"/>
        <v>7700</v>
      </c>
      <c r="Z206" s="288"/>
      <c r="AA206" s="288"/>
      <c r="AB206" s="288"/>
      <c r="AC206" s="288"/>
      <c r="AD206" s="288"/>
      <c r="AE206" s="288"/>
      <c r="AF206" s="288"/>
      <c r="AG206" s="288"/>
      <c r="AH206" s="288"/>
      <c r="AI206" s="288"/>
      <c r="AJ206" s="288"/>
      <c r="AK206" s="288"/>
      <c r="AL206" s="25" t="s">
        <v>980</v>
      </c>
      <c r="AM206" s="1009">
        <f t="shared" ref="AM206" si="88">IF(Y206-U206=0,0,1)</f>
        <v>1</v>
      </c>
      <c r="AN206" s="1009">
        <f t="shared" ref="AN206" si="89">IF(Y206=0,0,1)</f>
        <v>1</v>
      </c>
      <c r="AO206" s="144">
        <f t="shared" si="66"/>
        <v>1</v>
      </c>
      <c r="XEM206" s="1037"/>
      <c r="XEN206" s="1037"/>
      <c r="XEO206" s="1038"/>
      <c r="XEP206" s="1024"/>
      <c r="XEQ206" s="1039"/>
      <c r="XER206" s="61"/>
      <c r="XES206" s="61"/>
      <c r="XET206" s="1040"/>
      <c r="XEU206" s="1026"/>
      <c r="XEV206" s="1017"/>
      <c r="XEW206" s="1017"/>
      <c r="XEX206" s="1017"/>
      <c r="XEY206" s="1017"/>
    </row>
    <row r="207" spans="1:41 16367:16379" ht="33" hidden="1" x14ac:dyDescent="0.25">
      <c r="A207" s="1037">
        <v>32</v>
      </c>
      <c r="B207" s="1037">
        <v>18</v>
      </c>
      <c r="C207" s="1038" t="s">
        <v>2517</v>
      </c>
      <c r="D207" s="1024" t="s">
        <v>1206</v>
      </c>
      <c r="E207" s="1039"/>
      <c r="F207" s="61" t="s">
        <v>290</v>
      </c>
      <c r="G207" s="61"/>
      <c r="H207" s="1040">
        <v>6999</v>
      </c>
      <c r="I207" s="1026">
        <f t="shared" ref="I207" si="90">H207</f>
        <v>6999</v>
      </c>
      <c r="J207" s="1017"/>
      <c r="K207" s="1017"/>
      <c r="L207" s="1017"/>
      <c r="M207" s="1017"/>
      <c r="N207" s="488"/>
      <c r="O207" s="488"/>
      <c r="P207" s="54"/>
      <c r="Q207" s="54"/>
      <c r="R207" s="488"/>
      <c r="S207" s="488"/>
      <c r="T207" s="1017"/>
      <c r="U207" s="1017"/>
      <c r="V207" s="54">
        <v>5800</v>
      </c>
      <c r="W207" s="1017"/>
      <c r="X207" s="488">
        <v>6400</v>
      </c>
      <c r="Y207" s="488">
        <f>V207</f>
        <v>5800</v>
      </c>
      <c r="Z207" s="25" t="s">
        <v>980</v>
      </c>
      <c r="AL207" s="25" t="s">
        <v>980</v>
      </c>
      <c r="AM207" s="1009">
        <f t="shared" ref="AM207" si="91">IF(Y207-U207=0,0,1)</f>
        <v>1</v>
      </c>
      <c r="AN207" s="1009">
        <f t="shared" ref="AN207" si="92">IF(Y207=0,0,1)</f>
        <v>1</v>
      </c>
      <c r="AO207" s="144">
        <f t="shared" si="66"/>
        <v>1</v>
      </c>
    </row>
    <row r="208" spans="1:41 16367:16379" s="1338" customFormat="1" ht="74.25" hidden="1" customHeight="1" x14ac:dyDescent="0.25">
      <c r="A208" s="1210"/>
      <c r="B208" s="1210"/>
      <c r="C208" s="1211" t="s">
        <v>2326</v>
      </c>
      <c r="D208" s="1212" t="s">
        <v>1206</v>
      </c>
      <c r="E208" s="1213"/>
      <c r="F208" s="96" t="s">
        <v>290</v>
      </c>
      <c r="G208" s="96"/>
      <c r="H208" s="1214">
        <f>SUM(H209:H215)</f>
        <v>90088</v>
      </c>
      <c r="I208" s="1214">
        <f>SUM(I209:I215)</f>
        <v>44296</v>
      </c>
      <c r="J208" s="1215"/>
      <c r="K208" s="1216"/>
      <c r="L208" s="1215"/>
      <c r="M208" s="1216"/>
      <c r="N208" s="1342"/>
      <c r="O208" s="1342"/>
      <c r="P208" s="1343"/>
      <c r="Q208" s="1343"/>
      <c r="R208" s="1218"/>
      <c r="S208" s="1218"/>
      <c r="T208" s="1017"/>
      <c r="U208" s="1017"/>
      <c r="V208" s="1017">
        <f>SUM(V209:V215)</f>
        <v>41000</v>
      </c>
      <c r="W208" s="1017"/>
      <c r="X208" s="1217">
        <f>V208+U208</f>
        <v>41000</v>
      </c>
      <c r="Y208" s="1217">
        <f>X208</f>
        <v>41000</v>
      </c>
      <c r="Z208" s="1028"/>
      <c r="AA208" s="488"/>
      <c r="AB208" s="488"/>
      <c r="AC208" s="25"/>
      <c r="AD208" s="1028"/>
      <c r="AE208" s="1028"/>
      <c r="AF208" s="1028"/>
      <c r="AG208" s="1028"/>
      <c r="AH208" s="1028"/>
      <c r="AI208" s="1028"/>
      <c r="AJ208" s="1028"/>
      <c r="AK208" s="1028"/>
      <c r="AL208" s="1324" t="s">
        <v>2327</v>
      </c>
      <c r="AM208" s="1219">
        <f t="shared" si="82"/>
        <v>1</v>
      </c>
      <c r="AN208" s="1219">
        <f t="shared" si="83"/>
        <v>1</v>
      </c>
      <c r="AO208" s="144">
        <f t="shared" si="66"/>
        <v>1</v>
      </c>
      <c r="XEM208" s="1037"/>
      <c r="XEN208" s="1037"/>
      <c r="XEO208" s="1038"/>
      <c r="XEP208" s="1024"/>
      <c r="XEQ208" s="1039"/>
      <c r="XER208" s="61"/>
      <c r="XES208" s="61"/>
      <c r="XET208" s="1040"/>
      <c r="XEU208" s="1026"/>
      <c r="XEV208" s="1017"/>
      <c r="XEW208" s="1017"/>
      <c r="XEX208" s="1017"/>
      <c r="XEY208" s="1017"/>
    </row>
    <row r="209" spans="1:42 16368:16384" ht="33" hidden="1" x14ac:dyDescent="0.25">
      <c r="A209" s="1037">
        <v>33</v>
      </c>
      <c r="B209" s="1037">
        <v>19</v>
      </c>
      <c r="C209" s="1038" t="s">
        <v>2363</v>
      </c>
      <c r="D209" s="1024" t="s">
        <v>1206</v>
      </c>
      <c r="E209" s="1039"/>
      <c r="F209" s="61" t="s">
        <v>290</v>
      </c>
      <c r="G209" s="61"/>
      <c r="H209" s="1026">
        <v>3613</v>
      </c>
      <c r="I209" s="1026">
        <v>1800</v>
      </c>
      <c r="J209" s="282"/>
      <c r="K209" s="63"/>
      <c r="L209" s="282"/>
      <c r="M209" s="63"/>
      <c r="N209" s="1031"/>
      <c r="O209" s="1031"/>
      <c r="P209" s="1032"/>
      <c r="Q209" s="1032"/>
      <c r="R209" s="54"/>
      <c r="S209" s="54"/>
      <c r="T209" s="1033"/>
      <c r="U209" s="1033"/>
      <c r="V209" s="54">
        <v>1500</v>
      </c>
      <c r="W209" s="54"/>
      <c r="X209" s="1033">
        <f t="shared" ref="X209:X215" si="93">V209+U209</f>
        <v>1500</v>
      </c>
      <c r="Y209" s="1033">
        <f t="shared" ref="Y209:Y215" si="94">X209</f>
        <v>1500</v>
      </c>
      <c r="Z209" s="288"/>
      <c r="AA209" s="288"/>
      <c r="AB209" s="288"/>
      <c r="AC209" s="288"/>
      <c r="AD209" s="488"/>
      <c r="AE209" s="488"/>
      <c r="AF209" s="25"/>
      <c r="AG209" s="288"/>
      <c r="AH209" s="288"/>
      <c r="AI209" s="288"/>
      <c r="AJ209" s="288"/>
      <c r="AK209" s="288"/>
      <c r="AL209" s="25" t="s">
        <v>980</v>
      </c>
      <c r="AM209" s="1219">
        <f t="shared" ref="AM209:AM217" si="95">IF(Y209-U209=0,0,1)</f>
        <v>1</v>
      </c>
      <c r="AN209" s="1219">
        <f t="shared" ref="AN209:AN217" si="96">IF(Y209=0,0,1)</f>
        <v>1</v>
      </c>
      <c r="AO209" s="144">
        <f t="shared" si="66"/>
        <v>1</v>
      </c>
    </row>
    <row r="210" spans="1:42 16368:16384" ht="33" hidden="1" x14ac:dyDescent="0.25">
      <c r="A210" s="1037">
        <v>34</v>
      </c>
      <c r="B210" s="1037">
        <v>20</v>
      </c>
      <c r="C210" s="1038" t="s">
        <v>2364</v>
      </c>
      <c r="D210" s="1024" t="s">
        <v>1206</v>
      </c>
      <c r="E210" s="1039"/>
      <c r="F210" s="61" t="s">
        <v>290</v>
      </c>
      <c r="G210" s="61"/>
      <c r="H210" s="1026">
        <v>12418</v>
      </c>
      <c r="I210" s="1026">
        <v>5750</v>
      </c>
      <c r="J210" s="282"/>
      <c r="K210" s="63"/>
      <c r="L210" s="282"/>
      <c r="M210" s="63"/>
      <c r="N210" s="1031"/>
      <c r="O210" s="1031"/>
      <c r="P210" s="1032"/>
      <c r="Q210" s="1032"/>
      <c r="R210" s="54"/>
      <c r="S210" s="54"/>
      <c r="T210" s="1033"/>
      <c r="U210" s="1033"/>
      <c r="V210" s="54">
        <v>5500</v>
      </c>
      <c r="W210" s="54"/>
      <c r="X210" s="1033">
        <f t="shared" si="93"/>
        <v>5500</v>
      </c>
      <c r="Y210" s="1033">
        <f t="shared" si="94"/>
        <v>5500</v>
      </c>
      <c r="Z210" s="288"/>
      <c r="AA210" s="288"/>
      <c r="AB210" s="288"/>
      <c r="AC210" s="288"/>
      <c r="AD210" s="288"/>
      <c r="AE210" s="288"/>
      <c r="AF210" s="288"/>
      <c r="AG210" s="488"/>
      <c r="AH210" s="488"/>
      <c r="AI210" s="25"/>
      <c r="AJ210" s="288"/>
      <c r="AK210" s="288"/>
      <c r="AL210" s="25" t="s">
        <v>980</v>
      </c>
      <c r="AM210" s="1219">
        <f t="shared" si="95"/>
        <v>1</v>
      </c>
      <c r="AN210" s="1219">
        <f t="shared" si="96"/>
        <v>1</v>
      </c>
      <c r="AO210" s="144">
        <f t="shared" si="66"/>
        <v>1</v>
      </c>
    </row>
    <row r="211" spans="1:42 16368:16384" s="1323" customFormat="1" ht="49.5" hidden="1" x14ac:dyDescent="0.25">
      <c r="A211" s="1366">
        <v>35</v>
      </c>
      <c r="B211" s="1366">
        <v>21</v>
      </c>
      <c r="C211" s="351" t="s">
        <v>2536</v>
      </c>
      <c r="D211" s="424" t="s">
        <v>2574</v>
      </c>
      <c r="E211" s="335"/>
      <c r="F211" s="1" t="s">
        <v>290</v>
      </c>
      <c r="G211" s="1" t="s">
        <v>2590</v>
      </c>
      <c r="H211" s="1367">
        <v>29999</v>
      </c>
      <c r="I211" s="422">
        <f>H211/2</f>
        <v>14999.5</v>
      </c>
      <c r="J211" s="244"/>
      <c r="K211" s="3"/>
      <c r="L211" s="244"/>
      <c r="M211" s="3"/>
      <c r="N211" s="1109"/>
      <c r="O211" s="1109"/>
      <c r="P211" s="1368"/>
      <c r="Q211" s="1368"/>
      <c r="R211" s="8"/>
      <c r="S211" s="8"/>
      <c r="T211" s="1369"/>
      <c r="U211" s="1369"/>
      <c r="V211" s="8">
        <v>14000</v>
      </c>
      <c r="W211" s="8"/>
      <c r="X211" s="1369">
        <f t="shared" si="93"/>
        <v>14000</v>
      </c>
      <c r="Y211" s="1369">
        <f t="shared" si="94"/>
        <v>14000</v>
      </c>
      <c r="Z211" s="332"/>
      <c r="AA211" s="332"/>
      <c r="AB211" s="332"/>
      <c r="AC211" s="332"/>
      <c r="AD211" s="332"/>
      <c r="AE211" s="332"/>
      <c r="AF211" s="332"/>
      <c r="AG211" s="332"/>
      <c r="AH211" s="332"/>
      <c r="AI211" s="332"/>
      <c r="AJ211" s="476"/>
      <c r="AK211" s="476"/>
      <c r="AL211" s="334" t="s">
        <v>980</v>
      </c>
      <c r="AM211" s="1370">
        <f t="shared" si="95"/>
        <v>1</v>
      </c>
      <c r="AN211" s="1370">
        <f t="shared" si="96"/>
        <v>1</v>
      </c>
      <c r="AO211" s="1333">
        <f t="shared" si="66"/>
        <v>1</v>
      </c>
    </row>
    <row r="212" spans="1:42 16368:16384" s="1323" customFormat="1" ht="49.5" hidden="1" x14ac:dyDescent="0.25">
      <c r="A212" s="1366">
        <v>36</v>
      </c>
      <c r="B212" s="1366">
        <v>22</v>
      </c>
      <c r="C212" s="351" t="s">
        <v>2365</v>
      </c>
      <c r="D212" s="424" t="s">
        <v>2214</v>
      </c>
      <c r="E212" s="335"/>
      <c r="F212" s="1" t="s">
        <v>290</v>
      </c>
      <c r="G212" s="1"/>
      <c r="H212" s="1367">
        <v>12926</v>
      </c>
      <c r="I212" s="422">
        <v>6500</v>
      </c>
      <c r="J212" s="244"/>
      <c r="K212" s="3"/>
      <c r="L212" s="244"/>
      <c r="M212" s="3"/>
      <c r="N212" s="1109"/>
      <c r="O212" s="1109"/>
      <c r="P212" s="1368"/>
      <c r="Q212" s="1368"/>
      <c r="R212" s="8"/>
      <c r="S212" s="8"/>
      <c r="T212" s="1369"/>
      <c r="U212" s="1369"/>
      <c r="V212" s="8">
        <v>6500</v>
      </c>
      <c r="W212" s="8"/>
      <c r="X212" s="1369">
        <f t="shared" si="93"/>
        <v>6500</v>
      </c>
      <c r="Y212" s="1369">
        <f t="shared" si="94"/>
        <v>6500</v>
      </c>
      <c r="Z212" s="332"/>
      <c r="AA212" s="332"/>
      <c r="AB212" s="332"/>
      <c r="AC212" s="332"/>
      <c r="AD212" s="332"/>
      <c r="AE212" s="332"/>
      <c r="AF212" s="332"/>
      <c r="AG212" s="332"/>
      <c r="AH212" s="332"/>
      <c r="AI212" s="332"/>
      <c r="AJ212" s="332"/>
      <c r="AK212" s="332"/>
      <c r="AL212" s="334" t="s">
        <v>980</v>
      </c>
      <c r="AM212" s="1370">
        <f t="shared" si="95"/>
        <v>1</v>
      </c>
      <c r="AN212" s="1370">
        <f t="shared" si="96"/>
        <v>1</v>
      </c>
      <c r="AO212" s="1333">
        <f t="shared" si="66"/>
        <v>1</v>
      </c>
    </row>
    <row r="213" spans="1:42 16368:16384" s="1323" customFormat="1" ht="33" hidden="1" x14ac:dyDescent="0.25">
      <c r="A213" s="1366">
        <v>37</v>
      </c>
      <c r="B213" s="1366">
        <v>23</v>
      </c>
      <c r="C213" s="351" t="s">
        <v>2427</v>
      </c>
      <c r="D213" s="424" t="s">
        <v>2372</v>
      </c>
      <c r="E213" s="335"/>
      <c r="F213" s="1" t="s">
        <v>290</v>
      </c>
      <c r="G213" s="1"/>
      <c r="H213" s="1367">
        <v>9234</v>
      </c>
      <c r="I213" s="422">
        <f t="shared" ref="I213:I214" si="97">H213/2</f>
        <v>4617</v>
      </c>
      <c r="J213" s="244"/>
      <c r="K213" s="3"/>
      <c r="L213" s="244"/>
      <c r="M213" s="3"/>
      <c r="N213" s="1109"/>
      <c r="O213" s="1109"/>
      <c r="P213" s="1368"/>
      <c r="Q213" s="1368"/>
      <c r="R213" s="8"/>
      <c r="S213" s="8"/>
      <c r="T213" s="1369"/>
      <c r="U213" s="1369"/>
      <c r="V213" s="8">
        <v>4000</v>
      </c>
      <c r="W213" s="8"/>
      <c r="X213" s="1369">
        <f t="shared" si="93"/>
        <v>4000</v>
      </c>
      <c r="Y213" s="1369">
        <f t="shared" si="94"/>
        <v>4000</v>
      </c>
      <c r="Z213" s="332"/>
      <c r="AA213" s="332"/>
      <c r="AB213" s="332"/>
      <c r="AC213" s="332"/>
      <c r="AD213" s="332"/>
      <c r="AE213" s="332"/>
      <c r="AF213" s="332"/>
      <c r="AG213" s="332"/>
      <c r="AH213" s="332"/>
      <c r="AI213" s="332"/>
      <c r="AJ213" s="332"/>
      <c r="AK213" s="332"/>
      <c r="AL213" s="334" t="s">
        <v>980</v>
      </c>
      <c r="AM213" s="1370">
        <f t="shared" si="95"/>
        <v>1</v>
      </c>
      <c r="AN213" s="1370">
        <f t="shared" si="96"/>
        <v>1</v>
      </c>
      <c r="AO213" s="1333">
        <f t="shared" si="66"/>
        <v>1</v>
      </c>
    </row>
    <row r="214" spans="1:42 16368:16384" s="1323" customFormat="1" ht="33" hidden="1" x14ac:dyDescent="0.25">
      <c r="A214" s="1366">
        <v>38</v>
      </c>
      <c r="B214" s="1366">
        <v>24</v>
      </c>
      <c r="C214" s="351" t="s">
        <v>2366</v>
      </c>
      <c r="D214" s="424" t="s">
        <v>2372</v>
      </c>
      <c r="E214" s="335"/>
      <c r="F214" s="1" t="s">
        <v>290</v>
      </c>
      <c r="G214" s="1"/>
      <c r="H214" s="1367">
        <v>12499</v>
      </c>
      <c r="I214" s="422">
        <f t="shared" si="97"/>
        <v>6249.5</v>
      </c>
      <c r="J214" s="244"/>
      <c r="K214" s="3"/>
      <c r="L214" s="244"/>
      <c r="M214" s="3"/>
      <c r="N214" s="1109"/>
      <c r="O214" s="1109"/>
      <c r="P214" s="1368"/>
      <c r="Q214" s="1368"/>
      <c r="R214" s="8"/>
      <c r="S214" s="8"/>
      <c r="T214" s="1369"/>
      <c r="U214" s="1369"/>
      <c r="V214" s="8">
        <v>5500</v>
      </c>
      <c r="W214" s="8"/>
      <c r="X214" s="1369">
        <f t="shared" si="93"/>
        <v>5500</v>
      </c>
      <c r="Y214" s="1369">
        <f t="shared" si="94"/>
        <v>5500</v>
      </c>
      <c r="Z214" s="332"/>
      <c r="AA214" s="332"/>
      <c r="AB214" s="332"/>
      <c r="AC214" s="332"/>
      <c r="AD214" s="332"/>
      <c r="AE214" s="332"/>
      <c r="AF214" s="332"/>
      <c r="AG214" s="332"/>
      <c r="AH214" s="332"/>
      <c r="AI214" s="332"/>
      <c r="AJ214" s="332"/>
      <c r="AK214" s="332"/>
      <c r="AL214" s="334" t="s">
        <v>980</v>
      </c>
      <c r="AM214" s="1370">
        <f t="shared" si="95"/>
        <v>1</v>
      </c>
      <c r="AN214" s="1370">
        <f t="shared" si="96"/>
        <v>1</v>
      </c>
      <c r="AO214" s="1333">
        <f t="shared" si="66"/>
        <v>1</v>
      </c>
    </row>
    <row r="215" spans="1:42 16368:16384" ht="33" hidden="1" x14ac:dyDescent="0.25">
      <c r="A215" s="1037">
        <v>39</v>
      </c>
      <c r="B215" s="1037">
        <v>25</v>
      </c>
      <c r="C215" s="1038" t="s">
        <v>2367</v>
      </c>
      <c r="D215" s="1024" t="s">
        <v>2575</v>
      </c>
      <c r="E215" s="1039"/>
      <c r="F215" s="61" t="s">
        <v>290</v>
      </c>
      <c r="G215" s="61"/>
      <c r="H215" s="1040">
        <v>9399</v>
      </c>
      <c r="I215" s="1040">
        <v>4380</v>
      </c>
      <c r="J215" s="282"/>
      <c r="K215" s="63"/>
      <c r="L215" s="282"/>
      <c r="M215" s="63"/>
      <c r="N215" s="1031"/>
      <c r="O215" s="1031"/>
      <c r="P215" s="1032"/>
      <c r="Q215" s="1032"/>
      <c r="R215" s="54"/>
      <c r="S215" s="54"/>
      <c r="T215" s="1033"/>
      <c r="U215" s="1033"/>
      <c r="V215" s="54">
        <v>4000</v>
      </c>
      <c r="W215" s="54"/>
      <c r="X215" s="1033">
        <f t="shared" si="93"/>
        <v>4000</v>
      </c>
      <c r="Y215" s="1033">
        <f t="shared" si="94"/>
        <v>4000</v>
      </c>
      <c r="Z215" s="288"/>
      <c r="AA215" s="288"/>
      <c r="AB215" s="288"/>
      <c r="AC215" s="288"/>
      <c r="AD215" s="288"/>
      <c r="AE215" s="288"/>
      <c r="AF215" s="288"/>
      <c r="AG215" s="288"/>
      <c r="AH215" s="288"/>
      <c r="AI215" s="288"/>
      <c r="AJ215" s="288"/>
      <c r="AK215" s="288"/>
      <c r="AL215" s="25" t="s">
        <v>980</v>
      </c>
      <c r="AM215" s="1219">
        <f t="shared" si="95"/>
        <v>1</v>
      </c>
      <c r="AN215" s="1219">
        <f t="shared" si="96"/>
        <v>1</v>
      </c>
      <c r="AO215" s="144">
        <f t="shared" si="66"/>
        <v>1</v>
      </c>
    </row>
    <row r="216" spans="1:42 16368:16384" s="1316" customFormat="1" ht="51.75" hidden="1" x14ac:dyDescent="0.25">
      <c r="A216" s="50" t="s">
        <v>47</v>
      </c>
      <c r="B216" s="50"/>
      <c r="C216" s="51" t="s">
        <v>2074</v>
      </c>
      <c r="D216" s="1191"/>
      <c r="E216" s="1192"/>
      <c r="F216" s="1184"/>
      <c r="G216" s="1184"/>
      <c r="H216" s="1017">
        <f>SUM(H217:H222)</f>
        <v>107703</v>
      </c>
      <c r="I216" s="1017">
        <f>SUM(I217:I222)</f>
        <v>107703</v>
      </c>
      <c r="J216" s="1179"/>
      <c r="K216" s="1187"/>
      <c r="L216" s="1179"/>
      <c r="M216" s="1187"/>
      <c r="N216" s="1194"/>
      <c r="O216" s="1194"/>
      <c r="P216" s="1195"/>
      <c r="Q216" s="1195"/>
      <c r="R216" s="1185"/>
      <c r="S216" s="1185"/>
      <c r="T216" s="1196"/>
      <c r="U216" s="1196"/>
      <c r="V216" s="1017">
        <f>SUM(V217:V222)</f>
        <v>40500</v>
      </c>
      <c r="W216" s="1185"/>
      <c r="X216" s="1017">
        <f t="shared" ref="X216:Y216" si="98">SUM(X217:X222)</f>
        <v>40500</v>
      </c>
      <c r="Y216" s="1017">
        <f t="shared" si="98"/>
        <v>40500</v>
      </c>
      <c r="Z216" s="1197"/>
      <c r="AA216" s="1197"/>
      <c r="AB216" s="1197"/>
      <c r="AC216" s="1197"/>
      <c r="AD216" s="1197"/>
      <c r="AE216" s="1197"/>
      <c r="AF216" s="1197"/>
      <c r="AG216" s="1197"/>
      <c r="AH216" s="1197"/>
      <c r="AI216" s="1197"/>
      <c r="AJ216" s="1197"/>
      <c r="AK216" s="1197"/>
      <c r="AL216" s="1198"/>
      <c r="AM216" s="1220">
        <f t="shared" si="95"/>
        <v>1</v>
      </c>
      <c r="AN216" s="1220">
        <f t="shared" si="96"/>
        <v>1</v>
      </c>
      <c r="AO216" s="144">
        <f t="shared" si="66"/>
        <v>1</v>
      </c>
    </row>
    <row r="217" spans="1:42 16368:16384" s="1323" customFormat="1" ht="67.5" hidden="1" customHeight="1" x14ac:dyDescent="0.25">
      <c r="A217" s="1366">
        <v>40</v>
      </c>
      <c r="B217" s="351" t="s">
        <v>2516</v>
      </c>
      <c r="C217" s="351" t="s">
        <v>2516</v>
      </c>
      <c r="D217" s="424" t="s">
        <v>1206</v>
      </c>
      <c r="E217" s="335"/>
      <c r="F217" s="1" t="s">
        <v>168</v>
      </c>
      <c r="G217" s="424" t="s">
        <v>2592</v>
      </c>
      <c r="H217" s="1367">
        <f t="shared" ref="H217" si="99">I217</f>
        <v>29050</v>
      </c>
      <c r="I217" s="422">
        <v>29050</v>
      </c>
      <c r="J217" s="244"/>
      <c r="K217" s="3"/>
      <c r="L217" s="244"/>
      <c r="M217" s="3"/>
      <c r="N217" s="1109"/>
      <c r="O217" s="1109"/>
      <c r="P217" s="1368"/>
      <c r="Q217" s="1368"/>
      <c r="R217" s="8"/>
      <c r="S217" s="8"/>
      <c r="T217" s="1369"/>
      <c r="U217" s="1369"/>
      <c r="V217" s="8">
        <f>8000+6500</f>
        <v>14500</v>
      </c>
      <c r="W217" s="8"/>
      <c r="X217" s="476">
        <f>Y217</f>
        <v>14500</v>
      </c>
      <c r="Y217" s="476">
        <f>V217</f>
        <v>14500</v>
      </c>
      <c r="Z217" s="334" t="s">
        <v>2357</v>
      </c>
      <c r="AA217" s="332"/>
      <c r="AB217" s="332"/>
      <c r="AC217" s="332"/>
      <c r="AD217" s="332"/>
      <c r="AE217" s="332"/>
      <c r="AF217" s="332"/>
      <c r="AG217" s="332"/>
      <c r="AH217" s="332"/>
      <c r="AI217" s="332"/>
      <c r="AJ217" s="332"/>
      <c r="AK217" s="332"/>
      <c r="AL217" s="334" t="s">
        <v>980</v>
      </c>
      <c r="AM217" s="1323">
        <f t="shared" si="95"/>
        <v>1</v>
      </c>
      <c r="AN217" s="1323">
        <f t="shared" si="96"/>
        <v>1</v>
      </c>
      <c r="AO217" s="1333">
        <f t="shared" si="66"/>
        <v>1</v>
      </c>
    </row>
    <row r="218" spans="1:42 16368:16384" s="1323" customFormat="1" ht="57" hidden="1" customHeight="1" x14ac:dyDescent="0.25">
      <c r="A218" s="1366">
        <v>28</v>
      </c>
      <c r="B218" s="1366">
        <v>14</v>
      </c>
      <c r="C218" s="351" t="s">
        <v>2359</v>
      </c>
      <c r="D218" s="424" t="s">
        <v>1206</v>
      </c>
      <c r="E218" s="335"/>
      <c r="F218" s="1" t="s">
        <v>168</v>
      </c>
      <c r="G218" s="1"/>
      <c r="H218" s="1367">
        <v>6796</v>
      </c>
      <c r="I218" s="422">
        <f>H218</f>
        <v>6796</v>
      </c>
      <c r="J218" s="348"/>
      <c r="K218" s="348"/>
      <c r="L218" s="348"/>
      <c r="M218" s="348"/>
      <c r="N218" s="1109"/>
      <c r="O218" s="1109"/>
      <c r="P218" s="1244"/>
      <c r="Q218" s="1244"/>
      <c r="R218" s="8"/>
      <c r="S218" s="8"/>
      <c r="T218" s="476"/>
      <c r="U218" s="476"/>
      <c r="V218" s="8">
        <v>2400</v>
      </c>
      <c r="W218" s="8"/>
      <c r="X218" s="476">
        <f>Y218</f>
        <v>2400</v>
      </c>
      <c r="Y218" s="476">
        <f>V218</f>
        <v>2400</v>
      </c>
      <c r="Z218" s="332"/>
      <c r="AA218" s="332"/>
      <c r="AB218" s="332"/>
      <c r="AC218" s="332"/>
      <c r="AD218" s="332"/>
      <c r="AE218" s="332"/>
      <c r="AF218" s="332"/>
      <c r="AG218" s="332"/>
      <c r="AH218" s="332"/>
      <c r="AI218" s="332"/>
      <c r="AJ218" s="332"/>
      <c r="AK218" s="332"/>
      <c r="AL218" s="334" t="s">
        <v>980</v>
      </c>
      <c r="AM218" s="933">
        <f t="shared" ref="AM218:AM221" si="100">IF(Y218-U218=0,0,1)</f>
        <v>1</v>
      </c>
      <c r="AN218" s="933">
        <f t="shared" ref="AN218:AN221" si="101">IF(Y218=0,0,1)</f>
        <v>1</v>
      </c>
      <c r="AO218" s="1333">
        <f>IF(I218-Y218&gt;=0,1,0)</f>
        <v>1</v>
      </c>
    </row>
    <row r="219" spans="1:42 16368:16384" s="1323" customFormat="1" ht="49.5" hidden="1" x14ac:dyDescent="0.25">
      <c r="A219" s="1366">
        <v>29</v>
      </c>
      <c r="B219" s="1366">
        <v>15</v>
      </c>
      <c r="C219" s="351" t="s">
        <v>2360</v>
      </c>
      <c r="D219" s="424" t="s">
        <v>1206</v>
      </c>
      <c r="E219" s="335"/>
      <c r="F219" s="1" t="s">
        <v>168</v>
      </c>
      <c r="G219" s="1"/>
      <c r="H219" s="1367">
        <v>12347</v>
      </c>
      <c r="I219" s="422">
        <f>H219</f>
        <v>12347</v>
      </c>
      <c r="J219" s="348"/>
      <c r="K219" s="348"/>
      <c r="L219" s="348"/>
      <c r="M219" s="348"/>
      <c r="N219" s="1109"/>
      <c r="O219" s="1109"/>
      <c r="P219" s="1244"/>
      <c r="Q219" s="1244"/>
      <c r="R219" s="8"/>
      <c r="S219" s="8"/>
      <c r="T219" s="476"/>
      <c r="U219" s="476"/>
      <c r="V219" s="8">
        <v>4800</v>
      </c>
      <c r="W219" s="8"/>
      <c r="X219" s="476">
        <f>Y219</f>
        <v>4800</v>
      </c>
      <c r="Y219" s="476">
        <f>V219</f>
        <v>4800</v>
      </c>
      <c r="Z219" s="332"/>
      <c r="AA219" s="332"/>
      <c r="AB219" s="332"/>
      <c r="AC219" s="332"/>
      <c r="AD219" s="332"/>
      <c r="AE219" s="332"/>
      <c r="AF219" s="332"/>
      <c r="AG219" s="332"/>
      <c r="AH219" s="332"/>
      <c r="AI219" s="332"/>
      <c r="AJ219" s="332"/>
      <c r="AK219" s="332"/>
      <c r="AL219" s="334" t="s">
        <v>980</v>
      </c>
      <c r="AM219" s="933">
        <f t="shared" si="100"/>
        <v>1</v>
      </c>
      <c r="AN219" s="933">
        <f t="shared" si="101"/>
        <v>1</v>
      </c>
      <c r="AO219" s="1333">
        <f>IF(I219-Y219&gt;=0,1,0)</f>
        <v>1</v>
      </c>
    </row>
    <row r="220" spans="1:42 16368:16384" s="1323" customFormat="1" ht="33" hidden="1" x14ac:dyDescent="0.25">
      <c r="A220" s="1366">
        <v>30</v>
      </c>
      <c r="B220" s="1366">
        <v>16</v>
      </c>
      <c r="C220" s="351" t="s">
        <v>2361</v>
      </c>
      <c r="D220" s="424" t="s">
        <v>1206</v>
      </c>
      <c r="E220" s="335"/>
      <c r="F220" s="1" t="s">
        <v>168</v>
      </c>
      <c r="G220" s="1"/>
      <c r="H220" s="1367">
        <v>14792</v>
      </c>
      <c r="I220" s="422">
        <f>H220</f>
        <v>14792</v>
      </c>
      <c r="J220" s="348"/>
      <c r="K220" s="348"/>
      <c r="L220" s="348"/>
      <c r="M220" s="348"/>
      <c r="N220" s="1109"/>
      <c r="O220" s="1109"/>
      <c r="P220" s="1244"/>
      <c r="Q220" s="1244"/>
      <c r="R220" s="8"/>
      <c r="S220" s="8"/>
      <c r="T220" s="476"/>
      <c r="U220" s="476"/>
      <c r="V220" s="8">
        <v>5300</v>
      </c>
      <c r="W220" s="8"/>
      <c r="X220" s="476">
        <f>Y220</f>
        <v>5300</v>
      </c>
      <c r="Y220" s="476">
        <f>V220</f>
        <v>5300</v>
      </c>
      <c r="Z220" s="332"/>
      <c r="AA220" s="332"/>
      <c r="AB220" s="332"/>
      <c r="AC220" s="332"/>
      <c r="AD220" s="332"/>
      <c r="AE220" s="332"/>
      <c r="AF220" s="332"/>
      <c r="AG220" s="332"/>
      <c r="AH220" s="332"/>
      <c r="AI220" s="332"/>
      <c r="AJ220" s="332"/>
      <c r="AK220" s="332"/>
      <c r="AL220" s="334" t="s">
        <v>980</v>
      </c>
      <c r="AM220" s="933">
        <f t="shared" si="100"/>
        <v>1</v>
      </c>
      <c r="AN220" s="933">
        <f t="shared" si="101"/>
        <v>1</v>
      </c>
      <c r="AO220" s="1333">
        <f>IF(I220-Y220&gt;=0,1,0)</f>
        <v>1</v>
      </c>
    </row>
    <row r="221" spans="1:42 16368:16384" s="1323" customFormat="1" ht="49.5" hidden="1" x14ac:dyDescent="0.25">
      <c r="A221" s="1366">
        <v>31</v>
      </c>
      <c r="B221" s="1366">
        <v>17</v>
      </c>
      <c r="C221" s="351" t="s">
        <v>2362</v>
      </c>
      <c r="D221" s="424" t="s">
        <v>1206</v>
      </c>
      <c r="E221" s="335"/>
      <c r="F221" s="1" t="s">
        <v>168</v>
      </c>
      <c r="G221" s="1"/>
      <c r="H221" s="1367">
        <v>14893</v>
      </c>
      <c r="I221" s="422">
        <f>H221</f>
        <v>14893</v>
      </c>
      <c r="J221" s="348"/>
      <c r="K221" s="348"/>
      <c r="L221" s="348"/>
      <c r="M221" s="348"/>
      <c r="N221" s="1109"/>
      <c r="O221" s="1109"/>
      <c r="P221" s="1244"/>
      <c r="Q221" s="1244"/>
      <c r="R221" s="8"/>
      <c r="S221" s="8"/>
      <c r="T221" s="476"/>
      <c r="U221" s="476"/>
      <c r="V221" s="8">
        <v>5300</v>
      </c>
      <c r="W221" s="8"/>
      <c r="X221" s="476">
        <f>Y221</f>
        <v>5300</v>
      </c>
      <c r="Y221" s="476">
        <f>V221</f>
        <v>5300</v>
      </c>
      <c r="Z221" s="332"/>
      <c r="AA221" s="332"/>
      <c r="AB221" s="332"/>
      <c r="AC221" s="332"/>
      <c r="AD221" s="332"/>
      <c r="AE221" s="332"/>
      <c r="AF221" s="332"/>
      <c r="AG221" s="332"/>
      <c r="AH221" s="332"/>
      <c r="AI221" s="332"/>
      <c r="AJ221" s="332"/>
      <c r="AK221" s="332"/>
      <c r="AL221" s="334" t="s">
        <v>980</v>
      </c>
      <c r="AM221" s="933">
        <f t="shared" si="100"/>
        <v>1</v>
      </c>
      <c r="AN221" s="933">
        <f t="shared" si="101"/>
        <v>1</v>
      </c>
      <c r="AO221" s="1333">
        <f>IF(I221-Y221&gt;=0,1,0)</f>
        <v>1</v>
      </c>
    </row>
    <row r="222" spans="1:42 16368:16384" s="1323" customFormat="1" ht="49.5" hidden="1" x14ac:dyDescent="0.25">
      <c r="A222" s="1366">
        <v>41</v>
      </c>
      <c r="B222" s="1366">
        <v>26</v>
      </c>
      <c r="C222" s="351" t="s">
        <v>2210</v>
      </c>
      <c r="D222" s="424" t="s">
        <v>1206</v>
      </c>
      <c r="E222" s="335" t="s">
        <v>2606</v>
      </c>
      <c r="F222" s="1" t="s">
        <v>168</v>
      </c>
      <c r="G222" s="1" t="s">
        <v>2607</v>
      </c>
      <c r="H222" s="1367">
        <f t="shared" ref="H222" si="102">I222</f>
        <v>29825</v>
      </c>
      <c r="I222" s="422">
        <v>29825</v>
      </c>
      <c r="J222" s="244"/>
      <c r="K222" s="3"/>
      <c r="L222" s="244"/>
      <c r="M222" s="3"/>
      <c r="N222" s="1109"/>
      <c r="O222" s="1109"/>
      <c r="P222" s="8"/>
      <c r="Q222" s="8"/>
      <c r="R222" s="1369"/>
      <c r="S222" s="1369"/>
      <c r="T222" s="3"/>
      <c r="U222" s="1372"/>
      <c r="V222" s="8">
        <v>8200</v>
      </c>
      <c r="W222" s="8"/>
      <c r="X222" s="8">
        <f>V222</f>
        <v>8200</v>
      </c>
      <c r="Y222" s="8">
        <f>X222</f>
        <v>8200</v>
      </c>
      <c r="Z222" s="8" t="s">
        <v>980</v>
      </c>
      <c r="AA222" s="8"/>
      <c r="AB222" s="8"/>
      <c r="AC222" s="8"/>
      <c r="AD222" s="8"/>
      <c r="AE222" s="8"/>
      <c r="AF222" s="8"/>
      <c r="AG222" s="8"/>
      <c r="AH222" s="8"/>
      <c r="AI222" s="8"/>
      <c r="AJ222" s="8"/>
      <c r="AK222" s="8"/>
      <c r="AL222" s="334" t="s">
        <v>980</v>
      </c>
      <c r="AM222" s="1323">
        <f t="shared" ref="AM222" si="103">IF(Y222-U222=0,0,1)</f>
        <v>1</v>
      </c>
      <c r="AN222" s="1323">
        <f t="shared" ref="AN222" si="104">IF(Y222=0,0,1)</f>
        <v>1</v>
      </c>
      <c r="AO222" s="1333">
        <f t="shared" si="66"/>
        <v>1</v>
      </c>
    </row>
    <row r="223" spans="1:42 16368:16384" ht="16.5" hidden="1" x14ac:dyDescent="0.25">
      <c r="A223" s="1212" t="s">
        <v>333</v>
      </c>
      <c r="B223" s="1212"/>
      <c r="C223" s="1339" t="s">
        <v>1239</v>
      </c>
      <c r="D223" s="1212"/>
      <c r="E223" s="1212"/>
      <c r="F223" s="1212"/>
      <c r="G223" s="1340"/>
      <c r="H223" s="1216">
        <f>H224</f>
        <v>379179.71791925468</v>
      </c>
      <c r="I223" s="1216">
        <f t="shared" ref="I223:Q223" si="105">I224</f>
        <v>379179.71791925468</v>
      </c>
      <c r="J223" s="1216">
        <f t="shared" si="105"/>
        <v>0</v>
      </c>
      <c r="K223" s="1216">
        <f t="shared" si="105"/>
        <v>0</v>
      </c>
      <c r="L223" s="1216">
        <f t="shared" si="105"/>
        <v>0</v>
      </c>
      <c r="M223" s="1216">
        <f t="shared" si="105"/>
        <v>0</v>
      </c>
      <c r="N223" s="1216">
        <f t="shared" si="105"/>
        <v>195199.52380952382</v>
      </c>
      <c r="O223" s="1216">
        <f t="shared" si="105"/>
        <v>195199.52380952382</v>
      </c>
      <c r="P223" s="1216">
        <f t="shared" si="105"/>
        <v>190000</v>
      </c>
      <c r="Q223" s="1216">
        <f t="shared" si="105"/>
        <v>190000</v>
      </c>
      <c r="R223" s="1216">
        <f t="shared" ref="R223:AE224" si="106">R224</f>
        <v>87160</v>
      </c>
      <c r="S223" s="1216">
        <f t="shared" si="106"/>
        <v>92359.523809523802</v>
      </c>
      <c r="T223" s="1216">
        <f t="shared" si="106"/>
        <v>190000</v>
      </c>
      <c r="U223" s="1216">
        <f t="shared" si="106"/>
        <v>190000</v>
      </c>
      <c r="V223" s="1216">
        <f>V224</f>
        <v>13100</v>
      </c>
      <c r="W223" s="1216">
        <f>W224</f>
        <v>5200</v>
      </c>
      <c r="X223" s="1216">
        <f t="shared" si="106"/>
        <v>197900</v>
      </c>
      <c r="Y223" s="1216">
        <f t="shared" si="106"/>
        <v>197900</v>
      </c>
      <c r="Z223" s="1216">
        <f t="shared" si="106"/>
        <v>17655</v>
      </c>
      <c r="AA223" s="1216">
        <f t="shared" si="106"/>
        <v>17655</v>
      </c>
      <c r="AB223" s="1216">
        <f t="shared" si="106"/>
        <v>29451</v>
      </c>
      <c r="AC223" s="1216">
        <f t="shared" si="106"/>
        <v>29451</v>
      </c>
      <c r="AD223" s="1341">
        <f t="shared" si="106"/>
        <v>0</v>
      </c>
      <c r="AE223" s="1341">
        <f t="shared" si="106"/>
        <v>0</v>
      </c>
      <c r="AF223" s="1341">
        <f t="shared" ref="AD223:AK224" si="107">AF224</f>
        <v>0</v>
      </c>
      <c r="AG223" s="1341">
        <f t="shared" si="107"/>
        <v>0</v>
      </c>
      <c r="AH223" s="1341">
        <f t="shared" si="107"/>
        <v>0</v>
      </c>
      <c r="AI223" s="1341">
        <f t="shared" si="107"/>
        <v>0</v>
      </c>
      <c r="AJ223" s="1341">
        <f t="shared" si="107"/>
        <v>0</v>
      </c>
      <c r="AK223" s="1341">
        <f t="shared" si="107"/>
        <v>0</v>
      </c>
      <c r="AL223" s="69"/>
      <c r="AM223" s="1009">
        <f t="shared" si="82"/>
        <v>1</v>
      </c>
      <c r="AN223" s="1009">
        <f t="shared" si="83"/>
        <v>1</v>
      </c>
      <c r="AO223" s="144">
        <f t="shared" si="66"/>
        <v>1</v>
      </c>
      <c r="AP223" s="144"/>
      <c r="XEN223" s="1190"/>
      <c r="XEO223" s="1199"/>
      <c r="XEP223" s="1191"/>
      <c r="XEQ223" s="1192"/>
      <c r="XER223" s="1184"/>
      <c r="XES223" s="1184"/>
      <c r="XET223" s="1193"/>
      <c r="XEU223" s="1178"/>
      <c r="XEV223" s="1179"/>
      <c r="XEW223" s="1187"/>
      <c r="XEX223" s="1179"/>
      <c r="XEY223" s="1187"/>
      <c r="XEZ223" s="1194"/>
      <c r="XFA223" s="1194"/>
      <c r="XFB223" s="1185"/>
      <c r="XFC223" s="1185"/>
      <c r="XFD223" s="1196"/>
    </row>
    <row r="224" spans="1:42 16368:16384" ht="34.5" hidden="1" x14ac:dyDescent="0.25">
      <c r="A224" s="1066" t="s">
        <v>85</v>
      </c>
      <c r="B224" s="1066"/>
      <c r="C224" s="51" t="s">
        <v>86</v>
      </c>
      <c r="D224" s="57"/>
      <c r="E224" s="57"/>
      <c r="F224" s="57"/>
      <c r="G224" s="57"/>
      <c r="H224" s="1017">
        <f>H225+H331</f>
        <v>379179.71791925468</v>
      </c>
      <c r="I224" s="1017">
        <f t="shared" ref="I224:Y224" si="108">I225+I331</f>
        <v>379179.71791925468</v>
      </c>
      <c r="J224" s="1017">
        <f t="shared" si="108"/>
        <v>0</v>
      </c>
      <c r="K224" s="1017">
        <f t="shared" si="108"/>
        <v>0</v>
      </c>
      <c r="L224" s="1017">
        <f t="shared" si="108"/>
        <v>0</v>
      </c>
      <c r="M224" s="1017">
        <f t="shared" si="108"/>
        <v>0</v>
      </c>
      <c r="N224" s="1017">
        <f t="shared" si="108"/>
        <v>195199.52380952382</v>
      </c>
      <c r="O224" s="1017">
        <f t="shared" si="108"/>
        <v>195199.52380952382</v>
      </c>
      <c r="P224" s="1017">
        <f t="shared" si="108"/>
        <v>190000</v>
      </c>
      <c r="Q224" s="1017">
        <f t="shared" si="108"/>
        <v>190000</v>
      </c>
      <c r="R224" s="1017">
        <f t="shared" si="108"/>
        <v>87160</v>
      </c>
      <c r="S224" s="1017">
        <f t="shared" si="108"/>
        <v>92359.523809523802</v>
      </c>
      <c r="T224" s="1017">
        <f t="shared" si="108"/>
        <v>190000</v>
      </c>
      <c r="U224" s="1017">
        <f t="shared" si="108"/>
        <v>190000</v>
      </c>
      <c r="V224" s="1017">
        <f t="shared" si="108"/>
        <v>13100</v>
      </c>
      <c r="W224" s="1017">
        <f t="shared" si="108"/>
        <v>5200</v>
      </c>
      <c r="X224" s="1017">
        <f t="shared" si="108"/>
        <v>197900</v>
      </c>
      <c r="Y224" s="1017">
        <f t="shared" si="108"/>
        <v>197900</v>
      </c>
      <c r="Z224" s="1017">
        <f t="shared" si="106"/>
        <v>17655</v>
      </c>
      <c r="AA224" s="1017">
        <f t="shared" si="106"/>
        <v>17655</v>
      </c>
      <c r="AB224" s="1017">
        <f t="shared" si="106"/>
        <v>29451</v>
      </c>
      <c r="AC224" s="1017">
        <f t="shared" si="106"/>
        <v>29451</v>
      </c>
      <c r="AD224" s="1016">
        <f t="shared" si="107"/>
        <v>0</v>
      </c>
      <c r="AE224" s="1016">
        <f t="shared" si="107"/>
        <v>0</v>
      </c>
      <c r="AF224" s="1016">
        <f t="shared" si="107"/>
        <v>0</v>
      </c>
      <c r="AG224" s="1016">
        <f t="shared" si="107"/>
        <v>0</v>
      </c>
      <c r="AH224" s="1016">
        <f t="shared" si="107"/>
        <v>0</v>
      </c>
      <c r="AI224" s="1016">
        <f t="shared" si="107"/>
        <v>0</v>
      </c>
      <c r="AJ224" s="1016">
        <f t="shared" si="107"/>
        <v>0</v>
      </c>
      <c r="AK224" s="1016">
        <f t="shared" si="107"/>
        <v>0</v>
      </c>
      <c r="AL224" s="59"/>
      <c r="AM224" s="1009">
        <f t="shared" si="82"/>
        <v>1</v>
      </c>
      <c r="AN224" s="1009">
        <f t="shared" si="83"/>
        <v>1</v>
      </c>
      <c r="AO224" s="144">
        <f t="shared" si="66"/>
        <v>1</v>
      </c>
      <c r="AP224" s="144"/>
    </row>
    <row r="225" spans="1:41" ht="51.75" hidden="1" x14ac:dyDescent="0.25">
      <c r="A225" s="50" t="s">
        <v>87</v>
      </c>
      <c r="B225" s="50"/>
      <c r="C225" s="51" t="s">
        <v>88</v>
      </c>
      <c r="D225" s="57"/>
      <c r="E225" s="57"/>
      <c r="F225" s="57"/>
      <c r="G225" s="57"/>
      <c r="H225" s="1017">
        <f t="shared" ref="H225:Y225" si="109">SUM(H226:H330)</f>
        <v>336670.71791925468</v>
      </c>
      <c r="I225" s="1017">
        <f t="shared" si="109"/>
        <v>336670.71791925468</v>
      </c>
      <c r="J225" s="1017">
        <f t="shared" si="109"/>
        <v>0</v>
      </c>
      <c r="K225" s="1017">
        <f t="shared" si="109"/>
        <v>0</v>
      </c>
      <c r="L225" s="1017">
        <f t="shared" si="109"/>
        <v>0</v>
      </c>
      <c r="M225" s="1017">
        <f t="shared" si="109"/>
        <v>0</v>
      </c>
      <c r="N225" s="1017">
        <f t="shared" si="109"/>
        <v>195199.52380952382</v>
      </c>
      <c r="O225" s="1017">
        <f t="shared" si="109"/>
        <v>195199.52380952382</v>
      </c>
      <c r="P225" s="1017">
        <f t="shared" si="109"/>
        <v>175730</v>
      </c>
      <c r="Q225" s="1017">
        <f t="shared" si="109"/>
        <v>175730</v>
      </c>
      <c r="R225" s="1017">
        <f t="shared" si="109"/>
        <v>72890</v>
      </c>
      <c r="S225" s="1017">
        <f t="shared" si="109"/>
        <v>92359.523809523802</v>
      </c>
      <c r="T225" s="1017">
        <f t="shared" si="109"/>
        <v>175730</v>
      </c>
      <c r="U225" s="1017">
        <f t="shared" si="109"/>
        <v>175730</v>
      </c>
      <c r="V225" s="1017">
        <f t="shared" si="109"/>
        <v>13100</v>
      </c>
      <c r="W225" s="1017">
        <f t="shared" si="109"/>
        <v>5200</v>
      </c>
      <c r="X225" s="1017">
        <f t="shared" si="109"/>
        <v>183630</v>
      </c>
      <c r="Y225" s="1017">
        <f t="shared" si="109"/>
        <v>183630</v>
      </c>
      <c r="Z225" s="1017">
        <f>Z227+SUM(Z230:Z232)+Z235+SUM(Z238:Z240)+Z244+Z246+Z247+Z249+SUM(Z251:Z261)+SUM(Z263:Z330)</f>
        <v>17655</v>
      </c>
      <c r="AA225" s="1017">
        <f>AA227+SUM(AA230:AA232)+AA235+SUM(AA238:AA240)+AA244+AA246+AA247+AA249+SUM(AA251:AA261)+SUM(AA263:AA330)</f>
        <v>17655</v>
      </c>
      <c r="AB225" s="1017">
        <f>AB227+SUM(AB230:AB232)+AB235+SUM(AB238:AB240)+AB244+AB246+AB247+AB249+SUM(AB251:AB261)+SUM(AB263:AB330)</f>
        <v>29451</v>
      </c>
      <c r="AC225" s="1017">
        <f>AC227+SUM(AC230:AC232)+AC235+SUM(AC238:AC240)+AC244+AC246+AC247+AC249+SUM(AC251:AC261)+SUM(AC263:AC330)</f>
        <v>29451</v>
      </c>
      <c r="AD225" s="1016">
        <f t="shared" ref="AD225:AK225" si="110">SUM(AD226:AD330)</f>
        <v>0</v>
      </c>
      <c r="AE225" s="1016">
        <f t="shared" si="110"/>
        <v>0</v>
      </c>
      <c r="AF225" s="1016">
        <f t="shared" si="110"/>
        <v>0</v>
      </c>
      <c r="AG225" s="1016">
        <f t="shared" si="110"/>
        <v>0</v>
      </c>
      <c r="AH225" s="1016">
        <f t="shared" si="110"/>
        <v>0</v>
      </c>
      <c r="AI225" s="1016">
        <f t="shared" si="110"/>
        <v>0</v>
      </c>
      <c r="AJ225" s="1016">
        <f t="shared" si="110"/>
        <v>0</v>
      </c>
      <c r="AK225" s="1016">
        <f t="shared" si="110"/>
        <v>0</v>
      </c>
      <c r="AL225" s="59"/>
      <c r="AM225" s="1009">
        <f t="shared" si="82"/>
        <v>1</v>
      </c>
      <c r="AN225" s="1009">
        <f t="shared" si="83"/>
        <v>1</v>
      </c>
      <c r="AO225" s="144">
        <f t="shared" si="66"/>
        <v>1</v>
      </c>
    </row>
    <row r="226" spans="1:41" ht="49.5" hidden="1" x14ac:dyDescent="0.25">
      <c r="A226" s="61">
        <v>1</v>
      </c>
      <c r="B226" s="61"/>
      <c r="C226" s="91" t="s">
        <v>1648</v>
      </c>
      <c r="D226" s="61" t="s">
        <v>1359</v>
      </c>
      <c r="E226" s="61" t="s">
        <v>1647</v>
      </c>
      <c r="F226" s="61">
        <v>2016</v>
      </c>
      <c r="G226" s="61" t="s">
        <v>1646</v>
      </c>
      <c r="H226" s="63">
        <v>9627</v>
      </c>
      <c r="I226" s="1026">
        <f t="shared" ref="I226:I265" si="111">H226</f>
        <v>9627</v>
      </c>
      <c r="J226" s="282"/>
      <c r="K226" s="63"/>
      <c r="L226" s="282"/>
      <c r="M226" s="63"/>
      <c r="N226" s="1031">
        <f t="shared" ref="N226:N278" si="112">O226</f>
        <v>8850</v>
      </c>
      <c r="O226" s="63">
        <v>8850</v>
      </c>
      <c r="P226" s="1042">
        <v>8850</v>
      </c>
      <c r="Q226" s="1043">
        <v>8850</v>
      </c>
      <c r="R226" s="54"/>
      <c r="S226" s="54"/>
      <c r="T226" s="1046">
        <v>8850</v>
      </c>
      <c r="U226" s="1098">
        <v>8850</v>
      </c>
      <c r="V226" s="54"/>
      <c r="W226" s="54"/>
      <c r="X226" s="1046">
        <v>8850</v>
      </c>
      <c r="Y226" s="1098">
        <v>8850</v>
      </c>
      <c r="Z226" s="282">
        <f t="shared" ref="Z226:Z261" si="113">AA226</f>
        <v>5770</v>
      </c>
      <c r="AA226" s="282">
        <v>5770</v>
      </c>
      <c r="AB226" s="282">
        <f t="shared" ref="AB226:AB261" si="114">AC226</f>
        <v>2177</v>
      </c>
      <c r="AC226" s="282">
        <v>2177</v>
      </c>
      <c r="AD226" s="282"/>
      <c r="AE226" s="282"/>
      <c r="AF226" s="282"/>
      <c r="AG226" s="282"/>
      <c r="AH226" s="282"/>
      <c r="AI226" s="282"/>
      <c r="AJ226" s="282"/>
      <c r="AK226" s="282"/>
      <c r="AL226" s="69"/>
      <c r="AM226" s="1009">
        <f t="shared" si="82"/>
        <v>0</v>
      </c>
      <c r="AN226" s="1009">
        <f t="shared" si="83"/>
        <v>1</v>
      </c>
      <c r="AO226" s="144">
        <f t="shared" si="66"/>
        <v>1</v>
      </c>
    </row>
    <row r="227" spans="1:41" ht="66" hidden="1" x14ac:dyDescent="0.25">
      <c r="A227" s="61">
        <v>2</v>
      </c>
      <c r="B227" s="61"/>
      <c r="C227" s="1099" t="s">
        <v>1645</v>
      </c>
      <c r="D227" s="61" t="s">
        <v>1640</v>
      </c>
      <c r="E227" s="61" t="s">
        <v>1644</v>
      </c>
      <c r="F227" s="61">
        <v>2016</v>
      </c>
      <c r="G227" s="61" t="s">
        <v>1643</v>
      </c>
      <c r="H227" s="63">
        <v>1934</v>
      </c>
      <c r="I227" s="1026">
        <f t="shared" si="111"/>
        <v>1934</v>
      </c>
      <c r="J227" s="282"/>
      <c r="K227" s="63"/>
      <c r="L227" s="282"/>
      <c r="M227" s="63"/>
      <c r="N227" s="1031">
        <f t="shared" si="112"/>
        <v>1750</v>
      </c>
      <c r="O227" s="63">
        <v>1750</v>
      </c>
      <c r="P227" s="1042">
        <f>Q227</f>
        <v>1520</v>
      </c>
      <c r="Q227" s="1043">
        <v>1520</v>
      </c>
      <c r="R227" s="54"/>
      <c r="S227" s="54">
        <f>O227-U227</f>
        <v>230</v>
      </c>
      <c r="T227" s="1046">
        <f>U227</f>
        <v>1520</v>
      </c>
      <c r="U227" s="1098">
        <v>1520</v>
      </c>
      <c r="V227" s="54"/>
      <c r="W227" s="54"/>
      <c r="X227" s="1046">
        <f>Y227</f>
        <v>1520</v>
      </c>
      <c r="Y227" s="1098">
        <v>1520</v>
      </c>
      <c r="Z227" s="282">
        <f t="shared" si="113"/>
        <v>1160</v>
      </c>
      <c r="AA227" s="282">
        <v>1160</v>
      </c>
      <c r="AB227" s="282">
        <f t="shared" si="114"/>
        <v>200</v>
      </c>
      <c r="AC227" s="282">
        <v>200</v>
      </c>
      <c r="AD227" s="282"/>
      <c r="AE227" s="282"/>
      <c r="AF227" s="282"/>
      <c r="AG227" s="282"/>
      <c r="AH227" s="282"/>
      <c r="AI227" s="282"/>
      <c r="AJ227" s="282"/>
      <c r="AK227" s="282"/>
      <c r="AL227" s="25"/>
      <c r="AM227" s="1009">
        <f t="shared" si="82"/>
        <v>0</v>
      </c>
      <c r="AN227" s="1009">
        <f t="shared" si="83"/>
        <v>1</v>
      </c>
      <c r="AO227" s="144">
        <f t="shared" si="66"/>
        <v>1</v>
      </c>
    </row>
    <row r="228" spans="1:41" ht="51.75" hidden="1" customHeight="1" x14ac:dyDescent="0.25">
      <c r="A228" s="61">
        <v>3</v>
      </c>
      <c r="B228" s="61"/>
      <c r="C228" s="1099" t="s">
        <v>1641</v>
      </c>
      <c r="D228" s="61" t="s">
        <v>1640</v>
      </c>
      <c r="E228" s="61" t="s">
        <v>1639</v>
      </c>
      <c r="F228" s="61">
        <v>2016</v>
      </c>
      <c r="G228" s="61" t="s">
        <v>1638</v>
      </c>
      <c r="H228" s="63">
        <v>8333</v>
      </c>
      <c r="I228" s="1026">
        <f t="shared" si="111"/>
        <v>8333</v>
      </c>
      <c r="J228" s="282"/>
      <c r="K228" s="63"/>
      <c r="L228" s="282"/>
      <c r="M228" s="63"/>
      <c r="N228" s="1031">
        <f t="shared" si="112"/>
        <v>7550</v>
      </c>
      <c r="O228" s="63">
        <v>7550</v>
      </c>
      <c r="P228" s="1042">
        <v>7550</v>
      </c>
      <c r="Q228" s="1043">
        <v>7550</v>
      </c>
      <c r="R228" s="54"/>
      <c r="S228" s="54"/>
      <c r="T228" s="1046">
        <v>7550</v>
      </c>
      <c r="U228" s="1098">
        <v>7550</v>
      </c>
      <c r="V228" s="54"/>
      <c r="W228" s="54"/>
      <c r="X228" s="1046">
        <v>7550</v>
      </c>
      <c r="Y228" s="1098">
        <v>7550</v>
      </c>
      <c r="Z228" s="282">
        <f t="shared" si="113"/>
        <v>5000</v>
      </c>
      <c r="AA228" s="282">
        <v>5000</v>
      </c>
      <c r="AB228" s="282">
        <f t="shared" si="114"/>
        <v>1275</v>
      </c>
      <c r="AC228" s="282">
        <v>1275</v>
      </c>
      <c r="AD228" s="282"/>
      <c r="AE228" s="282"/>
      <c r="AF228" s="282"/>
      <c r="AG228" s="282"/>
      <c r="AH228" s="282"/>
      <c r="AI228" s="282"/>
      <c r="AJ228" s="282"/>
      <c r="AK228" s="282"/>
      <c r="AL228" s="69"/>
      <c r="AM228" s="1009">
        <f t="shared" si="82"/>
        <v>0</v>
      </c>
      <c r="AN228" s="1009">
        <f t="shared" si="83"/>
        <v>1</v>
      </c>
      <c r="AO228" s="144">
        <f t="shared" si="66"/>
        <v>1</v>
      </c>
    </row>
    <row r="229" spans="1:41" ht="49.5" hidden="1" x14ac:dyDescent="0.25">
      <c r="A229" s="61">
        <v>4</v>
      </c>
      <c r="B229" s="61"/>
      <c r="C229" s="1100" t="s">
        <v>1637</v>
      </c>
      <c r="D229" s="61" t="s">
        <v>1357</v>
      </c>
      <c r="E229" s="61" t="s">
        <v>1636</v>
      </c>
      <c r="F229" s="61">
        <v>2016</v>
      </c>
      <c r="G229" s="61" t="s">
        <v>1635</v>
      </c>
      <c r="H229" s="63">
        <v>2669</v>
      </c>
      <c r="I229" s="1026">
        <f t="shared" si="111"/>
        <v>2669</v>
      </c>
      <c r="J229" s="1017"/>
      <c r="K229" s="1017"/>
      <c r="L229" s="1017"/>
      <c r="M229" s="1017"/>
      <c r="N229" s="1031">
        <f t="shared" si="112"/>
        <v>2450</v>
      </c>
      <c r="O229" s="63">
        <v>2450</v>
      </c>
      <c r="P229" s="1042">
        <v>2450</v>
      </c>
      <c r="Q229" s="1043">
        <v>2450</v>
      </c>
      <c r="R229" s="54"/>
      <c r="S229" s="54"/>
      <c r="T229" s="1046">
        <v>2450</v>
      </c>
      <c r="U229" s="1098">
        <v>2450</v>
      </c>
      <c r="V229" s="54"/>
      <c r="W229" s="54"/>
      <c r="X229" s="1046">
        <v>2450</v>
      </c>
      <c r="Y229" s="1098">
        <v>2450</v>
      </c>
      <c r="Z229" s="282">
        <f t="shared" si="113"/>
        <v>1600</v>
      </c>
      <c r="AA229" s="282">
        <v>1600</v>
      </c>
      <c r="AB229" s="282">
        <f t="shared" si="114"/>
        <v>270</v>
      </c>
      <c r="AC229" s="282">
        <v>270</v>
      </c>
      <c r="AD229" s="282"/>
      <c r="AE229" s="282"/>
      <c r="AF229" s="282"/>
      <c r="AG229" s="282"/>
      <c r="AH229" s="282"/>
      <c r="AI229" s="282"/>
      <c r="AJ229" s="282"/>
      <c r="AK229" s="282"/>
      <c r="AL229" s="59"/>
      <c r="AM229" s="1009">
        <f t="shared" si="82"/>
        <v>0</v>
      </c>
      <c r="AN229" s="1009">
        <f t="shared" si="83"/>
        <v>1</v>
      </c>
      <c r="AO229" s="144">
        <f t="shared" si="66"/>
        <v>1</v>
      </c>
    </row>
    <row r="230" spans="1:41" ht="49.5" hidden="1" x14ac:dyDescent="0.25">
      <c r="A230" s="61">
        <v>5</v>
      </c>
      <c r="B230" s="61"/>
      <c r="C230" s="1100" t="s">
        <v>1634</v>
      </c>
      <c r="D230" s="61" t="s">
        <v>1357</v>
      </c>
      <c r="E230" s="61" t="s">
        <v>1633</v>
      </c>
      <c r="F230" s="61">
        <v>2016</v>
      </c>
      <c r="G230" s="61" t="s">
        <v>1632</v>
      </c>
      <c r="H230" s="63">
        <v>2089</v>
      </c>
      <c r="I230" s="1026">
        <f t="shared" si="111"/>
        <v>2089</v>
      </c>
      <c r="J230" s="1028"/>
      <c r="K230" s="1028"/>
      <c r="L230" s="1028"/>
      <c r="M230" s="1028"/>
      <c r="N230" s="1031">
        <f t="shared" si="112"/>
        <v>1950</v>
      </c>
      <c r="O230" s="63">
        <v>1950</v>
      </c>
      <c r="P230" s="1042">
        <f>Q230</f>
        <v>1720</v>
      </c>
      <c r="Q230" s="1043">
        <v>1720</v>
      </c>
      <c r="R230" s="54"/>
      <c r="S230" s="54">
        <f>O230-U230</f>
        <v>230</v>
      </c>
      <c r="T230" s="1046">
        <f>U230</f>
        <v>1720</v>
      </c>
      <c r="U230" s="1098">
        <v>1720</v>
      </c>
      <c r="V230" s="54"/>
      <c r="W230" s="54"/>
      <c r="X230" s="1046">
        <f>Y230</f>
        <v>1720</v>
      </c>
      <c r="Y230" s="1098">
        <v>1720</v>
      </c>
      <c r="Z230" s="282">
        <f t="shared" si="113"/>
        <v>1250</v>
      </c>
      <c r="AA230" s="282">
        <v>1250</v>
      </c>
      <c r="AB230" s="282">
        <f t="shared" si="114"/>
        <v>230</v>
      </c>
      <c r="AC230" s="282">
        <v>230</v>
      </c>
      <c r="AD230" s="282"/>
      <c r="AE230" s="282"/>
      <c r="AF230" s="282"/>
      <c r="AG230" s="282"/>
      <c r="AH230" s="282"/>
      <c r="AI230" s="282"/>
      <c r="AJ230" s="282"/>
      <c r="AK230" s="282"/>
      <c r="AL230" s="1029"/>
      <c r="AM230" s="1009">
        <f t="shared" si="82"/>
        <v>0</v>
      </c>
      <c r="AN230" s="1009">
        <f t="shared" si="83"/>
        <v>1</v>
      </c>
      <c r="AO230" s="144">
        <f t="shared" si="66"/>
        <v>1</v>
      </c>
    </row>
    <row r="231" spans="1:41" ht="49.5" hidden="1" x14ac:dyDescent="0.25">
      <c r="A231" s="61">
        <v>6</v>
      </c>
      <c r="B231" s="61"/>
      <c r="C231" s="1100" t="s">
        <v>1631</v>
      </c>
      <c r="D231" s="61" t="s">
        <v>1357</v>
      </c>
      <c r="E231" s="61" t="s">
        <v>1630</v>
      </c>
      <c r="F231" s="61">
        <v>2016</v>
      </c>
      <c r="G231" s="61" t="s">
        <v>1629</v>
      </c>
      <c r="H231" s="63">
        <v>1706</v>
      </c>
      <c r="I231" s="1026">
        <f t="shared" si="111"/>
        <v>1706</v>
      </c>
      <c r="J231" s="282"/>
      <c r="K231" s="282"/>
      <c r="L231" s="282"/>
      <c r="M231" s="282"/>
      <c r="N231" s="1031">
        <f t="shared" si="112"/>
        <v>1600</v>
      </c>
      <c r="O231" s="63">
        <v>1600</v>
      </c>
      <c r="P231" s="1042">
        <f>Q231</f>
        <v>1330</v>
      </c>
      <c r="Q231" s="1043">
        <v>1330</v>
      </c>
      <c r="R231" s="54"/>
      <c r="S231" s="54">
        <f>O231-U231</f>
        <v>270</v>
      </c>
      <c r="T231" s="1046">
        <f>U231</f>
        <v>1330</v>
      </c>
      <c r="U231" s="1098">
        <v>1330</v>
      </c>
      <c r="V231" s="54"/>
      <c r="W231" s="54"/>
      <c r="X231" s="1046">
        <f>Y231</f>
        <v>1330</v>
      </c>
      <c r="Y231" s="1098">
        <v>1330</v>
      </c>
      <c r="Z231" s="282">
        <f t="shared" si="113"/>
        <v>1020</v>
      </c>
      <c r="AA231" s="282">
        <v>1020</v>
      </c>
      <c r="AB231" s="282">
        <f t="shared" si="114"/>
        <v>250</v>
      </c>
      <c r="AC231" s="282">
        <v>250</v>
      </c>
      <c r="AD231" s="282"/>
      <c r="AE231" s="282"/>
      <c r="AF231" s="282"/>
      <c r="AG231" s="282"/>
      <c r="AH231" s="282"/>
      <c r="AI231" s="282"/>
      <c r="AJ231" s="282"/>
      <c r="AK231" s="282"/>
      <c r="AL231" s="69"/>
      <c r="AM231" s="1009">
        <f t="shared" si="82"/>
        <v>0</v>
      </c>
      <c r="AN231" s="1009">
        <f t="shared" si="83"/>
        <v>1</v>
      </c>
      <c r="AO231" s="144">
        <f t="shared" si="66"/>
        <v>1</v>
      </c>
    </row>
    <row r="232" spans="1:41" ht="49.5" hidden="1" x14ac:dyDescent="0.25">
      <c r="A232" s="61">
        <v>7</v>
      </c>
      <c r="B232" s="61"/>
      <c r="C232" s="1100" t="s">
        <v>1628</v>
      </c>
      <c r="D232" s="61" t="s">
        <v>1357</v>
      </c>
      <c r="E232" s="61" t="s">
        <v>1627</v>
      </c>
      <c r="F232" s="61">
        <v>2016</v>
      </c>
      <c r="G232" s="61" t="s">
        <v>1626</v>
      </c>
      <c r="H232" s="63">
        <v>1307</v>
      </c>
      <c r="I232" s="1026">
        <f t="shared" si="111"/>
        <v>1307</v>
      </c>
      <c r="J232" s="282"/>
      <c r="K232" s="282"/>
      <c r="L232" s="282"/>
      <c r="M232" s="282"/>
      <c r="N232" s="1031">
        <f t="shared" si="112"/>
        <v>1200</v>
      </c>
      <c r="O232" s="63">
        <v>1200</v>
      </c>
      <c r="P232" s="1042">
        <v>1050</v>
      </c>
      <c r="Q232" s="1043">
        <v>1050</v>
      </c>
      <c r="R232" s="54"/>
      <c r="S232" s="54">
        <f>O232-U232</f>
        <v>150</v>
      </c>
      <c r="T232" s="1046">
        <v>1050</v>
      </c>
      <c r="U232" s="1098">
        <v>1050</v>
      </c>
      <c r="V232" s="54"/>
      <c r="W232" s="54"/>
      <c r="X232" s="1046">
        <v>1050</v>
      </c>
      <c r="Y232" s="1098">
        <v>1050</v>
      </c>
      <c r="Z232" s="282">
        <f t="shared" si="113"/>
        <v>780</v>
      </c>
      <c r="AA232" s="282">
        <v>780</v>
      </c>
      <c r="AB232" s="282">
        <f t="shared" si="114"/>
        <v>190</v>
      </c>
      <c r="AC232" s="282">
        <v>190</v>
      </c>
      <c r="AD232" s="282"/>
      <c r="AE232" s="282"/>
      <c r="AF232" s="282"/>
      <c r="AG232" s="282"/>
      <c r="AH232" s="282"/>
      <c r="AI232" s="282"/>
      <c r="AJ232" s="282"/>
      <c r="AK232" s="282"/>
      <c r="AL232" s="69"/>
      <c r="AM232" s="1009">
        <f t="shared" si="82"/>
        <v>0</v>
      </c>
      <c r="AN232" s="1009">
        <f t="shared" si="83"/>
        <v>1</v>
      </c>
      <c r="AO232" s="144">
        <f t="shared" si="66"/>
        <v>1</v>
      </c>
    </row>
    <row r="233" spans="1:41" ht="49.5" hidden="1" x14ac:dyDescent="0.25">
      <c r="A233" s="61">
        <v>8</v>
      </c>
      <c r="B233" s="61"/>
      <c r="C233" s="1099" t="s">
        <v>1625</v>
      </c>
      <c r="D233" s="61" t="s">
        <v>1357</v>
      </c>
      <c r="E233" s="61" t="s">
        <v>1624</v>
      </c>
      <c r="F233" s="61">
        <v>2016</v>
      </c>
      <c r="G233" s="61" t="s">
        <v>1623</v>
      </c>
      <c r="H233" s="63">
        <v>2749</v>
      </c>
      <c r="I233" s="1026">
        <f t="shared" si="111"/>
        <v>2749</v>
      </c>
      <c r="J233" s="282"/>
      <c r="K233" s="282"/>
      <c r="L233" s="282"/>
      <c r="M233" s="282"/>
      <c r="N233" s="1031">
        <f t="shared" si="112"/>
        <v>2500</v>
      </c>
      <c r="O233" s="63">
        <v>2500</v>
      </c>
      <c r="P233" s="1042">
        <v>2500</v>
      </c>
      <c r="Q233" s="1043">
        <v>2500</v>
      </c>
      <c r="R233" s="54"/>
      <c r="S233" s="54"/>
      <c r="T233" s="1046">
        <v>2500</v>
      </c>
      <c r="U233" s="1098">
        <v>2500</v>
      </c>
      <c r="V233" s="54"/>
      <c r="W233" s="54"/>
      <c r="X233" s="1046">
        <v>2500</v>
      </c>
      <c r="Y233" s="1098">
        <v>2500</v>
      </c>
      <c r="Z233" s="282">
        <f t="shared" si="113"/>
        <v>1650</v>
      </c>
      <c r="AA233" s="282">
        <v>1650</v>
      </c>
      <c r="AB233" s="282">
        <f t="shared" si="114"/>
        <v>320</v>
      </c>
      <c r="AC233" s="282">
        <v>320</v>
      </c>
      <c r="AD233" s="282"/>
      <c r="AE233" s="282"/>
      <c r="AF233" s="282"/>
      <c r="AG233" s="282"/>
      <c r="AH233" s="282"/>
      <c r="AI233" s="282"/>
      <c r="AJ233" s="282"/>
      <c r="AK233" s="282"/>
      <c r="AL233" s="69"/>
      <c r="AM233" s="1009">
        <f t="shared" si="82"/>
        <v>0</v>
      </c>
      <c r="AN233" s="1009">
        <f t="shared" si="83"/>
        <v>1</v>
      </c>
      <c r="AO233" s="144">
        <f t="shared" si="66"/>
        <v>1</v>
      </c>
    </row>
    <row r="234" spans="1:41" ht="49.5" hidden="1" x14ac:dyDescent="0.25">
      <c r="A234" s="61">
        <v>9</v>
      </c>
      <c r="B234" s="61"/>
      <c r="C234" s="1100" t="s">
        <v>1622</v>
      </c>
      <c r="D234" s="61" t="s">
        <v>1357</v>
      </c>
      <c r="E234" s="61" t="s">
        <v>1621</v>
      </c>
      <c r="F234" s="61">
        <v>2016</v>
      </c>
      <c r="G234" s="61" t="s">
        <v>1620</v>
      </c>
      <c r="H234" s="63">
        <v>1653</v>
      </c>
      <c r="I234" s="1026">
        <f t="shared" si="111"/>
        <v>1653</v>
      </c>
      <c r="J234" s="282"/>
      <c r="K234" s="282"/>
      <c r="L234" s="282"/>
      <c r="M234" s="282"/>
      <c r="N234" s="1031">
        <f t="shared" si="112"/>
        <v>1500</v>
      </c>
      <c r="O234" s="63">
        <v>1500</v>
      </c>
      <c r="P234" s="1042">
        <v>1500</v>
      </c>
      <c r="Q234" s="1043">
        <v>1500</v>
      </c>
      <c r="R234" s="54"/>
      <c r="S234" s="54"/>
      <c r="T234" s="1046">
        <v>1500</v>
      </c>
      <c r="U234" s="1098">
        <v>1500</v>
      </c>
      <c r="V234" s="54"/>
      <c r="W234" s="54"/>
      <c r="X234" s="1046">
        <v>1500</v>
      </c>
      <c r="Y234" s="1098">
        <v>1500</v>
      </c>
      <c r="Z234" s="282">
        <f t="shared" si="113"/>
        <v>990</v>
      </c>
      <c r="AA234" s="282">
        <v>990</v>
      </c>
      <c r="AB234" s="282">
        <f t="shared" si="114"/>
        <v>250</v>
      </c>
      <c r="AC234" s="282">
        <v>250</v>
      </c>
      <c r="AD234" s="282"/>
      <c r="AE234" s="282"/>
      <c r="AF234" s="282"/>
      <c r="AG234" s="282"/>
      <c r="AH234" s="282"/>
      <c r="AI234" s="282"/>
      <c r="AJ234" s="282"/>
      <c r="AK234" s="282"/>
      <c r="AL234" s="69"/>
      <c r="AM234" s="1009">
        <f t="shared" si="82"/>
        <v>0</v>
      </c>
      <c r="AN234" s="1009">
        <f t="shared" si="83"/>
        <v>1</v>
      </c>
      <c r="AO234" s="144">
        <f t="shared" si="66"/>
        <v>1</v>
      </c>
    </row>
    <row r="235" spans="1:41" ht="49.5" hidden="1" x14ac:dyDescent="0.25">
      <c r="A235" s="61">
        <v>10</v>
      </c>
      <c r="B235" s="61"/>
      <c r="C235" s="1100" t="s">
        <v>1619</v>
      </c>
      <c r="D235" s="61" t="s">
        <v>1357</v>
      </c>
      <c r="E235" s="61" t="s">
        <v>1618</v>
      </c>
      <c r="F235" s="61">
        <v>2016</v>
      </c>
      <c r="G235" s="61" t="s">
        <v>1617</v>
      </c>
      <c r="H235" s="63">
        <v>1842</v>
      </c>
      <c r="I235" s="1026">
        <f t="shared" si="111"/>
        <v>1842</v>
      </c>
      <c r="J235" s="282"/>
      <c r="K235" s="282"/>
      <c r="L235" s="282"/>
      <c r="M235" s="282"/>
      <c r="N235" s="1031">
        <f t="shared" si="112"/>
        <v>1700</v>
      </c>
      <c r="O235" s="63">
        <v>1700</v>
      </c>
      <c r="P235" s="1042">
        <f>Q235</f>
        <v>1530</v>
      </c>
      <c r="Q235" s="1043">
        <v>1530</v>
      </c>
      <c r="R235" s="54"/>
      <c r="S235" s="54">
        <f>O235-U235</f>
        <v>170</v>
      </c>
      <c r="T235" s="1046">
        <f>U235</f>
        <v>1530</v>
      </c>
      <c r="U235" s="1098">
        <v>1530</v>
      </c>
      <c r="V235" s="54"/>
      <c r="W235" s="54"/>
      <c r="X235" s="1046">
        <f>Y235</f>
        <v>1530</v>
      </c>
      <c r="Y235" s="1098">
        <v>1530</v>
      </c>
      <c r="Z235" s="282">
        <f t="shared" si="113"/>
        <v>1100</v>
      </c>
      <c r="AA235" s="282">
        <v>1100</v>
      </c>
      <c r="AB235" s="282">
        <f t="shared" si="114"/>
        <v>230</v>
      </c>
      <c r="AC235" s="282">
        <v>230</v>
      </c>
      <c r="AD235" s="282"/>
      <c r="AE235" s="282"/>
      <c r="AF235" s="282"/>
      <c r="AG235" s="282"/>
      <c r="AH235" s="282"/>
      <c r="AI235" s="282"/>
      <c r="AJ235" s="282"/>
      <c r="AK235" s="282"/>
      <c r="AL235" s="61"/>
      <c r="AM235" s="1009">
        <f t="shared" si="82"/>
        <v>0</v>
      </c>
      <c r="AN235" s="1009">
        <f t="shared" si="83"/>
        <v>1</v>
      </c>
      <c r="AO235" s="144">
        <f t="shared" si="66"/>
        <v>1</v>
      </c>
    </row>
    <row r="236" spans="1:41" ht="49.5" hidden="1" x14ac:dyDescent="0.25">
      <c r="A236" s="61">
        <v>11</v>
      </c>
      <c r="B236" s="61"/>
      <c r="C236" s="1100" t="s">
        <v>1616</v>
      </c>
      <c r="D236" s="61" t="s">
        <v>1357</v>
      </c>
      <c r="E236" s="61" t="s">
        <v>1615</v>
      </c>
      <c r="F236" s="61">
        <v>2016</v>
      </c>
      <c r="G236" s="61" t="s">
        <v>1614</v>
      </c>
      <c r="H236" s="63">
        <v>1305</v>
      </c>
      <c r="I236" s="1026">
        <f t="shared" si="111"/>
        <v>1305</v>
      </c>
      <c r="J236" s="282"/>
      <c r="K236" s="282"/>
      <c r="L236" s="282"/>
      <c r="M236" s="282"/>
      <c r="N236" s="1031">
        <f t="shared" si="112"/>
        <v>1200</v>
      </c>
      <c r="O236" s="63">
        <v>1200</v>
      </c>
      <c r="P236" s="1042">
        <v>1200</v>
      </c>
      <c r="Q236" s="1043">
        <v>1200</v>
      </c>
      <c r="R236" s="54"/>
      <c r="S236" s="54"/>
      <c r="T236" s="1046">
        <v>1200</v>
      </c>
      <c r="U236" s="1098">
        <v>1200</v>
      </c>
      <c r="V236" s="54"/>
      <c r="W236" s="54"/>
      <c r="X236" s="1046">
        <v>1200</v>
      </c>
      <c r="Y236" s="1098">
        <v>1200</v>
      </c>
      <c r="Z236" s="282">
        <f t="shared" si="113"/>
        <v>780</v>
      </c>
      <c r="AA236" s="282">
        <v>780</v>
      </c>
      <c r="AB236" s="282">
        <f t="shared" si="114"/>
        <v>170</v>
      </c>
      <c r="AC236" s="282">
        <v>170</v>
      </c>
      <c r="AD236" s="282"/>
      <c r="AE236" s="282"/>
      <c r="AF236" s="282"/>
      <c r="AG236" s="282"/>
      <c r="AH236" s="282"/>
      <c r="AI236" s="282"/>
      <c r="AJ236" s="282"/>
      <c r="AK236" s="282"/>
      <c r="AL236" s="69"/>
      <c r="AM236" s="1009">
        <f t="shared" si="82"/>
        <v>0</v>
      </c>
      <c r="AN236" s="1009">
        <f t="shared" si="83"/>
        <v>1</v>
      </c>
      <c r="AO236" s="144">
        <f t="shared" si="66"/>
        <v>1</v>
      </c>
    </row>
    <row r="237" spans="1:41" ht="49.5" hidden="1" x14ac:dyDescent="0.25">
      <c r="A237" s="61">
        <v>12</v>
      </c>
      <c r="B237" s="61"/>
      <c r="C237" s="1100" t="s">
        <v>1613</v>
      </c>
      <c r="D237" s="61" t="s">
        <v>1357</v>
      </c>
      <c r="E237" s="61" t="s">
        <v>1612</v>
      </c>
      <c r="F237" s="61">
        <v>2016</v>
      </c>
      <c r="G237" s="61" t="s">
        <v>1611</v>
      </c>
      <c r="H237" s="1045">
        <v>1342</v>
      </c>
      <c r="I237" s="1026">
        <f t="shared" si="111"/>
        <v>1342</v>
      </c>
      <c r="J237" s="282"/>
      <c r="K237" s="282"/>
      <c r="L237" s="282"/>
      <c r="M237" s="282"/>
      <c r="N237" s="1031">
        <f t="shared" si="112"/>
        <v>1230</v>
      </c>
      <c r="O237" s="63">
        <v>1230</v>
      </c>
      <c r="P237" s="1042">
        <v>1230</v>
      </c>
      <c r="Q237" s="1044">
        <v>1230</v>
      </c>
      <c r="R237" s="54"/>
      <c r="S237" s="54"/>
      <c r="T237" s="1046">
        <v>1230</v>
      </c>
      <c r="U237" s="1047">
        <v>1230</v>
      </c>
      <c r="V237" s="54"/>
      <c r="W237" s="54"/>
      <c r="X237" s="1046">
        <v>1230</v>
      </c>
      <c r="Y237" s="1047">
        <v>1230</v>
      </c>
      <c r="Z237" s="282">
        <f t="shared" si="113"/>
        <v>800</v>
      </c>
      <c r="AA237" s="282">
        <v>800</v>
      </c>
      <c r="AB237" s="282">
        <f t="shared" si="114"/>
        <v>160</v>
      </c>
      <c r="AC237" s="282">
        <v>160</v>
      </c>
      <c r="AD237" s="282"/>
      <c r="AE237" s="282"/>
      <c r="AF237" s="282"/>
      <c r="AG237" s="282"/>
      <c r="AH237" s="282"/>
      <c r="AI237" s="282"/>
      <c r="AJ237" s="282"/>
      <c r="AK237" s="282"/>
      <c r="AL237" s="69"/>
      <c r="AM237" s="1009">
        <f t="shared" si="82"/>
        <v>0</v>
      </c>
      <c r="AN237" s="1009">
        <f t="shared" si="83"/>
        <v>1</v>
      </c>
      <c r="AO237" s="144">
        <f t="shared" ref="AO237:AO300" si="115">IF(I237-Y237&gt;=0,1,0)</f>
        <v>1</v>
      </c>
    </row>
    <row r="238" spans="1:41" ht="49.5" hidden="1" x14ac:dyDescent="0.25">
      <c r="A238" s="61">
        <v>13</v>
      </c>
      <c r="B238" s="61"/>
      <c r="C238" s="1101" t="s">
        <v>1610</v>
      </c>
      <c r="D238" s="61" t="s">
        <v>1355</v>
      </c>
      <c r="E238" s="61" t="s">
        <v>1609</v>
      </c>
      <c r="F238" s="61">
        <v>2016</v>
      </c>
      <c r="G238" s="61" t="s">
        <v>1608</v>
      </c>
      <c r="H238" s="1045">
        <v>2109</v>
      </c>
      <c r="I238" s="1026">
        <f t="shared" si="111"/>
        <v>2109</v>
      </c>
      <c r="J238" s="282"/>
      <c r="K238" s="282"/>
      <c r="L238" s="282"/>
      <c r="M238" s="282"/>
      <c r="N238" s="1031">
        <f t="shared" si="112"/>
        <v>1940</v>
      </c>
      <c r="O238" s="63">
        <v>1940</v>
      </c>
      <c r="P238" s="1042">
        <f>Q238</f>
        <v>1740</v>
      </c>
      <c r="Q238" s="1044">
        <v>1740</v>
      </c>
      <c r="R238" s="54"/>
      <c r="S238" s="54">
        <f>O238-U238</f>
        <v>200</v>
      </c>
      <c r="T238" s="1046">
        <f>U238</f>
        <v>1740</v>
      </c>
      <c r="U238" s="1047">
        <v>1740</v>
      </c>
      <c r="V238" s="54"/>
      <c r="W238" s="54"/>
      <c r="X238" s="1046">
        <f>Y238</f>
        <v>1740</v>
      </c>
      <c r="Y238" s="1047">
        <v>1740</v>
      </c>
      <c r="Z238" s="282">
        <f t="shared" si="113"/>
        <v>1260</v>
      </c>
      <c r="AA238" s="282">
        <v>1260</v>
      </c>
      <c r="AB238" s="282">
        <f t="shared" si="114"/>
        <v>330</v>
      </c>
      <c r="AC238" s="282">
        <v>330</v>
      </c>
      <c r="AD238" s="282"/>
      <c r="AE238" s="282"/>
      <c r="AF238" s="282"/>
      <c r="AG238" s="282"/>
      <c r="AH238" s="282"/>
      <c r="AI238" s="282"/>
      <c r="AJ238" s="282"/>
      <c r="AK238" s="282"/>
      <c r="AL238" s="69"/>
      <c r="AM238" s="1009">
        <f t="shared" si="82"/>
        <v>0</v>
      </c>
      <c r="AN238" s="1009">
        <f t="shared" si="83"/>
        <v>1</v>
      </c>
      <c r="AO238" s="144">
        <f t="shared" si="115"/>
        <v>1</v>
      </c>
    </row>
    <row r="239" spans="1:41" ht="49.5" hidden="1" x14ac:dyDescent="0.25">
      <c r="A239" s="61">
        <v>14</v>
      </c>
      <c r="B239" s="61"/>
      <c r="C239" s="1101" t="s">
        <v>1607</v>
      </c>
      <c r="D239" s="61" t="s">
        <v>1355</v>
      </c>
      <c r="E239" s="61" t="s">
        <v>1606</v>
      </c>
      <c r="F239" s="61">
        <v>2016</v>
      </c>
      <c r="G239" s="61" t="s">
        <v>1605</v>
      </c>
      <c r="H239" s="1045">
        <v>3221</v>
      </c>
      <c r="I239" s="1026">
        <f t="shared" si="111"/>
        <v>3221</v>
      </c>
      <c r="J239" s="282"/>
      <c r="K239" s="282"/>
      <c r="L239" s="282"/>
      <c r="M239" s="282"/>
      <c r="N239" s="1031">
        <f t="shared" si="112"/>
        <v>2960</v>
      </c>
      <c r="O239" s="63">
        <v>2960</v>
      </c>
      <c r="P239" s="1042">
        <v>2700</v>
      </c>
      <c r="Q239" s="1044">
        <v>2700</v>
      </c>
      <c r="R239" s="54"/>
      <c r="S239" s="54">
        <f>O239-U239</f>
        <v>260</v>
      </c>
      <c r="T239" s="1046">
        <v>2700</v>
      </c>
      <c r="U239" s="1047">
        <v>2700</v>
      </c>
      <c r="V239" s="54"/>
      <c r="W239" s="54"/>
      <c r="X239" s="1046">
        <v>2700</v>
      </c>
      <c r="Y239" s="1047">
        <v>2700</v>
      </c>
      <c r="Z239" s="282">
        <f t="shared" si="113"/>
        <v>1930</v>
      </c>
      <c r="AA239" s="282">
        <v>1930</v>
      </c>
      <c r="AB239" s="282">
        <f t="shared" si="114"/>
        <v>390</v>
      </c>
      <c r="AC239" s="282">
        <v>390</v>
      </c>
      <c r="AD239" s="282"/>
      <c r="AE239" s="282"/>
      <c r="AF239" s="282"/>
      <c r="AG239" s="282"/>
      <c r="AH239" s="282"/>
      <c r="AI239" s="282"/>
      <c r="AJ239" s="282"/>
      <c r="AK239" s="282"/>
      <c r="AL239" s="69"/>
      <c r="AM239" s="1009">
        <f t="shared" si="82"/>
        <v>0</v>
      </c>
      <c r="AN239" s="1009">
        <f t="shared" si="83"/>
        <v>1</v>
      </c>
      <c r="AO239" s="144">
        <f t="shared" si="115"/>
        <v>1</v>
      </c>
    </row>
    <row r="240" spans="1:41" ht="49.5" hidden="1" x14ac:dyDescent="0.25">
      <c r="A240" s="61">
        <v>15</v>
      </c>
      <c r="B240" s="61"/>
      <c r="C240" s="1101" t="s">
        <v>1604</v>
      </c>
      <c r="D240" s="61" t="s">
        <v>1355</v>
      </c>
      <c r="E240" s="61" t="s">
        <v>1603</v>
      </c>
      <c r="F240" s="61">
        <v>2016</v>
      </c>
      <c r="G240" s="61" t="s">
        <v>1602</v>
      </c>
      <c r="H240" s="1045">
        <v>1105</v>
      </c>
      <c r="I240" s="1026">
        <f t="shared" si="111"/>
        <v>1105</v>
      </c>
      <c r="J240" s="282"/>
      <c r="K240" s="282"/>
      <c r="L240" s="282"/>
      <c r="M240" s="282"/>
      <c r="N240" s="1031">
        <f t="shared" si="112"/>
        <v>1020</v>
      </c>
      <c r="O240" s="63">
        <v>1020</v>
      </c>
      <c r="P240" s="1042">
        <f>Q240</f>
        <v>830</v>
      </c>
      <c r="Q240" s="1044">
        <v>830</v>
      </c>
      <c r="R240" s="54"/>
      <c r="S240" s="54">
        <f>O240-U240</f>
        <v>190</v>
      </c>
      <c r="T240" s="1046">
        <f>U240</f>
        <v>830</v>
      </c>
      <c r="U240" s="1047">
        <v>830</v>
      </c>
      <c r="V240" s="54"/>
      <c r="W240" s="54"/>
      <c r="X240" s="1046">
        <f>Y240</f>
        <v>830</v>
      </c>
      <c r="Y240" s="1047">
        <v>830</v>
      </c>
      <c r="Z240" s="282">
        <f t="shared" si="113"/>
        <v>660</v>
      </c>
      <c r="AA240" s="282">
        <v>660</v>
      </c>
      <c r="AB240" s="282">
        <f t="shared" si="114"/>
        <v>140</v>
      </c>
      <c r="AC240" s="282">
        <v>140</v>
      </c>
      <c r="AD240" s="282"/>
      <c r="AE240" s="282"/>
      <c r="AF240" s="282"/>
      <c r="AG240" s="282"/>
      <c r="AH240" s="282"/>
      <c r="AI240" s="282"/>
      <c r="AJ240" s="282"/>
      <c r="AK240" s="282"/>
      <c r="AL240" s="69"/>
      <c r="AM240" s="1009">
        <f t="shared" si="82"/>
        <v>0</v>
      </c>
      <c r="AN240" s="1009">
        <f t="shared" si="83"/>
        <v>1</v>
      </c>
      <c r="AO240" s="144">
        <f t="shared" si="115"/>
        <v>1</v>
      </c>
    </row>
    <row r="241" spans="1:41" ht="49.5" hidden="1" x14ac:dyDescent="0.25">
      <c r="A241" s="61">
        <v>16</v>
      </c>
      <c r="B241" s="61"/>
      <c r="C241" s="1099" t="s">
        <v>1601</v>
      </c>
      <c r="D241" s="61" t="s">
        <v>1600</v>
      </c>
      <c r="E241" s="61"/>
      <c r="F241" s="61">
        <v>2016</v>
      </c>
      <c r="G241" s="61" t="s">
        <v>1599</v>
      </c>
      <c r="H241" s="1045">
        <v>1455</v>
      </c>
      <c r="I241" s="1026">
        <f t="shared" si="111"/>
        <v>1455</v>
      </c>
      <c r="J241" s="282"/>
      <c r="K241" s="282"/>
      <c r="L241" s="282"/>
      <c r="M241" s="282"/>
      <c r="N241" s="1031">
        <f t="shared" si="112"/>
        <v>1390</v>
      </c>
      <c r="O241" s="63">
        <v>1390</v>
      </c>
      <c r="P241" s="1042">
        <v>1390</v>
      </c>
      <c r="Q241" s="1044">
        <v>1390</v>
      </c>
      <c r="R241" s="54"/>
      <c r="S241" s="54"/>
      <c r="T241" s="1046">
        <v>1390</v>
      </c>
      <c r="U241" s="1047">
        <v>1390</v>
      </c>
      <c r="V241" s="54"/>
      <c r="W241" s="54"/>
      <c r="X241" s="1046">
        <v>1390</v>
      </c>
      <c r="Y241" s="1047">
        <v>1390</v>
      </c>
      <c r="Z241" s="282">
        <f t="shared" si="113"/>
        <v>870</v>
      </c>
      <c r="AA241" s="282">
        <v>870</v>
      </c>
      <c r="AB241" s="282">
        <f t="shared" si="114"/>
        <v>370</v>
      </c>
      <c r="AC241" s="282">
        <v>370</v>
      </c>
      <c r="AD241" s="282"/>
      <c r="AE241" s="282"/>
      <c r="AF241" s="282"/>
      <c r="AG241" s="282"/>
      <c r="AH241" s="282"/>
      <c r="AI241" s="282"/>
      <c r="AJ241" s="282"/>
      <c r="AK241" s="282"/>
      <c r="AL241" s="69"/>
      <c r="AM241" s="1009">
        <f t="shared" si="82"/>
        <v>0</v>
      </c>
      <c r="AN241" s="1009">
        <f t="shared" si="83"/>
        <v>1</v>
      </c>
      <c r="AO241" s="144">
        <f t="shared" si="115"/>
        <v>1</v>
      </c>
    </row>
    <row r="242" spans="1:41" ht="49.5" hidden="1" x14ac:dyDescent="0.25">
      <c r="A242" s="61">
        <v>17</v>
      </c>
      <c r="B242" s="61"/>
      <c r="C242" s="91" t="s">
        <v>1598</v>
      </c>
      <c r="D242" s="61" t="s">
        <v>1357</v>
      </c>
      <c r="E242" s="61" t="s">
        <v>1597</v>
      </c>
      <c r="F242" s="61">
        <v>2016</v>
      </c>
      <c r="G242" s="61" t="s">
        <v>1596</v>
      </c>
      <c r="H242" s="1045">
        <v>962</v>
      </c>
      <c r="I242" s="1026">
        <f t="shared" si="111"/>
        <v>962</v>
      </c>
      <c r="J242" s="282"/>
      <c r="K242" s="282"/>
      <c r="L242" s="282"/>
      <c r="M242" s="282"/>
      <c r="N242" s="1031">
        <f t="shared" si="112"/>
        <v>880</v>
      </c>
      <c r="O242" s="63">
        <v>880</v>
      </c>
      <c r="P242" s="1042">
        <v>880</v>
      </c>
      <c r="Q242" s="1044">
        <v>880</v>
      </c>
      <c r="R242" s="54"/>
      <c r="S242" s="54"/>
      <c r="T242" s="1046">
        <v>880</v>
      </c>
      <c r="U242" s="1047">
        <v>880</v>
      </c>
      <c r="V242" s="54"/>
      <c r="W242" s="54"/>
      <c r="X242" s="1046">
        <v>880</v>
      </c>
      <c r="Y242" s="1047">
        <v>880</v>
      </c>
      <c r="Z242" s="282">
        <f t="shared" si="113"/>
        <v>580</v>
      </c>
      <c r="AA242" s="282">
        <v>580</v>
      </c>
      <c r="AB242" s="282">
        <f t="shared" si="114"/>
        <v>130</v>
      </c>
      <c r="AC242" s="282">
        <v>130</v>
      </c>
      <c r="AD242" s="282"/>
      <c r="AE242" s="282"/>
      <c r="AF242" s="282"/>
      <c r="AG242" s="282"/>
      <c r="AH242" s="282"/>
      <c r="AI242" s="282"/>
      <c r="AJ242" s="282"/>
      <c r="AK242" s="282"/>
      <c r="AL242" s="69"/>
      <c r="AM242" s="1009">
        <f t="shared" si="82"/>
        <v>0</v>
      </c>
      <c r="AN242" s="1009">
        <f t="shared" si="83"/>
        <v>1</v>
      </c>
      <c r="AO242" s="144">
        <f t="shared" si="115"/>
        <v>1</v>
      </c>
    </row>
    <row r="243" spans="1:41" ht="49.5" hidden="1" x14ac:dyDescent="0.25">
      <c r="A243" s="61">
        <v>18</v>
      </c>
      <c r="B243" s="61"/>
      <c r="C243" s="1023" t="s">
        <v>1595</v>
      </c>
      <c r="D243" s="1024" t="s">
        <v>1359</v>
      </c>
      <c r="E243" s="1024" t="s">
        <v>1594</v>
      </c>
      <c r="F243" s="1024" t="s">
        <v>199</v>
      </c>
      <c r="G243" s="1025" t="s">
        <v>1593</v>
      </c>
      <c r="H243" s="63">
        <v>407</v>
      </c>
      <c r="I243" s="1026">
        <f t="shared" si="111"/>
        <v>407</v>
      </c>
      <c r="J243" s="282"/>
      <c r="K243" s="282"/>
      <c r="L243" s="282"/>
      <c r="M243" s="282"/>
      <c r="N243" s="1031">
        <f t="shared" si="112"/>
        <v>370</v>
      </c>
      <c r="O243" s="63">
        <v>370</v>
      </c>
      <c r="P243" s="1042">
        <v>370</v>
      </c>
      <c r="Q243" s="1048">
        <v>370</v>
      </c>
      <c r="R243" s="54"/>
      <c r="S243" s="54"/>
      <c r="T243" s="1046">
        <v>370</v>
      </c>
      <c r="U243" s="1098">
        <v>370</v>
      </c>
      <c r="V243" s="54"/>
      <c r="W243" s="54"/>
      <c r="X243" s="1046">
        <v>370</v>
      </c>
      <c r="Y243" s="1098">
        <v>370</v>
      </c>
      <c r="Z243" s="282">
        <f t="shared" si="113"/>
        <v>245</v>
      </c>
      <c r="AA243" s="282">
        <v>245</v>
      </c>
      <c r="AB243" s="282">
        <f t="shared" si="114"/>
        <v>90</v>
      </c>
      <c r="AC243" s="282">
        <v>90</v>
      </c>
      <c r="AD243" s="282"/>
      <c r="AE243" s="282"/>
      <c r="AF243" s="282"/>
      <c r="AG243" s="282"/>
      <c r="AH243" s="282"/>
      <c r="AI243" s="282"/>
      <c r="AJ243" s="282"/>
      <c r="AK243" s="282"/>
      <c r="AL243" s="69"/>
      <c r="AM243" s="1009">
        <f t="shared" si="82"/>
        <v>0</v>
      </c>
      <c r="AN243" s="1009">
        <f t="shared" si="83"/>
        <v>1</v>
      </c>
      <c r="AO243" s="144">
        <f t="shared" si="115"/>
        <v>1</v>
      </c>
    </row>
    <row r="244" spans="1:41" ht="49.5" hidden="1" x14ac:dyDescent="0.25">
      <c r="A244" s="61">
        <v>19</v>
      </c>
      <c r="B244" s="61"/>
      <c r="C244" s="1023" t="s">
        <v>1592</v>
      </c>
      <c r="D244" s="1024" t="s">
        <v>1359</v>
      </c>
      <c r="E244" s="1024" t="s">
        <v>1591</v>
      </c>
      <c r="F244" s="1024" t="s">
        <v>183</v>
      </c>
      <c r="G244" s="1025" t="s">
        <v>1590</v>
      </c>
      <c r="H244" s="63">
        <v>1793</v>
      </c>
      <c r="I244" s="1026">
        <f t="shared" si="111"/>
        <v>1793</v>
      </c>
      <c r="J244" s="282"/>
      <c r="K244" s="282"/>
      <c r="L244" s="282"/>
      <c r="M244" s="282"/>
      <c r="N244" s="1031">
        <f t="shared" si="112"/>
        <v>1630</v>
      </c>
      <c r="O244" s="63">
        <v>1630</v>
      </c>
      <c r="P244" s="1042">
        <f>Q244</f>
        <v>1590</v>
      </c>
      <c r="Q244" s="1048">
        <v>1590</v>
      </c>
      <c r="R244" s="54"/>
      <c r="S244" s="54">
        <f>O244-U244</f>
        <v>40</v>
      </c>
      <c r="T244" s="1046">
        <f>U244</f>
        <v>1590</v>
      </c>
      <c r="U244" s="1098">
        <v>1590</v>
      </c>
      <c r="V244" s="54"/>
      <c r="W244" s="54"/>
      <c r="X244" s="1046">
        <f>Y244</f>
        <v>1590</v>
      </c>
      <c r="Y244" s="1098">
        <v>1590</v>
      </c>
      <c r="Z244" s="282">
        <f t="shared" si="113"/>
        <v>1075</v>
      </c>
      <c r="AA244" s="282">
        <v>1075</v>
      </c>
      <c r="AB244" s="282">
        <f t="shared" si="114"/>
        <v>200</v>
      </c>
      <c r="AC244" s="282">
        <v>200</v>
      </c>
      <c r="AD244" s="282"/>
      <c r="AE244" s="282"/>
      <c r="AF244" s="282"/>
      <c r="AG244" s="282"/>
      <c r="AH244" s="282"/>
      <c r="AI244" s="282"/>
      <c r="AJ244" s="282"/>
      <c r="AK244" s="282"/>
      <c r="AL244" s="69"/>
      <c r="AM244" s="1009">
        <f t="shared" si="82"/>
        <v>0</v>
      </c>
      <c r="AN244" s="1009">
        <f t="shared" si="83"/>
        <v>1</v>
      </c>
      <c r="AO244" s="144">
        <f t="shared" si="115"/>
        <v>1</v>
      </c>
    </row>
    <row r="245" spans="1:41" ht="49.5" hidden="1" x14ac:dyDescent="0.25">
      <c r="A245" s="61">
        <v>20</v>
      </c>
      <c r="B245" s="61"/>
      <c r="C245" s="1023" t="s">
        <v>1589</v>
      </c>
      <c r="D245" s="1024" t="s">
        <v>1359</v>
      </c>
      <c r="E245" s="1024" t="s">
        <v>1556</v>
      </c>
      <c r="F245" s="1024" t="s">
        <v>97</v>
      </c>
      <c r="G245" s="1025" t="s">
        <v>1588</v>
      </c>
      <c r="H245" s="63">
        <v>1046</v>
      </c>
      <c r="I245" s="1026">
        <f t="shared" si="111"/>
        <v>1046</v>
      </c>
      <c r="J245" s="1088"/>
      <c r="K245" s="1088"/>
      <c r="L245" s="1088"/>
      <c r="M245" s="1088"/>
      <c r="N245" s="1031">
        <f t="shared" si="112"/>
        <v>960</v>
      </c>
      <c r="O245" s="63">
        <v>960</v>
      </c>
      <c r="P245" s="1042">
        <v>960</v>
      </c>
      <c r="Q245" s="1048">
        <v>960</v>
      </c>
      <c r="R245" s="54"/>
      <c r="S245" s="54"/>
      <c r="T245" s="1046">
        <v>960</v>
      </c>
      <c r="U245" s="1098">
        <v>960</v>
      </c>
      <c r="V245" s="54"/>
      <c r="W245" s="54"/>
      <c r="X245" s="1046">
        <v>960</v>
      </c>
      <c r="Y245" s="1098">
        <v>960</v>
      </c>
      <c r="Z245" s="282">
        <f t="shared" si="113"/>
        <v>630</v>
      </c>
      <c r="AA245" s="282">
        <v>630</v>
      </c>
      <c r="AB245" s="282">
        <f t="shared" si="114"/>
        <v>150</v>
      </c>
      <c r="AC245" s="282">
        <v>150</v>
      </c>
      <c r="AD245" s="282"/>
      <c r="AE245" s="282"/>
      <c r="AF245" s="282"/>
      <c r="AG245" s="282"/>
      <c r="AH245" s="282"/>
      <c r="AI245" s="282"/>
      <c r="AJ245" s="282"/>
      <c r="AK245" s="282"/>
      <c r="AL245" s="1089"/>
      <c r="AM245" s="1009">
        <f t="shared" si="82"/>
        <v>0</v>
      </c>
      <c r="AN245" s="1009">
        <f t="shared" si="83"/>
        <v>1</v>
      </c>
      <c r="AO245" s="144">
        <f t="shared" si="115"/>
        <v>1</v>
      </c>
    </row>
    <row r="246" spans="1:41" ht="49.5" hidden="1" x14ac:dyDescent="0.25">
      <c r="A246" s="61">
        <v>21</v>
      </c>
      <c r="B246" s="61"/>
      <c r="C246" s="1023" t="s">
        <v>1587</v>
      </c>
      <c r="D246" s="1024" t="s">
        <v>1359</v>
      </c>
      <c r="E246" s="1024" t="s">
        <v>1556</v>
      </c>
      <c r="F246" s="1024" t="s">
        <v>97</v>
      </c>
      <c r="G246" s="1025" t="s">
        <v>1586</v>
      </c>
      <c r="H246" s="63">
        <v>1637</v>
      </c>
      <c r="I246" s="1026">
        <f t="shared" si="111"/>
        <v>1637</v>
      </c>
      <c r="J246" s="282"/>
      <c r="K246" s="282"/>
      <c r="L246" s="282"/>
      <c r="M246" s="282"/>
      <c r="N246" s="1031">
        <f t="shared" si="112"/>
        <v>1500</v>
      </c>
      <c r="O246" s="63">
        <v>1500</v>
      </c>
      <c r="P246" s="1042">
        <f>Q246</f>
        <v>1370</v>
      </c>
      <c r="Q246" s="1048">
        <v>1370</v>
      </c>
      <c r="R246" s="54"/>
      <c r="S246" s="54">
        <f>O246-U246</f>
        <v>130</v>
      </c>
      <c r="T246" s="1046">
        <f>U246</f>
        <v>1370</v>
      </c>
      <c r="U246" s="1098">
        <v>1370</v>
      </c>
      <c r="V246" s="54"/>
      <c r="W246" s="54"/>
      <c r="X246" s="1046">
        <f>Y246</f>
        <v>1370</v>
      </c>
      <c r="Y246" s="1098">
        <v>1370</v>
      </c>
      <c r="Z246" s="282">
        <f t="shared" si="113"/>
        <v>980</v>
      </c>
      <c r="AA246" s="282">
        <v>980</v>
      </c>
      <c r="AB246" s="282">
        <f t="shared" si="114"/>
        <v>220</v>
      </c>
      <c r="AC246" s="282">
        <v>220</v>
      </c>
      <c r="AD246" s="282"/>
      <c r="AE246" s="282"/>
      <c r="AF246" s="282"/>
      <c r="AG246" s="282"/>
      <c r="AH246" s="282"/>
      <c r="AI246" s="282"/>
      <c r="AJ246" s="282"/>
      <c r="AK246" s="282"/>
      <c r="AL246" s="25"/>
      <c r="AM246" s="1009">
        <f t="shared" si="82"/>
        <v>0</v>
      </c>
      <c r="AN246" s="1009">
        <f t="shared" si="83"/>
        <v>1</v>
      </c>
      <c r="AO246" s="144">
        <f t="shared" si="115"/>
        <v>1</v>
      </c>
    </row>
    <row r="247" spans="1:41" ht="49.5" hidden="1" x14ac:dyDescent="0.25">
      <c r="A247" s="61">
        <v>22</v>
      </c>
      <c r="B247" s="61"/>
      <c r="C247" s="1023" t="s">
        <v>1585</v>
      </c>
      <c r="D247" s="1024" t="s">
        <v>1359</v>
      </c>
      <c r="E247" s="1024" t="s">
        <v>1556</v>
      </c>
      <c r="F247" s="1024" t="s">
        <v>97</v>
      </c>
      <c r="G247" s="1025" t="s">
        <v>1584</v>
      </c>
      <c r="H247" s="63">
        <v>711</v>
      </c>
      <c r="I247" s="1026">
        <f t="shared" si="111"/>
        <v>711</v>
      </c>
      <c r="J247" s="282"/>
      <c r="K247" s="282"/>
      <c r="L247" s="282"/>
      <c r="M247" s="282"/>
      <c r="N247" s="1031">
        <f t="shared" si="112"/>
        <v>650</v>
      </c>
      <c r="O247" s="63">
        <v>650</v>
      </c>
      <c r="P247" s="1042">
        <f>Q247</f>
        <v>660</v>
      </c>
      <c r="Q247" s="1048">
        <v>660</v>
      </c>
      <c r="R247" s="54">
        <f>U247-O247</f>
        <v>10</v>
      </c>
      <c r="S247" s="54"/>
      <c r="T247" s="1046">
        <f>U247</f>
        <v>660</v>
      </c>
      <c r="U247" s="1098">
        <v>660</v>
      </c>
      <c r="V247" s="54"/>
      <c r="W247" s="54"/>
      <c r="X247" s="1046">
        <f>Y247</f>
        <v>660</v>
      </c>
      <c r="Y247" s="1098">
        <v>660</v>
      </c>
      <c r="Z247" s="282">
        <f t="shared" si="113"/>
        <v>440</v>
      </c>
      <c r="AA247" s="282">
        <v>440</v>
      </c>
      <c r="AB247" s="282">
        <f t="shared" si="114"/>
        <v>130</v>
      </c>
      <c r="AC247" s="282">
        <v>130</v>
      </c>
      <c r="AD247" s="282"/>
      <c r="AE247" s="282"/>
      <c r="AF247" s="282"/>
      <c r="AG247" s="282"/>
      <c r="AH247" s="282"/>
      <c r="AI247" s="282"/>
      <c r="AJ247" s="282"/>
      <c r="AK247" s="282"/>
      <c r="AL247" s="69"/>
      <c r="AM247" s="1009">
        <f t="shared" si="82"/>
        <v>0</v>
      </c>
      <c r="AN247" s="1009">
        <f t="shared" si="83"/>
        <v>1</v>
      </c>
      <c r="AO247" s="144">
        <f t="shared" si="115"/>
        <v>1</v>
      </c>
    </row>
    <row r="248" spans="1:41" ht="49.5" hidden="1" x14ac:dyDescent="0.25">
      <c r="A248" s="61">
        <v>23</v>
      </c>
      <c r="B248" s="61"/>
      <c r="C248" s="1023" t="s">
        <v>1583</v>
      </c>
      <c r="D248" s="1024" t="s">
        <v>1357</v>
      </c>
      <c r="E248" s="1024" t="s">
        <v>1556</v>
      </c>
      <c r="F248" s="1024" t="s">
        <v>252</v>
      </c>
      <c r="G248" s="1025" t="s">
        <v>1582</v>
      </c>
      <c r="H248" s="63">
        <v>838</v>
      </c>
      <c r="I248" s="1026">
        <f t="shared" si="111"/>
        <v>838</v>
      </c>
      <c r="J248" s="1028"/>
      <c r="K248" s="1028"/>
      <c r="L248" s="1028"/>
      <c r="M248" s="1028"/>
      <c r="N248" s="1031">
        <f t="shared" si="112"/>
        <v>770</v>
      </c>
      <c r="O248" s="63">
        <v>770</v>
      </c>
      <c r="P248" s="1042">
        <v>770</v>
      </c>
      <c r="Q248" s="1048">
        <v>770</v>
      </c>
      <c r="R248" s="54"/>
      <c r="S248" s="54"/>
      <c r="T248" s="1046">
        <v>770</v>
      </c>
      <c r="U248" s="1098">
        <v>770</v>
      </c>
      <c r="V248" s="54"/>
      <c r="W248" s="54"/>
      <c r="X248" s="1046">
        <v>770</v>
      </c>
      <c r="Y248" s="1098">
        <v>770</v>
      </c>
      <c r="Z248" s="282">
        <f t="shared" si="113"/>
        <v>500</v>
      </c>
      <c r="AA248" s="282">
        <v>500</v>
      </c>
      <c r="AB248" s="282">
        <f t="shared" si="114"/>
        <v>90</v>
      </c>
      <c r="AC248" s="282">
        <v>90</v>
      </c>
      <c r="AD248" s="282"/>
      <c r="AE248" s="282"/>
      <c r="AF248" s="282"/>
      <c r="AG248" s="282"/>
      <c r="AH248" s="282"/>
      <c r="AI248" s="282"/>
      <c r="AJ248" s="282"/>
      <c r="AK248" s="282"/>
      <c r="AL248" s="27"/>
      <c r="AM248" s="1009">
        <f t="shared" si="82"/>
        <v>0</v>
      </c>
      <c r="AN248" s="1009">
        <f t="shared" si="83"/>
        <v>1</v>
      </c>
      <c r="AO248" s="144">
        <f t="shared" si="115"/>
        <v>1</v>
      </c>
    </row>
    <row r="249" spans="1:41" ht="66" hidden="1" x14ac:dyDescent="0.25">
      <c r="A249" s="61">
        <v>24</v>
      </c>
      <c r="B249" s="61"/>
      <c r="C249" s="1023" t="s">
        <v>1581</v>
      </c>
      <c r="D249" s="1024" t="s">
        <v>1357</v>
      </c>
      <c r="E249" s="1024" t="s">
        <v>1580</v>
      </c>
      <c r="F249" s="1024" t="s">
        <v>252</v>
      </c>
      <c r="G249" s="1025" t="s">
        <v>1579</v>
      </c>
      <c r="H249" s="63">
        <v>624</v>
      </c>
      <c r="I249" s="1026">
        <f t="shared" si="111"/>
        <v>624</v>
      </c>
      <c r="J249" s="1017"/>
      <c r="K249" s="1017"/>
      <c r="L249" s="1017"/>
      <c r="M249" s="1017"/>
      <c r="N249" s="1031">
        <f t="shared" si="112"/>
        <v>560</v>
      </c>
      <c r="O249" s="63">
        <v>560</v>
      </c>
      <c r="P249" s="1042">
        <f>Q249</f>
        <v>520</v>
      </c>
      <c r="Q249" s="1048">
        <v>520</v>
      </c>
      <c r="R249" s="54"/>
      <c r="S249" s="54">
        <f>O249-U249</f>
        <v>40</v>
      </c>
      <c r="T249" s="1046">
        <f>U249</f>
        <v>520</v>
      </c>
      <c r="U249" s="1098">
        <v>520</v>
      </c>
      <c r="V249" s="54"/>
      <c r="W249" s="54"/>
      <c r="X249" s="1046">
        <f>Y249</f>
        <v>520</v>
      </c>
      <c r="Y249" s="1098">
        <v>520</v>
      </c>
      <c r="Z249" s="282">
        <f t="shared" si="113"/>
        <v>375</v>
      </c>
      <c r="AA249" s="282">
        <v>375</v>
      </c>
      <c r="AB249" s="282">
        <f t="shared" si="114"/>
        <v>80</v>
      </c>
      <c r="AC249" s="282">
        <v>80</v>
      </c>
      <c r="AD249" s="282"/>
      <c r="AE249" s="282"/>
      <c r="AF249" s="282"/>
      <c r="AG249" s="282"/>
      <c r="AH249" s="282"/>
      <c r="AI249" s="282"/>
      <c r="AJ249" s="282"/>
      <c r="AK249" s="282"/>
      <c r="AL249" s="59"/>
      <c r="AM249" s="1009">
        <f t="shared" si="82"/>
        <v>0</v>
      </c>
      <c r="AN249" s="1009">
        <f t="shared" si="83"/>
        <v>1</v>
      </c>
      <c r="AO249" s="144">
        <f t="shared" si="115"/>
        <v>1</v>
      </c>
    </row>
    <row r="250" spans="1:41" ht="66" hidden="1" x14ac:dyDescent="0.25">
      <c r="A250" s="61">
        <v>25</v>
      </c>
      <c r="B250" s="61"/>
      <c r="C250" s="1023" t="s">
        <v>1578</v>
      </c>
      <c r="D250" s="1024" t="s">
        <v>1379</v>
      </c>
      <c r="E250" s="1024" t="s">
        <v>1556</v>
      </c>
      <c r="F250" s="1024" t="s">
        <v>252</v>
      </c>
      <c r="G250" s="1025" t="s">
        <v>1577</v>
      </c>
      <c r="H250" s="63">
        <v>1548</v>
      </c>
      <c r="I250" s="1026">
        <f t="shared" si="111"/>
        <v>1548</v>
      </c>
      <c r="J250" s="1017"/>
      <c r="K250" s="1017"/>
      <c r="L250" s="1017"/>
      <c r="M250" s="1017"/>
      <c r="N250" s="1031">
        <f t="shared" si="112"/>
        <v>1450</v>
      </c>
      <c r="O250" s="63">
        <v>1450</v>
      </c>
      <c r="P250" s="1042">
        <v>1450</v>
      </c>
      <c r="Q250" s="1048">
        <v>1450</v>
      </c>
      <c r="R250" s="54"/>
      <c r="S250" s="54"/>
      <c r="T250" s="1046">
        <v>1450</v>
      </c>
      <c r="U250" s="1098">
        <v>1450</v>
      </c>
      <c r="V250" s="54"/>
      <c r="W250" s="54"/>
      <c r="X250" s="1046">
        <v>1450</v>
      </c>
      <c r="Y250" s="1098">
        <v>1450</v>
      </c>
      <c r="Z250" s="282">
        <f t="shared" si="113"/>
        <v>930</v>
      </c>
      <c r="AA250" s="282">
        <v>930</v>
      </c>
      <c r="AB250" s="282">
        <f t="shared" si="114"/>
        <v>190</v>
      </c>
      <c r="AC250" s="282">
        <v>190</v>
      </c>
      <c r="AD250" s="282"/>
      <c r="AE250" s="282"/>
      <c r="AF250" s="282"/>
      <c r="AG250" s="282"/>
      <c r="AH250" s="282"/>
      <c r="AI250" s="282"/>
      <c r="AJ250" s="282"/>
      <c r="AK250" s="282"/>
      <c r="AL250" s="59"/>
      <c r="AM250" s="1009">
        <f t="shared" si="82"/>
        <v>0</v>
      </c>
      <c r="AN250" s="1009">
        <f t="shared" si="83"/>
        <v>1</v>
      </c>
      <c r="AO250" s="144">
        <f t="shared" si="115"/>
        <v>1</v>
      </c>
    </row>
    <row r="251" spans="1:41" ht="49.5" hidden="1" x14ac:dyDescent="0.25">
      <c r="A251" s="61">
        <v>26</v>
      </c>
      <c r="B251" s="61"/>
      <c r="C251" s="1023" t="s">
        <v>1576</v>
      </c>
      <c r="D251" s="1024" t="s">
        <v>1355</v>
      </c>
      <c r="E251" s="1024" t="s">
        <v>1565</v>
      </c>
      <c r="F251" s="1024" t="s">
        <v>252</v>
      </c>
      <c r="G251" s="1025" t="s">
        <v>1575</v>
      </c>
      <c r="H251" s="63">
        <v>819</v>
      </c>
      <c r="I251" s="1026">
        <f t="shared" si="111"/>
        <v>819</v>
      </c>
      <c r="J251" s="1020"/>
      <c r="K251" s="1020"/>
      <c r="L251" s="1020"/>
      <c r="M251" s="1020"/>
      <c r="N251" s="1031">
        <f t="shared" si="112"/>
        <v>750</v>
      </c>
      <c r="O251" s="63">
        <v>750</v>
      </c>
      <c r="P251" s="1042">
        <f t="shared" ref="P251:P261" si="116">Q251</f>
        <v>690</v>
      </c>
      <c r="Q251" s="1048">
        <v>690</v>
      </c>
      <c r="R251" s="54"/>
      <c r="S251" s="54">
        <f t="shared" ref="S251:S267" si="117">O251-U251</f>
        <v>60</v>
      </c>
      <c r="T251" s="1046">
        <f t="shared" ref="T251:T261" si="118">U251</f>
        <v>690</v>
      </c>
      <c r="U251" s="1098">
        <v>690</v>
      </c>
      <c r="V251" s="54"/>
      <c r="W251" s="54"/>
      <c r="X251" s="1046">
        <f t="shared" ref="X251:X261" si="119">Y251</f>
        <v>690</v>
      </c>
      <c r="Y251" s="1098">
        <v>690</v>
      </c>
      <c r="Z251" s="282">
        <f t="shared" si="113"/>
        <v>490</v>
      </c>
      <c r="AA251" s="282">
        <v>490</v>
      </c>
      <c r="AB251" s="282">
        <f t="shared" si="114"/>
        <v>100</v>
      </c>
      <c r="AC251" s="282">
        <v>100</v>
      </c>
      <c r="AD251" s="282"/>
      <c r="AE251" s="282"/>
      <c r="AF251" s="282"/>
      <c r="AG251" s="282"/>
      <c r="AH251" s="282"/>
      <c r="AI251" s="282"/>
      <c r="AJ251" s="282"/>
      <c r="AK251" s="282"/>
      <c r="AL251" s="55"/>
      <c r="AM251" s="1009">
        <f t="shared" si="82"/>
        <v>0</v>
      </c>
      <c r="AN251" s="1009">
        <f t="shared" si="83"/>
        <v>1</v>
      </c>
      <c r="AO251" s="144">
        <f t="shared" si="115"/>
        <v>1</v>
      </c>
    </row>
    <row r="252" spans="1:41" ht="49.5" hidden="1" x14ac:dyDescent="0.25">
      <c r="A252" s="61">
        <v>27</v>
      </c>
      <c r="B252" s="61"/>
      <c r="C252" s="1023" t="s">
        <v>1574</v>
      </c>
      <c r="D252" s="1024" t="s">
        <v>1355</v>
      </c>
      <c r="E252" s="1024" t="s">
        <v>1565</v>
      </c>
      <c r="F252" s="1024" t="s">
        <v>252</v>
      </c>
      <c r="G252" s="1025" t="s">
        <v>1573</v>
      </c>
      <c r="H252" s="63">
        <v>598</v>
      </c>
      <c r="I252" s="1026">
        <f t="shared" si="111"/>
        <v>598</v>
      </c>
      <c r="J252" s="1017"/>
      <c r="K252" s="1017"/>
      <c r="L252" s="1017"/>
      <c r="M252" s="1017"/>
      <c r="N252" s="1031">
        <f t="shared" si="112"/>
        <v>550</v>
      </c>
      <c r="O252" s="63">
        <v>550</v>
      </c>
      <c r="P252" s="1042">
        <f t="shared" si="116"/>
        <v>520</v>
      </c>
      <c r="Q252" s="1048">
        <v>520</v>
      </c>
      <c r="R252" s="54"/>
      <c r="S252" s="54">
        <f t="shared" si="117"/>
        <v>30</v>
      </c>
      <c r="T252" s="1046">
        <f t="shared" si="118"/>
        <v>520</v>
      </c>
      <c r="U252" s="1098">
        <v>520</v>
      </c>
      <c r="V252" s="54"/>
      <c r="W252" s="54"/>
      <c r="X252" s="1046">
        <f t="shared" si="119"/>
        <v>520</v>
      </c>
      <c r="Y252" s="1098">
        <v>520</v>
      </c>
      <c r="Z252" s="282">
        <f t="shared" si="113"/>
        <v>360</v>
      </c>
      <c r="AA252" s="282">
        <v>360</v>
      </c>
      <c r="AB252" s="282">
        <f t="shared" si="114"/>
        <v>70</v>
      </c>
      <c r="AC252" s="282">
        <v>70</v>
      </c>
      <c r="AD252" s="282"/>
      <c r="AE252" s="282"/>
      <c r="AF252" s="282"/>
      <c r="AG252" s="282"/>
      <c r="AH252" s="282"/>
      <c r="AI252" s="282"/>
      <c r="AJ252" s="282"/>
      <c r="AK252" s="282"/>
      <c r="AL252" s="59"/>
      <c r="AM252" s="1009">
        <f t="shared" si="82"/>
        <v>0</v>
      </c>
      <c r="AN252" s="1009">
        <f t="shared" si="83"/>
        <v>1</v>
      </c>
      <c r="AO252" s="144">
        <f t="shared" si="115"/>
        <v>1</v>
      </c>
    </row>
    <row r="253" spans="1:41" ht="49.5" hidden="1" x14ac:dyDescent="0.25">
      <c r="A253" s="61">
        <v>28</v>
      </c>
      <c r="B253" s="61"/>
      <c r="C253" s="1023" t="s">
        <v>1572</v>
      </c>
      <c r="D253" s="1024" t="s">
        <v>1355</v>
      </c>
      <c r="E253" s="1024" t="s">
        <v>1565</v>
      </c>
      <c r="F253" s="1024" t="s">
        <v>252</v>
      </c>
      <c r="G253" s="1025" t="s">
        <v>1571</v>
      </c>
      <c r="H253" s="63">
        <v>862</v>
      </c>
      <c r="I253" s="1026">
        <f t="shared" si="111"/>
        <v>862</v>
      </c>
      <c r="J253" s="282"/>
      <c r="K253" s="63"/>
      <c r="L253" s="282"/>
      <c r="M253" s="63"/>
      <c r="N253" s="1031">
        <f t="shared" si="112"/>
        <v>790</v>
      </c>
      <c r="O253" s="63">
        <v>790</v>
      </c>
      <c r="P253" s="1042">
        <f t="shared" si="116"/>
        <v>680</v>
      </c>
      <c r="Q253" s="1048">
        <v>680</v>
      </c>
      <c r="R253" s="54"/>
      <c r="S253" s="54">
        <f t="shared" si="117"/>
        <v>110</v>
      </c>
      <c r="T253" s="1046">
        <f t="shared" si="118"/>
        <v>680</v>
      </c>
      <c r="U253" s="1098">
        <v>680</v>
      </c>
      <c r="V253" s="54"/>
      <c r="W253" s="54"/>
      <c r="X253" s="1046">
        <f t="shared" si="119"/>
        <v>680</v>
      </c>
      <c r="Y253" s="1098">
        <v>680</v>
      </c>
      <c r="Z253" s="282">
        <f t="shared" si="113"/>
        <v>515</v>
      </c>
      <c r="AA253" s="282">
        <v>515</v>
      </c>
      <c r="AB253" s="282">
        <f t="shared" si="114"/>
        <v>100</v>
      </c>
      <c r="AC253" s="282">
        <v>100</v>
      </c>
      <c r="AD253" s="282"/>
      <c r="AE253" s="282"/>
      <c r="AF253" s="282"/>
      <c r="AG253" s="282"/>
      <c r="AH253" s="282"/>
      <c r="AI253" s="282"/>
      <c r="AJ253" s="282"/>
      <c r="AK253" s="282"/>
      <c r="AL253" s="69"/>
      <c r="AM253" s="1009">
        <f t="shared" si="82"/>
        <v>0</v>
      </c>
      <c r="AN253" s="1009">
        <f t="shared" si="83"/>
        <v>1</v>
      </c>
      <c r="AO253" s="144">
        <f t="shared" si="115"/>
        <v>1</v>
      </c>
    </row>
    <row r="254" spans="1:41" ht="49.5" hidden="1" x14ac:dyDescent="0.25">
      <c r="A254" s="61">
        <v>29</v>
      </c>
      <c r="B254" s="61"/>
      <c r="C254" s="1023" t="s">
        <v>1570</v>
      </c>
      <c r="D254" s="1024" t="s">
        <v>1355</v>
      </c>
      <c r="E254" s="1024" t="s">
        <v>1565</v>
      </c>
      <c r="F254" s="1024" t="s">
        <v>252</v>
      </c>
      <c r="G254" s="1025" t="s">
        <v>1569</v>
      </c>
      <c r="H254" s="63">
        <v>1697</v>
      </c>
      <c r="I254" s="1026">
        <f t="shared" si="111"/>
        <v>1697</v>
      </c>
      <c r="J254" s="282"/>
      <c r="K254" s="63"/>
      <c r="L254" s="282"/>
      <c r="M254" s="63"/>
      <c r="N254" s="1031">
        <f t="shared" si="112"/>
        <v>1560</v>
      </c>
      <c r="O254" s="63">
        <v>1560</v>
      </c>
      <c r="P254" s="1042">
        <f t="shared" si="116"/>
        <v>1420</v>
      </c>
      <c r="Q254" s="1048">
        <v>1420</v>
      </c>
      <c r="R254" s="54"/>
      <c r="S254" s="54">
        <f t="shared" si="117"/>
        <v>140</v>
      </c>
      <c r="T254" s="1046">
        <f t="shared" si="118"/>
        <v>1420</v>
      </c>
      <c r="U254" s="1098">
        <v>1420</v>
      </c>
      <c r="V254" s="54"/>
      <c r="W254" s="54"/>
      <c r="X254" s="1046">
        <f t="shared" si="119"/>
        <v>1420</v>
      </c>
      <c r="Y254" s="1098">
        <v>1420</v>
      </c>
      <c r="Z254" s="282">
        <f t="shared" si="113"/>
        <v>1015</v>
      </c>
      <c r="AA254" s="282">
        <v>1015</v>
      </c>
      <c r="AB254" s="282">
        <f t="shared" si="114"/>
        <v>200</v>
      </c>
      <c r="AC254" s="282">
        <v>200</v>
      </c>
      <c r="AD254" s="282"/>
      <c r="AE254" s="282"/>
      <c r="AF254" s="282"/>
      <c r="AG254" s="282"/>
      <c r="AH254" s="282"/>
      <c r="AI254" s="282"/>
      <c r="AJ254" s="282"/>
      <c r="AK254" s="282"/>
      <c r="AL254" s="69"/>
      <c r="AM254" s="1009">
        <f t="shared" si="82"/>
        <v>0</v>
      </c>
      <c r="AN254" s="1009">
        <f t="shared" si="83"/>
        <v>1</v>
      </c>
      <c r="AO254" s="144">
        <f t="shared" si="115"/>
        <v>1</v>
      </c>
    </row>
    <row r="255" spans="1:41" ht="49.5" hidden="1" x14ac:dyDescent="0.25">
      <c r="A255" s="61">
        <v>30</v>
      </c>
      <c r="B255" s="61"/>
      <c r="C255" s="1023" t="s">
        <v>1568</v>
      </c>
      <c r="D255" s="1024" t="s">
        <v>1379</v>
      </c>
      <c r="E255" s="1024" t="s">
        <v>1556</v>
      </c>
      <c r="F255" s="1024" t="s">
        <v>252</v>
      </c>
      <c r="G255" s="1025" t="s">
        <v>1567</v>
      </c>
      <c r="H255" s="63">
        <v>934</v>
      </c>
      <c r="I255" s="1026">
        <f t="shared" si="111"/>
        <v>934</v>
      </c>
      <c r="J255" s="282"/>
      <c r="K255" s="63"/>
      <c r="L255" s="282"/>
      <c r="M255" s="63"/>
      <c r="N255" s="1031">
        <f t="shared" si="112"/>
        <v>860</v>
      </c>
      <c r="O255" s="63">
        <v>860</v>
      </c>
      <c r="P255" s="1042">
        <f t="shared" si="116"/>
        <v>830</v>
      </c>
      <c r="Q255" s="1048">
        <v>830</v>
      </c>
      <c r="R255" s="54"/>
      <c r="S255" s="54">
        <f t="shared" si="117"/>
        <v>30</v>
      </c>
      <c r="T255" s="1046">
        <f t="shared" si="118"/>
        <v>830</v>
      </c>
      <c r="U255" s="1098">
        <v>830</v>
      </c>
      <c r="V255" s="54"/>
      <c r="W255" s="54"/>
      <c r="X255" s="1046">
        <f t="shared" si="119"/>
        <v>830</v>
      </c>
      <c r="Y255" s="1098">
        <v>830</v>
      </c>
      <c r="Z255" s="282">
        <f t="shared" si="113"/>
        <v>560</v>
      </c>
      <c r="AA255" s="282">
        <v>560</v>
      </c>
      <c r="AB255" s="282">
        <f t="shared" si="114"/>
        <v>130</v>
      </c>
      <c r="AC255" s="282">
        <v>130</v>
      </c>
      <c r="AD255" s="282"/>
      <c r="AE255" s="282"/>
      <c r="AF255" s="282"/>
      <c r="AG255" s="282"/>
      <c r="AH255" s="282"/>
      <c r="AI255" s="282"/>
      <c r="AJ255" s="282"/>
      <c r="AK255" s="282"/>
      <c r="AL255" s="69"/>
      <c r="AM255" s="1009">
        <f t="shared" si="82"/>
        <v>0</v>
      </c>
      <c r="AN255" s="1009">
        <f t="shared" si="83"/>
        <v>1</v>
      </c>
      <c r="AO255" s="144">
        <f t="shared" si="115"/>
        <v>1</v>
      </c>
    </row>
    <row r="256" spans="1:41" ht="49.5" hidden="1" x14ac:dyDescent="0.25">
      <c r="A256" s="61">
        <v>31</v>
      </c>
      <c r="B256" s="61"/>
      <c r="C256" s="1023" t="s">
        <v>1566</v>
      </c>
      <c r="D256" s="1024" t="s">
        <v>1379</v>
      </c>
      <c r="E256" s="1024" t="s">
        <v>1565</v>
      </c>
      <c r="F256" s="1024" t="s">
        <v>252</v>
      </c>
      <c r="G256" s="1025" t="s">
        <v>1564</v>
      </c>
      <c r="H256" s="63">
        <v>676</v>
      </c>
      <c r="I256" s="1026">
        <f t="shared" si="111"/>
        <v>676</v>
      </c>
      <c r="J256" s="282"/>
      <c r="K256" s="63"/>
      <c r="L256" s="282"/>
      <c r="M256" s="63"/>
      <c r="N256" s="1031">
        <f t="shared" si="112"/>
        <v>620</v>
      </c>
      <c r="O256" s="63">
        <v>620</v>
      </c>
      <c r="P256" s="1042">
        <f t="shared" si="116"/>
        <v>550</v>
      </c>
      <c r="Q256" s="1048">
        <v>550</v>
      </c>
      <c r="R256" s="54"/>
      <c r="S256" s="54">
        <f t="shared" si="117"/>
        <v>70</v>
      </c>
      <c r="T256" s="1046">
        <f t="shared" si="118"/>
        <v>550</v>
      </c>
      <c r="U256" s="1098">
        <v>550</v>
      </c>
      <c r="V256" s="54"/>
      <c r="W256" s="54"/>
      <c r="X256" s="1046">
        <f t="shared" si="119"/>
        <v>550</v>
      </c>
      <c r="Y256" s="1098">
        <v>550</v>
      </c>
      <c r="Z256" s="282">
        <f t="shared" si="113"/>
        <v>405</v>
      </c>
      <c r="AA256" s="282">
        <v>405</v>
      </c>
      <c r="AB256" s="282">
        <f t="shared" si="114"/>
        <v>90</v>
      </c>
      <c r="AC256" s="282">
        <v>90</v>
      </c>
      <c r="AD256" s="282"/>
      <c r="AE256" s="282"/>
      <c r="AF256" s="282"/>
      <c r="AG256" s="282"/>
      <c r="AH256" s="282"/>
      <c r="AI256" s="282"/>
      <c r="AJ256" s="282"/>
      <c r="AK256" s="282"/>
      <c r="AL256" s="69"/>
      <c r="AM256" s="1009">
        <f t="shared" si="82"/>
        <v>0</v>
      </c>
      <c r="AN256" s="1009">
        <f t="shared" si="83"/>
        <v>1</v>
      </c>
      <c r="AO256" s="144">
        <f t="shared" si="115"/>
        <v>1</v>
      </c>
    </row>
    <row r="257" spans="1:41" ht="82.5" hidden="1" x14ac:dyDescent="0.25">
      <c r="A257" s="61">
        <v>32</v>
      </c>
      <c r="B257" s="61"/>
      <c r="C257" s="1023" t="s">
        <v>1563</v>
      </c>
      <c r="D257" s="1024" t="s">
        <v>1379</v>
      </c>
      <c r="E257" s="1024" t="s">
        <v>1556</v>
      </c>
      <c r="F257" s="1024" t="s">
        <v>252</v>
      </c>
      <c r="G257" s="1025" t="s">
        <v>1562</v>
      </c>
      <c r="H257" s="1045">
        <v>431</v>
      </c>
      <c r="I257" s="1026">
        <f t="shared" si="111"/>
        <v>431</v>
      </c>
      <c r="J257" s="1017"/>
      <c r="K257" s="1017"/>
      <c r="L257" s="1017"/>
      <c r="M257" s="1017"/>
      <c r="N257" s="1031">
        <f t="shared" si="112"/>
        <v>400</v>
      </c>
      <c r="O257" s="63">
        <v>400</v>
      </c>
      <c r="P257" s="1042">
        <f t="shared" si="116"/>
        <v>360</v>
      </c>
      <c r="Q257" s="1044">
        <v>360</v>
      </c>
      <c r="R257" s="54"/>
      <c r="S257" s="54">
        <f t="shared" si="117"/>
        <v>40</v>
      </c>
      <c r="T257" s="1046">
        <f t="shared" si="118"/>
        <v>360</v>
      </c>
      <c r="U257" s="1047">
        <v>360</v>
      </c>
      <c r="V257" s="54"/>
      <c r="W257" s="54"/>
      <c r="X257" s="1046">
        <f t="shared" si="119"/>
        <v>360</v>
      </c>
      <c r="Y257" s="1047">
        <v>360</v>
      </c>
      <c r="Z257" s="282">
        <f t="shared" si="113"/>
        <v>260</v>
      </c>
      <c r="AA257" s="282">
        <v>260</v>
      </c>
      <c r="AB257" s="282">
        <f t="shared" si="114"/>
        <v>60</v>
      </c>
      <c r="AC257" s="282">
        <v>60</v>
      </c>
      <c r="AD257" s="282"/>
      <c r="AE257" s="282"/>
      <c r="AF257" s="282"/>
      <c r="AG257" s="282"/>
      <c r="AH257" s="282"/>
      <c r="AI257" s="282"/>
      <c r="AJ257" s="282"/>
      <c r="AK257" s="282"/>
      <c r="AL257" s="59"/>
      <c r="AM257" s="1009">
        <f t="shared" si="82"/>
        <v>0</v>
      </c>
      <c r="AN257" s="1009">
        <f t="shared" si="83"/>
        <v>1</v>
      </c>
      <c r="AO257" s="144">
        <f t="shared" si="115"/>
        <v>1</v>
      </c>
    </row>
    <row r="258" spans="1:41" ht="49.5" hidden="1" x14ac:dyDescent="0.25">
      <c r="A258" s="61">
        <v>33</v>
      </c>
      <c r="B258" s="61"/>
      <c r="C258" s="1023" t="s">
        <v>1561</v>
      </c>
      <c r="D258" s="1024" t="s">
        <v>1379</v>
      </c>
      <c r="E258" s="1024" t="s">
        <v>1556</v>
      </c>
      <c r="F258" s="1024" t="s">
        <v>97</v>
      </c>
      <c r="G258" s="1025" t="s">
        <v>1560</v>
      </c>
      <c r="H258" s="1045">
        <v>1022</v>
      </c>
      <c r="I258" s="1026">
        <f t="shared" si="111"/>
        <v>1022</v>
      </c>
      <c r="J258" s="1028"/>
      <c r="K258" s="1028"/>
      <c r="L258" s="1028"/>
      <c r="M258" s="1028"/>
      <c r="N258" s="1031">
        <f t="shared" si="112"/>
        <v>940</v>
      </c>
      <c r="O258" s="63">
        <v>940</v>
      </c>
      <c r="P258" s="1042">
        <f t="shared" si="116"/>
        <v>850</v>
      </c>
      <c r="Q258" s="1044">
        <v>850</v>
      </c>
      <c r="R258" s="54"/>
      <c r="S258" s="54">
        <f t="shared" si="117"/>
        <v>90</v>
      </c>
      <c r="T258" s="1046">
        <f t="shared" si="118"/>
        <v>850</v>
      </c>
      <c r="U258" s="1047">
        <v>850</v>
      </c>
      <c r="V258" s="54"/>
      <c r="W258" s="54"/>
      <c r="X258" s="1046">
        <f t="shared" si="119"/>
        <v>850</v>
      </c>
      <c r="Y258" s="1047">
        <v>850</v>
      </c>
      <c r="Z258" s="282">
        <f t="shared" si="113"/>
        <v>615</v>
      </c>
      <c r="AA258" s="282">
        <v>615</v>
      </c>
      <c r="AB258" s="282">
        <f t="shared" si="114"/>
        <v>100</v>
      </c>
      <c r="AC258" s="282">
        <v>100</v>
      </c>
      <c r="AD258" s="282"/>
      <c r="AE258" s="282"/>
      <c r="AF258" s="282"/>
      <c r="AG258" s="282"/>
      <c r="AH258" s="282"/>
      <c r="AI258" s="282"/>
      <c r="AJ258" s="282"/>
      <c r="AK258" s="282"/>
      <c r="AL258" s="1029"/>
      <c r="AM258" s="1009">
        <f t="shared" si="82"/>
        <v>0</v>
      </c>
      <c r="AN258" s="1009">
        <f t="shared" si="83"/>
        <v>1</v>
      </c>
      <c r="AO258" s="144">
        <f t="shared" si="115"/>
        <v>1</v>
      </c>
    </row>
    <row r="259" spans="1:41" ht="49.5" hidden="1" x14ac:dyDescent="0.25">
      <c r="A259" s="61">
        <v>34</v>
      </c>
      <c r="B259" s="61"/>
      <c r="C259" s="1023" t="s">
        <v>1559</v>
      </c>
      <c r="D259" s="1024" t="s">
        <v>1355</v>
      </c>
      <c r="E259" s="1024" t="s">
        <v>1553</v>
      </c>
      <c r="F259" s="1024" t="s">
        <v>252</v>
      </c>
      <c r="G259" s="1025" t="s">
        <v>1558</v>
      </c>
      <c r="H259" s="1045">
        <v>612</v>
      </c>
      <c r="I259" s="1026">
        <f t="shared" si="111"/>
        <v>612</v>
      </c>
      <c r="J259" s="288"/>
      <c r="K259" s="288"/>
      <c r="L259" s="288"/>
      <c r="M259" s="288"/>
      <c r="N259" s="1031">
        <f t="shared" si="112"/>
        <v>560</v>
      </c>
      <c r="O259" s="63">
        <v>560</v>
      </c>
      <c r="P259" s="1042">
        <f t="shared" si="116"/>
        <v>500</v>
      </c>
      <c r="Q259" s="1044">
        <v>500</v>
      </c>
      <c r="R259" s="54"/>
      <c r="S259" s="54">
        <f t="shared" si="117"/>
        <v>60</v>
      </c>
      <c r="T259" s="1046">
        <f t="shared" si="118"/>
        <v>500</v>
      </c>
      <c r="U259" s="1047">
        <v>500</v>
      </c>
      <c r="V259" s="54"/>
      <c r="W259" s="54"/>
      <c r="X259" s="1046">
        <f t="shared" si="119"/>
        <v>500</v>
      </c>
      <c r="Y259" s="1047">
        <v>500</v>
      </c>
      <c r="Z259" s="282">
        <f t="shared" si="113"/>
        <v>370</v>
      </c>
      <c r="AA259" s="282">
        <v>370</v>
      </c>
      <c r="AB259" s="282">
        <f t="shared" si="114"/>
        <v>70</v>
      </c>
      <c r="AC259" s="282">
        <v>70</v>
      </c>
      <c r="AD259" s="282"/>
      <c r="AE259" s="282"/>
      <c r="AF259" s="282"/>
      <c r="AG259" s="282"/>
      <c r="AH259" s="282"/>
      <c r="AI259" s="282"/>
      <c r="AJ259" s="282"/>
      <c r="AK259" s="282"/>
      <c r="AL259" s="27"/>
      <c r="AM259" s="1009">
        <f t="shared" si="82"/>
        <v>0</v>
      </c>
      <c r="AN259" s="1009">
        <f t="shared" si="83"/>
        <v>1</v>
      </c>
      <c r="AO259" s="144">
        <f t="shared" si="115"/>
        <v>1</v>
      </c>
    </row>
    <row r="260" spans="1:41" ht="49.5" hidden="1" x14ac:dyDescent="0.25">
      <c r="A260" s="61">
        <v>35</v>
      </c>
      <c r="B260" s="61"/>
      <c r="C260" s="1023" t="s">
        <v>1557</v>
      </c>
      <c r="D260" s="1024" t="s">
        <v>1379</v>
      </c>
      <c r="E260" s="1024" t="s">
        <v>1556</v>
      </c>
      <c r="F260" s="1024" t="s">
        <v>252</v>
      </c>
      <c r="G260" s="1025" t="s">
        <v>1555</v>
      </c>
      <c r="H260" s="1045">
        <v>1062</v>
      </c>
      <c r="I260" s="1026">
        <f t="shared" si="111"/>
        <v>1062</v>
      </c>
      <c r="J260" s="288"/>
      <c r="K260" s="288"/>
      <c r="L260" s="288"/>
      <c r="M260" s="288"/>
      <c r="N260" s="1031">
        <f t="shared" si="112"/>
        <v>980</v>
      </c>
      <c r="O260" s="63">
        <v>980</v>
      </c>
      <c r="P260" s="1042">
        <f t="shared" si="116"/>
        <v>890</v>
      </c>
      <c r="Q260" s="1044">
        <v>890</v>
      </c>
      <c r="R260" s="54"/>
      <c r="S260" s="54">
        <f t="shared" si="117"/>
        <v>90</v>
      </c>
      <c r="T260" s="1046">
        <f t="shared" si="118"/>
        <v>890</v>
      </c>
      <c r="U260" s="1047">
        <v>890</v>
      </c>
      <c r="V260" s="54"/>
      <c r="W260" s="54"/>
      <c r="X260" s="1046">
        <f t="shared" si="119"/>
        <v>890</v>
      </c>
      <c r="Y260" s="1047">
        <v>890</v>
      </c>
      <c r="Z260" s="282">
        <f t="shared" si="113"/>
        <v>635</v>
      </c>
      <c r="AA260" s="282">
        <v>635</v>
      </c>
      <c r="AB260" s="282">
        <f t="shared" si="114"/>
        <v>150</v>
      </c>
      <c r="AC260" s="282">
        <v>150</v>
      </c>
      <c r="AD260" s="282"/>
      <c r="AE260" s="282"/>
      <c r="AF260" s="282"/>
      <c r="AG260" s="282"/>
      <c r="AH260" s="282"/>
      <c r="AI260" s="282"/>
      <c r="AJ260" s="282"/>
      <c r="AK260" s="282"/>
      <c r="AL260" s="27"/>
      <c r="AM260" s="1009">
        <f t="shared" si="82"/>
        <v>0</v>
      </c>
      <c r="AN260" s="1009">
        <f t="shared" si="83"/>
        <v>1</v>
      </c>
      <c r="AO260" s="144">
        <f t="shared" si="115"/>
        <v>1</v>
      </c>
    </row>
    <row r="261" spans="1:41" ht="49.5" hidden="1" x14ac:dyDescent="0.25">
      <c r="A261" s="61">
        <v>36</v>
      </c>
      <c r="B261" s="61"/>
      <c r="C261" s="1023" t="s">
        <v>1554</v>
      </c>
      <c r="D261" s="1024" t="s">
        <v>1355</v>
      </c>
      <c r="E261" s="1024" t="s">
        <v>1553</v>
      </c>
      <c r="F261" s="1024" t="s">
        <v>252</v>
      </c>
      <c r="G261" s="1025" t="s">
        <v>1552</v>
      </c>
      <c r="H261" s="63">
        <v>668</v>
      </c>
      <c r="I261" s="1026">
        <f t="shared" si="111"/>
        <v>668</v>
      </c>
      <c r="J261" s="288"/>
      <c r="K261" s="288"/>
      <c r="L261" s="288"/>
      <c r="M261" s="288"/>
      <c r="N261" s="1031">
        <f t="shared" si="112"/>
        <v>620</v>
      </c>
      <c r="O261" s="63">
        <v>620</v>
      </c>
      <c r="P261" s="1042">
        <f t="shared" si="116"/>
        <v>560</v>
      </c>
      <c r="Q261" s="1048">
        <v>560</v>
      </c>
      <c r="R261" s="54"/>
      <c r="S261" s="54">
        <f t="shared" si="117"/>
        <v>60</v>
      </c>
      <c r="T261" s="1046">
        <f t="shared" si="118"/>
        <v>560</v>
      </c>
      <c r="U261" s="1098">
        <v>560</v>
      </c>
      <c r="V261" s="54"/>
      <c r="W261" s="54"/>
      <c r="X261" s="1046">
        <f t="shared" si="119"/>
        <v>560</v>
      </c>
      <c r="Y261" s="1098">
        <v>560</v>
      </c>
      <c r="Z261" s="282">
        <f t="shared" si="113"/>
        <v>400</v>
      </c>
      <c r="AA261" s="282">
        <v>400</v>
      </c>
      <c r="AB261" s="282">
        <f t="shared" si="114"/>
        <v>70</v>
      </c>
      <c r="AC261" s="282">
        <v>70</v>
      </c>
      <c r="AD261" s="282"/>
      <c r="AE261" s="282"/>
      <c r="AF261" s="282"/>
      <c r="AG261" s="282"/>
      <c r="AH261" s="282"/>
      <c r="AI261" s="282"/>
      <c r="AJ261" s="282"/>
      <c r="AK261" s="282"/>
      <c r="AL261" s="27"/>
      <c r="AM261" s="1009">
        <f t="shared" si="82"/>
        <v>0</v>
      </c>
      <c r="AN261" s="1009">
        <f t="shared" si="83"/>
        <v>1</v>
      </c>
      <c r="AO261" s="144">
        <f t="shared" si="115"/>
        <v>1</v>
      </c>
    </row>
    <row r="262" spans="1:41" ht="99" hidden="1" x14ac:dyDescent="0.25">
      <c r="A262" s="61">
        <v>37</v>
      </c>
      <c r="B262" s="61"/>
      <c r="C262" s="1102" t="s">
        <v>1551</v>
      </c>
      <c r="D262" s="1024"/>
      <c r="E262" s="61" t="s">
        <v>1550</v>
      </c>
      <c r="F262" s="1024"/>
      <c r="G262" s="1024"/>
      <c r="H262" s="1103">
        <v>714</v>
      </c>
      <c r="I262" s="1026">
        <f t="shared" si="111"/>
        <v>714</v>
      </c>
      <c r="J262" s="288"/>
      <c r="K262" s="288"/>
      <c r="L262" s="288"/>
      <c r="M262" s="288"/>
      <c r="N262" s="1031">
        <f t="shared" si="112"/>
        <v>680</v>
      </c>
      <c r="O262" s="1045">
        <f>I262/1.05</f>
        <v>680</v>
      </c>
      <c r="P262" s="1041">
        <v>680</v>
      </c>
      <c r="Q262" s="1041">
        <v>680</v>
      </c>
      <c r="R262" s="54"/>
      <c r="S262" s="54">
        <f t="shared" si="117"/>
        <v>0</v>
      </c>
      <c r="T262" s="1095">
        <v>680</v>
      </c>
      <c r="U262" s="1095">
        <v>680</v>
      </c>
      <c r="V262" s="54"/>
      <c r="W262" s="54"/>
      <c r="X262" s="1095">
        <v>680</v>
      </c>
      <c r="Y262" s="1095">
        <v>680</v>
      </c>
      <c r="Z262" s="288"/>
      <c r="AA262" s="288"/>
      <c r="AB262" s="288"/>
      <c r="AC262" s="288"/>
      <c r="AD262" s="288"/>
      <c r="AE262" s="288"/>
      <c r="AF262" s="288"/>
      <c r="AG262" s="288"/>
      <c r="AH262" s="288"/>
      <c r="AI262" s="288"/>
      <c r="AJ262" s="288"/>
      <c r="AK262" s="288"/>
      <c r="AL262" s="27"/>
      <c r="AM262" s="1009">
        <f t="shared" si="82"/>
        <v>0</v>
      </c>
      <c r="AN262" s="1009">
        <f t="shared" si="83"/>
        <v>1</v>
      </c>
      <c r="AO262" s="144">
        <f t="shared" si="115"/>
        <v>1</v>
      </c>
    </row>
    <row r="263" spans="1:41" ht="16.5" hidden="1" x14ac:dyDescent="0.25">
      <c r="A263" s="61">
        <v>38</v>
      </c>
      <c r="B263" s="61"/>
      <c r="C263" s="1102" t="s">
        <v>1549</v>
      </c>
      <c r="D263" s="1024"/>
      <c r="E263" s="61"/>
      <c r="F263" s="1024"/>
      <c r="G263" s="1024"/>
      <c r="H263" s="1103">
        <v>766</v>
      </c>
      <c r="I263" s="1026">
        <f t="shared" si="111"/>
        <v>766</v>
      </c>
      <c r="J263" s="288"/>
      <c r="K263" s="288"/>
      <c r="L263" s="288"/>
      <c r="M263" s="288"/>
      <c r="N263" s="1031">
        <f t="shared" si="112"/>
        <v>729.52380952380952</v>
      </c>
      <c r="O263" s="1045">
        <f>I263/1.05</f>
        <v>729.52380952380952</v>
      </c>
      <c r="P263" s="1041"/>
      <c r="Q263" s="1041"/>
      <c r="R263" s="54"/>
      <c r="S263" s="54">
        <f t="shared" si="117"/>
        <v>729.52380952380952</v>
      </c>
      <c r="T263" s="1095"/>
      <c r="U263" s="1095"/>
      <c r="V263" s="54"/>
      <c r="W263" s="54"/>
      <c r="X263" s="1095"/>
      <c r="Y263" s="1095"/>
      <c r="Z263" s="288"/>
      <c r="AA263" s="288"/>
      <c r="AB263" s="288"/>
      <c r="AC263" s="288"/>
      <c r="AD263" s="288"/>
      <c r="AE263" s="288"/>
      <c r="AF263" s="288"/>
      <c r="AG263" s="288"/>
      <c r="AH263" s="288"/>
      <c r="AI263" s="288"/>
      <c r="AJ263" s="288"/>
      <c r="AK263" s="288"/>
      <c r="AL263" s="25"/>
      <c r="AM263" s="1009">
        <f t="shared" si="82"/>
        <v>0</v>
      </c>
      <c r="AN263" s="1009">
        <f t="shared" si="83"/>
        <v>0</v>
      </c>
      <c r="AO263" s="144">
        <f t="shared" si="115"/>
        <v>1</v>
      </c>
    </row>
    <row r="264" spans="1:41" ht="66" hidden="1" x14ac:dyDescent="0.25">
      <c r="A264" s="61">
        <v>39</v>
      </c>
      <c r="B264" s="61"/>
      <c r="C264" s="1102" t="s">
        <v>1548</v>
      </c>
      <c r="D264" s="1024"/>
      <c r="E264" s="61"/>
      <c r="F264" s="1024"/>
      <c r="G264" s="1024"/>
      <c r="H264" s="1103">
        <v>32000</v>
      </c>
      <c r="I264" s="1026">
        <f t="shared" si="111"/>
        <v>32000</v>
      </c>
      <c r="J264" s="288"/>
      <c r="K264" s="288"/>
      <c r="L264" s="288"/>
      <c r="M264" s="288"/>
      <c r="N264" s="1031">
        <f t="shared" si="112"/>
        <v>29570</v>
      </c>
      <c r="O264" s="1045">
        <v>29570</v>
      </c>
      <c r="P264" s="1041"/>
      <c r="Q264" s="1041"/>
      <c r="R264" s="54"/>
      <c r="S264" s="54">
        <f t="shared" si="117"/>
        <v>29570</v>
      </c>
      <c r="T264" s="1095"/>
      <c r="U264" s="1095"/>
      <c r="V264" s="54"/>
      <c r="W264" s="54"/>
      <c r="X264" s="1095"/>
      <c r="Y264" s="1095"/>
      <c r="Z264" s="288"/>
      <c r="AA264" s="288"/>
      <c r="AB264" s="288"/>
      <c r="AC264" s="288"/>
      <c r="AD264" s="288"/>
      <c r="AE264" s="288"/>
      <c r="AF264" s="288"/>
      <c r="AG264" s="288"/>
      <c r="AH264" s="288"/>
      <c r="AI264" s="288"/>
      <c r="AJ264" s="288"/>
      <c r="AK264" s="288"/>
      <c r="AL264" s="25"/>
      <c r="AM264" s="1009">
        <f t="shared" si="82"/>
        <v>0</v>
      </c>
      <c r="AN264" s="1009">
        <f t="shared" si="83"/>
        <v>0</v>
      </c>
      <c r="AO264" s="144">
        <f t="shared" si="115"/>
        <v>1</v>
      </c>
    </row>
    <row r="265" spans="1:41" ht="33" hidden="1" x14ac:dyDescent="0.25">
      <c r="A265" s="61">
        <v>40</v>
      </c>
      <c r="B265" s="61"/>
      <c r="C265" s="1102" t="s">
        <v>1546</v>
      </c>
      <c r="D265" s="1024"/>
      <c r="E265" s="61"/>
      <c r="F265" s="1024"/>
      <c r="G265" s="1024"/>
      <c r="H265" s="1103">
        <v>55000</v>
      </c>
      <c r="I265" s="1026">
        <f t="shared" si="111"/>
        <v>55000</v>
      </c>
      <c r="J265" s="288"/>
      <c r="K265" s="288"/>
      <c r="L265" s="288"/>
      <c r="M265" s="288"/>
      <c r="N265" s="1031">
        <f t="shared" si="112"/>
        <v>49999.999999999993</v>
      </c>
      <c r="O265" s="1045">
        <f>I265/1.1</f>
        <v>49999.999999999993</v>
      </c>
      <c r="P265" s="1041"/>
      <c r="Q265" s="1041"/>
      <c r="R265" s="54"/>
      <c r="S265" s="54">
        <f t="shared" si="117"/>
        <v>49999.999999999993</v>
      </c>
      <c r="T265" s="1095"/>
      <c r="U265" s="1095"/>
      <c r="V265" s="54"/>
      <c r="W265" s="54"/>
      <c r="X265" s="1095"/>
      <c r="Y265" s="1095"/>
      <c r="Z265" s="288"/>
      <c r="AA265" s="288"/>
      <c r="AB265" s="288"/>
      <c r="AC265" s="288"/>
      <c r="AD265" s="288"/>
      <c r="AE265" s="288"/>
      <c r="AF265" s="288"/>
      <c r="AG265" s="288"/>
      <c r="AH265" s="288"/>
      <c r="AI265" s="288"/>
      <c r="AJ265" s="288"/>
      <c r="AK265" s="288"/>
      <c r="AL265" s="25"/>
      <c r="AM265" s="1009">
        <f t="shared" si="82"/>
        <v>0</v>
      </c>
      <c r="AN265" s="1009">
        <f t="shared" si="83"/>
        <v>0</v>
      </c>
      <c r="AO265" s="144">
        <f t="shared" si="115"/>
        <v>1</v>
      </c>
    </row>
    <row r="266" spans="1:41" ht="66" hidden="1" x14ac:dyDescent="0.25">
      <c r="A266" s="61">
        <v>41</v>
      </c>
      <c r="B266" s="61"/>
      <c r="C266" s="1102" t="s">
        <v>1544</v>
      </c>
      <c r="D266" s="1024" t="s">
        <v>1355</v>
      </c>
      <c r="E266" s="1039" t="s">
        <v>1543</v>
      </c>
      <c r="F266" s="1024" t="s">
        <v>109</v>
      </c>
      <c r="G266" s="1025" t="s">
        <v>1542</v>
      </c>
      <c r="H266" s="1103">
        <f>I266</f>
        <v>4688</v>
      </c>
      <c r="I266" s="1026">
        <v>4688</v>
      </c>
      <c r="J266" s="288"/>
      <c r="K266" s="288"/>
      <c r="L266" s="288"/>
      <c r="M266" s="288"/>
      <c r="N266" s="1031">
        <f t="shared" si="112"/>
        <v>4760</v>
      </c>
      <c r="O266" s="1045">
        <v>4760</v>
      </c>
      <c r="P266" s="1041">
        <f>Q266</f>
        <v>3380</v>
      </c>
      <c r="Q266" s="1041">
        <v>3380</v>
      </c>
      <c r="R266" s="54"/>
      <c r="S266" s="54">
        <f t="shared" si="117"/>
        <v>1380</v>
      </c>
      <c r="T266" s="1095">
        <f>U266</f>
        <v>3380</v>
      </c>
      <c r="U266" s="1095">
        <v>3380</v>
      </c>
      <c r="V266" s="54"/>
      <c r="W266" s="54"/>
      <c r="X266" s="1095">
        <f>Y266</f>
        <v>3380</v>
      </c>
      <c r="Y266" s="1095">
        <v>3380</v>
      </c>
      <c r="Z266" s="288"/>
      <c r="AA266" s="288"/>
      <c r="AB266" s="282">
        <f t="shared" ref="AB266:AB285" si="120">AC266</f>
        <v>2927</v>
      </c>
      <c r="AC266" s="282">
        <v>2927</v>
      </c>
      <c r="AD266" s="288"/>
      <c r="AE266" s="288"/>
      <c r="AF266" s="288"/>
      <c r="AG266" s="288"/>
      <c r="AH266" s="288"/>
      <c r="AI266" s="288"/>
      <c r="AJ266" s="288"/>
      <c r="AK266" s="288"/>
      <c r="AL266" s="27"/>
      <c r="AM266" s="1009">
        <f t="shared" si="82"/>
        <v>0</v>
      </c>
      <c r="AN266" s="1009">
        <f t="shared" si="83"/>
        <v>1</v>
      </c>
      <c r="AO266" s="144">
        <f t="shared" si="115"/>
        <v>1</v>
      </c>
    </row>
    <row r="267" spans="1:41" ht="66" hidden="1" x14ac:dyDescent="0.25">
      <c r="A267" s="61">
        <v>42</v>
      </c>
      <c r="B267" s="61"/>
      <c r="C267" s="1038" t="s">
        <v>1541</v>
      </c>
      <c r="D267" s="1024" t="s">
        <v>1379</v>
      </c>
      <c r="E267" s="1039" t="s">
        <v>1540</v>
      </c>
      <c r="F267" s="1024" t="s">
        <v>109</v>
      </c>
      <c r="G267" s="1024" t="s">
        <v>1539</v>
      </c>
      <c r="H267" s="1104">
        <v>3853</v>
      </c>
      <c r="I267" s="1105">
        <f t="shared" ref="I267:I328" si="121">H267</f>
        <v>3853</v>
      </c>
      <c r="J267" s="288"/>
      <c r="K267" s="288"/>
      <c r="L267" s="288"/>
      <c r="M267" s="288"/>
      <c r="N267" s="1031">
        <f t="shared" si="112"/>
        <v>4760</v>
      </c>
      <c r="O267" s="1045">
        <v>4760</v>
      </c>
      <c r="P267" s="1041">
        <f>Q267</f>
        <v>3000</v>
      </c>
      <c r="Q267" s="1041">
        <v>3000</v>
      </c>
      <c r="R267" s="54"/>
      <c r="S267" s="54">
        <f t="shared" si="117"/>
        <v>1760</v>
      </c>
      <c r="T267" s="1095">
        <f>U267</f>
        <v>3000</v>
      </c>
      <c r="U267" s="1095">
        <v>3000</v>
      </c>
      <c r="V267" s="54"/>
      <c r="W267" s="54"/>
      <c r="X267" s="1095">
        <f>Y267</f>
        <v>3000</v>
      </c>
      <c r="Y267" s="1095">
        <v>3000</v>
      </c>
      <c r="Z267" s="288"/>
      <c r="AA267" s="288"/>
      <c r="AB267" s="282">
        <f t="shared" si="120"/>
        <v>2130</v>
      </c>
      <c r="AC267" s="282">
        <v>2130</v>
      </c>
      <c r="AD267" s="288"/>
      <c r="AE267" s="288"/>
      <c r="AF267" s="288"/>
      <c r="AG267" s="288"/>
      <c r="AH267" s="288"/>
      <c r="AI267" s="288"/>
      <c r="AJ267" s="288"/>
      <c r="AK267" s="288"/>
      <c r="AL267" s="27"/>
      <c r="AM267" s="1009">
        <f t="shared" si="82"/>
        <v>0</v>
      </c>
      <c r="AN267" s="1009">
        <f t="shared" si="83"/>
        <v>1</v>
      </c>
      <c r="AO267" s="144">
        <f t="shared" si="115"/>
        <v>1</v>
      </c>
    </row>
    <row r="268" spans="1:41" ht="66" hidden="1" x14ac:dyDescent="0.25">
      <c r="A268" s="61">
        <v>43</v>
      </c>
      <c r="B268" s="61"/>
      <c r="C268" s="1038" t="s">
        <v>1538</v>
      </c>
      <c r="D268" s="1024" t="s">
        <v>1355</v>
      </c>
      <c r="E268" s="1039" t="s">
        <v>1537</v>
      </c>
      <c r="F268" s="1024" t="s">
        <v>109</v>
      </c>
      <c r="G268" s="1024" t="s">
        <v>1536</v>
      </c>
      <c r="H268" s="1023">
        <v>27628</v>
      </c>
      <c r="I268" s="1105">
        <f t="shared" si="121"/>
        <v>27628</v>
      </c>
      <c r="J268" s="288"/>
      <c r="K268" s="288"/>
      <c r="L268" s="288"/>
      <c r="M268" s="288"/>
      <c r="N268" s="1031">
        <f t="shared" si="112"/>
        <v>18000</v>
      </c>
      <c r="O268" s="1045">
        <v>18000</v>
      </c>
      <c r="P268" s="1041">
        <f>Q268</f>
        <v>20500</v>
      </c>
      <c r="Q268" s="1041">
        <v>20500</v>
      </c>
      <c r="R268" s="54">
        <f>U268-O268</f>
        <v>2500</v>
      </c>
      <c r="S268" s="54"/>
      <c r="T268" s="1095">
        <f>U268</f>
        <v>20500</v>
      </c>
      <c r="U268" s="1095">
        <v>20500</v>
      </c>
      <c r="V268" s="54"/>
      <c r="W268" s="54"/>
      <c r="X268" s="1095">
        <f>Y268</f>
        <v>20500</v>
      </c>
      <c r="Y268" s="1095">
        <v>20500</v>
      </c>
      <c r="Z268" s="288"/>
      <c r="AA268" s="288"/>
      <c r="AB268" s="282">
        <f t="shared" si="120"/>
        <v>7000</v>
      </c>
      <c r="AC268" s="282">
        <v>7000</v>
      </c>
      <c r="AD268" s="288"/>
      <c r="AE268" s="288"/>
      <c r="AF268" s="288"/>
      <c r="AG268" s="288"/>
      <c r="AH268" s="288"/>
      <c r="AI268" s="288"/>
      <c r="AJ268" s="288"/>
      <c r="AK268" s="288"/>
      <c r="AL268" s="27"/>
      <c r="AM268" s="1009">
        <f t="shared" si="82"/>
        <v>0</v>
      </c>
      <c r="AN268" s="1009">
        <f t="shared" si="83"/>
        <v>1</v>
      </c>
      <c r="AO268" s="144">
        <f t="shared" si="115"/>
        <v>1</v>
      </c>
    </row>
    <row r="269" spans="1:41" ht="66" hidden="1" x14ac:dyDescent="0.25">
      <c r="A269" s="61">
        <v>44</v>
      </c>
      <c r="B269" s="61"/>
      <c r="C269" s="1038" t="s">
        <v>1535</v>
      </c>
      <c r="D269" s="1024" t="s">
        <v>1355</v>
      </c>
      <c r="E269" s="1039" t="s">
        <v>1534</v>
      </c>
      <c r="F269" s="1024" t="s">
        <v>109</v>
      </c>
      <c r="G269" s="1024" t="s">
        <v>1533</v>
      </c>
      <c r="H269" s="1023">
        <v>4462</v>
      </c>
      <c r="I269" s="1105">
        <f t="shared" si="121"/>
        <v>4462</v>
      </c>
      <c r="J269" s="282"/>
      <c r="K269" s="282"/>
      <c r="L269" s="282"/>
      <c r="M269" s="282"/>
      <c r="N269" s="1031">
        <f t="shared" si="112"/>
        <v>2670</v>
      </c>
      <c r="O269" s="1045">
        <v>2670</v>
      </c>
      <c r="P269" s="1048">
        <v>3450</v>
      </c>
      <c r="Q269" s="1041">
        <f t="shared" ref="Q269:Q285" si="122">P269</f>
        <v>3450</v>
      </c>
      <c r="R269" s="54">
        <f>U269-O269</f>
        <v>780</v>
      </c>
      <c r="S269" s="54"/>
      <c r="T269" s="1098">
        <v>3450</v>
      </c>
      <c r="U269" s="1095">
        <v>3450</v>
      </c>
      <c r="V269" s="54"/>
      <c r="W269" s="54"/>
      <c r="X269" s="1098">
        <v>3450</v>
      </c>
      <c r="Y269" s="1095">
        <v>3450</v>
      </c>
      <c r="Z269" s="282"/>
      <c r="AA269" s="282"/>
      <c r="AB269" s="282">
        <f t="shared" si="120"/>
        <v>2581</v>
      </c>
      <c r="AC269" s="282">
        <v>2581</v>
      </c>
      <c r="AD269" s="282"/>
      <c r="AE269" s="282"/>
      <c r="AF269" s="282"/>
      <c r="AG269" s="282"/>
      <c r="AH269" s="282"/>
      <c r="AI269" s="282"/>
      <c r="AJ269" s="282"/>
      <c r="AK269" s="282"/>
      <c r="AL269" s="69"/>
      <c r="AM269" s="1009">
        <f t="shared" si="82"/>
        <v>0</v>
      </c>
      <c r="AN269" s="1009">
        <f t="shared" si="83"/>
        <v>1</v>
      </c>
      <c r="AO269" s="144">
        <f t="shared" si="115"/>
        <v>1</v>
      </c>
    </row>
    <row r="270" spans="1:41" ht="66" hidden="1" x14ac:dyDescent="0.25">
      <c r="A270" s="61">
        <v>45</v>
      </c>
      <c r="B270" s="61"/>
      <c r="C270" s="1038" t="s">
        <v>1532</v>
      </c>
      <c r="D270" s="1024" t="s">
        <v>1355</v>
      </c>
      <c r="E270" s="1039" t="s">
        <v>1531</v>
      </c>
      <c r="F270" s="1024" t="s">
        <v>109</v>
      </c>
      <c r="G270" s="1024" t="s">
        <v>1530</v>
      </c>
      <c r="H270" s="1023">
        <v>2600</v>
      </c>
      <c r="I270" s="1105">
        <f t="shared" si="121"/>
        <v>2600</v>
      </c>
      <c r="J270" s="282"/>
      <c r="K270" s="282"/>
      <c r="L270" s="282"/>
      <c r="M270" s="282"/>
      <c r="N270" s="1031">
        <f t="shared" si="112"/>
        <v>1330</v>
      </c>
      <c r="O270" s="1045">
        <v>1330</v>
      </c>
      <c r="P270" s="1048">
        <v>2040</v>
      </c>
      <c r="Q270" s="1041">
        <f t="shared" si="122"/>
        <v>2040</v>
      </c>
      <c r="R270" s="54">
        <f>U270-O270</f>
        <v>710</v>
      </c>
      <c r="S270" s="54"/>
      <c r="T270" s="1098">
        <v>2040</v>
      </c>
      <c r="U270" s="1095">
        <v>2040</v>
      </c>
      <c r="V270" s="54"/>
      <c r="W270" s="54"/>
      <c r="X270" s="1098">
        <v>2040</v>
      </c>
      <c r="Y270" s="1095">
        <v>2040</v>
      </c>
      <c r="Z270" s="282"/>
      <c r="AA270" s="282"/>
      <c r="AB270" s="282">
        <f t="shared" si="120"/>
        <v>740</v>
      </c>
      <c r="AC270" s="282">
        <v>740</v>
      </c>
      <c r="AD270" s="282"/>
      <c r="AE270" s="282"/>
      <c r="AF270" s="282"/>
      <c r="AG270" s="282"/>
      <c r="AH270" s="282"/>
      <c r="AI270" s="282"/>
      <c r="AJ270" s="282"/>
      <c r="AK270" s="282"/>
      <c r="AL270" s="69"/>
      <c r="AM270" s="1009">
        <f t="shared" si="82"/>
        <v>0</v>
      </c>
      <c r="AN270" s="1009">
        <f t="shared" si="83"/>
        <v>1</v>
      </c>
      <c r="AO270" s="144">
        <f t="shared" si="115"/>
        <v>1</v>
      </c>
    </row>
    <row r="271" spans="1:41" ht="82.5" hidden="1" x14ac:dyDescent="0.25">
      <c r="A271" s="61">
        <v>46</v>
      </c>
      <c r="B271" s="61"/>
      <c r="C271" s="1038" t="s">
        <v>1529</v>
      </c>
      <c r="D271" s="1024" t="s">
        <v>1355</v>
      </c>
      <c r="E271" s="1039" t="s">
        <v>1528</v>
      </c>
      <c r="F271" s="1024" t="s">
        <v>109</v>
      </c>
      <c r="G271" s="1024" t="s">
        <v>1527</v>
      </c>
      <c r="H271" s="1023">
        <v>487</v>
      </c>
      <c r="I271" s="1105">
        <f t="shared" si="121"/>
        <v>487</v>
      </c>
      <c r="J271" s="282"/>
      <c r="K271" s="282"/>
      <c r="L271" s="282"/>
      <c r="M271" s="282"/>
      <c r="N271" s="1031">
        <f t="shared" si="112"/>
        <v>1000</v>
      </c>
      <c r="O271" s="1045">
        <v>1000</v>
      </c>
      <c r="P271" s="1048">
        <v>380</v>
      </c>
      <c r="Q271" s="1041">
        <f t="shared" si="122"/>
        <v>380</v>
      </c>
      <c r="R271" s="54"/>
      <c r="S271" s="54">
        <f>O271-U271</f>
        <v>620</v>
      </c>
      <c r="T271" s="1098">
        <v>380</v>
      </c>
      <c r="U271" s="1095">
        <v>380</v>
      </c>
      <c r="V271" s="54"/>
      <c r="W271" s="54"/>
      <c r="X271" s="1098">
        <v>380</v>
      </c>
      <c r="Y271" s="1095">
        <v>380</v>
      </c>
      <c r="Z271" s="282"/>
      <c r="AA271" s="282"/>
      <c r="AB271" s="282">
        <f t="shared" si="120"/>
        <v>319</v>
      </c>
      <c r="AC271" s="282">
        <v>319</v>
      </c>
      <c r="AD271" s="282"/>
      <c r="AE271" s="282"/>
      <c r="AF271" s="282"/>
      <c r="AG271" s="282"/>
      <c r="AH271" s="282"/>
      <c r="AI271" s="282"/>
      <c r="AJ271" s="282"/>
      <c r="AK271" s="282"/>
      <c r="AL271" s="69"/>
      <c r="AM271" s="1009">
        <f t="shared" si="82"/>
        <v>0</v>
      </c>
      <c r="AN271" s="1009">
        <f t="shared" si="83"/>
        <v>1</v>
      </c>
      <c r="AO271" s="144">
        <f t="shared" si="115"/>
        <v>1</v>
      </c>
    </row>
    <row r="272" spans="1:41" ht="82.5" hidden="1" x14ac:dyDescent="0.25">
      <c r="A272" s="61">
        <v>47</v>
      </c>
      <c r="B272" s="61"/>
      <c r="C272" s="1038" t="s">
        <v>1526</v>
      </c>
      <c r="D272" s="1024" t="s">
        <v>1355</v>
      </c>
      <c r="E272" s="1039" t="s">
        <v>1525</v>
      </c>
      <c r="F272" s="1024" t="s">
        <v>109</v>
      </c>
      <c r="G272" s="1024" t="s">
        <v>1524</v>
      </c>
      <c r="H272" s="1023">
        <v>1055</v>
      </c>
      <c r="I272" s="1105">
        <f t="shared" si="121"/>
        <v>1055</v>
      </c>
      <c r="J272" s="282"/>
      <c r="K272" s="282"/>
      <c r="L272" s="282"/>
      <c r="M272" s="282"/>
      <c r="N272" s="1031">
        <f t="shared" si="112"/>
        <v>500</v>
      </c>
      <c r="O272" s="1045">
        <v>500</v>
      </c>
      <c r="P272" s="1048">
        <v>820</v>
      </c>
      <c r="Q272" s="1041">
        <f t="shared" si="122"/>
        <v>820</v>
      </c>
      <c r="R272" s="54">
        <f>U272-O272</f>
        <v>320</v>
      </c>
      <c r="S272" s="54"/>
      <c r="T272" s="1098">
        <v>820</v>
      </c>
      <c r="U272" s="1095">
        <v>820</v>
      </c>
      <c r="V272" s="54"/>
      <c r="W272" s="54"/>
      <c r="X272" s="1098">
        <v>820</v>
      </c>
      <c r="Y272" s="1095">
        <v>820</v>
      </c>
      <c r="Z272" s="282"/>
      <c r="AA272" s="282"/>
      <c r="AB272" s="282">
        <f t="shared" si="120"/>
        <v>777</v>
      </c>
      <c r="AC272" s="282">
        <v>777</v>
      </c>
      <c r="AD272" s="282"/>
      <c r="AE272" s="282"/>
      <c r="AF272" s="282"/>
      <c r="AG272" s="282"/>
      <c r="AH272" s="282"/>
      <c r="AI272" s="282"/>
      <c r="AJ272" s="282"/>
      <c r="AK272" s="282"/>
      <c r="AL272" s="69"/>
      <c r="AM272" s="1009">
        <f t="shared" si="82"/>
        <v>0</v>
      </c>
      <c r="AN272" s="1009">
        <f t="shared" si="83"/>
        <v>1</v>
      </c>
      <c r="AO272" s="144">
        <f t="shared" si="115"/>
        <v>1</v>
      </c>
    </row>
    <row r="273" spans="1:41" ht="66" hidden="1" x14ac:dyDescent="0.25">
      <c r="A273" s="61">
        <v>48</v>
      </c>
      <c r="B273" s="61"/>
      <c r="C273" s="1038" t="s">
        <v>1523</v>
      </c>
      <c r="D273" s="1024" t="s">
        <v>1355</v>
      </c>
      <c r="E273" s="1039" t="s">
        <v>1522</v>
      </c>
      <c r="F273" s="1024" t="s">
        <v>109</v>
      </c>
      <c r="G273" s="1024" t="s">
        <v>1521</v>
      </c>
      <c r="H273" s="1023">
        <v>473</v>
      </c>
      <c r="I273" s="1105">
        <f t="shared" si="121"/>
        <v>473</v>
      </c>
      <c r="J273" s="282"/>
      <c r="K273" s="282"/>
      <c r="L273" s="282"/>
      <c r="M273" s="282"/>
      <c r="N273" s="1031">
        <f t="shared" si="112"/>
        <v>500</v>
      </c>
      <c r="O273" s="1045">
        <v>500</v>
      </c>
      <c r="P273" s="1048">
        <v>350</v>
      </c>
      <c r="Q273" s="1041">
        <f t="shared" si="122"/>
        <v>350</v>
      </c>
      <c r="R273" s="54"/>
      <c r="S273" s="54">
        <f>O273-U273</f>
        <v>150</v>
      </c>
      <c r="T273" s="1098">
        <v>350</v>
      </c>
      <c r="U273" s="1095">
        <v>350</v>
      </c>
      <c r="V273" s="54"/>
      <c r="W273" s="54"/>
      <c r="X273" s="1098">
        <v>350</v>
      </c>
      <c r="Y273" s="1095">
        <v>350</v>
      </c>
      <c r="Z273" s="282"/>
      <c r="AA273" s="282"/>
      <c r="AB273" s="282">
        <f t="shared" si="120"/>
        <v>302</v>
      </c>
      <c r="AC273" s="282">
        <v>302</v>
      </c>
      <c r="AD273" s="282"/>
      <c r="AE273" s="282"/>
      <c r="AF273" s="282"/>
      <c r="AG273" s="282"/>
      <c r="AH273" s="282"/>
      <c r="AI273" s="282"/>
      <c r="AJ273" s="282"/>
      <c r="AK273" s="282"/>
      <c r="AL273" s="69"/>
      <c r="AM273" s="1009">
        <f t="shared" si="82"/>
        <v>0</v>
      </c>
      <c r="AN273" s="1009">
        <f t="shared" si="83"/>
        <v>1</v>
      </c>
      <c r="AO273" s="144">
        <f t="shared" si="115"/>
        <v>1</v>
      </c>
    </row>
    <row r="274" spans="1:41" ht="99" hidden="1" x14ac:dyDescent="0.25">
      <c r="A274" s="61">
        <v>49</v>
      </c>
      <c r="B274" s="61"/>
      <c r="C274" s="1038" t="s">
        <v>1520</v>
      </c>
      <c r="D274" s="1024" t="s">
        <v>1355</v>
      </c>
      <c r="E274" s="1039" t="s">
        <v>1519</v>
      </c>
      <c r="F274" s="1024" t="s">
        <v>109</v>
      </c>
      <c r="G274" s="1024" t="s">
        <v>1518</v>
      </c>
      <c r="H274" s="1023">
        <v>1392</v>
      </c>
      <c r="I274" s="1105">
        <f t="shared" si="121"/>
        <v>1392</v>
      </c>
      <c r="J274" s="282"/>
      <c r="K274" s="282"/>
      <c r="L274" s="282"/>
      <c r="M274" s="282"/>
      <c r="N274" s="1031">
        <f t="shared" si="112"/>
        <v>830</v>
      </c>
      <c r="O274" s="1045">
        <v>830</v>
      </c>
      <c r="P274" s="1048">
        <v>1090</v>
      </c>
      <c r="Q274" s="1041">
        <f t="shared" si="122"/>
        <v>1090</v>
      </c>
      <c r="R274" s="54">
        <f>U274-O274</f>
        <v>260</v>
      </c>
      <c r="S274" s="54"/>
      <c r="T274" s="1098">
        <v>1090</v>
      </c>
      <c r="U274" s="1095">
        <v>1090</v>
      </c>
      <c r="V274" s="54"/>
      <c r="W274" s="54"/>
      <c r="X274" s="1098">
        <v>1090</v>
      </c>
      <c r="Y274" s="1095">
        <v>1090</v>
      </c>
      <c r="Z274" s="282"/>
      <c r="AA274" s="282"/>
      <c r="AB274" s="282">
        <f t="shared" si="120"/>
        <v>767</v>
      </c>
      <c r="AC274" s="282">
        <v>767</v>
      </c>
      <c r="AD274" s="282"/>
      <c r="AE274" s="282"/>
      <c r="AF274" s="282"/>
      <c r="AG274" s="282"/>
      <c r="AH274" s="282"/>
      <c r="AI274" s="282"/>
      <c r="AJ274" s="282"/>
      <c r="AK274" s="282"/>
      <c r="AL274" s="69"/>
      <c r="AM274" s="1009">
        <f t="shared" si="82"/>
        <v>0</v>
      </c>
      <c r="AN274" s="1009">
        <f t="shared" si="83"/>
        <v>1</v>
      </c>
      <c r="AO274" s="144">
        <f t="shared" si="115"/>
        <v>1</v>
      </c>
    </row>
    <row r="275" spans="1:41" ht="99" hidden="1" x14ac:dyDescent="0.25">
      <c r="A275" s="61">
        <v>50</v>
      </c>
      <c r="B275" s="61"/>
      <c r="C275" s="1038" t="s">
        <v>1517</v>
      </c>
      <c r="D275" s="1024" t="s">
        <v>1355</v>
      </c>
      <c r="E275" s="1039" t="s">
        <v>1516</v>
      </c>
      <c r="F275" s="1024" t="s">
        <v>109</v>
      </c>
      <c r="G275" s="1024" t="s">
        <v>1515</v>
      </c>
      <c r="H275" s="1023">
        <v>726</v>
      </c>
      <c r="I275" s="1105">
        <f t="shared" si="121"/>
        <v>726</v>
      </c>
      <c r="J275" s="282"/>
      <c r="K275" s="282"/>
      <c r="L275" s="282"/>
      <c r="M275" s="282"/>
      <c r="N275" s="1031">
        <f t="shared" si="112"/>
        <v>1000</v>
      </c>
      <c r="O275" s="1045">
        <v>1000</v>
      </c>
      <c r="P275" s="1048">
        <v>550</v>
      </c>
      <c r="Q275" s="1041">
        <f t="shared" si="122"/>
        <v>550</v>
      </c>
      <c r="R275" s="54"/>
      <c r="S275" s="54">
        <f t="shared" ref="S275:S285" si="123">O275-U275</f>
        <v>450</v>
      </c>
      <c r="T275" s="1098">
        <v>550</v>
      </c>
      <c r="U275" s="1095">
        <v>550</v>
      </c>
      <c r="V275" s="54"/>
      <c r="W275" s="54"/>
      <c r="X275" s="1098">
        <v>550</v>
      </c>
      <c r="Y275" s="1095">
        <v>550</v>
      </c>
      <c r="Z275" s="282"/>
      <c r="AA275" s="282"/>
      <c r="AB275" s="282">
        <f t="shared" si="120"/>
        <v>498</v>
      </c>
      <c r="AC275" s="282">
        <v>498</v>
      </c>
      <c r="AD275" s="282"/>
      <c r="AE275" s="282"/>
      <c r="AF275" s="282"/>
      <c r="AG275" s="282"/>
      <c r="AH275" s="282"/>
      <c r="AI275" s="282"/>
      <c r="AJ275" s="282"/>
      <c r="AK275" s="282"/>
      <c r="AL275" s="69"/>
      <c r="AM275" s="1009">
        <f t="shared" si="82"/>
        <v>0</v>
      </c>
      <c r="AN275" s="1009">
        <f t="shared" si="83"/>
        <v>1</v>
      </c>
      <c r="AO275" s="144">
        <f t="shared" si="115"/>
        <v>1</v>
      </c>
    </row>
    <row r="276" spans="1:41" ht="99" hidden="1" x14ac:dyDescent="0.25">
      <c r="A276" s="61">
        <v>51</v>
      </c>
      <c r="B276" s="61"/>
      <c r="C276" s="1038" t="s">
        <v>1514</v>
      </c>
      <c r="D276" s="1024" t="s">
        <v>1355</v>
      </c>
      <c r="E276" s="1039" t="s">
        <v>1513</v>
      </c>
      <c r="F276" s="1024" t="s">
        <v>109</v>
      </c>
      <c r="G276" s="1024" t="s">
        <v>1512</v>
      </c>
      <c r="H276" s="1023">
        <v>494</v>
      </c>
      <c r="I276" s="1105">
        <f t="shared" si="121"/>
        <v>494</v>
      </c>
      <c r="J276" s="282"/>
      <c r="K276" s="282"/>
      <c r="L276" s="282"/>
      <c r="M276" s="282"/>
      <c r="N276" s="1031">
        <f t="shared" si="112"/>
        <v>500</v>
      </c>
      <c r="O276" s="1045">
        <v>500</v>
      </c>
      <c r="P276" s="1048">
        <v>390</v>
      </c>
      <c r="Q276" s="1041">
        <f t="shared" si="122"/>
        <v>390</v>
      </c>
      <c r="R276" s="54"/>
      <c r="S276" s="54">
        <f t="shared" si="123"/>
        <v>110</v>
      </c>
      <c r="T276" s="1098">
        <v>390</v>
      </c>
      <c r="U276" s="1095">
        <v>390</v>
      </c>
      <c r="V276" s="54"/>
      <c r="W276" s="54"/>
      <c r="X276" s="1098">
        <v>390</v>
      </c>
      <c r="Y276" s="1095">
        <v>390</v>
      </c>
      <c r="Z276" s="282"/>
      <c r="AA276" s="282"/>
      <c r="AB276" s="282">
        <f t="shared" si="120"/>
        <v>323</v>
      </c>
      <c r="AC276" s="282">
        <v>323</v>
      </c>
      <c r="AD276" s="282"/>
      <c r="AE276" s="282"/>
      <c r="AF276" s="282"/>
      <c r="AG276" s="282"/>
      <c r="AH276" s="282"/>
      <c r="AI276" s="282"/>
      <c r="AJ276" s="282"/>
      <c r="AK276" s="282"/>
      <c r="AL276" s="69"/>
      <c r="AM276" s="1009">
        <f t="shared" si="82"/>
        <v>0</v>
      </c>
      <c r="AN276" s="1009">
        <f t="shared" si="83"/>
        <v>1</v>
      </c>
      <c r="AO276" s="144">
        <f t="shared" si="115"/>
        <v>1</v>
      </c>
    </row>
    <row r="277" spans="1:41" ht="99" hidden="1" x14ac:dyDescent="0.25">
      <c r="A277" s="61">
        <v>52</v>
      </c>
      <c r="B277" s="61"/>
      <c r="C277" s="1038" t="s">
        <v>1511</v>
      </c>
      <c r="D277" s="1024" t="s">
        <v>1355</v>
      </c>
      <c r="E277" s="1039" t="s">
        <v>1510</v>
      </c>
      <c r="F277" s="1024" t="s">
        <v>109</v>
      </c>
      <c r="G277" s="1024" t="s">
        <v>1509</v>
      </c>
      <c r="H277" s="1023">
        <v>685</v>
      </c>
      <c r="I277" s="1105">
        <f t="shared" si="121"/>
        <v>685</v>
      </c>
      <c r="J277" s="282"/>
      <c r="K277" s="282"/>
      <c r="L277" s="282"/>
      <c r="M277" s="282"/>
      <c r="N277" s="1031">
        <f t="shared" si="112"/>
        <v>830</v>
      </c>
      <c r="O277" s="1045">
        <v>830</v>
      </c>
      <c r="P277" s="1048">
        <v>530</v>
      </c>
      <c r="Q277" s="1041">
        <f t="shared" si="122"/>
        <v>530</v>
      </c>
      <c r="R277" s="54"/>
      <c r="S277" s="54">
        <f t="shared" si="123"/>
        <v>300</v>
      </c>
      <c r="T277" s="1098">
        <v>530</v>
      </c>
      <c r="U277" s="1095">
        <v>530</v>
      </c>
      <c r="V277" s="54"/>
      <c r="W277" s="54"/>
      <c r="X277" s="1098">
        <v>530</v>
      </c>
      <c r="Y277" s="1095">
        <v>530</v>
      </c>
      <c r="Z277" s="282"/>
      <c r="AA277" s="282"/>
      <c r="AB277" s="282">
        <f t="shared" si="120"/>
        <v>482</v>
      </c>
      <c r="AC277" s="282">
        <v>482</v>
      </c>
      <c r="AD277" s="282"/>
      <c r="AE277" s="282"/>
      <c r="AF277" s="282"/>
      <c r="AG277" s="282"/>
      <c r="AH277" s="282"/>
      <c r="AI277" s="282"/>
      <c r="AJ277" s="282"/>
      <c r="AK277" s="282"/>
      <c r="AL277" s="69"/>
      <c r="AM277" s="1009">
        <f t="shared" si="82"/>
        <v>0</v>
      </c>
      <c r="AN277" s="1009">
        <f t="shared" si="83"/>
        <v>1</v>
      </c>
      <c r="AO277" s="144">
        <f t="shared" si="115"/>
        <v>1</v>
      </c>
    </row>
    <row r="278" spans="1:41" ht="99" hidden="1" x14ac:dyDescent="0.25">
      <c r="A278" s="61">
        <v>53</v>
      </c>
      <c r="B278" s="61"/>
      <c r="C278" s="1038" t="s">
        <v>1508</v>
      </c>
      <c r="D278" s="1024" t="s">
        <v>1355</v>
      </c>
      <c r="E278" s="1039" t="s">
        <v>1507</v>
      </c>
      <c r="F278" s="1024" t="s">
        <v>109</v>
      </c>
      <c r="G278" s="1024" t="s">
        <v>1506</v>
      </c>
      <c r="H278" s="1023">
        <v>1027</v>
      </c>
      <c r="I278" s="1105">
        <f t="shared" si="121"/>
        <v>1027</v>
      </c>
      <c r="J278" s="282"/>
      <c r="K278" s="282"/>
      <c r="L278" s="282"/>
      <c r="M278" s="282"/>
      <c r="N278" s="1031">
        <f t="shared" si="112"/>
        <v>2670</v>
      </c>
      <c r="O278" s="1045">
        <v>2670</v>
      </c>
      <c r="P278" s="1048">
        <v>800</v>
      </c>
      <c r="Q278" s="1041">
        <f t="shared" si="122"/>
        <v>800</v>
      </c>
      <c r="R278" s="54"/>
      <c r="S278" s="54">
        <f t="shared" si="123"/>
        <v>1870</v>
      </c>
      <c r="T278" s="1098">
        <v>800</v>
      </c>
      <c r="U278" s="1095">
        <v>800</v>
      </c>
      <c r="V278" s="54"/>
      <c r="W278" s="54"/>
      <c r="X278" s="1098">
        <v>800</v>
      </c>
      <c r="Y278" s="1095">
        <v>800</v>
      </c>
      <c r="Z278" s="282"/>
      <c r="AA278" s="282"/>
      <c r="AB278" s="282">
        <f t="shared" si="120"/>
        <v>566</v>
      </c>
      <c r="AC278" s="282">
        <v>566</v>
      </c>
      <c r="AD278" s="282"/>
      <c r="AE278" s="282"/>
      <c r="AF278" s="282"/>
      <c r="AG278" s="282"/>
      <c r="AH278" s="282"/>
      <c r="AI278" s="282"/>
      <c r="AJ278" s="282"/>
      <c r="AK278" s="282"/>
      <c r="AL278" s="69"/>
      <c r="AM278" s="1009">
        <f t="shared" si="82"/>
        <v>0</v>
      </c>
      <c r="AN278" s="1009">
        <f t="shared" si="83"/>
        <v>1</v>
      </c>
      <c r="AO278" s="144">
        <f t="shared" si="115"/>
        <v>1</v>
      </c>
    </row>
    <row r="279" spans="1:41" ht="99" hidden="1" x14ac:dyDescent="0.25">
      <c r="A279" s="61">
        <v>54</v>
      </c>
      <c r="B279" s="61"/>
      <c r="C279" s="1038" t="s">
        <v>1505</v>
      </c>
      <c r="D279" s="1024" t="s">
        <v>1355</v>
      </c>
      <c r="E279" s="1039" t="s">
        <v>1504</v>
      </c>
      <c r="F279" s="1024" t="s">
        <v>109</v>
      </c>
      <c r="G279" s="1024" t="s">
        <v>1503</v>
      </c>
      <c r="H279" s="1023">
        <v>656</v>
      </c>
      <c r="I279" s="1105">
        <f t="shared" si="121"/>
        <v>656</v>
      </c>
      <c r="J279" s="282"/>
      <c r="K279" s="282"/>
      <c r="L279" s="282"/>
      <c r="M279" s="282"/>
      <c r="N279" s="1031">
        <v>1170</v>
      </c>
      <c r="O279" s="1045">
        <v>1170</v>
      </c>
      <c r="P279" s="1048">
        <v>500</v>
      </c>
      <c r="Q279" s="1041">
        <f t="shared" si="122"/>
        <v>500</v>
      </c>
      <c r="R279" s="54"/>
      <c r="S279" s="54">
        <f t="shared" si="123"/>
        <v>670</v>
      </c>
      <c r="T279" s="1098">
        <v>500</v>
      </c>
      <c r="U279" s="1095">
        <v>500</v>
      </c>
      <c r="V279" s="54"/>
      <c r="W279" s="54"/>
      <c r="X279" s="1098">
        <v>500</v>
      </c>
      <c r="Y279" s="1095">
        <v>500</v>
      </c>
      <c r="Z279" s="282"/>
      <c r="AA279" s="282"/>
      <c r="AB279" s="282">
        <f t="shared" si="120"/>
        <v>362</v>
      </c>
      <c r="AC279" s="282">
        <v>362</v>
      </c>
      <c r="AD279" s="282"/>
      <c r="AE279" s="282"/>
      <c r="AF279" s="282"/>
      <c r="AG279" s="282"/>
      <c r="AH279" s="282"/>
      <c r="AI279" s="282"/>
      <c r="AJ279" s="282"/>
      <c r="AK279" s="282"/>
      <c r="AL279" s="69"/>
      <c r="AM279" s="1009">
        <f t="shared" si="82"/>
        <v>0</v>
      </c>
      <c r="AN279" s="1009">
        <f t="shared" si="83"/>
        <v>1</v>
      </c>
      <c r="AO279" s="144">
        <f t="shared" si="115"/>
        <v>1</v>
      </c>
    </row>
    <row r="280" spans="1:41" ht="66" hidden="1" x14ac:dyDescent="0.25">
      <c r="A280" s="61">
        <v>55</v>
      </c>
      <c r="B280" s="61"/>
      <c r="C280" s="1038" t="s">
        <v>1502</v>
      </c>
      <c r="D280" s="1024" t="s">
        <v>1357</v>
      </c>
      <c r="E280" s="1039" t="s">
        <v>1501</v>
      </c>
      <c r="F280" s="1024" t="s">
        <v>109</v>
      </c>
      <c r="G280" s="1024" t="s">
        <v>1500</v>
      </c>
      <c r="H280" s="1023">
        <v>1534</v>
      </c>
      <c r="I280" s="1105">
        <f t="shared" si="121"/>
        <v>1534</v>
      </c>
      <c r="J280" s="1088"/>
      <c r="K280" s="1088"/>
      <c r="L280" s="1088"/>
      <c r="M280" s="1088"/>
      <c r="N280" s="1031">
        <f t="shared" ref="N280:N285" si="124">O280</f>
        <v>1310</v>
      </c>
      <c r="O280" s="1045">
        <v>1310</v>
      </c>
      <c r="P280" s="1048">
        <v>1150</v>
      </c>
      <c r="Q280" s="1041">
        <f t="shared" si="122"/>
        <v>1150</v>
      </c>
      <c r="R280" s="54"/>
      <c r="S280" s="54">
        <f t="shared" si="123"/>
        <v>160</v>
      </c>
      <c r="T280" s="1098">
        <v>1150</v>
      </c>
      <c r="U280" s="1095">
        <v>1150</v>
      </c>
      <c r="V280" s="54"/>
      <c r="W280" s="54"/>
      <c r="X280" s="1098">
        <v>1150</v>
      </c>
      <c r="Y280" s="1095">
        <v>1150</v>
      </c>
      <c r="Z280" s="112"/>
      <c r="AA280" s="112"/>
      <c r="AB280" s="282">
        <f t="shared" si="120"/>
        <v>845</v>
      </c>
      <c r="AC280" s="282">
        <v>845</v>
      </c>
      <c r="AD280" s="112"/>
      <c r="AE280" s="112"/>
      <c r="AF280" s="112"/>
      <c r="AG280" s="112"/>
      <c r="AH280" s="112"/>
      <c r="AI280" s="112"/>
      <c r="AJ280" s="112"/>
      <c r="AK280" s="112"/>
      <c r="AL280" s="1089"/>
      <c r="AM280" s="1009">
        <f t="shared" si="82"/>
        <v>0</v>
      </c>
      <c r="AN280" s="1009">
        <f t="shared" si="83"/>
        <v>1</v>
      </c>
      <c r="AO280" s="144">
        <f t="shared" si="115"/>
        <v>1</v>
      </c>
    </row>
    <row r="281" spans="1:41" ht="66" hidden="1" x14ac:dyDescent="0.25">
      <c r="A281" s="61">
        <v>56</v>
      </c>
      <c r="B281" s="61"/>
      <c r="C281" s="1038" t="s">
        <v>1499</v>
      </c>
      <c r="D281" s="1024" t="s">
        <v>1357</v>
      </c>
      <c r="E281" s="1039" t="s">
        <v>1498</v>
      </c>
      <c r="F281" s="1024" t="s">
        <v>109</v>
      </c>
      <c r="G281" s="1106" t="s">
        <v>1497</v>
      </c>
      <c r="H281" s="1023">
        <v>1406</v>
      </c>
      <c r="I281" s="1105">
        <f t="shared" si="121"/>
        <v>1406</v>
      </c>
      <c r="J281" s="282"/>
      <c r="K281" s="282"/>
      <c r="L281" s="282"/>
      <c r="M281" s="282"/>
      <c r="N281" s="1031">
        <f t="shared" si="124"/>
        <v>1390</v>
      </c>
      <c r="O281" s="1045">
        <v>1390</v>
      </c>
      <c r="P281" s="1048">
        <v>1060</v>
      </c>
      <c r="Q281" s="1041">
        <f t="shared" si="122"/>
        <v>1060</v>
      </c>
      <c r="R281" s="54"/>
      <c r="S281" s="54">
        <f t="shared" si="123"/>
        <v>330</v>
      </c>
      <c r="T281" s="1098">
        <v>1060</v>
      </c>
      <c r="U281" s="1095">
        <v>1060</v>
      </c>
      <c r="V281" s="54"/>
      <c r="W281" s="54"/>
      <c r="X281" s="1098">
        <v>1060</v>
      </c>
      <c r="Y281" s="1095">
        <v>1060</v>
      </c>
      <c r="Z281" s="282"/>
      <c r="AA281" s="282"/>
      <c r="AB281" s="282">
        <f t="shared" si="120"/>
        <v>775</v>
      </c>
      <c r="AC281" s="282">
        <v>775</v>
      </c>
      <c r="AD281" s="282"/>
      <c r="AE281" s="282"/>
      <c r="AF281" s="282"/>
      <c r="AG281" s="282"/>
      <c r="AH281" s="282"/>
      <c r="AI281" s="282"/>
      <c r="AJ281" s="282"/>
      <c r="AK281" s="282"/>
      <c r="AL281" s="69"/>
      <c r="AM281" s="1009">
        <f t="shared" si="82"/>
        <v>0</v>
      </c>
      <c r="AN281" s="1009">
        <f t="shared" si="83"/>
        <v>1</v>
      </c>
      <c r="AO281" s="144">
        <f t="shared" si="115"/>
        <v>1</v>
      </c>
    </row>
    <row r="282" spans="1:41" ht="66" hidden="1" x14ac:dyDescent="0.25">
      <c r="A282" s="61">
        <v>57</v>
      </c>
      <c r="B282" s="61"/>
      <c r="C282" s="1038" t="s">
        <v>1496</v>
      </c>
      <c r="D282" s="1024" t="s">
        <v>1357</v>
      </c>
      <c r="E282" s="1039" t="s">
        <v>1495</v>
      </c>
      <c r="F282" s="1024" t="s">
        <v>109</v>
      </c>
      <c r="G282" s="1024" t="s">
        <v>1494</v>
      </c>
      <c r="H282" s="1023">
        <v>1185</v>
      </c>
      <c r="I282" s="1105">
        <f t="shared" si="121"/>
        <v>1185</v>
      </c>
      <c r="J282" s="1028"/>
      <c r="K282" s="1028"/>
      <c r="L282" s="1028"/>
      <c r="M282" s="1028"/>
      <c r="N282" s="1031">
        <f t="shared" si="124"/>
        <v>1200</v>
      </c>
      <c r="O282" s="1045">
        <v>1200</v>
      </c>
      <c r="P282" s="1041">
        <v>920</v>
      </c>
      <c r="Q282" s="1041">
        <f t="shared" si="122"/>
        <v>920</v>
      </c>
      <c r="R282" s="54"/>
      <c r="S282" s="54">
        <f t="shared" si="123"/>
        <v>280</v>
      </c>
      <c r="T282" s="1095">
        <v>920</v>
      </c>
      <c r="U282" s="1095">
        <v>920</v>
      </c>
      <c r="V282" s="54"/>
      <c r="W282" s="54"/>
      <c r="X282" s="1095">
        <v>920</v>
      </c>
      <c r="Y282" s="1095">
        <v>920</v>
      </c>
      <c r="Z282" s="1028"/>
      <c r="AA282" s="1028"/>
      <c r="AB282" s="282">
        <f t="shared" si="120"/>
        <v>710</v>
      </c>
      <c r="AC282" s="282">
        <v>710</v>
      </c>
      <c r="AD282" s="1028"/>
      <c r="AE282" s="1028"/>
      <c r="AF282" s="1028"/>
      <c r="AG282" s="1028"/>
      <c r="AH282" s="1028"/>
      <c r="AI282" s="1028"/>
      <c r="AJ282" s="1028"/>
      <c r="AK282" s="1028"/>
      <c r="AL282" s="27"/>
      <c r="AM282" s="1009">
        <f t="shared" si="82"/>
        <v>0</v>
      </c>
      <c r="AN282" s="1009">
        <f t="shared" si="83"/>
        <v>1</v>
      </c>
      <c r="AO282" s="144">
        <f t="shared" si="115"/>
        <v>1</v>
      </c>
    </row>
    <row r="283" spans="1:41" ht="66" hidden="1" x14ac:dyDescent="0.25">
      <c r="A283" s="61">
        <v>58</v>
      </c>
      <c r="B283" s="61"/>
      <c r="C283" s="1038" t="s">
        <v>1493</v>
      </c>
      <c r="D283" s="1024" t="s">
        <v>1357</v>
      </c>
      <c r="E283" s="1039" t="s">
        <v>1492</v>
      </c>
      <c r="F283" s="1024" t="s">
        <v>109</v>
      </c>
      <c r="G283" s="1024" t="s">
        <v>1491</v>
      </c>
      <c r="H283" s="1023">
        <v>2914</v>
      </c>
      <c r="I283" s="1105">
        <f t="shared" si="121"/>
        <v>2914</v>
      </c>
      <c r="J283" s="1017"/>
      <c r="K283" s="1017"/>
      <c r="L283" s="1017"/>
      <c r="M283" s="1017"/>
      <c r="N283" s="1031">
        <f t="shared" si="124"/>
        <v>2280</v>
      </c>
      <c r="O283" s="1045">
        <v>2280</v>
      </c>
      <c r="P283" s="1041">
        <v>2260</v>
      </c>
      <c r="Q283" s="1041">
        <f t="shared" si="122"/>
        <v>2260</v>
      </c>
      <c r="R283" s="54"/>
      <c r="S283" s="54">
        <f t="shared" si="123"/>
        <v>20</v>
      </c>
      <c r="T283" s="1095">
        <v>2260</v>
      </c>
      <c r="U283" s="1095">
        <v>2260</v>
      </c>
      <c r="V283" s="54"/>
      <c r="W283" s="54"/>
      <c r="X283" s="1095">
        <v>2260</v>
      </c>
      <c r="Y283" s="1095">
        <v>2260</v>
      </c>
      <c r="Z283" s="1017"/>
      <c r="AA283" s="1017"/>
      <c r="AB283" s="282">
        <f t="shared" si="120"/>
        <v>1605</v>
      </c>
      <c r="AC283" s="282">
        <v>1605</v>
      </c>
      <c r="AD283" s="1017"/>
      <c r="AE283" s="1017"/>
      <c r="AF283" s="1017"/>
      <c r="AG283" s="1017"/>
      <c r="AH283" s="1017"/>
      <c r="AI283" s="1017"/>
      <c r="AJ283" s="1017"/>
      <c r="AK283" s="1017"/>
      <c r="AL283" s="59"/>
      <c r="AM283" s="1009">
        <f t="shared" si="82"/>
        <v>0</v>
      </c>
      <c r="AN283" s="1009">
        <f t="shared" si="83"/>
        <v>1</v>
      </c>
      <c r="AO283" s="144">
        <f t="shared" si="115"/>
        <v>1</v>
      </c>
    </row>
    <row r="284" spans="1:41" ht="66" hidden="1" x14ac:dyDescent="0.25">
      <c r="A284" s="61">
        <v>59</v>
      </c>
      <c r="B284" s="61"/>
      <c r="C284" s="1038" t="s">
        <v>1490</v>
      </c>
      <c r="D284" s="1024" t="s">
        <v>1357</v>
      </c>
      <c r="E284" s="1039" t="s">
        <v>1489</v>
      </c>
      <c r="F284" s="1024" t="s">
        <v>109</v>
      </c>
      <c r="G284" s="1024" t="s">
        <v>1488</v>
      </c>
      <c r="H284" s="1023">
        <v>1760</v>
      </c>
      <c r="I284" s="1105">
        <f t="shared" si="121"/>
        <v>1760</v>
      </c>
      <c r="J284" s="1017"/>
      <c r="K284" s="1017"/>
      <c r="L284" s="1017"/>
      <c r="M284" s="1017"/>
      <c r="N284" s="1031">
        <f t="shared" si="124"/>
        <v>1960</v>
      </c>
      <c r="O284" s="1045">
        <v>1960</v>
      </c>
      <c r="P284" s="1041">
        <v>1380</v>
      </c>
      <c r="Q284" s="1041">
        <f t="shared" si="122"/>
        <v>1380</v>
      </c>
      <c r="R284" s="54"/>
      <c r="S284" s="54">
        <f t="shared" si="123"/>
        <v>580</v>
      </c>
      <c r="T284" s="1095">
        <v>1380</v>
      </c>
      <c r="U284" s="1095">
        <v>1380</v>
      </c>
      <c r="V284" s="54"/>
      <c r="W284" s="54"/>
      <c r="X284" s="1095">
        <v>1380</v>
      </c>
      <c r="Y284" s="1095">
        <v>1380</v>
      </c>
      <c r="Z284" s="1017"/>
      <c r="AA284" s="1017"/>
      <c r="AB284" s="282">
        <f t="shared" si="120"/>
        <v>970</v>
      </c>
      <c r="AC284" s="282">
        <v>970</v>
      </c>
      <c r="AD284" s="1017"/>
      <c r="AE284" s="1017"/>
      <c r="AF284" s="1017"/>
      <c r="AG284" s="1017"/>
      <c r="AH284" s="1017"/>
      <c r="AI284" s="1017"/>
      <c r="AJ284" s="1017"/>
      <c r="AK284" s="1017"/>
      <c r="AL284" s="59"/>
      <c r="AM284" s="1009">
        <f t="shared" ref="AM284:AM349" si="125">IF(Y284-U284=0,0,1)</f>
        <v>0</v>
      </c>
      <c r="AN284" s="1009">
        <f t="shared" ref="AN284:AN349" si="126">IF(Y284=0,0,1)</f>
        <v>1</v>
      </c>
      <c r="AO284" s="144">
        <f t="shared" si="115"/>
        <v>1</v>
      </c>
    </row>
    <row r="285" spans="1:41" ht="66" hidden="1" x14ac:dyDescent="0.25">
      <c r="A285" s="61">
        <v>60</v>
      </c>
      <c r="B285" s="61"/>
      <c r="C285" s="1038" t="s">
        <v>1487</v>
      </c>
      <c r="D285" s="1024" t="s">
        <v>1357</v>
      </c>
      <c r="E285" s="1039" t="s">
        <v>1486</v>
      </c>
      <c r="F285" s="1024" t="s">
        <v>109</v>
      </c>
      <c r="G285" s="1024" t="s">
        <v>1485</v>
      </c>
      <c r="H285" s="1023">
        <v>1891</v>
      </c>
      <c r="I285" s="1105">
        <f t="shared" si="121"/>
        <v>1891</v>
      </c>
      <c r="J285" s="1020"/>
      <c r="K285" s="1020"/>
      <c r="L285" s="1020"/>
      <c r="M285" s="1020"/>
      <c r="N285" s="1031">
        <f t="shared" si="124"/>
        <v>2170</v>
      </c>
      <c r="O285" s="1045">
        <v>2170</v>
      </c>
      <c r="P285" s="1041">
        <v>1480</v>
      </c>
      <c r="Q285" s="1041">
        <f t="shared" si="122"/>
        <v>1480</v>
      </c>
      <c r="R285" s="54"/>
      <c r="S285" s="54">
        <f t="shared" si="123"/>
        <v>690</v>
      </c>
      <c r="T285" s="1095">
        <v>1480</v>
      </c>
      <c r="U285" s="1095">
        <v>1480</v>
      </c>
      <c r="V285" s="54"/>
      <c r="W285" s="54"/>
      <c r="X285" s="1095">
        <v>1480</v>
      </c>
      <c r="Y285" s="1095">
        <v>1480</v>
      </c>
      <c r="Z285" s="1020"/>
      <c r="AA285" s="1020"/>
      <c r="AB285" s="282">
        <f t="shared" si="120"/>
        <v>1042</v>
      </c>
      <c r="AC285" s="282">
        <v>1042</v>
      </c>
      <c r="AD285" s="1020"/>
      <c r="AE285" s="1020"/>
      <c r="AF285" s="1020"/>
      <c r="AG285" s="1020"/>
      <c r="AH285" s="1020"/>
      <c r="AI285" s="1020"/>
      <c r="AJ285" s="1020"/>
      <c r="AK285" s="1020"/>
      <c r="AL285" s="55"/>
      <c r="AM285" s="1009">
        <f t="shared" si="125"/>
        <v>0</v>
      </c>
      <c r="AN285" s="1009">
        <f t="shared" si="126"/>
        <v>1</v>
      </c>
      <c r="AO285" s="144">
        <f t="shared" si="115"/>
        <v>1</v>
      </c>
    </row>
    <row r="286" spans="1:41" ht="82.5" hidden="1" x14ac:dyDescent="0.25">
      <c r="A286" s="61">
        <v>61</v>
      </c>
      <c r="B286" s="61"/>
      <c r="C286" s="1038" t="s">
        <v>1484</v>
      </c>
      <c r="D286" s="1024" t="s">
        <v>1359</v>
      </c>
      <c r="E286" s="1039" t="s">
        <v>1483</v>
      </c>
      <c r="F286" s="1024" t="s">
        <v>461</v>
      </c>
      <c r="G286" s="1024" t="s">
        <v>1482</v>
      </c>
      <c r="H286" s="1023">
        <v>9171.2569999999996</v>
      </c>
      <c r="I286" s="1105">
        <f t="shared" si="121"/>
        <v>9171.2569999999996</v>
      </c>
      <c r="J286" s="1020"/>
      <c r="K286" s="1020"/>
      <c r="L286" s="1020"/>
      <c r="M286" s="1020"/>
      <c r="N286" s="1031"/>
      <c r="O286" s="1045"/>
      <c r="P286" s="1041">
        <v>7700</v>
      </c>
      <c r="Q286" s="1041">
        <v>7700</v>
      </c>
      <c r="R286" s="54">
        <f t="shared" ref="R286:R328" si="127">U286-O286</f>
        <v>7700</v>
      </c>
      <c r="S286" s="54"/>
      <c r="T286" s="1095">
        <v>7700</v>
      </c>
      <c r="U286" s="1095">
        <v>7700</v>
      </c>
      <c r="V286" s="54"/>
      <c r="W286" s="54"/>
      <c r="X286" s="1095">
        <v>7700</v>
      </c>
      <c r="Y286" s="1095">
        <v>7700</v>
      </c>
      <c r="Z286" s="1020"/>
      <c r="AA286" s="1020"/>
      <c r="AB286" s="1020"/>
      <c r="AC286" s="1020"/>
      <c r="AD286" s="1020"/>
      <c r="AE286" s="1020"/>
      <c r="AF286" s="1020"/>
      <c r="AG286" s="1020"/>
      <c r="AH286" s="1020"/>
      <c r="AI286" s="1020"/>
      <c r="AJ286" s="1020"/>
      <c r="AK286" s="1020"/>
      <c r="AL286" s="1107"/>
      <c r="AM286" s="1009">
        <f t="shared" si="125"/>
        <v>0</v>
      </c>
      <c r="AN286" s="1009">
        <f t="shared" si="126"/>
        <v>1</v>
      </c>
      <c r="AO286" s="144">
        <f t="shared" si="115"/>
        <v>1</v>
      </c>
    </row>
    <row r="287" spans="1:41" ht="82.5" hidden="1" x14ac:dyDescent="0.25">
      <c r="A287" s="61">
        <v>62</v>
      </c>
      <c r="B287" s="61"/>
      <c r="C287" s="1038" t="s">
        <v>1481</v>
      </c>
      <c r="D287" s="1024" t="s">
        <v>1359</v>
      </c>
      <c r="E287" s="1039" t="s">
        <v>1480</v>
      </c>
      <c r="F287" s="1024" t="s">
        <v>461</v>
      </c>
      <c r="G287" s="1024" t="s">
        <v>1479</v>
      </c>
      <c r="H287" s="1023">
        <v>8059.91</v>
      </c>
      <c r="I287" s="1105">
        <f t="shared" si="121"/>
        <v>8059.91</v>
      </c>
      <c r="J287" s="1020"/>
      <c r="K287" s="1020"/>
      <c r="L287" s="1020"/>
      <c r="M287" s="1020"/>
      <c r="N287" s="1031"/>
      <c r="O287" s="1045"/>
      <c r="P287" s="1041">
        <f>Q287</f>
        <v>6950</v>
      </c>
      <c r="Q287" s="1041">
        <v>6950</v>
      </c>
      <c r="R287" s="54">
        <f t="shared" si="127"/>
        <v>6950</v>
      </c>
      <c r="S287" s="54"/>
      <c r="T287" s="1095">
        <f>U287</f>
        <v>6950</v>
      </c>
      <c r="U287" s="1095">
        <v>6950</v>
      </c>
      <c r="V287" s="54"/>
      <c r="W287" s="54"/>
      <c r="X287" s="1095">
        <f>Y287</f>
        <v>6950</v>
      </c>
      <c r="Y287" s="1095">
        <v>6950</v>
      </c>
      <c r="Z287" s="1020"/>
      <c r="AA287" s="1020"/>
      <c r="AB287" s="1020"/>
      <c r="AC287" s="1020"/>
      <c r="AD287" s="1020"/>
      <c r="AE287" s="1020"/>
      <c r="AF287" s="1020"/>
      <c r="AG287" s="1020"/>
      <c r="AH287" s="1020"/>
      <c r="AI287" s="1020"/>
      <c r="AJ287" s="1020"/>
      <c r="AK287" s="1020"/>
      <c r="AL287" s="1107"/>
      <c r="AM287" s="1009">
        <f t="shared" si="125"/>
        <v>0</v>
      </c>
      <c r="AN287" s="1009">
        <f t="shared" si="126"/>
        <v>1</v>
      </c>
      <c r="AO287" s="144">
        <f t="shared" si="115"/>
        <v>1</v>
      </c>
    </row>
    <row r="288" spans="1:41" ht="82.5" hidden="1" x14ac:dyDescent="0.25">
      <c r="A288" s="61">
        <v>63</v>
      </c>
      <c r="B288" s="61"/>
      <c r="C288" s="1038" t="s">
        <v>1478</v>
      </c>
      <c r="D288" s="1024" t="s">
        <v>1379</v>
      </c>
      <c r="E288" s="1039" t="s">
        <v>1477</v>
      </c>
      <c r="F288" s="1024" t="s">
        <v>461</v>
      </c>
      <c r="G288" s="1024" t="s">
        <v>1476</v>
      </c>
      <c r="H288" s="1023">
        <v>943.69899999999996</v>
      </c>
      <c r="I288" s="1105">
        <f t="shared" si="121"/>
        <v>943.69899999999996</v>
      </c>
      <c r="J288" s="1020"/>
      <c r="K288" s="1020"/>
      <c r="L288" s="1020"/>
      <c r="M288" s="1020"/>
      <c r="N288" s="1031"/>
      <c r="O288" s="1045"/>
      <c r="P288" s="1041">
        <f>Q288</f>
        <v>770</v>
      </c>
      <c r="Q288" s="1041">
        <v>770</v>
      </c>
      <c r="R288" s="54">
        <f t="shared" si="127"/>
        <v>770</v>
      </c>
      <c r="S288" s="54"/>
      <c r="T288" s="1095">
        <f>U288</f>
        <v>770</v>
      </c>
      <c r="U288" s="1095">
        <v>770</v>
      </c>
      <c r="V288" s="54"/>
      <c r="W288" s="54"/>
      <c r="X288" s="1095">
        <f>Y288</f>
        <v>770</v>
      </c>
      <c r="Y288" s="1095">
        <v>770</v>
      </c>
      <c r="Z288" s="1020"/>
      <c r="AA288" s="1020"/>
      <c r="AB288" s="1020"/>
      <c r="AC288" s="1020"/>
      <c r="AD288" s="1020"/>
      <c r="AE288" s="1020"/>
      <c r="AF288" s="1020"/>
      <c r="AG288" s="1020"/>
      <c r="AH288" s="1020"/>
      <c r="AI288" s="1020"/>
      <c r="AJ288" s="1020"/>
      <c r="AK288" s="1020"/>
      <c r="AL288" s="1107"/>
      <c r="AM288" s="1009">
        <f t="shared" si="125"/>
        <v>0</v>
      </c>
      <c r="AN288" s="1009">
        <f t="shared" si="126"/>
        <v>1</v>
      </c>
      <c r="AO288" s="144">
        <f t="shared" si="115"/>
        <v>1</v>
      </c>
    </row>
    <row r="289" spans="1:41" ht="99" hidden="1" x14ac:dyDescent="0.25">
      <c r="A289" s="61">
        <v>64</v>
      </c>
      <c r="B289" s="61"/>
      <c r="C289" s="1038" t="s">
        <v>1475</v>
      </c>
      <c r="D289" s="1024" t="s">
        <v>1379</v>
      </c>
      <c r="E289" s="1039" t="s">
        <v>1474</v>
      </c>
      <c r="F289" s="1024" t="s">
        <v>461</v>
      </c>
      <c r="G289" s="1024" t="s">
        <v>1473</v>
      </c>
      <c r="H289" s="1023">
        <v>2272.511</v>
      </c>
      <c r="I289" s="1105">
        <f t="shared" si="121"/>
        <v>2272.511</v>
      </c>
      <c r="J289" s="1020"/>
      <c r="K289" s="1020"/>
      <c r="L289" s="1020"/>
      <c r="M289" s="1020"/>
      <c r="N289" s="1031"/>
      <c r="O289" s="1045"/>
      <c r="P289" s="1041">
        <v>1860</v>
      </c>
      <c r="Q289" s="1041">
        <f t="shared" ref="Q289:Q328" si="128">P289</f>
        <v>1860</v>
      </c>
      <c r="R289" s="54">
        <f t="shared" si="127"/>
        <v>1860</v>
      </c>
      <c r="S289" s="54"/>
      <c r="T289" s="1095">
        <v>1860</v>
      </c>
      <c r="U289" s="1095">
        <v>1860</v>
      </c>
      <c r="V289" s="54"/>
      <c r="W289" s="54"/>
      <c r="X289" s="1095">
        <v>1860</v>
      </c>
      <c r="Y289" s="1095">
        <v>1860</v>
      </c>
      <c r="Z289" s="1020"/>
      <c r="AA289" s="1020"/>
      <c r="AB289" s="1020"/>
      <c r="AC289" s="1020"/>
      <c r="AD289" s="1020"/>
      <c r="AE289" s="1020"/>
      <c r="AF289" s="1020"/>
      <c r="AG289" s="1020"/>
      <c r="AH289" s="1020"/>
      <c r="AI289" s="1020"/>
      <c r="AJ289" s="1020"/>
      <c r="AK289" s="1020"/>
      <c r="AL289" s="1107"/>
      <c r="AM289" s="1009">
        <f t="shared" si="125"/>
        <v>0</v>
      </c>
      <c r="AN289" s="1009">
        <f t="shared" si="126"/>
        <v>1</v>
      </c>
      <c r="AO289" s="144">
        <f t="shared" si="115"/>
        <v>1</v>
      </c>
    </row>
    <row r="290" spans="1:41" ht="99" hidden="1" x14ac:dyDescent="0.25">
      <c r="A290" s="61">
        <v>65</v>
      </c>
      <c r="B290" s="61"/>
      <c r="C290" s="1038" t="s">
        <v>1472</v>
      </c>
      <c r="D290" s="1024" t="s">
        <v>1379</v>
      </c>
      <c r="E290" s="1039" t="s">
        <v>1471</v>
      </c>
      <c r="F290" s="1024" t="s">
        <v>461</v>
      </c>
      <c r="G290" s="1024" t="s">
        <v>1470</v>
      </c>
      <c r="H290" s="1023">
        <v>1928.723</v>
      </c>
      <c r="I290" s="1105">
        <f t="shared" si="121"/>
        <v>1928.723</v>
      </c>
      <c r="J290" s="1020"/>
      <c r="K290" s="1020"/>
      <c r="L290" s="1020"/>
      <c r="M290" s="1020"/>
      <c r="N290" s="1031"/>
      <c r="O290" s="1045"/>
      <c r="P290" s="1041">
        <v>1580</v>
      </c>
      <c r="Q290" s="1041">
        <f t="shared" si="128"/>
        <v>1580</v>
      </c>
      <c r="R290" s="54">
        <f t="shared" si="127"/>
        <v>1580</v>
      </c>
      <c r="S290" s="54"/>
      <c r="T290" s="1095">
        <v>1580</v>
      </c>
      <c r="U290" s="1095">
        <v>1580</v>
      </c>
      <c r="V290" s="54"/>
      <c r="W290" s="54"/>
      <c r="X290" s="1095">
        <v>1580</v>
      </c>
      <c r="Y290" s="1095">
        <v>1580</v>
      </c>
      <c r="Z290" s="1020"/>
      <c r="AA290" s="1020"/>
      <c r="AB290" s="1020"/>
      <c r="AC290" s="1020"/>
      <c r="AD290" s="1020"/>
      <c r="AE290" s="1020"/>
      <c r="AF290" s="1020"/>
      <c r="AG290" s="1020"/>
      <c r="AH290" s="1020"/>
      <c r="AI290" s="1020"/>
      <c r="AJ290" s="1020"/>
      <c r="AK290" s="1020"/>
      <c r="AL290" s="1107"/>
      <c r="AM290" s="1009">
        <f t="shared" si="125"/>
        <v>0</v>
      </c>
      <c r="AN290" s="1009">
        <f t="shared" si="126"/>
        <v>1</v>
      </c>
      <c r="AO290" s="144">
        <f t="shared" si="115"/>
        <v>1</v>
      </c>
    </row>
    <row r="291" spans="1:41" ht="99" hidden="1" x14ac:dyDescent="0.25">
      <c r="A291" s="61">
        <v>66</v>
      </c>
      <c r="B291" s="61"/>
      <c r="C291" s="1038" t="s">
        <v>1469</v>
      </c>
      <c r="D291" s="1024" t="s">
        <v>1379</v>
      </c>
      <c r="E291" s="1039" t="s">
        <v>1468</v>
      </c>
      <c r="F291" s="1024" t="s">
        <v>461</v>
      </c>
      <c r="G291" s="1024" t="s">
        <v>1467</v>
      </c>
      <c r="H291" s="1023">
        <v>1794.9259999999999</v>
      </c>
      <c r="I291" s="1105">
        <f t="shared" si="121"/>
        <v>1794.9259999999999</v>
      </c>
      <c r="J291" s="1020"/>
      <c r="K291" s="1020"/>
      <c r="L291" s="1020"/>
      <c r="M291" s="1020"/>
      <c r="N291" s="1031"/>
      <c r="O291" s="1045"/>
      <c r="P291" s="1041">
        <v>1470</v>
      </c>
      <c r="Q291" s="1041">
        <f t="shared" si="128"/>
        <v>1470</v>
      </c>
      <c r="R291" s="54">
        <f t="shared" si="127"/>
        <v>1470</v>
      </c>
      <c r="S291" s="54"/>
      <c r="T291" s="1095">
        <v>1470</v>
      </c>
      <c r="U291" s="1095">
        <v>1470</v>
      </c>
      <c r="V291" s="54"/>
      <c r="W291" s="54"/>
      <c r="X291" s="1095">
        <v>1470</v>
      </c>
      <c r="Y291" s="1095">
        <v>1470</v>
      </c>
      <c r="Z291" s="1020"/>
      <c r="AA291" s="1020"/>
      <c r="AB291" s="1020"/>
      <c r="AC291" s="1020"/>
      <c r="AD291" s="1020"/>
      <c r="AE291" s="1020"/>
      <c r="AF291" s="1020"/>
      <c r="AG291" s="1020"/>
      <c r="AH291" s="1020"/>
      <c r="AI291" s="1020"/>
      <c r="AJ291" s="1020"/>
      <c r="AK291" s="1020"/>
      <c r="AL291" s="1107"/>
      <c r="AM291" s="1009">
        <f t="shared" si="125"/>
        <v>0</v>
      </c>
      <c r="AN291" s="1009">
        <f t="shared" si="126"/>
        <v>1</v>
      </c>
      <c r="AO291" s="144">
        <f t="shared" si="115"/>
        <v>1</v>
      </c>
    </row>
    <row r="292" spans="1:41" ht="99" hidden="1" x14ac:dyDescent="0.25">
      <c r="A292" s="61">
        <v>67</v>
      </c>
      <c r="B292" s="61"/>
      <c r="C292" s="1038" t="s">
        <v>1466</v>
      </c>
      <c r="D292" s="1024" t="s">
        <v>1379</v>
      </c>
      <c r="E292" s="1039" t="s">
        <v>1465</v>
      </c>
      <c r="F292" s="1024" t="s">
        <v>461</v>
      </c>
      <c r="G292" s="1024" t="s">
        <v>1464</v>
      </c>
      <c r="H292" s="1023">
        <v>1778.587</v>
      </c>
      <c r="I292" s="1105">
        <f t="shared" si="121"/>
        <v>1778.587</v>
      </c>
      <c r="J292" s="1020"/>
      <c r="K292" s="1020"/>
      <c r="L292" s="1020"/>
      <c r="M292" s="1020"/>
      <c r="N292" s="1031"/>
      <c r="O292" s="1045"/>
      <c r="P292" s="1041">
        <v>1460</v>
      </c>
      <c r="Q292" s="1041">
        <f t="shared" si="128"/>
        <v>1460</v>
      </c>
      <c r="R292" s="54">
        <f t="shared" si="127"/>
        <v>1460</v>
      </c>
      <c r="S292" s="54"/>
      <c r="T292" s="1095">
        <v>1460</v>
      </c>
      <c r="U292" s="1095">
        <v>1460</v>
      </c>
      <c r="V292" s="54"/>
      <c r="W292" s="54"/>
      <c r="X292" s="1095">
        <v>1460</v>
      </c>
      <c r="Y292" s="1095">
        <v>1460</v>
      </c>
      <c r="Z292" s="1020"/>
      <c r="AA292" s="1020"/>
      <c r="AB292" s="1020"/>
      <c r="AC292" s="1020"/>
      <c r="AD292" s="1020"/>
      <c r="AE292" s="1020"/>
      <c r="AF292" s="1020"/>
      <c r="AG292" s="1020"/>
      <c r="AH292" s="1020"/>
      <c r="AI292" s="1020"/>
      <c r="AJ292" s="1020"/>
      <c r="AK292" s="1020"/>
      <c r="AL292" s="1107"/>
      <c r="AM292" s="1009">
        <f t="shared" si="125"/>
        <v>0</v>
      </c>
      <c r="AN292" s="1009">
        <f t="shared" si="126"/>
        <v>1</v>
      </c>
      <c r="AO292" s="144">
        <f t="shared" si="115"/>
        <v>1</v>
      </c>
    </row>
    <row r="293" spans="1:41" ht="99" hidden="1" x14ac:dyDescent="0.25">
      <c r="A293" s="61">
        <v>68</v>
      </c>
      <c r="B293" s="61"/>
      <c r="C293" s="1038" t="s">
        <v>1463</v>
      </c>
      <c r="D293" s="1024" t="s">
        <v>1379</v>
      </c>
      <c r="E293" s="1039" t="s">
        <v>1462</v>
      </c>
      <c r="F293" s="1024" t="s">
        <v>461</v>
      </c>
      <c r="G293" s="1024" t="s">
        <v>1461</v>
      </c>
      <c r="H293" s="1023">
        <v>2036.423</v>
      </c>
      <c r="I293" s="1105">
        <f t="shared" si="121"/>
        <v>2036.423</v>
      </c>
      <c r="J293" s="1020"/>
      <c r="K293" s="1020"/>
      <c r="L293" s="1020"/>
      <c r="M293" s="1020"/>
      <c r="N293" s="1031"/>
      <c r="O293" s="1045"/>
      <c r="P293" s="1041">
        <v>1670</v>
      </c>
      <c r="Q293" s="1041">
        <f t="shared" si="128"/>
        <v>1670</v>
      </c>
      <c r="R293" s="54">
        <f t="shared" si="127"/>
        <v>1670</v>
      </c>
      <c r="S293" s="54"/>
      <c r="T293" s="1095">
        <v>1670</v>
      </c>
      <c r="U293" s="1095">
        <v>1670</v>
      </c>
      <c r="V293" s="54"/>
      <c r="W293" s="54"/>
      <c r="X293" s="1095">
        <v>1670</v>
      </c>
      <c r="Y293" s="1095">
        <v>1670</v>
      </c>
      <c r="Z293" s="1020"/>
      <c r="AA293" s="1020"/>
      <c r="AB293" s="1020"/>
      <c r="AC293" s="1020"/>
      <c r="AD293" s="1020"/>
      <c r="AE293" s="1020"/>
      <c r="AF293" s="1020"/>
      <c r="AG293" s="1020"/>
      <c r="AH293" s="1020"/>
      <c r="AI293" s="1020"/>
      <c r="AJ293" s="1020"/>
      <c r="AK293" s="1020"/>
      <c r="AL293" s="1107"/>
      <c r="AM293" s="1009">
        <f t="shared" si="125"/>
        <v>0</v>
      </c>
      <c r="AN293" s="1009">
        <f t="shared" si="126"/>
        <v>1</v>
      </c>
      <c r="AO293" s="144">
        <f t="shared" si="115"/>
        <v>1</v>
      </c>
    </row>
    <row r="294" spans="1:41" ht="99" hidden="1" x14ac:dyDescent="0.25">
      <c r="A294" s="61">
        <v>69</v>
      </c>
      <c r="B294" s="61"/>
      <c r="C294" s="1038" t="s">
        <v>1460</v>
      </c>
      <c r="D294" s="1024" t="s">
        <v>1379</v>
      </c>
      <c r="E294" s="1039" t="s">
        <v>1459</v>
      </c>
      <c r="F294" s="1024" t="s">
        <v>461</v>
      </c>
      <c r="G294" s="1024" t="s">
        <v>1458</v>
      </c>
      <c r="H294" s="1023">
        <v>2023</v>
      </c>
      <c r="I294" s="1105">
        <f t="shared" si="121"/>
        <v>2023</v>
      </c>
      <c r="J294" s="1020"/>
      <c r="K294" s="1020"/>
      <c r="L294" s="1020"/>
      <c r="M294" s="1020"/>
      <c r="N294" s="1031"/>
      <c r="O294" s="1045"/>
      <c r="P294" s="1041">
        <v>1660</v>
      </c>
      <c r="Q294" s="1041">
        <f t="shared" si="128"/>
        <v>1660</v>
      </c>
      <c r="R294" s="54">
        <f t="shared" si="127"/>
        <v>1660</v>
      </c>
      <c r="S294" s="54"/>
      <c r="T294" s="1095">
        <v>1660</v>
      </c>
      <c r="U294" s="1095">
        <v>1660</v>
      </c>
      <c r="V294" s="54"/>
      <c r="W294" s="54"/>
      <c r="X294" s="1095">
        <v>1660</v>
      </c>
      <c r="Y294" s="1095">
        <v>1660</v>
      </c>
      <c r="Z294" s="1020"/>
      <c r="AA294" s="1020"/>
      <c r="AB294" s="1020"/>
      <c r="AC294" s="1020"/>
      <c r="AD294" s="1020"/>
      <c r="AE294" s="1020"/>
      <c r="AF294" s="1020"/>
      <c r="AG294" s="1020"/>
      <c r="AH294" s="1020"/>
      <c r="AI294" s="1020"/>
      <c r="AJ294" s="1020"/>
      <c r="AK294" s="1020"/>
      <c r="AL294" s="1107"/>
      <c r="AM294" s="1009">
        <f t="shared" si="125"/>
        <v>0</v>
      </c>
      <c r="AN294" s="1009">
        <f t="shared" si="126"/>
        <v>1</v>
      </c>
      <c r="AO294" s="144">
        <f t="shared" si="115"/>
        <v>1</v>
      </c>
    </row>
    <row r="295" spans="1:41" ht="99" hidden="1" x14ac:dyDescent="0.25">
      <c r="A295" s="61">
        <v>70</v>
      </c>
      <c r="B295" s="61"/>
      <c r="C295" s="1038" t="s">
        <v>1457</v>
      </c>
      <c r="D295" s="1024" t="s">
        <v>1379</v>
      </c>
      <c r="E295" s="1039" t="s">
        <v>1456</v>
      </c>
      <c r="F295" s="1024" t="s">
        <v>461</v>
      </c>
      <c r="G295" s="1024" t="s">
        <v>1455</v>
      </c>
      <c r="H295" s="1023">
        <v>1824</v>
      </c>
      <c r="I295" s="1105">
        <f t="shared" si="121"/>
        <v>1824</v>
      </c>
      <c r="J295" s="1020"/>
      <c r="K295" s="1020"/>
      <c r="L295" s="1020"/>
      <c r="M295" s="1020"/>
      <c r="N295" s="1031"/>
      <c r="O295" s="1045"/>
      <c r="P295" s="1041">
        <v>1490</v>
      </c>
      <c r="Q295" s="1041">
        <f t="shared" si="128"/>
        <v>1490</v>
      </c>
      <c r="R295" s="54">
        <f t="shared" si="127"/>
        <v>1490</v>
      </c>
      <c r="S295" s="54"/>
      <c r="T295" s="1095">
        <v>1490</v>
      </c>
      <c r="U295" s="1095">
        <v>1490</v>
      </c>
      <c r="V295" s="54"/>
      <c r="W295" s="54"/>
      <c r="X295" s="1095">
        <v>1490</v>
      </c>
      <c r="Y295" s="1095">
        <v>1490</v>
      </c>
      <c r="Z295" s="1020"/>
      <c r="AA295" s="1020"/>
      <c r="AB295" s="1020"/>
      <c r="AC295" s="1020"/>
      <c r="AD295" s="1020"/>
      <c r="AE295" s="1020"/>
      <c r="AF295" s="1020"/>
      <c r="AG295" s="1020"/>
      <c r="AH295" s="1020"/>
      <c r="AI295" s="1020"/>
      <c r="AJ295" s="1020"/>
      <c r="AK295" s="1020"/>
      <c r="AL295" s="1107"/>
      <c r="AM295" s="1009">
        <f t="shared" si="125"/>
        <v>0</v>
      </c>
      <c r="AN295" s="1009">
        <f t="shared" si="126"/>
        <v>1</v>
      </c>
      <c r="AO295" s="144">
        <f t="shared" si="115"/>
        <v>1</v>
      </c>
    </row>
    <row r="296" spans="1:41" ht="99" hidden="1" x14ac:dyDescent="0.25">
      <c r="A296" s="61">
        <v>71</v>
      </c>
      <c r="B296" s="61"/>
      <c r="C296" s="1038" t="s">
        <v>1454</v>
      </c>
      <c r="D296" s="1024" t="s">
        <v>1379</v>
      </c>
      <c r="E296" s="1039" t="s">
        <v>1453</v>
      </c>
      <c r="F296" s="1024" t="s">
        <v>461</v>
      </c>
      <c r="G296" s="1024" t="s">
        <v>1452</v>
      </c>
      <c r="H296" s="1023">
        <v>1568</v>
      </c>
      <c r="I296" s="1105">
        <f t="shared" si="121"/>
        <v>1568</v>
      </c>
      <c r="J296" s="1020"/>
      <c r="K296" s="1020"/>
      <c r="L296" s="1020"/>
      <c r="M296" s="1020"/>
      <c r="N296" s="1031"/>
      <c r="O296" s="1045"/>
      <c r="P296" s="1041">
        <v>1290</v>
      </c>
      <c r="Q296" s="1041">
        <f t="shared" si="128"/>
        <v>1290</v>
      </c>
      <c r="R296" s="54">
        <f t="shared" si="127"/>
        <v>1290</v>
      </c>
      <c r="S296" s="54"/>
      <c r="T296" s="1095">
        <v>1290</v>
      </c>
      <c r="U296" s="1095">
        <v>1290</v>
      </c>
      <c r="V296" s="54"/>
      <c r="W296" s="54"/>
      <c r="X296" s="1095">
        <v>1290</v>
      </c>
      <c r="Y296" s="1095">
        <v>1290</v>
      </c>
      <c r="Z296" s="1020"/>
      <c r="AA296" s="1020"/>
      <c r="AB296" s="1020"/>
      <c r="AC296" s="1020"/>
      <c r="AD296" s="1020"/>
      <c r="AE296" s="1020"/>
      <c r="AF296" s="1020"/>
      <c r="AG296" s="1020"/>
      <c r="AH296" s="1020"/>
      <c r="AI296" s="1020"/>
      <c r="AJ296" s="1020"/>
      <c r="AK296" s="1020"/>
      <c r="AL296" s="1107"/>
      <c r="AM296" s="1009">
        <f t="shared" si="125"/>
        <v>0</v>
      </c>
      <c r="AN296" s="1009">
        <f t="shared" si="126"/>
        <v>1</v>
      </c>
      <c r="AO296" s="144">
        <f t="shared" si="115"/>
        <v>1</v>
      </c>
    </row>
    <row r="297" spans="1:41" ht="99" hidden="1" x14ac:dyDescent="0.25">
      <c r="A297" s="61">
        <v>72</v>
      </c>
      <c r="B297" s="61"/>
      <c r="C297" s="1038" t="s">
        <v>1451</v>
      </c>
      <c r="D297" s="1024" t="s">
        <v>1379</v>
      </c>
      <c r="E297" s="1039" t="s">
        <v>1448</v>
      </c>
      <c r="F297" s="1024" t="s">
        <v>461</v>
      </c>
      <c r="G297" s="1024" t="s">
        <v>1450</v>
      </c>
      <c r="H297" s="1023">
        <v>1336</v>
      </c>
      <c r="I297" s="1105">
        <f t="shared" si="121"/>
        <v>1336</v>
      </c>
      <c r="J297" s="1020"/>
      <c r="K297" s="1020"/>
      <c r="L297" s="1020"/>
      <c r="M297" s="1020"/>
      <c r="N297" s="1031"/>
      <c r="O297" s="1045"/>
      <c r="P297" s="1041">
        <v>1100</v>
      </c>
      <c r="Q297" s="1041">
        <f t="shared" si="128"/>
        <v>1100</v>
      </c>
      <c r="R297" s="54">
        <f t="shared" si="127"/>
        <v>1100</v>
      </c>
      <c r="S297" s="54"/>
      <c r="T297" s="1095">
        <v>1100</v>
      </c>
      <c r="U297" s="1095">
        <v>1100</v>
      </c>
      <c r="V297" s="54"/>
      <c r="W297" s="54"/>
      <c r="X297" s="1095">
        <v>1100</v>
      </c>
      <c r="Y297" s="1095">
        <v>1100</v>
      </c>
      <c r="Z297" s="1020"/>
      <c r="AA297" s="1020"/>
      <c r="AB297" s="1020"/>
      <c r="AC297" s="1020"/>
      <c r="AD297" s="1020"/>
      <c r="AE297" s="1020"/>
      <c r="AF297" s="1020"/>
      <c r="AG297" s="1020"/>
      <c r="AH297" s="1020"/>
      <c r="AI297" s="1020"/>
      <c r="AJ297" s="1020"/>
      <c r="AK297" s="1020"/>
      <c r="AL297" s="1107"/>
      <c r="AM297" s="1009">
        <f t="shared" si="125"/>
        <v>0</v>
      </c>
      <c r="AN297" s="1009">
        <f t="shared" si="126"/>
        <v>1</v>
      </c>
      <c r="AO297" s="144">
        <f t="shared" si="115"/>
        <v>1</v>
      </c>
    </row>
    <row r="298" spans="1:41" ht="99" hidden="1" x14ac:dyDescent="0.25">
      <c r="A298" s="61">
        <v>73</v>
      </c>
      <c r="B298" s="61"/>
      <c r="C298" s="1038" t="s">
        <v>1449</v>
      </c>
      <c r="D298" s="1024" t="s">
        <v>1379</v>
      </c>
      <c r="E298" s="1039" t="s">
        <v>1448</v>
      </c>
      <c r="F298" s="1024" t="s">
        <v>461</v>
      </c>
      <c r="G298" s="1024" t="s">
        <v>1447</v>
      </c>
      <c r="H298" s="1023">
        <v>1391</v>
      </c>
      <c r="I298" s="1105">
        <f t="shared" si="121"/>
        <v>1391</v>
      </c>
      <c r="J298" s="1020"/>
      <c r="K298" s="1020"/>
      <c r="L298" s="1020"/>
      <c r="M298" s="1020"/>
      <c r="N298" s="1031"/>
      <c r="O298" s="1045"/>
      <c r="P298" s="1041">
        <v>1150</v>
      </c>
      <c r="Q298" s="1041">
        <f t="shared" si="128"/>
        <v>1150</v>
      </c>
      <c r="R298" s="54">
        <f t="shared" si="127"/>
        <v>1150</v>
      </c>
      <c r="S298" s="54"/>
      <c r="T298" s="1095">
        <v>1150</v>
      </c>
      <c r="U298" s="1095">
        <v>1150</v>
      </c>
      <c r="V298" s="54"/>
      <c r="W298" s="54"/>
      <c r="X298" s="1095">
        <v>1150</v>
      </c>
      <c r="Y298" s="1095">
        <v>1150</v>
      </c>
      <c r="Z298" s="1020"/>
      <c r="AA298" s="1020"/>
      <c r="AB298" s="1020"/>
      <c r="AC298" s="1020"/>
      <c r="AD298" s="1020"/>
      <c r="AE298" s="1020"/>
      <c r="AF298" s="1020"/>
      <c r="AG298" s="1020"/>
      <c r="AH298" s="1020"/>
      <c r="AI298" s="1020"/>
      <c r="AJ298" s="1020"/>
      <c r="AK298" s="1020"/>
      <c r="AL298" s="1107"/>
      <c r="AM298" s="1009">
        <f t="shared" si="125"/>
        <v>0</v>
      </c>
      <c r="AN298" s="1009">
        <f t="shared" si="126"/>
        <v>1</v>
      </c>
      <c r="AO298" s="144">
        <f t="shared" si="115"/>
        <v>1</v>
      </c>
    </row>
    <row r="299" spans="1:41" ht="99" hidden="1" x14ac:dyDescent="0.25">
      <c r="A299" s="61">
        <v>74</v>
      </c>
      <c r="B299" s="61"/>
      <c r="C299" s="1038" t="s">
        <v>1446</v>
      </c>
      <c r="D299" s="1024" t="s">
        <v>1379</v>
      </c>
      <c r="E299" s="1039" t="s">
        <v>1445</v>
      </c>
      <c r="F299" s="1024" t="s">
        <v>461</v>
      </c>
      <c r="G299" s="1024" t="s">
        <v>1444</v>
      </c>
      <c r="H299" s="1023">
        <v>2204</v>
      </c>
      <c r="I299" s="1105">
        <f t="shared" si="121"/>
        <v>2204</v>
      </c>
      <c r="J299" s="1020"/>
      <c r="K299" s="1020"/>
      <c r="L299" s="1020"/>
      <c r="M299" s="1020"/>
      <c r="N299" s="1031"/>
      <c r="O299" s="1045"/>
      <c r="P299" s="1041">
        <v>1820</v>
      </c>
      <c r="Q299" s="1041">
        <f t="shared" si="128"/>
        <v>1820</v>
      </c>
      <c r="R299" s="54">
        <f t="shared" si="127"/>
        <v>1820</v>
      </c>
      <c r="S299" s="54"/>
      <c r="T299" s="1095">
        <v>1820</v>
      </c>
      <c r="U299" s="1095">
        <v>1820</v>
      </c>
      <c r="V299" s="54"/>
      <c r="W299" s="54"/>
      <c r="X299" s="1095">
        <v>1820</v>
      </c>
      <c r="Y299" s="1095">
        <v>1820</v>
      </c>
      <c r="Z299" s="1020"/>
      <c r="AA299" s="1020"/>
      <c r="AB299" s="1020"/>
      <c r="AC299" s="1020"/>
      <c r="AD299" s="1020"/>
      <c r="AE299" s="1020"/>
      <c r="AF299" s="1020"/>
      <c r="AG299" s="1020"/>
      <c r="AH299" s="1020"/>
      <c r="AI299" s="1020"/>
      <c r="AJ299" s="1020"/>
      <c r="AK299" s="1020"/>
      <c r="AL299" s="1107"/>
      <c r="AM299" s="1009">
        <f t="shared" si="125"/>
        <v>0</v>
      </c>
      <c r="AN299" s="1009">
        <f t="shared" si="126"/>
        <v>1</v>
      </c>
      <c r="AO299" s="144">
        <f t="shared" si="115"/>
        <v>1</v>
      </c>
    </row>
    <row r="300" spans="1:41" ht="99" hidden="1" x14ac:dyDescent="0.25">
      <c r="A300" s="61">
        <v>75</v>
      </c>
      <c r="B300" s="61"/>
      <c r="C300" s="1038" t="s">
        <v>1443</v>
      </c>
      <c r="D300" s="1024" t="s">
        <v>1379</v>
      </c>
      <c r="E300" s="1039" t="s">
        <v>1442</v>
      </c>
      <c r="F300" s="1024" t="s">
        <v>461</v>
      </c>
      <c r="G300" s="1024" t="s">
        <v>1441</v>
      </c>
      <c r="H300" s="1023">
        <v>1755</v>
      </c>
      <c r="I300" s="1105">
        <f t="shared" si="121"/>
        <v>1755</v>
      </c>
      <c r="J300" s="1020"/>
      <c r="K300" s="1020"/>
      <c r="L300" s="1020"/>
      <c r="M300" s="1020"/>
      <c r="N300" s="1031"/>
      <c r="O300" s="1045"/>
      <c r="P300" s="1041">
        <v>1450</v>
      </c>
      <c r="Q300" s="1041">
        <f t="shared" si="128"/>
        <v>1450</v>
      </c>
      <c r="R300" s="54">
        <f t="shared" si="127"/>
        <v>1450</v>
      </c>
      <c r="S300" s="54"/>
      <c r="T300" s="1095">
        <v>1450</v>
      </c>
      <c r="U300" s="1095">
        <v>1450</v>
      </c>
      <c r="V300" s="54"/>
      <c r="W300" s="54"/>
      <c r="X300" s="1095">
        <v>1450</v>
      </c>
      <c r="Y300" s="1095">
        <v>1450</v>
      </c>
      <c r="Z300" s="1020"/>
      <c r="AA300" s="1020"/>
      <c r="AB300" s="1020"/>
      <c r="AC300" s="1020"/>
      <c r="AD300" s="1020"/>
      <c r="AE300" s="1020"/>
      <c r="AF300" s="1020"/>
      <c r="AG300" s="1020"/>
      <c r="AH300" s="1020"/>
      <c r="AI300" s="1020"/>
      <c r="AJ300" s="1020"/>
      <c r="AK300" s="1020"/>
      <c r="AL300" s="1107"/>
      <c r="AM300" s="1009">
        <f t="shared" si="125"/>
        <v>0</v>
      </c>
      <c r="AN300" s="1009">
        <f t="shared" si="126"/>
        <v>1</v>
      </c>
      <c r="AO300" s="144">
        <f t="shared" si="115"/>
        <v>1</v>
      </c>
    </row>
    <row r="301" spans="1:41" ht="99" hidden="1" x14ac:dyDescent="0.25">
      <c r="A301" s="61">
        <v>76</v>
      </c>
      <c r="B301" s="61"/>
      <c r="C301" s="1038" t="s">
        <v>1440</v>
      </c>
      <c r="D301" s="1024" t="s">
        <v>1379</v>
      </c>
      <c r="E301" s="1039" t="s">
        <v>1439</v>
      </c>
      <c r="F301" s="1024" t="s">
        <v>461</v>
      </c>
      <c r="G301" s="1024" t="s">
        <v>1438</v>
      </c>
      <c r="H301" s="1023">
        <v>723</v>
      </c>
      <c r="I301" s="1105">
        <f t="shared" si="121"/>
        <v>723</v>
      </c>
      <c r="J301" s="1020"/>
      <c r="K301" s="1020"/>
      <c r="L301" s="1020"/>
      <c r="M301" s="1020"/>
      <c r="N301" s="1031"/>
      <c r="O301" s="1045"/>
      <c r="P301" s="1041">
        <v>600</v>
      </c>
      <c r="Q301" s="1041">
        <f t="shared" si="128"/>
        <v>600</v>
      </c>
      <c r="R301" s="54">
        <f t="shared" si="127"/>
        <v>600</v>
      </c>
      <c r="S301" s="54"/>
      <c r="T301" s="1095">
        <v>600</v>
      </c>
      <c r="U301" s="1095">
        <v>600</v>
      </c>
      <c r="V301" s="54"/>
      <c r="W301" s="54"/>
      <c r="X301" s="1095">
        <v>600</v>
      </c>
      <c r="Y301" s="1095">
        <v>600</v>
      </c>
      <c r="Z301" s="1020"/>
      <c r="AA301" s="1020"/>
      <c r="AB301" s="1020"/>
      <c r="AC301" s="1020"/>
      <c r="AD301" s="1020"/>
      <c r="AE301" s="1020"/>
      <c r="AF301" s="1020"/>
      <c r="AG301" s="1020"/>
      <c r="AH301" s="1020"/>
      <c r="AI301" s="1020"/>
      <c r="AJ301" s="1020"/>
      <c r="AK301" s="1020"/>
      <c r="AL301" s="1107"/>
      <c r="AM301" s="1009">
        <f t="shared" si="125"/>
        <v>0</v>
      </c>
      <c r="AN301" s="1009">
        <f t="shared" si="126"/>
        <v>1</v>
      </c>
      <c r="AO301" s="144">
        <f t="shared" ref="AO301:AO365" si="129">IF(I301-Y301&gt;=0,1,0)</f>
        <v>1</v>
      </c>
    </row>
    <row r="302" spans="1:41" ht="99" hidden="1" x14ac:dyDescent="0.25">
      <c r="A302" s="61">
        <v>77</v>
      </c>
      <c r="B302" s="61"/>
      <c r="C302" s="1038" t="s">
        <v>1437</v>
      </c>
      <c r="D302" s="1024" t="s">
        <v>1379</v>
      </c>
      <c r="E302" s="1039" t="s">
        <v>1436</v>
      </c>
      <c r="F302" s="1024" t="s">
        <v>461</v>
      </c>
      <c r="G302" s="1024" t="s">
        <v>1435</v>
      </c>
      <c r="H302" s="1023">
        <v>967</v>
      </c>
      <c r="I302" s="1105">
        <f t="shared" si="121"/>
        <v>967</v>
      </c>
      <c r="J302" s="1020"/>
      <c r="K302" s="1020"/>
      <c r="L302" s="1020"/>
      <c r="M302" s="1020"/>
      <c r="N302" s="1031"/>
      <c r="O302" s="1045"/>
      <c r="P302" s="1041">
        <v>800</v>
      </c>
      <c r="Q302" s="1041">
        <f t="shared" si="128"/>
        <v>800</v>
      </c>
      <c r="R302" s="54">
        <f t="shared" si="127"/>
        <v>800</v>
      </c>
      <c r="S302" s="54"/>
      <c r="T302" s="1095">
        <v>800</v>
      </c>
      <c r="U302" s="1095">
        <v>800</v>
      </c>
      <c r="V302" s="54"/>
      <c r="W302" s="54"/>
      <c r="X302" s="1095">
        <v>800</v>
      </c>
      <c r="Y302" s="1095">
        <v>800</v>
      </c>
      <c r="Z302" s="1020"/>
      <c r="AA302" s="1020"/>
      <c r="AB302" s="1020"/>
      <c r="AC302" s="1020"/>
      <c r="AD302" s="1020"/>
      <c r="AE302" s="1020"/>
      <c r="AF302" s="1020"/>
      <c r="AG302" s="1020"/>
      <c r="AH302" s="1020"/>
      <c r="AI302" s="1020"/>
      <c r="AJ302" s="1020"/>
      <c r="AK302" s="1020"/>
      <c r="AL302" s="1107"/>
      <c r="AM302" s="1009">
        <f t="shared" si="125"/>
        <v>0</v>
      </c>
      <c r="AN302" s="1009">
        <f t="shared" si="126"/>
        <v>1</v>
      </c>
      <c r="AO302" s="144">
        <f t="shared" si="129"/>
        <v>1</v>
      </c>
    </row>
    <row r="303" spans="1:41" ht="82.5" hidden="1" x14ac:dyDescent="0.25">
      <c r="A303" s="61">
        <v>78</v>
      </c>
      <c r="B303" s="61"/>
      <c r="C303" s="1038" t="s">
        <v>1434</v>
      </c>
      <c r="D303" s="1024" t="s">
        <v>1379</v>
      </c>
      <c r="E303" s="1039" t="s">
        <v>1433</v>
      </c>
      <c r="F303" s="1024" t="s">
        <v>461</v>
      </c>
      <c r="G303" s="1024" t="s">
        <v>1432</v>
      </c>
      <c r="H303" s="1023">
        <v>189</v>
      </c>
      <c r="I303" s="1105">
        <f t="shared" si="121"/>
        <v>189</v>
      </c>
      <c r="J303" s="1020"/>
      <c r="K303" s="1020"/>
      <c r="L303" s="1020"/>
      <c r="M303" s="1020"/>
      <c r="N303" s="1031"/>
      <c r="O303" s="1045"/>
      <c r="P303" s="1041">
        <v>150</v>
      </c>
      <c r="Q303" s="1041">
        <f t="shared" si="128"/>
        <v>150</v>
      </c>
      <c r="R303" s="54">
        <f t="shared" si="127"/>
        <v>150</v>
      </c>
      <c r="S303" s="54"/>
      <c r="T303" s="1095">
        <v>150</v>
      </c>
      <c r="U303" s="1095">
        <v>150</v>
      </c>
      <c r="V303" s="54"/>
      <c r="W303" s="54"/>
      <c r="X303" s="1095">
        <v>150</v>
      </c>
      <c r="Y303" s="1095">
        <v>150</v>
      </c>
      <c r="Z303" s="1020"/>
      <c r="AA303" s="1020"/>
      <c r="AB303" s="1020"/>
      <c r="AC303" s="1020"/>
      <c r="AD303" s="1020"/>
      <c r="AE303" s="1020"/>
      <c r="AF303" s="1020"/>
      <c r="AG303" s="1020"/>
      <c r="AH303" s="1020"/>
      <c r="AI303" s="1020"/>
      <c r="AJ303" s="1020"/>
      <c r="AK303" s="1020"/>
      <c r="AL303" s="1107"/>
      <c r="AM303" s="1009">
        <f t="shared" si="125"/>
        <v>0</v>
      </c>
      <c r="AN303" s="1009">
        <f t="shared" si="126"/>
        <v>1</v>
      </c>
      <c r="AO303" s="144">
        <f t="shared" si="129"/>
        <v>1</v>
      </c>
    </row>
    <row r="304" spans="1:41" ht="82.5" hidden="1" x14ac:dyDescent="0.25">
      <c r="A304" s="61">
        <v>79</v>
      </c>
      <c r="B304" s="61"/>
      <c r="C304" s="1038" t="s">
        <v>1431</v>
      </c>
      <c r="D304" s="1024" t="s">
        <v>1379</v>
      </c>
      <c r="E304" s="1039" t="s">
        <v>1430</v>
      </c>
      <c r="F304" s="1024" t="s">
        <v>461</v>
      </c>
      <c r="G304" s="1024" t="s">
        <v>1429</v>
      </c>
      <c r="H304" s="1023">
        <v>400</v>
      </c>
      <c r="I304" s="1105">
        <f t="shared" si="121"/>
        <v>400</v>
      </c>
      <c r="J304" s="1020"/>
      <c r="K304" s="1020"/>
      <c r="L304" s="1020"/>
      <c r="M304" s="1020"/>
      <c r="N304" s="1031"/>
      <c r="O304" s="1045"/>
      <c r="P304" s="1041">
        <v>320</v>
      </c>
      <c r="Q304" s="1041">
        <f t="shared" si="128"/>
        <v>320</v>
      </c>
      <c r="R304" s="54">
        <f t="shared" si="127"/>
        <v>320</v>
      </c>
      <c r="S304" s="54"/>
      <c r="T304" s="1095">
        <v>320</v>
      </c>
      <c r="U304" s="1095">
        <v>320</v>
      </c>
      <c r="V304" s="54"/>
      <c r="W304" s="54"/>
      <c r="X304" s="1095">
        <v>320</v>
      </c>
      <c r="Y304" s="1095">
        <v>320</v>
      </c>
      <c r="Z304" s="1020"/>
      <c r="AA304" s="1020"/>
      <c r="AB304" s="1020"/>
      <c r="AC304" s="1020"/>
      <c r="AD304" s="1020"/>
      <c r="AE304" s="1020"/>
      <c r="AF304" s="1020"/>
      <c r="AG304" s="1020"/>
      <c r="AH304" s="1020"/>
      <c r="AI304" s="1020"/>
      <c r="AJ304" s="1020"/>
      <c r="AK304" s="1020"/>
      <c r="AL304" s="1107"/>
      <c r="AM304" s="1009">
        <f t="shared" si="125"/>
        <v>0</v>
      </c>
      <c r="AN304" s="1009">
        <f t="shared" si="126"/>
        <v>1</v>
      </c>
      <c r="AO304" s="144">
        <f t="shared" si="129"/>
        <v>1</v>
      </c>
    </row>
    <row r="305" spans="1:41" ht="82.5" hidden="1" x14ac:dyDescent="0.25">
      <c r="A305" s="61">
        <v>80</v>
      </c>
      <c r="B305" s="61"/>
      <c r="C305" s="1038" t="s">
        <v>1428</v>
      </c>
      <c r="D305" s="1024" t="s">
        <v>1379</v>
      </c>
      <c r="E305" s="1039" t="s">
        <v>1427</v>
      </c>
      <c r="F305" s="1024" t="s">
        <v>461</v>
      </c>
      <c r="G305" s="1024" t="s">
        <v>1426</v>
      </c>
      <c r="H305" s="1023">
        <v>251</v>
      </c>
      <c r="I305" s="1105">
        <f t="shared" si="121"/>
        <v>251</v>
      </c>
      <c r="J305" s="1020"/>
      <c r="K305" s="1020"/>
      <c r="L305" s="1020"/>
      <c r="M305" s="1020"/>
      <c r="N305" s="1031"/>
      <c r="O305" s="1045"/>
      <c r="P305" s="1041">
        <v>200</v>
      </c>
      <c r="Q305" s="1041">
        <f t="shared" si="128"/>
        <v>200</v>
      </c>
      <c r="R305" s="54">
        <f t="shared" si="127"/>
        <v>200</v>
      </c>
      <c r="S305" s="54"/>
      <c r="T305" s="1095">
        <v>200</v>
      </c>
      <c r="U305" s="1095">
        <v>200</v>
      </c>
      <c r="V305" s="54"/>
      <c r="W305" s="54"/>
      <c r="X305" s="1095">
        <v>200</v>
      </c>
      <c r="Y305" s="1095">
        <v>200</v>
      </c>
      <c r="Z305" s="1020"/>
      <c r="AA305" s="1020"/>
      <c r="AB305" s="1020"/>
      <c r="AC305" s="1020"/>
      <c r="AD305" s="1020"/>
      <c r="AE305" s="1020"/>
      <c r="AF305" s="1020"/>
      <c r="AG305" s="1020"/>
      <c r="AH305" s="1020"/>
      <c r="AI305" s="1020"/>
      <c r="AJ305" s="1020"/>
      <c r="AK305" s="1020"/>
      <c r="AL305" s="1107"/>
      <c r="AM305" s="1009">
        <f t="shared" si="125"/>
        <v>0</v>
      </c>
      <c r="AN305" s="1009">
        <f t="shared" si="126"/>
        <v>1</v>
      </c>
      <c r="AO305" s="144">
        <f t="shared" si="129"/>
        <v>1</v>
      </c>
    </row>
    <row r="306" spans="1:41" ht="82.5" hidden="1" x14ac:dyDescent="0.25">
      <c r="A306" s="61">
        <v>81</v>
      </c>
      <c r="B306" s="61"/>
      <c r="C306" s="1038" t="s">
        <v>1425</v>
      </c>
      <c r="D306" s="1024" t="s">
        <v>1379</v>
      </c>
      <c r="E306" s="1039" t="s">
        <v>1424</v>
      </c>
      <c r="F306" s="1024" t="s">
        <v>461</v>
      </c>
      <c r="G306" s="1024" t="s">
        <v>1423</v>
      </c>
      <c r="H306" s="1023">
        <v>209</v>
      </c>
      <c r="I306" s="1105">
        <f t="shared" si="121"/>
        <v>209</v>
      </c>
      <c r="J306" s="1020"/>
      <c r="K306" s="1020"/>
      <c r="L306" s="1020"/>
      <c r="M306" s="1020"/>
      <c r="N306" s="1031"/>
      <c r="O306" s="1045"/>
      <c r="P306" s="1041">
        <v>170</v>
      </c>
      <c r="Q306" s="1041">
        <f t="shared" si="128"/>
        <v>170</v>
      </c>
      <c r="R306" s="54">
        <f t="shared" si="127"/>
        <v>170</v>
      </c>
      <c r="S306" s="54"/>
      <c r="T306" s="1095">
        <v>170</v>
      </c>
      <c r="U306" s="1095">
        <v>170</v>
      </c>
      <c r="V306" s="54"/>
      <c r="W306" s="54"/>
      <c r="X306" s="1095">
        <v>170</v>
      </c>
      <c r="Y306" s="1095">
        <v>170</v>
      </c>
      <c r="Z306" s="1020"/>
      <c r="AA306" s="1020"/>
      <c r="AB306" s="1020"/>
      <c r="AC306" s="1020"/>
      <c r="AD306" s="1020"/>
      <c r="AE306" s="1020"/>
      <c r="AF306" s="1020"/>
      <c r="AG306" s="1020"/>
      <c r="AH306" s="1020"/>
      <c r="AI306" s="1020"/>
      <c r="AJ306" s="1020"/>
      <c r="AK306" s="1020"/>
      <c r="AL306" s="1107"/>
      <c r="AM306" s="1009">
        <f t="shared" si="125"/>
        <v>0</v>
      </c>
      <c r="AN306" s="1009">
        <f t="shared" si="126"/>
        <v>1</v>
      </c>
      <c r="AO306" s="144">
        <f t="shared" si="129"/>
        <v>1</v>
      </c>
    </row>
    <row r="307" spans="1:41" ht="82.5" hidden="1" x14ac:dyDescent="0.25">
      <c r="A307" s="61">
        <v>82</v>
      </c>
      <c r="B307" s="61"/>
      <c r="C307" s="1038" t="s">
        <v>1422</v>
      </c>
      <c r="D307" s="1024" t="s">
        <v>1379</v>
      </c>
      <c r="E307" s="1039" t="s">
        <v>1421</v>
      </c>
      <c r="F307" s="1024" t="s">
        <v>461</v>
      </c>
      <c r="G307" s="1024" t="s">
        <v>1420</v>
      </c>
      <c r="H307" s="1023">
        <v>434</v>
      </c>
      <c r="I307" s="1105">
        <f t="shared" si="121"/>
        <v>434</v>
      </c>
      <c r="J307" s="1020"/>
      <c r="K307" s="1020"/>
      <c r="L307" s="1020"/>
      <c r="M307" s="1020"/>
      <c r="N307" s="1031"/>
      <c r="O307" s="1045"/>
      <c r="P307" s="1041">
        <v>350</v>
      </c>
      <c r="Q307" s="1041">
        <f t="shared" si="128"/>
        <v>350</v>
      </c>
      <c r="R307" s="54">
        <f t="shared" si="127"/>
        <v>350</v>
      </c>
      <c r="S307" s="54"/>
      <c r="T307" s="1095">
        <v>350</v>
      </c>
      <c r="U307" s="1095">
        <v>350</v>
      </c>
      <c r="V307" s="54"/>
      <c r="W307" s="54"/>
      <c r="X307" s="1095">
        <v>350</v>
      </c>
      <c r="Y307" s="1095">
        <v>350</v>
      </c>
      <c r="Z307" s="1020"/>
      <c r="AA307" s="1020"/>
      <c r="AB307" s="1020"/>
      <c r="AC307" s="1020"/>
      <c r="AD307" s="1020"/>
      <c r="AE307" s="1020"/>
      <c r="AF307" s="1020"/>
      <c r="AG307" s="1020"/>
      <c r="AH307" s="1020"/>
      <c r="AI307" s="1020"/>
      <c r="AJ307" s="1020"/>
      <c r="AK307" s="1020"/>
      <c r="AL307" s="1107"/>
      <c r="AM307" s="1009">
        <f t="shared" si="125"/>
        <v>0</v>
      </c>
      <c r="AN307" s="1009">
        <f t="shared" si="126"/>
        <v>1</v>
      </c>
      <c r="AO307" s="144">
        <f t="shared" si="129"/>
        <v>1</v>
      </c>
    </row>
    <row r="308" spans="1:41" ht="82.5" hidden="1" x14ac:dyDescent="0.25">
      <c r="A308" s="61">
        <v>83</v>
      </c>
      <c r="B308" s="61"/>
      <c r="C308" s="1038" t="s">
        <v>1419</v>
      </c>
      <c r="D308" s="1024" t="s">
        <v>1379</v>
      </c>
      <c r="E308" s="1039" t="s">
        <v>1418</v>
      </c>
      <c r="F308" s="1024" t="s">
        <v>461</v>
      </c>
      <c r="G308" s="1024" t="s">
        <v>1417</v>
      </c>
      <c r="H308" s="1023">
        <v>662</v>
      </c>
      <c r="I308" s="1105">
        <f t="shared" si="121"/>
        <v>662</v>
      </c>
      <c r="J308" s="1020"/>
      <c r="K308" s="1020"/>
      <c r="L308" s="1020"/>
      <c r="M308" s="1020"/>
      <c r="N308" s="1031"/>
      <c r="O308" s="1045"/>
      <c r="P308" s="1041">
        <v>530</v>
      </c>
      <c r="Q308" s="1041">
        <f t="shared" si="128"/>
        <v>530</v>
      </c>
      <c r="R308" s="54">
        <f t="shared" si="127"/>
        <v>530</v>
      </c>
      <c r="S308" s="54"/>
      <c r="T308" s="1095">
        <v>530</v>
      </c>
      <c r="U308" s="1095">
        <v>530</v>
      </c>
      <c r="V308" s="54"/>
      <c r="W308" s="54"/>
      <c r="X308" s="1095">
        <v>530</v>
      </c>
      <c r="Y308" s="1095">
        <v>530</v>
      </c>
      <c r="Z308" s="1020"/>
      <c r="AA308" s="1020"/>
      <c r="AB308" s="1020"/>
      <c r="AC308" s="1020"/>
      <c r="AD308" s="1020"/>
      <c r="AE308" s="1020"/>
      <c r="AF308" s="1020"/>
      <c r="AG308" s="1020"/>
      <c r="AH308" s="1020"/>
      <c r="AI308" s="1020"/>
      <c r="AJ308" s="1020"/>
      <c r="AK308" s="1020"/>
      <c r="AL308" s="1107"/>
      <c r="AM308" s="1009">
        <f t="shared" si="125"/>
        <v>0</v>
      </c>
      <c r="AN308" s="1009">
        <f t="shared" si="126"/>
        <v>1</v>
      </c>
      <c r="AO308" s="144">
        <f t="shared" si="129"/>
        <v>1</v>
      </c>
    </row>
    <row r="309" spans="1:41" ht="99" hidden="1" x14ac:dyDescent="0.25">
      <c r="A309" s="61">
        <v>84</v>
      </c>
      <c r="B309" s="61"/>
      <c r="C309" s="1038" t="s">
        <v>1416</v>
      </c>
      <c r="D309" s="1024" t="s">
        <v>1379</v>
      </c>
      <c r="E309" s="1039" t="s">
        <v>1415</v>
      </c>
      <c r="F309" s="1024" t="s">
        <v>461</v>
      </c>
      <c r="G309" s="1024" t="s">
        <v>1414</v>
      </c>
      <c r="H309" s="1023">
        <v>1580.249</v>
      </c>
      <c r="I309" s="1105">
        <f t="shared" si="121"/>
        <v>1580.249</v>
      </c>
      <c r="J309" s="1020"/>
      <c r="K309" s="1020"/>
      <c r="L309" s="1020"/>
      <c r="M309" s="1020"/>
      <c r="N309" s="1031"/>
      <c r="O309" s="1045"/>
      <c r="P309" s="1041">
        <v>1350</v>
      </c>
      <c r="Q309" s="1041">
        <f t="shared" si="128"/>
        <v>1350</v>
      </c>
      <c r="R309" s="54">
        <f t="shared" si="127"/>
        <v>1350</v>
      </c>
      <c r="S309" s="54"/>
      <c r="T309" s="1095">
        <v>1350</v>
      </c>
      <c r="U309" s="1095">
        <v>1350</v>
      </c>
      <c r="V309" s="54"/>
      <c r="W309" s="54"/>
      <c r="X309" s="1095">
        <v>1350</v>
      </c>
      <c r="Y309" s="1095">
        <v>1350</v>
      </c>
      <c r="Z309" s="1020"/>
      <c r="AA309" s="1020"/>
      <c r="AB309" s="1020"/>
      <c r="AC309" s="1020"/>
      <c r="AD309" s="1020"/>
      <c r="AE309" s="1020"/>
      <c r="AF309" s="1020"/>
      <c r="AG309" s="1020"/>
      <c r="AH309" s="1020"/>
      <c r="AI309" s="1020"/>
      <c r="AJ309" s="1020"/>
      <c r="AK309" s="1020"/>
      <c r="AL309" s="1107"/>
      <c r="AM309" s="1009">
        <f t="shared" si="125"/>
        <v>0</v>
      </c>
      <c r="AN309" s="1009">
        <f t="shared" si="126"/>
        <v>1</v>
      </c>
      <c r="AO309" s="144">
        <f t="shared" si="129"/>
        <v>1</v>
      </c>
    </row>
    <row r="310" spans="1:41" ht="99" hidden="1" x14ac:dyDescent="0.25">
      <c r="A310" s="61">
        <v>85</v>
      </c>
      <c r="B310" s="61"/>
      <c r="C310" s="1038" t="s">
        <v>1413</v>
      </c>
      <c r="D310" s="1024" t="s">
        <v>1379</v>
      </c>
      <c r="E310" s="1039" t="s">
        <v>1412</v>
      </c>
      <c r="F310" s="1024" t="s">
        <v>461</v>
      </c>
      <c r="G310" s="1024" t="s">
        <v>1411</v>
      </c>
      <c r="H310" s="1023">
        <v>1634</v>
      </c>
      <c r="I310" s="1105">
        <f t="shared" si="121"/>
        <v>1634</v>
      </c>
      <c r="J310" s="1020"/>
      <c r="K310" s="1020"/>
      <c r="L310" s="1020"/>
      <c r="M310" s="1020"/>
      <c r="N310" s="1031"/>
      <c r="O310" s="1045"/>
      <c r="P310" s="1041">
        <v>1390</v>
      </c>
      <c r="Q310" s="1041">
        <f t="shared" si="128"/>
        <v>1390</v>
      </c>
      <c r="R310" s="54">
        <f t="shared" si="127"/>
        <v>1390</v>
      </c>
      <c r="S310" s="54"/>
      <c r="T310" s="1095">
        <v>1390</v>
      </c>
      <c r="U310" s="1095">
        <v>1390</v>
      </c>
      <c r="V310" s="54"/>
      <c r="W310" s="54"/>
      <c r="X310" s="1095">
        <v>1390</v>
      </c>
      <c r="Y310" s="1095">
        <v>1390</v>
      </c>
      <c r="Z310" s="1020"/>
      <c r="AA310" s="1020"/>
      <c r="AB310" s="1020"/>
      <c r="AC310" s="1020"/>
      <c r="AD310" s="1020"/>
      <c r="AE310" s="1020"/>
      <c r="AF310" s="1020"/>
      <c r="AG310" s="1020"/>
      <c r="AH310" s="1020"/>
      <c r="AI310" s="1020"/>
      <c r="AJ310" s="1020"/>
      <c r="AK310" s="1020"/>
      <c r="AL310" s="1107"/>
      <c r="AM310" s="1009">
        <f t="shared" si="125"/>
        <v>0</v>
      </c>
      <c r="AN310" s="1009">
        <f t="shared" si="126"/>
        <v>1</v>
      </c>
      <c r="AO310" s="144">
        <f t="shared" si="129"/>
        <v>1</v>
      </c>
    </row>
    <row r="311" spans="1:41" ht="99" hidden="1" x14ac:dyDescent="0.25">
      <c r="A311" s="61">
        <v>86</v>
      </c>
      <c r="B311" s="61"/>
      <c r="C311" s="1038" t="s">
        <v>1410</v>
      </c>
      <c r="D311" s="1024" t="s">
        <v>1379</v>
      </c>
      <c r="E311" s="1039" t="s">
        <v>1409</v>
      </c>
      <c r="F311" s="1024" t="s">
        <v>461</v>
      </c>
      <c r="G311" s="1024" t="s">
        <v>1408</v>
      </c>
      <c r="H311" s="1023">
        <v>593</v>
      </c>
      <c r="I311" s="1105">
        <f t="shared" si="121"/>
        <v>593</v>
      </c>
      <c r="J311" s="1020"/>
      <c r="K311" s="1020"/>
      <c r="L311" s="1020"/>
      <c r="M311" s="1020"/>
      <c r="N311" s="1031"/>
      <c r="O311" s="1045"/>
      <c r="P311" s="1041">
        <v>500</v>
      </c>
      <c r="Q311" s="1041">
        <f t="shared" si="128"/>
        <v>500</v>
      </c>
      <c r="R311" s="54">
        <f t="shared" si="127"/>
        <v>500</v>
      </c>
      <c r="S311" s="54"/>
      <c r="T311" s="1095">
        <v>500</v>
      </c>
      <c r="U311" s="1095">
        <v>500</v>
      </c>
      <c r="V311" s="54"/>
      <c r="W311" s="54"/>
      <c r="X311" s="1095">
        <v>500</v>
      </c>
      <c r="Y311" s="1095">
        <v>500</v>
      </c>
      <c r="Z311" s="1020"/>
      <c r="AA311" s="1020"/>
      <c r="AB311" s="1020"/>
      <c r="AC311" s="1020"/>
      <c r="AD311" s="1020"/>
      <c r="AE311" s="1020"/>
      <c r="AF311" s="1020"/>
      <c r="AG311" s="1020"/>
      <c r="AH311" s="1020"/>
      <c r="AI311" s="1020"/>
      <c r="AJ311" s="1020"/>
      <c r="AK311" s="1020"/>
      <c r="AL311" s="1107"/>
      <c r="AM311" s="1009">
        <f t="shared" si="125"/>
        <v>0</v>
      </c>
      <c r="AN311" s="1009">
        <f t="shared" si="126"/>
        <v>1</v>
      </c>
      <c r="AO311" s="144">
        <f t="shared" si="129"/>
        <v>1</v>
      </c>
    </row>
    <row r="312" spans="1:41" ht="99" hidden="1" x14ac:dyDescent="0.25">
      <c r="A312" s="61">
        <v>87</v>
      </c>
      <c r="B312" s="61"/>
      <c r="C312" s="1038" t="s">
        <v>1407</v>
      </c>
      <c r="D312" s="1024" t="s">
        <v>1379</v>
      </c>
      <c r="E312" s="1039" t="s">
        <v>1406</v>
      </c>
      <c r="F312" s="1024" t="s">
        <v>461</v>
      </c>
      <c r="G312" s="1024" t="s">
        <v>1405</v>
      </c>
      <c r="H312" s="1023">
        <v>1138</v>
      </c>
      <c r="I312" s="1105">
        <f t="shared" si="121"/>
        <v>1138</v>
      </c>
      <c r="J312" s="1020"/>
      <c r="K312" s="1020"/>
      <c r="L312" s="1020"/>
      <c r="M312" s="1020"/>
      <c r="N312" s="1031"/>
      <c r="O312" s="1045"/>
      <c r="P312" s="1041">
        <v>940</v>
      </c>
      <c r="Q312" s="1041">
        <f t="shared" si="128"/>
        <v>940</v>
      </c>
      <c r="R312" s="54">
        <f t="shared" si="127"/>
        <v>940</v>
      </c>
      <c r="S312" s="54"/>
      <c r="T312" s="1095">
        <v>940</v>
      </c>
      <c r="U312" s="1095">
        <v>940</v>
      </c>
      <c r="V312" s="54"/>
      <c r="W312" s="54"/>
      <c r="X312" s="1095">
        <v>940</v>
      </c>
      <c r="Y312" s="1095">
        <v>940</v>
      </c>
      <c r="Z312" s="1020"/>
      <c r="AA312" s="1020"/>
      <c r="AB312" s="1020"/>
      <c r="AC312" s="1020"/>
      <c r="AD312" s="1020"/>
      <c r="AE312" s="1020"/>
      <c r="AF312" s="1020"/>
      <c r="AG312" s="1020"/>
      <c r="AH312" s="1020"/>
      <c r="AI312" s="1020"/>
      <c r="AJ312" s="1020"/>
      <c r="AK312" s="1020"/>
      <c r="AL312" s="1107"/>
      <c r="AM312" s="1009">
        <f t="shared" si="125"/>
        <v>0</v>
      </c>
      <c r="AN312" s="1009">
        <f t="shared" si="126"/>
        <v>1</v>
      </c>
      <c r="AO312" s="144">
        <f t="shared" si="129"/>
        <v>1</v>
      </c>
    </row>
    <row r="313" spans="1:41" ht="99" hidden="1" x14ac:dyDescent="0.25">
      <c r="A313" s="61">
        <v>88</v>
      </c>
      <c r="B313" s="61"/>
      <c r="C313" s="1038" t="s">
        <v>1404</v>
      </c>
      <c r="D313" s="1024" t="s">
        <v>1379</v>
      </c>
      <c r="E313" s="1039" t="s">
        <v>1403</v>
      </c>
      <c r="F313" s="1024" t="s">
        <v>461</v>
      </c>
      <c r="G313" s="1024" t="s">
        <v>1402</v>
      </c>
      <c r="H313" s="1023">
        <v>662</v>
      </c>
      <c r="I313" s="1105">
        <f t="shared" si="121"/>
        <v>662</v>
      </c>
      <c r="J313" s="1020"/>
      <c r="K313" s="1020"/>
      <c r="L313" s="1020"/>
      <c r="M313" s="1020"/>
      <c r="N313" s="1031"/>
      <c r="O313" s="1045"/>
      <c r="P313" s="1041">
        <v>550</v>
      </c>
      <c r="Q313" s="1041">
        <f t="shared" si="128"/>
        <v>550</v>
      </c>
      <c r="R313" s="54">
        <f t="shared" si="127"/>
        <v>550</v>
      </c>
      <c r="S313" s="54"/>
      <c r="T313" s="1095">
        <v>550</v>
      </c>
      <c r="U313" s="1095">
        <v>550</v>
      </c>
      <c r="V313" s="54"/>
      <c r="W313" s="54"/>
      <c r="X313" s="1095">
        <v>550</v>
      </c>
      <c r="Y313" s="1095">
        <v>550</v>
      </c>
      <c r="Z313" s="1020"/>
      <c r="AA313" s="1020"/>
      <c r="AB313" s="1020"/>
      <c r="AC313" s="1020"/>
      <c r="AD313" s="1020"/>
      <c r="AE313" s="1020"/>
      <c r="AF313" s="1020"/>
      <c r="AG313" s="1020"/>
      <c r="AH313" s="1020"/>
      <c r="AI313" s="1020"/>
      <c r="AJ313" s="1020"/>
      <c r="AK313" s="1020"/>
      <c r="AL313" s="1107"/>
      <c r="AM313" s="1009">
        <f t="shared" si="125"/>
        <v>0</v>
      </c>
      <c r="AN313" s="1009">
        <f t="shared" si="126"/>
        <v>1</v>
      </c>
      <c r="AO313" s="144">
        <f t="shared" si="129"/>
        <v>1</v>
      </c>
    </row>
    <row r="314" spans="1:41" ht="82.5" hidden="1" x14ac:dyDescent="0.25">
      <c r="A314" s="61">
        <v>89</v>
      </c>
      <c r="B314" s="61"/>
      <c r="C314" s="1038" t="s">
        <v>1401</v>
      </c>
      <c r="D314" s="1024" t="s">
        <v>1379</v>
      </c>
      <c r="E314" s="1039" t="s">
        <v>1400</v>
      </c>
      <c r="F314" s="1024" t="s">
        <v>461</v>
      </c>
      <c r="G314" s="1024" t="s">
        <v>1399</v>
      </c>
      <c r="H314" s="1023">
        <v>894</v>
      </c>
      <c r="I314" s="1105">
        <f t="shared" si="121"/>
        <v>894</v>
      </c>
      <c r="J314" s="1020"/>
      <c r="K314" s="1020"/>
      <c r="L314" s="1020"/>
      <c r="M314" s="1020"/>
      <c r="N314" s="1031"/>
      <c r="O314" s="1045"/>
      <c r="P314" s="1041">
        <v>740</v>
      </c>
      <c r="Q314" s="1041">
        <f t="shared" si="128"/>
        <v>740</v>
      </c>
      <c r="R314" s="54">
        <f t="shared" si="127"/>
        <v>740</v>
      </c>
      <c r="S314" s="54"/>
      <c r="T314" s="1095">
        <v>740</v>
      </c>
      <c r="U314" s="1095">
        <v>740</v>
      </c>
      <c r="V314" s="54"/>
      <c r="W314" s="54"/>
      <c r="X314" s="1095">
        <v>740</v>
      </c>
      <c r="Y314" s="1095">
        <v>740</v>
      </c>
      <c r="Z314" s="1020"/>
      <c r="AA314" s="1020"/>
      <c r="AB314" s="1020"/>
      <c r="AC314" s="1020"/>
      <c r="AD314" s="1020"/>
      <c r="AE314" s="1020"/>
      <c r="AF314" s="1020"/>
      <c r="AG314" s="1020"/>
      <c r="AH314" s="1020"/>
      <c r="AI314" s="1020"/>
      <c r="AJ314" s="1020"/>
      <c r="AK314" s="1020"/>
      <c r="AL314" s="1107"/>
      <c r="AM314" s="1009">
        <f t="shared" si="125"/>
        <v>0</v>
      </c>
      <c r="AN314" s="1009">
        <f t="shared" si="126"/>
        <v>1</v>
      </c>
      <c r="AO314" s="144">
        <f t="shared" si="129"/>
        <v>1</v>
      </c>
    </row>
    <row r="315" spans="1:41" ht="82.5" hidden="1" x14ac:dyDescent="0.25">
      <c r="A315" s="61">
        <v>90</v>
      </c>
      <c r="B315" s="61"/>
      <c r="C315" s="1038" t="s">
        <v>1398</v>
      </c>
      <c r="D315" s="1024" t="s">
        <v>1379</v>
      </c>
      <c r="E315" s="1039" t="s">
        <v>1397</v>
      </c>
      <c r="F315" s="1024" t="s">
        <v>461</v>
      </c>
      <c r="G315" s="1024" t="s">
        <v>1396</v>
      </c>
      <c r="H315" s="1023">
        <v>258</v>
      </c>
      <c r="I315" s="1105">
        <f t="shared" si="121"/>
        <v>258</v>
      </c>
      <c r="J315" s="1020"/>
      <c r="K315" s="1020"/>
      <c r="L315" s="1020"/>
      <c r="M315" s="1020"/>
      <c r="N315" s="1031"/>
      <c r="O315" s="1045"/>
      <c r="P315" s="1041">
        <v>210</v>
      </c>
      <c r="Q315" s="1041">
        <f t="shared" si="128"/>
        <v>210</v>
      </c>
      <c r="R315" s="54">
        <f t="shared" si="127"/>
        <v>210</v>
      </c>
      <c r="S315" s="54"/>
      <c r="T315" s="1095">
        <v>210</v>
      </c>
      <c r="U315" s="1095">
        <v>210</v>
      </c>
      <c r="V315" s="54"/>
      <c r="W315" s="54"/>
      <c r="X315" s="1095">
        <v>210</v>
      </c>
      <c r="Y315" s="1095">
        <v>210</v>
      </c>
      <c r="Z315" s="1020"/>
      <c r="AA315" s="1020"/>
      <c r="AB315" s="1020"/>
      <c r="AC315" s="1020"/>
      <c r="AD315" s="1020"/>
      <c r="AE315" s="1020"/>
      <c r="AF315" s="1020"/>
      <c r="AG315" s="1020"/>
      <c r="AH315" s="1020"/>
      <c r="AI315" s="1020"/>
      <c r="AJ315" s="1020"/>
      <c r="AK315" s="1020"/>
      <c r="AL315" s="1107"/>
      <c r="AM315" s="1009">
        <f t="shared" si="125"/>
        <v>0</v>
      </c>
      <c r="AN315" s="1009">
        <f t="shared" si="126"/>
        <v>1</v>
      </c>
      <c r="AO315" s="144">
        <f t="shared" si="129"/>
        <v>1</v>
      </c>
    </row>
    <row r="316" spans="1:41" ht="82.5" hidden="1" x14ac:dyDescent="0.25">
      <c r="A316" s="61">
        <v>91</v>
      </c>
      <c r="B316" s="61"/>
      <c r="C316" s="1038" t="s">
        <v>1395</v>
      </c>
      <c r="D316" s="1024" t="s">
        <v>1379</v>
      </c>
      <c r="E316" s="1039" t="s">
        <v>1394</v>
      </c>
      <c r="F316" s="1024" t="s">
        <v>461</v>
      </c>
      <c r="G316" s="1024" t="s">
        <v>1393</v>
      </c>
      <c r="H316" s="1023">
        <v>549</v>
      </c>
      <c r="I316" s="1105">
        <f t="shared" si="121"/>
        <v>549</v>
      </c>
      <c r="J316" s="1020"/>
      <c r="K316" s="1020"/>
      <c r="L316" s="1020"/>
      <c r="M316" s="1020"/>
      <c r="N316" s="1031"/>
      <c r="O316" s="1045"/>
      <c r="P316" s="1041">
        <v>450</v>
      </c>
      <c r="Q316" s="1041">
        <f t="shared" si="128"/>
        <v>450</v>
      </c>
      <c r="R316" s="54">
        <f t="shared" si="127"/>
        <v>450</v>
      </c>
      <c r="S316" s="54"/>
      <c r="T316" s="1095">
        <v>450</v>
      </c>
      <c r="U316" s="1095">
        <v>450</v>
      </c>
      <c r="V316" s="54"/>
      <c r="W316" s="54"/>
      <c r="X316" s="1095">
        <v>450</v>
      </c>
      <c r="Y316" s="1095">
        <v>450</v>
      </c>
      <c r="Z316" s="1020"/>
      <c r="AA316" s="1020"/>
      <c r="AB316" s="1020"/>
      <c r="AC316" s="1020"/>
      <c r="AD316" s="1020"/>
      <c r="AE316" s="1020"/>
      <c r="AF316" s="1020"/>
      <c r="AG316" s="1020"/>
      <c r="AH316" s="1020"/>
      <c r="AI316" s="1020"/>
      <c r="AJ316" s="1020"/>
      <c r="AK316" s="1020"/>
      <c r="AL316" s="1107"/>
      <c r="AM316" s="1009">
        <f t="shared" si="125"/>
        <v>0</v>
      </c>
      <c r="AN316" s="1009">
        <f t="shared" si="126"/>
        <v>1</v>
      </c>
      <c r="AO316" s="144">
        <f t="shared" si="129"/>
        <v>1</v>
      </c>
    </row>
    <row r="317" spans="1:41" ht="82.5" hidden="1" x14ac:dyDescent="0.25">
      <c r="A317" s="61">
        <v>92</v>
      </c>
      <c r="B317" s="61"/>
      <c r="C317" s="1038" t="s">
        <v>1392</v>
      </c>
      <c r="D317" s="1024" t="s">
        <v>1379</v>
      </c>
      <c r="E317" s="1039" t="s">
        <v>1391</v>
      </c>
      <c r="F317" s="1024" t="s">
        <v>461</v>
      </c>
      <c r="G317" s="1024" t="s">
        <v>1390</v>
      </c>
      <c r="H317" s="1023">
        <v>351</v>
      </c>
      <c r="I317" s="1105">
        <f t="shared" si="121"/>
        <v>351</v>
      </c>
      <c r="J317" s="1020"/>
      <c r="K317" s="1020"/>
      <c r="L317" s="1020"/>
      <c r="M317" s="1020"/>
      <c r="N317" s="1031"/>
      <c r="O317" s="1045"/>
      <c r="P317" s="1041">
        <v>290</v>
      </c>
      <c r="Q317" s="1041">
        <f t="shared" si="128"/>
        <v>290</v>
      </c>
      <c r="R317" s="54">
        <f t="shared" si="127"/>
        <v>290</v>
      </c>
      <c r="S317" s="54"/>
      <c r="T317" s="1095">
        <v>290</v>
      </c>
      <c r="U317" s="1095">
        <v>290</v>
      </c>
      <c r="V317" s="54"/>
      <c r="W317" s="54"/>
      <c r="X317" s="1095">
        <v>290</v>
      </c>
      <c r="Y317" s="1095">
        <v>290</v>
      </c>
      <c r="Z317" s="1020"/>
      <c r="AA317" s="1020"/>
      <c r="AB317" s="1020"/>
      <c r="AC317" s="1020"/>
      <c r="AD317" s="1020"/>
      <c r="AE317" s="1020"/>
      <c r="AF317" s="1020"/>
      <c r="AG317" s="1020"/>
      <c r="AH317" s="1020"/>
      <c r="AI317" s="1020"/>
      <c r="AJ317" s="1020"/>
      <c r="AK317" s="1020"/>
      <c r="AL317" s="1107"/>
      <c r="AM317" s="1009">
        <f t="shared" si="125"/>
        <v>0</v>
      </c>
      <c r="AN317" s="1009">
        <f t="shared" si="126"/>
        <v>1</v>
      </c>
      <c r="AO317" s="144">
        <f t="shared" si="129"/>
        <v>1</v>
      </c>
    </row>
    <row r="318" spans="1:41" ht="82.5" hidden="1" x14ac:dyDescent="0.25">
      <c r="A318" s="61">
        <v>93</v>
      </c>
      <c r="B318" s="61"/>
      <c r="C318" s="1038" t="s">
        <v>1389</v>
      </c>
      <c r="D318" s="1024" t="s">
        <v>1379</v>
      </c>
      <c r="E318" s="1039" t="s">
        <v>1388</v>
      </c>
      <c r="F318" s="1024" t="s">
        <v>461</v>
      </c>
      <c r="G318" s="1024" t="s">
        <v>1387</v>
      </c>
      <c r="H318" s="1023">
        <v>398</v>
      </c>
      <c r="I318" s="1105">
        <f t="shared" si="121"/>
        <v>398</v>
      </c>
      <c r="J318" s="1020"/>
      <c r="K318" s="1020"/>
      <c r="L318" s="1020"/>
      <c r="M318" s="1020"/>
      <c r="N318" s="1031"/>
      <c r="O318" s="1045"/>
      <c r="P318" s="1041">
        <v>330</v>
      </c>
      <c r="Q318" s="1041">
        <f t="shared" si="128"/>
        <v>330</v>
      </c>
      <c r="R318" s="54">
        <f t="shared" si="127"/>
        <v>330</v>
      </c>
      <c r="S318" s="54"/>
      <c r="T318" s="1095">
        <v>330</v>
      </c>
      <c r="U318" s="1095">
        <v>330</v>
      </c>
      <c r="V318" s="54"/>
      <c r="W318" s="54"/>
      <c r="X318" s="1095">
        <v>330</v>
      </c>
      <c r="Y318" s="1095">
        <v>330</v>
      </c>
      <c r="Z318" s="1020"/>
      <c r="AA318" s="1020"/>
      <c r="AB318" s="1020"/>
      <c r="AC318" s="1020"/>
      <c r="AD318" s="1020"/>
      <c r="AE318" s="1020"/>
      <c r="AF318" s="1020"/>
      <c r="AG318" s="1020"/>
      <c r="AH318" s="1020"/>
      <c r="AI318" s="1020"/>
      <c r="AJ318" s="1020"/>
      <c r="AK318" s="1020"/>
      <c r="AL318" s="1107"/>
      <c r="AM318" s="1009">
        <f t="shared" si="125"/>
        <v>0</v>
      </c>
      <c r="AN318" s="1009">
        <f t="shared" si="126"/>
        <v>1</v>
      </c>
      <c r="AO318" s="144">
        <f t="shared" si="129"/>
        <v>1</v>
      </c>
    </row>
    <row r="319" spans="1:41" ht="82.5" hidden="1" x14ac:dyDescent="0.25">
      <c r="A319" s="61">
        <v>94</v>
      </c>
      <c r="B319" s="61"/>
      <c r="C319" s="1038" t="s">
        <v>1386</v>
      </c>
      <c r="D319" s="1024" t="s">
        <v>1379</v>
      </c>
      <c r="E319" s="1039" t="s">
        <v>1385</v>
      </c>
      <c r="F319" s="1024" t="s">
        <v>461</v>
      </c>
      <c r="G319" s="1024" t="s">
        <v>1384</v>
      </c>
      <c r="H319" s="1023">
        <v>324</v>
      </c>
      <c r="I319" s="1105">
        <f t="shared" si="121"/>
        <v>324</v>
      </c>
      <c r="J319" s="1020"/>
      <c r="K319" s="1020"/>
      <c r="L319" s="1020"/>
      <c r="M319" s="1020"/>
      <c r="N319" s="1031"/>
      <c r="O319" s="1045"/>
      <c r="P319" s="1041">
        <v>270</v>
      </c>
      <c r="Q319" s="1041">
        <f t="shared" si="128"/>
        <v>270</v>
      </c>
      <c r="R319" s="54">
        <f t="shared" si="127"/>
        <v>270</v>
      </c>
      <c r="S319" s="54"/>
      <c r="T319" s="1095">
        <v>270</v>
      </c>
      <c r="U319" s="1095">
        <v>270</v>
      </c>
      <c r="V319" s="54"/>
      <c r="W319" s="54"/>
      <c r="X319" s="1095">
        <v>270</v>
      </c>
      <c r="Y319" s="1095">
        <v>270</v>
      </c>
      <c r="Z319" s="1020"/>
      <c r="AA319" s="1020"/>
      <c r="AB319" s="1020"/>
      <c r="AC319" s="1020"/>
      <c r="AD319" s="1020"/>
      <c r="AE319" s="1020"/>
      <c r="AF319" s="1020"/>
      <c r="AG319" s="1020"/>
      <c r="AH319" s="1020"/>
      <c r="AI319" s="1020"/>
      <c r="AJ319" s="1020"/>
      <c r="AK319" s="1020"/>
      <c r="AL319" s="1107"/>
      <c r="AM319" s="1009">
        <f t="shared" si="125"/>
        <v>0</v>
      </c>
      <c r="AN319" s="1009">
        <f t="shared" si="126"/>
        <v>1</v>
      </c>
      <c r="AO319" s="144">
        <f t="shared" si="129"/>
        <v>1</v>
      </c>
    </row>
    <row r="320" spans="1:41" ht="82.5" hidden="1" x14ac:dyDescent="0.25">
      <c r="A320" s="61">
        <v>95</v>
      </c>
      <c r="B320" s="61"/>
      <c r="C320" s="1038" t="s">
        <v>1383</v>
      </c>
      <c r="D320" s="1024" t="s">
        <v>1379</v>
      </c>
      <c r="E320" s="1039" t="s">
        <v>1382</v>
      </c>
      <c r="F320" s="1024" t="s">
        <v>461</v>
      </c>
      <c r="G320" s="1024" t="s">
        <v>1381</v>
      </c>
      <c r="H320" s="1023">
        <v>161</v>
      </c>
      <c r="I320" s="1105">
        <f t="shared" si="121"/>
        <v>161</v>
      </c>
      <c r="J320" s="1020"/>
      <c r="K320" s="1020"/>
      <c r="L320" s="1020"/>
      <c r="M320" s="1020"/>
      <c r="N320" s="1031"/>
      <c r="O320" s="1045"/>
      <c r="P320" s="1041">
        <v>130</v>
      </c>
      <c r="Q320" s="1041">
        <f t="shared" si="128"/>
        <v>130</v>
      </c>
      <c r="R320" s="54">
        <f t="shared" si="127"/>
        <v>130</v>
      </c>
      <c r="S320" s="54"/>
      <c r="T320" s="1095">
        <v>130</v>
      </c>
      <c r="U320" s="1095">
        <v>130</v>
      </c>
      <c r="V320" s="54"/>
      <c r="W320" s="54"/>
      <c r="X320" s="1095">
        <v>130</v>
      </c>
      <c r="Y320" s="1095">
        <v>130</v>
      </c>
      <c r="Z320" s="1020"/>
      <c r="AA320" s="1020"/>
      <c r="AB320" s="1020"/>
      <c r="AC320" s="1020"/>
      <c r="AD320" s="1020"/>
      <c r="AE320" s="1020"/>
      <c r="AF320" s="1020"/>
      <c r="AG320" s="1020"/>
      <c r="AH320" s="1020"/>
      <c r="AI320" s="1020"/>
      <c r="AJ320" s="1020"/>
      <c r="AK320" s="1020"/>
      <c r="AL320" s="1107"/>
      <c r="AM320" s="1009">
        <f t="shared" si="125"/>
        <v>0</v>
      </c>
      <c r="AN320" s="1009">
        <f t="shared" si="126"/>
        <v>1</v>
      </c>
      <c r="AO320" s="144">
        <f t="shared" si="129"/>
        <v>1</v>
      </c>
    </row>
    <row r="321" spans="1:54" ht="82.5" hidden="1" x14ac:dyDescent="0.25">
      <c r="A321" s="61">
        <v>96</v>
      </c>
      <c r="B321" s="61"/>
      <c r="C321" s="1038" t="s">
        <v>1380</v>
      </c>
      <c r="D321" s="1024" t="s">
        <v>1379</v>
      </c>
      <c r="E321" s="1039" t="s">
        <v>1378</v>
      </c>
      <c r="F321" s="1024" t="s">
        <v>461</v>
      </c>
      <c r="G321" s="1024" t="s">
        <v>1377</v>
      </c>
      <c r="H321" s="1023">
        <v>162</v>
      </c>
      <c r="I321" s="1105">
        <f t="shared" si="121"/>
        <v>162</v>
      </c>
      <c r="J321" s="1020"/>
      <c r="K321" s="1020"/>
      <c r="L321" s="1020"/>
      <c r="M321" s="1020"/>
      <c r="N321" s="1031"/>
      <c r="O321" s="1045"/>
      <c r="P321" s="1041">
        <v>130</v>
      </c>
      <c r="Q321" s="1041">
        <f t="shared" si="128"/>
        <v>130</v>
      </c>
      <c r="R321" s="54">
        <f t="shared" si="127"/>
        <v>130</v>
      </c>
      <c r="S321" s="54"/>
      <c r="T321" s="1095">
        <v>130</v>
      </c>
      <c r="U321" s="1095">
        <v>130</v>
      </c>
      <c r="V321" s="54"/>
      <c r="W321" s="54"/>
      <c r="X321" s="1095">
        <v>130</v>
      </c>
      <c r="Y321" s="1095">
        <v>130</v>
      </c>
      <c r="Z321" s="1020"/>
      <c r="AA321" s="1020"/>
      <c r="AB321" s="1020"/>
      <c r="AC321" s="1020"/>
      <c r="AD321" s="1020"/>
      <c r="AE321" s="1020"/>
      <c r="AF321" s="1020"/>
      <c r="AG321" s="1020"/>
      <c r="AH321" s="1020"/>
      <c r="AI321" s="1020"/>
      <c r="AJ321" s="1020"/>
      <c r="AK321" s="1020"/>
      <c r="AL321" s="1107"/>
      <c r="AM321" s="1009">
        <f t="shared" si="125"/>
        <v>0</v>
      </c>
      <c r="AN321" s="1009">
        <f t="shared" si="126"/>
        <v>1</v>
      </c>
      <c r="AO321" s="144">
        <f t="shared" si="129"/>
        <v>1</v>
      </c>
    </row>
    <row r="322" spans="1:54" ht="82.5" hidden="1" x14ac:dyDescent="0.25">
      <c r="A322" s="61">
        <v>97</v>
      </c>
      <c r="B322" s="61"/>
      <c r="C322" s="1038" t="s">
        <v>1376</v>
      </c>
      <c r="D322" s="1024" t="s">
        <v>1355</v>
      </c>
      <c r="E322" s="1039" t="s">
        <v>1375</v>
      </c>
      <c r="F322" s="1024" t="s">
        <v>461</v>
      </c>
      <c r="G322" s="1024" t="s">
        <v>1374</v>
      </c>
      <c r="H322" s="1023">
        <v>427</v>
      </c>
      <c r="I322" s="1105">
        <f t="shared" si="121"/>
        <v>427</v>
      </c>
      <c r="J322" s="1020"/>
      <c r="K322" s="1020"/>
      <c r="L322" s="1020"/>
      <c r="M322" s="1020"/>
      <c r="N322" s="1031"/>
      <c r="O322" s="1045"/>
      <c r="P322" s="1041">
        <v>340</v>
      </c>
      <c r="Q322" s="1041">
        <f t="shared" si="128"/>
        <v>340</v>
      </c>
      <c r="R322" s="54">
        <f t="shared" si="127"/>
        <v>340</v>
      </c>
      <c r="S322" s="54"/>
      <c r="T322" s="1095">
        <v>340</v>
      </c>
      <c r="U322" s="1095">
        <v>340</v>
      </c>
      <c r="V322" s="54"/>
      <c r="W322" s="54"/>
      <c r="X322" s="1095">
        <v>340</v>
      </c>
      <c r="Y322" s="1095">
        <v>340</v>
      </c>
      <c r="Z322" s="1020"/>
      <c r="AA322" s="1020"/>
      <c r="AB322" s="1020"/>
      <c r="AC322" s="1020"/>
      <c r="AD322" s="1020"/>
      <c r="AE322" s="1020"/>
      <c r="AF322" s="1020"/>
      <c r="AG322" s="1020"/>
      <c r="AH322" s="1020"/>
      <c r="AI322" s="1020"/>
      <c r="AJ322" s="1020"/>
      <c r="AK322" s="1020"/>
      <c r="AL322" s="1107"/>
      <c r="AM322" s="1009">
        <f t="shared" si="125"/>
        <v>0</v>
      </c>
      <c r="AN322" s="1009">
        <f t="shared" si="126"/>
        <v>1</v>
      </c>
      <c r="AO322" s="144">
        <f t="shared" si="129"/>
        <v>1</v>
      </c>
    </row>
    <row r="323" spans="1:54" ht="82.5" hidden="1" x14ac:dyDescent="0.25">
      <c r="A323" s="61">
        <v>98</v>
      </c>
      <c r="B323" s="61"/>
      <c r="C323" s="1038" t="s">
        <v>1373</v>
      </c>
      <c r="D323" s="1024" t="s">
        <v>1372</v>
      </c>
      <c r="E323" s="1039"/>
      <c r="F323" s="1024" t="s">
        <v>461</v>
      </c>
      <c r="G323" s="1024" t="s">
        <v>1371</v>
      </c>
      <c r="H323" s="1023">
        <v>2715</v>
      </c>
      <c r="I323" s="1105">
        <f t="shared" si="121"/>
        <v>2715</v>
      </c>
      <c r="J323" s="1020"/>
      <c r="K323" s="1020"/>
      <c r="L323" s="1020"/>
      <c r="M323" s="1020"/>
      <c r="N323" s="1031"/>
      <c r="O323" s="1045"/>
      <c r="P323" s="1041">
        <v>2200</v>
      </c>
      <c r="Q323" s="1041">
        <f t="shared" si="128"/>
        <v>2200</v>
      </c>
      <c r="R323" s="54">
        <f t="shared" si="127"/>
        <v>2200</v>
      </c>
      <c r="S323" s="54"/>
      <c r="T323" s="1095">
        <v>2200</v>
      </c>
      <c r="U323" s="1095">
        <v>2200</v>
      </c>
      <c r="V323" s="54"/>
      <c r="W323" s="54"/>
      <c r="X323" s="1095">
        <v>2200</v>
      </c>
      <c r="Y323" s="1095">
        <v>2200</v>
      </c>
      <c r="Z323" s="1020"/>
      <c r="AA323" s="1020"/>
      <c r="AB323" s="1020"/>
      <c r="AC323" s="1020"/>
      <c r="AD323" s="1020"/>
      <c r="AE323" s="1020"/>
      <c r="AF323" s="1020"/>
      <c r="AG323" s="1020"/>
      <c r="AH323" s="1020"/>
      <c r="AI323" s="1020"/>
      <c r="AJ323" s="1020"/>
      <c r="AK323" s="1020"/>
      <c r="AL323" s="1107"/>
      <c r="AM323" s="1009">
        <f t="shared" si="125"/>
        <v>0</v>
      </c>
      <c r="AN323" s="1009">
        <f t="shared" si="126"/>
        <v>1</v>
      </c>
      <c r="AO323" s="144">
        <f t="shared" si="129"/>
        <v>1</v>
      </c>
    </row>
    <row r="324" spans="1:54" ht="82.5" hidden="1" x14ac:dyDescent="0.25">
      <c r="A324" s="61">
        <v>99</v>
      </c>
      <c r="B324" s="61"/>
      <c r="C324" s="1038" t="s">
        <v>1370</v>
      </c>
      <c r="D324" s="1024" t="s">
        <v>1369</v>
      </c>
      <c r="E324" s="1039"/>
      <c r="F324" s="1024" t="s">
        <v>461</v>
      </c>
      <c r="G324" s="1024" t="s">
        <v>1368</v>
      </c>
      <c r="H324" s="1023">
        <v>2307</v>
      </c>
      <c r="I324" s="1105">
        <f t="shared" si="121"/>
        <v>2307</v>
      </c>
      <c r="J324" s="1020"/>
      <c r="K324" s="1020"/>
      <c r="L324" s="1020"/>
      <c r="M324" s="1020"/>
      <c r="N324" s="1031"/>
      <c r="O324" s="1045"/>
      <c r="P324" s="1041">
        <v>1870</v>
      </c>
      <c r="Q324" s="1041">
        <f t="shared" si="128"/>
        <v>1870</v>
      </c>
      <c r="R324" s="54">
        <f t="shared" si="127"/>
        <v>1870</v>
      </c>
      <c r="S324" s="54"/>
      <c r="T324" s="1095">
        <v>1870</v>
      </c>
      <c r="U324" s="1095">
        <v>1870</v>
      </c>
      <c r="V324" s="54"/>
      <c r="W324" s="54"/>
      <c r="X324" s="1095">
        <v>1870</v>
      </c>
      <c r="Y324" s="1095">
        <v>1870</v>
      </c>
      <c r="Z324" s="1020"/>
      <c r="AA324" s="1020"/>
      <c r="AB324" s="1020"/>
      <c r="AC324" s="1020"/>
      <c r="AD324" s="1020"/>
      <c r="AE324" s="1020"/>
      <c r="AF324" s="1020"/>
      <c r="AG324" s="1020"/>
      <c r="AH324" s="1020"/>
      <c r="AI324" s="1020"/>
      <c r="AJ324" s="1020"/>
      <c r="AK324" s="1020"/>
      <c r="AL324" s="1107"/>
      <c r="AM324" s="1009">
        <f t="shared" si="125"/>
        <v>0</v>
      </c>
      <c r="AN324" s="1009">
        <f t="shared" si="126"/>
        <v>1</v>
      </c>
      <c r="AO324" s="144">
        <f t="shared" si="129"/>
        <v>1</v>
      </c>
    </row>
    <row r="325" spans="1:54" ht="66" hidden="1" x14ac:dyDescent="0.25">
      <c r="A325" s="61">
        <v>100</v>
      </c>
      <c r="B325" s="61"/>
      <c r="C325" s="1038" t="s">
        <v>1367</v>
      </c>
      <c r="D325" s="1024" t="s">
        <v>1366</v>
      </c>
      <c r="E325" s="1039"/>
      <c r="F325" s="1024" t="s">
        <v>290</v>
      </c>
      <c r="G325" s="1024"/>
      <c r="H325" s="1023">
        <v>34000</v>
      </c>
      <c r="I325" s="1105">
        <f t="shared" si="121"/>
        <v>34000</v>
      </c>
      <c r="J325" s="1020"/>
      <c r="K325" s="1020"/>
      <c r="L325" s="1020"/>
      <c r="M325" s="1020"/>
      <c r="N325" s="1031"/>
      <c r="O325" s="1045"/>
      <c r="P325" s="1049">
        <v>14900</v>
      </c>
      <c r="Q325" s="1049">
        <f t="shared" si="128"/>
        <v>14900</v>
      </c>
      <c r="R325" s="54">
        <f t="shared" si="127"/>
        <v>14900</v>
      </c>
      <c r="S325" s="54"/>
      <c r="T325" s="1108">
        <v>14900</v>
      </c>
      <c r="U325" s="1108">
        <v>14900</v>
      </c>
      <c r="V325" s="54"/>
      <c r="W325" s="54"/>
      <c r="X325" s="1108">
        <v>14900</v>
      </c>
      <c r="Y325" s="1108">
        <v>14900</v>
      </c>
      <c r="Z325" s="1020"/>
      <c r="AA325" s="1020"/>
      <c r="AB325" s="1020"/>
      <c r="AC325" s="1020"/>
      <c r="AD325" s="1020"/>
      <c r="AE325" s="1020"/>
      <c r="AF325" s="1020"/>
      <c r="AG325" s="1020"/>
      <c r="AH325" s="1020"/>
      <c r="AI325" s="1020"/>
      <c r="AJ325" s="1020"/>
      <c r="AK325" s="1020"/>
      <c r="AL325" s="1107"/>
      <c r="AM325" s="1009">
        <f t="shared" si="125"/>
        <v>0</v>
      </c>
      <c r="AN325" s="1009">
        <f t="shared" si="126"/>
        <v>1</v>
      </c>
      <c r="AO325" s="144">
        <f t="shared" si="129"/>
        <v>1</v>
      </c>
    </row>
    <row r="326" spans="1:54" ht="49.5" hidden="1" x14ac:dyDescent="0.25">
      <c r="A326" s="61">
        <v>101</v>
      </c>
      <c r="B326" s="61"/>
      <c r="C326" s="1038" t="s">
        <v>1365</v>
      </c>
      <c r="D326" s="1024" t="s">
        <v>1364</v>
      </c>
      <c r="E326" s="1039"/>
      <c r="F326" s="1024" t="s">
        <v>290</v>
      </c>
      <c r="G326" s="1024"/>
      <c r="H326" s="1023">
        <v>3000</v>
      </c>
      <c r="I326" s="1105">
        <f t="shared" si="121"/>
        <v>3000</v>
      </c>
      <c r="J326" s="1020"/>
      <c r="K326" s="1020"/>
      <c r="L326" s="1020"/>
      <c r="M326" s="1020"/>
      <c r="N326" s="1031"/>
      <c r="O326" s="1045"/>
      <c r="P326" s="1041">
        <v>1790</v>
      </c>
      <c r="Q326" s="1041">
        <f t="shared" si="128"/>
        <v>1790</v>
      </c>
      <c r="R326" s="54">
        <f t="shared" si="127"/>
        <v>1790</v>
      </c>
      <c r="S326" s="54"/>
      <c r="T326" s="1095">
        <v>1790</v>
      </c>
      <c r="U326" s="1095">
        <v>1790</v>
      </c>
      <c r="V326" s="54"/>
      <c r="W326" s="54"/>
      <c r="X326" s="1095">
        <v>1790</v>
      </c>
      <c r="Y326" s="1095">
        <v>1790</v>
      </c>
      <c r="Z326" s="1020"/>
      <c r="AA326" s="1020"/>
      <c r="AB326" s="1020"/>
      <c r="AC326" s="1020"/>
      <c r="AD326" s="1020"/>
      <c r="AE326" s="1020"/>
      <c r="AF326" s="1020"/>
      <c r="AG326" s="1020"/>
      <c r="AH326" s="1020"/>
      <c r="AI326" s="1020"/>
      <c r="AJ326" s="1020"/>
      <c r="AK326" s="1020"/>
      <c r="AL326" s="1107"/>
      <c r="AM326" s="1009">
        <f t="shared" si="125"/>
        <v>0</v>
      </c>
      <c r="AN326" s="1009">
        <f t="shared" si="126"/>
        <v>1</v>
      </c>
      <c r="AO326" s="144">
        <f t="shared" si="129"/>
        <v>1</v>
      </c>
    </row>
    <row r="327" spans="1:54" ht="66" hidden="1" x14ac:dyDescent="0.25">
      <c r="A327" s="61">
        <v>102</v>
      </c>
      <c r="B327" s="61"/>
      <c r="C327" s="1038" t="s">
        <v>1363</v>
      </c>
      <c r="D327" s="1024" t="s">
        <v>1359</v>
      </c>
      <c r="E327" s="1039"/>
      <c r="F327" s="1024" t="s">
        <v>290</v>
      </c>
      <c r="G327" s="1024"/>
      <c r="H327" s="1023">
        <v>5696.4329192546584</v>
      </c>
      <c r="I327" s="1105">
        <f t="shared" si="121"/>
        <v>5696.4329192546584</v>
      </c>
      <c r="J327" s="1020"/>
      <c r="K327" s="1020"/>
      <c r="L327" s="1020"/>
      <c r="M327" s="1020"/>
      <c r="N327" s="1031"/>
      <c r="O327" s="1045"/>
      <c r="P327" s="1049">
        <v>3390</v>
      </c>
      <c r="Q327" s="1049">
        <f t="shared" si="128"/>
        <v>3390</v>
      </c>
      <c r="R327" s="54">
        <f t="shared" si="127"/>
        <v>3390</v>
      </c>
      <c r="S327" s="54"/>
      <c r="T327" s="1108">
        <v>3390</v>
      </c>
      <c r="U327" s="1108">
        <v>3390</v>
      </c>
      <c r="V327" s="54"/>
      <c r="W327" s="54"/>
      <c r="X327" s="1108">
        <f>Y327</f>
        <v>3390</v>
      </c>
      <c r="Y327" s="1108">
        <f>U327-W327</f>
        <v>3390</v>
      </c>
      <c r="Z327" s="1020"/>
      <c r="AA327" s="1020"/>
      <c r="AB327" s="1020"/>
      <c r="AC327" s="1020"/>
      <c r="AD327" s="1020"/>
      <c r="AE327" s="1020"/>
      <c r="AF327" s="1020"/>
      <c r="AG327" s="1020"/>
      <c r="AH327" s="1020"/>
      <c r="AI327" s="1020"/>
      <c r="AJ327" s="1020"/>
      <c r="AK327" s="1020"/>
      <c r="AL327" s="1093"/>
      <c r="AM327" s="1009">
        <f t="shared" si="125"/>
        <v>0</v>
      </c>
      <c r="AN327" s="1009">
        <f t="shared" si="126"/>
        <v>1</v>
      </c>
      <c r="AO327" s="144">
        <f t="shared" si="129"/>
        <v>1</v>
      </c>
    </row>
    <row r="328" spans="1:54" s="1323" customFormat="1" ht="99" hidden="1" x14ac:dyDescent="0.25">
      <c r="A328" s="1">
        <v>103</v>
      </c>
      <c r="B328" s="1">
        <v>1</v>
      </c>
      <c r="C328" s="351" t="s">
        <v>1362</v>
      </c>
      <c r="D328" s="424" t="s">
        <v>1361</v>
      </c>
      <c r="E328" s="335"/>
      <c r="F328" s="424" t="s">
        <v>290</v>
      </c>
      <c r="G328" s="424"/>
      <c r="H328" s="992">
        <v>8510</v>
      </c>
      <c r="I328" s="1234">
        <f t="shared" si="121"/>
        <v>8510</v>
      </c>
      <c r="J328" s="1082"/>
      <c r="K328" s="1082"/>
      <c r="L328" s="1082"/>
      <c r="M328" s="1082"/>
      <c r="N328" s="1109">
        <v>5200</v>
      </c>
      <c r="O328" s="1235">
        <v>5200</v>
      </c>
      <c r="P328" s="347">
        <v>5200</v>
      </c>
      <c r="Q328" s="347">
        <f t="shared" si="128"/>
        <v>5200</v>
      </c>
      <c r="R328" s="8">
        <f t="shared" si="127"/>
        <v>0</v>
      </c>
      <c r="S328" s="8"/>
      <c r="T328" s="482">
        <v>5200</v>
      </c>
      <c r="U328" s="482">
        <v>5200</v>
      </c>
      <c r="V328" s="8"/>
      <c r="W328" s="8">
        <v>5200</v>
      </c>
      <c r="X328" s="482">
        <f>Y328</f>
        <v>0</v>
      </c>
      <c r="Y328" s="482">
        <f>U328-W328</f>
        <v>0</v>
      </c>
      <c r="Z328" s="1082"/>
      <c r="AA328" s="1082"/>
      <c r="AB328" s="1082"/>
      <c r="AC328" s="1082"/>
      <c r="AD328" s="1082"/>
      <c r="AE328" s="1082"/>
      <c r="AF328" s="1082"/>
      <c r="AG328" s="1082"/>
      <c r="AH328" s="1082"/>
      <c r="AI328" s="1082"/>
      <c r="AJ328" s="1082"/>
      <c r="AK328" s="1082"/>
      <c r="AL328" s="1236" t="s">
        <v>2217</v>
      </c>
      <c r="AM328" s="1009">
        <f t="shared" si="125"/>
        <v>1</v>
      </c>
      <c r="AN328" s="1009">
        <f t="shared" si="126"/>
        <v>0</v>
      </c>
      <c r="AO328" s="144">
        <f t="shared" si="129"/>
        <v>1</v>
      </c>
    </row>
    <row r="329" spans="1:54" s="1365" customFormat="1" ht="33" hidden="1" x14ac:dyDescent="0.3">
      <c r="A329" s="1">
        <v>107</v>
      </c>
      <c r="B329" s="152">
        <v>4</v>
      </c>
      <c r="C329" s="153" t="s">
        <v>2414</v>
      </c>
      <c r="D329" s="1" t="s">
        <v>1357</v>
      </c>
      <c r="E329" s="1"/>
      <c r="F329" s="246" t="s">
        <v>290</v>
      </c>
      <c r="G329" s="1"/>
      <c r="H329" s="150">
        <v>5000</v>
      </c>
      <c r="I329" s="4">
        <v>5000</v>
      </c>
      <c r="J329" s="3"/>
      <c r="K329" s="3"/>
      <c r="L329" s="3"/>
      <c r="M329" s="3"/>
      <c r="N329" s="1262"/>
      <c r="O329" s="4"/>
      <c r="P329" s="4"/>
      <c r="Q329" s="4"/>
      <c r="R329" s="4"/>
      <c r="S329" s="4"/>
      <c r="T329" s="4"/>
      <c r="U329" s="4"/>
      <c r="V329" s="4">
        <v>4500</v>
      </c>
      <c r="W329" s="4"/>
      <c r="X329" s="4">
        <f>Y329</f>
        <v>4500</v>
      </c>
      <c r="Y329" s="4">
        <f>V329+U329</f>
        <v>4500</v>
      </c>
      <c r="Z329" s="1263"/>
      <c r="AA329" s="3"/>
      <c r="AB329" s="3"/>
      <c r="AC329" s="3"/>
      <c r="AD329" s="3"/>
      <c r="AE329" s="3"/>
      <c r="AF329" s="3"/>
      <c r="AG329" s="3"/>
      <c r="AH329" s="3"/>
      <c r="AI329" s="3"/>
      <c r="AJ329" s="3"/>
      <c r="AK329" s="3"/>
      <c r="AL329" s="334" t="s">
        <v>980</v>
      </c>
      <c r="AM329" s="933">
        <f t="shared" ref="AM329" si="130">IF(Y329-U329=0,0,1)</f>
        <v>1</v>
      </c>
      <c r="AN329" s="933">
        <f t="shared" ref="AN329" si="131">IF(Y329=0,0,1)</f>
        <v>1</v>
      </c>
      <c r="AO329" s="1333">
        <f t="shared" si="129"/>
        <v>1</v>
      </c>
      <c r="AP329" s="801"/>
      <c r="AQ329" s="1321"/>
      <c r="AR329" s="1321"/>
      <c r="AS329" s="1322"/>
      <c r="AT329" s="1322"/>
      <c r="AU329" s="1322"/>
      <c r="AV329" s="1322"/>
      <c r="AW329" s="1322"/>
      <c r="AX329" s="1322"/>
      <c r="AY329" s="1322"/>
      <c r="AZ329" s="1322"/>
      <c r="BA329" s="1322"/>
      <c r="BB329" s="1322"/>
    </row>
    <row r="330" spans="1:54" s="1323" customFormat="1" ht="33" hidden="1" x14ac:dyDescent="0.25">
      <c r="A330" s="1">
        <v>108</v>
      </c>
      <c r="B330" s="1">
        <v>2</v>
      </c>
      <c r="C330" s="351" t="s">
        <v>2425</v>
      </c>
      <c r="D330" s="424" t="s">
        <v>1355</v>
      </c>
      <c r="E330" s="335"/>
      <c r="F330" s="424" t="s">
        <v>290</v>
      </c>
      <c r="G330" s="424"/>
      <c r="H330" s="992">
        <f>I330</f>
        <v>9600</v>
      </c>
      <c r="I330" s="1234">
        <v>9600</v>
      </c>
      <c r="J330" s="1082"/>
      <c r="K330" s="1082"/>
      <c r="L330" s="1082"/>
      <c r="M330" s="1082"/>
      <c r="N330" s="1109"/>
      <c r="O330" s="1235"/>
      <c r="P330" s="347"/>
      <c r="Q330" s="347"/>
      <c r="R330" s="8"/>
      <c r="S330" s="8"/>
      <c r="T330" s="482"/>
      <c r="U330" s="482"/>
      <c r="V330" s="8">
        <v>8600</v>
      </c>
      <c r="W330" s="8"/>
      <c r="X330" s="482">
        <f>Y330</f>
        <v>8600</v>
      </c>
      <c r="Y330" s="482">
        <f>V330+U330</f>
        <v>8600</v>
      </c>
      <c r="Z330" s="1082"/>
      <c r="AA330" s="1082"/>
      <c r="AB330" s="1082"/>
      <c r="AC330" s="1082"/>
      <c r="AD330" s="1082"/>
      <c r="AE330" s="1082"/>
      <c r="AF330" s="1082"/>
      <c r="AG330" s="1082"/>
      <c r="AH330" s="1082"/>
      <c r="AI330" s="1082"/>
      <c r="AJ330" s="1082"/>
      <c r="AK330" s="1082"/>
      <c r="AL330" s="1376" t="s">
        <v>84</v>
      </c>
      <c r="AM330" s="933">
        <f t="shared" si="125"/>
        <v>1</v>
      </c>
      <c r="AN330" s="933">
        <f t="shared" si="126"/>
        <v>1</v>
      </c>
      <c r="AO330" s="1333">
        <f t="shared" si="129"/>
        <v>1</v>
      </c>
    </row>
    <row r="331" spans="1:54" ht="51.75" hidden="1" x14ac:dyDescent="0.25">
      <c r="A331" s="50" t="s">
        <v>47</v>
      </c>
      <c r="B331" s="50"/>
      <c r="C331" s="51" t="s">
        <v>2556</v>
      </c>
      <c r="D331" s="57"/>
      <c r="E331" s="57"/>
      <c r="F331" s="57"/>
      <c r="G331" s="57"/>
      <c r="H331" s="1017">
        <f>SUM(H332:H334)</f>
        <v>42509</v>
      </c>
      <c r="I331" s="1017">
        <f t="shared" ref="I331:Y331" si="132">SUM(I332:I334)</f>
        <v>42509</v>
      </c>
      <c r="J331" s="1017">
        <f t="shared" si="132"/>
        <v>0</v>
      </c>
      <c r="K331" s="1017">
        <f t="shared" si="132"/>
        <v>0</v>
      </c>
      <c r="L331" s="1017">
        <f t="shared" si="132"/>
        <v>0</v>
      </c>
      <c r="M331" s="1017">
        <f t="shared" si="132"/>
        <v>0</v>
      </c>
      <c r="N331" s="1017">
        <f t="shared" si="132"/>
        <v>0</v>
      </c>
      <c r="O331" s="1017">
        <f t="shared" si="132"/>
        <v>0</v>
      </c>
      <c r="P331" s="1017">
        <f t="shared" si="132"/>
        <v>14270</v>
      </c>
      <c r="Q331" s="1017">
        <f t="shared" si="132"/>
        <v>14270</v>
      </c>
      <c r="R331" s="1017">
        <f t="shared" si="132"/>
        <v>14270</v>
      </c>
      <c r="S331" s="1017">
        <f t="shared" si="132"/>
        <v>0</v>
      </c>
      <c r="T331" s="1017">
        <f t="shared" si="132"/>
        <v>14270</v>
      </c>
      <c r="U331" s="1017">
        <f t="shared" si="132"/>
        <v>14270</v>
      </c>
      <c r="V331" s="1017">
        <f t="shared" si="132"/>
        <v>0</v>
      </c>
      <c r="W331" s="1017">
        <f t="shared" si="132"/>
        <v>0</v>
      </c>
      <c r="X331" s="1017">
        <f t="shared" si="132"/>
        <v>14270</v>
      </c>
      <c r="Y331" s="1017">
        <f t="shared" si="132"/>
        <v>14270</v>
      </c>
      <c r="Z331" s="1017">
        <f>Z336+Z337+Z338+Z339+Z340+Z341+Z343+Z349+Z355+Z356+Z357+Z358+Z359+Z360+Z361+Z362+Z363+SUM(Z365:Z387)</f>
        <v>0</v>
      </c>
      <c r="AA331" s="1017">
        <f>AA336+AA337+AA338+AA339+AA340+AA341+AA343+AA349+AA355+AA356+AA357+AA358+AA359+AA360+AA361+AA362+AA363+SUM(AA365:AA387)</f>
        <v>0</v>
      </c>
      <c r="AB331" s="1017">
        <f>AB336+AB337+AB338+AB339+AB340+AB341+AB343+AB349+AB355+AB356+AB357+AB358+AB359+AB360+AB361+AB362+AB363+SUM(AB365:AB387)</f>
        <v>42200</v>
      </c>
      <c r="AC331" s="1017">
        <f>AC336+AC337+AC338+AC339+AC340+AC341+AC343+AC349+AC355+AC356+AC357+AC358+AC359+AC360+AC361+AC362+AC363+SUM(AC365:AC387)</f>
        <v>42200</v>
      </c>
      <c r="AD331" s="1016">
        <f t="shared" ref="AD331:AK331" si="133">SUM(AD335:AD364)</f>
        <v>0</v>
      </c>
      <c r="AE331" s="1016">
        <f t="shared" si="133"/>
        <v>0</v>
      </c>
      <c r="AF331" s="1016">
        <f t="shared" si="133"/>
        <v>0</v>
      </c>
      <c r="AG331" s="1016">
        <f t="shared" si="133"/>
        <v>0</v>
      </c>
      <c r="AH331" s="1016">
        <f t="shared" si="133"/>
        <v>0</v>
      </c>
      <c r="AI331" s="1016">
        <f t="shared" si="133"/>
        <v>0</v>
      </c>
      <c r="AJ331" s="1016">
        <f t="shared" si="133"/>
        <v>0</v>
      </c>
      <c r="AK331" s="1016">
        <f t="shared" si="133"/>
        <v>0</v>
      </c>
      <c r="AL331" s="59"/>
      <c r="AM331" s="1009">
        <f t="shared" ref="AM331" si="134">IF(Y331-U331=0,0,1)</f>
        <v>0</v>
      </c>
      <c r="AN331" s="1009">
        <f t="shared" ref="AN331" si="135">IF(Y331=0,0,1)</f>
        <v>1</v>
      </c>
      <c r="AO331" s="144">
        <f t="shared" ref="AO331" si="136">IF(I331-Y331&gt;=0,1,0)</f>
        <v>1</v>
      </c>
    </row>
    <row r="332" spans="1:54" s="1323" customFormat="1" ht="49.5" hidden="1" x14ac:dyDescent="0.25">
      <c r="A332" s="1">
        <v>104</v>
      </c>
      <c r="B332" s="1"/>
      <c r="C332" s="351" t="s">
        <v>1360</v>
      </c>
      <c r="D332" s="424" t="s">
        <v>1359</v>
      </c>
      <c r="E332" s="335" t="s">
        <v>2594</v>
      </c>
      <c r="F332" s="424" t="s">
        <v>168</v>
      </c>
      <c r="G332" s="424" t="s">
        <v>2593</v>
      </c>
      <c r="H332" s="992">
        <v>39990</v>
      </c>
      <c r="I332" s="1234">
        <f>H332</f>
        <v>39990</v>
      </c>
      <c r="J332" s="1082"/>
      <c r="K332" s="1082"/>
      <c r="L332" s="1082"/>
      <c r="M332" s="1082"/>
      <c r="N332" s="1109"/>
      <c r="O332" s="1235"/>
      <c r="P332" s="1373">
        <v>13130</v>
      </c>
      <c r="Q332" s="1373">
        <f>P332</f>
        <v>13130</v>
      </c>
      <c r="R332" s="8">
        <f>U332-O332</f>
        <v>13130</v>
      </c>
      <c r="S332" s="8"/>
      <c r="T332" s="1374">
        <v>13130</v>
      </c>
      <c r="U332" s="1374">
        <v>13130</v>
      </c>
      <c r="V332" s="8"/>
      <c r="W332" s="8"/>
      <c r="X332" s="1374">
        <v>13130</v>
      </c>
      <c r="Y332" s="1374">
        <v>13130</v>
      </c>
      <c r="Z332" s="1082"/>
      <c r="AA332" s="1082"/>
      <c r="AB332" s="1082"/>
      <c r="AC332" s="1082"/>
      <c r="AD332" s="1082"/>
      <c r="AE332" s="1082"/>
      <c r="AF332" s="1082"/>
      <c r="AG332" s="1082"/>
      <c r="AH332" s="1082"/>
      <c r="AI332" s="1082"/>
      <c r="AJ332" s="1082"/>
      <c r="AK332" s="1082"/>
      <c r="AL332" s="1375"/>
      <c r="AM332" s="933">
        <f>IF(Y332-U332=0,0,1)</f>
        <v>0</v>
      </c>
      <c r="AN332" s="933">
        <f>IF(Y332=0,0,1)</f>
        <v>1</v>
      </c>
      <c r="AO332" s="1333">
        <f>IF(I332-Y332&gt;=0,1,0)</f>
        <v>1</v>
      </c>
    </row>
    <row r="333" spans="1:54" ht="51" hidden="1" customHeight="1" x14ac:dyDescent="0.25">
      <c r="A333" s="61">
        <v>105</v>
      </c>
      <c r="B333" s="61"/>
      <c r="C333" s="1038" t="s">
        <v>1358</v>
      </c>
      <c r="D333" s="1024" t="s">
        <v>1357</v>
      </c>
      <c r="E333" s="1039"/>
      <c r="F333" s="1024" t="s">
        <v>1354</v>
      </c>
      <c r="G333" s="1024"/>
      <c r="H333" s="1023">
        <v>736</v>
      </c>
      <c r="I333" s="1105">
        <f>H333</f>
        <v>736</v>
      </c>
      <c r="J333" s="1020"/>
      <c r="K333" s="1020"/>
      <c r="L333" s="1020"/>
      <c r="M333" s="1020"/>
      <c r="N333" s="1031"/>
      <c r="O333" s="1045"/>
      <c r="P333" s="1041">
        <v>380</v>
      </c>
      <c r="Q333" s="1041">
        <f>P333</f>
        <v>380</v>
      </c>
      <c r="R333" s="54">
        <f>U333-O333</f>
        <v>380</v>
      </c>
      <c r="S333" s="54"/>
      <c r="T333" s="1095">
        <v>380</v>
      </c>
      <c r="U333" s="1095">
        <v>380</v>
      </c>
      <c r="V333" s="54"/>
      <c r="W333" s="54"/>
      <c r="X333" s="1095">
        <v>380</v>
      </c>
      <c r="Y333" s="1095">
        <v>380</v>
      </c>
      <c r="Z333" s="1020"/>
      <c r="AA333" s="1020"/>
      <c r="AB333" s="1020"/>
      <c r="AC333" s="1020"/>
      <c r="AD333" s="1020"/>
      <c r="AE333" s="1020"/>
      <c r="AF333" s="1020"/>
      <c r="AG333" s="1020"/>
      <c r="AH333" s="1020"/>
      <c r="AI333" s="1020"/>
      <c r="AJ333" s="1020"/>
      <c r="AK333" s="1020"/>
      <c r="AL333" s="1107"/>
      <c r="AM333" s="1009">
        <f>IF(Y333-U333=0,0,1)</f>
        <v>0</v>
      </c>
      <c r="AN333" s="1009">
        <f>IF(Y333=0,0,1)</f>
        <v>1</v>
      </c>
      <c r="AO333" s="144">
        <f>IF(I333-Y333&gt;=0,1,0)</f>
        <v>1</v>
      </c>
    </row>
    <row r="334" spans="1:54" ht="33" hidden="1" x14ac:dyDescent="0.25">
      <c r="A334" s="61">
        <v>106</v>
      </c>
      <c r="B334" s="61"/>
      <c r="C334" s="1038" t="s">
        <v>1356</v>
      </c>
      <c r="D334" s="1024" t="s">
        <v>1355</v>
      </c>
      <c r="E334" s="1039"/>
      <c r="F334" s="1024" t="s">
        <v>1354</v>
      </c>
      <c r="G334" s="1024"/>
      <c r="H334" s="1023">
        <v>1783</v>
      </c>
      <c r="I334" s="1105">
        <f t="shared" ref="I334" si="137">H334</f>
        <v>1783</v>
      </c>
      <c r="J334" s="1020"/>
      <c r="K334" s="1020"/>
      <c r="L334" s="1020"/>
      <c r="M334" s="1020"/>
      <c r="N334" s="1031"/>
      <c r="O334" s="1045"/>
      <c r="P334" s="1041">
        <f>Q334</f>
        <v>760</v>
      </c>
      <c r="Q334" s="1041">
        <v>760</v>
      </c>
      <c r="R334" s="54">
        <f t="shared" ref="R334" si="138">U334-O334</f>
        <v>760</v>
      </c>
      <c r="S334" s="54"/>
      <c r="T334" s="1095">
        <v>760</v>
      </c>
      <c r="U334" s="1095">
        <v>760</v>
      </c>
      <c r="V334" s="54"/>
      <c r="W334" s="54"/>
      <c r="X334" s="1095">
        <v>760</v>
      </c>
      <c r="Y334" s="1095">
        <v>760</v>
      </c>
      <c r="Z334" s="1020"/>
      <c r="AA334" s="1020"/>
      <c r="AB334" s="1020"/>
      <c r="AC334" s="1020"/>
      <c r="AD334" s="1020"/>
      <c r="AE334" s="1020"/>
      <c r="AF334" s="1020"/>
      <c r="AG334" s="1020"/>
      <c r="AH334" s="1020"/>
      <c r="AI334" s="1020"/>
      <c r="AJ334" s="1020"/>
      <c r="AK334" s="1020"/>
      <c r="AL334" s="1107"/>
      <c r="AM334" s="1009">
        <f>IF(Y334-U334=0,0,1)</f>
        <v>0</v>
      </c>
      <c r="AN334" s="1009">
        <f>IF(Y334=0,0,1)</f>
        <v>1</v>
      </c>
      <c r="AO334" s="144">
        <f>IF(I334-Y334&gt;=0,1,0)</f>
        <v>1</v>
      </c>
    </row>
    <row r="335" spans="1:54" ht="29.25" hidden="1" customHeight="1" x14ac:dyDescent="0.25">
      <c r="A335" s="96" t="s">
        <v>399</v>
      </c>
      <c r="B335" s="96"/>
      <c r="C335" s="1339" t="s">
        <v>1086</v>
      </c>
      <c r="D335" s="1212"/>
      <c r="E335" s="1212"/>
      <c r="F335" s="1212"/>
      <c r="G335" s="1340"/>
      <c r="H335" s="1342">
        <f>H336</f>
        <v>246745</v>
      </c>
      <c r="I335" s="1342">
        <f>I336</f>
        <v>246745</v>
      </c>
      <c r="J335" s="1342">
        <f t="shared" ref="J335:Q336" si="139">J336</f>
        <v>0</v>
      </c>
      <c r="K335" s="1342">
        <f t="shared" si="139"/>
        <v>0</v>
      </c>
      <c r="L335" s="1342">
        <f t="shared" si="139"/>
        <v>0</v>
      </c>
      <c r="M335" s="1342">
        <f t="shared" si="139"/>
        <v>0</v>
      </c>
      <c r="N335" s="1342">
        <f t="shared" si="139"/>
        <v>60000</v>
      </c>
      <c r="O335" s="1342">
        <f t="shared" si="139"/>
        <v>60000</v>
      </c>
      <c r="P335" s="1342">
        <f t="shared" si="139"/>
        <v>85000</v>
      </c>
      <c r="Q335" s="1342">
        <f t="shared" si="139"/>
        <v>85000</v>
      </c>
      <c r="R335" s="1342">
        <f t="shared" ref="R335:AK336" si="140">R336</f>
        <v>50180</v>
      </c>
      <c r="S335" s="1342">
        <f t="shared" si="140"/>
        <v>25180</v>
      </c>
      <c r="T335" s="1342">
        <f t="shared" si="140"/>
        <v>85000</v>
      </c>
      <c r="U335" s="1342">
        <f t="shared" si="140"/>
        <v>85000</v>
      </c>
      <c r="V335" s="1342">
        <f t="shared" si="140"/>
        <v>77800</v>
      </c>
      <c r="W335" s="1342">
        <f t="shared" si="140"/>
        <v>0</v>
      </c>
      <c r="X335" s="1342">
        <f t="shared" si="140"/>
        <v>162800</v>
      </c>
      <c r="Y335" s="1342">
        <f t="shared" si="140"/>
        <v>162800</v>
      </c>
      <c r="Z335" s="1342">
        <f t="shared" si="140"/>
        <v>0</v>
      </c>
      <c r="AA335" s="1342">
        <f t="shared" si="140"/>
        <v>0</v>
      </c>
      <c r="AB335" s="1342">
        <f t="shared" si="140"/>
        <v>16000</v>
      </c>
      <c r="AC335" s="1342">
        <f t="shared" si="140"/>
        <v>16000</v>
      </c>
      <c r="AD335" s="1343">
        <f t="shared" ref="AD335:AK335" si="141">AD336</f>
        <v>0</v>
      </c>
      <c r="AE335" s="1343">
        <f t="shared" si="141"/>
        <v>0</v>
      </c>
      <c r="AF335" s="1343">
        <f t="shared" si="141"/>
        <v>0</v>
      </c>
      <c r="AG335" s="1343">
        <f t="shared" si="141"/>
        <v>0</v>
      </c>
      <c r="AH335" s="1343">
        <f t="shared" si="141"/>
        <v>0</v>
      </c>
      <c r="AI335" s="1343">
        <f t="shared" si="141"/>
        <v>0</v>
      </c>
      <c r="AJ335" s="1343">
        <f t="shared" si="141"/>
        <v>0</v>
      </c>
      <c r="AK335" s="1343">
        <f t="shared" si="141"/>
        <v>0</v>
      </c>
      <c r="AL335" s="1029"/>
      <c r="AM335" s="1009">
        <f t="shared" si="125"/>
        <v>1</v>
      </c>
      <c r="AN335" s="1009">
        <f t="shared" si="126"/>
        <v>1</v>
      </c>
      <c r="AO335" s="144">
        <f t="shared" si="129"/>
        <v>1</v>
      </c>
      <c r="AP335" s="144"/>
    </row>
    <row r="336" spans="1:54" ht="34.5" hidden="1" x14ac:dyDescent="0.25">
      <c r="A336" s="1066" t="s">
        <v>85</v>
      </c>
      <c r="B336" s="1066"/>
      <c r="C336" s="51" t="s">
        <v>86</v>
      </c>
      <c r="D336" s="57"/>
      <c r="E336" s="57"/>
      <c r="F336" s="57"/>
      <c r="G336" s="57"/>
      <c r="H336" s="1017">
        <f>H337+H396</f>
        <v>246745</v>
      </c>
      <c r="I336" s="1017">
        <f t="shared" ref="I336:O336" si="142">I337+I396</f>
        <v>246745</v>
      </c>
      <c r="J336" s="1017">
        <f t="shared" si="142"/>
        <v>0</v>
      </c>
      <c r="K336" s="1017">
        <f t="shared" si="142"/>
        <v>0</v>
      </c>
      <c r="L336" s="1017">
        <f t="shared" si="142"/>
        <v>0</v>
      </c>
      <c r="M336" s="1017">
        <f t="shared" si="142"/>
        <v>0</v>
      </c>
      <c r="N336" s="1017">
        <f t="shared" si="142"/>
        <v>60000</v>
      </c>
      <c r="O336" s="1017">
        <f t="shared" si="142"/>
        <v>60000</v>
      </c>
      <c r="P336" s="1017">
        <f t="shared" si="139"/>
        <v>85000</v>
      </c>
      <c r="Q336" s="1017">
        <f t="shared" si="139"/>
        <v>85000</v>
      </c>
      <c r="R336" s="1017">
        <f t="shared" si="140"/>
        <v>50180</v>
      </c>
      <c r="S336" s="1017">
        <f t="shared" si="140"/>
        <v>25180</v>
      </c>
      <c r="T336" s="1017">
        <f t="shared" si="140"/>
        <v>85000</v>
      </c>
      <c r="U336" s="1017">
        <f t="shared" si="140"/>
        <v>85000</v>
      </c>
      <c r="V336" s="1017">
        <f t="shared" ref="V336:Y336" si="143">V337+V396</f>
        <v>77800</v>
      </c>
      <c r="W336" s="1017">
        <f t="shared" si="143"/>
        <v>0</v>
      </c>
      <c r="X336" s="1017">
        <f t="shared" si="143"/>
        <v>162800</v>
      </c>
      <c r="Y336" s="1017">
        <f t="shared" si="143"/>
        <v>162800</v>
      </c>
      <c r="Z336" s="1017">
        <f>Z337</f>
        <v>0</v>
      </c>
      <c r="AA336" s="1017">
        <f>AA337</f>
        <v>0</v>
      </c>
      <c r="AB336" s="1016">
        <f t="shared" si="140"/>
        <v>16000</v>
      </c>
      <c r="AC336" s="1016">
        <f t="shared" si="140"/>
        <v>16000</v>
      </c>
      <c r="AD336" s="1016">
        <f t="shared" si="140"/>
        <v>0</v>
      </c>
      <c r="AE336" s="1016">
        <f t="shared" si="140"/>
        <v>0</v>
      </c>
      <c r="AF336" s="1016">
        <f t="shared" si="140"/>
        <v>0</v>
      </c>
      <c r="AG336" s="1016">
        <f t="shared" si="140"/>
        <v>0</v>
      </c>
      <c r="AH336" s="1016">
        <f t="shared" si="140"/>
        <v>0</v>
      </c>
      <c r="AI336" s="1016">
        <f t="shared" si="140"/>
        <v>0</v>
      </c>
      <c r="AJ336" s="1016">
        <f t="shared" si="140"/>
        <v>0</v>
      </c>
      <c r="AK336" s="1016">
        <f t="shared" si="140"/>
        <v>0</v>
      </c>
      <c r="AL336" s="59"/>
      <c r="AM336" s="1009">
        <f t="shared" si="125"/>
        <v>1</v>
      </c>
      <c r="AN336" s="1009">
        <f t="shared" si="126"/>
        <v>1</v>
      </c>
      <c r="AO336" s="144">
        <f t="shared" si="129"/>
        <v>1</v>
      </c>
    </row>
    <row r="337" spans="1:41" ht="51.75" hidden="1" x14ac:dyDescent="0.25">
      <c r="A337" s="50" t="s">
        <v>87</v>
      </c>
      <c r="B337" s="50"/>
      <c r="C337" s="51" t="s">
        <v>88</v>
      </c>
      <c r="D337" s="57"/>
      <c r="E337" s="57"/>
      <c r="F337" s="57"/>
      <c r="G337" s="57"/>
      <c r="H337" s="1017">
        <f>SUM(H338:H395)</f>
        <v>209746</v>
      </c>
      <c r="I337" s="1017">
        <f t="shared" ref="I337:X337" si="144">SUM(I338:I395)</f>
        <v>209746</v>
      </c>
      <c r="J337" s="1017">
        <f t="shared" si="144"/>
        <v>0</v>
      </c>
      <c r="K337" s="1017">
        <f t="shared" si="144"/>
        <v>0</v>
      </c>
      <c r="L337" s="1017">
        <f t="shared" si="144"/>
        <v>0</v>
      </c>
      <c r="M337" s="1017">
        <f t="shared" si="144"/>
        <v>0</v>
      </c>
      <c r="N337" s="1017">
        <f t="shared" si="144"/>
        <v>60000</v>
      </c>
      <c r="O337" s="1017">
        <f t="shared" si="144"/>
        <v>60000</v>
      </c>
      <c r="P337" s="1017">
        <f t="shared" si="144"/>
        <v>85000</v>
      </c>
      <c r="Q337" s="1017">
        <f t="shared" si="144"/>
        <v>85000</v>
      </c>
      <c r="R337" s="1017">
        <f t="shared" si="144"/>
        <v>50180</v>
      </c>
      <c r="S337" s="1017">
        <f t="shared" si="144"/>
        <v>25180</v>
      </c>
      <c r="T337" s="1017">
        <f t="shared" si="144"/>
        <v>85000</v>
      </c>
      <c r="U337" s="1017">
        <f t="shared" si="144"/>
        <v>85000</v>
      </c>
      <c r="V337" s="1017">
        <f t="shared" si="144"/>
        <v>57800</v>
      </c>
      <c r="W337" s="1017">
        <f t="shared" si="144"/>
        <v>0</v>
      </c>
      <c r="X337" s="1017">
        <f t="shared" si="144"/>
        <v>142800</v>
      </c>
      <c r="Y337" s="1017">
        <f>SUM(Y338:Y395)</f>
        <v>142800</v>
      </c>
      <c r="Z337" s="1017">
        <f>Z339+Z340+Z341+Z342+Z343+Z344+Z346+Z352+Z358+Z359+Z360+Z361+Z362+Z363+Z364+Z365+Z366+SUM(Z368:Z390)</f>
        <v>0</v>
      </c>
      <c r="AA337" s="1017">
        <f>AA339+AA340+AA341+AA342+AA343+AA344+AA346+AA352+AA358+AA359+AA360+AA361+AA362+AA363+AA364+AA365+AA366+SUM(AA368:AA390)</f>
        <v>0</v>
      </c>
      <c r="AB337" s="1017">
        <f>AB339+AB340+AB341+AB342+AB343+AB344+AB346+AB352+AB358+AB359+AB360+AB361+AB362+AB363+AB364+AB365+AB366+SUM(AB368:AB390)</f>
        <v>16000</v>
      </c>
      <c r="AC337" s="1017">
        <f>AC339+AC340+AC341+AC342+AC343+AC344+AC346+AC352+AC358+AC359+AC360+AC361+AC362+AC363+AC364+AC365+AC366+SUM(AC368:AC390)</f>
        <v>16000</v>
      </c>
      <c r="AD337" s="1016">
        <f t="shared" ref="AD337:AK337" si="145">SUM(AD338:AD367)</f>
        <v>0</v>
      </c>
      <c r="AE337" s="1016">
        <f t="shared" si="145"/>
        <v>0</v>
      </c>
      <c r="AF337" s="1016">
        <f t="shared" si="145"/>
        <v>0</v>
      </c>
      <c r="AG337" s="1016">
        <f t="shared" si="145"/>
        <v>0</v>
      </c>
      <c r="AH337" s="1016">
        <f t="shared" si="145"/>
        <v>0</v>
      </c>
      <c r="AI337" s="1016">
        <f t="shared" si="145"/>
        <v>0</v>
      </c>
      <c r="AJ337" s="1016">
        <f t="shared" si="145"/>
        <v>0</v>
      </c>
      <c r="AK337" s="1016">
        <f t="shared" si="145"/>
        <v>0</v>
      </c>
      <c r="AL337" s="59"/>
      <c r="AM337" s="1009">
        <f t="shared" si="125"/>
        <v>1</v>
      </c>
      <c r="AN337" s="1009">
        <f t="shared" si="126"/>
        <v>1</v>
      </c>
      <c r="AO337" s="144">
        <f t="shared" si="129"/>
        <v>1</v>
      </c>
    </row>
    <row r="338" spans="1:41" ht="77.25" hidden="1" customHeight="1" x14ac:dyDescent="0.25">
      <c r="A338" s="1111" t="s">
        <v>1142</v>
      </c>
      <c r="B338" s="1111"/>
      <c r="C338" s="1023" t="s">
        <v>1067</v>
      </c>
      <c r="D338" s="1024" t="s">
        <v>1066</v>
      </c>
      <c r="E338" s="1024" t="s">
        <v>1065</v>
      </c>
      <c r="F338" s="1024" t="s">
        <v>109</v>
      </c>
      <c r="G338" s="1025" t="s">
        <v>1064</v>
      </c>
      <c r="H338" s="63">
        <f t="shared" ref="H338:H344" si="146">I338</f>
        <v>29974</v>
      </c>
      <c r="I338" s="1026">
        <v>29974</v>
      </c>
      <c r="J338" s="1017"/>
      <c r="K338" s="1017"/>
      <c r="L338" s="1017"/>
      <c r="M338" s="1017"/>
      <c r="N338" s="1031">
        <f t="shared" ref="N338:N357" si="147">O338</f>
        <v>15000</v>
      </c>
      <c r="O338" s="63">
        <v>15000</v>
      </c>
      <c r="P338" s="1041">
        <v>15000</v>
      </c>
      <c r="Q338" s="1041">
        <v>15000</v>
      </c>
      <c r="R338" s="54"/>
      <c r="S338" s="54"/>
      <c r="T338" s="1095">
        <v>15000</v>
      </c>
      <c r="U338" s="1095">
        <v>15000</v>
      </c>
      <c r="V338" s="54"/>
      <c r="W338" s="54"/>
      <c r="X338" s="1095">
        <v>15000</v>
      </c>
      <c r="Y338" s="1095">
        <v>15000</v>
      </c>
      <c r="Z338" s="288"/>
      <c r="AA338" s="288"/>
      <c r="AB338" s="288">
        <f t="shared" ref="AB338:AB344" si="148">AC338</f>
        <v>5000</v>
      </c>
      <c r="AC338" s="288">
        <v>5000</v>
      </c>
      <c r="AD338" s="288"/>
      <c r="AE338" s="288"/>
      <c r="AF338" s="288"/>
      <c r="AG338" s="288"/>
      <c r="AH338" s="288"/>
      <c r="AI338" s="288"/>
      <c r="AJ338" s="288"/>
      <c r="AK338" s="288"/>
      <c r="AL338" s="25" t="s">
        <v>1353</v>
      </c>
      <c r="AM338" s="1009">
        <f t="shared" si="125"/>
        <v>0</v>
      </c>
      <c r="AN338" s="1009">
        <f t="shared" si="126"/>
        <v>1</v>
      </c>
      <c r="AO338" s="144">
        <f t="shared" si="129"/>
        <v>1</v>
      </c>
    </row>
    <row r="339" spans="1:41" ht="63.75" hidden="1" customHeight="1" x14ac:dyDescent="0.25">
      <c r="A339" s="1111" t="s">
        <v>56</v>
      </c>
      <c r="B339" s="1111"/>
      <c r="C339" s="1112" t="s">
        <v>1352</v>
      </c>
      <c r="D339" s="1024" t="s">
        <v>1066</v>
      </c>
      <c r="E339" s="1113" t="s">
        <v>1351</v>
      </c>
      <c r="F339" s="1111" t="s">
        <v>938</v>
      </c>
      <c r="G339" s="1024" t="s">
        <v>1350</v>
      </c>
      <c r="H339" s="1114">
        <f t="shared" si="146"/>
        <v>674</v>
      </c>
      <c r="I339" s="1026">
        <v>674</v>
      </c>
      <c r="J339" s="1020"/>
      <c r="K339" s="1020"/>
      <c r="L339" s="1020"/>
      <c r="M339" s="1020"/>
      <c r="N339" s="1031">
        <f t="shared" si="147"/>
        <v>640</v>
      </c>
      <c r="O339" s="1045">
        <v>640</v>
      </c>
      <c r="P339" s="1041">
        <v>640</v>
      </c>
      <c r="Q339" s="1041">
        <v>640</v>
      </c>
      <c r="R339" s="54"/>
      <c r="S339" s="54">
        <f>O339-U339</f>
        <v>110</v>
      </c>
      <c r="T339" s="1095">
        <f>U339</f>
        <v>530</v>
      </c>
      <c r="U339" s="1095">
        <v>530</v>
      </c>
      <c r="V339" s="54"/>
      <c r="W339" s="54"/>
      <c r="X339" s="1095">
        <f>Y339</f>
        <v>530</v>
      </c>
      <c r="Y339" s="1095">
        <v>530</v>
      </c>
      <c r="Z339" s="288"/>
      <c r="AA339" s="288"/>
      <c r="AB339" s="288">
        <f t="shared" si="148"/>
        <v>510</v>
      </c>
      <c r="AC339" s="288">
        <v>510</v>
      </c>
      <c r="AD339" s="288"/>
      <c r="AE339" s="288"/>
      <c r="AF339" s="288"/>
      <c r="AG339" s="288"/>
      <c r="AH339" s="288"/>
      <c r="AI339" s="288"/>
      <c r="AJ339" s="288"/>
      <c r="AK339" s="288"/>
      <c r="AL339" s="25"/>
      <c r="AM339" s="1009">
        <f t="shared" si="125"/>
        <v>0</v>
      </c>
      <c r="AN339" s="1009">
        <f t="shared" si="126"/>
        <v>1</v>
      </c>
      <c r="AO339" s="144">
        <f t="shared" si="129"/>
        <v>1</v>
      </c>
    </row>
    <row r="340" spans="1:41" ht="99" hidden="1" x14ac:dyDescent="0.25">
      <c r="A340" s="1111" t="s">
        <v>1196</v>
      </c>
      <c r="B340" s="1111"/>
      <c r="C340" s="1112" t="s">
        <v>1349</v>
      </c>
      <c r="D340" s="1024" t="s">
        <v>1066</v>
      </c>
      <c r="E340" s="1113" t="s">
        <v>1348</v>
      </c>
      <c r="F340" s="1111" t="s">
        <v>938</v>
      </c>
      <c r="G340" s="1024" t="s">
        <v>1347</v>
      </c>
      <c r="H340" s="1114">
        <f t="shared" si="146"/>
        <v>2240</v>
      </c>
      <c r="I340" s="1026">
        <v>2240</v>
      </c>
      <c r="J340" s="1017"/>
      <c r="K340" s="1017"/>
      <c r="L340" s="1017"/>
      <c r="M340" s="1017"/>
      <c r="N340" s="1031">
        <f t="shared" si="147"/>
        <v>2060</v>
      </c>
      <c r="O340" s="1045">
        <v>2060</v>
      </c>
      <c r="P340" s="1041">
        <v>2060</v>
      </c>
      <c r="Q340" s="1041">
        <v>2060</v>
      </c>
      <c r="R340" s="54"/>
      <c r="S340" s="54">
        <f t="shared" ref="S340:S344" si="149">O340-U340</f>
        <v>150</v>
      </c>
      <c r="T340" s="1095">
        <f t="shared" ref="T340:T390" si="150">U340</f>
        <v>1910</v>
      </c>
      <c r="U340" s="1095">
        <v>1910</v>
      </c>
      <c r="V340" s="54"/>
      <c r="W340" s="54"/>
      <c r="X340" s="1095">
        <f t="shared" ref="X340:X344" si="151">Y340</f>
        <v>1910</v>
      </c>
      <c r="Y340" s="1095">
        <v>1910</v>
      </c>
      <c r="Z340" s="1045"/>
      <c r="AA340" s="1045"/>
      <c r="AB340" s="288">
        <f t="shared" si="148"/>
        <v>1700</v>
      </c>
      <c r="AC340" s="1045">
        <v>1700</v>
      </c>
      <c r="AD340" s="1045"/>
      <c r="AE340" s="1045"/>
      <c r="AF340" s="1045"/>
      <c r="AG340" s="1045"/>
      <c r="AH340" s="1045"/>
      <c r="AI340" s="1045"/>
      <c r="AJ340" s="1045"/>
      <c r="AK340" s="1045"/>
      <c r="AL340" s="25"/>
      <c r="AM340" s="1009">
        <f t="shared" si="125"/>
        <v>0</v>
      </c>
      <c r="AN340" s="1009">
        <f t="shared" si="126"/>
        <v>1</v>
      </c>
      <c r="AO340" s="144">
        <f t="shared" si="129"/>
        <v>1</v>
      </c>
    </row>
    <row r="341" spans="1:41" ht="125.25" hidden="1" customHeight="1" x14ac:dyDescent="0.25">
      <c r="A341" s="1111" t="s">
        <v>1254</v>
      </c>
      <c r="B341" s="1111"/>
      <c r="C341" s="1112" t="s">
        <v>1346</v>
      </c>
      <c r="D341" s="1024" t="s">
        <v>1066</v>
      </c>
      <c r="E341" s="1113" t="s">
        <v>1345</v>
      </c>
      <c r="F341" s="1111" t="s">
        <v>938</v>
      </c>
      <c r="G341" s="1024" t="s">
        <v>1344</v>
      </c>
      <c r="H341" s="1114">
        <f t="shared" si="146"/>
        <v>3211</v>
      </c>
      <c r="I341" s="1026">
        <v>3211</v>
      </c>
      <c r="J341" s="282"/>
      <c r="K341" s="62"/>
      <c r="L341" s="282"/>
      <c r="M341" s="282"/>
      <c r="N341" s="1031">
        <f t="shared" si="147"/>
        <v>2960</v>
      </c>
      <c r="O341" s="1045">
        <v>2960</v>
      </c>
      <c r="P341" s="1048">
        <f>Q341</f>
        <v>3060</v>
      </c>
      <c r="Q341" s="1048">
        <v>3060</v>
      </c>
      <c r="R341" s="54"/>
      <c r="S341" s="54">
        <f t="shared" si="149"/>
        <v>220</v>
      </c>
      <c r="T341" s="1095">
        <f t="shared" si="150"/>
        <v>2740</v>
      </c>
      <c r="U341" s="1095">
        <v>2740</v>
      </c>
      <c r="V341" s="54"/>
      <c r="W341" s="54"/>
      <c r="X341" s="1095">
        <f t="shared" si="151"/>
        <v>2740</v>
      </c>
      <c r="Y341" s="1095">
        <v>2740</v>
      </c>
      <c r="Z341" s="282"/>
      <c r="AA341" s="282"/>
      <c r="AB341" s="288">
        <f t="shared" si="148"/>
        <v>2500</v>
      </c>
      <c r="AC341" s="282">
        <v>2500</v>
      </c>
      <c r="AD341" s="282"/>
      <c r="AE341" s="282"/>
      <c r="AF341" s="282"/>
      <c r="AG341" s="282"/>
      <c r="AH341" s="282"/>
      <c r="AI341" s="282"/>
      <c r="AJ341" s="282"/>
      <c r="AK341" s="282"/>
      <c r="AL341" s="25"/>
      <c r="AM341" s="1009">
        <f t="shared" si="125"/>
        <v>0</v>
      </c>
      <c r="AN341" s="1009">
        <f t="shared" si="126"/>
        <v>1</v>
      </c>
      <c r="AO341" s="144">
        <f t="shared" si="129"/>
        <v>1</v>
      </c>
    </row>
    <row r="342" spans="1:41" ht="54" hidden="1" customHeight="1" x14ac:dyDescent="0.25">
      <c r="A342" s="1111" t="s">
        <v>414</v>
      </c>
      <c r="B342" s="1111"/>
      <c r="C342" s="1112" t="s">
        <v>1343</v>
      </c>
      <c r="D342" s="1024" t="s">
        <v>1066</v>
      </c>
      <c r="E342" s="1113" t="s">
        <v>1342</v>
      </c>
      <c r="F342" s="1111" t="s">
        <v>938</v>
      </c>
      <c r="G342" s="1024" t="s">
        <v>1341</v>
      </c>
      <c r="H342" s="1114">
        <f t="shared" si="146"/>
        <v>986</v>
      </c>
      <c r="I342" s="1026">
        <v>986</v>
      </c>
      <c r="J342" s="282"/>
      <c r="K342" s="62"/>
      <c r="L342" s="282"/>
      <c r="M342" s="282"/>
      <c r="N342" s="1031">
        <f t="shared" si="147"/>
        <v>990</v>
      </c>
      <c r="O342" s="1045">
        <v>990</v>
      </c>
      <c r="P342" s="1048">
        <f>Q342</f>
        <v>900</v>
      </c>
      <c r="Q342" s="1048">
        <v>900</v>
      </c>
      <c r="R342" s="54"/>
      <c r="S342" s="54">
        <f t="shared" si="149"/>
        <v>160</v>
      </c>
      <c r="T342" s="1095">
        <f t="shared" si="150"/>
        <v>830</v>
      </c>
      <c r="U342" s="1095">
        <v>830</v>
      </c>
      <c r="V342" s="54"/>
      <c r="W342" s="54"/>
      <c r="X342" s="1095">
        <f t="shared" si="151"/>
        <v>830</v>
      </c>
      <c r="Y342" s="1095">
        <v>830</v>
      </c>
      <c r="Z342" s="282"/>
      <c r="AA342" s="282"/>
      <c r="AB342" s="288">
        <f t="shared" si="148"/>
        <v>800</v>
      </c>
      <c r="AC342" s="282">
        <v>800</v>
      </c>
      <c r="AD342" s="282"/>
      <c r="AE342" s="282"/>
      <c r="AF342" s="282"/>
      <c r="AG342" s="282"/>
      <c r="AH342" s="282"/>
      <c r="AI342" s="282"/>
      <c r="AJ342" s="282"/>
      <c r="AK342" s="282"/>
      <c r="AL342" s="25"/>
      <c r="AM342" s="1009">
        <f t="shared" si="125"/>
        <v>0</v>
      </c>
      <c r="AN342" s="1009">
        <f t="shared" si="126"/>
        <v>1</v>
      </c>
      <c r="AO342" s="144">
        <f t="shared" si="129"/>
        <v>1</v>
      </c>
    </row>
    <row r="343" spans="1:41" ht="111.75" hidden="1" customHeight="1" x14ac:dyDescent="0.25">
      <c r="A343" s="1111" t="s">
        <v>419</v>
      </c>
      <c r="B343" s="1111"/>
      <c r="C343" s="1112" t="s">
        <v>1340</v>
      </c>
      <c r="D343" s="1024" t="s">
        <v>1066</v>
      </c>
      <c r="E343" s="1113" t="s">
        <v>2157</v>
      </c>
      <c r="F343" s="1111" t="s">
        <v>938</v>
      </c>
      <c r="G343" s="1024" t="s">
        <v>1338</v>
      </c>
      <c r="H343" s="1114">
        <f t="shared" si="146"/>
        <v>549</v>
      </c>
      <c r="I343" s="1026">
        <v>549</v>
      </c>
      <c r="J343" s="1017"/>
      <c r="K343" s="1017"/>
      <c r="L343" s="1017"/>
      <c r="M343" s="1017"/>
      <c r="N343" s="1031">
        <f t="shared" si="147"/>
        <v>640</v>
      </c>
      <c r="O343" s="1045">
        <v>640</v>
      </c>
      <c r="P343" s="1041">
        <f>Q343</f>
        <v>540</v>
      </c>
      <c r="Q343" s="1041">
        <v>540</v>
      </c>
      <c r="R343" s="54"/>
      <c r="S343" s="54">
        <f t="shared" si="149"/>
        <v>150</v>
      </c>
      <c r="T343" s="1095">
        <f t="shared" si="150"/>
        <v>490</v>
      </c>
      <c r="U343" s="1095">
        <v>490</v>
      </c>
      <c r="V343" s="54"/>
      <c r="W343" s="54"/>
      <c r="X343" s="1095">
        <f t="shared" si="151"/>
        <v>490</v>
      </c>
      <c r="Y343" s="1095">
        <v>490</v>
      </c>
      <c r="Z343" s="282"/>
      <c r="AA343" s="282"/>
      <c r="AB343" s="288">
        <f t="shared" si="148"/>
        <v>490</v>
      </c>
      <c r="AC343" s="282">
        <v>490</v>
      </c>
      <c r="AD343" s="282"/>
      <c r="AE343" s="282"/>
      <c r="AF343" s="282"/>
      <c r="AG343" s="282"/>
      <c r="AH343" s="282"/>
      <c r="AI343" s="282"/>
      <c r="AJ343" s="282"/>
      <c r="AK343" s="282"/>
      <c r="AL343" s="25"/>
      <c r="AM343" s="1009">
        <f t="shared" si="125"/>
        <v>0</v>
      </c>
      <c r="AN343" s="1009">
        <f t="shared" si="126"/>
        <v>1</v>
      </c>
      <c r="AO343" s="144">
        <f t="shared" si="129"/>
        <v>1</v>
      </c>
    </row>
    <row r="344" spans="1:41" ht="108" hidden="1" customHeight="1" x14ac:dyDescent="0.25">
      <c r="A344" s="1111" t="s">
        <v>423</v>
      </c>
      <c r="B344" s="1111"/>
      <c r="C344" s="1112" t="s">
        <v>1337</v>
      </c>
      <c r="D344" s="1024" t="s">
        <v>1066</v>
      </c>
      <c r="E344" s="1113" t="s">
        <v>2158</v>
      </c>
      <c r="F344" s="1024" t="s">
        <v>116</v>
      </c>
      <c r="G344" s="1024" t="s">
        <v>1335</v>
      </c>
      <c r="H344" s="1026">
        <f t="shared" si="146"/>
        <v>13812</v>
      </c>
      <c r="I344" s="1026">
        <v>13812</v>
      </c>
      <c r="J344" s="1028"/>
      <c r="K344" s="1028"/>
      <c r="L344" s="1028"/>
      <c r="M344" s="1028"/>
      <c r="N344" s="1031">
        <f t="shared" si="147"/>
        <v>13800</v>
      </c>
      <c r="O344" s="1045">
        <v>13800</v>
      </c>
      <c r="P344" s="1041">
        <f>Q344</f>
        <v>13000</v>
      </c>
      <c r="Q344" s="1041">
        <v>13000</v>
      </c>
      <c r="R344" s="54"/>
      <c r="S344" s="54">
        <f t="shared" si="149"/>
        <v>1480</v>
      </c>
      <c r="T344" s="1095">
        <f t="shared" si="150"/>
        <v>12320</v>
      </c>
      <c r="U344" s="1095">
        <v>12320</v>
      </c>
      <c r="V344" s="54"/>
      <c r="W344" s="54"/>
      <c r="X344" s="1095">
        <f t="shared" si="151"/>
        <v>12320</v>
      </c>
      <c r="Y344" s="1095">
        <v>12320</v>
      </c>
      <c r="Z344" s="282"/>
      <c r="AA344" s="282"/>
      <c r="AB344" s="288">
        <f t="shared" si="148"/>
        <v>10000</v>
      </c>
      <c r="AC344" s="282">
        <v>10000</v>
      </c>
      <c r="AD344" s="282"/>
      <c r="AE344" s="282"/>
      <c r="AF344" s="282"/>
      <c r="AG344" s="282"/>
      <c r="AH344" s="282"/>
      <c r="AI344" s="282"/>
      <c r="AJ344" s="282"/>
      <c r="AK344" s="282"/>
      <c r="AL344" s="25"/>
      <c r="AM344" s="1009">
        <f t="shared" si="125"/>
        <v>0</v>
      </c>
      <c r="AN344" s="1009">
        <f t="shared" si="126"/>
        <v>1</v>
      </c>
      <c r="AO344" s="144">
        <f t="shared" si="129"/>
        <v>1</v>
      </c>
    </row>
    <row r="345" spans="1:41" ht="71.25" hidden="1" customHeight="1" x14ac:dyDescent="0.25">
      <c r="A345" s="1111" t="s">
        <v>427</v>
      </c>
      <c r="B345" s="1111"/>
      <c r="C345" s="1115" t="s">
        <v>1334</v>
      </c>
      <c r="D345" s="1024" t="s">
        <v>1066</v>
      </c>
      <c r="E345" s="1116" t="s">
        <v>1333</v>
      </c>
      <c r="F345" s="1024" t="s">
        <v>116</v>
      </c>
      <c r="G345" s="1024"/>
      <c r="H345" s="1117">
        <v>8000</v>
      </c>
      <c r="I345" s="1026">
        <f t="shared" ref="I345:I357" si="152">H345</f>
        <v>8000</v>
      </c>
      <c r="J345" s="282"/>
      <c r="K345" s="282"/>
      <c r="L345" s="282"/>
      <c r="M345" s="282"/>
      <c r="N345" s="1031">
        <f t="shared" si="147"/>
        <v>8000</v>
      </c>
      <c r="O345" s="1117">
        <v>8000</v>
      </c>
      <c r="P345" s="1048"/>
      <c r="Q345" s="1043"/>
      <c r="R345" s="54"/>
      <c r="S345" s="54">
        <f>O345-U345</f>
        <v>8000</v>
      </c>
      <c r="T345" s="1095"/>
      <c r="U345" s="1095"/>
      <c r="V345" s="54"/>
      <c r="W345" s="54"/>
      <c r="X345" s="1095"/>
      <c r="Y345" s="1095"/>
      <c r="Z345" s="282"/>
      <c r="AA345" s="282"/>
      <c r="AB345" s="282"/>
      <c r="AC345" s="282"/>
      <c r="AD345" s="282"/>
      <c r="AE345" s="282"/>
      <c r="AF345" s="282"/>
      <c r="AG345" s="282"/>
      <c r="AH345" s="282"/>
      <c r="AI345" s="282"/>
      <c r="AJ345" s="282"/>
      <c r="AK345" s="282"/>
      <c r="AL345" s="25"/>
      <c r="AM345" s="1009">
        <f t="shared" si="125"/>
        <v>0</v>
      </c>
      <c r="AN345" s="1009">
        <f t="shared" si="126"/>
        <v>0</v>
      </c>
      <c r="AO345" s="144">
        <f t="shared" si="129"/>
        <v>1</v>
      </c>
    </row>
    <row r="346" spans="1:41" ht="33" hidden="1" x14ac:dyDescent="0.25">
      <c r="A346" s="1111" t="s">
        <v>431</v>
      </c>
      <c r="B346" s="1111"/>
      <c r="C346" s="1115" t="s">
        <v>1332</v>
      </c>
      <c r="D346" s="1024" t="s">
        <v>1066</v>
      </c>
      <c r="E346" s="1116" t="s">
        <v>1331</v>
      </c>
      <c r="F346" s="1024" t="s">
        <v>116</v>
      </c>
      <c r="G346" s="1024"/>
      <c r="H346" s="1117">
        <v>3000</v>
      </c>
      <c r="I346" s="1026">
        <f t="shared" si="152"/>
        <v>3000</v>
      </c>
      <c r="J346" s="282"/>
      <c r="K346" s="282"/>
      <c r="L346" s="282"/>
      <c r="M346" s="282"/>
      <c r="N346" s="1031">
        <f t="shared" si="147"/>
        <v>3000</v>
      </c>
      <c r="O346" s="1117">
        <v>3000</v>
      </c>
      <c r="P346" s="1048">
        <v>3000</v>
      </c>
      <c r="Q346" s="1043">
        <v>3000</v>
      </c>
      <c r="R346" s="54"/>
      <c r="S346" s="54">
        <f>O346-U346</f>
        <v>3000</v>
      </c>
      <c r="T346" s="1095">
        <f t="shared" si="150"/>
        <v>0</v>
      </c>
      <c r="U346" s="1095">
        <v>0</v>
      </c>
      <c r="V346" s="54"/>
      <c r="W346" s="54"/>
      <c r="X346" s="1095">
        <f t="shared" ref="X346:X367" si="153">Y346</f>
        <v>0</v>
      </c>
      <c r="Y346" s="1095">
        <v>0</v>
      </c>
      <c r="Z346" s="282"/>
      <c r="AA346" s="282"/>
      <c r="AB346" s="282"/>
      <c r="AC346" s="282"/>
      <c r="AD346" s="282"/>
      <c r="AE346" s="282"/>
      <c r="AF346" s="282"/>
      <c r="AG346" s="282"/>
      <c r="AH346" s="282"/>
      <c r="AI346" s="282"/>
      <c r="AJ346" s="282"/>
      <c r="AK346" s="282"/>
      <c r="AL346" s="25"/>
      <c r="AM346" s="1009">
        <f t="shared" si="125"/>
        <v>0</v>
      </c>
      <c r="AN346" s="1009">
        <f t="shared" si="126"/>
        <v>0</v>
      </c>
      <c r="AO346" s="144">
        <f t="shared" si="129"/>
        <v>1</v>
      </c>
    </row>
    <row r="347" spans="1:41" ht="60" hidden="1" customHeight="1" x14ac:dyDescent="0.25">
      <c r="A347" s="1111" t="s">
        <v>435</v>
      </c>
      <c r="B347" s="1111"/>
      <c r="C347" s="1115" t="s">
        <v>1330</v>
      </c>
      <c r="D347" s="1024" t="s">
        <v>1066</v>
      </c>
      <c r="E347" s="1116" t="s">
        <v>1329</v>
      </c>
      <c r="F347" s="1024" t="s">
        <v>116</v>
      </c>
      <c r="G347" s="1024"/>
      <c r="H347" s="1117">
        <v>1200</v>
      </c>
      <c r="I347" s="1026">
        <f t="shared" si="152"/>
        <v>1200</v>
      </c>
      <c r="J347" s="282"/>
      <c r="K347" s="282"/>
      <c r="L347" s="282"/>
      <c r="M347" s="282"/>
      <c r="N347" s="1031">
        <f t="shared" si="147"/>
        <v>1200</v>
      </c>
      <c r="O347" s="1117">
        <v>1200</v>
      </c>
      <c r="P347" s="1048"/>
      <c r="Q347" s="1043"/>
      <c r="R347" s="54"/>
      <c r="S347" s="54">
        <f t="shared" ref="S347:S351" si="154">O347-U347</f>
        <v>1200</v>
      </c>
      <c r="T347" s="1095">
        <f t="shared" si="150"/>
        <v>0</v>
      </c>
      <c r="U347" s="1095">
        <v>0</v>
      </c>
      <c r="V347" s="54"/>
      <c r="W347" s="54"/>
      <c r="X347" s="1095">
        <f t="shared" si="153"/>
        <v>0</v>
      </c>
      <c r="Y347" s="1095">
        <v>0</v>
      </c>
      <c r="Z347" s="282"/>
      <c r="AA347" s="282"/>
      <c r="AB347" s="282"/>
      <c r="AC347" s="282"/>
      <c r="AD347" s="282"/>
      <c r="AE347" s="282"/>
      <c r="AF347" s="282"/>
      <c r="AG347" s="282"/>
      <c r="AH347" s="282"/>
      <c r="AI347" s="282"/>
      <c r="AJ347" s="282"/>
      <c r="AK347" s="282"/>
      <c r="AL347" s="25"/>
      <c r="AM347" s="1009">
        <f t="shared" si="125"/>
        <v>0</v>
      </c>
      <c r="AN347" s="1009">
        <f t="shared" si="126"/>
        <v>0</v>
      </c>
      <c r="AO347" s="144">
        <f t="shared" si="129"/>
        <v>1</v>
      </c>
    </row>
    <row r="348" spans="1:41" ht="49.5" hidden="1" x14ac:dyDescent="0.25">
      <c r="A348" s="1111" t="s">
        <v>440</v>
      </c>
      <c r="B348" s="1111"/>
      <c r="C348" s="1115" t="s">
        <v>1328</v>
      </c>
      <c r="D348" s="1024" t="s">
        <v>1066</v>
      </c>
      <c r="E348" s="1116" t="s">
        <v>1327</v>
      </c>
      <c r="F348" s="1024" t="s">
        <v>116</v>
      </c>
      <c r="G348" s="1024"/>
      <c r="H348" s="1117">
        <v>2000</v>
      </c>
      <c r="I348" s="1026">
        <f t="shared" si="152"/>
        <v>2000</v>
      </c>
      <c r="J348" s="282"/>
      <c r="K348" s="282"/>
      <c r="L348" s="282"/>
      <c r="M348" s="282"/>
      <c r="N348" s="1031">
        <f t="shared" si="147"/>
        <v>2000</v>
      </c>
      <c r="O348" s="1117">
        <v>2000</v>
      </c>
      <c r="P348" s="1048"/>
      <c r="Q348" s="1043"/>
      <c r="R348" s="54"/>
      <c r="S348" s="54">
        <f t="shared" si="154"/>
        <v>2000</v>
      </c>
      <c r="T348" s="1095">
        <f t="shared" si="150"/>
        <v>0</v>
      </c>
      <c r="U348" s="1095">
        <v>0</v>
      </c>
      <c r="V348" s="54"/>
      <c r="W348" s="54"/>
      <c r="X348" s="1095">
        <f t="shared" si="153"/>
        <v>0</v>
      </c>
      <c r="Y348" s="1095">
        <v>0</v>
      </c>
      <c r="Z348" s="282"/>
      <c r="AA348" s="282"/>
      <c r="AB348" s="282"/>
      <c r="AC348" s="282"/>
      <c r="AD348" s="282"/>
      <c r="AE348" s="282"/>
      <c r="AF348" s="282"/>
      <c r="AG348" s="282"/>
      <c r="AH348" s="282"/>
      <c r="AI348" s="282"/>
      <c r="AJ348" s="282"/>
      <c r="AK348" s="282"/>
      <c r="AL348" s="69"/>
      <c r="AM348" s="1009">
        <f t="shared" si="125"/>
        <v>0</v>
      </c>
      <c r="AN348" s="1009">
        <f t="shared" si="126"/>
        <v>0</v>
      </c>
      <c r="AO348" s="144">
        <f t="shared" si="129"/>
        <v>1</v>
      </c>
    </row>
    <row r="349" spans="1:41" ht="49.5" hidden="1" x14ac:dyDescent="0.25">
      <c r="A349" s="1111" t="s">
        <v>445</v>
      </c>
      <c r="B349" s="1111"/>
      <c r="C349" s="1115" t="s">
        <v>1326</v>
      </c>
      <c r="D349" s="1024" t="s">
        <v>1066</v>
      </c>
      <c r="E349" s="1116" t="s">
        <v>1325</v>
      </c>
      <c r="F349" s="1024" t="s">
        <v>116</v>
      </c>
      <c r="G349" s="1024"/>
      <c r="H349" s="1117">
        <v>1400</v>
      </c>
      <c r="I349" s="1026">
        <f t="shared" si="152"/>
        <v>1400</v>
      </c>
      <c r="J349" s="282"/>
      <c r="K349" s="282"/>
      <c r="L349" s="282"/>
      <c r="M349" s="282"/>
      <c r="N349" s="1031">
        <f t="shared" si="147"/>
        <v>1400</v>
      </c>
      <c r="O349" s="1117">
        <v>1400</v>
      </c>
      <c r="P349" s="1048"/>
      <c r="Q349" s="1048"/>
      <c r="R349" s="54"/>
      <c r="S349" s="54">
        <f t="shared" si="154"/>
        <v>1400</v>
      </c>
      <c r="T349" s="1095">
        <f t="shared" si="150"/>
        <v>0</v>
      </c>
      <c r="U349" s="1095">
        <v>0</v>
      </c>
      <c r="V349" s="54"/>
      <c r="W349" s="54"/>
      <c r="X349" s="1095">
        <f t="shared" si="153"/>
        <v>0</v>
      </c>
      <c r="Y349" s="1095">
        <v>0</v>
      </c>
      <c r="Z349" s="282"/>
      <c r="AA349" s="282"/>
      <c r="AB349" s="282"/>
      <c r="AC349" s="282"/>
      <c r="AD349" s="282"/>
      <c r="AE349" s="282"/>
      <c r="AF349" s="282"/>
      <c r="AG349" s="282"/>
      <c r="AH349" s="282"/>
      <c r="AI349" s="282"/>
      <c r="AJ349" s="282"/>
      <c r="AK349" s="282"/>
      <c r="AL349" s="69"/>
      <c r="AM349" s="1009">
        <f t="shared" si="125"/>
        <v>0</v>
      </c>
      <c r="AN349" s="1009">
        <f t="shared" si="126"/>
        <v>0</v>
      </c>
      <c r="AO349" s="144">
        <f t="shared" si="129"/>
        <v>1</v>
      </c>
    </row>
    <row r="350" spans="1:41" ht="49.5" hidden="1" x14ac:dyDescent="0.25">
      <c r="A350" s="1111" t="s">
        <v>450</v>
      </c>
      <c r="B350" s="1111"/>
      <c r="C350" s="1115" t="s">
        <v>1324</v>
      </c>
      <c r="D350" s="1024" t="s">
        <v>1066</v>
      </c>
      <c r="E350" s="1116" t="s">
        <v>1323</v>
      </c>
      <c r="F350" s="1024" t="s">
        <v>290</v>
      </c>
      <c r="G350" s="1024"/>
      <c r="H350" s="1117">
        <v>800</v>
      </c>
      <c r="I350" s="1026">
        <f t="shared" si="152"/>
        <v>800</v>
      </c>
      <c r="J350" s="282"/>
      <c r="K350" s="282"/>
      <c r="L350" s="282"/>
      <c r="M350" s="282"/>
      <c r="N350" s="1031">
        <f t="shared" si="147"/>
        <v>800</v>
      </c>
      <c r="O350" s="1117">
        <v>800</v>
      </c>
      <c r="P350" s="1048"/>
      <c r="Q350" s="1048"/>
      <c r="R350" s="54"/>
      <c r="S350" s="54">
        <f t="shared" si="154"/>
        <v>800</v>
      </c>
      <c r="T350" s="1095">
        <f t="shared" si="150"/>
        <v>0</v>
      </c>
      <c r="U350" s="1095">
        <v>0</v>
      </c>
      <c r="V350" s="54"/>
      <c r="W350" s="54"/>
      <c r="X350" s="1095">
        <f t="shared" si="153"/>
        <v>0</v>
      </c>
      <c r="Y350" s="1095">
        <v>0</v>
      </c>
      <c r="Z350" s="282"/>
      <c r="AA350" s="282"/>
      <c r="AB350" s="282"/>
      <c r="AC350" s="282"/>
      <c r="AD350" s="282"/>
      <c r="AE350" s="282"/>
      <c r="AF350" s="282"/>
      <c r="AG350" s="282"/>
      <c r="AH350" s="282"/>
      <c r="AI350" s="282"/>
      <c r="AJ350" s="282"/>
      <c r="AK350" s="282"/>
      <c r="AL350" s="69"/>
      <c r="AM350" s="1009">
        <f t="shared" ref="AM350:AM415" si="155">IF(Y350-U350=0,0,1)</f>
        <v>0</v>
      </c>
      <c r="AN350" s="1009">
        <f t="shared" ref="AN350:AN415" si="156">IF(Y350=0,0,1)</f>
        <v>0</v>
      </c>
      <c r="AO350" s="144">
        <f t="shared" si="129"/>
        <v>1</v>
      </c>
    </row>
    <row r="351" spans="1:41" ht="49.5" hidden="1" x14ac:dyDescent="0.25">
      <c r="A351" s="1111" t="s">
        <v>454</v>
      </c>
      <c r="B351" s="1111"/>
      <c r="C351" s="1115" t="s">
        <v>1322</v>
      </c>
      <c r="D351" s="1024" t="s">
        <v>1066</v>
      </c>
      <c r="E351" s="1116" t="s">
        <v>1321</v>
      </c>
      <c r="F351" s="1024" t="s">
        <v>290</v>
      </c>
      <c r="G351" s="1024"/>
      <c r="H351" s="1117">
        <v>700</v>
      </c>
      <c r="I351" s="1026">
        <f t="shared" si="152"/>
        <v>700</v>
      </c>
      <c r="J351" s="282"/>
      <c r="K351" s="282"/>
      <c r="L351" s="282"/>
      <c r="M351" s="282"/>
      <c r="N351" s="1031">
        <f t="shared" si="147"/>
        <v>700</v>
      </c>
      <c r="O351" s="1117">
        <v>700</v>
      </c>
      <c r="P351" s="1048"/>
      <c r="Q351" s="1048"/>
      <c r="R351" s="54"/>
      <c r="S351" s="54">
        <f t="shared" si="154"/>
        <v>700</v>
      </c>
      <c r="T351" s="1095">
        <f t="shared" si="150"/>
        <v>0</v>
      </c>
      <c r="U351" s="1095">
        <v>0</v>
      </c>
      <c r="V351" s="54"/>
      <c r="W351" s="54"/>
      <c r="X351" s="1095">
        <f t="shared" si="153"/>
        <v>0</v>
      </c>
      <c r="Y351" s="1095">
        <v>0</v>
      </c>
      <c r="Z351" s="282"/>
      <c r="AA351" s="282"/>
      <c r="AB351" s="282"/>
      <c r="AC351" s="282"/>
      <c r="AD351" s="282"/>
      <c r="AE351" s="282"/>
      <c r="AF351" s="282"/>
      <c r="AG351" s="282"/>
      <c r="AH351" s="282"/>
      <c r="AI351" s="282"/>
      <c r="AJ351" s="282"/>
      <c r="AK351" s="282"/>
      <c r="AL351" s="69"/>
      <c r="AM351" s="1009">
        <f t="shared" si="155"/>
        <v>0</v>
      </c>
      <c r="AN351" s="1009">
        <f t="shared" si="156"/>
        <v>0</v>
      </c>
      <c r="AO351" s="144">
        <f t="shared" si="129"/>
        <v>1</v>
      </c>
    </row>
    <row r="352" spans="1:41" ht="49.5" hidden="1" x14ac:dyDescent="0.25">
      <c r="A352" s="1111" t="s">
        <v>458</v>
      </c>
      <c r="B352" s="1111">
        <v>1</v>
      </c>
      <c r="C352" s="1115" t="s">
        <v>1320</v>
      </c>
      <c r="D352" s="1024" t="s">
        <v>1066</v>
      </c>
      <c r="E352" s="1116" t="s">
        <v>1319</v>
      </c>
      <c r="F352" s="1024" t="s">
        <v>290</v>
      </c>
      <c r="G352" s="1024"/>
      <c r="H352" s="1117">
        <v>2600</v>
      </c>
      <c r="I352" s="1026">
        <f t="shared" si="152"/>
        <v>2600</v>
      </c>
      <c r="J352" s="282"/>
      <c r="K352" s="282"/>
      <c r="L352" s="282"/>
      <c r="M352" s="282"/>
      <c r="N352" s="1109">
        <f t="shared" si="147"/>
        <v>2600</v>
      </c>
      <c r="O352" s="1118">
        <v>2600</v>
      </c>
      <c r="P352" s="330">
        <f>Q352</f>
        <v>3200</v>
      </c>
      <c r="Q352" s="330">
        <v>3200</v>
      </c>
      <c r="R352" s="8"/>
      <c r="S352" s="8">
        <f>O352-U352</f>
        <v>1600</v>
      </c>
      <c r="T352" s="1095">
        <f t="shared" si="150"/>
        <v>1000</v>
      </c>
      <c r="U352" s="1095">
        <v>1000</v>
      </c>
      <c r="V352" s="54">
        <f>370+800-U352</f>
        <v>170</v>
      </c>
      <c r="W352" s="54"/>
      <c r="X352" s="1095">
        <f t="shared" si="153"/>
        <v>1170</v>
      </c>
      <c r="Y352" s="1095">
        <f>V352+U352</f>
        <v>1170</v>
      </c>
      <c r="Z352" s="244"/>
      <c r="AA352" s="244"/>
      <c r="AB352" s="244"/>
      <c r="AC352" s="244"/>
      <c r="AD352" s="244"/>
      <c r="AE352" s="244"/>
      <c r="AF352" s="244"/>
      <c r="AG352" s="244"/>
      <c r="AH352" s="244"/>
      <c r="AI352" s="244"/>
      <c r="AJ352" s="244"/>
      <c r="AK352" s="244"/>
      <c r="AL352" s="25" t="s">
        <v>2187</v>
      </c>
      <c r="AM352" s="1009">
        <f>IF(Y352-U352=0,0,1)</f>
        <v>1</v>
      </c>
      <c r="AN352" s="1009">
        <f>IF(Y352=0,0,1)</f>
        <v>1</v>
      </c>
      <c r="AO352" s="144">
        <f t="shared" si="129"/>
        <v>1</v>
      </c>
    </row>
    <row r="353" spans="1:41" ht="69.75" hidden="1" customHeight="1" x14ac:dyDescent="0.25">
      <c r="A353" s="1111" t="s">
        <v>463</v>
      </c>
      <c r="B353" s="1111"/>
      <c r="C353" s="1115" t="s">
        <v>1318</v>
      </c>
      <c r="D353" s="1024" t="s">
        <v>1066</v>
      </c>
      <c r="E353" s="1116" t="s">
        <v>1317</v>
      </c>
      <c r="F353" s="1024" t="s">
        <v>290</v>
      </c>
      <c r="G353" s="1024"/>
      <c r="H353" s="1117">
        <v>1500</v>
      </c>
      <c r="I353" s="1026">
        <f t="shared" si="152"/>
        <v>1500</v>
      </c>
      <c r="J353" s="282"/>
      <c r="K353" s="282"/>
      <c r="L353" s="282"/>
      <c r="M353" s="282"/>
      <c r="N353" s="1031">
        <f t="shared" si="147"/>
        <v>1500</v>
      </c>
      <c r="O353" s="1117">
        <v>1500</v>
      </c>
      <c r="P353" s="1048"/>
      <c r="Q353" s="1048"/>
      <c r="R353" s="54"/>
      <c r="S353" s="54">
        <f t="shared" ref="S353:S357" si="157">O353-U353</f>
        <v>1500</v>
      </c>
      <c r="T353" s="1095">
        <f t="shared" si="150"/>
        <v>0</v>
      </c>
      <c r="U353" s="1095">
        <v>0</v>
      </c>
      <c r="V353" s="54"/>
      <c r="W353" s="54"/>
      <c r="X353" s="1095">
        <f t="shared" si="153"/>
        <v>0</v>
      </c>
      <c r="Y353" s="1095">
        <v>0</v>
      </c>
      <c r="Z353" s="282"/>
      <c r="AA353" s="282"/>
      <c r="AB353" s="282"/>
      <c r="AC353" s="282"/>
      <c r="AD353" s="282"/>
      <c r="AE353" s="282"/>
      <c r="AF353" s="282"/>
      <c r="AG353" s="282"/>
      <c r="AH353" s="282"/>
      <c r="AI353" s="282"/>
      <c r="AJ353" s="282"/>
      <c r="AK353" s="282"/>
      <c r="AL353" s="69"/>
      <c r="AM353" s="1009">
        <f t="shared" si="155"/>
        <v>0</v>
      </c>
      <c r="AN353" s="1009">
        <f t="shared" si="156"/>
        <v>0</v>
      </c>
      <c r="AO353" s="144">
        <f t="shared" si="129"/>
        <v>1</v>
      </c>
    </row>
    <row r="354" spans="1:41" ht="63.75" hidden="1" customHeight="1" x14ac:dyDescent="0.25">
      <c r="A354" s="1111" t="s">
        <v>468</v>
      </c>
      <c r="B354" s="1111"/>
      <c r="C354" s="1115" t="s">
        <v>1316</v>
      </c>
      <c r="D354" s="1024" t="s">
        <v>1066</v>
      </c>
      <c r="E354" s="1116" t="s">
        <v>1315</v>
      </c>
      <c r="F354" s="1024" t="s">
        <v>290</v>
      </c>
      <c r="G354" s="1024"/>
      <c r="H354" s="1117">
        <v>1000</v>
      </c>
      <c r="I354" s="1026">
        <f t="shared" si="152"/>
        <v>1000</v>
      </c>
      <c r="J354" s="282"/>
      <c r="K354" s="282"/>
      <c r="L354" s="282"/>
      <c r="M354" s="282"/>
      <c r="N354" s="1031">
        <f t="shared" si="147"/>
        <v>1000</v>
      </c>
      <c r="O354" s="1117">
        <v>1000</v>
      </c>
      <c r="P354" s="1048"/>
      <c r="Q354" s="1048"/>
      <c r="R354" s="54"/>
      <c r="S354" s="54">
        <f t="shared" si="157"/>
        <v>1000</v>
      </c>
      <c r="T354" s="1095">
        <f t="shared" si="150"/>
        <v>0</v>
      </c>
      <c r="U354" s="1095">
        <v>0</v>
      </c>
      <c r="V354" s="54"/>
      <c r="W354" s="54"/>
      <c r="X354" s="1095">
        <f t="shared" si="153"/>
        <v>0</v>
      </c>
      <c r="Y354" s="1095">
        <v>0</v>
      </c>
      <c r="Z354" s="282"/>
      <c r="AA354" s="282"/>
      <c r="AB354" s="282"/>
      <c r="AC354" s="282"/>
      <c r="AD354" s="282"/>
      <c r="AE354" s="282"/>
      <c r="AF354" s="282"/>
      <c r="AG354" s="282"/>
      <c r="AH354" s="282"/>
      <c r="AI354" s="282"/>
      <c r="AJ354" s="282"/>
      <c r="AK354" s="282"/>
      <c r="AL354" s="69"/>
      <c r="AM354" s="1009">
        <f t="shared" si="155"/>
        <v>0</v>
      </c>
      <c r="AN354" s="1009">
        <f t="shared" si="156"/>
        <v>0</v>
      </c>
      <c r="AO354" s="144">
        <f t="shared" si="129"/>
        <v>1</v>
      </c>
    </row>
    <row r="355" spans="1:41" ht="33" hidden="1" x14ac:dyDescent="0.25">
      <c r="A355" s="1111" t="s">
        <v>472</v>
      </c>
      <c r="B355" s="1111"/>
      <c r="C355" s="1115" t="s">
        <v>2531</v>
      </c>
      <c r="D355" s="1024" t="s">
        <v>1066</v>
      </c>
      <c r="E355" s="1119" t="s">
        <v>1313</v>
      </c>
      <c r="F355" s="1024" t="s">
        <v>290</v>
      </c>
      <c r="G355" s="1024"/>
      <c r="H355" s="1117">
        <v>3000</v>
      </c>
      <c r="I355" s="1026">
        <v>3000</v>
      </c>
      <c r="J355" s="282"/>
      <c r="K355" s="282"/>
      <c r="L355" s="282"/>
      <c r="M355" s="282"/>
      <c r="N355" s="1031">
        <f t="shared" si="147"/>
        <v>360</v>
      </c>
      <c r="O355" s="1117">
        <v>360</v>
      </c>
      <c r="P355" s="1048"/>
      <c r="Q355" s="1048"/>
      <c r="R355" s="54"/>
      <c r="S355" s="54">
        <f t="shared" si="157"/>
        <v>360</v>
      </c>
      <c r="T355" s="1095">
        <f t="shared" si="150"/>
        <v>0</v>
      </c>
      <c r="U355" s="1095">
        <v>0</v>
      </c>
      <c r="V355" s="54"/>
      <c r="W355" s="54"/>
      <c r="X355" s="1095">
        <f t="shared" si="153"/>
        <v>0</v>
      </c>
      <c r="Y355" s="1095">
        <v>0</v>
      </c>
      <c r="Z355" s="282"/>
      <c r="AA355" s="282"/>
      <c r="AB355" s="282"/>
      <c r="AC355" s="282"/>
      <c r="AD355" s="282"/>
      <c r="AE355" s="282"/>
      <c r="AF355" s="282"/>
      <c r="AG355" s="282"/>
      <c r="AH355" s="282"/>
      <c r="AI355" s="282"/>
      <c r="AJ355" s="282"/>
      <c r="AK355" s="282"/>
      <c r="AL355" s="69"/>
      <c r="AM355" s="1009">
        <f t="shared" si="155"/>
        <v>0</v>
      </c>
      <c r="AN355" s="1009">
        <f t="shared" si="156"/>
        <v>0</v>
      </c>
      <c r="AO355" s="144">
        <f t="shared" si="129"/>
        <v>1</v>
      </c>
    </row>
    <row r="356" spans="1:41" ht="49.5" hidden="1" x14ac:dyDescent="0.25">
      <c r="A356" s="1111" t="s">
        <v>476</v>
      </c>
      <c r="B356" s="1111"/>
      <c r="C356" s="1115" t="s">
        <v>1312</v>
      </c>
      <c r="D356" s="1024" t="s">
        <v>1066</v>
      </c>
      <c r="E356" s="1120" t="s">
        <v>1311</v>
      </c>
      <c r="F356" s="1024" t="s">
        <v>290</v>
      </c>
      <c r="G356" s="1024"/>
      <c r="H356" s="1117">
        <v>250</v>
      </c>
      <c r="I356" s="1026">
        <f t="shared" si="152"/>
        <v>250</v>
      </c>
      <c r="J356" s="282"/>
      <c r="K356" s="282"/>
      <c r="L356" s="282"/>
      <c r="M356" s="282"/>
      <c r="N356" s="1031">
        <f t="shared" si="147"/>
        <v>250</v>
      </c>
      <c r="O356" s="1117">
        <v>250</v>
      </c>
      <c r="P356" s="1048"/>
      <c r="Q356" s="1048"/>
      <c r="R356" s="54"/>
      <c r="S356" s="54">
        <f t="shared" si="157"/>
        <v>250</v>
      </c>
      <c r="T356" s="1095">
        <f t="shared" si="150"/>
        <v>0</v>
      </c>
      <c r="U356" s="1095">
        <v>0</v>
      </c>
      <c r="V356" s="54"/>
      <c r="W356" s="54"/>
      <c r="X356" s="1095">
        <f t="shared" si="153"/>
        <v>0</v>
      </c>
      <c r="Y356" s="1095">
        <v>0</v>
      </c>
      <c r="Z356" s="282"/>
      <c r="AA356" s="282"/>
      <c r="AB356" s="282"/>
      <c r="AC356" s="282"/>
      <c r="AD356" s="282"/>
      <c r="AE356" s="282"/>
      <c r="AF356" s="282"/>
      <c r="AG356" s="282"/>
      <c r="AH356" s="282"/>
      <c r="AI356" s="282"/>
      <c r="AJ356" s="282"/>
      <c r="AK356" s="282"/>
      <c r="AL356" s="69"/>
      <c r="AM356" s="1009">
        <f t="shared" si="155"/>
        <v>0</v>
      </c>
      <c r="AN356" s="1009">
        <f t="shared" si="156"/>
        <v>0</v>
      </c>
      <c r="AO356" s="144">
        <f t="shared" si="129"/>
        <v>1</v>
      </c>
    </row>
    <row r="357" spans="1:41" ht="33" hidden="1" x14ac:dyDescent="0.25">
      <c r="A357" s="1111" t="s">
        <v>481</v>
      </c>
      <c r="B357" s="1111"/>
      <c r="C357" s="1115" t="s">
        <v>1310</v>
      </c>
      <c r="D357" s="1024" t="s">
        <v>1066</v>
      </c>
      <c r="E357" s="1120"/>
      <c r="F357" s="1024" t="s">
        <v>290</v>
      </c>
      <c r="G357" s="1024"/>
      <c r="H357" s="1117">
        <v>1100</v>
      </c>
      <c r="I357" s="1026">
        <f t="shared" si="152"/>
        <v>1100</v>
      </c>
      <c r="J357" s="282"/>
      <c r="K357" s="282"/>
      <c r="L357" s="282"/>
      <c r="M357" s="282"/>
      <c r="N357" s="1031">
        <f t="shared" si="147"/>
        <v>1100</v>
      </c>
      <c r="O357" s="1117">
        <v>1100</v>
      </c>
      <c r="P357" s="1048"/>
      <c r="Q357" s="1048"/>
      <c r="R357" s="54"/>
      <c r="S357" s="54">
        <f t="shared" si="157"/>
        <v>1100</v>
      </c>
      <c r="T357" s="1095">
        <f t="shared" si="150"/>
        <v>0</v>
      </c>
      <c r="U357" s="1095">
        <v>0</v>
      </c>
      <c r="V357" s="54"/>
      <c r="W357" s="54"/>
      <c r="X357" s="1095">
        <f t="shared" si="153"/>
        <v>0</v>
      </c>
      <c r="Y357" s="1095">
        <v>0</v>
      </c>
      <c r="Z357" s="282"/>
      <c r="AA357" s="282"/>
      <c r="AB357" s="282"/>
      <c r="AC357" s="282"/>
      <c r="AD357" s="282"/>
      <c r="AE357" s="282"/>
      <c r="AF357" s="282"/>
      <c r="AG357" s="282"/>
      <c r="AH357" s="282"/>
      <c r="AI357" s="282"/>
      <c r="AJ357" s="282"/>
      <c r="AK357" s="282"/>
      <c r="AL357" s="69"/>
      <c r="AM357" s="1009">
        <f t="shared" si="155"/>
        <v>0</v>
      </c>
      <c r="AN357" s="1009">
        <f t="shared" si="156"/>
        <v>0</v>
      </c>
      <c r="AO357" s="144">
        <f t="shared" si="129"/>
        <v>1</v>
      </c>
    </row>
    <row r="358" spans="1:41" ht="33" hidden="1" x14ac:dyDescent="0.25">
      <c r="A358" s="1111" t="s">
        <v>484</v>
      </c>
      <c r="B358" s="1111">
        <v>2</v>
      </c>
      <c r="C358" s="1115" t="s">
        <v>2095</v>
      </c>
      <c r="D358" s="1024" t="s">
        <v>1066</v>
      </c>
      <c r="E358" s="1120"/>
      <c r="F358" s="1024" t="s">
        <v>290</v>
      </c>
      <c r="G358" s="1024"/>
      <c r="H358" s="1117">
        <f t="shared" ref="H358:H395" si="158">I358</f>
        <v>3490</v>
      </c>
      <c r="I358" s="1026">
        <v>3490</v>
      </c>
      <c r="J358" s="282"/>
      <c r="K358" s="282"/>
      <c r="L358" s="282"/>
      <c r="M358" s="282"/>
      <c r="N358" s="1109"/>
      <c r="O358" s="1118"/>
      <c r="P358" s="330">
        <f t="shared" ref="P358:P367" si="159">Q358</f>
        <v>5000</v>
      </c>
      <c r="Q358" s="330">
        <v>5000</v>
      </c>
      <c r="R358" s="8">
        <f>U358-O358</f>
        <v>2300</v>
      </c>
      <c r="S358" s="8"/>
      <c r="T358" s="1095">
        <f t="shared" si="150"/>
        <v>2300</v>
      </c>
      <c r="U358" s="1095">
        <v>2300</v>
      </c>
      <c r="V358" s="54">
        <f>1450+1800-U358</f>
        <v>950</v>
      </c>
      <c r="W358" s="54"/>
      <c r="X358" s="1095">
        <f t="shared" si="153"/>
        <v>3250</v>
      </c>
      <c r="Y358" s="1095">
        <f>V358+U358</f>
        <v>3250</v>
      </c>
      <c r="Z358" s="244"/>
      <c r="AA358" s="244"/>
      <c r="AB358" s="244"/>
      <c r="AC358" s="244"/>
      <c r="AD358" s="244"/>
      <c r="AE358" s="244"/>
      <c r="AF358" s="244"/>
      <c r="AG358" s="244"/>
      <c r="AH358" s="244"/>
      <c r="AI358" s="244"/>
      <c r="AJ358" s="244"/>
      <c r="AK358" s="244"/>
      <c r="AL358" s="25" t="s">
        <v>2187</v>
      </c>
      <c r="AM358" s="1009">
        <f>IF(Y358-U358=0,0,1)</f>
        <v>1</v>
      </c>
      <c r="AN358" s="1009">
        <f>IF(Y358=0,0,1)</f>
        <v>1</v>
      </c>
      <c r="AO358" s="144">
        <f t="shared" si="129"/>
        <v>1</v>
      </c>
    </row>
    <row r="359" spans="1:41" ht="49.5" hidden="1" x14ac:dyDescent="0.25">
      <c r="A359" s="1111" t="s">
        <v>1309</v>
      </c>
      <c r="B359" s="1111"/>
      <c r="C359" s="1115" t="s">
        <v>1308</v>
      </c>
      <c r="D359" s="1024" t="s">
        <v>1066</v>
      </c>
      <c r="E359" s="1120"/>
      <c r="F359" s="1024" t="s">
        <v>461</v>
      </c>
      <c r="G359" s="1024" t="s">
        <v>1307</v>
      </c>
      <c r="H359" s="1117">
        <f t="shared" si="158"/>
        <v>1094</v>
      </c>
      <c r="I359" s="1026">
        <v>1094</v>
      </c>
      <c r="J359" s="282"/>
      <c r="K359" s="282"/>
      <c r="L359" s="282"/>
      <c r="M359" s="282"/>
      <c r="N359" s="1031"/>
      <c r="O359" s="1117"/>
      <c r="P359" s="1048">
        <f t="shared" si="159"/>
        <v>1000</v>
      </c>
      <c r="Q359" s="1048">
        <v>1000</v>
      </c>
      <c r="R359" s="54">
        <f t="shared" ref="R359:R362" si="160">U359-O359</f>
        <v>950</v>
      </c>
      <c r="S359" s="54"/>
      <c r="T359" s="1095">
        <f t="shared" si="150"/>
        <v>950</v>
      </c>
      <c r="U359" s="1095">
        <v>950</v>
      </c>
      <c r="V359" s="54"/>
      <c r="W359" s="54"/>
      <c r="X359" s="1095">
        <f t="shared" si="153"/>
        <v>950</v>
      </c>
      <c r="Y359" s="1095">
        <v>950</v>
      </c>
      <c r="Z359" s="282"/>
      <c r="AA359" s="282"/>
      <c r="AB359" s="282"/>
      <c r="AC359" s="282"/>
      <c r="AD359" s="282"/>
      <c r="AE359" s="282"/>
      <c r="AF359" s="282"/>
      <c r="AG359" s="282"/>
      <c r="AH359" s="282"/>
      <c r="AI359" s="282"/>
      <c r="AJ359" s="282"/>
      <c r="AK359" s="282"/>
      <c r="AL359" s="25"/>
      <c r="AM359" s="1009">
        <f t="shared" si="155"/>
        <v>0</v>
      </c>
      <c r="AN359" s="1009">
        <f t="shared" si="156"/>
        <v>1</v>
      </c>
      <c r="AO359" s="144">
        <f t="shared" si="129"/>
        <v>1</v>
      </c>
    </row>
    <row r="360" spans="1:41" ht="49.5" hidden="1" x14ac:dyDescent="0.25">
      <c r="A360" s="1111" t="s">
        <v>490</v>
      </c>
      <c r="B360" s="1111"/>
      <c r="C360" s="1115" t="s">
        <v>1306</v>
      </c>
      <c r="D360" s="1024" t="s">
        <v>1066</v>
      </c>
      <c r="E360" s="1120"/>
      <c r="F360" s="1024" t="s">
        <v>461</v>
      </c>
      <c r="G360" s="1024" t="s">
        <v>1305</v>
      </c>
      <c r="H360" s="1117">
        <f t="shared" si="158"/>
        <v>1296</v>
      </c>
      <c r="I360" s="1026">
        <v>1296</v>
      </c>
      <c r="J360" s="282"/>
      <c r="K360" s="282"/>
      <c r="L360" s="282"/>
      <c r="M360" s="282"/>
      <c r="N360" s="1031"/>
      <c r="O360" s="1117"/>
      <c r="P360" s="1048">
        <f t="shared" si="159"/>
        <v>1200</v>
      </c>
      <c r="Q360" s="1048">
        <v>1200</v>
      </c>
      <c r="R360" s="54">
        <f t="shared" si="160"/>
        <v>1140</v>
      </c>
      <c r="S360" s="54"/>
      <c r="T360" s="1095">
        <f t="shared" si="150"/>
        <v>1140</v>
      </c>
      <c r="U360" s="1095">
        <v>1140</v>
      </c>
      <c r="V360" s="54"/>
      <c r="W360" s="54"/>
      <c r="X360" s="1095">
        <f t="shared" si="153"/>
        <v>1140</v>
      </c>
      <c r="Y360" s="1095">
        <v>1140</v>
      </c>
      <c r="Z360" s="282"/>
      <c r="AA360" s="282"/>
      <c r="AB360" s="282"/>
      <c r="AC360" s="282"/>
      <c r="AD360" s="282"/>
      <c r="AE360" s="282"/>
      <c r="AF360" s="282"/>
      <c r="AG360" s="282"/>
      <c r="AH360" s="282"/>
      <c r="AI360" s="282"/>
      <c r="AJ360" s="282"/>
      <c r="AK360" s="282"/>
      <c r="AL360" s="25"/>
      <c r="AM360" s="1009">
        <f t="shared" si="155"/>
        <v>0</v>
      </c>
      <c r="AN360" s="1009">
        <f t="shared" si="156"/>
        <v>1</v>
      </c>
      <c r="AO360" s="144">
        <f t="shared" si="129"/>
        <v>1</v>
      </c>
    </row>
    <row r="361" spans="1:41" ht="49.5" hidden="1" x14ac:dyDescent="0.25">
      <c r="A361" s="1111" t="s">
        <v>492</v>
      </c>
      <c r="B361" s="1111"/>
      <c r="C361" s="1115" t="s">
        <v>1304</v>
      </c>
      <c r="D361" s="1024" t="s">
        <v>1066</v>
      </c>
      <c r="E361" s="1120"/>
      <c r="F361" s="1024" t="s">
        <v>461</v>
      </c>
      <c r="G361" s="1024" t="s">
        <v>1303</v>
      </c>
      <c r="H361" s="1117">
        <f t="shared" si="158"/>
        <v>1710</v>
      </c>
      <c r="I361" s="1026">
        <v>1710</v>
      </c>
      <c r="J361" s="282"/>
      <c r="K361" s="282"/>
      <c r="L361" s="282"/>
      <c r="M361" s="282"/>
      <c r="N361" s="1031"/>
      <c r="O361" s="1117"/>
      <c r="P361" s="1048">
        <f t="shared" si="159"/>
        <v>1550</v>
      </c>
      <c r="Q361" s="1048">
        <v>1550</v>
      </c>
      <c r="R361" s="54">
        <f t="shared" si="160"/>
        <v>1470</v>
      </c>
      <c r="S361" s="54"/>
      <c r="T361" s="1095">
        <f t="shared" si="150"/>
        <v>1470</v>
      </c>
      <c r="U361" s="1095">
        <v>1470</v>
      </c>
      <c r="V361" s="54"/>
      <c r="W361" s="54"/>
      <c r="X361" s="1095">
        <f t="shared" si="153"/>
        <v>1470</v>
      </c>
      <c r="Y361" s="1095">
        <v>1470</v>
      </c>
      <c r="Z361" s="282"/>
      <c r="AA361" s="282"/>
      <c r="AB361" s="282"/>
      <c r="AC361" s="282"/>
      <c r="AD361" s="282"/>
      <c r="AE361" s="282"/>
      <c r="AF361" s="282"/>
      <c r="AG361" s="282"/>
      <c r="AH361" s="282"/>
      <c r="AI361" s="282"/>
      <c r="AJ361" s="282"/>
      <c r="AK361" s="282"/>
      <c r="AL361" s="25"/>
      <c r="AM361" s="1009">
        <f t="shared" si="155"/>
        <v>0</v>
      </c>
      <c r="AN361" s="1009">
        <f t="shared" si="156"/>
        <v>1</v>
      </c>
      <c r="AO361" s="144">
        <f t="shared" si="129"/>
        <v>1</v>
      </c>
    </row>
    <row r="362" spans="1:41" ht="49.5" hidden="1" x14ac:dyDescent="0.25">
      <c r="A362" s="1111" t="s">
        <v>495</v>
      </c>
      <c r="B362" s="1111"/>
      <c r="C362" s="1115" t="s">
        <v>1302</v>
      </c>
      <c r="D362" s="1024" t="s">
        <v>1066</v>
      </c>
      <c r="E362" s="1120"/>
      <c r="F362" s="1024" t="s">
        <v>461</v>
      </c>
      <c r="G362" s="1024" t="s">
        <v>1301</v>
      </c>
      <c r="H362" s="1117">
        <f t="shared" si="158"/>
        <v>713</v>
      </c>
      <c r="I362" s="1026">
        <v>713</v>
      </c>
      <c r="J362" s="282"/>
      <c r="K362" s="282"/>
      <c r="L362" s="282"/>
      <c r="M362" s="282"/>
      <c r="N362" s="1031"/>
      <c r="O362" s="1117"/>
      <c r="P362" s="1048">
        <f t="shared" si="159"/>
        <v>650</v>
      </c>
      <c r="Q362" s="1048">
        <v>650</v>
      </c>
      <c r="R362" s="54">
        <f t="shared" si="160"/>
        <v>620</v>
      </c>
      <c r="S362" s="54"/>
      <c r="T362" s="1095">
        <f t="shared" si="150"/>
        <v>620</v>
      </c>
      <c r="U362" s="1095">
        <v>620</v>
      </c>
      <c r="V362" s="54"/>
      <c r="W362" s="54"/>
      <c r="X362" s="1095">
        <f t="shared" si="153"/>
        <v>620</v>
      </c>
      <c r="Y362" s="1095">
        <v>620</v>
      </c>
      <c r="Z362" s="282"/>
      <c r="AA362" s="282"/>
      <c r="AB362" s="282"/>
      <c r="AC362" s="282"/>
      <c r="AD362" s="282"/>
      <c r="AE362" s="282"/>
      <c r="AF362" s="282"/>
      <c r="AG362" s="282"/>
      <c r="AH362" s="282"/>
      <c r="AI362" s="282"/>
      <c r="AJ362" s="282"/>
      <c r="AK362" s="282"/>
      <c r="AL362" s="25"/>
      <c r="AM362" s="1009">
        <f t="shared" si="155"/>
        <v>0</v>
      </c>
      <c r="AN362" s="1009">
        <f t="shared" si="156"/>
        <v>1</v>
      </c>
      <c r="AO362" s="144">
        <f t="shared" si="129"/>
        <v>1</v>
      </c>
    </row>
    <row r="363" spans="1:41" ht="33" hidden="1" x14ac:dyDescent="0.25">
      <c r="A363" s="1111" t="s">
        <v>497</v>
      </c>
      <c r="B363" s="1111"/>
      <c r="C363" s="1115" t="s">
        <v>1300</v>
      </c>
      <c r="D363" s="1024" t="s">
        <v>1066</v>
      </c>
      <c r="E363" s="1120"/>
      <c r="F363" s="1024"/>
      <c r="G363" s="1024"/>
      <c r="H363" s="1117">
        <f t="shared" si="158"/>
        <v>3740.0000000000005</v>
      </c>
      <c r="I363" s="1026">
        <f>Q363*1.1</f>
        <v>3740.0000000000005</v>
      </c>
      <c r="J363" s="282"/>
      <c r="K363" s="282"/>
      <c r="L363" s="282"/>
      <c r="M363" s="282"/>
      <c r="N363" s="1031"/>
      <c r="O363" s="1117"/>
      <c r="P363" s="1048">
        <f t="shared" si="159"/>
        <v>3400</v>
      </c>
      <c r="Q363" s="1048">
        <v>3400</v>
      </c>
      <c r="R363" s="54">
        <f t="shared" ref="R363:R390" si="161">U363-O363</f>
        <v>0</v>
      </c>
      <c r="S363" s="54"/>
      <c r="T363" s="1095">
        <f t="shared" si="150"/>
        <v>0</v>
      </c>
      <c r="U363" s="1095">
        <v>0</v>
      </c>
      <c r="V363" s="54">
        <f t="shared" ref="V363:V366" si="162">Y363-S363</f>
        <v>0</v>
      </c>
      <c r="W363" s="54"/>
      <c r="X363" s="1095">
        <f t="shared" si="153"/>
        <v>0</v>
      </c>
      <c r="Y363" s="1095">
        <v>0</v>
      </c>
      <c r="Z363" s="282"/>
      <c r="AA363" s="282"/>
      <c r="AB363" s="282"/>
      <c r="AC363" s="282"/>
      <c r="AD363" s="282"/>
      <c r="AE363" s="282"/>
      <c r="AF363" s="282"/>
      <c r="AG363" s="282"/>
      <c r="AH363" s="282"/>
      <c r="AI363" s="282"/>
      <c r="AJ363" s="282"/>
      <c r="AK363" s="282"/>
      <c r="AL363" s="25"/>
      <c r="AM363" s="1009">
        <f t="shared" si="155"/>
        <v>0</v>
      </c>
      <c r="AN363" s="1009">
        <f t="shared" si="156"/>
        <v>0</v>
      </c>
      <c r="AO363" s="144">
        <f t="shared" si="129"/>
        <v>1</v>
      </c>
    </row>
    <row r="364" spans="1:41" ht="33" hidden="1" x14ac:dyDescent="0.25">
      <c r="A364" s="1111" t="s">
        <v>498</v>
      </c>
      <c r="B364" s="1111"/>
      <c r="C364" s="1115" t="s">
        <v>1299</v>
      </c>
      <c r="D364" s="1024" t="s">
        <v>1066</v>
      </c>
      <c r="E364" s="1120"/>
      <c r="F364" s="1024"/>
      <c r="G364" s="1024"/>
      <c r="H364" s="1117">
        <f t="shared" si="158"/>
        <v>1320</v>
      </c>
      <c r="I364" s="1026">
        <f>Q364*1.1</f>
        <v>1320</v>
      </c>
      <c r="J364" s="282"/>
      <c r="K364" s="282"/>
      <c r="L364" s="282"/>
      <c r="M364" s="282"/>
      <c r="N364" s="1031"/>
      <c r="O364" s="1117"/>
      <c r="P364" s="1048">
        <f t="shared" si="159"/>
        <v>1200</v>
      </c>
      <c r="Q364" s="1048">
        <v>1200</v>
      </c>
      <c r="R364" s="54">
        <f t="shared" si="161"/>
        <v>0</v>
      </c>
      <c r="S364" s="54"/>
      <c r="T364" s="1095">
        <f t="shared" si="150"/>
        <v>0</v>
      </c>
      <c r="U364" s="1095">
        <v>0</v>
      </c>
      <c r="V364" s="54">
        <f t="shared" si="162"/>
        <v>0</v>
      </c>
      <c r="W364" s="54"/>
      <c r="X364" s="1095">
        <f t="shared" si="153"/>
        <v>0</v>
      </c>
      <c r="Y364" s="1095">
        <v>0</v>
      </c>
      <c r="Z364" s="282"/>
      <c r="AA364" s="282"/>
      <c r="AB364" s="282"/>
      <c r="AC364" s="282"/>
      <c r="AD364" s="282"/>
      <c r="AE364" s="282"/>
      <c r="AF364" s="282"/>
      <c r="AG364" s="282"/>
      <c r="AH364" s="282"/>
      <c r="AI364" s="282"/>
      <c r="AJ364" s="282"/>
      <c r="AK364" s="282"/>
      <c r="AL364" s="25"/>
      <c r="AM364" s="1009">
        <f t="shared" si="155"/>
        <v>0</v>
      </c>
      <c r="AN364" s="1009">
        <f t="shared" si="156"/>
        <v>0</v>
      </c>
      <c r="AO364" s="144">
        <f t="shared" si="129"/>
        <v>1</v>
      </c>
    </row>
    <row r="365" spans="1:41" ht="33" hidden="1" x14ac:dyDescent="0.25">
      <c r="A365" s="1111" t="s">
        <v>1298</v>
      </c>
      <c r="B365" s="1111"/>
      <c r="C365" s="1115" t="s">
        <v>1297</v>
      </c>
      <c r="D365" s="1024" t="s">
        <v>1066</v>
      </c>
      <c r="E365" s="1120"/>
      <c r="F365" s="1024"/>
      <c r="G365" s="1024"/>
      <c r="H365" s="1117">
        <f t="shared" si="158"/>
        <v>1760.0000000000002</v>
      </c>
      <c r="I365" s="1026">
        <f>Q365*1.1</f>
        <v>1760.0000000000002</v>
      </c>
      <c r="J365" s="282"/>
      <c r="K365" s="282"/>
      <c r="L365" s="282"/>
      <c r="M365" s="282"/>
      <c r="N365" s="1031"/>
      <c r="O365" s="1117"/>
      <c r="P365" s="1048">
        <f t="shared" si="159"/>
        <v>1600</v>
      </c>
      <c r="Q365" s="1048">
        <v>1600</v>
      </c>
      <c r="R365" s="54">
        <f t="shared" si="161"/>
        <v>0</v>
      </c>
      <c r="S365" s="54"/>
      <c r="T365" s="1095">
        <f t="shared" si="150"/>
        <v>0</v>
      </c>
      <c r="U365" s="1095">
        <v>0</v>
      </c>
      <c r="V365" s="54">
        <f t="shared" si="162"/>
        <v>0</v>
      </c>
      <c r="W365" s="54"/>
      <c r="X365" s="1095">
        <f t="shared" si="153"/>
        <v>0</v>
      </c>
      <c r="Y365" s="1095">
        <v>0</v>
      </c>
      <c r="Z365" s="282"/>
      <c r="AA365" s="282"/>
      <c r="AB365" s="282"/>
      <c r="AC365" s="282"/>
      <c r="AD365" s="282"/>
      <c r="AE365" s="282"/>
      <c r="AF365" s="282"/>
      <c r="AG365" s="282"/>
      <c r="AH365" s="282"/>
      <c r="AI365" s="282"/>
      <c r="AJ365" s="282"/>
      <c r="AK365" s="282"/>
      <c r="AL365" s="25"/>
      <c r="AM365" s="1009">
        <f t="shared" si="155"/>
        <v>0</v>
      </c>
      <c r="AN365" s="1009">
        <f t="shared" si="156"/>
        <v>0</v>
      </c>
      <c r="AO365" s="144">
        <f t="shared" si="129"/>
        <v>1</v>
      </c>
    </row>
    <row r="366" spans="1:41" ht="33" hidden="1" x14ac:dyDescent="0.25">
      <c r="A366" s="1111" t="s">
        <v>1296</v>
      </c>
      <c r="B366" s="1111"/>
      <c r="C366" s="1115" t="s">
        <v>1295</v>
      </c>
      <c r="D366" s="1024" t="s">
        <v>1066</v>
      </c>
      <c r="E366" s="1120"/>
      <c r="F366" s="1024"/>
      <c r="G366" s="1024"/>
      <c r="H366" s="1117">
        <f t="shared" si="158"/>
        <v>3300.0000000000005</v>
      </c>
      <c r="I366" s="1026">
        <f>Q366*1.1</f>
        <v>3300.0000000000005</v>
      </c>
      <c r="J366" s="282"/>
      <c r="K366" s="282"/>
      <c r="L366" s="282"/>
      <c r="M366" s="282"/>
      <c r="N366" s="1031"/>
      <c r="O366" s="1117"/>
      <c r="P366" s="1048">
        <f t="shared" si="159"/>
        <v>3000</v>
      </c>
      <c r="Q366" s="1048">
        <v>3000</v>
      </c>
      <c r="R366" s="54">
        <f t="shared" si="161"/>
        <v>0</v>
      </c>
      <c r="S366" s="54"/>
      <c r="T366" s="1095">
        <f t="shared" si="150"/>
        <v>0</v>
      </c>
      <c r="U366" s="1095">
        <v>0</v>
      </c>
      <c r="V366" s="54">
        <f t="shared" si="162"/>
        <v>0</v>
      </c>
      <c r="W366" s="54"/>
      <c r="X366" s="1095">
        <f t="shared" si="153"/>
        <v>0</v>
      </c>
      <c r="Y366" s="1095">
        <v>0</v>
      </c>
      <c r="Z366" s="282"/>
      <c r="AA366" s="282"/>
      <c r="AB366" s="282"/>
      <c r="AC366" s="282"/>
      <c r="AD366" s="282"/>
      <c r="AE366" s="282"/>
      <c r="AF366" s="282"/>
      <c r="AG366" s="282"/>
      <c r="AH366" s="282"/>
      <c r="AI366" s="282"/>
      <c r="AJ366" s="282"/>
      <c r="AK366" s="282"/>
      <c r="AL366" s="25"/>
      <c r="AM366" s="1009">
        <f t="shared" si="155"/>
        <v>0</v>
      </c>
      <c r="AN366" s="1009">
        <f t="shared" si="156"/>
        <v>0</v>
      </c>
      <c r="AO366" s="144">
        <f t="shared" ref="AO366:AO429" si="163">IF(I366-Y366&gt;=0,1,0)</f>
        <v>1</v>
      </c>
    </row>
    <row r="367" spans="1:41" ht="33" hidden="1" x14ac:dyDescent="0.25">
      <c r="A367" s="1111" t="s">
        <v>1294</v>
      </c>
      <c r="B367" s="1111">
        <v>3</v>
      </c>
      <c r="C367" s="1115" t="s">
        <v>1293</v>
      </c>
      <c r="D367" s="1024" t="s">
        <v>1066</v>
      </c>
      <c r="E367" s="1120"/>
      <c r="F367" s="1024" t="s">
        <v>290</v>
      </c>
      <c r="G367" s="1024"/>
      <c r="H367" s="1117">
        <f t="shared" si="158"/>
        <v>43224</v>
      </c>
      <c r="I367" s="1026">
        <v>43224</v>
      </c>
      <c r="J367" s="282"/>
      <c r="K367" s="282"/>
      <c r="L367" s="282"/>
      <c r="M367" s="282"/>
      <c r="N367" s="1109"/>
      <c r="O367" s="1118"/>
      <c r="P367" s="330">
        <f t="shared" si="159"/>
        <v>25000</v>
      </c>
      <c r="Q367" s="330">
        <v>25000</v>
      </c>
      <c r="R367" s="8">
        <f t="shared" si="161"/>
        <v>25000</v>
      </c>
      <c r="S367" s="8"/>
      <c r="T367" s="1095">
        <f t="shared" si="150"/>
        <v>25000</v>
      </c>
      <c r="U367" s="1095">
        <v>25000</v>
      </c>
      <c r="V367" s="54">
        <v>15000</v>
      </c>
      <c r="W367" s="54"/>
      <c r="X367" s="1095">
        <f t="shared" si="153"/>
        <v>40000</v>
      </c>
      <c r="Y367" s="1095">
        <f>V367+U367</f>
        <v>40000</v>
      </c>
      <c r="Z367" s="244"/>
      <c r="AA367" s="244"/>
      <c r="AB367" s="244"/>
      <c r="AC367" s="244"/>
      <c r="AD367" s="244"/>
      <c r="AE367" s="244"/>
      <c r="AF367" s="244"/>
      <c r="AG367" s="244"/>
      <c r="AH367" s="244"/>
      <c r="AI367" s="244"/>
      <c r="AJ367" s="244"/>
      <c r="AK367" s="244"/>
      <c r="AL367" s="25" t="s">
        <v>2187</v>
      </c>
      <c r="AM367" s="1009">
        <f t="shared" si="155"/>
        <v>1</v>
      </c>
      <c r="AN367" s="1009">
        <f t="shared" si="156"/>
        <v>1</v>
      </c>
      <c r="AO367" s="144">
        <f t="shared" si="163"/>
        <v>1</v>
      </c>
    </row>
    <row r="368" spans="1:41" ht="37.5" hidden="1" x14ac:dyDescent="0.25">
      <c r="A368" s="1111" t="s">
        <v>1903</v>
      </c>
      <c r="B368" s="1111">
        <v>4</v>
      </c>
      <c r="C368" s="1170" t="s">
        <v>1881</v>
      </c>
      <c r="D368" s="1024" t="s">
        <v>1066</v>
      </c>
      <c r="E368" s="1120"/>
      <c r="F368" s="1024" t="s">
        <v>290</v>
      </c>
      <c r="G368" s="1024"/>
      <c r="H368" s="1117">
        <f t="shared" si="158"/>
        <v>198</v>
      </c>
      <c r="I368" s="1026">
        <v>198</v>
      </c>
      <c r="J368" s="282"/>
      <c r="K368" s="282"/>
      <c r="L368" s="282"/>
      <c r="M368" s="282"/>
      <c r="N368" s="1109"/>
      <c r="O368" s="1118"/>
      <c r="P368" s="330"/>
      <c r="Q368" s="330"/>
      <c r="R368" s="8">
        <f t="shared" si="161"/>
        <v>150</v>
      </c>
      <c r="S368" s="8"/>
      <c r="T368" s="1095">
        <f t="shared" si="150"/>
        <v>150</v>
      </c>
      <c r="U368" s="1095">
        <v>150</v>
      </c>
      <c r="V368" s="54">
        <f>100+90-U368</f>
        <v>40</v>
      </c>
      <c r="W368" s="54"/>
      <c r="X368" s="1095">
        <f t="shared" ref="X368" si="164">Y368</f>
        <v>190</v>
      </c>
      <c r="Y368" s="1095">
        <f>V368+U368</f>
        <v>190</v>
      </c>
      <c r="Z368" s="244"/>
      <c r="AA368" s="244"/>
      <c r="AB368" s="244"/>
      <c r="AC368" s="244"/>
      <c r="AD368" s="244"/>
      <c r="AE368" s="244"/>
      <c r="AF368" s="244"/>
      <c r="AG368" s="244"/>
      <c r="AH368" s="244"/>
      <c r="AI368" s="244"/>
      <c r="AJ368" s="244"/>
      <c r="AK368" s="244"/>
      <c r="AL368" s="25" t="s">
        <v>2187</v>
      </c>
      <c r="AM368" s="1009">
        <f t="shared" si="155"/>
        <v>1</v>
      </c>
      <c r="AN368" s="1009">
        <f t="shared" si="156"/>
        <v>1</v>
      </c>
      <c r="AO368" s="144">
        <f t="shared" si="163"/>
        <v>1</v>
      </c>
    </row>
    <row r="369" spans="1:41" ht="56.25" hidden="1" x14ac:dyDescent="0.25">
      <c r="A369" s="1111" t="s">
        <v>1904</v>
      </c>
      <c r="B369" s="1111">
        <v>5</v>
      </c>
      <c r="C369" s="1170" t="s">
        <v>1882</v>
      </c>
      <c r="D369" s="1024" t="s">
        <v>1066</v>
      </c>
      <c r="E369" s="1120"/>
      <c r="F369" s="1024" t="s">
        <v>290</v>
      </c>
      <c r="G369" s="1024"/>
      <c r="H369" s="1117">
        <f t="shared" si="158"/>
        <v>279</v>
      </c>
      <c r="I369" s="1026">
        <v>279</v>
      </c>
      <c r="J369" s="282"/>
      <c r="K369" s="282"/>
      <c r="L369" s="282"/>
      <c r="M369" s="282"/>
      <c r="N369" s="1109"/>
      <c r="O369" s="1118"/>
      <c r="P369" s="330"/>
      <c r="Q369" s="330"/>
      <c r="R369" s="8">
        <f t="shared" si="161"/>
        <v>200</v>
      </c>
      <c r="S369" s="8"/>
      <c r="T369" s="1095">
        <f t="shared" si="150"/>
        <v>200</v>
      </c>
      <c r="U369" s="1095">
        <v>200</v>
      </c>
      <c r="V369" s="54">
        <f>150+120-200</f>
        <v>70</v>
      </c>
      <c r="W369" s="54"/>
      <c r="X369" s="1095">
        <f t="shared" ref="X369:X390" si="165">Y369</f>
        <v>270</v>
      </c>
      <c r="Y369" s="1095">
        <f t="shared" ref="Y369:Y390" si="166">V369+U369</f>
        <v>270</v>
      </c>
      <c r="Z369" s="244"/>
      <c r="AA369" s="244"/>
      <c r="AB369" s="244"/>
      <c r="AC369" s="244"/>
      <c r="AD369" s="244"/>
      <c r="AE369" s="244"/>
      <c r="AF369" s="244"/>
      <c r="AG369" s="244"/>
      <c r="AH369" s="244"/>
      <c r="AI369" s="244"/>
      <c r="AJ369" s="244"/>
      <c r="AK369" s="244"/>
      <c r="AL369" s="25" t="s">
        <v>2187</v>
      </c>
      <c r="AM369" s="1009">
        <f t="shared" si="155"/>
        <v>1</v>
      </c>
      <c r="AN369" s="1009">
        <f t="shared" si="156"/>
        <v>1</v>
      </c>
      <c r="AO369" s="144">
        <f t="shared" si="163"/>
        <v>1</v>
      </c>
    </row>
    <row r="370" spans="1:41" ht="37.5" hidden="1" x14ac:dyDescent="0.25">
      <c r="A370" s="1111" t="s">
        <v>1905</v>
      </c>
      <c r="B370" s="1111">
        <v>6</v>
      </c>
      <c r="C370" s="1170" t="s">
        <v>1883</v>
      </c>
      <c r="D370" s="1024" t="s">
        <v>1066</v>
      </c>
      <c r="E370" s="1120"/>
      <c r="F370" s="1024" t="s">
        <v>290</v>
      </c>
      <c r="G370" s="1024"/>
      <c r="H370" s="1117">
        <f t="shared" si="158"/>
        <v>1676</v>
      </c>
      <c r="I370" s="1026">
        <v>1676</v>
      </c>
      <c r="J370" s="282"/>
      <c r="K370" s="282"/>
      <c r="L370" s="282"/>
      <c r="M370" s="282"/>
      <c r="N370" s="1109"/>
      <c r="O370" s="1118"/>
      <c r="P370" s="330"/>
      <c r="Q370" s="330"/>
      <c r="R370" s="8">
        <f t="shared" si="161"/>
        <v>1300</v>
      </c>
      <c r="S370" s="8"/>
      <c r="T370" s="1095">
        <f t="shared" si="150"/>
        <v>1300</v>
      </c>
      <c r="U370" s="1095">
        <v>1300</v>
      </c>
      <c r="V370" s="54">
        <f>1000+540-1300</f>
        <v>240</v>
      </c>
      <c r="W370" s="54"/>
      <c r="X370" s="1095">
        <f t="shared" si="165"/>
        <v>1540</v>
      </c>
      <c r="Y370" s="1095">
        <f t="shared" si="166"/>
        <v>1540</v>
      </c>
      <c r="Z370" s="244"/>
      <c r="AA370" s="244"/>
      <c r="AB370" s="244"/>
      <c r="AC370" s="244"/>
      <c r="AD370" s="244"/>
      <c r="AE370" s="244"/>
      <c r="AF370" s="244"/>
      <c r="AG370" s="244"/>
      <c r="AH370" s="244"/>
      <c r="AI370" s="244"/>
      <c r="AJ370" s="244"/>
      <c r="AK370" s="244"/>
      <c r="AL370" s="25" t="s">
        <v>2187</v>
      </c>
      <c r="AM370" s="1009">
        <f t="shared" si="155"/>
        <v>1</v>
      </c>
      <c r="AN370" s="1009">
        <f t="shared" si="156"/>
        <v>1</v>
      </c>
      <c r="AO370" s="144">
        <f t="shared" si="163"/>
        <v>1</v>
      </c>
    </row>
    <row r="371" spans="1:41" ht="56.25" hidden="1" x14ac:dyDescent="0.25">
      <c r="A371" s="1111" t="s">
        <v>1906</v>
      </c>
      <c r="B371" s="1111">
        <v>7</v>
      </c>
      <c r="C371" s="1171" t="s">
        <v>1884</v>
      </c>
      <c r="D371" s="1024" t="s">
        <v>1066</v>
      </c>
      <c r="E371" s="1120"/>
      <c r="F371" s="1024" t="s">
        <v>290</v>
      </c>
      <c r="G371" s="1024"/>
      <c r="H371" s="1117">
        <f t="shared" si="158"/>
        <v>968</v>
      </c>
      <c r="I371" s="1026">
        <v>968</v>
      </c>
      <c r="J371" s="282"/>
      <c r="K371" s="282"/>
      <c r="L371" s="282"/>
      <c r="M371" s="282"/>
      <c r="N371" s="1109"/>
      <c r="O371" s="1118"/>
      <c r="P371" s="330"/>
      <c r="Q371" s="330"/>
      <c r="R371" s="8">
        <f t="shared" si="161"/>
        <v>650</v>
      </c>
      <c r="S371" s="8"/>
      <c r="T371" s="1095">
        <f t="shared" si="150"/>
        <v>650</v>
      </c>
      <c r="U371" s="1095">
        <v>650</v>
      </c>
      <c r="V371" s="54">
        <f>500+390-650</f>
        <v>240</v>
      </c>
      <c r="W371" s="54"/>
      <c r="X371" s="1095">
        <f t="shared" si="165"/>
        <v>890</v>
      </c>
      <c r="Y371" s="1095">
        <f t="shared" si="166"/>
        <v>890</v>
      </c>
      <c r="Z371" s="244"/>
      <c r="AA371" s="244"/>
      <c r="AB371" s="244"/>
      <c r="AC371" s="244"/>
      <c r="AD371" s="244"/>
      <c r="AE371" s="244"/>
      <c r="AF371" s="244"/>
      <c r="AG371" s="244"/>
      <c r="AH371" s="244"/>
      <c r="AI371" s="244"/>
      <c r="AJ371" s="244"/>
      <c r="AK371" s="244"/>
      <c r="AL371" s="25" t="s">
        <v>2187</v>
      </c>
      <c r="AM371" s="1009">
        <f t="shared" si="155"/>
        <v>1</v>
      </c>
      <c r="AN371" s="1009">
        <f t="shared" si="156"/>
        <v>1</v>
      </c>
      <c r="AO371" s="144">
        <f t="shared" si="163"/>
        <v>1</v>
      </c>
    </row>
    <row r="372" spans="1:41" ht="93.75" hidden="1" x14ac:dyDescent="0.25">
      <c r="A372" s="1111" t="s">
        <v>1907</v>
      </c>
      <c r="B372" s="1111">
        <v>8</v>
      </c>
      <c r="C372" s="1171" t="s">
        <v>1885</v>
      </c>
      <c r="D372" s="1024" t="s">
        <v>1066</v>
      </c>
      <c r="E372" s="1120"/>
      <c r="F372" s="1024" t="s">
        <v>290</v>
      </c>
      <c r="G372" s="1024"/>
      <c r="H372" s="1117">
        <f t="shared" si="158"/>
        <v>855</v>
      </c>
      <c r="I372" s="1026">
        <v>855</v>
      </c>
      <c r="J372" s="282"/>
      <c r="K372" s="282"/>
      <c r="L372" s="282"/>
      <c r="M372" s="282"/>
      <c r="N372" s="1109"/>
      <c r="O372" s="1118"/>
      <c r="P372" s="330"/>
      <c r="Q372" s="330"/>
      <c r="R372" s="8">
        <f t="shared" si="161"/>
        <v>600</v>
      </c>
      <c r="S372" s="8"/>
      <c r="T372" s="1095">
        <f t="shared" si="150"/>
        <v>600</v>
      </c>
      <c r="U372" s="1095">
        <v>600</v>
      </c>
      <c r="V372" s="54">
        <f>450+300-600</f>
        <v>150</v>
      </c>
      <c r="W372" s="54"/>
      <c r="X372" s="1095">
        <f t="shared" si="165"/>
        <v>750</v>
      </c>
      <c r="Y372" s="1095">
        <f t="shared" si="166"/>
        <v>750</v>
      </c>
      <c r="Z372" s="244"/>
      <c r="AA372" s="244"/>
      <c r="AB372" s="244"/>
      <c r="AC372" s="244"/>
      <c r="AD372" s="244"/>
      <c r="AE372" s="244"/>
      <c r="AF372" s="244"/>
      <c r="AG372" s="244"/>
      <c r="AH372" s="244"/>
      <c r="AI372" s="244"/>
      <c r="AJ372" s="244"/>
      <c r="AK372" s="244"/>
      <c r="AL372" s="25" t="s">
        <v>2187</v>
      </c>
      <c r="AM372" s="1009">
        <f t="shared" si="155"/>
        <v>1</v>
      </c>
      <c r="AN372" s="1009">
        <f t="shared" si="156"/>
        <v>1</v>
      </c>
      <c r="AO372" s="144">
        <f t="shared" si="163"/>
        <v>1</v>
      </c>
    </row>
    <row r="373" spans="1:41" ht="37.5" hidden="1" x14ac:dyDescent="0.25">
      <c r="A373" s="1111" t="s">
        <v>1908</v>
      </c>
      <c r="B373" s="1111">
        <v>9</v>
      </c>
      <c r="C373" s="1171" t="s">
        <v>1886</v>
      </c>
      <c r="D373" s="1024" t="s">
        <v>1066</v>
      </c>
      <c r="E373" s="1120"/>
      <c r="F373" s="1024" t="s">
        <v>290</v>
      </c>
      <c r="G373" s="1024"/>
      <c r="H373" s="1117">
        <f t="shared" si="158"/>
        <v>700</v>
      </c>
      <c r="I373" s="1026">
        <v>700</v>
      </c>
      <c r="J373" s="282"/>
      <c r="K373" s="282"/>
      <c r="L373" s="282"/>
      <c r="M373" s="282"/>
      <c r="N373" s="1109"/>
      <c r="O373" s="1118"/>
      <c r="P373" s="330"/>
      <c r="Q373" s="330"/>
      <c r="R373" s="8">
        <f t="shared" si="161"/>
        <v>500</v>
      </c>
      <c r="S373" s="8"/>
      <c r="T373" s="1095">
        <f t="shared" si="150"/>
        <v>500</v>
      </c>
      <c r="U373" s="1095">
        <v>500</v>
      </c>
      <c r="V373" s="54">
        <f>400+200-500</f>
        <v>100</v>
      </c>
      <c r="W373" s="54"/>
      <c r="X373" s="1095">
        <f t="shared" si="165"/>
        <v>600</v>
      </c>
      <c r="Y373" s="1095">
        <f t="shared" si="166"/>
        <v>600</v>
      </c>
      <c r="Z373" s="244"/>
      <c r="AA373" s="244"/>
      <c r="AB373" s="244"/>
      <c r="AC373" s="244"/>
      <c r="AD373" s="244"/>
      <c r="AE373" s="244"/>
      <c r="AF373" s="244"/>
      <c r="AG373" s="244"/>
      <c r="AH373" s="244"/>
      <c r="AI373" s="244"/>
      <c r="AJ373" s="244"/>
      <c r="AK373" s="244"/>
      <c r="AL373" s="25" t="s">
        <v>2187</v>
      </c>
      <c r="AM373" s="1009">
        <f t="shared" si="155"/>
        <v>1</v>
      </c>
      <c r="AN373" s="1009">
        <f t="shared" si="156"/>
        <v>1</v>
      </c>
      <c r="AO373" s="144">
        <f t="shared" si="163"/>
        <v>1</v>
      </c>
    </row>
    <row r="374" spans="1:41" ht="37.5" hidden="1" x14ac:dyDescent="0.25">
      <c r="A374" s="1111" t="s">
        <v>1909</v>
      </c>
      <c r="B374" s="1111">
        <v>10</v>
      </c>
      <c r="C374" s="1171" t="s">
        <v>1887</v>
      </c>
      <c r="D374" s="1024" t="s">
        <v>1066</v>
      </c>
      <c r="E374" s="1120"/>
      <c r="F374" s="1024" t="s">
        <v>290</v>
      </c>
      <c r="G374" s="1024"/>
      <c r="H374" s="1117">
        <f t="shared" si="158"/>
        <v>776</v>
      </c>
      <c r="I374" s="1026">
        <v>776</v>
      </c>
      <c r="J374" s="282"/>
      <c r="K374" s="282"/>
      <c r="L374" s="282"/>
      <c r="M374" s="282"/>
      <c r="N374" s="1109"/>
      <c r="O374" s="1118"/>
      <c r="P374" s="330"/>
      <c r="Q374" s="330"/>
      <c r="R374" s="8">
        <f t="shared" si="161"/>
        <v>550</v>
      </c>
      <c r="S374" s="8"/>
      <c r="T374" s="1095">
        <f t="shared" si="150"/>
        <v>550</v>
      </c>
      <c r="U374" s="1095">
        <v>550</v>
      </c>
      <c r="V374" s="54">
        <f>400+280-550</f>
        <v>130</v>
      </c>
      <c r="W374" s="54"/>
      <c r="X374" s="1095">
        <f t="shared" si="165"/>
        <v>680</v>
      </c>
      <c r="Y374" s="1095">
        <f t="shared" si="166"/>
        <v>680</v>
      </c>
      <c r="Z374" s="244"/>
      <c r="AA374" s="244"/>
      <c r="AB374" s="244"/>
      <c r="AC374" s="244"/>
      <c r="AD374" s="244"/>
      <c r="AE374" s="244"/>
      <c r="AF374" s="244"/>
      <c r="AG374" s="244"/>
      <c r="AH374" s="244"/>
      <c r="AI374" s="244"/>
      <c r="AJ374" s="244"/>
      <c r="AK374" s="244"/>
      <c r="AL374" s="25" t="s">
        <v>2187</v>
      </c>
      <c r="AM374" s="1009">
        <f t="shared" si="155"/>
        <v>1</v>
      </c>
      <c r="AN374" s="1009">
        <f t="shared" si="156"/>
        <v>1</v>
      </c>
      <c r="AO374" s="144">
        <f t="shared" si="163"/>
        <v>1</v>
      </c>
    </row>
    <row r="375" spans="1:41" ht="56.25" hidden="1" x14ac:dyDescent="0.25">
      <c r="A375" s="1111" t="s">
        <v>1910</v>
      </c>
      <c r="B375" s="1111">
        <v>11</v>
      </c>
      <c r="C375" s="1171" t="s">
        <v>1888</v>
      </c>
      <c r="D375" s="1024" t="s">
        <v>1066</v>
      </c>
      <c r="E375" s="1120"/>
      <c r="F375" s="1024" t="s">
        <v>290</v>
      </c>
      <c r="G375" s="1024"/>
      <c r="H375" s="1117">
        <f t="shared" si="158"/>
        <v>783</v>
      </c>
      <c r="I375" s="1026">
        <v>783</v>
      </c>
      <c r="J375" s="282"/>
      <c r="K375" s="282"/>
      <c r="L375" s="282"/>
      <c r="M375" s="282"/>
      <c r="N375" s="1109"/>
      <c r="O375" s="1118"/>
      <c r="P375" s="330"/>
      <c r="Q375" s="330"/>
      <c r="R375" s="8">
        <f t="shared" si="161"/>
        <v>550</v>
      </c>
      <c r="S375" s="8"/>
      <c r="T375" s="1095">
        <f t="shared" si="150"/>
        <v>550</v>
      </c>
      <c r="U375" s="1095">
        <v>550</v>
      </c>
      <c r="V375" s="54">
        <f>400+280-550</f>
        <v>130</v>
      </c>
      <c r="W375" s="54"/>
      <c r="X375" s="1095">
        <f t="shared" si="165"/>
        <v>680</v>
      </c>
      <c r="Y375" s="1095">
        <f t="shared" si="166"/>
        <v>680</v>
      </c>
      <c r="Z375" s="244"/>
      <c r="AA375" s="244"/>
      <c r="AB375" s="244"/>
      <c r="AC375" s="244"/>
      <c r="AD375" s="244"/>
      <c r="AE375" s="244"/>
      <c r="AF375" s="244"/>
      <c r="AG375" s="244"/>
      <c r="AH375" s="244"/>
      <c r="AI375" s="244"/>
      <c r="AJ375" s="244"/>
      <c r="AK375" s="244"/>
      <c r="AL375" s="25" t="s">
        <v>2187</v>
      </c>
      <c r="AM375" s="1009">
        <f t="shared" si="155"/>
        <v>1</v>
      </c>
      <c r="AN375" s="1009">
        <f t="shared" si="156"/>
        <v>1</v>
      </c>
      <c r="AO375" s="144">
        <f t="shared" si="163"/>
        <v>1</v>
      </c>
    </row>
    <row r="376" spans="1:41" ht="112.5" hidden="1" x14ac:dyDescent="0.25">
      <c r="A376" s="1111" t="s">
        <v>1911</v>
      </c>
      <c r="B376" s="1111">
        <v>12</v>
      </c>
      <c r="C376" s="1171" t="s">
        <v>1889</v>
      </c>
      <c r="D376" s="1024" t="s">
        <v>1066</v>
      </c>
      <c r="E376" s="1120"/>
      <c r="F376" s="1024" t="s">
        <v>290</v>
      </c>
      <c r="G376" s="1024"/>
      <c r="H376" s="1117">
        <f t="shared" si="158"/>
        <v>1239</v>
      </c>
      <c r="I376" s="1026">
        <v>1239</v>
      </c>
      <c r="J376" s="282"/>
      <c r="K376" s="282"/>
      <c r="L376" s="282"/>
      <c r="M376" s="282"/>
      <c r="N376" s="1109"/>
      <c r="O376" s="1118"/>
      <c r="P376" s="330"/>
      <c r="Q376" s="330"/>
      <c r="R376" s="8">
        <f t="shared" si="161"/>
        <v>900</v>
      </c>
      <c r="S376" s="8"/>
      <c r="T376" s="1095">
        <f t="shared" si="150"/>
        <v>900</v>
      </c>
      <c r="U376" s="1095">
        <v>900</v>
      </c>
      <c r="V376" s="54">
        <f>700+440-900</f>
        <v>240</v>
      </c>
      <c r="W376" s="54"/>
      <c r="X376" s="1095">
        <f t="shared" si="165"/>
        <v>1140</v>
      </c>
      <c r="Y376" s="1095">
        <f t="shared" si="166"/>
        <v>1140</v>
      </c>
      <c r="Z376" s="244"/>
      <c r="AA376" s="244"/>
      <c r="AB376" s="244"/>
      <c r="AC376" s="244"/>
      <c r="AD376" s="244"/>
      <c r="AE376" s="244"/>
      <c r="AF376" s="244"/>
      <c r="AG376" s="244"/>
      <c r="AH376" s="244"/>
      <c r="AI376" s="244"/>
      <c r="AJ376" s="244"/>
      <c r="AK376" s="244"/>
      <c r="AL376" s="25" t="s">
        <v>2187</v>
      </c>
      <c r="AM376" s="1009">
        <f t="shared" si="155"/>
        <v>1</v>
      </c>
      <c r="AN376" s="1009">
        <f t="shared" si="156"/>
        <v>1</v>
      </c>
      <c r="AO376" s="144">
        <f t="shared" si="163"/>
        <v>1</v>
      </c>
    </row>
    <row r="377" spans="1:41" ht="112.5" hidden="1" x14ac:dyDescent="0.25">
      <c r="A377" s="1111" t="s">
        <v>1912</v>
      </c>
      <c r="B377" s="1111">
        <v>13</v>
      </c>
      <c r="C377" s="1170" t="s">
        <v>1890</v>
      </c>
      <c r="D377" s="1024" t="s">
        <v>1066</v>
      </c>
      <c r="E377" s="1120"/>
      <c r="F377" s="1024" t="s">
        <v>290</v>
      </c>
      <c r="G377" s="1024"/>
      <c r="H377" s="1117">
        <f t="shared" si="158"/>
        <v>1264</v>
      </c>
      <c r="I377" s="1026">
        <v>1264</v>
      </c>
      <c r="J377" s="282"/>
      <c r="K377" s="282"/>
      <c r="L377" s="282"/>
      <c r="M377" s="282"/>
      <c r="N377" s="1109"/>
      <c r="O377" s="1118"/>
      <c r="P377" s="330"/>
      <c r="Q377" s="330"/>
      <c r="R377" s="8">
        <f t="shared" si="161"/>
        <v>950</v>
      </c>
      <c r="S377" s="8"/>
      <c r="T377" s="1095">
        <f t="shared" si="150"/>
        <v>950</v>
      </c>
      <c r="U377" s="1095">
        <v>950</v>
      </c>
      <c r="V377" s="54">
        <f>700+460-U377</f>
        <v>210</v>
      </c>
      <c r="W377" s="54"/>
      <c r="X377" s="1095">
        <f t="shared" si="165"/>
        <v>1160</v>
      </c>
      <c r="Y377" s="1095">
        <f t="shared" si="166"/>
        <v>1160</v>
      </c>
      <c r="Z377" s="244"/>
      <c r="AA377" s="244"/>
      <c r="AB377" s="244"/>
      <c r="AC377" s="244"/>
      <c r="AD377" s="244"/>
      <c r="AE377" s="244"/>
      <c r="AF377" s="244"/>
      <c r="AG377" s="244"/>
      <c r="AH377" s="244"/>
      <c r="AI377" s="244"/>
      <c r="AJ377" s="244"/>
      <c r="AK377" s="244"/>
      <c r="AL377" s="25" t="s">
        <v>2187</v>
      </c>
      <c r="AM377" s="1009">
        <f t="shared" si="155"/>
        <v>1</v>
      </c>
      <c r="AN377" s="1009">
        <f t="shared" si="156"/>
        <v>1</v>
      </c>
      <c r="AO377" s="144">
        <f t="shared" si="163"/>
        <v>1</v>
      </c>
    </row>
    <row r="378" spans="1:41" ht="56.25" hidden="1" x14ac:dyDescent="0.25">
      <c r="A378" s="1111" t="s">
        <v>1913</v>
      </c>
      <c r="B378" s="1111">
        <v>14</v>
      </c>
      <c r="C378" s="1171" t="s">
        <v>1891</v>
      </c>
      <c r="D378" s="1024" t="s">
        <v>1066</v>
      </c>
      <c r="E378" s="1120"/>
      <c r="F378" s="1024" t="s">
        <v>290</v>
      </c>
      <c r="G378" s="1024"/>
      <c r="H378" s="1117">
        <f t="shared" si="158"/>
        <v>1238</v>
      </c>
      <c r="I378" s="1026">
        <v>1238</v>
      </c>
      <c r="J378" s="282"/>
      <c r="K378" s="282"/>
      <c r="L378" s="282"/>
      <c r="M378" s="282"/>
      <c r="N378" s="1109"/>
      <c r="O378" s="1118"/>
      <c r="P378" s="330"/>
      <c r="Q378" s="330"/>
      <c r="R378" s="8">
        <f t="shared" si="161"/>
        <v>900</v>
      </c>
      <c r="S378" s="8"/>
      <c r="T378" s="1095">
        <f t="shared" si="150"/>
        <v>900</v>
      </c>
      <c r="U378" s="1095">
        <v>900</v>
      </c>
      <c r="V378" s="54">
        <f>700+400-U378</f>
        <v>200</v>
      </c>
      <c r="W378" s="54"/>
      <c r="X378" s="1095">
        <f t="shared" si="165"/>
        <v>1100</v>
      </c>
      <c r="Y378" s="1095">
        <f t="shared" si="166"/>
        <v>1100</v>
      </c>
      <c r="Z378" s="244"/>
      <c r="AA378" s="244"/>
      <c r="AB378" s="244"/>
      <c r="AC378" s="244"/>
      <c r="AD378" s="244"/>
      <c r="AE378" s="244"/>
      <c r="AF378" s="244"/>
      <c r="AG378" s="244"/>
      <c r="AH378" s="244"/>
      <c r="AI378" s="244"/>
      <c r="AJ378" s="244"/>
      <c r="AK378" s="244"/>
      <c r="AL378" s="25" t="s">
        <v>2187</v>
      </c>
      <c r="AM378" s="1009">
        <f t="shared" si="155"/>
        <v>1</v>
      </c>
      <c r="AN378" s="1009">
        <f t="shared" si="156"/>
        <v>1</v>
      </c>
      <c r="AO378" s="144">
        <f t="shared" si="163"/>
        <v>1</v>
      </c>
    </row>
    <row r="379" spans="1:41" ht="75" hidden="1" x14ac:dyDescent="0.25">
      <c r="A379" s="1111" t="s">
        <v>1914</v>
      </c>
      <c r="B379" s="1111">
        <v>15</v>
      </c>
      <c r="C379" s="1171" t="s">
        <v>1892</v>
      </c>
      <c r="D379" s="1024" t="s">
        <v>1066</v>
      </c>
      <c r="E379" s="1120"/>
      <c r="F379" s="1024" t="s">
        <v>290</v>
      </c>
      <c r="G379" s="1024"/>
      <c r="H379" s="1117">
        <f t="shared" si="158"/>
        <v>1262</v>
      </c>
      <c r="I379" s="1026">
        <v>1262</v>
      </c>
      <c r="J379" s="282"/>
      <c r="K379" s="282"/>
      <c r="L379" s="282"/>
      <c r="M379" s="282"/>
      <c r="N379" s="1109"/>
      <c r="O379" s="1118"/>
      <c r="P379" s="330"/>
      <c r="Q379" s="330"/>
      <c r="R379" s="8">
        <f t="shared" si="161"/>
        <v>950</v>
      </c>
      <c r="S379" s="8"/>
      <c r="T379" s="1095">
        <f t="shared" si="150"/>
        <v>950</v>
      </c>
      <c r="U379" s="1095">
        <v>950</v>
      </c>
      <c r="V379" s="54">
        <f>700+460-U379</f>
        <v>210</v>
      </c>
      <c r="W379" s="54"/>
      <c r="X379" s="1095">
        <f t="shared" si="165"/>
        <v>1160</v>
      </c>
      <c r="Y379" s="1095">
        <f t="shared" si="166"/>
        <v>1160</v>
      </c>
      <c r="Z379" s="244"/>
      <c r="AA379" s="244"/>
      <c r="AB379" s="244"/>
      <c r="AC379" s="244"/>
      <c r="AD379" s="244"/>
      <c r="AE379" s="244"/>
      <c r="AF379" s="244"/>
      <c r="AG379" s="244"/>
      <c r="AH379" s="244"/>
      <c r="AI379" s="244"/>
      <c r="AJ379" s="244"/>
      <c r="AK379" s="244"/>
      <c r="AL379" s="25" t="s">
        <v>2187</v>
      </c>
      <c r="AM379" s="1009">
        <f t="shared" si="155"/>
        <v>1</v>
      </c>
      <c r="AN379" s="1009">
        <f t="shared" si="156"/>
        <v>1</v>
      </c>
      <c r="AO379" s="144">
        <f t="shared" si="163"/>
        <v>1</v>
      </c>
    </row>
    <row r="380" spans="1:41" ht="93.75" hidden="1" x14ac:dyDescent="0.25">
      <c r="A380" s="1111" t="s">
        <v>1915</v>
      </c>
      <c r="B380" s="1111">
        <v>16</v>
      </c>
      <c r="C380" s="1170" t="s">
        <v>1893</v>
      </c>
      <c r="D380" s="1024" t="s">
        <v>1066</v>
      </c>
      <c r="E380" s="1120"/>
      <c r="F380" s="1024" t="s">
        <v>290</v>
      </c>
      <c r="G380" s="1024"/>
      <c r="H380" s="1117">
        <f t="shared" si="158"/>
        <v>1221</v>
      </c>
      <c r="I380" s="1026">
        <v>1221</v>
      </c>
      <c r="J380" s="282"/>
      <c r="K380" s="282"/>
      <c r="L380" s="282"/>
      <c r="M380" s="282"/>
      <c r="N380" s="1109"/>
      <c r="O380" s="1118"/>
      <c r="P380" s="330"/>
      <c r="Q380" s="330"/>
      <c r="R380" s="8">
        <f t="shared" si="161"/>
        <v>800</v>
      </c>
      <c r="S380" s="8"/>
      <c r="T380" s="1095">
        <f t="shared" si="150"/>
        <v>800</v>
      </c>
      <c r="U380" s="1095">
        <v>800</v>
      </c>
      <c r="V380" s="54">
        <f>520+600-U380</f>
        <v>320</v>
      </c>
      <c r="W380" s="54"/>
      <c r="X380" s="1095">
        <f t="shared" si="165"/>
        <v>1120</v>
      </c>
      <c r="Y380" s="1095">
        <f t="shared" si="166"/>
        <v>1120</v>
      </c>
      <c r="Z380" s="244"/>
      <c r="AA380" s="244"/>
      <c r="AB380" s="244"/>
      <c r="AC380" s="244"/>
      <c r="AD380" s="244"/>
      <c r="AE380" s="244"/>
      <c r="AF380" s="244"/>
      <c r="AG380" s="244"/>
      <c r="AH380" s="244"/>
      <c r="AI380" s="244"/>
      <c r="AJ380" s="244"/>
      <c r="AK380" s="244"/>
      <c r="AL380" s="25" t="s">
        <v>2187</v>
      </c>
      <c r="AM380" s="1009">
        <f t="shared" si="155"/>
        <v>1</v>
      </c>
      <c r="AN380" s="1009">
        <f t="shared" si="156"/>
        <v>1</v>
      </c>
      <c r="AO380" s="144">
        <f t="shared" si="163"/>
        <v>1</v>
      </c>
    </row>
    <row r="381" spans="1:41" ht="112.5" hidden="1" x14ac:dyDescent="0.25">
      <c r="A381" s="1111" t="s">
        <v>1916</v>
      </c>
      <c r="B381" s="1111">
        <v>17</v>
      </c>
      <c r="C381" s="1172" t="s">
        <v>2096</v>
      </c>
      <c r="D381" s="1024" t="s">
        <v>1066</v>
      </c>
      <c r="E381" s="1120"/>
      <c r="F381" s="1024" t="s">
        <v>290</v>
      </c>
      <c r="G381" s="1024"/>
      <c r="H381" s="1117">
        <f t="shared" si="158"/>
        <v>1226</v>
      </c>
      <c r="I381" s="1026">
        <v>1226</v>
      </c>
      <c r="J381" s="282"/>
      <c r="K381" s="282"/>
      <c r="L381" s="282"/>
      <c r="M381" s="282"/>
      <c r="N381" s="1109"/>
      <c r="O381" s="1118"/>
      <c r="P381" s="330"/>
      <c r="Q381" s="330"/>
      <c r="R381" s="8">
        <f t="shared" si="161"/>
        <v>900</v>
      </c>
      <c r="S381" s="8"/>
      <c r="T381" s="1095">
        <f t="shared" si="150"/>
        <v>900</v>
      </c>
      <c r="U381" s="1095">
        <v>900</v>
      </c>
      <c r="V381" s="54">
        <f>430+700-U381</f>
        <v>230</v>
      </c>
      <c r="W381" s="54"/>
      <c r="X381" s="1095">
        <f t="shared" si="165"/>
        <v>1130</v>
      </c>
      <c r="Y381" s="1095">
        <f t="shared" si="166"/>
        <v>1130</v>
      </c>
      <c r="Z381" s="244"/>
      <c r="AA381" s="244"/>
      <c r="AB381" s="244"/>
      <c r="AC381" s="244"/>
      <c r="AD381" s="244"/>
      <c r="AE381" s="244"/>
      <c r="AF381" s="244"/>
      <c r="AG381" s="244"/>
      <c r="AH381" s="244"/>
      <c r="AI381" s="244"/>
      <c r="AJ381" s="244"/>
      <c r="AK381" s="244"/>
      <c r="AL381" s="25" t="s">
        <v>2187</v>
      </c>
      <c r="AM381" s="1009">
        <f t="shared" si="155"/>
        <v>1</v>
      </c>
      <c r="AN381" s="1009">
        <f t="shared" si="156"/>
        <v>1</v>
      </c>
      <c r="AO381" s="144">
        <f t="shared" si="163"/>
        <v>1</v>
      </c>
    </row>
    <row r="382" spans="1:41" ht="93.75" hidden="1" x14ac:dyDescent="0.25">
      <c r="A382" s="1111" t="s">
        <v>1917</v>
      </c>
      <c r="B382" s="1111">
        <v>18</v>
      </c>
      <c r="C382" s="1171" t="s">
        <v>1894</v>
      </c>
      <c r="D382" s="1024" t="s">
        <v>1066</v>
      </c>
      <c r="E382" s="1120"/>
      <c r="F382" s="1024" t="s">
        <v>290</v>
      </c>
      <c r="G382" s="1024"/>
      <c r="H382" s="1117">
        <f t="shared" si="158"/>
        <v>921</v>
      </c>
      <c r="I382" s="1026">
        <v>921</v>
      </c>
      <c r="J382" s="282"/>
      <c r="K382" s="282"/>
      <c r="L382" s="282"/>
      <c r="M382" s="282"/>
      <c r="N382" s="1109"/>
      <c r="O382" s="1118"/>
      <c r="P382" s="330"/>
      <c r="Q382" s="330"/>
      <c r="R382" s="8">
        <f t="shared" si="161"/>
        <v>700</v>
      </c>
      <c r="S382" s="8"/>
      <c r="T382" s="1095">
        <f t="shared" si="150"/>
        <v>700</v>
      </c>
      <c r="U382" s="1095">
        <v>700</v>
      </c>
      <c r="V382" s="54">
        <f>280+550-U382</f>
        <v>130</v>
      </c>
      <c r="W382" s="54"/>
      <c r="X382" s="1095">
        <f t="shared" si="165"/>
        <v>830</v>
      </c>
      <c r="Y382" s="1095">
        <f t="shared" si="166"/>
        <v>830</v>
      </c>
      <c r="Z382" s="244"/>
      <c r="AA382" s="244"/>
      <c r="AB382" s="244"/>
      <c r="AC382" s="244"/>
      <c r="AD382" s="244"/>
      <c r="AE382" s="244"/>
      <c r="AF382" s="244"/>
      <c r="AG382" s="244"/>
      <c r="AH382" s="244"/>
      <c r="AI382" s="244"/>
      <c r="AJ382" s="244"/>
      <c r="AK382" s="244"/>
      <c r="AL382" s="25" t="s">
        <v>2187</v>
      </c>
      <c r="AM382" s="1009">
        <f t="shared" si="155"/>
        <v>1</v>
      </c>
      <c r="AN382" s="1009">
        <f t="shared" si="156"/>
        <v>1</v>
      </c>
      <c r="AO382" s="144">
        <f t="shared" si="163"/>
        <v>1</v>
      </c>
    </row>
    <row r="383" spans="1:41" ht="56.25" hidden="1" x14ac:dyDescent="0.25">
      <c r="A383" s="1111" t="s">
        <v>1918</v>
      </c>
      <c r="B383" s="1111">
        <v>19</v>
      </c>
      <c r="C383" s="1171" t="s">
        <v>1895</v>
      </c>
      <c r="D383" s="1024" t="s">
        <v>1066</v>
      </c>
      <c r="E383" s="1120"/>
      <c r="F383" s="1024" t="s">
        <v>290</v>
      </c>
      <c r="G383" s="1024"/>
      <c r="H383" s="1117">
        <f t="shared" si="158"/>
        <v>1750</v>
      </c>
      <c r="I383" s="1026">
        <v>1750</v>
      </c>
      <c r="J383" s="282"/>
      <c r="K383" s="282"/>
      <c r="L383" s="282"/>
      <c r="M383" s="282"/>
      <c r="N383" s="1109"/>
      <c r="O383" s="1118"/>
      <c r="P383" s="330"/>
      <c r="Q383" s="330"/>
      <c r="R383" s="8">
        <f t="shared" si="161"/>
        <v>1200</v>
      </c>
      <c r="S383" s="8"/>
      <c r="T383" s="1095">
        <f t="shared" si="150"/>
        <v>1200</v>
      </c>
      <c r="U383" s="1095">
        <v>1200</v>
      </c>
      <c r="V383" s="54">
        <f>460+900-U383</f>
        <v>160</v>
      </c>
      <c r="W383" s="54"/>
      <c r="X383" s="1095">
        <f t="shared" si="165"/>
        <v>1360</v>
      </c>
      <c r="Y383" s="1095">
        <f t="shared" si="166"/>
        <v>1360</v>
      </c>
      <c r="Z383" s="244"/>
      <c r="AA383" s="244"/>
      <c r="AB383" s="244"/>
      <c r="AC383" s="244"/>
      <c r="AD383" s="244"/>
      <c r="AE383" s="244"/>
      <c r="AF383" s="244"/>
      <c r="AG383" s="244"/>
      <c r="AH383" s="244"/>
      <c r="AI383" s="244"/>
      <c r="AJ383" s="244"/>
      <c r="AK383" s="244"/>
      <c r="AL383" s="25" t="s">
        <v>2187</v>
      </c>
      <c r="AM383" s="1009">
        <f t="shared" si="155"/>
        <v>1</v>
      </c>
      <c r="AN383" s="1009">
        <f t="shared" si="156"/>
        <v>1</v>
      </c>
      <c r="AO383" s="144">
        <f t="shared" si="163"/>
        <v>1</v>
      </c>
    </row>
    <row r="384" spans="1:41" ht="93.75" hidden="1" x14ac:dyDescent="0.25">
      <c r="A384" s="1111" t="s">
        <v>1919</v>
      </c>
      <c r="B384" s="1111">
        <v>20</v>
      </c>
      <c r="C384" s="1173" t="s">
        <v>1896</v>
      </c>
      <c r="D384" s="1024" t="s">
        <v>1066</v>
      </c>
      <c r="E384" s="1120"/>
      <c r="F384" s="1024" t="s">
        <v>290</v>
      </c>
      <c r="G384" s="1024"/>
      <c r="H384" s="1117">
        <f t="shared" si="158"/>
        <v>716</v>
      </c>
      <c r="I384" s="1026">
        <v>716</v>
      </c>
      <c r="J384" s="282"/>
      <c r="K384" s="282"/>
      <c r="L384" s="282"/>
      <c r="M384" s="282"/>
      <c r="N384" s="1109"/>
      <c r="O384" s="1118"/>
      <c r="P384" s="330"/>
      <c r="Q384" s="330"/>
      <c r="R384" s="8">
        <f t="shared" si="161"/>
        <v>550</v>
      </c>
      <c r="S384" s="8"/>
      <c r="T384" s="1095">
        <f t="shared" si="150"/>
        <v>550</v>
      </c>
      <c r="U384" s="1095">
        <v>550</v>
      </c>
      <c r="V384" s="54">
        <f>200+400-U384</f>
        <v>50</v>
      </c>
      <c r="W384" s="54"/>
      <c r="X384" s="1095">
        <f t="shared" si="165"/>
        <v>600</v>
      </c>
      <c r="Y384" s="1095">
        <f t="shared" si="166"/>
        <v>600</v>
      </c>
      <c r="Z384" s="244"/>
      <c r="AA384" s="244"/>
      <c r="AB384" s="244"/>
      <c r="AC384" s="244"/>
      <c r="AD384" s="244"/>
      <c r="AE384" s="244"/>
      <c r="AF384" s="244"/>
      <c r="AG384" s="244"/>
      <c r="AH384" s="244"/>
      <c r="AI384" s="244"/>
      <c r="AJ384" s="244"/>
      <c r="AK384" s="244"/>
      <c r="AL384" s="25" t="s">
        <v>2187</v>
      </c>
      <c r="AM384" s="1009">
        <f t="shared" si="155"/>
        <v>1</v>
      </c>
      <c r="AN384" s="1009">
        <f t="shared" si="156"/>
        <v>1</v>
      </c>
      <c r="AO384" s="144">
        <f t="shared" si="163"/>
        <v>1</v>
      </c>
    </row>
    <row r="385" spans="1:42" ht="37.5" hidden="1" x14ac:dyDescent="0.25">
      <c r="A385" s="1111" t="s">
        <v>1920</v>
      </c>
      <c r="B385" s="1111">
        <v>21</v>
      </c>
      <c r="C385" s="1171" t="s">
        <v>1897</v>
      </c>
      <c r="D385" s="1024" t="s">
        <v>1066</v>
      </c>
      <c r="E385" s="1120"/>
      <c r="F385" s="1024" t="s">
        <v>290</v>
      </c>
      <c r="G385" s="1024"/>
      <c r="H385" s="1117">
        <f t="shared" si="158"/>
        <v>2858</v>
      </c>
      <c r="I385" s="1026">
        <v>2858</v>
      </c>
      <c r="J385" s="282"/>
      <c r="K385" s="282"/>
      <c r="L385" s="282"/>
      <c r="M385" s="282"/>
      <c r="N385" s="1109"/>
      <c r="O385" s="1118"/>
      <c r="P385" s="330"/>
      <c r="Q385" s="330"/>
      <c r="R385" s="8">
        <f t="shared" si="161"/>
        <v>2200</v>
      </c>
      <c r="S385" s="8"/>
      <c r="T385" s="1095">
        <f t="shared" si="150"/>
        <v>2200</v>
      </c>
      <c r="U385" s="1095">
        <v>2200</v>
      </c>
      <c r="V385" s="54">
        <f>660+1800-U385</f>
        <v>260</v>
      </c>
      <c r="W385" s="54"/>
      <c r="X385" s="1095">
        <f t="shared" si="165"/>
        <v>2460</v>
      </c>
      <c r="Y385" s="1095">
        <f t="shared" si="166"/>
        <v>2460</v>
      </c>
      <c r="Z385" s="244"/>
      <c r="AA385" s="244"/>
      <c r="AB385" s="244"/>
      <c r="AC385" s="244"/>
      <c r="AD385" s="244"/>
      <c r="AE385" s="244"/>
      <c r="AF385" s="244"/>
      <c r="AG385" s="244"/>
      <c r="AH385" s="244"/>
      <c r="AI385" s="244"/>
      <c r="AJ385" s="244"/>
      <c r="AK385" s="244"/>
      <c r="AL385" s="25" t="s">
        <v>2187</v>
      </c>
      <c r="AM385" s="1009">
        <f t="shared" si="155"/>
        <v>1</v>
      </c>
      <c r="AN385" s="1009">
        <f t="shared" si="156"/>
        <v>1</v>
      </c>
      <c r="AO385" s="144">
        <f t="shared" si="163"/>
        <v>1</v>
      </c>
    </row>
    <row r="386" spans="1:42" ht="37.5" hidden="1" x14ac:dyDescent="0.25">
      <c r="A386" s="1111" t="s">
        <v>1921</v>
      </c>
      <c r="B386" s="1111">
        <v>22</v>
      </c>
      <c r="C386" s="1171" t="s">
        <v>1898</v>
      </c>
      <c r="D386" s="1024" t="s">
        <v>1066</v>
      </c>
      <c r="E386" s="1120"/>
      <c r="F386" s="1024" t="s">
        <v>290</v>
      </c>
      <c r="G386" s="1024"/>
      <c r="H386" s="1117">
        <f t="shared" si="158"/>
        <v>1923</v>
      </c>
      <c r="I386" s="1026">
        <v>1923</v>
      </c>
      <c r="J386" s="282"/>
      <c r="K386" s="282"/>
      <c r="L386" s="282"/>
      <c r="M386" s="282"/>
      <c r="N386" s="1109"/>
      <c r="O386" s="1118"/>
      <c r="P386" s="330"/>
      <c r="Q386" s="330"/>
      <c r="R386" s="8">
        <f t="shared" si="161"/>
        <v>1500</v>
      </c>
      <c r="S386" s="8"/>
      <c r="T386" s="1095">
        <f t="shared" si="150"/>
        <v>1500</v>
      </c>
      <c r="U386" s="1095">
        <v>1500</v>
      </c>
      <c r="V386" s="54">
        <f>590+1200-U386</f>
        <v>290</v>
      </c>
      <c r="W386" s="54"/>
      <c r="X386" s="1095">
        <f t="shared" si="165"/>
        <v>1790</v>
      </c>
      <c r="Y386" s="1095">
        <f t="shared" si="166"/>
        <v>1790</v>
      </c>
      <c r="Z386" s="244"/>
      <c r="AA386" s="244"/>
      <c r="AB386" s="244"/>
      <c r="AC386" s="244"/>
      <c r="AD386" s="244"/>
      <c r="AE386" s="244"/>
      <c r="AF386" s="244"/>
      <c r="AG386" s="244"/>
      <c r="AH386" s="244"/>
      <c r="AI386" s="244"/>
      <c r="AJ386" s="244"/>
      <c r="AK386" s="244"/>
      <c r="AL386" s="25" t="s">
        <v>2187</v>
      </c>
      <c r="AM386" s="1009">
        <f t="shared" si="155"/>
        <v>1</v>
      </c>
      <c r="AN386" s="1009">
        <f t="shared" si="156"/>
        <v>1</v>
      </c>
      <c r="AO386" s="144">
        <f t="shared" si="163"/>
        <v>1</v>
      </c>
    </row>
    <row r="387" spans="1:42" ht="75" hidden="1" x14ac:dyDescent="0.25">
      <c r="A387" s="1111" t="s">
        <v>1922</v>
      </c>
      <c r="B387" s="1111">
        <v>23</v>
      </c>
      <c r="C387" s="1171" t="s">
        <v>1899</v>
      </c>
      <c r="D387" s="1024" t="s">
        <v>1066</v>
      </c>
      <c r="E387" s="1120"/>
      <c r="F387" s="1024" t="s">
        <v>290</v>
      </c>
      <c r="G387" s="1024"/>
      <c r="H387" s="1117">
        <f t="shared" si="158"/>
        <v>1248</v>
      </c>
      <c r="I387" s="1026">
        <v>1248</v>
      </c>
      <c r="J387" s="282"/>
      <c r="K387" s="282"/>
      <c r="L387" s="282"/>
      <c r="M387" s="282"/>
      <c r="N387" s="1109"/>
      <c r="O387" s="1118"/>
      <c r="P387" s="330"/>
      <c r="Q387" s="330"/>
      <c r="R387" s="8">
        <f t="shared" si="161"/>
        <v>950</v>
      </c>
      <c r="S387" s="8"/>
      <c r="T387" s="1095">
        <f t="shared" si="150"/>
        <v>950</v>
      </c>
      <c r="U387" s="1095">
        <v>950</v>
      </c>
      <c r="V387" s="54">
        <f>220+800-U387</f>
        <v>70</v>
      </c>
      <c r="W387" s="54"/>
      <c r="X387" s="1095">
        <f t="shared" si="165"/>
        <v>1020</v>
      </c>
      <c r="Y387" s="1095">
        <f t="shared" si="166"/>
        <v>1020</v>
      </c>
      <c r="Z387" s="244"/>
      <c r="AA387" s="244"/>
      <c r="AB387" s="244"/>
      <c r="AC387" s="244"/>
      <c r="AD387" s="244"/>
      <c r="AE387" s="244"/>
      <c r="AF387" s="244"/>
      <c r="AG387" s="244"/>
      <c r="AH387" s="244"/>
      <c r="AI387" s="244"/>
      <c r="AJ387" s="244"/>
      <c r="AK387" s="244"/>
      <c r="AL387" s="25" t="s">
        <v>2187</v>
      </c>
      <c r="AM387" s="1009">
        <f t="shared" si="155"/>
        <v>1</v>
      </c>
      <c r="AN387" s="1009">
        <f t="shared" si="156"/>
        <v>1</v>
      </c>
      <c r="AO387" s="144">
        <f t="shared" si="163"/>
        <v>1</v>
      </c>
    </row>
    <row r="388" spans="1:42" ht="56.25" hidden="1" x14ac:dyDescent="0.25">
      <c r="A388" s="1111" t="s">
        <v>1923</v>
      </c>
      <c r="B388" s="1111">
        <v>24</v>
      </c>
      <c r="C388" s="1171" t="s">
        <v>1900</v>
      </c>
      <c r="D388" s="1024" t="s">
        <v>1066</v>
      </c>
      <c r="E388" s="1120"/>
      <c r="F388" s="1024" t="s">
        <v>290</v>
      </c>
      <c r="G388" s="1024"/>
      <c r="H388" s="1117">
        <f t="shared" si="158"/>
        <v>866</v>
      </c>
      <c r="I388" s="1026">
        <v>866</v>
      </c>
      <c r="J388" s="282"/>
      <c r="K388" s="282"/>
      <c r="L388" s="282"/>
      <c r="M388" s="282"/>
      <c r="N388" s="1109"/>
      <c r="O388" s="1118"/>
      <c r="P388" s="330"/>
      <c r="Q388" s="330"/>
      <c r="R388" s="8">
        <f t="shared" si="161"/>
        <v>550</v>
      </c>
      <c r="S388" s="8"/>
      <c r="T388" s="1095">
        <f t="shared" si="150"/>
        <v>550</v>
      </c>
      <c r="U388" s="1095">
        <v>550</v>
      </c>
      <c r="V388" s="54">
        <f>250+400-U388</f>
        <v>100</v>
      </c>
      <c r="W388" s="54"/>
      <c r="X388" s="1095">
        <f t="shared" si="165"/>
        <v>650</v>
      </c>
      <c r="Y388" s="1095">
        <f t="shared" si="166"/>
        <v>650</v>
      </c>
      <c r="Z388" s="244"/>
      <c r="AA388" s="244"/>
      <c r="AB388" s="244"/>
      <c r="AC388" s="244"/>
      <c r="AD388" s="244"/>
      <c r="AE388" s="244"/>
      <c r="AF388" s="244"/>
      <c r="AG388" s="244"/>
      <c r="AH388" s="244"/>
      <c r="AI388" s="244"/>
      <c r="AJ388" s="244"/>
      <c r="AK388" s="244"/>
      <c r="AL388" s="25" t="s">
        <v>2187</v>
      </c>
      <c r="AM388" s="1009">
        <f t="shared" si="155"/>
        <v>1</v>
      </c>
      <c r="AN388" s="1009">
        <f t="shared" si="156"/>
        <v>1</v>
      </c>
      <c r="AO388" s="144">
        <f t="shared" si="163"/>
        <v>1</v>
      </c>
    </row>
    <row r="389" spans="1:42" ht="37.5" hidden="1" x14ac:dyDescent="0.25">
      <c r="A389" s="1111" t="s">
        <v>1924</v>
      </c>
      <c r="B389" s="1111">
        <v>25</v>
      </c>
      <c r="C389" s="1171" t="s">
        <v>1901</v>
      </c>
      <c r="D389" s="1024" t="s">
        <v>1066</v>
      </c>
      <c r="E389" s="1120"/>
      <c r="F389" s="1024" t="s">
        <v>290</v>
      </c>
      <c r="G389" s="1024"/>
      <c r="H389" s="1117">
        <f t="shared" si="158"/>
        <v>1107</v>
      </c>
      <c r="I389" s="1026">
        <v>1107</v>
      </c>
      <c r="J389" s="282"/>
      <c r="K389" s="282"/>
      <c r="L389" s="282"/>
      <c r="M389" s="282"/>
      <c r="N389" s="1109"/>
      <c r="O389" s="1118"/>
      <c r="P389" s="330"/>
      <c r="Q389" s="330"/>
      <c r="R389" s="8">
        <f t="shared" si="161"/>
        <v>800</v>
      </c>
      <c r="S389" s="8"/>
      <c r="T389" s="1095">
        <f t="shared" si="150"/>
        <v>800</v>
      </c>
      <c r="U389" s="1095">
        <v>800</v>
      </c>
      <c r="V389" s="54">
        <f>430+600-U389</f>
        <v>230</v>
      </c>
      <c r="W389" s="54"/>
      <c r="X389" s="1095">
        <f t="shared" si="165"/>
        <v>1030</v>
      </c>
      <c r="Y389" s="1095">
        <f t="shared" si="166"/>
        <v>1030</v>
      </c>
      <c r="Z389" s="244"/>
      <c r="AA389" s="244"/>
      <c r="AB389" s="244"/>
      <c r="AC389" s="244"/>
      <c r="AD389" s="244"/>
      <c r="AE389" s="244"/>
      <c r="AF389" s="244"/>
      <c r="AG389" s="244"/>
      <c r="AH389" s="244"/>
      <c r="AI389" s="244"/>
      <c r="AJ389" s="244"/>
      <c r="AK389" s="244"/>
      <c r="AL389" s="25" t="s">
        <v>2187</v>
      </c>
      <c r="AM389" s="1009">
        <f t="shared" si="155"/>
        <v>1</v>
      </c>
      <c r="AN389" s="1009">
        <f t="shared" si="156"/>
        <v>1</v>
      </c>
      <c r="AO389" s="144">
        <f t="shared" si="163"/>
        <v>1</v>
      </c>
    </row>
    <row r="390" spans="1:42" ht="37.5" hidden="1" x14ac:dyDescent="0.25">
      <c r="A390" s="1111" t="s">
        <v>1925</v>
      </c>
      <c r="B390" s="1111">
        <v>26</v>
      </c>
      <c r="C390" s="1171" t="s">
        <v>1902</v>
      </c>
      <c r="D390" s="1024" t="s">
        <v>1066</v>
      </c>
      <c r="E390" s="1120"/>
      <c r="F390" s="1024" t="s">
        <v>290</v>
      </c>
      <c r="G390" s="1024"/>
      <c r="H390" s="1117">
        <f t="shared" si="158"/>
        <v>430</v>
      </c>
      <c r="I390" s="1026">
        <v>430</v>
      </c>
      <c r="J390" s="282"/>
      <c r="K390" s="282"/>
      <c r="L390" s="282"/>
      <c r="M390" s="282"/>
      <c r="N390" s="1109"/>
      <c r="O390" s="1118"/>
      <c r="P390" s="330"/>
      <c r="Q390" s="330"/>
      <c r="R390" s="8">
        <f t="shared" si="161"/>
        <v>350</v>
      </c>
      <c r="S390" s="8"/>
      <c r="T390" s="1095">
        <f t="shared" si="150"/>
        <v>350</v>
      </c>
      <c r="U390" s="1095">
        <v>350</v>
      </c>
      <c r="V390" s="54">
        <f>180+250-U390</f>
        <v>80</v>
      </c>
      <c r="W390" s="54"/>
      <c r="X390" s="1095">
        <f t="shared" si="165"/>
        <v>430</v>
      </c>
      <c r="Y390" s="1095">
        <f t="shared" si="166"/>
        <v>430</v>
      </c>
      <c r="Z390" s="244"/>
      <c r="AA390" s="244"/>
      <c r="AB390" s="244"/>
      <c r="AC390" s="244"/>
      <c r="AD390" s="244"/>
      <c r="AE390" s="244"/>
      <c r="AF390" s="244"/>
      <c r="AG390" s="244"/>
      <c r="AH390" s="244"/>
      <c r="AI390" s="244"/>
      <c r="AJ390" s="244"/>
      <c r="AK390" s="244"/>
      <c r="AL390" s="25" t="s">
        <v>2187</v>
      </c>
      <c r="AM390" s="1009">
        <f t="shared" si="155"/>
        <v>1</v>
      </c>
      <c r="AN390" s="1009">
        <f t="shared" si="156"/>
        <v>1</v>
      </c>
      <c r="AO390" s="144">
        <f t="shared" si="163"/>
        <v>1</v>
      </c>
      <c r="AP390" s="144"/>
    </row>
    <row r="391" spans="1:42" ht="37.5" hidden="1" x14ac:dyDescent="0.25">
      <c r="A391" s="1111">
        <v>54</v>
      </c>
      <c r="B391" s="1111">
        <v>27</v>
      </c>
      <c r="C391" s="1171" t="s">
        <v>2190</v>
      </c>
      <c r="D391" s="1024" t="s">
        <v>1066</v>
      </c>
      <c r="E391" s="1120" t="s">
        <v>2192</v>
      </c>
      <c r="F391" s="1024" t="s">
        <v>290</v>
      </c>
      <c r="G391" s="1024"/>
      <c r="H391" s="1117">
        <f t="shared" si="158"/>
        <v>14900</v>
      </c>
      <c r="I391" s="1026">
        <v>14900</v>
      </c>
      <c r="J391" s="282"/>
      <c r="K391" s="282"/>
      <c r="L391" s="282"/>
      <c r="M391" s="282"/>
      <c r="N391" s="1096"/>
      <c r="O391" s="1121"/>
      <c r="P391" s="1074"/>
      <c r="Q391" s="1074"/>
      <c r="R391" s="1097"/>
      <c r="S391" s="1097"/>
      <c r="T391" s="1095"/>
      <c r="U391" s="1095"/>
      <c r="V391" s="54">
        <v>14000</v>
      </c>
      <c r="W391" s="54"/>
      <c r="X391" s="1095">
        <f t="shared" ref="X391:X395" si="167">Y391</f>
        <v>14000</v>
      </c>
      <c r="Y391" s="1095">
        <f t="shared" ref="Y391:Y395" si="168">V391+U391</f>
        <v>14000</v>
      </c>
      <c r="Z391" s="1075"/>
      <c r="AA391" s="1075"/>
      <c r="AB391" s="1075"/>
      <c r="AC391" s="1075"/>
      <c r="AD391" s="1075"/>
      <c r="AE391" s="1075"/>
      <c r="AF391" s="1075"/>
      <c r="AG391" s="1075"/>
      <c r="AH391" s="1075"/>
      <c r="AI391" s="1075"/>
      <c r="AJ391" s="1075"/>
      <c r="AK391" s="1075"/>
      <c r="AL391" s="25" t="s">
        <v>980</v>
      </c>
      <c r="AM391" s="1009">
        <f t="shared" si="155"/>
        <v>1</v>
      </c>
      <c r="AN391" s="1009">
        <f t="shared" si="156"/>
        <v>1</v>
      </c>
      <c r="AO391" s="144">
        <f t="shared" si="163"/>
        <v>1</v>
      </c>
      <c r="AP391" s="144"/>
    </row>
    <row r="392" spans="1:42" ht="42" hidden="1" customHeight="1" x14ac:dyDescent="0.25">
      <c r="A392" s="1111">
        <v>55</v>
      </c>
      <c r="B392" s="1111">
        <v>28</v>
      </c>
      <c r="C392" s="1314" t="s">
        <v>2529</v>
      </c>
      <c r="D392" s="1024" t="s">
        <v>1066</v>
      </c>
      <c r="E392" s="1120" t="s">
        <v>2193</v>
      </c>
      <c r="F392" s="1024" t="s">
        <v>290</v>
      </c>
      <c r="G392" s="1024"/>
      <c r="H392" s="1117">
        <f t="shared" si="158"/>
        <v>5000</v>
      </c>
      <c r="I392" s="1026">
        <v>5000</v>
      </c>
      <c r="J392" s="282"/>
      <c r="K392" s="282"/>
      <c r="L392" s="282"/>
      <c r="M392" s="282"/>
      <c r="N392" s="1096"/>
      <c r="O392" s="1121"/>
      <c r="P392" s="1074"/>
      <c r="Q392" s="1074"/>
      <c r="R392" s="1097"/>
      <c r="S392" s="1097"/>
      <c r="T392" s="1095"/>
      <c r="U392" s="1095"/>
      <c r="V392" s="54">
        <v>2700</v>
      </c>
      <c r="W392" s="54"/>
      <c r="X392" s="1095">
        <f t="shared" si="167"/>
        <v>2700</v>
      </c>
      <c r="Y392" s="1095">
        <f t="shared" si="168"/>
        <v>2700</v>
      </c>
      <c r="Z392" s="1075"/>
      <c r="AA392" s="1075"/>
      <c r="AB392" s="1075"/>
      <c r="AC392" s="1075"/>
      <c r="AD392" s="1075"/>
      <c r="AE392" s="1075"/>
      <c r="AF392" s="1075"/>
      <c r="AG392" s="1075"/>
      <c r="AH392" s="1075"/>
      <c r="AI392" s="1075"/>
      <c r="AJ392" s="1075"/>
      <c r="AK392" s="1075"/>
      <c r="AL392" s="25" t="s">
        <v>980</v>
      </c>
      <c r="AM392" s="1009">
        <f t="shared" si="155"/>
        <v>1</v>
      </c>
      <c r="AN392" s="1009">
        <f t="shared" si="156"/>
        <v>1</v>
      </c>
      <c r="AO392" s="144">
        <f t="shared" si="163"/>
        <v>1</v>
      </c>
    </row>
    <row r="393" spans="1:42" ht="37.5" hidden="1" x14ac:dyDescent="0.25">
      <c r="A393" s="1111">
        <v>56</v>
      </c>
      <c r="B393" s="1111">
        <v>29</v>
      </c>
      <c r="C393" s="1315" t="s">
        <v>2530</v>
      </c>
      <c r="D393" s="1024" t="s">
        <v>1066</v>
      </c>
      <c r="E393" s="1120" t="s">
        <v>2193</v>
      </c>
      <c r="F393" s="1024" t="s">
        <v>290</v>
      </c>
      <c r="G393" s="1024"/>
      <c r="H393" s="1117">
        <f t="shared" si="158"/>
        <v>2200</v>
      </c>
      <c r="I393" s="1026">
        <v>2200</v>
      </c>
      <c r="J393" s="282"/>
      <c r="K393" s="282"/>
      <c r="L393" s="282"/>
      <c r="M393" s="282"/>
      <c r="N393" s="1096"/>
      <c r="O393" s="1121"/>
      <c r="P393" s="1074"/>
      <c r="Q393" s="1074"/>
      <c r="R393" s="1097"/>
      <c r="S393" s="1097"/>
      <c r="T393" s="1095"/>
      <c r="U393" s="1095"/>
      <c r="V393" s="54">
        <v>1500</v>
      </c>
      <c r="W393" s="54"/>
      <c r="X393" s="1095">
        <f t="shared" si="167"/>
        <v>1500</v>
      </c>
      <c r="Y393" s="1095">
        <f t="shared" si="168"/>
        <v>1500</v>
      </c>
      <c r="Z393" s="1075"/>
      <c r="AA393" s="1075"/>
      <c r="AB393" s="1075"/>
      <c r="AC393" s="1075"/>
      <c r="AD393" s="1075"/>
      <c r="AE393" s="1075"/>
      <c r="AF393" s="1075"/>
      <c r="AG393" s="1075"/>
      <c r="AH393" s="1075"/>
      <c r="AI393" s="1075"/>
      <c r="AJ393" s="1075"/>
      <c r="AK393" s="1075"/>
      <c r="AL393" s="25" t="s">
        <v>980</v>
      </c>
      <c r="AM393" s="1009">
        <f t="shared" si="155"/>
        <v>1</v>
      </c>
      <c r="AN393" s="1009">
        <f t="shared" si="156"/>
        <v>1</v>
      </c>
      <c r="AO393" s="144">
        <f t="shared" si="163"/>
        <v>1</v>
      </c>
    </row>
    <row r="394" spans="1:42" ht="49.5" hidden="1" x14ac:dyDescent="0.25">
      <c r="A394" s="1111">
        <v>57</v>
      </c>
      <c r="B394" s="1111">
        <v>30</v>
      </c>
      <c r="C394" s="1171" t="s">
        <v>2189</v>
      </c>
      <c r="D394" s="1024" t="s">
        <v>1066</v>
      </c>
      <c r="E394" s="1120"/>
      <c r="F394" s="1024" t="s">
        <v>290</v>
      </c>
      <c r="G394" s="424" t="s">
        <v>2586</v>
      </c>
      <c r="H394" s="1117">
        <f t="shared" si="158"/>
        <v>19999</v>
      </c>
      <c r="I394" s="1026">
        <v>19999</v>
      </c>
      <c r="J394" s="282"/>
      <c r="K394" s="282"/>
      <c r="L394" s="282"/>
      <c r="M394" s="282"/>
      <c r="N394" s="1096"/>
      <c r="O394" s="1121"/>
      <c r="P394" s="1074"/>
      <c r="Q394" s="1074"/>
      <c r="R394" s="1097"/>
      <c r="S394" s="1097"/>
      <c r="T394" s="1095"/>
      <c r="U394" s="1095"/>
      <c r="V394" s="54">
        <v>18000</v>
      </c>
      <c r="W394" s="54"/>
      <c r="X394" s="1095">
        <f t="shared" si="167"/>
        <v>18000</v>
      </c>
      <c r="Y394" s="1095">
        <f t="shared" si="168"/>
        <v>18000</v>
      </c>
      <c r="Z394" s="1075"/>
      <c r="AA394" s="1075"/>
      <c r="AB394" s="1075"/>
      <c r="AC394" s="1075"/>
      <c r="AD394" s="1075"/>
      <c r="AE394" s="1075"/>
      <c r="AF394" s="1075"/>
      <c r="AG394" s="1075"/>
      <c r="AH394" s="1075"/>
      <c r="AI394" s="1075"/>
      <c r="AJ394" s="1075"/>
      <c r="AK394" s="1075"/>
      <c r="AL394" s="25" t="s">
        <v>980</v>
      </c>
      <c r="AM394" s="1009">
        <f t="shared" si="155"/>
        <v>1</v>
      </c>
      <c r="AN394" s="1009">
        <f t="shared" si="156"/>
        <v>1</v>
      </c>
      <c r="AO394" s="144">
        <f t="shared" si="163"/>
        <v>1</v>
      </c>
    </row>
    <row r="395" spans="1:42" ht="37.5" hidden="1" x14ac:dyDescent="0.25">
      <c r="A395" s="1111">
        <v>58</v>
      </c>
      <c r="B395" s="1111">
        <v>31</v>
      </c>
      <c r="C395" s="1171" t="s">
        <v>2532</v>
      </c>
      <c r="D395" s="1024" t="s">
        <v>1066</v>
      </c>
      <c r="E395" s="1120" t="s">
        <v>2193</v>
      </c>
      <c r="F395" s="1024" t="s">
        <v>290</v>
      </c>
      <c r="G395" s="1024"/>
      <c r="H395" s="1117">
        <f t="shared" si="158"/>
        <v>2500</v>
      </c>
      <c r="I395" s="1026">
        <v>2500</v>
      </c>
      <c r="J395" s="282"/>
      <c r="K395" s="282"/>
      <c r="L395" s="282"/>
      <c r="M395" s="282"/>
      <c r="N395" s="1096"/>
      <c r="O395" s="1121"/>
      <c r="P395" s="1074"/>
      <c r="Q395" s="1074"/>
      <c r="R395" s="1097"/>
      <c r="S395" s="1097"/>
      <c r="T395" s="1095"/>
      <c r="U395" s="1095"/>
      <c r="V395" s="54">
        <v>1600</v>
      </c>
      <c r="W395" s="54"/>
      <c r="X395" s="1095">
        <f t="shared" si="167"/>
        <v>1600</v>
      </c>
      <c r="Y395" s="1095">
        <f t="shared" si="168"/>
        <v>1600</v>
      </c>
      <c r="Z395" s="1075"/>
      <c r="AA395" s="1075"/>
      <c r="AB395" s="1075"/>
      <c r="AC395" s="1075"/>
      <c r="AD395" s="1075"/>
      <c r="AE395" s="1075"/>
      <c r="AF395" s="1075"/>
      <c r="AG395" s="1075"/>
      <c r="AH395" s="1075"/>
      <c r="AI395" s="1075"/>
      <c r="AJ395" s="1075"/>
      <c r="AK395" s="1075"/>
      <c r="AL395" s="25" t="s">
        <v>980</v>
      </c>
      <c r="AM395" s="1009">
        <f t="shared" si="155"/>
        <v>1</v>
      </c>
      <c r="AN395" s="1009">
        <f t="shared" si="156"/>
        <v>1</v>
      </c>
      <c r="AO395" s="144">
        <f t="shared" si="163"/>
        <v>1</v>
      </c>
    </row>
    <row r="396" spans="1:42" ht="51.75" hidden="1" x14ac:dyDescent="0.25">
      <c r="A396" s="50" t="s">
        <v>47</v>
      </c>
      <c r="B396" s="50"/>
      <c r="C396" s="51" t="s">
        <v>2074</v>
      </c>
      <c r="D396" s="1024"/>
      <c r="E396" s="1120"/>
      <c r="F396" s="1024"/>
      <c r="G396" s="1024"/>
      <c r="H396" s="1237">
        <f>H397</f>
        <v>36999</v>
      </c>
      <c r="I396" s="1237">
        <f>I397</f>
        <v>36999</v>
      </c>
      <c r="J396" s="282"/>
      <c r="K396" s="282"/>
      <c r="L396" s="282"/>
      <c r="M396" s="282"/>
      <c r="N396" s="1096"/>
      <c r="O396" s="1121"/>
      <c r="P396" s="1074"/>
      <c r="Q396" s="1074"/>
      <c r="R396" s="1097"/>
      <c r="S396" s="1097"/>
      <c r="T396" s="1095"/>
      <c r="U396" s="1095"/>
      <c r="V396" s="1238">
        <f>V397</f>
        <v>20000</v>
      </c>
      <c r="W396" s="1238"/>
      <c r="X396" s="1239">
        <f>X397</f>
        <v>20000</v>
      </c>
      <c r="Y396" s="1239">
        <f>Y397</f>
        <v>20000</v>
      </c>
      <c r="Z396" s="1075"/>
      <c r="AA396" s="1075"/>
      <c r="AB396" s="1075"/>
      <c r="AC396" s="1075"/>
      <c r="AD396" s="1075"/>
      <c r="AE396" s="1075"/>
      <c r="AF396" s="1075"/>
      <c r="AG396" s="1075"/>
      <c r="AH396" s="1075"/>
      <c r="AI396" s="1075"/>
      <c r="AJ396" s="1075"/>
      <c r="AK396" s="1075"/>
      <c r="AL396" s="25"/>
      <c r="AM396" s="1009">
        <f t="shared" ref="AM396" si="169">IF(Y396-U396=0,0,1)</f>
        <v>1</v>
      </c>
      <c r="AN396" s="1009">
        <f t="shared" ref="AN396" si="170">IF(Y396=0,0,1)</f>
        <v>1</v>
      </c>
      <c r="AO396" s="144">
        <f t="shared" si="163"/>
        <v>1</v>
      </c>
    </row>
    <row r="397" spans="1:42" s="1323" customFormat="1" ht="74.25" hidden="1" customHeight="1" x14ac:dyDescent="0.25">
      <c r="A397" s="1377">
        <v>59</v>
      </c>
      <c r="B397" s="1377">
        <v>32</v>
      </c>
      <c r="C397" s="1315" t="s">
        <v>2188</v>
      </c>
      <c r="D397" s="424" t="s">
        <v>2191</v>
      </c>
      <c r="E397" s="1378" t="s">
        <v>2612</v>
      </c>
      <c r="F397" s="424" t="s">
        <v>168</v>
      </c>
      <c r="G397" s="424" t="s">
        <v>2611</v>
      </c>
      <c r="H397" s="1118">
        <f t="shared" ref="H397" si="171">I397</f>
        <v>36999</v>
      </c>
      <c r="I397" s="422">
        <v>36999</v>
      </c>
      <c r="J397" s="244"/>
      <c r="K397" s="244"/>
      <c r="L397" s="244"/>
      <c r="M397" s="244"/>
      <c r="N397" s="1109"/>
      <c r="O397" s="1118"/>
      <c r="P397" s="330"/>
      <c r="Q397" s="330"/>
      <c r="R397" s="8"/>
      <c r="S397" s="8"/>
      <c r="T397" s="482"/>
      <c r="U397" s="482"/>
      <c r="V397" s="8">
        <v>20000</v>
      </c>
      <c r="W397" s="8"/>
      <c r="X397" s="482">
        <f t="shared" ref="X397" si="172">Y397</f>
        <v>20000</v>
      </c>
      <c r="Y397" s="482">
        <f t="shared" ref="Y397" si="173">V397+U397</f>
        <v>20000</v>
      </c>
      <c r="Z397" s="244"/>
      <c r="AA397" s="244"/>
      <c r="AB397" s="244"/>
      <c r="AC397" s="244"/>
      <c r="AD397" s="244"/>
      <c r="AE397" s="244"/>
      <c r="AF397" s="244"/>
      <c r="AG397" s="244"/>
      <c r="AH397" s="244"/>
      <c r="AI397" s="244"/>
      <c r="AJ397" s="244"/>
      <c r="AK397" s="244"/>
      <c r="AL397" s="334" t="s">
        <v>980</v>
      </c>
      <c r="AM397" s="933">
        <f t="shared" ref="AM397" si="174">IF(Y397-U397=0,0,1)</f>
        <v>1</v>
      </c>
      <c r="AN397" s="933">
        <f t="shared" ref="AN397" si="175">IF(Y397=0,0,1)</f>
        <v>1</v>
      </c>
      <c r="AO397" s="1333">
        <f t="shared" si="163"/>
        <v>1</v>
      </c>
    </row>
    <row r="398" spans="1:42" ht="49.5" hidden="1" x14ac:dyDescent="0.25">
      <c r="A398" s="23" t="s">
        <v>879</v>
      </c>
      <c r="B398" s="23"/>
      <c r="C398" s="24" t="s">
        <v>1292</v>
      </c>
      <c r="D398" s="25"/>
      <c r="E398" s="1344"/>
      <c r="F398" s="1345" t="s">
        <v>101</v>
      </c>
      <c r="G398" s="25"/>
      <c r="H398" s="26">
        <f t="shared" ref="H398:W398" si="176">SUM(H399:H410)</f>
        <v>161540</v>
      </c>
      <c r="I398" s="26">
        <f t="shared" si="176"/>
        <v>161540</v>
      </c>
      <c r="J398" s="26">
        <f t="shared" si="176"/>
        <v>0</v>
      </c>
      <c r="K398" s="26">
        <f t="shared" si="176"/>
        <v>0</v>
      </c>
      <c r="L398" s="26">
        <f t="shared" si="176"/>
        <v>0</v>
      </c>
      <c r="M398" s="26">
        <f t="shared" si="176"/>
        <v>0</v>
      </c>
      <c r="N398" s="26">
        <f t="shared" si="176"/>
        <v>134500</v>
      </c>
      <c r="O398" s="26">
        <f t="shared" si="176"/>
        <v>128500</v>
      </c>
      <c r="P398" s="26">
        <f t="shared" si="176"/>
        <v>124500</v>
      </c>
      <c r="Q398" s="26">
        <f t="shared" si="176"/>
        <v>124500</v>
      </c>
      <c r="R398" s="26">
        <f t="shared" si="176"/>
        <v>0</v>
      </c>
      <c r="S398" s="26">
        <f t="shared" si="176"/>
        <v>0</v>
      </c>
      <c r="T398" s="26">
        <f t="shared" si="176"/>
        <v>124500</v>
      </c>
      <c r="U398" s="26">
        <f t="shared" si="176"/>
        <v>124500</v>
      </c>
      <c r="V398" s="26">
        <f t="shared" si="176"/>
        <v>4000</v>
      </c>
      <c r="W398" s="26">
        <f t="shared" si="176"/>
        <v>4000</v>
      </c>
      <c r="X398" s="26">
        <f>SUM(X399:X410)</f>
        <v>124500</v>
      </c>
      <c r="Y398" s="26">
        <f>SUM(Y399:Y410)</f>
        <v>124500</v>
      </c>
      <c r="Z398" s="1346">
        <f t="shared" ref="Z398:AK398" si="177">SUM(Z399:Z409)</f>
        <v>0</v>
      </c>
      <c r="AA398" s="1346">
        <f t="shared" si="177"/>
        <v>0</v>
      </c>
      <c r="AB398" s="1346">
        <f t="shared" si="177"/>
        <v>9030</v>
      </c>
      <c r="AC398" s="1346">
        <f t="shared" si="177"/>
        <v>9030</v>
      </c>
      <c r="AD398" s="1346">
        <f t="shared" si="177"/>
        <v>0</v>
      </c>
      <c r="AE398" s="1346">
        <f t="shared" si="177"/>
        <v>0</v>
      </c>
      <c r="AF398" s="1346">
        <f t="shared" si="177"/>
        <v>0</v>
      </c>
      <c r="AG398" s="1346">
        <f t="shared" si="177"/>
        <v>0</v>
      </c>
      <c r="AH398" s="1346">
        <f t="shared" si="177"/>
        <v>0</v>
      </c>
      <c r="AI398" s="1346">
        <f t="shared" si="177"/>
        <v>0</v>
      </c>
      <c r="AJ398" s="1346">
        <f t="shared" si="177"/>
        <v>0</v>
      </c>
      <c r="AK398" s="1346">
        <f t="shared" si="177"/>
        <v>0</v>
      </c>
      <c r="AL398" s="27"/>
      <c r="AM398" s="1009">
        <v>1</v>
      </c>
      <c r="AN398" s="1009">
        <f t="shared" si="156"/>
        <v>1</v>
      </c>
      <c r="AO398" s="144">
        <f t="shared" si="163"/>
        <v>1</v>
      </c>
    </row>
    <row r="399" spans="1:42" ht="33" hidden="1" x14ac:dyDescent="0.25">
      <c r="A399" s="749">
        <v>1</v>
      </c>
      <c r="B399" s="749"/>
      <c r="C399" s="1051" t="s">
        <v>1291</v>
      </c>
      <c r="D399" s="61" t="s">
        <v>194</v>
      </c>
      <c r="E399" s="1039" t="s">
        <v>1290</v>
      </c>
      <c r="F399" s="61" t="s">
        <v>248</v>
      </c>
      <c r="G399" s="118"/>
      <c r="H399" s="1031">
        <v>7313</v>
      </c>
      <c r="I399" s="1031">
        <v>7313</v>
      </c>
      <c r="J399" s="5"/>
      <c r="K399" s="5"/>
      <c r="L399" s="5"/>
      <c r="M399" s="5"/>
      <c r="N399" s="68">
        <f>O399</f>
        <v>6000</v>
      </c>
      <c r="O399" s="68">
        <v>6000</v>
      </c>
      <c r="P399" s="299">
        <f>Q399</f>
        <v>6000</v>
      </c>
      <c r="Q399" s="299">
        <v>6000</v>
      </c>
      <c r="R399" s="54"/>
      <c r="S399" s="54"/>
      <c r="T399" s="462">
        <f>U399</f>
        <v>6000</v>
      </c>
      <c r="U399" s="462">
        <v>6000</v>
      </c>
      <c r="V399" s="54"/>
      <c r="W399" s="54"/>
      <c r="X399" s="462">
        <f>Y399</f>
        <v>6000</v>
      </c>
      <c r="Y399" s="462">
        <v>6000</v>
      </c>
      <c r="Z399" s="5"/>
      <c r="AA399" s="5"/>
      <c r="AB399" s="5">
        <f>AC399</f>
        <v>5950</v>
      </c>
      <c r="AC399" s="5">
        <v>5950</v>
      </c>
      <c r="AD399" s="5"/>
      <c r="AE399" s="5"/>
      <c r="AF399" s="5"/>
      <c r="AG399" s="5"/>
      <c r="AH399" s="5"/>
      <c r="AI399" s="5"/>
      <c r="AJ399" s="5"/>
      <c r="AK399" s="5"/>
      <c r="AL399" s="1052"/>
      <c r="AM399" s="1009">
        <f t="shared" si="155"/>
        <v>0</v>
      </c>
      <c r="AN399" s="1009">
        <f t="shared" si="156"/>
        <v>1</v>
      </c>
      <c r="AO399" s="144">
        <f t="shared" si="163"/>
        <v>1</v>
      </c>
    </row>
    <row r="400" spans="1:42" ht="16.5" hidden="1" x14ac:dyDescent="0.25">
      <c r="A400" s="749">
        <v>2</v>
      </c>
      <c r="B400" s="749"/>
      <c r="C400" s="1051" t="s">
        <v>1289</v>
      </c>
      <c r="D400" s="61" t="s">
        <v>194</v>
      </c>
      <c r="E400" s="1039" t="s">
        <v>1288</v>
      </c>
      <c r="F400" s="61" t="s">
        <v>248</v>
      </c>
      <c r="G400" s="118"/>
      <c r="H400" s="1031">
        <v>3734</v>
      </c>
      <c r="I400" s="1031">
        <v>3734</v>
      </c>
      <c r="J400" s="5"/>
      <c r="K400" s="5"/>
      <c r="L400" s="5"/>
      <c r="M400" s="5"/>
      <c r="N400" s="68">
        <f>O400</f>
        <v>3200</v>
      </c>
      <c r="O400" s="68">
        <v>3200</v>
      </c>
      <c r="P400" s="299">
        <f>Q400</f>
        <v>3200</v>
      </c>
      <c r="Q400" s="299">
        <v>3200</v>
      </c>
      <c r="R400" s="54"/>
      <c r="S400" s="54"/>
      <c r="T400" s="462">
        <f>U400</f>
        <v>3200</v>
      </c>
      <c r="U400" s="462">
        <v>3200</v>
      </c>
      <c r="V400" s="54"/>
      <c r="W400" s="54"/>
      <c r="X400" s="462">
        <f>Y400</f>
        <v>3200</v>
      </c>
      <c r="Y400" s="462">
        <v>3200</v>
      </c>
      <c r="Z400" s="5"/>
      <c r="AA400" s="5"/>
      <c r="AB400" s="5">
        <f>AC400</f>
        <v>3080</v>
      </c>
      <c r="AC400" s="5">
        <v>3080</v>
      </c>
      <c r="AD400" s="5"/>
      <c r="AE400" s="5"/>
      <c r="AF400" s="5"/>
      <c r="AG400" s="5"/>
      <c r="AH400" s="5"/>
      <c r="AI400" s="5"/>
      <c r="AJ400" s="5"/>
      <c r="AK400" s="5"/>
      <c r="AL400" s="1052"/>
      <c r="AM400" s="1009">
        <f t="shared" si="155"/>
        <v>0</v>
      </c>
      <c r="AN400" s="1009">
        <f t="shared" si="156"/>
        <v>1</v>
      </c>
      <c r="AO400" s="144">
        <f t="shared" si="163"/>
        <v>1</v>
      </c>
    </row>
    <row r="401" spans="1:41" ht="33" hidden="1" x14ac:dyDescent="0.25">
      <c r="A401" s="749">
        <v>3</v>
      </c>
      <c r="B401" s="749"/>
      <c r="C401" s="1051" t="s">
        <v>1287</v>
      </c>
      <c r="D401" s="61" t="s">
        <v>194</v>
      </c>
      <c r="E401" s="1039" t="s">
        <v>1286</v>
      </c>
      <c r="F401" s="61" t="s">
        <v>248</v>
      </c>
      <c r="G401" s="118"/>
      <c r="H401" s="1031">
        <v>6342</v>
      </c>
      <c r="I401" s="1031">
        <v>6342</v>
      </c>
      <c r="J401" s="5"/>
      <c r="K401" s="5"/>
      <c r="L401" s="5"/>
      <c r="M401" s="5"/>
      <c r="N401" s="68">
        <f>O401</f>
        <v>4800</v>
      </c>
      <c r="O401" s="68">
        <v>4800</v>
      </c>
      <c r="P401" s="299">
        <f>Q401</f>
        <v>4800</v>
      </c>
      <c r="Q401" s="299">
        <v>4800</v>
      </c>
      <c r="R401" s="54"/>
      <c r="S401" s="54"/>
      <c r="T401" s="462">
        <f>U401</f>
        <v>4800</v>
      </c>
      <c r="U401" s="462">
        <v>4800</v>
      </c>
      <c r="V401" s="54"/>
      <c r="W401" s="54"/>
      <c r="X401" s="462">
        <f>Y401</f>
        <v>4800</v>
      </c>
      <c r="Y401" s="462">
        <v>4800</v>
      </c>
      <c r="Z401" s="5"/>
      <c r="AA401" s="5"/>
      <c r="AB401" s="5"/>
      <c r="AC401" s="5"/>
      <c r="AD401" s="5"/>
      <c r="AE401" s="5"/>
      <c r="AF401" s="5"/>
      <c r="AG401" s="5"/>
      <c r="AH401" s="5"/>
      <c r="AI401" s="5"/>
      <c r="AJ401" s="5"/>
      <c r="AK401" s="5"/>
      <c r="AL401" s="1052"/>
      <c r="AM401" s="1009">
        <f t="shared" si="155"/>
        <v>0</v>
      </c>
      <c r="AN401" s="1009">
        <f t="shared" si="156"/>
        <v>1</v>
      </c>
      <c r="AO401" s="144">
        <f t="shared" si="163"/>
        <v>1</v>
      </c>
    </row>
    <row r="402" spans="1:41" ht="66" hidden="1" x14ac:dyDescent="0.25">
      <c r="A402" s="749">
        <v>4</v>
      </c>
      <c r="B402" s="749"/>
      <c r="C402" s="1051" t="s">
        <v>1285</v>
      </c>
      <c r="D402" s="61" t="s">
        <v>1284</v>
      </c>
      <c r="E402" s="1039"/>
      <c r="F402" s="61" t="s">
        <v>116</v>
      </c>
      <c r="G402" s="118"/>
      <c r="H402" s="1027">
        <v>15500</v>
      </c>
      <c r="I402" s="1027">
        <v>15500</v>
      </c>
      <c r="J402" s="5"/>
      <c r="K402" s="5"/>
      <c r="L402" s="5"/>
      <c r="M402" s="5"/>
      <c r="N402" s="68">
        <v>15000</v>
      </c>
      <c r="O402" s="68">
        <v>15000</v>
      </c>
      <c r="P402" s="299">
        <v>15000</v>
      </c>
      <c r="Q402" s="299">
        <v>15000</v>
      </c>
      <c r="R402" s="54"/>
      <c r="S402" s="54"/>
      <c r="T402" s="462">
        <v>15000</v>
      </c>
      <c r="U402" s="462">
        <v>15000</v>
      </c>
      <c r="V402" s="54"/>
      <c r="W402" s="54"/>
      <c r="X402" s="462">
        <v>15000</v>
      </c>
      <c r="Y402" s="462">
        <v>15000</v>
      </c>
      <c r="Z402" s="5"/>
      <c r="AA402" s="5"/>
      <c r="AB402" s="5"/>
      <c r="AC402" s="5"/>
      <c r="AD402" s="5"/>
      <c r="AE402" s="5"/>
      <c r="AF402" s="5"/>
      <c r="AG402" s="5"/>
      <c r="AH402" s="5"/>
      <c r="AI402" s="5"/>
      <c r="AJ402" s="5"/>
      <c r="AK402" s="5"/>
      <c r="AL402" s="1052"/>
      <c r="AM402" s="1009">
        <f t="shared" si="155"/>
        <v>0</v>
      </c>
      <c r="AN402" s="1009">
        <f t="shared" si="156"/>
        <v>1</v>
      </c>
      <c r="AO402" s="144">
        <f t="shared" si="163"/>
        <v>1</v>
      </c>
    </row>
    <row r="403" spans="1:41" ht="33" hidden="1" x14ac:dyDescent="0.25">
      <c r="A403" s="749">
        <v>5</v>
      </c>
      <c r="B403" s="749"/>
      <c r="C403" s="1051" t="s">
        <v>1283</v>
      </c>
      <c r="D403" s="61" t="s">
        <v>1282</v>
      </c>
      <c r="E403" s="1039"/>
      <c r="F403" s="61" t="s">
        <v>116</v>
      </c>
      <c r="G403" s="118"/>
      <c r="H403" s="1027">
        <v>15000</v>
      </c>
      <c r="I403" s="1027">
        <v>15000</v>
      </c>
      <c r="J403" s="5"/>
      <c r="K403" s="5"/>
      <c r="L403" s="5"/>
      <c r="M403" s="5"/>
      <c r="N403" s="68">
        <v>15000</v>
      </c>
      <c r="O403" s="68">
        <v>15000</v>
      </c>
      <c r="P403" s="299">
        <v>15000</v>
      </c>
      <c r="Q403" s="299">
        <v>15000</v>
      </c>
      <c r="R403" s="54"/>
      <c r="S403" s="54"/>
      <c r="T403" s="462">
        <v>15000</v>
      </c>
      <c r="U403" s="462">
        <v>15000</v>
      </c>
      <c r="V403" s="54"/>
      <c r="W403" s="54">
        <v>4000</v>
      </c>
      <c r="X403" s="462">
        <f>Y403</f>
        <v>11000</v>
      </c>
      <c r="Y403" s="462">
        <f>U403-W403</f>
        <v>11000</v>
      </c>
      <c r="Z403" s="5"/>
      <c r="AA403" s="5"/>
      <c r="AB403" s="5"/>
      <c r="AC403" s="5"/>
      <c r="AD403" s="5"/>
      <c r="AE403" s="5"/>
      <c r="AF403" s="5"/>
      <c r="AG403" s="5"/>
      <c r="AH403" s="5"/>
      <c r="AI403" s="5"/>
      <c r="AJ403" s="5"/>
      <c r="AK403" s="5"/>
      <c r="AL403" s="1052"/>
      <c r="AM403" s="1009">
        <f t="shared" si="155"/>
        <v>1</v>
      </c>
      <c r="AN403" s="1009">
        <f t="shared" si="156"/>
        <v>1</v>
      </c>
      <c r="AO403" s="144">
        <f t="shared" si="163"/>
        <v>1</v>
      </c>
    </row>
    <row r="404" spans="1:41" ht="49.5" hidden="1" x14ac:dyDescent="0.25">
      <c r="A404" s="749">
        <v>6</v>
      </c>
      <c r="B404" s="749"/>
      <c r="C404" s="1051" t="s">
        <v>1281</v>
      </c>
      <c r="D404" s="61" t="s">
        <v>1280</v>
      </c>
      <c r="E404" s="1039"/>
      <c r="F404" s="61" t="s">
        <v>116</v>
      </c>
      <c r="G404" s="118"/>
      <c r="H404" s="1027">
        <v>15000</v>
      </c>
      <c r="I404" s="1027">
        <v>15000</v>
      </c>
      <c r="J404" s="5"/>
      <c r="K404" s="5"/>
      <c r="L404" s="5"/>
      <c r="M404" s="5"/>
      <c r="N404" s="68">
        <v>15000</v>
      </c>
      <c r="O404" s="68">
        <v>15000</v>
      </c>
      <c r="P404" s="299">
        <v>15000</v>
      </c>
      <c r="Q404" s="299">
        <v>15000</v>
      </c>
      <c r="R404" s="54"/>
      <c r="S404" s="54"/>
      <c r="T404" s="462">
        <v>15000</v>
      </c>
      <c r="U404" s="462">
        <v>15000</v>
      </c>
      <c r="V404" s="54"/>
      <c r="W404" s="54"/>
      <c r="X404" s="462">
        <v>15000</v>
      </c>
      <c r="Y404" s="462">
        <v>15000</v>
      </c>
      <c r="Z404" s="5"/>
      <c r="AA404" s="5"/>
      <c r="AB404" s="5"/>
      <c r="AC404" s="5"/>
      <c r="AD404" s="5"/>
      <c r="AE404" s="5"/>
      <c r="AF404" s="5"/>
      <c r="AG404" s="5"/>
      <c r="AH404" s="5"/>
      <c r="AI404" s="5"/>
      <c r="AJ404" s="5"/>
      <c r="AK404" s="5"/>
      <c r="AL404" s="1052"/>
      <c r="AM404" s="1009">
        <f t="shared" si="155"/>
        <v>0</v>
      </c>
      <c r="AN404" s="1009">
        <f t="shared" si="156"/>
        <v>1</v>
      </c>
      <c r="AO404" s="144">
        <f t="shared" si="163"/>
        <v>1</v>
      </c>
    </row>
    <row r="405" spans="1:41" ht="49.5" hidden="1" x14ac:dyDescent="0.25">
      <c r="A405" s="749">
        <v>7</v>
      </c>
      <c r="B405" s="749"/>
      <c r="C405" s="1051" t="s">
        <v>1279</v>
      </c>
      <c r="D405" s="61" t="s">
        <v>1278</v>
      </c>
      <c r="E405" s="1039"/>
      <c r="F405" s="61" t="s">
        <v>116</v>
      </c>
      <c r="G405" s="61" t="s">
        <v>1277</v>
      </c>
      <c r="H405" s="1027">
        <v>13747</v>
      </c>
      <c r="I405" s="1027">
        <v>13747</v>
      </c>
      <c r="J405" s="5"/>
      <c r="K405" s="5"/>
      <c r="L405" s="5"/>
      <c r="M405" s="5"/>
      <c r="N405" s="68">
        <v>12500</v>
      </c>
      <c r="O405" s="68">
        <v>12500</v>
      </c>
      <c r="P405" s="299">
        <v>12500</v>
      </c>
      <c r="Q405" s="299">
        <v>12500</v>
      </c>
      <c r="R405" s="54"/>
      <c r="S405" s="54"/>
      <c r="T405" s="462">
        <v>12500</v>
      </c>
      <c r="U405" s="462">
        <v>12500</v>
      </c>
      <c r="V405" s="54"/>
      <c r="W405" s="54"/>
      <c r="X405" s="462">
        <v>12500</v>
      </c>
      <c r="Y405" s="462">
        <v>12500</v>
      </c>
      <c r="Z405" s="5"/>
      <c r="AA405" s="5"/>
      <c r="AB405" s="5"/>
      <c r="AC405" s="5"/>
      <c r="AD405" s="5"/>
      <c r="AE405" s="5"/>
      <c r="AF405" s="5"/>
      <c r="AG405" s="5"/>
      <c r="AH405" s="5"/>
      <c r="AI405" s="5"/>
      <c r="AJ405" s="5"/>
      <c r="AK405" s="5"/>
      <c r="AL405" s="1052"/>
      <c r="AM405" s="1009">
        <f t="shared" si="155"/>
        <v>0</v>
      </c>
      <c r="AN405" s="1009">
        <f t="shared" si="156"/>
        <v>1</v>
      </c>
      <c r="AO405" s="144">
        <f t="shared" si="163"/>
        <v>1</v>
      </c>
    </row>
    <row r="406" spans="1:41" ht="49.5" hidden="1" x14ac:dyDescent="0.25">
      <c r="A406" s="749">
        <v>8</v>
      </c>
      <c r="B406" s="749"/>
      <c r="C406" s="1051" t="s">
        <v>1276</v>
      </c>
      <c r="D406" s="61" t="s">
        <v>1275</v>
      </c>
      <c r="E406" s="1039"/>
      <c r="F406" s="61" t="s">
        <v>116</v>
      </c>
      <c r="G406" s="118"/>
      <c r="H406" s="1027">
        <v>15000</v>
      </c>
      <c r="I406" s="1027">
        <v>15000</v>
      </c>
      <c r="J406" s="5"/>
      <c r="K406" s="5"/>
      <c r="L406" s="5"/>
      <c r="M406" s="5"/>
      <c r="N406" s="68">
        <v>15000</v>
      </c>
      <c r="O406" s="68">
        <v>15000</v>
      </c>
      <c r="P406" s="299">
        <v>15000</v>
      </c>
      <c r="Q406" s="299">
        <v>15000</v>
      </c>
      <c r="R406" s="54"/>
      <c r="S406" s="54"/>
      <c r="T406" s="462">
        <v>15000</v>
      </c>
      <c r="U406" s="462">
        <v>15000</v>
      </c>
      <c r="V406" s="54"/>
      <c r="W406" s="54"/>
      <c r="X406" s="462">
        <v>15000</v>
      </c>
      <c r="Y406" s="462">
        <v>15000</v>
      </c>
      <c r="Z406" s="5"/>
      <c r="AA406" s="5"/>
      <c r="AB406" s="5"/>
      <c r="AC406" s="5"/>
      <c r="AD406" s="5"/>
      <c r="AE406" s="5"/>
      <c r="AF406" s="5"/>
      <c r="AG406" s="5"/>
      <c r="AH406" s="5"/>
      <c r="AI406" s="5"/>
      <c r="AJ406" s="5"/>
      <c r="AK406" s="5"/>
      <c r="AL406" s="1052"/>
      <c r="AM406" s="1009">
        <f t="shared" si="155"/>
        <v>0</v>
      </c>
      <c r="AN406" s="1009">
        <f t="shared" si="156"/>
        <v>1</v>
      </c>
      <c r="AO406" s="144">
        <f t="shared" si="163"/>
        <v>1</v>
      </c>
    </row>
    <row r="407" spans="1:41" ht="33" hidden="1" x14ac:dyDescent="0.25">
      <c r="A407" s="749">
        <v>9</v>
      </c>
      <c r="B407" s="749"/>
      <c r="C407" s="1051" t="s">
        <v>1274</v>
      </c>
      <c r="D407" s="61" t="s">
        <v>1273</v>
      </c>
      <c r="E407" s="1039"/>
      <c r="F407" s="61" t="s">
        <v>116</v>
      </c>
      <c r="G407" s="118"/>
      <c r="H407" s="1027">
        <v>12000</v>
      </c>
      <c r="I407" s="1027">
        <v>12000</v>
      </c>
      <c r="J407" s="5"/>
      <c r="K407" s="5"/>
      <c r="L407" s="5"/>
      <c r="M407" s="5"/>
      <c r="N407" s="68">
        <v>12000</v>
      </c>
      <c r="O407" s="68">
        <v>12000</v>
      </c>
      <c r="P407" s="299">
        <v>12000</v>
      </c>
      <c r="Q407" s="299">
        <v>12000</v>
      </c>
      <c r="R407" s="54"/>
      <c r="S407" s="54"/>
      <c r="T407" s="462">
        <v>12000</v>
      </c>
      <c r="U407" s="462">
        <v>12000</v>
      </c>
      <c r="V407" s="54"/>
      <c r="W407" s="54"/>
      <c r="X407" s="462">
        <v>12000</v>
      </c>
      <c r="Y407" s="462">
        <v>12000</v>
      </c>
      <c r="Z407" s="5"/>
      <c r="AA407" s="5"/>
      <c r="AB407" s="5"/>
      <c r="AC407" s="5"/>
      <c r="AD407" s="5"/>
      <c r="AE407" s="5"/>
      <c r="AF407" s="5"/>
      <c r="AG407" s="5"/>
      <c r="AH407" s="5"/>
      <c r="AI407" s="5"/>
      <c r="AJ407" s="5"/>
      <c r="AK407" s="5"/>
      <c r="AL407" s="1052"/>
      <c r="AM407" s="1009">
        <f t="shared" si="155"/>
        <v>0</v>
      </c>
      <c r="AN407" s="1009">
        <f t="shared" si="156"/>
        <v>1</v>
      </c>
      <c r="AO407" s="144">
        <f t="shared" si="163"/>
        <v>1</v>
      </c>
    </row>
    <row r="408" spans="1:41" ht="49.5" hidden="1" x14ac:dyDescent="0.25">
      <c r="A408" s="749">
        <v>10</v>
      </c>
      <c r="B408" s="749"/>
      <c r="C408" s="1051" t="s">
        <v>1272</v>
      </c>
      <c r="D408" s="61" t="s">
        <v>1271</v>
      </c>
      <c r="E408" s="1039"/>
      <c r="F408" s="61" t="s">
        <v>116</v>
      </c>
      <c r="G408" s="118"/>
      <c r="H408" s="1027">
        <v>11000</v>
      </c>
      <c r="I408" s="1027">
        <v>11000</v>
      </c>
      <c r="J408" s="5"/>
      <c r="K408" s="5"/>
      <c r="L408" s="5"/>
      <c r="M408" s="5"/>
      <c r="N408" s="68">
        <v>11000</v>
      </c>
      <c r="O408" s="68">
        <v>11000</v>
      </c>
      <c r="P408" s="299">
        <v>11000</v>
      </c>
      <c r="Q408" s="299">
        <v>11000</v>
      </c>
      <c r="R408" s="54"/>
      <c r="S408" s="54"/>
      <c r="T408" s="462">
        <v>11000</v>
      </c>
      <c r="U408" s="462">
        <v>11000</v>
      </c>
      <c r="V408" s="54"/>
      <c r="W408" s="54"/>
      <c r="X408" s="462">
        <v>11000</v>
      </c>
      <c r="Y408" s="462">
        <v>11000</v>
      </c>
      <c r="Z408" s="5"/>
      <c r="AA408" s="5"/>
      <c r="AB408" s="5"/>
      <c r="AC408" s="5"/>
      <c r="AD408" s="5"/>
      <c r="AE408" s="5"/>
      <c r="AF408" s="5"/>
      <c r="AG408" s="5"/>
      <c r="AH408" s="5"/>
      <c r="AI408" s="5"/>
      <c r="AJ408" s="5"/>
      <c r="AK408" s="5"/>
      <c r="AL408" s="1052"/>
      <c r="AM408" s="1009">
        <f t="shared" si="155"/>
        <v>0</v>
      </c>
      <c r="AN408" s="1009">
        <f t="shared" si="156"/>
        <v>1</v>
      </c>
      <c r="AO408" s="144">
        <f t="shared" si="163"/>
        <v>1</v>
      </c>
    </row>
    <row r="409" spans="1:41" ht="16.5" hidden="1" x14ac:dyDescent="0.25">
      <c r="A409" s="749">
        <v>11</v>
      </c>
      <c r="B409" s="749"/>
      <c r="C409" s="1051" t="s">
        <v>1270</v>
      </c>
      <c r="D409" s="61" t="s">
        <v>58</v>
      </c>
      <c r="E409" s="1039"/>
      <c r="F409" s="61" t="s">
        <v>116</v>
      </c>
      <c r="G409" s="118"/>
      <c r="H409" s="1031">
        <v>31904</v>
      </c>
      <c r="I409" s="1031">
        <v>31904</v>
      </c>
      <c r="J409" s="5"/>
      <c r="K409" s="5"/>
      <c r="L409" s="5"/>
      <c r="M409" s="5"/>
      <c r="N409" s="68">
        <v>15000</v>
      </c>
      <c r="O409" s="68">
        <v>15000</v>
      </c>
      <c r="P409" s="299">
        <v>15000</v>
      </c>
      <c r="Q409" s="299">
        <v>15000</v>
      </c>
      <c r="R409" s="54"/>
      <c r="S409" s="54"/>
      <c r="T409" s="462">
        <v>15000</v>
      </c>
      <c r="U409" s="462">
        <v>15000</v>
      </c>
      <c r="V409" s="54"/>
      <c r="W409" s="54"/>
      <c r="X409" s="462">
        <v>15000</v>
      </c>
      <c r="Y409" s="462">
        <v>15000</v>
      </c>
      <c r="Z409" s="5"/>
      <c r="AA409" s="5"/>
      <c r="AB409" s="5"/>
      <c r="AC409" s="5"/>
      <c r="AD409" s="5"/>
      <c r="AE409" s="5"/>
      <c r="AF409" s="5"/>
      <c r="AG409" s="5"/>
      <c r="AH409" s="5"/>
      <c r="AI409" s="5"/>
      <c r="AJ409" s="5"/>
      <c r="AK409" s="5"/>
      <c r="AL409" s="1052"/>
      <c r="AM409" s="1009">
        <f t="shared" si="155"/>
        <v>0</v>
      </c>
      <c r="AN409" s="1009">
        <f t="shared" si="156"/>
        <v>1</v>
      </c>
      <c r="AO409" s="144">
        <f t="shared" si="163"/>
        <v>1</v>
      </c>
    </row>
    <row r="410" spans="1:41" ht="140.25" hidden="1" customHeight="1" x14ac:dyDescent="0.25">
      <c r="A410" s="749">
        <v>12</v>
      </c>
      <c r="B410" s="749"/>
      <c r="C410" s="1051" t="s">
        <v>2378</v>
      </c>
      <c r="D410" s="61" t="s">
        <v>2380</v>
      </c>
      <c r="E410" s="1039"/>
      <c r="F410" s="61" t="s">
        <v>116</v>
      </c>
      <c r="G410" s="118"/>
      <c r="H410" s="1027">
        <v>15000</v>
      </c>
      <c r="I410" s="1027">
        <v>15000</v>
      </c>
      <c r="J410" s="5"/>
      <c r="K410" s="5"/>
      <c r="L410" s="5"/>
      <c r="M410" s="5"/>
      <c r="N410" s="68">
        <v>10000</v>
      </c>
      <c r="O410" s="68">
        <v>4000</v>
      </c>
      <c r="P410" s="299"/>
      <c r="Q410" s="299"/>
      <c r="R410" s="54"/>
      <c r="S410" s="54"/>
      <c r="T410" s="462"/>
      <c r="U410" s="462"/>
      <c r="V410" s="54">
        <v>4000</v>
      </c>
      <c r="W410" s="54"/>
      <c r="X410" s="462">
        <v>4000</v>
      </c>
      <c r="Y410" s="462">
        <f>V410+U410</f>
        <v>4000</v>
      </c>
      <c r="Z410" s="5"/>
      <c r="AA410" s="5"/>
      <c r="AB410" s="5"/>
      <c r="AC410" s="5"/>
      <c r="AD410" s="5"/>
      <c r="AE410" s="5"/>
      <c r="AF410" s="5"/>
      <c r="AG410" s="5"/>
      <c r="AH410" s="5"/>
      <c r="AI410" s="5"/>
      <c r="AJ410" s="5"/>
      <c r="AK410" s="5"/>
      <c r="AL410" s="25" t="s">
        <v>2379</v>
      </c>
      <c r="AM410" s="1009">
        <f t="shared" ref="AM410" si="178">IF(Y410-U410=0,0,1)</f>
        <v>1</v>
      </c>
      <c r="AN410" s="1009">
        <f t="shared" ref="AN410" si="179">IF(Y410=0,0,1)</f>
        <v>1</v>
      </c>
      <c r="AO410" s="144">
        <f t="shared" si="163"/>
        <v>1</v>
      </c>
    </row>
    <row r="411" spans="1:41" ht="49.5" hidden="1" x14ac:dyDescent="0.25">
      <c r="A411" s="23" t="s">
        <v>881</v>
      </c>
      <c r="B411" s="23"/>
      <c r="C411" s="24" t="s">
        <v>1269</v>
      </c>
      <c r="D411" s="25"/>
      <c r="E411" s="1345" t="s">
        <v>488</v>
      </c>
      <c r="F411" s="1345" t="s">
        <v>101</v>
      </c>
      <c r="G411" s="25"/>
      <c r="H411" s="1215">
        <v>75560</v>
      </c>
      <c r="I411" s="1215">
        <v>20000</v>
      </c>
      <c r="J411" s="1028"/>
      <c r="K411" s="1028"/>
      <c r="L411" s="1028"/>
      <c r="M411" s="1028"/>
      <c r="N411" s="1215">
        <f>48000+O411</f>
        <v>68000</v>
      </c>
      <c r="O411" s="1215">
        <v>20000</v>
      </c>
      <c r="P411" s="1019"/>
      <c r="Q411" s="1019"/>
      <c r="R411" s="54"/>
      <c r="S411" s="1215">
        <f>O411</f>
        <v>20000</v>
      </c>
      <c r="T411" s="1347"/>
      <c r="U411" s="1347"/>
      <c r="V411" s="54"/>
      <c r="W411" s="1215"/>
      <c r="X411" s="1347"/>
      <c r="Y411" s="1347"/>
      <c r="Z411" s="1028"/>
      <c r="AA411" s="1028"/>
      <c r="AB411" s="1028"/>
      <c r="AC411" s="1028"/>
      <c r="AD411" s="1028"/>
      <c r="AE411" s="1028"/>
      <c r="AF411" s="1028"/>
      <c r="AG411" s="1028"/>
      <c r="AH411" s="1028"/>
      <c r="AI411" s="1028"/>
      <c r="AJ411" s="1028"/>
      <c r="AK411" s="1028"/>
      <c r="AL411" s="25" t="s">
        <v>1268</v>
      </c>
      <c r="AM411" s="1009">
        <f t="shared" si="155"/>
        <v>0</v>
      </c>
      <c r="AN411" s="1009">
        <f t="shared" si="156"/>
        <v>0</v>
      </c>
      <c r="AO411" s="144">
        <f t="shared" si="163"/>
        <v>1</v>
      </c>
    </row>
    <row r="412" spans="1:41" ht="108.75" hidden="1" customHeight="1" x14ac:dyDescent="0.25">
      <c r="A412" s="23" t="s">
        <v>1267</v>
      </c>
      <c r="B412" s="23"/>
      <c r="C412" s="24" t="s">
        <v>1266</v>
      </c>
      <c r="D412" s="25"/>
      <c r="E412" s="1344"/>
      <c r="F412" s="1345"/>
      <c r="G412" s="25"/>
      <c r="H412" s="1215"/>
      <c r="I412" s="1215"/>
      <c r="J412" s="1028"/>
      <c r="K412" s="1028"/>
      <c r="L412" s="1028"/>
      <c r="M412" s="1028"/>
      <c r="N412" s="1215">
        <v>98000</v>
      </c>
      <c r="O412" s="1215">
        <f>N412</f>
        <v>98000</v>
      </c>
      <c r="P412" s="1019">
        <f>Q412</f>
        <v>98000</v>
      </c>
      <c r="Q412" s="1019">
        <v>98000</v>
      </c>
      <c r="R412" s="54"/>
      <c r="S412" s="54"/>
      <c r="T412" s="26">
        <f>U412</f>
        <v>98000</v>
      </c>
      <c r="U412" s="26">
        <v>98000</v>
      </c>
      <c r="V412" s="54"/>
      <c r="W412" s="54"/>
      <c r="X412" s="26">
        <f>Y412</f>
        <v>98000</v>
      </c>
      <c r="Y412" s="26">
        <v>98000</v>
      </c>
      <c r="Z412" s="1028"/>
      <c r="AA412" s="1028"/>
      <c r="AB412" s="1028"/>
      <c r="AC412" s="1028">
        <v>25000</v>
      </c>
      <c r="AD412" s="1028"/>
      <c r="AE412" s="1028"/>
      <c r="AF412" s="1028"/>
      <c r="AG412" s="1028"/>
      <c r="AH412" s="1028"/>
      <c r="AI412" s="1028"/>
      <c r="AJ412" s="1028"/>
      <c r="AK412" s="1028"/>
      <c r="AL412" s="27"/>
      <c r="AM412" s="1009">
        <f t="shared" si="155"/>
        <v>0</v>
      </c>
      <c r="AN412" s="1009">
        <f t="shared" si="156"/>
        <v>1</v>
      </c>
      <c r="AO412" s="144"/>
    </row>
    <row r="413" spans="1:41" ht="27" customHeight="1" x14ac:dyDescent="0.25">
      <c r="A413" s="23" t="s">
        <v>1265</v>
      </c>
      <c r="B413" s="23"/>
      <c r="C413" s="24" t="s">
        <v>1264</v>
      </c>
      <c r="D413" s="25"/>
      <c r="E413" s="25"/>
      <c r="F413" s="25"/>
      <c r="G413" s="25"/>
      <c r="H413" s="26">
        <f t="shared" ref="H413:Y413" si="180">H414+H444+H462+H496+H519+H540+H561+H594+H624</f>
        <v>1761315</v>
      </c>
      <c r="I413" s="26">
        <f t="shared" si="180"/>
        <v>1818830</v>
      </c>
      <c r="J413" s="26">
        <f t="shared" si="180"/>
        <v>120000</v>
      </c>
      <c r="K413" s="26">
        <f t="shared" si="180"/>
        <v>132200</v>
      </c>
      <c r="L413" s="26">
        <f t="shared" si="180"/>
        <v>132200</v>
      </c>
      <c r="M413" s="26">
        <f t="shared" si="180"/>
        <v>132200</v>
      </c>
      <c r="N413" s="26">
        <f t="shared" si="180"/>
        <v>730000</v>
      </c>
      <c r="O413" s="26">
        <f t="shared" si="180"/>
        <v>730000</v>
      </c>
      <c r="P413" s="26">
        <f t="shared" si="180"/>
        <v>730000</v>
      </c>
      <c r="Q413" s="26">
        <f t="shared" si="180"/>
        <v>730000</v>
      </c>
      <c r="R413" s="26">
        <f t="shared" si="180"/>
        <v>132645</v>
      </c>
      <c r="S413" s="26">
        <f t="shared" si="180"/>
        <v>132645</v>
      </c>
      <c r="T413" s="26">
        <f t="shared" si="180"/>
        <v>758000</v>
      </c>
      <c r="U413" s="26">
        <f t="shared" si="180"/>
        <v>743000</v>
      </c>
      <c r="V413" s="26">
        <f t="shared" si="180"/>
        <v>444999</v>
      </c>
      <c r="W413" s="26">
        <f t="shared" si="180"/>
        <v>50710</v>
      </c>
      <c r="X413" s="26">
        <f t="shared" si="180"/>
        <v>1152289</v>
      </c>
      <c r="Y413" s="26">
        <f t="shared" si="180"/>
        <v>1137289</v>
      </c>
      <c r="Z413" s="1347" t="e">
        <f>Z414+Z444+Z462+Z496+Z519+Z540+Z594+Z624</f>
        <v>#REF!</v>
      </c>
      <c r="AA413" s="1347" t="e">
        <f>AA414+AA444+AA462+AA496+AA519+AA540+AA594+AA624</f>
        <v>#REF!</v>
      </c>
      <c r="AB413" s="1347" t="e">
        <f>AB414+AB444+AB462+AB496+AB519+AB540+AB594+AB624</f>
        <v>#REF!</v>
      </c>
      <c r="AC413" s="1347" t="e">
        <f>AC414+AC444+AC462+AC496+AC519+AC540+AC594+AC624</f>
        <v>#REF!</v>
      </c>
      <c r="AD413" s="1019" t="e">
        <f t="shared" ref="AD413:AK413" si="181">AD414+AD444+AD462+AD496+AD519+AD540+AD561+AD594+AD624</f>
        <v>#REF!</v>
      </c>
      <c r="AE413" s="1019" t="e">
        <f t="shared" si="181"/>
        <v>#REF!</v>
      </c>
      <c r="AF413" s="1019" t="e">
        <f t="shared" si="181"/>
        <v>#REF!</v>
      </c>
      <c r="AG413" s="1019" t="e">
        <f t="shared" si="181"/>
        <v>#REF!</v>
      </c>
      <c r="AH413" s="1019" t="e">
        <f t="shared" si="181"/>
        <v>#REF!</v>
      </c>
      <c r="AI413" s="1019" t="e">
        <f t="shared" si="181"/>
        <v>#REF!</v>
      </c>
      <c r="AJ413" s="1019" t="e">
        <f t="shared" si="181"/>
        <v>#REF!</v>
      </c>
      <c r="AK413" s="1019" t="e">
        <f t="shared" si="181"/>
        <v>#REF!</v>
      </c>
      <c r="AL413" s="27"/>
      <c r="AM413" s="1009">
        <f t="shared" si="155"/>
        <v>1</v>
      </c>
      <c r="AN413" s="1009">
        <f t="shared" si="156"/>
        <v>1</v>
      </c>
      <c r="AO413" s="144">
        <f t="shared" si="163"/>
        <v>1</v>
      </c>
    </row>
    <row r="414" spans="1:41" ht="28.5" hidden="1" customHeight="1" x14ac:dyDescent="0.25">
      <c r="A414" s="23" t="s">
        <v>43</v>
      </c>
      <c r="B414" s="23"/>
      <c r="C414" s="1348" t="s">
        <v>1263</v>
      </c>
      <c r="D414" s="96"/>
      <c r="E414" s="1349"/>
      <c r="F414" s="1349"/>
      <c r="G414" s="1349"/>
      <c r="H414" s="1215">
        <f t="shared" ref="H414:X414" si="182">H415+H421</f>
        <v>211165</v>
      </c>
      <c r="I414" s="1215">
        <f t="shared" si="182"/>
        <v>211165</v>
      </c>
      <c r="J414" s="1215">
        <f t="shared" si="182"/>
        <v>31200</v>
      </c>
      <c r="K414" s="1215">
        <f t="shared" si="182"/>
        <v>31200</v>
      </c>
      <c r="L414" s="1215">
        <f t="shared" si="182"/>
        <v>31200</v>
      </c>
      <c r="M414" s="1215">
        <f t="shared" si="182"/>
        <v>31200</v>
      </c>
      <c r="N414" s="1215">
        <f t="shared" si="182"/>
        <v>80000</v>
      </c>
      <c r="O414" s="1215">
        <f t="shared" si="182"/>
        <v>80000</v>
      </c>
      <c r="P414" s="1215">
        <f t="shared" si="182"/>
        <v>80000</v>
      </c>
      <c r="Q414" s="1215">
        <f t="shared" si="182"/>
        <v>80000</v>
      </c>
      <c r="R414" s="1215">
        <f t="shared" si="182"/>
        <v>9088</v>
      </c>
      <c r="S414" s="1215">
        <f t="shared" si="182"/>
        <v>9088</v>
      </c>
      <c r="T414" s="1215">
        <f t="shared" si="182"/>
        <v>80000</v>
      </c>
      <c r="U414" s="1215">
        <f t="shared" si="182"/>
        <v>80000</v>
      </c>
      <c r="V414" s="1215">
        <f t="shared" si="182"/>
        <v>30700</v>
      </c>
      <c r="W414" s="1215">
        <f t="shared" si="182"/>
        <v>0</v>
      </c>
      <c r="X414" s="1215">
        <f t="shared" si="182"/>
        <v>110700</v>
      </c>
      <c r="Y414" s="1215">
        <f>Y415+Y421</f>
        <v>110700</v>
      </c>
      <c r="Z414" s="1215">
        <f t="shared" ref="Z414:AC414" si="183">Z415+Z421</f>
        <v>10000</v>
      </c>
      <c r="AA414" s="1215">
        <f t="shared" si="183"/>
        <v>10000</v>
      </c>
      <c r="AB414" s="1215">
        <f t="shared" si="183"/>
        <v>12000</v>
      </c>
      <c r="AC414" s="1215">
        <f t="shared" si="183"/>
        <v>12000</v>
      </c>
      <c r="AD414" s="1350">
        <f t="shared" ref="AD414:AK414" si="184">AD415+AD421</f>
        <v>11880</v>
      </c>
      <c r="AE414" s="1350">
        <f t="shared" si="184"/>
        <v>11880</v>
      </c>
      <c r="AF414" s="1350">
        <f t="shared" si="184"/>
        <v>11880</v>
      </c>
      <c r="AG414" s="1350">
        <f t="shared" si="184"/>
        <v>11880</v>
      </c>
      <c r="AH414" s="1350">
        <f t="shared" si="184"/>
        <v>11880</v>
      </c>
      <c r="AI414" s="1350">
        <f t="shared" si="184"/>
        <v>11880</v>
      </c>
      <c r="AJ414" s="1350">
        <f t="shared" si="184"/>
        <v>11880</v>
      </c>
      <c r="AK414" s="1350">
        <f t="shared" si="184"/>
        <v>11880</v>
      </c>
      <c r="AL414" s="1351"/>
      <c r="AM414" s="1009">
        <f t="shared" si="155"/>
        <v>1</v>
      </c>
      <c r="AN414" s="1009">
        <f t="shared" si="156"/>
        <v>1</v>
      </c>
      <c r="AO414" s="144">
        <f t="shared" si="163"/>
        <v>1</v>
      </c>
    </row>
    <row r="415" spans="1:41" ht="51.75" hidden="1" x14ac:dyDescent="0.25">
      <c r="A415" s="1066" t="s">
        <v>45</v>
      </c>
      <c r="B415" s="1066"/>
      <c r="C415" s="51" t="s">
        <v>46</v>
      </c>
      <c r="D415" s="57"/>
      <c r="E415" s="57"/>
      <c r="F415" s="57"/>
      <c r="G415" s="57"/>
      <c r="H415" s="1017">
        <f t="shared" ref="H415:AA415" si="185">H416</f>
        <v>53470</v>
      </c>
      <c r="I415" s="1017">
        <f t="shared" si="185"/>
        <v>53470</v>
      </c>
      <c r="J415" s="1017">
        <f t="shared" si="185"/>
        <v>31200</v>
      </c>
      <c r="K415" s="1017">
        <f t="shared" si="185"/>
        <v>31200</v>
      </c>
      <c r="L415" s="1017">
        <f t="shared" si="185"/>
        <v>31200</v>
      </c>
      <c r="M415" s="1017">
        <f t="shared" si="185"/>
        <v>31200</v>
      </c>
      <c r="N415" s="1017">
        <f t="shared" si="185"/>
        <v>11880</v>
      </c>
      <c r="O415" s="1017">
        <f t="shared" si="185"/>
        <v>11880</v>
      </c>
      <c r="P415" s="1017">
        <f t="shared" si="185"/>
        <v>11880</v>
      </c>
      <c r="Q415" s="1017">
        <f t="shared" si="185"/>
        <v>11880</v>
      </c>
      <c r="R415" s="1017">
        <f t="shared" si="185"/>
        <v>0</v>
      </c>
      <c r="S415" s="1017">
        <f t="shared" si="185"/>
        <v>0</v>
      </c>
      <c r="T415" s="1017">
        <f t="shared" si="185"/>
        <v>11880</v>
      </c>
      <c r="U415" s="1017">
        <v>11880</v>
      </c>
      <c r="V415" s="1017">
        <f t="shared" si="185"/>
        <v>0</v>
      </c>
      <c r="W415" s="1017">
        <f t="shared" si="185"/>
        <v>0</v>
      </c>
      <c r="X415" s="1017">
        <f t="shared" si="185"/>
        <v>11880</v>
      </c>
      <c r="Y415" s="1017">
        <v>11880</v>
      </c>
      <c r="Z415" s="1016">
        <f t="shared" si="185"/>
        <v>10000</v>
      </c>
      <c r="AA415" s="1016">
        <f t="shared" si="185"/>
        <v>10000</v>
      </c>
      <c r="AB415" s="1016"/>
      <c r="AC415" s="1016"/>
      <c r="AD415" s="1016">
        <v>11880</v>
      </c>
      <c r="AE415" s="1016">
        <v>11880</v>
      </c>
      <c r="AF415" s="1016">
        <v>11880</v>
      </c>
      <c r="AG415" s="1016">
        <v>11880</v>
      </c>
      <c r="AH415" s="1016">
        <v>11880</v>
      </c>
      <c r="AI415" s="1016">
        <v>11880</v>
      </c>
      <c r="AJ415" s="1016">
        <v>11880</v>
      </c>
      <c r="AK415" s="1016">
        <v>11880</v>
      </c>
      <c r="AL415" s="59"/>
      <c r="AM415" s="1009">
        <f t="shared" si="155"/>
        <v>0</v>
      </c>
      <c r="AN415" s="1009">
        <f t="shared" si="156"/>
        <v>1</v>
      </c>
      <c r="AO415" s="144">
        <f t="shared" si="163"/>
        <v>1</v>
      </c>
    </row>
    <row r="416" spans="1:41" ht="34.5" hidden="1" x14ac:dyDescent="0.25">
      <c r="A416" s="50" t="s">
        <v>47</v>
      </c>
      <c r="B416" s="50"/>
      <c r="C416" s="51" t="s">
        <v>48</v>
      </c>
      <c r="D416" s="57"/>
      <c r="E416" s="57"/>
      <c r="F416" s="57"/>
      <c r="G416" s="57"/>
      <c r="H416" s="1017">
        <f t="shared" ref="H416:T416" si="186">SUM(H419:H420)</f>
        <v>53470</v>
      </c>
      <c r="I416" s="1017">
        <f t="shared" si="186"/>
        <v>53470</v>
      </c>
      <c r="J416" s="1017">
        <f t="shared" si="186"/>
        <v>31200</v>
      </c>
      <c r="K416" s="1017">
        <f t="shared" si="186"/>
        <v>31200</v>
      </c>
      <c r="L416" s="1017">
        <f t="shared" si="186"/>
        <v>31200</v>
      </c>
      <c r="M416" s="1017">
        <f t="shared" si="186"/>
        <v>31200</v>
      </c>
      <c r="N416" s="1017">
        <f t="shared" si="186"/>
        <v>11880</v>
      </c>
      <c r="O416" s="1017">
        <f t="shared" si="186"/>
        <v>11880</v>
      </c>
      <c r="P416" s="1017">
        <f t="shared" si="186"/>
        <v>11880</v>
      </c>
      <c r="Q416" s="1017">
        <f t="shared" si="186"/>
        <v>11880</v>
      </c>
      <c r="R416" s="1017">
        <f t="shared" si="186"/>
        <v>0</v>
      </c>
      <c r="S416" s="1017">
        <f t="shared" si="186"/>
        <v>0</v>
      </c>
      <c r="T416" s="1017">
        <f t="shared" si="186"/>
        <v>11880</v>
      </c>
      <c r="U416" s="1017">
        <v>11880</v>
      </c>
      <c r="V416" s="1017">
        <f t="shared" ref="V416:X416" si="187">SUM(V419:V420)</f>
        <v>0</v>
      </c>
      <c r="W416" s="1017">
        <f t="shared" si="187"/>
        <v>0</v>
      </c>
      <c r="X416" s="1017">
        <f t="shared" si="187"/>
        <v>11880</v>
      </c>
      <c r="Y416" s="1017">
        <v>11880</v>
      </c>
      <c r="Z416" s="1016">
        <f>Z419+Z420</f>
        <v>10000</v>
      </c>
      <c r="AA416" s="1016">
        <f>AA419+AA420</f>
        <v>10000</v>
      </c>
      <c r="AB416" s="1016"/>
      <c r="AC416" s="1016"/>
      <c r="AD416" s="1016">
        <v>11880</v>
      </c>
      <c r="AE416" s="1016">
        <v>11880</v>
      </c>
      <c r="AF416" s="1016">
        <v>11880</v>
      </c>
      <c r="AG416" s="1016">
        <v>11880</v>
      </c>
      <c r="AH416" s="1016">
        <v>11880</v>
      </c>
      <c r="AI416" s="1016">
        <v>11880</v>
      </c>
      <c r="AJ416" s="1016">
        <v>11880</v>
      </c>
      <c r="AK416" s="1016">
        <v>11880</v>
      </c>
      <c r="AL416" s="59"/>
      <c r="AM416" s="1009">
        <f t="shared" ref="AM416:AM489" si="188">IF(Y416-U416=0,0,1)</f>
        <v>0</v>
      </c>
      <c r="AN416" s="1009">
        <f t="shared" ref="AN416:AN489" si="189">IF(Y416=0,0,1)</f>
        <v>1</v>
      </c>
      <c r="AO416" s="144">
        <f t="shared" si="163"/>
        <v>1</v>
      </c>
    </row>
    <row r="417" spans="1:41" ht="17.25" hidden="1" x14ac:dyDescent="0.25">
      <c r="A417" s="50"/>
      <c r="B417" s="50"/>
      <c r="C417" s="51" t="s">
        <v>49</v>
      </c>
      <c r="D417" s="52"/>
      <c r="E417" s="52"/>
      <c r="F417" s="52"/>
      <c r="G417" s="52"/>
      <c r="H417" s="1020"/>
      <c r="I417" s="1020"/>
      <c r="J417" s="1020"/>
      <c r="K417" s="1020"/>
      <c r="L417" s="1020"/>
      <c r="M417" s="1020"/>
      <c r="N417" s="1020"/>
      <c r="O417" s="1020"/>
      <c r="P417" s="1021"/>
      <c r="Q417" s="1021"/>
      <c r="R417" s="54"/>
      <c r="S417" s="54"/>
      <c r="T417" s="1022"/>
      <c r="U417" s="1022"/>
      <c r="V417" s="54"/>
      <c r="W417" s="54"/>
      <c r="X417" s="1022"/>
      <c r="Y417" s="1022"/>
      <c r="Z417" s="1020"/>
      <c r="AA417" s="1020"/>
      <c r="AB417" s="1020"/>
      <c r="AC417" s="1020"/>
      <c r="AD417" s="1020"/>
      <c r="AE417" s="1020"/>
      <c r="AF417" s="1020"/>
      <c r="AG417" s="1020"/>
      <c r="AH417" s="1020"/>
      <c r="AI417" s="1020"/>
      <c r="AJ417" s="1020"/>
      <c r="AK417" s="1020"/>
      <c r="AL417" s="55"/>
      <c r="AM417" s="1009">
        <f t="shared" si="188"/>
        <v>0</v>
      </c>
      <c r="AN417" s="1009">
        <f t="shared" si="189"/>
        <v>0</v>
      </c>
      <c r="AO417" s="144">
        <f t="shared" si="163"/>
        <v>1</v>
      </c>
    </row>
    <row r="418" spans="1:41" ht="51.75" hidden="1" x14ac:dyDescent="0.25">
      <c r="A418" s="50"/>
      <c r="B418" s="50"/>
      <c r="C418" s="56" t="s">
        <v>50</v>
      </c>
      <c r="D418" s="57"/>
      <c r="E418" s="57"/>
      <c r="F418" s="57"/>
      <c r="G418" s="57"/>
      <c r="H418" s="1017"/>
      <c r="I418" s="1017"/>
      <c r="J418" s="1017"/>
      <c r="K418" s="1017"/>
      <c r="L418" s="1017"/>
      <c r="M418" s="1017"/>
      <c r="N418" s="1017"/>
      <c r="O418" s="1017"/>
      <c r="P418" s="1016"/>
      <c r="Q418" s="1016"/>
      <c r="R418" s="54"/>
      <c r="S418" s="54"/>
      <c r="T418" s="1018"/>
      <c r="U418" s="1018"/>
      <c r="V418" s="54"/>
      <c r="W418" s="54"/>
      <c r="X418" s="1018"/>
      <c r="Y418" s="1018"/>
      <c r="Z418" s="1017"/>
      <c r="AA418" s="1017"/>
      <c r="AB418" s="1017"/>
      <c r="AC418" s="1017"/>
      <c r="AD418" s="1017"/>
      <c r="AE418" s="1017"/>
      <c r="AF418" s="1017"/>
      <c r="AG418" s="1017"/>
      <c r="AH418" s="1017"/>
      <c r="AI418" s="1017"/>
      <c r="AJ418" s="1017"/>
      <c r="AK418" s="1017"/>
      <c r="AL418" s="59"/>
      <c r="AM418" s="1009">
        <f t="shared" si="188"/>
        <v>0</v>
      </c>
      <c r="AN418" s="1009">
        <f t="shared" si="189"/>
        <v>0</v>
      </c>
      <c r="AO418" s="144">
        <f t="shared" si="163"/>
        <v>1</v>
      </c>
    </row>
    <row r="419" spans="1:41" ht="49.5" hidden="1" x14ac:dyDescent="0.25">
      <c r="A419" s="60">
        <v>1</v>
      </c>
      <c r="B419" s="60"/>
      <c r="C419" s="290" t="s">
        <v>1262</v>
      </c>
      <c r="D419" s="61" t="s">
        <v>1249</v>
      </c>
      <c r="E419" s="61"/>
      <c r="F419" s="70" t="s">
        <v>97</v>
      </c>
      <c r="G419" s="61" t="s">
        <v>1261</v>
      </c>
      <c r="H419" s="1056">
        <v>47970</v>
      </c>
      <c r="I419" s="80">
        <f>H419</f>
        <v>47970</v>
      </c>
      <c r="J419" s="282">
        <f>K419</f>
        <v>30000</v>
      </c>
      <c r="K419" s="282">
        <v>30000</v>
      </c>
      <c r="L419" s="282">
        <f>M419</f>
        <v>30000</v>
      </c>
      <c r="M419" s="282">
        <v>30000</v>
      </c>
      <c r="N419" s="1027">
        <v>8400</v>
      </c>
      <c r="O419" s="1027">
        <f>N419</f>
        <v>8400</v>
      </c>
      <c r="P419" s="284">
        <v>8400</v>
      </c>
      <c r="Q419" s="284">
        <v>8400</v>
      </c>
      <c r="R419" s="54"/>
      <c r="S419" s="54"/>
      <c r="T419" s="488">
        <v>8400</v>
      </c>
      <c r="U419" s="488">
        <v>8400</v>
      </c>
      <c r="V419" s="54"/>
      <c r="W419" s="54"/>
      <c r="X419" s="488">
        <v>8400</v>
      </c>
      <c r="Y419" s="488">
        <v>8400</v>
      </c>
      <c r="Z419" s="282">
        <f>AA419</f>
        <v>8400</v>
      </c>
      <c r="AA419" s="282">
        <v>8400</v>
      </c>
      <c r="AB419" s="282"/>
      <c r="AC419" s="282"/>
      <c r="AD419" s="282"/>
      <c r="AE419" s="282"/>
      <c r="AF419" s="282"/>
      <c r="AG419" s="282"/>
      <c r="AH419" s="282"/>
      <c r="AI419" s="282"/>
      <c r="AJ419" s="282"/>
      <c r="AK419" s="282"/>
      <c r="AL419" s="69"/>
      <c r="AM419" s="1009">
        <f t="shared" si="188"/>
        <v>0</v>
      </c>
      <c r="AN419" s="1009">
        <f t="shared" si="189"/>
        <v>1</v>
      </c>
      <c r="AO419" s="144">
        <f t="shared" si="163"/>
        <v>1</v>
      </c>
    </row>
    <row r="420" spans="1:41" ht="78" hidden="1" customHeight="1" x14ac:dyDescent="0.25">
      <c r="A420" s="60">
        <v>2</v>
      </c>
      <c r="B420" s="60"/>
      <c r="C420" s="290" t="s">
        <v>1260</v>
      </c>
      <c r="D420" s="61" t="s">
        <v>1259</v>
      </c>
      <c r="E420" s="61" t="s">
        <v>1258</v>
      </c>
      <c r="F420" s="70" t="s">
        <v>248</v>
      </c>
      <c r="G420" s="61"/>
      <c r="H420" s="1056">
        <v>5500</v>
      </c>
      <c r="I420" s="80">
        <f>H420</f>
        <v>5500</v>
      </c>
      <c r="J420" s="282">
        <v>1200</v>
      </c>
      <c r="K420" s="282">
        <f>J420</f>
        <v>1200</v>
      </c>
      <c r="L420" s="282">
        <v>1200</v>
      </c>
      <c r="M420" s="282">
        <f>L420</f>
        <v>1200</v>
      </c>
      <c r="N420" s="1027">
        <f>O420</f>
        <v>3480</v>
      </c>
      <c r="O420" s="1027">
        <v>3480</v>
      </c>
      <c r="P420" s="284">
        <v>3480</v>
      </c>
      <c r="Q420" s="284">
        <v>3480</v>
      </c>
      <c r="R420" s="54"/>
      <c r="S420" s="54"/>
      <c r="T420" s="488">
        <v>3480</v>
      </c>
      <c r="U420" s="488">
        <v>3480</v>
      </c>
      <c r="V420" s="54"/>
      <c r="W420" s="54"/>
      <c r="X420" s="488">
        <v>3480</v>
      </c>
      <c r="Y420" s="488">
        <v>3480</v>
      </c>
      <c r="Z420" s="282">
        <f>AA420</f>
        <v>1600</v>
      </c>
      <c r="AA420" s="282">
        <v>1600</v>
      </c>
      <c r="AB420" s="282"/>
      <c r="AC420" s="282"/>
      <c r="AD420" s="282"/>
      <c r="AE420" s="282"/>
      <c r="AF420" s="282"/>
      <c r="AG420" s="282"/>
      <c r="AH420" s="282"/>
      <c r="AI420" s="282"/>
      <c r="AJ420" s="282"/>
      <c r="AK420" s="282"/>
      <c r="AL420" s="69"/>
      <c r="AM420" s="1009">
        <f t="shared" si="188"/>
        <v>0</v>
      </c>
      <c r="AN420" s="1009">
        <f t="shared" si="189"/>
        <v>1</v>
      </c>
      <c r="AO420" s="144">
        <f t="shared" si="163"/>
        <v>1</v>
      </c>
    </row>
    <row r="421" spans="1:41" ht="34.5" hidden="1" x14ac:dyDescent="0.25">
      <c r="A421" s="1066" t="s">
        <v>85</v>
      </c>
      <c r="B421" s="1066"/>
      <c r="C421" s="51" t="s">
        <v>86</v>
      </c>
      <c r="D421" s="57"/>
      <c r="E421" s="57"/>
      <c r="F421" s="57"/>
      <c r="G421" s="57"/>
      <c r="H421" s="1017">
        <f t="shared" ref="H421:X421" si="190">H422+H430</f>
        <v>157695</v>
      </c>
      <c r="I421" s="1017">
        <f t="shared" si="190"/>
        <v>157695</v>
      </c>
      <c r="J421" s="1017">
        <f t="shared" si="190"/>
        <v>0</v>
      </c>
      <c r="K421" s="1017">
        <f t="shared" si="190"/>
        <v>0</v>
      </c>
      <c r="L421" s="1017">
        <f t="shared" si="190"/>
        <v>0</v>
      </c>
      <c r="M421" s="1017">
        <f t="shared" si="190"/>
        <v>0</v>
      </c>
      <c r="N421" s="1017">
        <f t="shared" si="190"/>
        <v>68120</v>
      </c>
      <c r="O421" s="1017">
        <f t="shared" si="190"/>
        <v>68120</v>
      </c>
      <c r="P421" s="1017">
        <f t="shared" si="190"/>
        <v>68120</v>
      </c>
      <c r="Q421" s="1017">
        <f t="shared" si="190"/>
        <v>68120</v>
      </c>
      <c r="R421" s="1017">
        <f t="shared" si="190"/>
        <v>9088</v>
      </c>
      <c r="S421" s="1017">
        <f t="shared" si="190"/>
        <v>9088</v>
      </c>
      <c r="T421" s="1017">
        <f t="shared" si="190"/>
        <v>68120</v>
      </c>
      <c r="U421" s="1017">
        <f t="shared" si="190"/>
        <v>68120</v>
      </c>
      <c r="V421" s="1017">
        <f t="shared" si="190"/>
        <v>30700</v>
      </c>
      <c r="W421" s="1017">
        <f t="shared" si="190"/>
        <v>0</v>
      </c>
      <c r="X421" s="1017">
        <f t="shared" si="190"/>
        <v>98820</v>
      </c>
      <c r="Y421" s="1017">
        <f>Y422+Y430</f>
        <v>98820</v>
      </c>
      <c r="Z421" s="54">
        <f t="shared" ref="Z421:AK421" si="191">Z422</f>
        <v>0</v>
      </c>
      <c r="AA421" s="54">
        <f t="shared" si="191"/>
        <v>0</v>
      </c>
      <c r="AB421" s="1016">
        <f t="shared" si="191"/>
        <v>12000</v>
      </c>
      <c r="AC421" s="1016">
        <f t="shared" si="191"/>
        <v>12000</v>
      </c>
      <c r="AD421" s="1016">
        <f t="shared" si="191"/>
        <v>0</v>
      </c>
      <c r="AE421" s="1016">
        <f t="shared" si="191"/>
        <v>0</v>
      </c>
      <c r="AF421" s="1016">
        <f t="shared" si="191"/>
        <v>0</v>
      </c>
      <c r="AG421" s="1016">
        <f t="shared" si="191"/>
        <v>0</v>
      </c>
      <c r="AH421" s="1016">
        <f t="shared" si="191"/>
        <v>0</v>
      </c>
      <c r="AI421" s="1016">
        <f t="shared" si="191"/>
        <v>0</v>
      </c>
      <c r="AJ421" s="1016">
        <f t="shared" si="191"/>
        <v>0</v>
      </c>
      <c r="AK421" s="1016">
        <f t="shared" si="191"/>
        <v>0</v>
      </c>
      <c r="AL421" s="59"/>
      <c r="AM421" s="1009">
        <f>IF(Y421-U421=0,0,1)</f>
        <v>1</v>
      </c>
      <c r="AN421" s="1009">
        <f>IF(Y421=0,0,1)</f>
        <v>1</v>
      </c>
      <c r="AO421" s="144">
        <f t="shared" si="163"/>
        <v>1</v>
      </c>
    </row>
    <row r="422" spans="1:41" ht="51.75" hidden="1" x14ac:dyDescent="0.25">
      <c r="A422" s="50" t="s">
        <v>87</v>
      </c>
      <c r="B422" s="50"/>
      <c r="C422" s="51" t="s">
        <v>88</v>
      </c>
      <c r="D422" s="57"/>
      <c r="E422" s="57"/>
      <c r="F422" s="57"/>
      <c r="G422" s="57"/>
      <c r="H422" s="1017">
        <f t="shared" ref="H422:X422" si="192">SUM(H423:H429)</f>
        <v>99834</v>
      </c>
      <c r="I422" s="1017">
        <f t="shared" si="192"/>
        <v>99834</v>
      </c>
      <c r="J422" s="1017">
        <f t="shared" si="192"/>
        <v>0</v>
      </c>
      <c r="K422" s="1017">
        <f t="shared" si="192"/>
        <v>0</v>
      </c>
      <c r="L422" s="1017">
        <f t="shared" si="192"/>
        <v>0</v>
      </c>
      <c r="M422" s="1017">
        <f t="shared" si="192"/>
        <v>0</v>
      </c>
      <c r="N422" s="1017">
        <f t="shared" si="192"/>
        <v>68120</v>
      </c>
      <c r="O422" s="1017">
        <f t="shared" si="192"/>
        <v>68120</v>
      </c>
      <c r="P422" s="1017">
        <f t="shared" si="192"/>
        <v>68120</v>
      </c>
      <c r="Q422" s="1017">
        <f t="shared" si="192"/>
        <v>68120</v>
      </c>
      <c r="R422" s="1017">
        <f t="shared" si="192"/>
        <v>9088</v>
      </c>
      <c r="S422" s="1017">
        <f t="shared" si="192"/>
        <v>9088</v>
      </c>
      <c r="T422" s="1017">
        <f t="shared" si="192"/>
        <v>68120</v>
      </c>
      <c r="U422" s="1017">
        <f t="shared" si="192"/>
        <v>68120</v>
      </c>
      <c r="V422" s="1017">
        <f t="shared" si="192"/>
        <v>0</v>
      </c>
      <c r="W422" s="1017">
        <f t="shared" si="192"/>
        <v>0</v>
      </c>
      <c r="X422" s="1017">
        <f t="shared" si="192"/>
        <v>68120</v>
      </c>
      <c r="Y422" s="1017">
        <f>SUM(Y423:Y429)</f>
        <v>68120</v>
      </c>
      <c r="Z422" s="1017">
        <f t="shared" ref="Z422:AC422" si="193">SUM(Z424:Z429)</f>
        <v>0</v>
      </c>
      <c r="AA422" s="1017">
        <f t="shared" si="193"/>
        <v>0</v>
      </c>
      <c r="AB422" s="1017">
        <f t="shared" si="193"/>
        <v>12000</v>
      </c>
      <c r="AC422" s="1017">
        <f t="shared" si="193"/>
        <v>12000</v>
      </c>
      <c r="AD422" s="1016">
        <f t="shared" ref="AD422:AK422" si="194">SUM(AD423:AD429)</f>
        <v>0</v>
      </c>
      <c r="AE422" s="1016">
        <f t="shared" si="194"/>
        <v>0</v>
      </c>
      <c r="AF422" s="1016">
        <f t="shared" si="194"/>
        <v>0</v>
      </c>
      <c r="AG422" s="1016">
        <f t="shared" si="194"/>
        <v>0</v>
      </c>
      <c r="AH422" s="1016">
        <f t="shared" si="194"/>
        <v>0</v>
      </c>
      <c r="AI422" s="1016">
        <f t="shared" si="194"/>
        <v>0</v>
      </c>
      <c r="AJ422" s="1016">
        <f t="shared" si="194"/>
        <v>0</v>
      </c>
      <c r="AK422" s="1016">
        <f t="shared" si="194"/>
        <v>0</v>
      </c>
      <c r="AL422" s="59"/>
      <c r="AM422" s="1009">
        <f t="shared" si="188"/>
        <v>0</v>
      </c>
      <c r="AN422" s="1009">
        <f t="shared" si="189"/>
        <v>1</v>
      </c>
      <c r="AO422" s="144">
        <f t="shared" si="163"/>
        <v>1</v>
      </c>
    </row>
    <row r="423" spans="1:41" ht="120.75" hidden="1" customHeight="1" x14ac:dyDescent="0.25">
      <c r="A423" s="64" t="s">
        <v>1196</v>
      </c>
      <c r="B423" s="64"/>
      <c r="C423" s="290" t="s">
        <v>1257</v>
      </c>
      <c r="D423" s="61" t="s">
        <v>1256</v>
      </c>
      <c r="E423" s="1039" t="s">
        <v>2159</v>
      </c>
      <c r="F423" s="70" t="s">
        <v>116</v>
      </c>
      <c r="G423" s="61"/>
      <c r="H423" s="1056">
        <v>4591</v>
      </c>
      <c r="I423" s="1056">
        <v>4591</v>
      </c>
      <c r="J423" s="1088"/>
      <c r="K423" s="1088"/>
      <c r="L423" s="1088"/>
      <c r="M423" s="1088"/>
      <c r="N423" s="68">
        <v>4000</v>
      </c>
      <c r="O423" s="75">
        <f>N423</f>
        <v>4000</v>
      </c>
      <c r="P423" s="1048">
        <v>4000</v>
      </c>
      <c r="Q423" s="1048">
        <v>4000</v>
      </c>
      <c r="R423" s="54"/>
      <c r="S423" s="54"/>
      <c r="T423" s="1098">
        <v>4000</v>
      </c>
      <c r="U423" s="1098">
        <v>4000</v>
      </c>
      <c r="V423" s="54"/>
      <c r="W423" s="54"/>
      <c r="X423" s="1098">
        <v>4000</v>
      </c>
      <c r="Y423" s="1098">
        <v>4000</v>
      </c>
      <c r="Z423" s="75"/>
      <c r="AA423" s="75"/>
      <c r="AB423" s="75">
        <f>AC423</f>
        <v>4000</v>
      </c>
      <c r="AC423" s="75">
        <v>4000</v>
      </c>
      <c r="AD423" s="75"/>
      <c r="AE423" s="75"/>
      <c r="AF423" s="75"/>
      <c r="AG423" s="75"/>
      <c r="AH423" s="75"/>
      <c r="AI423" s="75"/>
      <c r="AJ423" s="75"/>
      <c r="AK423" s="75"/>
      <c r="AL423" s="1089"/>
      <c r="AM423" s="1009">
        <f t="shared" si="188"/>
        <v>0</v>
      </c>
      <c r="AN423" s="1009">
        <f t="shared" si="189"/>
        <v>1</v>
      </c>
      <c r="AO423" s="144">
        <f t="shared" si="163"/>
        <v>1</v>
      </c>
    </row>
    <row r="424" spans="1:41" ht="66" hidden="1" x14ac:dyDescent="0.25">
      <c r="A424" s="64" t="s">
        <v>1254</v>
      </c>
      <c r="B424" s="64"/>
      <c r="C424" s="1090" t="s">
        <v>1253</v>
      </c>
      <c r="D424" s="61" t="s">
        <v>1252</v>
      </c>
      <c r="E424" s="1039" t="s">
        <v>1251</v>
      </c>
      <c r="F424" s="70" t="s">
        <v>248</v>
      </c>
      <c r="G424" s="61"/>
      <c r="H424" s="1123">
        <v>24000</v>
      </c>
      <c r="I424" s="1123">
        <v>24000</v>
      </c>
      <c r="J424" s="282"/>
      <c r="K424" s="282"/>
      <c r="L424" s="282"/>
      <c r="M424" s="282"/>
      <c r="N424" s="68">
        <v>20000</v>
      </c>
      <c r="O424" s="75">
        <f>N424</f>
        <v>20000</v>
      </c>
      <c r="P424" s="284">
        <f>20000-1830</f>
        <v>18170</v>
      </c>
      <c r="Q424" s="284">
        <f>20000-1830</f>
        <v>18170</v>
      </c>
      <c r="R424" s="54"/>
      <c r="S424" s="54">
        <f>O424-U424</f>
        <v>5168</v>
      </c>
      <c r="T424" s="488">
        <f t="shared" ref="T424:T429" si="195">U424</f>
        <v>14832</v>
      </c>
      <c r="U424" s="488">
        <v>14832</v>
      </c>
      <c r="V424" s="54"/>
      <c r="W424" s="54"/>
      <c r="X424" s="488">
        <f t="shared" ref="X424:X429" si="196">Y424</f>
        <v>14832</v>
      </c>
      <c r="Y424" s="488">
        <v>14832</v>
      </c>
      <c r="Z424" s="75"/>
      <c r="AA424" s="75"/>
      <c r="AB424" s="75">
        <f>AC424</f>
        <v>6700</v>
      </c>
      <c r="AC424" s="75">
        <v>6700</v>
      </c>
      <c r="AD424" s="75"/>
      <c r="AE424" s="75"/>
      <c r="AF424" s="75"/>
      <c r="AG424" s="75"/>
      <c r="AH424" s="75"/>
      <c r="AI424" s="75"/>
      <c r="AJ424" s="75"/>
      <c r="AK424" s="75"/>
      <c r="AL424" s="69"/>
      <c r="AM424" s="1009">
        <f t="shared" si="188"/>
        <v>0</v>
      </c>
      <c r="AN424" s="1009">
        <f t="shared" si="189"/>
        <v>1</v>
      </c>
      <c r="AO424" s="144">
        <f t="shared" si="163"/>
        <v>1</v>
      </c>
    </row>
    <row r="425" spans="1:41" ht="49.5" hidden="1" x14ac:dyDescent="0.25">
      <c r="A425" s="64" t="s">
        <v>414</v>
      </c>
      <c r="B425" s="64"/>
      <c r="C425" s="1090" t="s">
        <v>1250</v>
      </c>
      <c r="D425" s="61" t="s">
        <v>1249</v>
      </c>
      <c r="E425" s="1039" t="s">
        <v>1248</v>
      </c>
      <c r="F425" s="70" t="s">
        <v>248</v>
      </c>
      <c r="G425" s="61"/>
      <c r="H425" s="1123">
        <v>13874</v>
      </c>
      <c r="I425" s="1123">
        <v>13874</v>
      </c>
      <c r="J425" s="282"/>
      <c r="K425" s="282"/>
      <c r="L425" s="282"/>
      <c r="M425" s="282"/>
      <c r="N425" s="68">
        <v>11600</v>
      </c>
      <c r="O425" s="75">
        <f>N425</f>
        <v>11600</v>
      </c>
      <c r="P425" s="284">
        <f>Q425</f>
        <v>11000</v>
      </c>
      <c r="Q425" s="284">
        <v>11000</v>
      </c>
      <c r="R425" s="54"/>
      <c r="S425" s="54">
        <f>O425-U425</f>
        <v>600</v>
      </c>
      <c r="T425" s="488">
        <f t="shared" si="195"/>
        <v>11000</v>
      </c>
      <c r="U425" s="488">
        <v>11000</v>
      </c>
      <c r="V425" s="54"/>
      <c r="W425" s="54"/>
      <c r="X425" s="488">
        <f t="shared" si="196"/>
        <v>11000</v>
      </c>
      <c r="Y425" s="488">
        <v>11000</v>
      </c>
      <c r="Z425" s="75"/>
      <c r="AA425" s="75"/>
      <c r="AB425" s="75">
        <f>AC425</f>
        <v>5300</v>
      </c>
      <c r="AC425" s="75">
        <v>5300</v>
      </c>
      <c r="AD425" s="75"/>
      <c r="AE425" s="75"/>
      <c r="AF425" s="75"/>
      <c r="AG425" s="75"/>
      <c r="AH425" s="75"/>
      <c r="AI425" s="75"/>
      <c r="AJ425" s="75"/>
      <c r="AK425" s="75"/>
      <c r="AL425" s="69"/>
      <c r="AM425" s="1009">
        <f t="shared" si="188"/>
        <v>0</v>
      </c>
      <c r="AN425" s="1009">
        <f t="shared" si="189"/>
        <v>1</v>
      </c>
      <c r="AO425" s="144">
        <f t="shared" si="163"/>
        <v>1</v>
      </c>
    </row>
    <row r="426" spans="1:41" ht="57.75" hidden="1" customHeight="1" x14ac:dyDescent="0.25">
      <c r="A426" s="64" t="s">
        <v>419</v>
      </c>
      <c r="B426" s="64"/>
      <c r="C426" s="1090" t="s">
        <v>1247</v>
      </c>
      <c r="D426" s="61" t="s">
        <v>1246</v>
      </c>
      <c r="E426" s="1039" t="s">
        <v>1245</v>
      </c>
      <c r="F426" s="70" t="s">
        <v>248</v>
      </c>
      <c r="G426" s="61"/>
      <c r="H426" s="1123">
        <v>32000</v>
      </c>
      <c r="I426" s="1123">
        <v>32000</v>
      </c>
      <c r="J426" s="282"/>
      <c r="K426" s="282"/>
      <c r="L426" s="282"/>
      <c r="M426" s="282"/>
      <c r="N426" s="68">
        <v>23000</v>
      </c>
      <c r="O426" s="75">
        <f>N426</f>
        <v>23000</v>
      </c>
      <c r="P426" s="284">
        <f>Q426</f>
        <v>20200</v>
      </c>
      <c r="Q426" s="284">
        <v>20200</v>
      </c>
      <c r="R426" s="54"/>
      <c r="S426" s="54">
        <f>O426-U426</f>
        <v>2800</v>
      </c>
      <c r="T426" s="488">
        <f t="shared" si="195"/>
        <v>20200</v>
      </c>
      <c r="U426" s="488">
        <v>20200</v>
      </c>
      <c r="V426" s="54"/>
      <c r="W426" s="54"/>
      <c r="X426" s="488">
        <f t="shared" si="196"/>
        <v>20200</v>
      </c>
      <c r="Y426" s="488">
        <v>20200</v>
      </c>
      <c r="Z426" s="75"/>
      <c r="AA426" s="75"/>
      <c r="AB426" s="75"/>
      <c r="AC426" s="75"/>
      <c r="AD426" s="75"/>
      <c r="AE426" s="75"/>
      <c r="AF426" s="75"/>
      <c r="AG426" s="75"/>
      <c r="AH426" s="75"/>
      <c r="AI426" s="75"/>
      <c r="AJ426" s="75"/>
      <c r="AK426" s="75"/>
      <c r="AL426" s="69"/>
      <c r="AM426" s="1009">
        <f t="shared" si="188"/>
        <v>0</v>
      </c>
      <c r="AN426" s="1009">
        <f t="shared" si="189"/>
        <v>1</v>
      </c>
      <c r="AO426" s="144">
        <f t="shared" si="163"/>
        <v>1</v>
      </c>
    </row>
    <row r="427" spans="1:41" ht="33" hidden="1" customHeight="1" x14ac:dyDescent="0.25">
      <c r="A427" s="64" t="s">
        <v>423</v>
      </c>
      <c r="B427" s="64"/>
      <c r="C427" s="290" t="s">
        <v>1244</v>
      </c>
      <c r="D427" s="61" t="s">
        <v>1241</v>
      </c>
      <c r="E427" s="70" t="s">
        <v>1240</v>
      </c>
      <c r="F427" s="70" t="s">
        <v>116</v>
      </c>
      <c r="G427" s="61"/>
      <c r="H427" s="1056">
        <v>14869</v>
      </c>
      <c r="I427" s="1056">
        <v>14869</v>
      </c>
      <c r="J427" s="282"/>
      <c r="K427" s="282"/>
      <c r="L427" s="282"/>
      <c r="M427" s="282"/>
      <c r="N427" s="68">
        <v>9520</v>
      </c>
      <c r="O427" s="75">
        <f>N427</f>
        <v>9520</v>
      </c>
      <c r="P427" s="284">
        <f>Q427</f>
        <v>5300</v>
      </c>
      <c r="Q427" s="284">
        <v>5300</v>
      </c>
      <c r="R427" s="54"/>
      <c r="S427" s="54">
        <f>O427-U427</f>
        <v>520</v>
      </c>
      <c r="T427" s="488">
        <f t="shared" si="195"/>
        <v>9000</v>
      </c>
      <c r="U427" s="488">
        <v>9000</v>
      </c>
      <c r="V427" s="54"/>
      <c r="W427" s="54"/>
      <c r="X427" s="488">
        <f t="shared" si="196"/>
        <v>9000</v>
      </c>
      <c r="Y427" s="488">
        <v>9000</v>
      </c>
      <c r="Z427" s="75"/>
      <c r="AA427" s="75"/>
      <c r="AB427" s="75"/>
      <c r="AC427" s="75"/>
      <c r="AD427" s="75"/>
      <c r="AE427" s="75"/>
      <c r="AF427" s="75"/>
      <c r="AG427" s="75"/>
      <c r="AH427" s="75"/>
      <c r="AI427" s="75"/>
      <c r="AJ427" s="75"/>
      <c r="AK427" s="75"/>
      <c r="AL427" s="69"/>
      <c r="AM427" s="1009">
        <f t="shared" si="188"/>
        <v>0</v>
      </c>
      <c r="AN427" s="1009">
        <f t="shared" si="189"/>
        <v>1</v>
      </c>
      <c r="AO427" s="144">
        <f t="shared" si="163"/>
        <v>1</v>
      </c>
    </row>
    <row r="428" spans="1:41" ht="33" hidden="1" customHeight="1" x14ac:dyDescent="0.25">
      <c r="A428" s="64" t="s">
        <v>427</v>
      </c>
      <c r="B428" s="64"/>
      <c r="C428" s="290" t="s">
        <v>1243</v>
      </c>
      <c r="D428" s="61" t="s">
        <v>1241</v>
      </c>
      <c r="E428" s="70" t="s">
        <v>1240</v>
      </c>
      <c r="F428" s="70" t="s">
        <v>116</v>
      </c>
      <c r="G428" s="61"/>
      <c r="H428" s="1056">
        <f>I428</f>
        <v>6500</v>
      </c>
      <c r="I428" s="1056">
        <v>6500</v>
      </c>
      <c r="J428" s="282"/>
      <c r="K428" s="282"/>
      <c r="L428" s="282"/>
      <c r="M428" s="282"/>
      <c r="N428" s="68"/>
      <c r="O428" s="75"/>
      <c r="P428" s="284">
        <f>Q428</f>
        <v>5850</v>
      </c>
      <c r="Q428" s="284">
        <f>I428*0.9</f>
        <v>5850</v>
      </c>
      <c r="R428" s="54">
        <f>U428-O428</f>
        <v>5850</v>
      </c>
      <c r="S428" s="54"/>
      <c r="T428" s="488">
        <f t="shared" si="195"/>
        <v>5850</v>
      </c>
      <c r="U428" s="488">
        <v>5850</v>
      </c>
      <c r="V428" s="54"/>
      <c r="W428" s="54"/>
      <c r="X428" s="488">
        <f t="shared" si="196"/>
        <v>5850</v>
      </c>
      <c r="Y428" s="488">
        <v>5850</v>
      </c>
      <c r="Z428" s="75"/>
      <c r="AA428" s="75"/>
      <c r="AB428" s="75"/>
      <c r="AC428" s="75"/>
      <c r="AD428" s="75"/>
      <c r="AE428" s="75"/>
      <c r="AF428" s="75"/>
      <c r="AG428" s="75"/>
      <c r="AH428" s="75"/>
      <c r="AI428" s="75"/>
      <c r="AJ428" s="75"/>
      <c r="AK428" s="75"/>
      <c r="AL428" s="69"/>
      <c r="AM428" s="1009">
        <f t="shared" si="188"/>
        <v>0</v>
      </c>
      <c r="AN428" s="1009">
        <f t="shared" si="189"/>
        <v>1</v>
      </c>
      <c r="AO428" s="144">
        <f t="shared" si="163"/>
        <v>1</v>
      </c>
    </row>
    <row r="429" spans="1:41" ht="33" hidden="1" customHeight="1" x14ac:dyDescent="0.25">
      <c r="A429" s="64" t="s">
        <v>431</v>
      </c>
      <c r="B429" s="64"/>
      <c r="C429" s="290" t="s">
        <v>1242</v>
      </c>
      <c r="D429" s="61" t="s">
        <v>1241</v>
      </c>
      <c r="E429" s="70" t="s">
        <v>1240</v>
      </c>
      <c r="F429" s="70" t="s">
        <v>116</v>
      </c>
      <c r="G429" s="61"/>
      <c r="H429" s="1056">
        <f>I429</f>
        <v>4000</v>
      </c>
      <c r="I429" s="1056">
        <v>4000</v>
      </c>
      <c r="J429" s="282"/>
      <c r="K429" s="282"/>
      <c r="L429" s="282"/>
      <c r="M429" s="282"/>
      <c r="N429" s="68"/>
      <c r="O429" s="75"/>
      <c r="P429" s="284">
        <f>Q429</f>
        <v>3600</v>
      </c>
      <c r="Q429" s="284">
        <f>I429*0.9</f>
        <v>3600</v>
      </c>
      <c r="R429" s="54">
        <f>U429-O429</f>
        <v>3238</v>
      </c>
      <c r="S429" s="54"/>
      <c r="T429" s="488">
        <f t="shared" si="195"/>
        <v>3238</v>
      </c>
      <c r="U429" s="488">
        <v>3238</v>
      </c>
      <c r="V429" s="54"/>
      <c r="W429" s="54"/>
      <c r="X429" s="488">
        <f t="shared" si="196"/>
        <v>3238</v>
      </c>
      <c r="Y429" s="488">
        <v>3238</v>
      </c>
      <c r="Z429" s="75"/>
      <c r="AA429" s="75"/>
      <c r="AB429" s="75"/>
      <c r="AC429" s="75"/>
      <c r="AD429" s="75"/>
      <c r="AE429" s="75"/>
      <c r="AF429" s="75"/>
      <c r="AG429" s="75"/>
      <c r="AH429" s="75"/>
      <c r="AI429" s="75"/>
      <c r="AJ429" s="75"/>
      <c r="AK429" s="75"/>
      <c r="AL429" s="69"/>
      <c r="AM429" s="1009">
        <f t="shared" si="188"/>
        <v>0</v>
      </c>
      <c r="AN429" s="1009">
        <f t="shared" si="189"/>
        <v>1</v>
      </c>
      <c r="AO429" s="144">
        <f t="shared" si="163"/>
        <v>1</v>
      </c>
    </row>
    <row r="430" spans="1:41" ht="51.75" hidden="1" x14ac:dyDescent="0.25">
      <c r="A430" s="50" t="s">
        <v>47</v>
      </c>
      <c r="B430" s="50"/>
      <c r="C430" s="51" t="s">
        <v>2074</v>
      </c>
      <c r="D430" s="57"/>
      <c r="E430" s="57"/>
      <c r="F430" s="57"/>
      <c r="G430" s="57"/>
      <c r="H430" s="1017">
        <f>SUM(H431:H443)</f>
        <v>57861</v>
      </c>
      <c r="I430" s="1017">
        <f>SUM(I431:I443)</f>
        <v>57861</v>
      </c>
      <c r="J430" s="1017">
        <f t="shared" ref="J430:W430" si="197">SUM(J431:J438)</f>
        <v>0</v>
      </c>
      <c r="K430" s="1017">
        <f t="shared" si="197"/>
        <v>0</v>
      </c>
      <c r="L430" s="1017">
        <f t="shared" si="197"/>
        <v>0</v>
      </c>
      <c r="M430" s="1017">
        <f t="shared" si="197"/>
        <v>0</v>
      </c>
      <c r="N430" s="1017">
        <f t="shared" si="197"/>
        <v>0</v>
      </c>
      <c r="O430" s="1017">
        <f t="shared" si="197"/>
        <v>0</v>
      </c>
      <c r="P430" s="1017">
        <f t="shared" si="197"/>
        <v>0</v>
      </c>
      <c r="Q430" s="1017">
        <f t="shared" si="197"/>
        <v>0</v>
      </c>
      <c r="R430" s="1017">
        <f t="shared" si="197"/>
        <v>0</v>
      </c>
      <c r="S430" s="1017">
        <f t="shared" si="197"/>
        <v>0</v>
      </c>
      <c r="T430" s="1017">
        <f t="shared" si="197"/>
        <v>0</v>
      </c>
      <c r="U430" s="1017">
        <f t="shared" si="197"/>
        <v>0</v>
      </c>
      <c r="V430" s="1017">
        <f>SUM(V431:V443)</f>
        <v>30700</v>
      </c>
      <c r="W430" s="1017">
        <f t="shared" si="197"/>
        <v>0</v>
      </c>
      <c r="X430" s="1017">
        <f>SUM(X431:X443)</f>
        <v>30700</v>
      </c>
      <c r="Y430" s="1017">
        <f>SUM(Y431:Y443)</f>
        <v>30700</v>
      </c>
      <c r="Z430" s="1017">
        <f t="shared" ref="Z430:AC430" si="198">SUM(Z432:Z438)</f>
        <v>0</v>
      </c>
      <c r="AA430" s="1017">
        <f t="shared" si="198"/>
        <v>0</v>
      </c>
      <c r="AB430" s="1017">
        <f t="shared" si="198"/>
        <v>0</v>
      </c>
      <c r="AC430" s="1017">
        <f t="shared" si="198"/>
        <v>0</v>
      </c>
      <c r="AD430" s="1016">
        <f t="shared" ref="AD430:AK430" si="199">SUM(AD431:AD438)</f>
        <v>0</v>
      </c>
      <c r="AE430" s="1016">
        <f t="shared" si="199"/>
        <v>0</v>
      </c>
      <c r="AF430" s="1016">
        <f t="shared" si="199"/>
        <v>0</v>
      </c>
      <c r="AG430" s="1016">
        <f t="shared" si="199"/>
        <v>0</v>
      </c>
      <c r="AH430" s="1016">
        <f t="shared" si="199"/>
        <v>0</v>
      </c>
      <c r="AI430" s="1016">
        <f t="shared" si="199"/>
        <v>0</v>
      </c>
      <c r="AJ430" s="1016">
        <f t="shared" si="199"/>
        <v>0</v>
      </c>
      <c r="AK430" s="1016">
        <f t="shared" si="199"/>
        <v>0</v>
      </c>
      <c r="AL430" s="59"/>
      <c r="AM430" s="1009">
        <f t="shared" si="188"/>
        <v>1</v>
      </c>
      <c r="AN430" s="1009">
        <f t="shared" si="189"/>
        <v>1</v>
      </c>
      <c r="AO430" s="144">
        <f t="shared" ref="AO430:AO494" si="200">IF(I430-Y430&gt;=0,1,0)</f>
        <v>1</v>
      </c>
    </row>
    <row r="431" spans="1:41" ht="64.5" hidden="1" customHeight="1" x14ac:dyDescent="0.25">
      <c r="A431" s="64" t="s">
        <v>435</v>
      </c>
      <c r="B431" s="64" t="s">
        <v>1142</v>
      </c>
      <c r="C431" s="67" t="s">
        <v>2298</v>
      </c>
      <c r="D431" s="118" t="s">
        <v>2313</v>
      </c>
      <c r="E431" s="118" t="s">
        <v>398</v>
      </c>
      <c r="F431" s="118" t="s">
        <v>1354</v>
      </c>
      <c r="G431" s="61"/>
      <c r="H431" s="290">
        <v>6400</v>
      </c>
      <c r="I431" s="1056">
        <f>H431</f>
        <v>6400</v>
      </c>
      <c r="J431" s="282"/>
      <c r="K431" s="282"/>
      <c r="L431" s="282"/>
      <c r="M431" s="282"/>
      <c r="N431" s="68"/>
      <c r="O431" s="75"/>
      <c r="P431" s="284"/>
      <c r="Q431" s="284"/>
      <c r="R431" s="54"/>
      <c r="S431" s="54"/>
      <c r="T431" s="488"/>
      <c r="U431" s="488"/>
      <c r="V431" s="54">
        <v>3800</v>
      </c>
      <c r="W431" s="54"/>
      <c r="X431" s="488">
        <f>Y431</f>
        <v>3800</v>
      </c>
      <c r="Y431" s="488">
        <f>V431</f>
        <v>3800</v>
      </c>
      <c r="Z431" s="75"/>
      <c r="AA431" s="75"/>
      <c r="AB431" s="75"/>
      <c r="AC431" s="75"/>
      <c r="AD431" s="75"/>
      <c r="AE431" s="75"/>
      <c r="AF431" s="75"/>
      <c r="AG431" s="75"/>
      <c r="AH431" s="75"/>
      <c r="AI431" s="75"/>
      <c r="AJ431" s="75"/>
      <c r="AK431" s="75"/>
      <c r="AL431" s="25" t="s">
        <v>980</v>
      </c>
      <c r="AM431" s="1009">
        <f t="shared" si="188"/>
        <v>1</v>
      </c>
      <c r="AN431" s="1009">
        <f t="shared" si="189"/>
        <v>1</v>
      </c>
      <c r="AO431" s="144">
        <f t="shared" si="200"/>
        <v>1</v>
      </c>
    </row>
    <row r="432" spans="1:41" ht="19.5" hidden="1" customHeight="1" x14ac:dyDescent="0.25">
      <c r="A432" s="64" t="s">
        <v>440</v>
      </c>
      <c r="B432" s="64" t="s">
        <v>56</v>
      </c>
      <c r="C432" s="67" t="s">
        <v>2299</v>
      </c>
      <c r="D432" s="118" t="s">
        <v>2295</v>
      </c>
      <c r="E432" s="118" t="s">
        <v>2309</v>
      </c>
      <c r="F432" s="118" t="s">
        <v>1354</v>
      </c>
      <c r="G432" s="61"/>
      <c r="H432" s="290">
        <v>6000</v>
      </c>
      <c r="I432" s="1056">
        <f>H432</f>
        <v>6000</v>
      </c>
      <c r="J432" s="282"/>
      <c r="K432" s="282"/>
      <c r="L432" s="282"/>
      <c r="M432" s="282"/>
      <c r="N432" s="68"/>
      <c r="O432" s="75"/>
      <c r="P432" s="284"/>
      <c r="Q432" s="284"/>
      <c r="R432" s="54"/>
      <c r="S432" s="54"/>
      <c r="T432" s="488"/>
      <c r="U432" s="488"/>
      <c r="V432" s="54">
        <v>3600</v>
      </c>
      <c r="W432" s="54"/>
      <c r="X432" s="488">
        <f t="shared" ref="X432:X441" si="201">Y432</f>
        <v>3600</v>
      </c>
      <c r="Y432" s="488">
        <f t="shared" ref="Y432:Y441" si="202">V432</f>
        <v>3600</v>
      </c>
      <c r="Z432" s="75"/>
      <c r="AA432" s="75"/>
      <c r="AB432" s="75"/>
      <c r="AC432" s="75"/>
      <c r="AD432" s="75"/>
      <c r="AE432" s="75"/>
      <c r="AF432" s="75"/>
      <c r="AG432" s="75"/>
      <c r="AH432" s="75"/>
      <c r="AI432" s="75"/>
      <c r="AJ432" s="75"/>
      <c r="AK432" s="75"/>
      <c r="AL432" s="25" t="s">
        <v>980</v>
      </c>
      <c r="AM432" s="1009">
        <f t="shared" si="188"/>
        <v>1</v>
      </c>
      <c r="AN432" s="1009">
        <f t="shared" si="189"/>
        <v>1</v>
      </c>
      <c r="AO432" s="144">
        <f t="shared" si="200"/>
        <v>1</v>
      </c>
    </row>
    <row r="433" spans="1:41" s="1316" customFormat="1" ht="53.25" hidden="1" customHeight="1" x14ac:dyDescent="0.25">
      <c r="A433" s="1183" t="s">
        <v>445</v>
      </c>
      <c r="B433" s="1183" t="s">
        <v>1254</v>
      </c>
      <c r="C433" s="1227" t="s">
        <v>2342</v>
      </c>
      <c r="D433" s="1206" t="s">
        <v>1737</v>
      </c>
      <c r="E433" s="1206" t="s">
        <v>2344</v>
      </c>
      <c r="F433" s="1206" t="s">
        <v>162</v>
      </c>
      <c r="G433" s="1184"/>
      <c r="H433" s="1201">
        <f>I433</f>
        <v>13000</v>
      </c>
      <c r="I433" s="1201">
        <v>13000</v>
      </c>
      <c r="J433" s="1179"/>
      <c r="K433" s="1179"/>
      <c r="L433" s="1179"/>
      <c r="M433" s="1179"/>
      <c r="N433" s="68"/>
      <c r="O433" s="75"/>
      <c r="P433" s="284"/>
      <c r="Q433" s="284"/>
      <c r="R433" s="54"/>
      <c r="S433" s="54"/>
      <c r="T433" s="1181"/>
      <c r="U433" s="1181"/>
      <c r="V433" s="1185">
        <v>5000</v>
      </c>
      <c r="W433" s="1185"/>
      <c r="X433" s="1181">
        <f t="shared" ref="X433:X434" si="203">Y433</f>
        <v>5000</v>
      </c>
      <c r="Y433" s="1181">
        <f t="shared" ref="Y433:Y434" si="204">V433</f>
        <v>5000</v>
      </c>
      <c r="Z433" s="75"/>
      <c r="AA433" s="75"/>
      <c r="AB433" s="75"/>
      <c r="AC433" s="75"/>
      <c r="AD433" s="75"/>
      <c r="AE433" s="75"/>
      <c r="AF433" s="75"/>
      <c r="AG433" s="75"/>
      <c r="AH433" s="75"/>
      <c r="AI433" s="75"/>
      <c r="AJ433" s="75"/>
      <c r="AK433" s="75"/>
      <c r="AL433" s="25" t="s">
        <v>980</v>
      </c>
      <c r="AM433" s="1182">
        <f t="shared" ref="AM433:AM434" si="205">IF(Y433-U433=0,0,1)</f>
        <v>1</v>
      </c>
      <c r="AN433" s="1182">
        <f t="shared" ref="AN433:AN434" si="206">IF(Y433=0,0,1)</f>
        <v>1</v>
      </c>
      <c r="AO433" s="144">
        <f t="shared" si="200"/>
        <v>1</v>
      </c>
    </row>
    <row r="434" spans="1:41" s="1316" customFormat="1" ht="46.5" hidden="1" customHeight="1" x14ac:dyDescent="0.25">
      <c r="A434" s="1183" t="s">
        <v>450</v>
      </c>
      <c r="B434" s="1183" t="s">
        <v>414</v>
      </c>
      <c r="C434" s="1227" t="s">
        <v>2343</v>
      </c>
      <c r="D434" s="1206" t="s">
        <v>2140</v>
      </c>
      <c r="E434" s="1206" t="s">
        <v>398</v>
      </c>
      <c r="F434" s="1206" t="s">
        <v>1354</v>
      </c>
      <c r="G434" s="1184"/>
      <c r="H434" s="1201">
        <f>I434</f>
        <v>10000</v>
      </c>
      <c r="I434" s="1201">
        <v>10000</v>
      </c>
      <c r="J434" s="1179"/>
      <c r="K434" s="1179"/>
      <c r="L434" s="1179"/>
      <c r="M434" s="1179"/>
      <c r="N434" s="68"/>
      <c r="O434" s="75"/>
      <c r="P434" s="284"/>
      <c r="Q434" s="284"/>
      <c r="R434" s="54"/>
      <c r="S434" s="54"/>
      <c r="T434" s="1181"/>
      <c r="U434" s="1181"/>
      <c r="V434" s="1185">
        <v>5000</v>
      </c>
      <c r="W434" s="1185"/>
      <c r="X434" s="1181">
        <f t="shared" si="203"/>
        <v>5000</v>
      </c>
      <c r="Y434" s="1181">
        <f t="shared" si="204"/>
        <v>5000</v>
      </c>
      <c r="Z434" s="75"/>
      <c r="AA434" s="75"/>
      <c r="AB434" s="75"/>
      <c r="AC434" s="75"/>
      <c r="AD434" s="75"/>
      <c r="AE434" s="75"/>
      <c r="AF434" s="75"/>
      <c r="AG434" s="75"/>
      <c r="AH434" s="75"/>
      <c r="AI434" s="75"/>
      <c r="AJ434" s="75"/>
      <c r="AK434" s="75"/>
      <c r="AL434" s="25" t="s">
        <v>980</v>
      </c>
      <c r="AM434" s="1182">
        <f t="shared" si="205"/>
        <v>1</v>
      </c>
      <c r="AN434" s="1182">
        <f t="shared" si="206"/>
        <v>1</v>
      </c>
      <c r="AO434" s="144">
        <f t="shared" si="200"/>
        <v>1</v>
      </c>
    </row>
    <row r="435" spans="1:41" ht="70.5" hidden="1" customHeight="1" x14ac:dyDescent="0.25">
      <c r="A435" s="1183" t="s">
        <v>454</v>
      </c>
      <c r="B435" s="64" t="s">
        <v>419</v>
      </c>
      <c r="C435" s="67" t="s">
        <v>2301</v>
      </c>
      <c r="D435" s="118" t="s">
        <v>2314</v>
      </c>
      <c r="E435" s="118" t="s">
        <v>479</v>
      </c>
      <c r="F435" s="118" t="s">
        <v>1354</v>
      </c>
      <c r="G435" s="61"/>
      <c r="H435" s="290">
        <v>2041</v>
      </c>
      <c r="I435" s="1056">
        <f t="shared" ref="I435:I441" si="207">H435</f>
        <v>2041</v>
      </c>
      <c r="J435" s="282"/>
      <c r="K435" s="282"/>
      <c r="L435" s="282"/>
      <c r="M435" s="282"/>
      <c r="N435" s="68"/>
      <c r="O435" s="75"/>
      <c r="P435" s="284"/>
      <c r="Q435" s="284"/>
      <c r="R435" s="54"/>
      <c r="S435" s="54"/>
      <c r="T435" s="488"/>
      <c r="U435" s="488"/>
      <c r="V435" s="54">
        <v>1200</v>
      </c>
      <c r="W435" s="54"/>
      <c r="X435" s="488">
        <f t="shared" si="201"/>
        <v>1200</v>
      </c>
      <c r="Y435" s="488">
        <f t="shared" si="202"/>
        <v>1200</v>
      </c>
      <c r="Z435" s="75"/>
      <c r="AA435" s="75"/>
      <c r="AB435" s="75"/>
      <c r="AC435" s="75"/>
      <c r="AD435" s="75"/>
      <c r="AE435" s="75"/>
      <c r="AF435" s="75"/>
      <c r="AG435" s="75"/>
      <c r="AH435" s="75"/>
      <c r="AI435" s="75"/>
      <c r="AJ435" s="75"/>
      <c r="AK435" s="75"/>
      <c r="AL435" s="25" t="s">
        <v>980</v>
      </c>
      <c r="AM435" s="1009">
        <f t="shared" si="188"/>
        <v>1</v>
      </c>
      <c r="AN435" s="1009">
        <f t="shared" si="189"/>
        <v>1</v>
      </c>
      <c r="AO435" s="144">
        <f t="shared" si="200"/>
        <v>1</v>
      </c>
    </row>
    <row r="436" spans="1:41" ht="49.5" hidden="1" customHeight="1" x14ac:dyDescent="0.25">
      <c r="A436" s="64" t="s">
        <v>458</v>
      </c>
      <c r="B436" s="64" t="s">
        <v>423</v>
      </c>
      <c r="C436" s="67" t="s">
        <v>2302</v>
      </c>
      <c r="D436" s="118" t="s">
        <v>2294</v>
      </c>
      <c r="E436" s="118" t="s">
        <v>2309</v>
      </c>
      <c r="F436" s="118" t="s">
        <v>1354</v>
      </c>
      <c r="G436" s="61"/>
      <c r="H436" s="290">
        <v>3726</v>
      </c>
      <c r="I436" s="1056">
        <f t="shared" si="207"/>
        <v>3726</v>
      </c>
      <c r="J436" s="282"/>
      <c r="K436" s="282"/>
      <c r="L436" s="282"/>
      <c r="M436" s="282"/>
      <c r="N436" s="68"/>
      <c r="O436" s="75"/>
      <c r="P436" s="284"/>
      <c r="Q436" s="284"/>
      <c r="R436" s="54"/>
      <c r="S436" s="54"/>
      <c r="T436" s="488"/>
      <c r="U436" s="488"/>
      <c r="V436" s="54">
        <v>2200</v>
      </c>
      <c r="W436" s="54"/>
      <c r="X436" s="488">
        <f t="shared" si="201"/>
        <v>2200</v>
      </c>
      <c r="Y436" s="488">
        <f t="shared" si="202"/>
        <v>2200</v>
      </c>
      <c r="Z436" s="75"/>
      <c r="AA436" s="75"/>
      <c r="AB436" s="75"/>
      <c r="AC436" s="75"/>
      <c r="AD436" s="75"/>
      <c r="AE436" s="75"/>
      <c r="AF436" s="75"/>
      <c r="AG436" s="75"/>
      <c r="AH436" s="75"/>
      <c r="AI436" s="75"/>
      <c r="AJ436" s="75"/>
      <c r="AK436" s="75"/>
      <c r="AL436" s="25" t="s">
        <v>980</v>
      </c>
      <c r="AM436" s="1009">
        <f t="shared" si="188"/>
        <v>1</v>
      </c>
      <c r="AN436" s="1009">
        <f t="shared" si="189"/>
        <v>1</v>
      </c>
      <c r="AO436" s="144">
        <f t="shared" si="200"/>
        <v>1</v>
      </c>
    </row>
    <row r="437" spans="1:41" ht="49.5" hidden="1" customHeight="1" x14ac:dyDescent="0.25">
      <c r="A437" s="64" t="s">
        <v>463</v>
      </c>
      <c r="B437" s="64" t="s">
        <v>427</v>
      </c>
      <c r="C437" s="67" t="s">
        <v>2303</v>
      </c>
      <c r="D437" s="118" t="s">
        <v>2296</v>
      </c>
      <c r="E437" s="118" t="s">
        <v>2309</v>
      </c>
      <c r="F437" s="118" t="s">
        <v>1354</v>
      </c>
      <c r="G437" s="61"/>
      <c r="H437" s="290">
        <v>1241</v>
      </c>
      <c r="I437" s="1056">
        <f t="shared" si="207"/>
        <v>1241</v>
      </c>
      <c r="J437" s="282"/>
      <c r="K437" s="282"/>
      <c r="L437" s="282"/>
      <c r="M437" s="282"/>
      <c r="N437" s="68"/>
      <c r="O437" s="75"/>
      <c r="P437" s="284"/>
      <c r="Q437" s="284"/>
      <c r="R437" s="54"/>
      <c r="S437" s="54"/>
      <c r="T437" s="488"/>
      <c r="U437" s="488"/>
      <c r="V437" s="54">
        <v>700</v>
      </c>
      <c r="W437" s="54"/>
      <c r="X437" s="488">
        <f t="shared" si="201"/>
        <v>700</v>
      </c>
      <c r="Y437" s="488">
        <f t="shared" si="202"/>
        <v>700</v>
      </c>
      <c r="Z437" s="75"/>
      <c r="AA437" s="75"/>
      <c r="AB437" s="75"/>
      <c r="AC437" s="75"/>
      <c r="AD437" s="75"/>
      <c r="AE437" s="75"/>
      <c r="AF437" s="75"/>
      <c r="AG437" s="75"/>
      <c r="AH437" s="75"/>
      <c r="AI437" s="75"/>
      <c r="AJ437" s="75"/>
      <c r="AK437" s="75"/>
      <c r="AL437" s="25" t="s">
        <v>980</v>
      </c>
      <c r="AM437" s="1009">
        <f t="shared" si="188"/>
        <v>1</v>
      </c>
      <c r="AN437" s="1009">
        <f t="shared" si="189"/>
        <v>1</v>
      </c>
      <c r="AO437" s="144">
        <f t="shared" si="200"/>
        <v>1</v>
      </c>
    </row>
    <row r="438" spans="1:41" ht="49.5" hidden="1" customHeight="1" x14ac:dyDescent="0.25">
      <c r="A438" s="64" t="s">
        <v>468</v>
      </c>
      <c r="B438" s="64" t="s">
        <v>431</v>
      </c>
      <c r="C438" s="67" t="s">
        <v>2304</v>
      </c>
      <c r="D438" s="118" t="s">
        <v>2296</v>
      </c>
      <c r="E438" s="118" t="s">
        <v>2310</v>
      </c>
      <c r="F438" s="118" t="s">
        <v>1354</v>
      </c>
      <c r="G438" s="61"/>
      <c r="H438" s="290">
        <v>1865</v>
      </c>
      <c r="I438" s="1056">
        <f t="shared" si="207"/>
        <v>1865</v>
      </c>
      <c r="J438" s="282"/>
      <c r="K438" s="282"/>
      <c r="L438" s="282"/>
      <c r="M438" s="282"/>
      <c r="N438" s="68"/>
      <c r="O438" s="75"/>
      <c r="P438" s="284"/>
      <c r="Q438" s="284"/>
      <c r="R438" s="54"/>
      <c r="S438" s="54"/>
      <c r="T438" s="488"/>
      <c r="U438" s="488"/>
      <c r="V438" s="54">
        <v>1100</v>
      </c>
      <c r="W438" s="54"/>
      <c r="X438" s="488">
        <f t="shared" si="201"/>
        <v>1100</v>
      </c>
      <c r="Y438" s="488">
        <f t="shared" si="202"/>
        <v>1100</v>
      </c>
      <c r="Z438" s="75"/>
      <c r="AA438" s="75"/>
      <c r="AB438" s="75"/>
      <c r="AC438" s="75"/>
      <c r="AD438" s="75"/>
      <c r="AE438" s="75"/>
      <c r="AF438" s="75"/>
      <c r="AG438" s="75"/>
      <c r="AH438" s="75"/>
      <c r="AI438" s="75"/>
      <c r="AJ438" s="75"/>
      <c r="AK438" s="75"/>
      <c r="AL438" s="25" t="s">
        <v>980</v>
      </c>
      <c r="AM438" s="1009">
        <f t="shared" si="188"/>
        <v>1</v>
      </c>
      <c r="AN438" s="1009">
        <f t="shared" si="189"/>
        <v>1</v>
      </c>
      <c r="AO438" s="144">
        <f t="shared" si="200"/>
        <v>1</v>
      </c>
    </row>
    <row r="439" spans="1:41" ht="49.5" hidden="1" customHeight="1" x14ac:dyDescent="0.25">
      <c r="A439" s="64" t="s">
        <v>472</v>
      </c>
      <c r="B439" s="64" t="s">
        <v>435</v>
      </c>
      <c r="C439" s="67" t="s">
        <v>2305</v>
      </c>
      <c r="D439" s="118" t="s">
        <v>2313</v>
      </c>
      <c r="E439" s="118" t="s">
        <v>398</v>
      </c>
      <c r="F439" s="118" t="s">
        <v>1354</v>
      </c>
      <c r="G439" s="61"/>
      <c r="H439" s="290">
        <v>3868</v>
      </c>
      <c r="I439" s="1056">
        <f t="shared" si="207"/>
        <v>3868</v>
      </c>
      <c r="J439" s="282"/>
      <c r="K439" s="282"/>
      <c r="L439" s="282"/>
      <c r="M439" s="282"/>
      <c r="N439" s="68"/>
      <c r="O439" s="75"/>
      <c r="P439" s="284"/>
      <c r="Q439" s="284"/>
      <c r="R439" s="54"/>
      <c r="S439" s="54"/>
      <c r="T439" s="488"/>
      <c r="U439" s="488"/>
      <c r="V439" s="54">
        <v>2300</v>
      </c>
      <c r="W439" s="54"/>
      <c r="X439" s="488">
        <f t="shared" si="201"/>
        <v>2300</v>
      </c>
      <c r="Y439" s="488">
        <f t="shared" si="202"/>
        <v>2300</v>
      </c>
      <c r="Z439" s="75"/>
      <c r="AA439" s="75"/>
      <c r="AB439" s="75"/>
      <c r="AC439" s="75"/>
      <c r="AD439" s="75"/>
      <c r="AE439" s="75"/>
      <c r="AF439" s="75"/>
      <c r="AG439" s="75"/>
      <c r="AH439" s="75"/>
      <c r="AI439" s="75"/>
      <c r="AJ439" s="75"/>
      <c r="AK439" s="75"/>
      <c r="AL439" s="25" t="s">
        <v>980</v>
      </c>
      <c r="AM439" s="1009">
        <f t="shared" si="188"/>
        <v>1</v>
      </c>
      <c r="AN439" s="1009">
        <f t="shared" si="189"/>
        <v>1</v>
      </c>
      <c r="AO439" s="144">
        <f t="shared" si="200"/>
        <v>1</v>
      </c>
    </row>
    <row r="440" spans="1:41" ht="49.5" hidden="1" customHeight="1" x14ac:dyDescent="0.25">
      <c r="A440" s="64" t="s">
        <v>476</v>
      </c>
      <c r="B440" s="64" t="s">
        <v>440</v>
      </c>
      <c r="C440" s="67" t="s">
        <v>2306</v>
      </c>
      <c r="D440" s="118" t="s">
        <v>2315</v>
      </c>
      <c r="E440" s="118" t="s">
        <v>2311</v>
      </c>
      <c r="F440" s="118" t="s">
        <v>1354</v>
      </c>
      <c r="G440" s="61"/>
      <c r="H440" s="290">
        <v>1199</v>
      </c>
      <c r="I440" s="1056">
        <f t="shared" si="207"/>
        <v>1199</v>
      </c>
      <c r="J440" s="282"/>
      <c r="K440" s="282"/>
      <c r="L440" s="282"/>
      <c r="M440" s="282"/>
      <c r="N440" s="68"/>
      <c r="O440" s="75"/>
      <c r="P440" s="284"/>
      <c r="Q440" s="284"/>
      <c r="R440" s="54"/>
      <c r="S440" s="54"/>
      <c r="T440" s="488"/>
      <c r="U440" s="488"/>
      <c r="V440" s="54">
        <v>700</v>
      </c>
      <c r="W440" s="54"/>
      <c r="X440" s="488">
        <f t="shared" si="201"/>
        <v>700</v>
      </c>
      <c r="Y440" s="488">
        <f t="shared" si="202"/>
        <v>700</v>
      </c>
      <c r="Z440" s="75"/>
      <c r="AA440" s="75"/>
      <c r="AB440" s="75"/>
      <c r="AC440" s="75"/>
      <c r="AD440" s="75"/>
      <c r="AE440" s="75"/>
      <c r="AF440" s="75"/>
      <c r="AG440" s="75"/>
      <c r="AH440" s="75"/>
      <c r="AI440" s="75"/>
      <c r="AJ440" s="75"/>
      <c r="AK440" s="75"/>
      <c r="AL440" s="25" t="s">
        <v>980</v>
      </c>
      <c r="AM440" s="1009">
        <f t="shared" si="188"/>
        <v>1</v>
      </c>
      <c r="AN440" s="1009">
        <f t="shared" si="189"/>
        <v>1</v>
      </c>
      <c r="AO440" s="144">
        <f t="shared" si="200"/>
        <v>1</v>
      </c>
    </row>
    <row r="441" spans="1:41" ht="49.5" hidden="1" customHeight="1" x14ac:dyDescent="0.25">
      <c r="A441" s="64" t="s">
        <v>481</v>
      </c>
      <c r="B441" s="64" t="s">
        <v>445</v>
      </c>
      <c r="C441" s="67" t="s">
        <v>2307</v>
      </c>
      <c r="D441" s="118" t="s">
        <v>2316</v>
      </c>
      <c r="E441" s="118" t="s">
        <v>2312</v>
      </c>
      <c r="F441" s="118" t="s">
        <v>1354</v>
      </c>
      <c r="G441" s="61"/>
      <c r="H441" s="290">
        <v>1158</v>
      </c>
      <c r="I441" s="1056">
        <f t="shared" si="207"/>
        <v>1158</v>
      </c>
      <c r="J441" s="282"/>
      <c r="K441" s="282"/>
      <c r="L441" s="282"/>
      <c r="M441" s="282"/>
      <c r="N441" s="68"/>
      <c r="O441" s="75"/>
      <c r="P441" s="284"/>
      <c r="Q441" s="284"/>
      <c r="R441" s="54"/>
      <c r="S441" s="54"/>
      <c r="T441" s="488"/>
      <c r="U441" s="488"/>
      <c r="V441" s="54">
        <v>700</v>
      </c>
      <c r="W441" s="54"/>
      <c r="X441" s="488">
        <f t="shared" si="201"/>
        <v>700</v>
      </c>
      <c r="Y441" s="488">
        <f t="shared" si="202"/>
        <v>700</v>
      </c>
      <c r="Z441" s="75"/>
      <c r="AA441" s="75"/>
      <c r="AB441" s="75"/>
      <c r="AC441" s="75"/>
      <c r="AD441" s="75"/>
      <c r="AE441" s="75"/>
      <c r="AF441" s="75"/>
      <c r="AG441" s="75"/>
      <c r="AH441" s="75"/>
      <c r="AI441" s="75"/>
      <c r="AJ441" s="75"/>
      <c r="AK441" s="75"/>
      <c r="AL441" s="25" t="s">
        <v>980</v>
      </c>
      <c r="AM441" s="1009">
        <f t="shared" si="188"/>
        <v>1</v>
      </c>
      <c r="AN441" s="1009">
        <f t="shared" si="189"/>
        <v>1</v>
      </c>
      <c r="AO441" s="144">
        <f t="shared" si="200"/>
        <v>1</v>
      </c>
    </row>
    <row r="442" spans="1:41" ht="49.5" hidden="1" customHeight="1" x14ac:dyDescent="0.25">
      <c r="A442" s="64" t="s">
        <v>484</v>
      </c>
      <c r="B442" s="64" t="s">
        <v>450</v>
      </c>
      <c r="C442" s="67" t="s">
        <v>2308</v>
      </c>
      <c r="D442" s="118" t="s">
        <v>2317</v>
      </c>
      <c r="E442" s="118" t="s">
        <v>2312</v>
      </c>
      <c r="F442" s="118" t="s">
        <v>1354</v>
      </c>
      <c r="G442" s="61"/>
      <c r="H442" s="290">
        <v>1163</v>
      </c>
      <c r="I442" s="1056">
        <f t="shared" ref="I442:I443" si="208">H442</f>
        <v>1163</v>
      </c>
      <c r="J442" s="282"/>
      <c r="K442" s="282"/>
      <c r="L442" s="282"/>
      <c r="M442" s="282"/>
      <c r="N442" s="68"/>
      <c r="O442" s="75"/>
      <c r="P442" s="284"/>
      <c r="Q442" s="284"/>
      <c r="R442" s="54"/>
      <c r="S442" s="54"/>
      <c r="T442" s="488"/>
      <c r="U442" s="488"/>
      <c r="V442" s="54">
        <v>700</v>
      </c>
      <c r="W442" s="54"/>
      <c r="X442" s="488">
        <f t="shared" ref="X442:X443" si="209">Y442</f>
        <v>700</v>
      </c>
      <c r="Y442" s="488">
        <f t="shared" ref="Y442:Y443" si="210">V442</f>
        <v>700</v>
      </c>
      <c r="Z442" s="75"/>
      <c r="AA442" s="75"/>
      <c r="AB442" s="75"/>
      <c r="AC442" s="75"/>
      <c r="AD442" s="75"/>
      <c r="AE442" s="75"/>
      <c r="AF442" s="75"/>
      <c r="AG442" s="75"/>
      <c r="AH442" s="75"/>
      <c r="AI442" s="75"/>
      <c r="AJ442" s="75"/>
      <c r="AK442" s="75"/>
      <c r="AL442" s="25" t="s">
        <v>980</v>
      </c>
      <c r="AM442" s="1009">
        <f t="shared" ref="AM442:AM443" si="211">IF(Y442-U442=0,0,1)</f>
        <v>1</v>
      </c>
      <c r="AN442" s="1009">
        <f t="shared" ref="AN442:AN443" si="212">IF(Y442=0,0,1)</f>
        <v>1</v>
      </c>
      <c r="AO442" s="144">
        <f t="shared" si="200"/>
        <v>1</v>
      </c>
    </row>
    <row r="443" spans="1:41" s="1316" customFormat="1" ht="49.5" hidden="1" customHeight="1" x14ac:dyDescent="0.25">
      <c r="A443" s="64" t="s">
        <v>1309</v>
      </c>
      <c r="B443" s="1183" t="s">
        <v>454</v>
      </c>
      <c r="C443" s="1227" t="s">
        <v>2345</v>
      </c>
      <c r="D443" s="1206" t="s">
        <v>2317</v>
      </c>
      <c r="E443" s="1206" t="s">
        <v>2346</v>
      </c>
      <c r="F443" s="1206" t="s">
        <v>1354</v>
      </c>
      <c r="G443" s="1184"/>
      <c r="H443" s="1201">
        <v>6200</v>
      </c>
      <c r="I443" s="1242">
        <f t="shared" si="208"/>
        <v>6200</v>
      </c>
      <c r="J443" s="1179"/>
      <c r="K443" s="1179"/>
      <c r="L443" s="1179"/>
      <c r="M443" s="1179"/>
      <c r="N443" s="68"/>
      <c r="O443" s="75"/>
      <c r="P443" s="284"/>
      <c r="Q443" s="284"/>
      <c r="R443" s="54"/>
      <c r="S443" s="54"/>
      <c r="T443" s="1181"/>
      <c r="U443" s="1181"/>
      <c r="V443" s="1185">
        <v>3700</v>
      </c>
      <c r="W443" s="1185"/>
      <c r="X443" s="1181">
        <f t="shared" si="209"/>
        <v>3700</v>
      </c>
      <c r="Y443" s="1181">
        <f t="shared" si="210"/>
        <v>3700</v>
      </c>
      <c r="Z443" s="75"/>
      <c r="AA443" s="75"/>
      <c r="AB443" s="75"/>
      <c r="AC443" s="75"/>
      <c r="AD443" s="75"/>
      <c r="AE443" s="75"/>
      <c r="AF443" s="75"/>
      <c r="AG443" s="75"/>
      <c r="AH443" s="75"/>
      <c r="AI443" s="75"/>
      <c r="AJ443" s="75"/>
      <c r="AK443" s="75"/>
      <c r="AL443" s="25" t="s">
        <v>980</v>
      </c>
      <c r="AM443" s="1182">
        <f t="shared" si="211"/>
        <v>1</v>
      </c>
      <c r="AN443" s="1182">
        <f t="shared" si="212"/>
        <v>1</v>
      </c>
      <c r="AO443" s="144">
        <f t="shared" si="200"/>
        <v>1</v>
      </c>
    </row>
    <row r="444" spans="1:41" ht="21" hidden="1" customHeight="1" x14ac:dyDescent="0.25">
      <c r="A444" s="23" t="s">
        <v>173</v>
      </c>
      <c r="B444" s="23"/>
      <c r="C444" s="1352" t="s">
        <v>1239</v>
      </c>
      <c r="D444" s="96"/>
      <c r="E444" s="1349"/>
      <c r="F444" s="1349"/>
      <c r="G444" s="1349"/>
      <c r="H444" s="1353">
        <f t="shared" ref="H444:J444" si="213">H445</f>
        <v>132945</v>
      </c>
      <c r="I444" s="1353">
        <f t="shared" si="213"/>
        <v>132945</v>
      </c>
      <c r="J444" s="1353">
        <f t="shared" si="213"/>
        <v>0</v>
      </c>
      <c r="K444" s="1353">
        <f>K445</f>
        <v>0</v>
      </c>
      <c r="L444" s="1353">
        <f t="shared" ref="L444:Y444" si="214">L445</f>
        <v>0</v>
      </c>
      <c r="M444" s="1353">
        <f t="shared" si="214"/>
        <v>0</v>
      </c>
      <c r="N444" s="1353">
        <f t="shared" si="214"/>
        <v>80000</v>
      </c>
      <c r="O444" s="1353">
        <f t="shared" si="214"/>
        <v>80000</v>
      </c>
      <c r="P444" s="1353">
        <f t="shared" si="214"/>
        <v>80000</v>
      </c>
      <c r="Q444" s="1353">
        <f t="shared" si="214"/>
        <v>80000</v>
      </c>
      <c r="R444" s="1353">
        <f t="shared" si="214"/>
        <v>19540</v>
      </c>
      <c r="S444" s="1353">
        <f t="shared" si="214"/>
        <v>19540</v>
      </c>
      <c r="T444" s="1353">
        <f t="shared" si="214"/>
        <v>80000</v>
      </c>
      <c r="U444" s="1353">
        <f t="shared" si="214"/>
        <v>80000</v>
      </c>
      <c r="V444" s="1353">
        <f t="shared" si="214"/>
        <v>15000</v>
      </c>
      <c r="W444" s="1353">
        <f t="shared" si="214"/>
        <v>0</v>
      </c>
      <c r="X444" s="1353">
        <f t="shared" si="214"/>
        <v>95000</v>
      </c>
      <c r="Y444" s="1353">
        <f t="shared" si="214"/>
        <v>95000</v>
      </c>
      <c r="Z444" s="1353">
        <f t="shared" ref="Z444:AK445" si="215">Z445</f>
        <v>13700</v>
      </c>
      <c r="AA444" s="1353">
        <f t="shared" si="215"/>
        <v>13700</v>
      </c>
      <c r="AB444" s="1353">
        <f t="shared" si="215"/>
        <v>16337</v>
      </c>
      <c r="AC444" s="1353">
        <f t="shared" si="215"/>
        <v>16337</v>
      </c>
      <c r="AD444" s="1353">
        <f t="shared" si="215"/>
        <v>80000</v>
      </c>
      <c r="AE444" s="1353">
        <f t="shared" si="215"/>
        <v>80000</v>
      </c>
      <c r="AF444" s="1353">
        <f t="shared" si="215"/>
        <v>80000</v>
      </c>
      <c r="AG444" s="1353">
        <f t="shared" si="215"/>
        <v>80000</v>
      </c>
      <c r="AH444" s="1353">
        <f t="shared" si="215"/>
        <v>80000</v>
      </c>
      <c r="AI444" s="1353">
        <f t="shared" si="215"/>
        <v>80000</v>
      </c>
      <c r="AJ444" s="1353">
        <f t="shared" si="215"/>
        <v>80000</v>
      </c>
      <c r="AK444" s="1353">
        <f t="shared" si="215"/>
        <v>80000</v>
      </c>
      <c r="AL444" s="1351"/>
      <c r="AM444" s="1009">
        <f t="shared" si="188"/>
        <v>1</v>
      </c>
      <c r="AN444" s="1009">
        <f t="shared" si="189"/>
        <v>1</v>
      </c>
      <c r="AO444" s="144">
        <f t="shared" si="200"/>
        <v>1</v>
      </c>
    </row>
    <row r="445" spans="1:41" ht="34.5" hidden="1" x14ac:dyDescent="0.25">
      <c r="A445" s="1066" t="s">
        <v>85</v>
      </c>
      <c r="B445" s="1066"/>
      <c r="C445" s="51" t="s">
        <v>86</v>
      </c>
      <c r="D445" s="57"/>
      <c r="E445" s="57"/>
      <c r="F445" s="57"/>
      <c r="G445" s="57"/>
      <c r="H445" s="1017">
        <f>H446+H460</f>
        <v>132945</v>
      </c>
      <c r="I445" s="1017">
        <f t="shared" ref="I445:Y445" si="216">I446+I460</f>
        <v>132945</v>
      </c>
      <c r="J445" s="1017">
        <f t="shared" si="216"/>
        <v>0</v>
      </c>
      <c r="K445" s="1017">
        <f t="shared" si="216"/>
        <v>0</v>
      </c>
      <c r="L445" s="1017">
        <f t="shared" si="216"/>
        <v>0</v>
      </c>
      <c r="M445" s="1017">
        <f t="shared" si="216"/>
        <v>0</v>
      </c>
      <c r="N445" s="1017">
        <f t="shared" si="216"/>
        <v>80000</v>
      </c>
      <c r="O445" s="1017">
        <f t="shared" si="216"/>
        <v>80000</v>
      </c>
      <c r="P445" s="1017">
        <f t="shared" si="216"/>
        <v>80000</v>
      </c>
      <c r="Q445" s="1017">
        <f t="shared" si="216"/>
        <v>80000</v>
      </c>
      <c r="R445" s="1017">
        <f t="shared" si="216"/>
        <v>19540</v>
      </c>
      <c r="S445" s="1017">
        <f t="shared" si="216"/>
        <v>19540</v>
      </c>
      <c r="T445" s="1017">
        <f t="shared" si="216"/>
        <v>80000</v>
      </c>
      <c r="U445" s="1017">
        <f t="shared" si="216"/>
        <v>80000</v>
      </c>
      <c r="V445" s="1017">
        <f t="shared" si="216"/>
        <v>15000</v>
      </c>
      <c r="W445" s="1017">
        <f t="shared" si="216"/>
        <v>0</v>
      </c>
      <c r="X445" s="1017">
        <f t="shared" si="216"/>
        <v>95000</v>
      </c>
      <c r="Y445" s="1017">
        <f t="shared" si="216"/>
        <v>95000</v>
      </c>
      <c r="Z445" s="1017">
        <f t="shared" si="215"/>
        <v>13700</v>
      </c>
      <c r="AA445" s="1017">
        <f t="shared" si="215"/>
        <v>13700</v>
      </c>
      <c r="AB445" s="1017">
        <f t="shared" si="215"/>
        <v>16337</v>
      </c>
      <c r="AC445" s="1017">
        <f t="shared" si="215"/>
        <v>16337</v>
      </c>
      <c r="AD445" s="1016">
        <v>80000</v>
      </c>
      <c r="AE445" s="1016">
        <v>80000</v>
      </c>
      <c r="AF445" s="1016">
        <v>80000</v>
      </c>
      <c r="AG445" s="1016">
        <v>80000</v>
      </c>
      <c r="AH445" s="1016">
        <v>80000</v>
      </c>
      <c r="AI445" s="1016">
        <v>80000</v>
      </c>
      <c r="AJ445" s="1016">
        <v>80000</v>
      </c>
      <c r="AK445" s="1016">
        <v>80000</v>
      </c>
      <c r="AL445" s="59"/>
      <c r="AM445" s="1009">
        <f t="shared" si="188"/>
        <v>1</v>
      </c>
      <c r="AN445" s="1009">
        <f t="shared" si="189"/>
        <v>1</v>
      </c>
      <c r="AO445" s="144">
        <f t="shared" si="200"/>
        <v>1</v>
      </c>
    </row>
    <row r="446" spans="1:41" ht="51.75" hidden="1" x14ac:dyDescent="0.25">
      <c r="A446" s="50" t="s">
        <v>87</v>
      </c>
      <c r="B446" s="50"/>
      <c r="C446" s="51" t="s">
        <v>88</v>
      </c>
      <c r="D446" s="57"/>
      <c r="E446" s="57"/>
      <c r="F446" s="57"/>
      <c r="G446" s="57"/>
      <c r="H446" s="1017">
        <f>SUM(H447:H459)</f>
        <v>111318</v>
      </c>
      <c r="I446" s="1017">
        <f t="shared" ref="I446:Y446" si="217">SUM(I447:I459)</f>
        <v>111318</v>
      </c>
      <c r="J446" s="1017">
        <f t="shared" si="217"/>
        <v>0</v>
      </c>
      <c r="K446" s="1017">
        <f t="shared" si="217"/>
        <v>0</v>
      </c>
      <c r="L446" s="1017">
        <f t="shared" si="217"/>
        <v>0</v>
      </c>
      <c r="M446" s="1017">
        <f t="shared" si="217"/>
        <v>0</v>
      </c>
      <c r="N446" s="1017">
        <f t="shared" si="217"/>
        <v>80000</v>
      </c>
      <c r="O446" s="1017">
        <f t="shared" si="217"/>
        <v>80000</v>
      </c>
      <c r="P446" s="1017">
        <f t="shared" si="217"/>
        <v>80000</v>
      </c>
      <c r="Q446" s="1017">
        <f t="shared" si="217"/>
        <v>80000</v>
      </c>
      <c r="R446" s="1017">
        <f t="shared" si="217"/>
        <v>19540</v>
      </c>
      <c r="S446" s="1017">
        <f t="shared" si="217"/>
        <v>19540</v>
      </c>
      <c r="T446" s="1017">
        <f t="shared" si="217"/>
        <v>80000</v>
      </c>
      <c r="U446" s="1017">
        <f t="shared" si="217"/>
        <v>80000</v>
      </c>
      <c r="V446" s="1017">
        <f t="shared" si="217"/>
        <v>0</v>
      </c>
      <c r="W446" s="1017">
        <f t="shared" si="217"/>
        <v>0</v>
      </c>
      <c r="X446" s="1017">
        <f t="shared" si="217"/>
        <v>80000</v>
      </c>
      <c r="Y446" s="1017">
        <f t="shared" si="217"/>
        <v>80000</v>
      </c>
      <c r="Z446" s="1017">
        <f t="shared" ref="Z446:AC446" si="218">SUM(Z447:Z461)</f>
        <v>13700</v>
      </c>
      <c r="AA446" s="1017">
        <f t="shared" si="218"/>
        <v>13700</v>
      </c>
      <c r="AB446" s="1017">
        <f t="shared" si="218"/>
        <v>16337</v>
      </c>
      <c r="AC446" s="1017">
        <f t="shared" si="218"/>
        <v>16337</v>
      </c>
      <c r="AD446" s="1016">
        <v>80000</v>
      </c>
      <c r="AE446" s="1016">
        <v>80000</v>
      </c>
      <c r="AF446" s="1016">
        <v>80000</v>
      </c>
      <c r="AG446" s="1016">
        <v>80000</v>
      </c>
      <c r="AH446" s="1016">
        <v>80000</v>
      </c>
      <c r="AI446" s="1016">
        <v>80000</v>
      </c>
      <c r="AJ446" s="1016">
        <v>80000</v>
      </c>
      <c r="AK446" s="1016">
        <v>80000</v>
      </c>
      <c r="AL446" s="59"/>
      <c r="AM446" s="1009">
        <f t="shared" si="188"/>
        <v>0</v>
      </c>
      <c r="AN446" s="1009">
        <f t="shared" si="189"/>
        <v>1</v>
      </c>
      <c r="AO446" s="144">
        <f t="shared" si="200"/>
        <v>1</v>
      </c>
    </row>
    <row r="447" spans="1:41" ht="66" hidden="1" x14ac:dyDescent="0.25">
      <c r="A447" s="60">
        <v>1</v>
      </c>
      <c r="B447" s="60"/>
      <c r="C447" s="290" t="s">
        <v>1238</v>
      </c>
      <c r="D447" s="118" t="s">
        <v>1237</v>
      </c>
      <c r="E447" s="61" t="s">
        <v>1236</v>
      </c>
      <c r="F447" s="126" t="s">
        <v>97</v>
      </c>
      <c r="G447" s="118" t="s">
        <v>1235</v>
      </c>
      <c r="H447" s="75">
        <v>13296</v>
      </c>
      <c r="I447" s="75">
        <v>13296</v>
      </c>
      <c r="J447" s="282"/>
      <c r="K447" s="282"/>
      <c r="L447" s="282"/>
      <c r="M447" s="282"/>
      <c r="N447" s="68">
        <v>12000</v>
      </c>
      <c r="O447" s="63">
        <f t="shared" ref="O447:O457" si="219">N447</f>
        <v>12000</v>
      </c>
      <c r="P447" s="299">
        <f>Q447</f>
        <v>11040</v>
      </c>
      <c r="Q447" s="284">
        <v>11040</v>
      </c>
      <c r="R447" s="54"/>
      <c r="S447" s="54">
        <f>O447-U447</f>
        <v>960</v>
      </c>
      <c r="T447" s="462">
        <f>U447</f>
        <v>11040</v>
      </c>
      <c r="U447" s="488">
        <v>11040</v>
      </c>
      <c r="V447" s="54"/>
      <c r="W447" s="54"/>
      <c r="X447" s="462">
        <f>Y447</f>
        <v>11040</v>
      </c>
      <c r="Y447" s="488">
        <v>11040</v>
      </c>
      <c r="Z447" s="282">
        <f>AA447</f>
        <v>6400</v>
      </c>
      <c r="AA447" s="282">
        <v>6400</v>
      </c>
      <c r="AB447" s="282">
        <f>AC447</f>
        <v>3437</v>
      </c>
      <c r="AC447" s="282">
        <v>3437</v>
      </c>
      <c r="AD447" s="282"/>
      <c r="AE447" s="282"/>
      <c r="AF447" s="282"/>
      <c r="AG447" s="282"/>
      <c r="AH447" s="282"/>
      <c r="AI447" s="282"/>
      <c r="AJ447" s="282"/>
      <c r="AK447" s="282"/>
      <c r="AL447" s="69"/>
      <c r="AM447" s="1009">
        <f t="shared" si="188"/>
        <v>0</v>
      </c>
      <c r="AN447" s="1009">
        <f t="shared" si="189"/>
        <v>1</v>
      </c>
      <c r="AO447" s="144">
        <f t="shared" si="200"/>
        <v>1</v>
      </c>
    </row>
    <row r="448" spans="1:41" ht="66" hidden="1" x14ac:dyDescent="0.25">
      <c r="A448" s="60">
        <v>2</v>
      </c>
      <c r="B448" s="60"/>
      <c r="C448" s="290" t="s">
        <v>1234</v>
      </c>
      <c r="D448" s="118" t="s">
        <v>1233</v>
      </c>
      <c r="E448" s="1039" t="s">
        <v>1232</v>
      </c>
      <c r="F448" s="126" t="s">
        <v>97</v>
      </c>
      <c r="G448" s="118" t="s">
        <v>1231</v>
      </c>
      <c r="H448" s="75">
        <v>8514</v>
      </c>
      <c r="I448" s="75">
        <v>8514</v>
      </c>
      <c r="J448" s="282"/>
      <c r="K448" s="282"/>
      <c r="L448" s="282"/>
      <c r="M448" s="282"/>
      <c r="N448" s="68">
        <v>6470</v>
      </c>
      <c r="O448" s="63">
        <f t="shared" si="219"/>
        <v>6470</v>
      </c>
      <c r="P448" s="299">
        <f>Q448</f>
        <v>7160</v>
      </c>
      <c r="Q448" s="284">
        <v>7160</v>
      </c>
      <c r="R448" s="54">
        <f>U448-O448</f>
        <v>690</v>
      </c>
      <c r="S448" s="54"/>
      <c r="T448" s="462">
        <f>U448</f>
        <v>7160</v>
      </c>
      <c r="U448" s="488">
        <v>7160</v>
      </c>
      <c r="V448" s="54"/>
      <c r="W448" s="54"/>
      <c r="X448" s="462">
        <f>Y448</f>
        <v>7160</v>
      </c>
      <c r="Y448" s="488">
        <v>7160</v>
      </c>
      <c r="Z448" s="282">
        <f>AA448</f>
        <v>5300</v>
      </c>
      <c r="AA448" s="282">
        <v>5300</v>
      </c>
      <c r="AB448" s="282">
        <f>AC448</f>
        <v>1100</v>
      </c>
      <c r="AC448" s="282">
        <v>1100</v>
      </c>
      <c r="AD448" s="282"/>
      <c r="AE448" s="282"/>
      <c r="AF448" s="282"/>
      <c r="AG448" s="282"/>
      <c r="AH448" s="282"/>
      <c r="AI448" s="282"/>
      <c r="AJ448" s="282"/>
      <c r="AK448" s="282"/>
      <c r="AL448" s="69"/>
      <c r="AM448" s="1009">
        <f t="shared" si="188"/>
        <v>0</v>
      </c>
      <c r="AN448" s="1009">
        <f t="shared" si="189"/>
        <v>1</v>
      </c>
      <c r="AO448" s="144">
        <f t="shared" si="200"/>
        <v>1</v>
      </c>
    </row>
    <row r="449" spans="1:42" ht="49.5" hidden="1" x14ac:dyDescent="0.25">
      <c r="A449" s="60">
        <v>3</v>
      </c>
      <c r="B449" s="60"/>
      <c r="C449" s="91" t="s">
        <v>1230</v>
      </c>
      <c r="D449" s="118" t="s">
        <v>1202</v>
      </c>
      <c r="E449" s="126" t="s">
        <v>1229</v>
      </c>
      <c r="F449" s="1125" t="s">
        <v>1073</v>
      </c>
      <c r="G449" s="118" t="s">
        <v>1228</v>
      </c>
      <c r="H449" s="68">
        <v>3137</v>
      </c>
      <c r="I449" s="68">
        <v>3137</v>
      </c>
      <c r="J449" s="282"/>
      <c r="K449" s="282"/>
      <c r="L449" s="282"/>
      <c r="M449" s="282"/>
      <c r="N449" s="68">
        <v>2860</v>
      </c>
      <c r="O449" s="63">
        <f t="shared" si="219"/>
        <v>2860</v>
      </c>
      <c r="P449" s="299">
        <f>Q449</f>
        <v>2700</v>
      </c>
      <c r="Q449" s="284">
        <v>2700</v>
      </c>
      <c r="R449" s="54"/>
      <c r="S449" s="54">
        <f t="shared" ref="S449:S454" si="220">O449-U449</f>
        <v>160</v>
      </c>
      <c r="T449" s="462">
        <f>U449</f>
        <v>2700</v>
      </c>
      <c r="U449" s="488">
        <v>2700</v>
      </c>
      <c r="V449" s="54"/>
      <c r="W449" s="54"/>
      <c r="X449" s="462">
        <f>Y449</f>
        <v>2700</v>
      </c>
      <c r="Y449" s="488">
        <v>2700</v>
      </c>
      <c r="Z449" s="282">
        <f>AA449</f>
        <v>2000</v>
      </c>
      <c r="AA449" s="282">
        <v>2000</v>
      </c>
      <c r="AB449" s="282">
        <f>AC449</f>
        <v>630</v>
      </c>
      <c r="AC449" s="282">
        <v>630</v>
      </c>
      <c r="AD449" s="282"/>
      <c r="AE449" s="282"/>
      <c r="AF449" s="282"/>
      <c r="AG449" s="282"/>
      <c r="AH449" s="282"/>
      <c r="AI449" s="282"/>
      <c r="AJ449" s="282"/>
      <c r="AK449" s="282"/>
      <c r="AL449" s="69"/>
      <c r="AM449" s="1009">
        <f t="shared" si="188"/>
        <v>0</v>
      </c>
      <c r="AN449" s="1009">
        <f t="shared" si="189"/>
        <v>1</v>
      </c>
      <c r="AO449" s="144">
        <f t="shared" si="200"/>
        <v>1</v>
      </c>
    </row>
    <row r="450" spans="1:42" s="1354" customFormat="1" ht="33" hidden="1" x14ac:dyDescent="0.25">
      <c r="A450" s="60">
        <v>4</v>
      </c>
      <c r="B450" s="60"/>
      <c r="C450" s="1038" t="s">
        <v>1227</v>
      </c>
      <c r="D450" s="61" t="s">
        <v>1226</v>
      </c>
      <c r="E450" s="1039" t="s">
        <v>1225</v>
      </c>
      <c r="F450" s="70">
        <v>2017</v>
      </c>
      <c r="G450" s="96"/>
      <c r="H450" s="1126">
        <v>639</v>
      </c>
      <c r="I450" s="1126">
        <v>639</v>
      </c>
      <c r="J450" s="1057"/>
      <c r="K450" s="1057"/>
      <c r="L450" s="1057"/>
      <c r="M450" s="1057"/>
      <c r="N450" s="1127">
        <v>570</v>
      </c>
      <c r="O450" s="1057">
        <f t="shared" si="219"/>
        <v>570</v>
      </c>
      <c r="P450" s="284"/>
      <c r="Q450" s="284"/>
      <c r="R450" s="54"/>
      <c r="S450" s="54">
        <f t="shared" si="220"/>
        <v>570</v>
      </c>
      <c r="T450" s="1128"/>
      <c r="U450" s="1128"/>
      <c r="V450" s="54"/>
      <c r="W450" s="54"/>
      <c r="X450" s="1128"/>
      <c r="Y450" s="1128"/>
      <c r="Z450" s="1057"/>
      <c r="AA450" s="1057"/>
      <c r="AB450" s="1057"/>
      <c r="AC450" s="1057"/>
      <c r="AD450" s="282"/>
      <c r="AE450" s="282"/>
      <c r="AF450" s="282"/>
      <c r="AG450" s="282"/>
      <c r="AH450" s="282"/>
      <c r="AI450" s="282"/>
      <c r="AJ450" s="282"/>
      <c r="AK450" s="282"/>
      <c r="AL450" s="25"/>
      <c r="AM450" s="1009">
        <f t="shared" si="188"/>
        <v>0</v>
      </c>
      <c r="AN450" s="1009">
        <f t="shared" si="189"/>
        <v>0</v>
      </c>
      <c r="AO450" s="144">
        <f t="shared" si="200"/>
        <v>1</v>
      </c>
    </row>
    <row r="451" spans="1:42" ht="49.5" hidden="1" x14ac:dyDescent="0.25">
      <c r="A451" s="60">
        <v>5</v>
      </c>
      <c r="B451" s="60"/>
      <c r="C451" s="1038" t="s">
        <v>1224</v>
      </c>
      <c r="D451" s="61"/>
      <c r="E451" s="1039" t="s">
        <v>1223</v>
      </c>
      <c r="F451" s="70">
        <v>2017</v>
      </c>
      <c r="G451" s="96"/>
      <c r="H451" s="1129">
        <v>14979</v>
      </c>
      <c r="I451" s="1129">
        <v>14979</v>
      </c>
      <c r="J451" s="1028"/>
      <c r="K451" s="1028"/>
      <c r="L451" s="1028"/>
      <c r="M451" s="1028"/>
      <c r="N451" s="68">
        <v>14260</v>
      </c>
      <c r="O451" s="63">
        <f t="shared" si="219"/>
        <v>14260</v>
      </c>
      <c r="P451" s="1041">
        <f>Q451</f>
        <v>12750</v>
      </c>
      <c r="Q451" s="1041">
        <v>12750</v>
      </c>
      <c r="R451" s="54"/>
      <c r="S451" s="54">
        <f t="shared" si="220"/>
        <v>1510</v>
      </c>
      <c r="T451" s="1095">
        <f>U451</f>
        <v>12750</v>
      </c>
      <c r="U451" s="1095">
        <v>12750</v>
      </c>
      <c r="V451" s="54"/>
      <c r="W451" s="54"/>
      <c r="X451" s="1095">
        <f>Y451</f>
        <v>12750</v>
      </c>
      <c r="Y451" s="1095">
        <v>12750</v>
      </c>
      <c r="Z451" s="288"/>
      <c r="AA451" s="288"/>
      <c r="AB451" s="288"/>
      <c r="AC451" s="288"/>
      <c r="AD451" s="288"/>
      <c r="AE451" s="288"/>
      <c r="AF451" s="288"/>
      <c r="AG451" s="288"/>
      <c r="AH451" s="288"/>
      <c r="AI451" s="288"/>
      <c r="AJ451" s="288"/>
      <c r="AK451" s="288"/>
      <c r="AL451" s="27"/>
      <c r="AM451" s="1009">
        <f t="shared" si="188"/>
        <v>0</v>
      </c>
      <c r="AN451" s="1009">
        <f t="shared" si="189"/>
        <v>1</v>
      </c>
      <c r="AO451" s="144">
        <f t="shared" si="200"/>
        <v>1</v>
      </c>
    </row>
    <row r="452" spans="1:42" ht="49.5" hidden="1" x14ac:dyDescent="0.25">
      <c r="A452" s="60">
        <v>6</v>
      </c>
      <c r="B452" s="60"/>
      <c r="C452" s="1038" t="s">
        <v>1222</v>
      </c>
      <c r="D452" s="118" t="s">
        <v>1202</v>
      </c>
      <c r="E452" s="1039" t="s">
        <v>1221</v>
      </c>
      <c r="F452" s="70">
        <v>2017</v>
      </c>
      <c r="G452" s="96"/>
      <c r="H452" s="1129">
        <v>5808</v>
      </c>
      <c r="I452" s="1129">
        <v>5808</v>
      </c>
      <c r="J452" s="1017"/>
      <c r="K452" s="1017"/>
      <c r="L452" s="1017"/>
      <c r="M452" s="1017"/>
      <c r="N452" s="68">
        <v>4930</v>
      </c>
      <c r="O452" s="63">
        <f t="shared" si="219"/>
        <v>4930</v>
      </c>
      <c r="P452" s="1041"/>
      <c r="Q452" s="1041"/>
      <c r="R452" s="54"/>
      <c r="S452" s="54">
        <f t="shared" si="220"/>
        <v>4930</v>
      </c>
      <c r="T452" s="1095"/>
      <c r="U452" s="1095"/>
      <c r="V452" s="54"/>
      <c r="W452" s="54"/>
      <c r="X452" s="1095"/>
      <c r="Y452" s="1095"/>
      <c r="Z452" s="288"/>
      <c r="AA452" s="288"/>
      <c r="AB452" s="288"/>
      <c r="AC452" s="288"/>
      <c r="AD452" s="288"/>
      <c r="AE452" s="288"/>
      <c r="AF452" s="288"/>
      <c r="AG452" s="288"/>
      <c r="AH452" s="288"/>
      <c r="AI452" s="288"/>
      <c r="AJ452" s="288"/>
      <c r="AK452" s="288"/>
      <c r="AL452" s="25"/>
      <c r="AM452" s="1009">
        <f t="shared" si="188"/>
        <v>0</v>
      </c>
      <c r="AN452" s="1009">
        <f t="shared" si="189"/>
        <v>0</v>
      </c>
      <c r="AO452" s="144">
        <f t="shared" si="200"/>
        <v>1</v>
      </c>
    </row>
    <row r="453" spans="1:42" ht="33" hidden="1" x14ac:dyDescent="0.25">
      <c r="A453" s="60">
        <v>7</v>
      </c>
      <c r="B453" s="60"/>
      <c r="C453" s="1038" t="s">
        <v>1220</v>
      </c>
      <c r="D453" s="96"/>
      <c r="E453" s="1039" t="s">
        <v>1219</v>
      </c>
      <c r="F453" s="70" t="s">
        <v>116</v>
      </c>
      <c r="G453" s="96"/>
      <c r="H453" s="1129">
        <v>6229</v>
      </c>
      <c r="I453" s="1129">
        <v>6229</v>
      </c>
      <c r="J453" s="1017"/>
      <c r="K453" s="1017"/>
      <c r="L453" s="1017"/>
      <c r="M453" s="1017"/>
      <c r="N453" s="68">
        <v>5340</v>
      </c>
      <c r="O453" s="63">
        <f t="shared" si="219"/>
        <v>5340</v>
      </c>
      <c r="P453" s="1041">
        <f>Q453</f>
        <v>5300</v>
      </c>
      <c r="Q453" s="1041">
        <v>5300</v>
      </c>
      <c r="R453" s="54"/>
      <c r="S453" s="54">
        <f t="shared" si="220"/>
        <v>40</v>
      </c>
      <c r="T453" s="1095">
        <f>U453</f>
        <v>5300</v>
      </c>
      <c r="U453" s="1095">
        <v>5300</v>
      </c>
      <c r="V453" s="54"/>
      <c r="W453" s="54"/>
      <c r="X453" s="1095">
        <f>Y453</f>
        <v>5300</v>
      </c>
      <c r="Y453" s="1095">
        <v>5300</v>
      </c>
      <c r="Z453" s="1017"/>
      <c r="AA453" s="1017"/>
      <c r="AB453" s="54">
        <f>AC453</f>
        <v>3325</v>
      </c>
      <c r="AC453" s="54">
        <v>3325</v>
      </c>
      <c r="AD453" s="1017"/>
      <c r="AE453" s="1017"/>
      <c r="AF453" s="1017"/>
      <c r="AG453" s="1017"/>
      <c r="AH453" s="1017"/>
      <c r="AI453" s="1017"/>
      <c r="AJ453" s="1017"/>
      <c r="AK453" s="1017"/>
      <c r="AL453" s="59"/>
      <c r="AM453" s="1009">
        <f t="shared" si="188"/>
        <v>0</v>
      </c>
      <c r="AN453" s="1009">
        <f t="shared" si="189"/>
        <v>1</v>
      </c>
      <c r="AO453" s="144">
        <f t="shared" si="200"/>
        <v>1</v>
      </c>
    </row>
    <row r="454" spans="1:42" ht="82.5" hidden="1" x14ac:dyDescent="0.25">
      <c r="A454" s="60">
        <v>8</v>
      </c>
      <c r="B454" s="60"/>
      <c r="C454" s="1038" t="s">
        <v>1218</v>
      </c>
      <c r="D454" s="118" t="s">
        <v>1202</v>
      </c>
      <c r="E454" s="1039" t="s">
        <v>1217</v>
      </c>
      <c r="F454" s="70" t="s">
        <v>116</v>
      </c>
      <c r="G454" s="96"/>
      <c r="H454" s="1129">
        <v>14989</v>
      </c>
      <c r="I454" s="1129">
        <v>14989</v>
      </c>
      <c r="J454" s="1020"/>
      <c r="K454" s="1020"/>
      <c r="L454" s="1020"/>
      <c r="M454" s="1020"/>
      <c r="N454" s="68">
        <v>14120</v>
      </c>
      <c r="O454" s="63">
        <f t="shared" si="219"/>
        <v>14120</v>
      </c>
      <c r="P454" s="1048">
        <f>Q454</f>
        <v>13200</v>
      </c>
      <c r="Q454" s="1048">
        <v>13200</v>
      </c>
      <c r="R454" s="54"/>
      <c r="S454" s="54">
        <f t="shared" si="220"/>
        <v>920</v>
      </c>
      <c r="T454" s="1098">
        <f>U454</f>
        <v>13200</v>
      </c>
      <c r="U454" s="1098">
        <v>13200</v>
      </c>
      <c r="V454" s="54"/>
      <c r="W454" s="54"/>
      <c r="X454" s="1098">
        <f>Y454</f>
        <v>13200</v>
      </c>
      <c r="Y454" s="1098">
        <v>13200</v>
      </c>
      <c r="Z454" s="1020"/>
      <c r="AA454" s="1020"/>
      <c r="AB454" s="54">
        <f>AC454</f>
        <v>7845</v>
      </c>
      <c r="AC454" s="54">
        <v>7845</v>
      </c>
      <c r="AD454" s="1020"/>
      <c r="AE454" s="1020"/>
      <c r="AF454" s="1020"/>
      <c r="AG454" s="1020"/>
      <c r="AH454" s="1020"/>
      <c r="AI454" s="1020"/>
      <c r="AJ454" s="1020"/>
      <c r="AK454" s="1020"/>
      <c r="AL454" s="55"/>
      <c r="AM454" s="1009">
        <f t="shared" si="188"/>
        <v>0</v>
      </c>
      <c r="AN454" s="1009">
        <f t="shared" si="189"/>
        <v>1</v>
      </c>
      <c r="AO454" s="144">
        <f t="shared" si="200"/>
        <v>1</v>
      </c>
    </row>
    <row r="455" spans="1:42" ht="49.5" hidden="1" x14ac:dyDescent="0.25">
      <c r="A455" s="60">
        <v>9</v>
      </c>
      <c r="B455" s="60"/>
      <c r="C455" s="91" t="s">
        <v>1216</v>
      </c>
      <c r="D455" s="61" t="s">
        <v>1215</v>
      </c>
      <c r="E455" s="61" t="s">
        <v>1214</v>
      </c>
      <c r="F455" s="25" t="s">
        <v>290</v>
      </c>
      <c r="G455" s="1130" t="s">
        <v>1213</v>
      </c>
      <c r="H455" s="1027">
        <f>I455</f>
        <v>14034</v>
      </c>
      <c r="I455" s="1027">
        <v>14034</v>
      </c>
      <c r="J455" s="1017"/>
      <c r="K455" s="1017"/>
      <c r="L455" s="1017"/>
      <c r="M455" s="1017"/>
      <c r="N455" s="68">
        <v>9000</v>
      </c>
      <c r="O455" s="63">
        <f t="shared" si="219"/>
        <v>9000</v>
      </c>
      <c r="P455" s="1048">
        <f>Q455</f>
        <v>11700</v>
      </c>
      <c r="Q455" s="1048">
        <v>11700</v>
      </c>
      <c r="R455" s="54">
        <f>U455-O455</f>
        <v>2700</v>
      </c>
      <c r="S455" s="54"/>
      <c r="T455" s="1098">
        <f>U455</f>
        <v>11700</v>
      </c>
      <c r="U455" s="1098">
        <v>11700</v>
      </c>
      <c r="V455" s="54"/>
      <c r="W455" s="54"/>
      <c r="X455" s="1098">
        <f>Y455</f>
        <v>11700</v>
      </c>
      <c r="Y455" s="1098">
        <v>11700</v>
      </c>
      <c r="Z455" s="1017"/>
      <c r="AA455" s="1017"/>
      <c r="AB455" s="1017"/>
      <c r="AC455" s="1017"/>
      <c r="AD455" s="1017"/>
      <c r="AE455" s="1017"/>
      <c r="AF455" s="1017"/>
      <c r="AG455" s="1017"/>
      <c r="AH455" s="1017"/>
      <c r="AI455" s="1017"/>
      <c r="AJ455" s="1017"/>
      <c r="AK455" s="1017"/>
      <c r="AL455" s="1107"/>
      <c r="AM455" s="1009">
        <f t="shared" si="188"/>
        <v>0</v>
      </c>
      <c r="AN455" s="1009">
        <f t="shared" si="189"/>
        <v>1</v>
      </c>
      <c r="AO455" s="144">
        <f t="shared" si="200"/>
        <v>1</v>
      </c>
    </row>
    <row r="456" spans="1:42" ht="37.5" hidden="1" customHeight="1" x14ac:dyDescent="0.25">
      <c r="A456" s="60">
        <v>10</v>
      </c>
      <c r="B456" s="60"/>
      <c r="C456" s="91" t="s">
        <v>1211</v>
      </c>
      <c r="D456" s="61"/>
      <c r="E456" s="1039" t="s">
        <v>1210</v>
      </c>
      <c r="F456" s="25" t="s">
        <v>290</v>
      </c>
      <c r="G456" s="96"/>
      <c r="H456" s="288">
        <v>10000</v>
      </c>
      <c r="I456" s="288">
        <v>10000</v>
      </c>
      <c r="J456" s="282"/>
      <c r="K456" s="124"/>
      <c r="L456" s="282"/>
      <c r="M456" s="124"/>
      <c r="N456" s="68">
        <v>9500</v>
      </c>
      <c r="O456" s="63">
        <f t="shared" si="219"/>
        <v>9500</v>
      </c>
      <c r="P456" s="1048"/>
      <c r="Q456" s="1048"/>
      <c r="R456" s="54"/>
      <c r="S456" s="54">
        <f>O456-U456</f>
        <v>9500</v>
      </c>
      <c r="T456" s="1098"/>
      <c r="U456" s="1098"/>
      <c r="V456" s="54"/>
      <c r="W456" s="54"/>
      <c r="X456" s="1098"/>
      <c r="Y456" s="1098"/>
      <c r="Z456" s="282"/>
      <c r="AA456" s="282"/>
      <c r="AB456" s="282"/>
      <c r="AC456" s="282"/>
      <c r="AD456" s="282"/>
      <c r="AE456" s="282"/>
      <c r="AF456" s="282"/>
      <c r="AG456" s="282"/>
      <c r="AH456" s="282"/>
      <c r="AI456" s="282"/>
      <c r="AJ456" s="282"/>
      <c r="AK456" s="282"/>
      <c r="AL456" s="25"/>
      <c r="AM456" s="1009">
        <f t="shared" si="188"/>
        <v>0</v>
      </c>
      <c r="AN456" s="1009">
        <f t="shared" si="189"/>
        <v>0</v>
      </c>
      <c r="AO456" s="144">
        <f t="shared" si="200"/>
        <v>1</v>
      </c>
    </row>
    <row r="457" spans="1:42" ht="51" hidden="1" customHeight="1" x14ac:dyDescent="0.25">
      <c r="A457" s="60">
        <v>11</v>
      </c>
      <c r="B457" s="60"/>
      <c r="C457" s="91" t="s">
        <v>1209</v>
      </c>
      <c r="D457" s="61"/>
      <c r="E457" s="1039" t="s">
        <v>1208</v>
      </c>
      <c r="F457" s="25">
        <v>2020</v>
      </c>
      <c r="G457" s="96"/>
      <c r="H457" s="288">
        <v>1000</v>
      </c>
      <c r="I457" s="288">
        <v>1000</v>
      </c>
      <c r="J457" s="282"/>
      <c r="K457" s="1027"/>
      <c r="L457" s="282"/>
      <c r="M457" s="1027"/>
      <c r="N457" s="68">
        <v>950</v>
      </c>
      <c r="O457" s="63">
        <f t="shared" si="219"/>
        <v>950</v>
      </c>
      <c r="P457" s="1048"/>
      <c r="Q457" s="1048"/>
      <c r="R457" s="54"/>
      <c r="S457" s="54">
        <f>O457-U457</f>
        <v>950</v>
      </c>
      <c r="T457" s="1098"/>
      <c r="U457" s="1098"/>
      <c r="V457" s="54"/>
      <c r="W457" s="54"/>
      <c r="X457" s="1098"/>
      <c r="Y457" s="1098"/>
      <c r="Z457" s="282"/>
      <c r="AA457" s="282"/>
      <c r="AB457" s="282"/>
      <c r="AC457" s="282"/>
      <c r="AD457" s="282"/>
      <c r="AE457" s="282"/>
      <c r="AF457" s="282"/>
      <c r="AG457" s="282"/>
      <c r="AH457" s="282"/>
      <c r="AI457" s="282"/>
      <c r="AJ457" s="282"/>
      <c r="AK457" s="282"/>
      <c r="AL457" s="25"/>
      <c r="AM457" s="1009">
        <f t="shared" si="188"/>
        <v>0</v>
      </c>
      <c r="AN457" s="1009">
        <f t="shared" si="189"/>
        <v>0</v>
      </c>
      <c r="AO457" s="144">
        <f t="shared" si="200"/>
        <v>1</v>
      </c>
    </row>
    <row r="458" spans="1:42" ht="78" hidden="1" customHeight="1" x14ac:dyDescent="0.25">
      <c r="A458" s="60">
        <v>12</v>
      </c>
      <c r="B458" s="60"/>
      <c r="C458" s="9" t="s">
        <v>1207</v>
      </c>
      <c r="D458" s="61" t="s">
        <v>1206</v>
      </c>
      <c r="E458" s="1039" t="s">
        <v>1205</v>
      </c>
      <c r="F458" s="25" t="s">
        <v>116</v>
      </c>
      <c r="G458" s="1130" t="s">
        <v>1204</v>
      </c>
      <c r="H458" s="288">
        <f>I458</f>
        <v>3944</v>
      </c>
      <c r="I458" s="288">
        <v>3944</v>
      </c>
      <c r="J458" s="282"/>
      <c r="K458" s="1027"/>
      <c r="L458" s="282"/>
      <c r="M458" s="1027"/>
      <c r="N458" s="68"/>
      <c r="O458" s="63"/>
      <c r="P458" s="1048">
        <f>Q458</f>
        <v>3550</v>
      </c>
      <c r="Q458" s="1048">
        <v>3550</v>
      </c>
      <c r="R458" s="54">
        <f>U458-O458</f>
        <v>3550</v>
      </c>
      <c r="S458" s="54"/>
      <c r="T458" s="1098">
        <f>U458</f>
        <v>3550</v>
      </c>
      <c r="U458" s="1098">
        <v>3550</v>
      </c>
      <c r="V458" s="54"/>
      <c r="W458" s="54"/>
      <c r="X458" s="1098">
        <f>Y458</f>
        <v>3550</v>
      </c>
      <c r="Y458" s="1098">
        <v>3550</v>
      </c>
      <c r="Z458" s="282"/>
      <c r="AA458" s="282"/>
      <c r="AB458" s="282"/>
      <c r="AC458" s="282"/>
      <c r="AD458" s="282"/>
      <c r="AE458" s="282"/>
      <c r="AF458" s="282"/>
      <c r="AG458" s="282"/>
      <c r="AH458" s="282"/>
      <c r="AI458" s="282"/>
      <c r="AJ458" s="282"/>
      <c r="AK458" s="282"/>
      <c r="AL458" s="25"/>
      <c r="AM458" s="1009">
        <f t="shared" si="188"/>
        <v>0</v>
      </c>
      <c r="AN458" s="1009">
        <f t="shared" si="189"/>
        <v>1</v>
      </c>
      <c r="AO458" s="144">
        <f t="shared" si="200"/>
        <v>1</v>
      </c>
    </row>
    <row r="459" spans="1:42" ht="64.5" hidden="1" customHeight="1" x14ac:dyDescent="0.25">
      <c r="A459" s="60">
        <v>13</v>
      </c>
      <c r="B459" s="60"/>
      <c r="C459" s="9" t="s">
        <v>1203</v>
      </c>
      <c r="D459" s="61" t="s">
        <v>1202</v>
      </c>
      <c r="E459" s="1039" t="s">
        <v>1201</v>
      </c>
      <c r="F459" s="25" t="s">
        <v>290</v>
      </c>
      <c r="G459" s="96"/>
      <c r="H459" s="288">
        <v>14749</v>
      </c>
      <c r="I459" s="288">
        <v>14749</v>
      </c>
      <c r="J459" s="282"/>
      <c r="K459" s="1027"/>
      <c r="L459" s="282"/>
      <c r="M459" s="1027"/>
      <c r="N459" s="68"/>
      <c r="O459" s="63"/>
      <c r="P459" s="1048">
        <f>Q459</f>
        <v>12600</v>
      </c>
      <c r="Q459" s="1048">
        <v>12600</v>
      </c>
      <c r="R459" s="54">
        <f>U459-O459</f>
        <v>12600</v>
      </c>
      <c r="S459" s="54"/>
      <c r="T459" s="1098">
        <f>U459</f>
        <v>12600</v>
      </c>
      <c r="U459" s="1098">
        <v>12600</v>
      </c>
      <c r="V459" s="54"/>
      <c r="W459" s="54"/>
      <c r="X459" s="1098">
        <f>Y459</f>
        <v>12600</v>
      </c>
      <c r="Y459" s="1098">
        <v>12600</v>
      </c>
      <c r="Z459" s="282"/>
      <c r="AA459" s="282"/>
      <c r="AB459" s="282"/>
      <c r="AC459" s="282"/>
      <c r="AD459" s="282"/>
      <c r="AE459" s="282"/>
      <c r="AF459" s="282"/>
      <c r="AG459" s="282"/>
      <c r="AH459" s="282"/>
      <c r="AI459" s="282"/>
      <c r="AJ459" s="282"/>
      <c r="AK459" s="282"/>
      <c r="AL459" s="25"/>
      <c r="AM459" s="1009">
        <f t="shared" ref="AM459" si="221">IF(Y459-U459=0,0,1)</f>
        <v>0</v>
      </c>
      <c r="AN459" s="1009">
        <f t="shared" ref="AN459" si="222">IF(Y459=0,0,1)</f>
        <v>1</v>
      </c>
      <c r="AO459" s="144">
        <f t="shared" si="200"/>
        <v>1</v>
      </c>
    </row>
    <row r="460" spans="1:42" ht="34.5" hidden="1" x14ac:dyDescent="0.25">
      <c r="A460" s="57" t="s">
        <v>47</v>
      </c>
      <c r="B460" s="57"/>
      <c r="C460" s="51" t="s">
        <v>1011</v>
      </c>
      <c r="D460" s="61"/>
      <c r="E460" s="1039"/>
      <c r="F460" s="25"/>
      <c r="G460" s="96"/>
      <c r="H460" s="1284">
        <f>H461</f>
        <v>21627</v>
      </c>
      <c r="I460" s="1284">
        <f>I461</f>
        <v>21627</v>
      </c>
      <c r="J460" s="1285"/>
      <c r="K460" s="1286"/>
      <c r="L460" s="1285"/>
      <c r="M460" s="1286"/>
      <c r="N460" s="1287"/>
      <c r="O460" s="1288"/>
      <c r="P460" s="1289"/>
      <c r="Q460" s="1289"/>
      <c r="R460" s="1218"/>
      <c r="S460" s="1218"/>
      <c r="T460" s="1290"/>
      <c r="U460" s="1290"/>
      <c r="V460" s="1284">
        <f>V461</f>
        <v>15000</v>
      </c>
      <c r="W460" s="1218"/>
      <c r="X460" s="1284">
        <f t="shared" ref="X460:Y460" si="223">X461</f>
        <v>15000</v>
      </c>
      <c r="Y460" s="1284">
        <f t="shared" si="223"/>
        <v>15000</v>
      </c>
      <c r="Z460" s="282"/>
      <c r="AA460" s="282"/>
      <c r="AB460" s="282"/>
      <c r="AC460" s="282"/>
      <c r="AD460" s="282"/>
      <c r="AE460" s="282"/>
      <c r="AF460" s="282"/>
      <c r="AG460" s="282"/>
      <c r="AH460" s="282"/>
      <c r="AI460" s="282"/>
      <c r="AJ460" s="282"/>
      <c r="AK460" s="282"/>
      <c r="AL460" s="25"/>
      <c r="AM460" s="1009"/>
      <c r="AN460" s="1009"/>
      <c r="AO460" s="144">
        <f t="shared" si="200"/>
        <v>1</v>
      </c>
    </row>
    <row r="461" spans="1:42" s="1323" customFormat="1" ht="62.25" hidden="1" customHeight="1" x14ac:dyDescent="0.25">
      <c r="A461" s="152">
        <v>14</v>
      </c>
      <c r="B461" s="152">
        <v>1</v>
      </c>
      <c r="C461" s="153" t="s">
        <v>2155</v>
      </c>
      <c r="D461" s="1" t="s">
        <v>1206</v>
      </c>
      <c r="E461" s="335" t="s">
        <v>398</v>
      </c>
      <c r="F461" s="1" t="s">
        <v>168</v>
      </c>
      <c r="G461" s="424" t="s">
        <v>2583</v>
      </c>
      <c r="H461" s="332">
        <f>I461</f>
        <v>21627</v>
      </c>
      <c r="I461" s="332">
        <v>21627</v>
      </c>
      <c r="J461" s="244"/>
      <c r="K461" s="331"/>
      <c r="L461" s="244"/>
      <c r="M461" s="331"/>
      <c r="N461" s="4"/>
      <c r="O461" s="3"/>
      <c r="P461" s="330">
        <f>Q461</f>
        <v>12600</v>
      </c>
      <c r="Q461" s="330">
        <v>12600</v>
      </c>
      <c r="R461" s="8">
        <f>U461-O461</f>
        <v>0</v>
      </c>
      <c r="S461" s="8"/>
      <c r="T461" s="483"/>
      <c r="U461" s="483"/>
      <c r="V461" s="8">
        <v>15000</v>
      </c>
      <c r="W461" s="8"/>
      <c r="X461" s="483">
        <f>Y461</f>
        <v>15000</v>
      </c>
      <c r="Y461" s="483">
        <v>15000</v>
      </c>
      <c r="Z461" s="244"/>
      <c r="AA461" s="244"/>
      <c r="AB461" s="244"/>
      <c r="AC461" s="244"/>
      <c r="AD461" s="244"/>
      <c r="AE461" s="244"/>
      <c r="AF461" s="244"/>
      <c r="AG461" s="244"/>
      <c r="AH461" s="244"/>
      <c r="AI461" s="244"/>
      <c r="AJ461" s="244"/>
      <c r="AK461" s="244"/>
      <c r="AL461" s="334" t="s">
        <v>980</v>
      </c>
      <c r="AM461" s="933">
        <f t="shared" si="188"/>
        <v>1</v>
      </c>
      <c r="AN461" s="933">
        <f t="shared" si="189"/>
        <v>1</v>
      </c>
      <c r="AO461" s="1333">
        <f t="shared" si="200"/>
        <v>1</v>
      </c>
    </row>
    <row r="462" spans="1:42" ht="24" customHeight="1" x14ac:dyDescent="0.25">
      <c r="A462" s="23" t="s">
        <v>333</v>
      </c>
      <c r="B462" s="23"/>
      <c r="C462" s="1352" t="s">
        <v>1200</v>
      </c>
      <c r="D462" s="96"/>
      <c r="E462" s="1349"/>
      <c r="F462" s="1349"/>
      <c r="G462" s="1349"/>
      <c r="H462" s="1215">
        <f>H470</f>
        <v>163614</v>
      </c>
      <c r="I462" s="1215">
        <f>I463+I470</f>
        <v>209580</v>
      </c>
      <c r="J462" s="1215">
        <f t="shared" ref="J462:O462" si="224">J463+J470</f>
        <v>32000</v>
      </c>
      <c r="K462" s="1215">
        <f t="shared" si="224"/>
        <v>32000</v>
      </c>
      <c r="L462" s="1215">
        <f t="shared" si="224"/>
        <v>32000</v>
      </c>
      <c r="M462" s="1215">
        <f t="shared" si="224"/>
        <v>32000</v>
      </c>
      <c r="N462" s="1215">
        <f t="shared" si="224"/>
        <v>85000</v>
      </c>
      <c r="O462" s="1215">
        <f t="shared" si="224"/>
        <v>85000</v>
      </c>
      <c r="P462" s="1215">
        <f t="shared" ref="P462:AK462" si="225">P463+P470</f>
        <v>85000</v>
      </c>
      <c r="Q462" s="1215">
        <f t="shared" si="225"/>
        <v>85000</v>
      </c>
      <c r="R462" s="1215">
        <f t="shared" si="225"/>
        <v>28340</v>
      </c>
      <c r="S462" s="1215">
        <f>S463+S470</f>
        <v>28340</v>
      </c>
      <c r="T462" s="1215">
        <f t="shared" ref="T462:AC462" si="226">T463+T470</f>
        <v>98000</v>
      </c>
      <c r="U462" s="1215">
        <f t="shared" si="226"/>
        <v>98000</v>
      </c>
      <c r="V462" s="1215">
        <f t="shared" si="226"/>
        <v>24000</v>
      </c>
      <c r="W462" s="1215">
        <f t="shared" si="226"/>
        <v>0</v>
      </c>
      <c r="X462" s="1215">
        <f t="shared" si="226"/>
        <v>122000</v>
      </c>
      <c r="Y462" s="1215">
        <f t="shared" si="226"/>
        <v>122000</v>
      </c>
      <c r="Z462" s="1215">
        <f t="shared" si="226"/>
        <v>45996</v>
      </c>
      <c r="AA462" s="1215">
        <f t="shared" si="226"/>
        <v>45996</v>
      </c>
      <c r="AB462" s="1215">
        <f t="shared" si="226"/>
        <v>9203</v>
      </c>
      <c r="AC462" s="1215">
        <f t="shared" si="226"/>
        <v>9203</v>
      </c>
      <c r="AD462" s="1350">
        <f t="shared" si="225"/>
        <v>0</v>
      </c>
      <c r="AE462" s="1350">
        <f t="shared" si="225"/>
        <v>0</v>
      </c>
      <c r="AF462" s="1350">
        <f t="shared" si="225"/>
        <v>0</v>
      </c>
      <c r="AG462" s="1350">
        <f t="shared" si="225"/>
        <v>0</v>
      </c>
      <c r="AH462" s="1350">
        <f t="shared" si="225"/>
        <v>0</v>
      </c>
      <c r="AI462" s="1350">
        <f t="shared" si="225"/>
        <v>0</v>
      </c>
      <c r="AJ462" s="1350">
        <f t="shared" si="225"/>
        <v>0</v>
      </c>
      <c r="AK462" s="1350">
        <f t="shared" si="225"/>
        <v>0</v>
      </c>
      <c r="AL462" s="1351"/>
      <c r="AM462" s="1009">
        <f>IF(Y462-U462=0,0,1)</f>
        <v>1</v>
      </c>
      <c r="AN462" s="1009">
        <f>IF(Y462=0,0,1)</f>
        <v>1</v>
      </c>
      <c r="AO462" s="144">
        <f t="shared" si="200"/>
        <v>1</v>
      </c>
      <c r="AP462" s="144"/>
    </row>
    <row r="463" spans="1:42" ht="51.75" hidden="1" x14ac:dyDescent="0.25">
      <c r="A463" s="1066" t="s">
        <v>45</v>
      </c>
      <c r="B463" s="1066"/>
      <c r="C463" s="51" t="s">
        <v>46</v>
      </c>
      <c r="D463" s="57"/>
      <c r="E463" s="57"/>
      <c r="F463" s="57"/>
      <c r="G463" s="57"/>
      <c r="H463" s="1017">
        <f t="shared" ref="H463:AK463" si="227">H464</f>
        <v>50564</v>
      </c>
      <c r="I463" s="1017">
        <f t="shared" si="227"/>
        <v>50564</v>
      </c>
      <c r="J463" s="1017">
        <f t="shared" si="227"/>
        <v>32000</v>
      </c>
      <c r="K463" s="1017">
        <f t="shared" si="227"/>
        <v>32000</v>
      </c>
      <c r="L463" s="1017">
        <f t="shared" si="227"/>
        <v>32000</v>
      </c>
      <c r="M463" s="1017">
        <f t="shared" si="227"/>
        <v>32000</v>
      </c>
      <c r="N463" s="1017">
        <f t="shared" si="227"/>
        <v>27370</v>
      </c>
      <c r="O463" s="1017">
        <f t="shared" si="227"/>
        <v>27370</v>
      </c>
      <c r="P463" s="1017">
        <f t="shared" si="227"/>
        <v>15750</v>
      </c>
      <c r="Q463" s="1017">
        <f t="shared" si="227"/>
        <v>15750</v>
      </c>
      <c r="R463" s="1017">
        <f t="shared" si="227"/>
        <v>0</v>
      </c>
      <c r="S463" s="1017">
        <f t="shared" si="227"/>
        <v>11620</v>
      </c>
      <c r="T463" s="1017">
        <f t="shared" si="227"/>
        <v>15750</v>
      </c>
      <c r="U463" s="1017">
        <f t="shared" si="227"/>
        <v>15750</v>
      </c>
      <c r="V463" s="1017"/>
      <c r="W463" s="1017"/>
      <c r="X463" s="1017">
        <f t="shared" si="227"/>
        <v>15750</v>
      </c>
      <c r="Y463" s="1017">
        <f t="shared" si="227"/>
        <v>15750</v>
      </c>
      <c r="Z463" s="1016">
        <f t="shared" si="227"/>
        <v>15448</v>
      </c>
      <c r="AA463" s="1016">
        <f t="shared" si="227"/>
        <v>15448</v>
      </c>
      <c r="AB463" s="1017">
        <f t="shared" si="227"/>
        <v>0</v>
      </c>
      <c r="AC463" s="1017">
        <f t="shared" si="227"/>
        <v>0</v>
      </c>
      <c r="AD463" s="1016">
        <f t="shared" si="227"/>
        <v>0</v>
      </c>
      <c r="AE463" s="1016">
        <f t="shared" si="227"/>
        <v>0</v>
      </c>
      <c r="AF463" s="1016">
        <f t="shared" si="227"/>
        <v>0</v>
      </c>
      <c r="AG463" s="1016">
        <f t="shared" si="227"/>
        <v>0</v>
      </c>
      <c r="AH463" s="1016">
        <f t="shared" si="227"/>
        <v>0</v>
      </c>
      <c r="AI463" s="1016">
        <f t="shared" si="227"/>
        <v>0</v>
      </c>
      <c r="AJ463" s="1016">
        <f t="shared" si="227"/>
        <v>0</v>
      </c>
      <c r="AK463" s="1016">
        <f t="shared" si="227"/>
        <v>0</v>
      </c>
      <c r="AL463" s="59"/>
      <c r="AM463" s="1009">
        <f t="shared" si="188"/>
        <v>0</v>
      </c>
      <c r="AN463" s="1009">
        <f t="shared" si="189"/>
        <v>1</v>
      </c>
      <c r="AO463" s="144">
        <f t="shared" si="200"/>
        <v>1</v>
      </c>
    </row>
    <row r="464" spans="1:42" ht="34.5" hidden="1" x14ac:dyDescent="0.25">
      <c r="A464" s="50" t="s">
        <v>47</v>
      </c>
      <c r="B464" s="50"/>
      <c r="C464" s="51" t="s">
        <v>48</v>
      </c>
      <c r="D464" s="57"/>
      <c r="E464" s="57"/>
      <c r="F464" s="57"/>
      <c r="G464" s="57"/>
      <c r="H464" s="1017">
        <f t="shared" ref="H464:K464" si="228">H468+H469</f>
        <v>50564</v>
      </c>
      <c r="I464" s="1017">
        <f t="shared" si="228"/>
        <v>50564</v>
      </c>
      <c r="J464" s="1017">
        <f t="shared" si="228"/>
        <v>32000</v>
      </c>
      <c r="K464" s="1017">
        <f t="shared" si="228"/>
        <v>32000</v>
      </c>
      <c r="L464" s="1017">
        <f t="shared" ref="L464:Q464" si="229">SUM(L467:L469)</f>
        <v>32000</v>
      </c>
      <c r="M464" s="1017">
        <f t="shared" si="229"/>
        <v>32000</v>
      </c>
      <c r="N464" s="1017">
        <f t="shared" si="229"/>
        <v>27370</v>
      </c>
      <c r="O464" s="1017">
        <f t="shared" si="229"/>
        <v>27370</v>
      </c>
      <c r="P464" s="1017">
        <f t="shared" si="229"/>
        <v>15750</v>
      </c>
      <c r="Q464" s="1017">
        <f t="shared" si="229"/>
        <v>15750</v>
      </c>
      <c r="R464" s="1017">
        <f>SUM(R467:R469)</f>
        <v>0</v>
      </c>
      <c r="S464" s="1017">
        <f t="shared" ref="S464:AC464" si="230">SUM(S467:S469)</f>
        <v>11620</v>
      </c>
      <c r="T464" s="1017">
        <f t="shared" si="230"/>
        <v>15750</v>
      </c>
      <c r="U464" s="1017">
        <f>SUM(U467:U469)</f>
        <v>15750</v>
      </c>
      <c r="V464" s="1017"/>
      <c r="W464" s="1017"/>
      <c r="X464" s="1017">
        <f t="shared" ref="X464" si="231">SUM(X467:X469)</f>
        <v>15750</v>
      </c>
      <c r="Y464" s="1017">
        <f>SUM(Y467:Y469)</f>
        <v>15750</v>
      </c>
      <c r="Z464" s="1017">
        <f t="shared" si="230"/>
        <v>15448</v>
      </c>
      <c r="AA464" s="1017">
        <f t="shared" si="230"/>
        <v>15448</v>
      </c>
      <c r="AB464" s="1017">
        <f t="shared" si="230"/>
        <v>0</v>
      </c>
      <c r="AC464" s="1017">
        <f t="shared" si="230"/>
        <v>0</v>
      </c>
      <c r="AD464" s="1016">
        <f t="shared" ref="AD464:AK464" si="232">SUM(AD467:AD469)</f>
        <v>0</v>
      </c>
      <c r="AE464" s="1016">
        <f t="shared" si="232"/>
        <v>0</v>
      </c>
      <c r="AF464" s="1016">
        <f t="shared" si="232"/>
        <v>0</v>
      </c>
      <c r="AG464" s="1016">
        <f t="shared" si="232"/>
        <v>0</v>
      </c>
      <c r="AH464" s="1016">
        <f t="shared" si="232"/>
        <v>0</v>
      </c>
      <c r="AI464" s="1016">
        <f t="shared" si="232"/>
        <v>0</v>
      </c>
      <c r="AJ464" s="1016">
        <f t="shared" si="232"/>
        <v>0</v>
      </c>
      <c r="AK464" s="1016">
        <f t="shared" si="232"/>
        <v>0</v>
      </c>
      <c r="AL464" s="59"/>
      <c r="AM464" s="1009">
        <f t="shared" si="188"/>
        <v>0</v>
      </c>
      <c r="AN464" s="1009">
        <f t="shared" si="189"/>
        <v>1</v>
      </c>
      <c r="AO464" s="144">
        <f t="shared" si="200"/>
        <v>1</v>
      </c>
    </row>
    <row r="465" spans="1:41" ht="17.25" hidden="1" x14ac:dyDescent="0.25">
      <c r="A465" s="50"/>
      <c r="B465" s="50"/>
      <c r="C465" s="51" t="s">
        <v>49</v>
      </c>
      <c r="D465" s="52"/>
      <c r="E465" s="52"/>
      <c r="F465" s="52"/>
      <c r="G465" s="52"/>
      <c r="H465" s="1020"/>
      <c r="I465" s="1020"/>
      <c r="J465" s="1020"/>
      <c r="K465" s="1020"/>
      <c r="L465" s="1020"/>
      <c r="M465" s="1020"/>
      <c r="N465" s="1020"/>
      <c r="O465" s="1020"/>
      <c r="P465" s="1021"/>
      <c r="Q465" s="1021"/>
      <c r="R465" s="54"/>
      <c r="S465" s="54"/>
      <c r="T465" s="1022"/>
      <c r="U465" s="1022"/>
      <c r="V465" s="54"/>
      <c r="W465" s="54"/>
      <c r="X465" s="1022"/>
      <c r="Y465" s="1022"/>
      <c r="Z465" s="1020"/>
      <c r="AA465" s="1020"/>
      <c r="AB465" s="1020"/>
      <c r="AC465" s="1020"/>
      <c r="AD465" s="1020"/>
      <c r="AE465" s="1020"/>
      <c r="AF465" s="1020"/>
      <c r="AG465" s="1020"/>
      <c r="AH465" s="1020"/>
      <c r="AI465" s="1020"/>
      <c r="AJ465" s="1020"/>
      <c r="AK465" s="1020"/>
      <c r="AL465" s="55"/>
      <c r="AM465" s="1009">
        <f t="shared" si="188"/>
        <v>0</v>
      </c>
      <c r="AN465" s="1009">
        <f t="shared" si="189"/>
        <v>0</v>
      </c>
      <c r="AO465" s="144">
        <f t="shared" si="200"/>
        <v>1</v>
      </c>
    </row>
    <row r="466" spans="1:41" ht="51.75" hidden="1" x14ac:dyDescent="0.25">
      <c r="A466" s="50"/>
      <c r="B466" s="50"/>
      <c r="C466" s="56" t="s">
        <v>50</v>
      </c>
      <c r="D466" s="57"/>
      <c r="E466" s="57"/>
      <c r="F466" s="57"/>
      <c r="G466" s="57"/>
      <c r="H466" s="1017"/>
      <c r="I466" s="1017"/>
      <c r="J466" s="1017"/>
      <c r="K466" s="1017"/>
      <c r="L466" s="1017"/>
      <c r="M466" s="1017"/>
      <c r="N466" s="1017"/>
      <c r="O466" s="1017"/>
      <c r="P466" s="1016"/>
      <c r="Q466" s="1016"/>
      <c r="R466" s="54"/>
      <c r="S466" s="54"/>
      <c r="T466" s="1018"/>
      <c r="U466" s="1018"/>
      <c r="V466" s="54"/>
      <c r="W466" s="54"/>
      <c r="X466" s="1018"/>
      <c r="Y466" s="1018"/>
      <c r="Z466" s="1017"/>
      <c r="AA466" s="1017"/>
      <c r="AB466" s="1017"/>
      <c r="AC466" s="1017"/>
      <c r="AD466" s="1017"/>
      <c r="AE466" s="1017"/>
      <c r="AF466" s="1017"/>
      <c r="AG466" s="1017"/>
      <c r="AH466" s="1017"/>
      <c r="AI466" s="1017"/>
      <c r="AJ466" s="1017"/>
      <c r="AK466" s="1017"/>
      <c r="AL466" s="59"/>
      <c r="AM466" s="1009">
        <f t="shared" si="188"/>
        <v>0</v>
      </c>
      <c r="AN466" s="1009">
        <f t="shared" si="189"/>
        <v>0</v>
      </c>
      <c r="AO466" s="144">
        <f t="shared" si="200"/>
        <v>1</v>
      </c>
    </row>
    <row r="467" spans="1:41" ht="33" hidden="1" x14ac:dyDescent="0.25">
      <c r="A467" s="64" t="s">
        <v>1142</v>
      </c>
      <c r="B467" s="64"/>
      <c r="C467" s="290" t="s">
        <v>1008</v>
      </c>
      <c r="D467" s="61"/>
      <c r="E467" s="70"/>
      <c r="F467" s="70"/>
      <c r="G467" s="70"/>
      <c r="H467" s="68"/>
      <c r="I467" s="1017"/>
      <c r="J467" s="1017"/>
      <c r="K467" s="1017"/>
      <c r="L467" s="1017"/>
      <c r="M467" s="1017"/>
      <c r="N467" s="68">
        <v>1550</v>
      </c>
      <c r="O467" s="288">
        <f>N467</f>
        <v>1550</v>
      </c>
      <c r="P467" s="283">
        <f>Q467</f>
        <v>1550</v>
      </c>
      <c r="Q467" s="299">
        <v>1550</v>
      </c>
      <c r="R467" s="54"/>
      <c r="S467" s="54">
        <f>O467-U467</f>
        <v>0</v>
      </c>
      <c r="T467" s="487">
        <f>U467</f>
        <v>1550</v>
      </c>
      <c r="U467" s="462">
        <v>1550</v>
      </c>
      <c r="V467" s="54"/>
      <c r="W467" s="54"/>
      <c r="X467" s="487">
        <f>Y467</f>
        <v>1550</v>
      </c>
      <c r="Y467" s="462">
        <v>1550</v>
      </c>
      <c r="Z467" s="283">
        <f>AA467</f>
        <v>1545</v>
      </c>
      <c r="AA467" s="299">
        <v>1545</v>
      </c>
      <c r="AB467" s="1017"/>
      <c r="AC467" s="1017"/>
      <c r="AD467" s="1017"/>
      <c r="AE467" s="1017"/>
      <c r="AF467" s="1017"/>
      <c r="AG467" s="1017"/>
      <c r="AH467" s="1017"/>
      <c r="AI467" s="1017"/>
      <c r="AJ467" s="1017"/>
      <c r="AK467" s="1017"/>
      <c r="AL467" s="69"/>
      <c r="AM467" s="1009">
        <f t="shared" si="188"/>
        <v>0</v>
      </c>
      <c r="AN467" s="1009">
        <f t="shared" si="189"/>
        <v>1</v>
      </c>
      <c r="AO467" s="144"/>
    </row>
    <row r="468" spans="1:41" ht="132" hidden="1" x14ac:dyDescent="0.25">
      <c r="A468" s="64" t="s">
        <v>56</v>
      </c>
      <c r="B468" s="64"/>
      <c r="C468" s="290" t="s">
        <v>1199</v>
      </c>
      <c r="D468" s="61" t="s">
        <v>1198</v>
      </c>
      <c r="E468" s="118"/>
      <c r="F468" s="126" t="s">
        <v>738</v>
      </c>
      <c r="G468" s="118" t="s">
        <v>1197</v>
      </c>
      <c r="H468" s="63">
        <f>I468</f>
        <v>38069</v>
      </c>
      <c r="I468" s="63">
        <v>38069</v>
      </c>
      <c r="J468" s="75">
        <f>K468</f>
        <v>26000</v>
      </c>
      <c r="K468" s="75">
        <f>25000+1000</f>
        <v>26000</v>
      </c>
      <c r="L468" s="75">
        <f>M468</f>
        <v>26000</v>
      </c>
      <c r="M468" s="75">
        <f>25000+1000</f>
        <v>26000</v>
      </c>
      <c r="N468" s="68">
        <f>O468</f>
        <v>19070</v>
      </c>
      <c r="O468" s="288">
        <v>19070</v>
      </c>
      <c r="P468" s="283">
        <f>Q468</f>
        <v>8300</v>
      </c>
      <c r="Q468" s="299">
        <v>8300</v>
      </c>
      <c r="R468" s="54"/>
      <c r="S468" s="54">
        <f>O468-U468</f>
        <v>10770</v>
      </c>
      <c r="T468" s="487">
        <f>U468</f>
        <v>8300</v>
      </c>
      <c r="U468" s="462">
        <v>8300</v>
      </c>
      <c r="V468" s="54"/>
      <c r="W468" s="54"/>
      <c r="X468" s="487">
        <f>Y468</f>
        <v>8300</v>
      </c>
      <c r="Y468" s="462">
        <v>8300</v>
      </c>
      <c r="Z468" s="283">
        <f>AA468</f>
        <v>8000</v>
      </c>
      <c r="AA468" s="299">
        <v>8000</v>
      </c>
      <c r="AB468" s="288"/>
      <c r="AC468" s="288"/>
      <c r="AD468" s="288"/>
      <c r="AE468" s="288"/>
      <c r="AF468" s="288"/>
      <c r="AG468" s="288"/>
      <c r="AH468" s="288"/>
      <c r="AI468" s="288"/>
      <c r="AJ468" s="288"/>
      <c r="AK468" s="288"/>
      <c r="AL468" s="749"/>
      <c r="AM468" s="1009">
        <f t="shared" si="188"/>
        <v>0</v>
      </c>
      <c r="AN468" s="1009">
        <f t="shared" si="189"/>
        <v>1</v>
      </c>
      <c r="AO468" s="144">
        <f t="shared" si="200"/>
        <v>1</v>
      </c>
    </row>
    <row r="469" spans="1:41" ht="132" hidden="1" x14ac:dyDescent="0.25">
      <c r="A469" s="64" t="s">
        <v>1196</v>
      </c>
      <c r="B469" s="64"/>
      <c r="C469" s="290" t="s">
        <v>1195</v>
      </c>
      <c r="D469" s="61"/>
      <c r="E469" s="70"/>
      <c r="F469" s="126" t="s">
        <v>72</v>
      </c>
      <c r="G469" s="118" t="s">
        <v>1194</v>
      </c>
      <c r="H469" s="130">
        <f>I469</f>
        <v>12495</v>
      </c>
      <c r="I469" s="130">
        <v>12495</v>
      </c>
      <c r="J469" s="282">
        <f>K469</f>
        <v>6000</v>
      </c>
      <c r="K469" s="75">
        <v>6000</v>
      </c>
      <c r="L469" s="282">
        <f>M469</f>
        <v>6000</v>
      </c>
      <c r="M469" s="75">
        <v>6000</v>
      </c>
      <c r="N469" s="68">
        <f>O469</f>
        <v>6750</v>
      </c>
      <c r="O469" s="288">
        <v>6750</v>
      </c>
      <c r="P469" s="283">
        <f>Q469</f>
        <v>5900</v>
      </c>
      <c r="Q469" s="299">
        <v>5900</v>
      </c>
      <c r="R469" s="54"/>
      <c r="S469" s="54">
        <f>O469-U469</f>
        <v>850</v>
      </c>
      <c r="T469" s="487">
        <f>U469</f>
        <v>5900</v>
      </c>
      <c r="U469" s="462">
        <v>5900</v>
      </c>
      <c r="V469" s="54"/>
      <c r="W469" s="54"/>
      <c r="X469" s="487">
        <f>Y469</f>
        <v>5900</v>
      </c>
      <c r="Y469" s="462">
        <v>5900</v>
      </c>
      <c r="Z469" s="283">
        <f>AA469</f>
        <v>5903</v>
      </c>
      <c r="AA469" s="299">
        <v>5903</v>
      </c>
      <c r="AB469" s="288"/>
      <c r="AC469" s="288"/>
      <c r="AD469" s="288"/>
      <c r="AE469" s="288"/>
      <c r="AF469" s="288"/>
      <c r="AG469" s="288"/>
      <c r="AH469" s="288"/>
      <c r="AI469" s="288"/>
      <c r="AJ469" s="288"/>
      <c r="AK469" s="288"/>
      <c r="AL469" s="749"/>
      <c r="AM469" s="1009">
        <f t="shared" si="188"/>
        <v>0</v>
      </c>
      <c r="AN469" s="1009">
        <f t="shared" si="189"/>
        <v>1</v>
      </c>
      <c r="AO469" s="144">
        <f t="shared" si="200"/>
        <v>1</v>
      </c>
    </row>
    <row r="470" spans="1:41" ht="34.5" x14ac:dyDescent="0.25">
      <c r="A470" s="1066" t="s">
        <v>85</v>
      </c>
      <c r="B470" s="1066"/>
      <c r="C470" s="51" t="s">
        <v>86</v>
      </c>
      <c r="D470" s="57"/>
      <c r="E470" s="57"/>
      <c r="F470" s="57"/>
      <c r="G470" s="57"/>
      <c r="H470" s="1017">
        <f t="shared" ref="H470:AK470" si="233">H471+H494</f>
        <v>163614</v>
      </c>
      <c r="I470" s="1017">
        <f t="shared" si="233"/>
        <v>159016</v>
      </c>
      <c r="J470" s="1017">
        <f t="shared" ref="J470:O470" si="234">J471+J494</f>
        <v>0</v>
      </c>
      <c r="K470" s="1017">
        <f t="shared" si="234"/>
        <v>0</v>
      </c>
      <c r="L470" s="1017">
        <f t="shared" si="234"/>
        <v>0</v>
      </c>
      <c r="M470" s="1017">
        <f t="shared" si="234"/>
        <v>0</v>
      </c>
      <c r="N470" s="1017">
        <f>N471+N494</f>
        <v>57630</v>
      </c>
      <c r="O470" s="1017">
        <f t="shared" si="234"/>
        <v>57630</v>
      </c>
      <c r="P470" s="1017">
        <f t="shared" si="233"/>
        <v>69250</v>
      </c>
      <c r="Q470" s="1017">
        <f t="shared" si="233"/>
        <v>69250</v>
      </c>
      <c r="R470" s="1017">
        <f t="shared" si="233"/>
        <v>28340</v>
      </c>
      <c r="S470" s="1017">
        <f t="shared" si="233"/>
        <v>16720</v>
      </c>
      <c r="T470" s="1017">
        <f>T471+T494</f>
        <v>82250</v>
      </c>
      <c r="U470" s="1017">
        <f>U471+U494</f>
        <v>82250</v>
      </c>
      <c r="V470" s="1017">
        <f>V471</f>
        <v>24000</v>
      </c>
      <c r="W470" s="1017">
        <f t="shared" ref="W470:Y470" si="235">W471</f>
        <v>0</v>
      </c>
      <c r="X470" s="1017">
        <f t="shared" si="235"/>
        <v>106250</v>
      </c>
      <c r="Y470" s="1017">
        <f t="shared" si="235"/>
        <v>106250</v>
      </c>
      <c r="Z470" s="1017">
        <f>Z471+Z494</f>
        <v>30548</v>
      </c>
      <c r="AA470" s="1017">
        <f>AA471+AA494</f>
        <v>30548</v>
      </c>
      <c r="AB470" s="1017">
        <f>AB471+AB494</f>
        <v>9203</v>
      </c>
      <c r="AC470" s="1017">
        <f>AC471+AC494</f>
        <v>9203</v>
      </c>
      <c r="AD470" s="1016">
        <f t="shared" si="233"/>
        <v>0</v>
      </c>
      <c r="AE470" s="1016">
        <f t="shared" si="233"/>
        <v>0</v>
      </c>
      <c r="AF470" s="1016">
        <f t="shared" si="233"/>
        <v>0</v>
      </c>
      <c r="AG470" s="1016">
        <f t="shared" si="233"/>
        <v>0</v>
      </c>
      <c r="AH470" s="1016">
        <f t="shared" si="233"/>
        <v>0</v>
      </c>
      <c r="AI470" s="1016">
        <f t="shared" si="233"/>
        <v>0</v>
      </c>
      <c r="AJ470" s="1016">
        <f t="shared" si="233"/>
        <v>0</v>
      </c>
      <c r="AK470" s="1016">
        <f t="shared" si="233"/>
        <v>0</v>
      </c>
      <c r="AL470" s="59"/>
      <c r="AM470" s="1009">
        <f t="shared" si="188"/>
        <v>1</v>
      </c>
      <c r="AN470" s="1009">
        <f t="shared" si="189"/>
        <v>1</v>
      </c>
      <c r="AO470" s="144">
        <f t="shared" si="200"/>
        <v>1</v>
      </c>
    </row>
    <row r="471" spans="1:41" ht="51.75" x14ac:dyDescent="0.25">
      <c r="A471" s="50" t="s">
        <v>87</v>
      </c>
      <c r="B471" s="50"/>
      <c r="C471" s="51" t="s">
        <v>88</v>
      </c>
      <c r="D471" s="57"/>
      <c r="E471" s="57"/>
      <c r="F471" s="57"/>
      <c r="G471" s="57"/>
      <c r="H471" s="1017">
        <f>SUM(H472:H493)</f>
        <v>122725</v>
      </c>
      <c r="I471" s="1017">
        <f t="shared" ref="I471:AK471" si="236">SUM(I472:I493)</f>
        <v>118127</v>
      </c>
      <c r="J471" s="1017">
        <f t="shared" si="236"/>
        <v>0</v>
      </c>
      <c r="K471" s="1017">
        <f t="shared" si="236"/>
        <v>0</v>
      </c>
      <c r="L471" s="1017">
        <f t="shared" si="236"/>
        <v>0</v>
      </c>
      <c r="M471" s="1017">
        <f t="shared" si="236"/>
        <v>0</v>
      </c>
      <c r="N471" s="1017">
        <f t="shared" si="236"/>
        <v>47310</v>
      </c>
      <c r="O471" s="1017">
        <f t="shared" si="236"/>
        <v>47310</v>
      </c>
      <c r="P471" s="1017">
        <f t="shared" si="236"/>
        <v>69250</v>
      </c>
      <c r="Q471" s="1017">
        <f t="shared" si="236"/>
        <v>69250</v>
      </c>
      <c r="R471" s="1017">
        <f t="shared" si="236"/>
        <v>28340</v>
      </c>
      <c r="S471" s="1017">
        <f t="shared" si="236"/>
        <v>6400</v>
      </c>
      <c r="T471" s="1017">
        <f t="shared" si="236"/>
        <v>82250</v>
      </c>
      <c r="U471" s="1017">
        <f t="shared" si="236"/>
        <v>82250</v>
      </c>
      <c r="V471" s="1017">
        <f t="shared" si="236"/>
        <v>24000</v>
      </c>
      <c r="W471" s="1017">
        <f t="shared" si="236"/>
        <v>0</v>
      </c>
      <c r="X471" s="1017">
        <f t="shared" si="236"/>
        <v>106250</v>
      </c>
      <c r="Y471" s="1017">
        <f t="shared" si="236"/>
        <v>106250</v>
      </c>
      <c r="Z471" s="1017">
        <f t="shared" si="236"/>
        <v>30548</v>
      </c>
      <c r="AA471" s="1017">
        <f t="shared" si="236"/>
        <v>30548</v>
      </c>
      <c r="AB471" s="1017">
        <f t="shared" si="236"/>
        <v>9203</v>
      </c>
      <c r="AC471" s="1017">
        <f t="shared" si="236"/>
        <v>9203</v>
      </c>
      <c r="AD471" s="1017">
        <f t="shared" si="236"/>
        <v>0</v>
      </c>
      <c r="AE471" s="1017">
        <f t="shared" si="236"/>
        <v>0</v>
      </c>
      <c r="AF471" s="1017">
        <f t="shared" si="236"/>
        <v>0</v>
      </c>
      <c r="AG471" s="1017">
        <f t="shared" si="236"/>
        <v>0</v>
      </c>
      <c r="AH471" s="1017">
        <f t="shared" si="236"/>
        <v>0</v>
      </c>
      <c r="AI471" s="1017">
        <f t="shared" si="236"/>
        <v>0</v>
      </c>
      <c r="AJ471" s="1017">
        <f t="shared" si="236"/>
        <v>0</v>
      </c>
      <c r="AK471" s="1017">
        <f t="shared" si="236"/>
        <v>0</v>
      </c>
      <c r="AL471" s="59"/>
      <c r="AM471" s="1009">
        <f t="shared" si="188"/>
        <v>1</v>
      </c>
      <c r="AN471" s="1009">
        <f t="shared" si="189"/>
        <v>1</v>
      </c>
      <c r="AO471" s="144">
        <f t="shared" si="200"/>
        <v>1</v>
      </c>
    </row>
    <row r="472" spans="1:41" ht="115.5" hidden="1" x14ac:dyDescent="0.25">
      <c r="A472" s="60">
        <v>4</v>
      </c>
      <c r="B472" s="60"/>
      <c r="C472" s="290" t="s">
        <v>1193</v>
      </c>
      <c r="D472" s="61"/>
      <c r="E472" s="118" t="s">
        <v>1192</v>
      </c>
      <c r="F472" s="126" t="s">
        <v>72</v>
      </c>
      <c r="G472" s="118" t="s">
        <v>1191</v>
      </c>
      <c r="H472" s="130">
        <f>I472</f>
        <v>5466</v>
      </c>
      <c r="I472" s="130">
        <v>5466</v>
      </c>
      <c r="J472" s="282"/>
      <c r="K472" s="282"/>
      <c r="L472" s="282"/>
      <c r="M472" s="282"/>
      <c r="N472" s="68">
        <f t="shared" ref="N472:N480" si="237">O472</f>
        <v>6200</v>
      </c>
      <c r="O472" s="288">
        <v>6200</v>
      </c>
      <c r="P472" s="300">
        <f t="shared" ref="P472:P488" si="238">Q472</f>
        <v>5410</v>
      </c>
      <c r="Q472" s="283">
        <v>5410</v>
      </c>
      <c r="R472" s="54"/>
      <c r="S472" s="54">
        <f>O472-U472</f>
        <v>790</v>
      </c>
      <c r="T472" s="462">
        <f t="shared" ref="T472:T488" si="239">U472</f>
        <v>5410</v>
      </c>
      <c r="U472" s="487">
        <v>5410</v>
      </c>
      <c r="V472" s="54"/>
      <c r="W472" s="54"/>
      <c r="X472" s="462">
        <f t="shared" ref="X472:X488" si="240">Y472</f>
        <v>5410</v>
      </c>
      <c r="Y472" s="487">
        <v>5410</v>
      </c>
      <c r="Z472" s="283">
        <f t="shared" ref="Z472:Z478" si="241">AA472</f>
        <v>4917</v>
      </c>
      <c r="AA472" s="299">
        <v>4917</v>
      </c>
      <c r="AB472" s="283">
        <v>490</v>
      </c>
      <c r="AC472" s="283">
        <v>490</v>
      </c>
      <c r="AD472" s="288"/>
      <c r="AE472" s="288"/>
      <c r="AF472" s="288"/>
      <c r="AG472" s="288"/>
      <c r="AH472" s="288"/>
      <c r="AI472" s="288"/>
      <c r="AJ472" s="288"/>
      <c r="AK472" s="288"/>
      <c r="AL472" s="25"/>
      <c r="AM472" s="1009">
        <f t="shared" si="188"/>
        <v>0</v>
      </c>
      <c r="AN472" s="1009">
        <f t="shared" si="189"/>
        <v>1</v>
      </c>
      <c r="AO472" s="144">
        <f t="shared" si="200"/>
        <v>1</v>
      </c>
    </row>
    <row r="473" spans="1:41" ht="198" hidden="1" x14ac:dyDescent="0.25">
      <c r="A473" s="60">
        <v>5</v>
      </c>
      <c r="B473" s="60"/>
      <c r="C473" s="290" t="s">
        <v>1190</v>
      </c>
      <c r="D473" s="61"/>
      <c r="E473" s="118" t="s">
        <v>1189</v>
      </c>
      <c r="F473" s="126" t="s">
        <v>252</v>
      </c>
      <c r="G473" s="118" t="s">
        <v>1188</v>
      </c>
      <c r="H473" s="130">
        <f>I473</f>
        <v>8337</v>
      </c>
      <c r="I473" s="130">
        <v>8337</v>
      </c>
      <c r="J473" s="282"/>
      <c r="K473" s="282"/>
      <c r="L473" s="282"/>
      <c r="M473" s="282"/>
      <c r="N473" s="68">
        <f t="shared" si="237"/>
        <v>9100</v>
      </c>
      <c r="O473" s="288">
        <v>9100</v>
      </c>
      <c r="P473" s="300">
        <f t="shared" si="238"/>
        <v>8000</v>
      </c>
      <c r="Q473" s="283">
        <v>8000</v>
      </c>
      <c r="R473" s="54"/>
      <c r="S473" s="54">
        <f>O473-U473</f>
        <v>1100</v>
      </c>
      <c r="T473" s="462">
        <f t="shared" si="239"/>
        <v>8000</v>
      </c>
      <c r="U473" s="487">
        <v>8000</v>
      </c>
      <c r="V473" s="54"/>
      <c r="W473" s="54"/>
      <c r="X473" s="462">
        <f t="shared" si="240"/>
        <v>8000</v>
      </c>
      <c r="Y473" s="487">
        <v>8000</v>
      </c>
      <c r="Z473" s="283">
        <f t="shared" si="241"/>
        <v>7000</v>
      </c>
      <c r="AA473" s="299">
        <v>7000</v>
      </c>
      <c r="AB473" s="283">
        <v>997</v>
      </c>
      <c r="AC473" s="283">
        <v>997</v>
      </c>
      <c r="AD473" s="288"/>
      <c r="AE473" s="288"/>
      <c r="AF473" s="288"/>
      <c r="AG473" s="288"/>
      <c r="AH473" s="288"/>
      <c r="AI473" s="288"/>
      <c r="AJ473" s="288"/>
      <c r="AK473" s="288"/>
      <c r="AL473" s="25"/>
      <c r="AM473" s="1009">
        <f t="shared" si="188"/>
        <v>0</v>
      </c>
      <c r="AN473" s="1009">
        <f t="shared" si="189"/>
        <v>1</v>
      </c>
      <c r="AO473" s="144">
        <f t="shared" si="200"/>
        <v>1</v>
      </c>
    </row>
    <row r="474" spans="1:41" ht="115.5" hidden="1" x14ac:dyDescent="0.25">
      <c r="A474" s="60">
        <v>6</v>
      </c>
      <c r="B474" s="60"/>
      <c r="C474" s="290" t="s">
        <v>1187</v>
      </c>
      <c r="D474" s="61"/>
      <c r="E474" s="70"/>
      <c r="F474" s="126">
        <v>2016</v>
      </c>
      <c r="G474" s="118" t="s">
        <v>1186</v>
      </c>
      <c r="H474" s="130">
        <f>I474</f>
        <v>3762</v>
      </c>
      <c r="I474" s="130">
        <v>3762</v>
      </c>
      <c r="J474" s="282"/>
      <c r="K474" s="282"/>
      <c r="L474" s="282"/>
      <c r="M474" s="282"/>
      <c r="N474" s="68">
        <f t="shared" si="237"/>
        <v>4100</v>
      </c>
      <c r="O474" s="288">
        <v>4100</v>
      </c>
      <c r="P474" s="300">
        <f t="shared" si="238"/>
        <v>3700</v>
      </c>
      <c r="Q474" s="283">
        <v>3700</v>
      </c>
      <c r="R474" s="54"/>
      <c r="S474" s="54">
        <f>O474-U474</f>
        <v>400</v>
      </c>
      <c r="T474" s="462">
        <f t="shared" si="239"/>
        <v>3700</v>
      </c>
      <c r="U474" s="487">
        <v>3700</v>
      </c>
      <c r="V474" s="54"/>
      <c r="W474" s="54"/>
      <c r="X474" s="462">
        <f t="shared" si="240"/>
        <v>3700</v>
      </c>
      <c r="Y474" s="487">
        <v>3700</v>
      </c>
      <c r="Z474" s="283">
        <f t="shared" si="241"/>
        <v>3000</v>
      </c>
      <c r="AA474" s="299">
        <v>3000</v>
      </c>
      <c r="AB474" s="283">
        <v>700</v>
      </c>
      <c r="AC474" s="283">
        <v>700</v>
      </c>
      <c r="AD474" s="288"/>
      <c r="AE474" s="288"/>
      <c r="AF474" s="288"/>
      <c r="AG474" s="288"/>
      <c r="AH474" s="288"/>
      <c r="AI474" s="288"/>
      <c r="AJ474" s="288"/>
      <c r="AK474" s="288"/>
      <c r="AL474" s="25"/>
      <c r="AM474" s="1009">
        <f t="shared" si="188"/>
        <v>0</v>
      </c>
      <c r="AN474" s="1009">
        <f t="shared" si="189"/>
        <v>1</v>
      </c>
      <c r="AO474" s="144">
        <f t="shared" si="200"/>
        <v>1</v>
      </c>
    </row>
    <row r="475" spans="1:41" ht="115.5" hidden="1" x14ac:dyDescent="0.25">
      <c r="A475" s="60">
        <v>7</v>
      </c>
      <c r="B475" s="60"/>
      <c r="C475" s="290" t="s">
        <v>1185</v>
      </c>
      <c r="D475" s="61"/>
      <c r="E475" s="70"/>
      <c r="F475" s="126">
        <v>2016</v>
      </c>
      <c r="G475" s="118" t="s">
        <v>1184</v>
      </c>
      <c r="H475" s="130">
        <f>I475</f>
        <v>4451</v>
      </c>
      <c r="I475" s="130">
        <v>4451</v>
      </c>
      <c r="J475" s="282"/>
      <c r="K475" s="282"/>
      <c r="L475" s="282"/>
      <c r="M475" s="282"/>
      <c r="N475" s="68">
        <f t="shared" si="237"/>
        <v>4530</v>
      </c>
      <c r="O475" s="288">
        <v>4530</v>
      </c>
      <c r="P475" s="300">
        <f t="shared" si="238"/>
        <v>4300</v>
      </c>
      <c r="Q475" s="283">
        <v>4300</v>
      </c>
      <c r="R475" s="54"/>
      <c r="S475" s="54">
        <f>O475-U475</f>
        <v>230</v>
      </c>
      <c r="T475" s="462">
        <f t="shared" si="239"/>
        <v>4300</v>
      </c>
      <c r="U475" s="487">
        <v>4300</v>
      </c>
      <c r="V475" s="54"/>
      <c r="W475" s="54"/>
      <c r="X475" s="462">
        <f t="shared" si="240"/>
        <v>4300</v>
      </c>
      <c r="Y475" s="487">
        <v>4300</v>
      </c>
      <c r="Z475" s="283">
        <f t="shared" si="241"/>
        <v>3750</v>
      </c>
      <c r="AA475" s="299">
        <v>3750</v>
      </c>
      <c r="AB475" s="283">
        <f>AC475</f>
        <v>420</v>
      </c>
      <c r="AC475" s="283">
        <v>420</v>
      </c>
      <c r="AD475" s="288"/>
      <c r="AE475" s="288"/>
      <c r="AF475" s="288"/>
      <c r="AG475" s="288"/>
      <c r="AH475" s="288"/>
      <c r="AI475" s="288"/>
      <c r="AJ475" s="288"/>
      <c r="AK475" s="288"/>
      <c r="AL475" s="25"/>
      <c r="AM475" s="1009">
        <f t="shared" si="188"/>
        <v>0</v>
      </c>
      <c r="AN475" s="1009">
        <f t="shared" si="189"/>
        <v>1</v>
      </c>
      <c r="AO475" s="144">
        <f t="shared" si="200"/>
        <v>1</v>
      </c>
    </row>
    <row r="476" spans="1:41" ht="115.5" hidden="1" x14ac:dyDescent="0.25">
      <c r="A476" s="60">
        <v>8</v>
      </c>
      <c r="B476" s="60"/>
      <c r="C476" s="290" t="s">
        <v>1183</v>
      </c>
      <c r="D476" s="61"/>
      <c r="E476" s="70"/>
      <c r="F476" s="301">
        <v>2016</v>
      </c>
      <c r="G476" s="118" t="s">
        <v>1182</v>
      </c>
      <c r="H476" s="130">
        <f>I476</f>
        <v>2744</v>
      </c>
      <c r="I476" s="130">
        <v>2744</v>
      </c>
      <c r="J476" s="282"/>
      <c r="K476" s="282"/>
      <c r="L476" s="282"/>
      <c r="M476" s="282"/>
      <c r="N476" s="68">
        <f t="shared" si="237"/>
        <v>2810</v>
      </c>
      <c r="O476" s="288">
        <v>2810</v>
      </c>
      <c r="P476" s="300">
        <f t="shared" si="238"/>
        <v>2730</v>
      </c>
      <c r="Q476" s="283">
        <v>2730</v>
      </c>
      <c r="R476" s="54"/>
      <c r="S476" s="54">
        <f>O476-U476</f>
        <v>80</v>
      </c>
      <c r="T476" s="462">
        <f t="shared" si="239"/>
        <v>2730</v>
      </c>
      <c r="U476" s="487">
        <v>2730</v>
      </c>
      <c r="V476" s="54"/>
      <c r="W476" s="54"/>
      <c r="X476" s="462">
        <f t="shared" si="240"/>
        <v>2730</v>
      </c>
      <c r="Y476" s="487">
        <v>2730</v>
      </c>
      <c r="Z476" s="283">
        <f t="shared" si="241"/>
        <v>2733</v>
      </c>
      <c r="AA476" s="299">
        <v>2733</v>
      </c>
      <c r="AB476" s="283"/>
      <c r="AC476" s="283"/>
      <c r="AD476" s="288"/>
      <c r="AE476" s="288"/>
      <c r="AF476" s="288"/>
      <c r="AG476" s="288"/>
      <c r="AH476" s="288"/>
      <c r="AI476" s="288"/>
      <c r="AJ476" s="288"/>
      <c r="AK476" s="288"/>
      <c r="AL476" s="25"/>
      <c r="AM476" s="1009">
        <f t="shared" si="188"/>
        <v>0</v>
      </c>
      <c r="AN476" s="1009">
        <f t="shared" si="189"/>
        <v>1</v>
      </c>
      <c r="AO476" s="144">
        <f t="shared" si="200"/>
        <v>1</v>
      </c>
    </row>
    <row r="477" spans="1:41" ht="181.5" hidden="1" x14ac:dyDescent="0.25">
      <c r="A477" s="60">
        <v>9</v>
      </c>
      <c r="B477" s="60"/>
      <c r="C477" s="290" t="s">
        <v>1181</v>
      </c>
      <c r="D477" s="61"/>
      <c r="E477" s="70"/>
      <c r="F477" s="126" t="s">
        <v>199</v>
      </c>
      <c r="G477" s="118" t="s">
        <v>1180</v>
      </c>
      <c r="H477" s="130">
        <v>6692</v>
      </c>
      <c r="I477" s="130">
        <v>6594</v>
      </c>
      <c r="J477" s="282"/>
      <c r="K477" s="282"/>
      <c r="L477" s="282"/>
      <c r="M477" s="282"/>
      <c r="N477" s="68">
        <f t="shared" si="237"/>
        <v>6370</v>
      </c>
      <c r="O477" s="288">
        <v>6370</v>
      </c>
      <c r="P477" s="283">
        <f t="shared" si="238"/>
        <v>6400</v>
      </c>
      <c r="Q477" s="299">
        <v>6400</v>
      </c>
      <c r="R477" s="54">
        <f>U477-O477</f>
        <v>30</v>
      </c>
      <c r="S477" s="54"/>
      <c r="T477" s="487">
        <f t="shared" si="239"/>
        <v>6400</v>
      </c>
      <c r="U477" s="462">
        <v>6400</v>
      </c>
      <c r="V477" s="54"/>
      <c r="W477" s="54"/>
      <c r="X477" s="487">
        <f t="shared" si="240"/>
        <v>6400</v>
      </c>
      <c r="Y477" s="462">
        <v>6400</v>
      </c>
      <c r="Z477" s="283">
        <f t="shared" si="241"/>
        <v>5800</v>
      </c>
      <c r="AA477" s="299">
        <v>5800</v>
      </c>
      <c r="AB477" s="283">
        <v>596</v>
      </c>
      <c r="AC477" s="283">
        <v>596</v>
      </c>
      <c r="AD477" s="288"/>
      <c r="AE477" s="288"/>
      <c r="AF477" s="288"/>
      <c r="AG477" s="288"/>
      <c r="AH477" s="288"/>
      <c r="AI477" s="288"/>
      <c r="AJ477" s="288"/>
      <c r="AK477" s="288"/>
      <c r="AL477" s="25"/>
      <c r="AM477" s="1009">
        <f t="shared" si="188"/>
        <v>0</v>
      </c>
      <c r="AN477" s="1009">
        <f t="shared" si="189"/>
        <v>1</v>
      </c>
      <c r="AO477" s="144">
        <f t="shared" si="200"/>
        <v>1</v>
      </c>
    </row>
    <row r="478" spans="1:41" ht="247.5" hidden="1" x14ac:dyDescent="0.25">
      <c r="A478" s="60">
        <v>10</v>
      </c>
      <c r="B478" s="60"/>
      <c r="C478" s="290" t="s">
        <v>1179</v>
      </c>
      <c r="D478" s="61"/>
      <c r="E478" s="70"/>
      <c r="F478" s="126" t="s">
        <v>97</v>
      </c>
      <c r="G478" s="118" t="s">
        <v>1178</v>
      </c>
      <c r="H478" s="75">
        <f>I478</f>
        <v>3939</v>
      </c>
      <c r="I478" s="75">
        <v>3939</v>
      </c>
      <c r="J478" s="282"/>
      <c r="K478" s="282"/>
      <c r="L478" s="282"/>
      <c r="M478" s="282"/>
      <c r="N478" s="68">
        <f t="shared" si="237"/>
        <v>5150</v>
      </c>
      <c r="O478" s="288">
        <v>5150</v>
      </c>
      <c r="P478" s="283">
        <f t="shared" si="238"/>
        <v>3550</v>
      </c>
      <c r="Q478" s="284">
        <v>3550</v>
      </c>
      <c r="R478" s="54"/>
      <c r="S478" s="54">
        <f>O478-U478</f>
        <v>1600</v>
      </c>
      <c r="T478" s="487">
        <f t="shared" si="239"/>
        <v>3550</v>
      </c>
      <c r="U478" s="488">
        <v>3550</v>
      </c>
      <c r="V478" s="54"/>
      <c r="W478" s="54"/>
      <c r="X478" s="487">
        <f t="shared" si="240"/>
        <v>3550</v>
      </c>
      <c r="Y478" s="488">
        <v>3550</v>
      </c>
      <c r="Z478" s="283">
        <f t="shared" si="241"/>
        <v>3348</v>
      </c>
      <c r="AA478" s="129">
        <v>3348</v>
      </c>
      <c r="AB478" s="283"/>
      <c r="AC478" s="283"/>
      <c r="AD478" s="288"/>
      <c r="AE478" s="288"/>
      <c r="AF478" s="288"/>
      <c r="AG478" s="288"/>
      <c r="AH478" s="288"/>
      <c r="AI478" s="288"/>
      <c r="AJ478" s="288"/>
      <c r="AK478" s="288"/>
      <c r="AL478" s="25"/>
      <c r="AM478" s="1009">
        <f t="shared" si="188"/>
        <v>0</v>
      </c>
      <c r="AN478" s="1009">
        <f t="shared" si="189"/>
        <v>1</v>
      </c>
      <c r="AO478" s="144">
        <f t="shared" si="200"/>
        <v>1</v>
      </c>
    </row>
    <row r="479" spans="1:41" ht="115.5" hidden="1" x14ac:dyDescent="0.25">
      <c r="A479" s="60">
        <v>11</v>
      </c>
      <c r="B479" s="60"/>
      <c r="C479" s="9" t="s">
        <v>1177</v>
      </c>
      <c r="D479" s="25" t="s">
        <v>578</v>
      </c>
      <c r="E479" s="25" t="s">
        <v>1176</v>
      </c>
      <c r="F479" s="126" t="s">
        <v>248</v>
      </c>
      <c r="G479" s="61" t="s">
        <v>1175</v>
      </c>
      <c r="H479" s="288">
        <v>5026</v>
      </c>
      <c r="I479" s="288">
        <v>5026</v>
      </c>
      <c r="J479" s="282"/>
      <c r="K479" s="282"/>
      <c r="L479" s="282"/>
      <c r="M479" s="282"/>
      <c r="N479" s="68">
        <f t="shared" si="237"/>
        <v>4550</v>
      </c>
      <c r="O479" s="288">
        <v>4550</v>
      </c>
      <c r="P479" s="284">
        <f t="shared" si="238"/>
        <v>4550</v>
      </c>
      <c r="Q479" s="284">
        <f>O479</f>
        <v>4550</v>
      </c>
      <c r="R479" s="54"/>
      <c r="S479" s="54"/>
      <c r="T479" s="488">
        <f t="shared" si="239"/>
        <v>4550</v>
      </c>
      <c r="U479" s="488">
        <v>4550</v>
      </c>
      <c r="V479" s="54"/>
      <c r="W479" s="54"/>
      <c r="X479" s="488">
        <f t="shared" si="240"/>
        <v>4550</v>
      </c>
      <c r="Y479" s="488">
        <v>4550</v>
      </c>
      <c r="Z479" s="129"/>
      <c r="AA479" s="129"/>
      <c r="AB479" s="129">
        <v>4000</v>
      </c>
      <c r="AC479" s="129">
        <v>4000</v>
      </c>
      <c r="AD479" s="282"/>
      <c r="AE479" s="282"/>
      <c r="AF479" s="282"/>
      <c r="AG479" s="282"/>
      <c r="AH479" s="282"/>
      <c r="AI479" s="282"/>
      <c r="AJ479" s="282"/>
      <c r="AK479" s="282"/>
      <c r="AL479" s="25"/>
      <c r="AM479" s="1009">
        <f t="shared" si="188"/>
        <v>0</v>
      </c>
      <c r="AN479" s="1009">
        <f t="shared" si="189"/>
        <v>1</v>
      </c>
      <c r="AO479" s="144">
        <f t="shared" si="200"/>
        <v>1</v>
      </c>
    </row>
    <row r="480" spans="1:41" ht="49.5" hidden="1" x14ac:dyDescent="0.25">
      <c r="A480" s="60">
        <v>12</v>
      </c>
      <c r="B480" s="60"/>
      <c r="C480" s="290" t="s">
        <v>1174</v>
      </c>
      <c r="D480" s="61" t="s">
        <v>578</v>
      </c>
      <c r="E480" s="70" t="s">
        <v>1173</v>
      </c>
      <c r="F480" s="126" t="s">
        <v>290</v>
      </c>
      <c r="G480" s="118" t="s">
        <v>1172</v>
      </c>
      <c r="H480" s="75">
        <f>I480</f>
        <v>2564</v>
      </c>
      <c r="I480" s="75">
        <v>2564</v>
      </c>
      <c r="J480" s="282"/>
      <c r="K480" s="282"/>
      <c r="L480" s="282"/>
      <c r="M480" s="282"/>
      <c r="N480" s="68">
        <f t="shared" si="237"/>
        <v>4500</v>
      </c>
      <c r="O480" s="288">
        <v>4500</v>
      </c>
      <c r="P480" s="283">
        <f t="shared" si="238"/>
        <v>2300</v>
      </c>
      <c r="Q480" s="284">
        <v>2300</v>
      </c>
      <c r="R480" s="54"/>
      <c r="S480" s="54">
        <f>O480-U480</f>
        <v>2200</v>
      </c>
      <c r="T480" s="487">
        <f t="shared" si="239"/>
        <v>2300</v>
      </c>
      <c r="U480" s="488">
        <v>2300</v>
      </c>
      <c r="V480" s="54"/>
      <c r="W480" s="54"/>
      <c r="X480" s="487">
        <f t="shared" si="240"/>
        <v>2300</v>
      </c>
      <c r="Y480" s="488">
        <v>2300</v>
      </c>
      <c r="Z480" s="283"/>
      <c r="AA480" s="129"/>
      <c r="AB480" s="129">
        <v>2000</v>
      </c>
      <c r="AC480" s="129">
        <v>2000</v>
      </c>
      <c r="AD480" s="288"/>
      <c r="AE480" s="288"/>
      <c r="AF480" s="288"/>
      <c r="AG480" s="288"/>
      <c r="AH480" s="288"/>
      <c r="AI480" s="288"/>
      <c r="AJ480" s="288"/>
      <c r="AK480" s="288"/>
      <c r="AL480" s="25"/>
      <c r="AM480" s="1009">
        <f t="shared" si="188"/>
        <v>0</v>
      </c>
      <c r="AN480" s="1009">
        <f t="shared" si="189"/>
        <v>1</v>
      </c>
      <c r="AO480" s="144">
        <f t="shared" si="200"/>
        <v>1</v>
      </c>
    </row>
    <row r="481" spans="1:41" ht="47.25" hidden="1" x14ac:dyDescent="0.25">
      <c r="A481" s="60">
        <v>13</v>
      </c>
      <c r="B481" s="60"/>
      <c r="C481" s="9" t="s">
        <v>1170</v>
      </c>
      <c r="D481" s="25" t="s">
        <v>1157</v>
      </c>
      <c r="E481" s="25"/>
      <c r="F481" s="286" t="s">
        <v>116</v>
      </c>
      <c r="G481" s="1355" t="s">
        <v>1169</v>
      </c>
      <c r="H481" s="288">
        <v>2500</v>
      </c>
      <c r="I481" s="288">
        <v>2500</v>
      </c>
      <c r="J481" s="282"/>
      <c r="K481" s="282"/>
      <c r="L481" s="282"/>
      <c r="M481" s="282"/>
      <c r="N481" s="68"/>
      <c r="O481" s="288"/>
      <c r="P481" s="284">
        <f t="shared" si="238"/>
        <v>2000</v>
      </c>
      <c r="Q481" s="284">
        <v>2000</v>
      </c>
      <c r="R481" s="54">
        <f t="shared" ref="R481:R488" si="242">U481-O481</f>
        <v>2000</v>
      </c>
      <c r="S481" s="54"/>
      <c r="T481" s="488">
        <f t="shared" si="239"/>
        <v>2000</v>
      </c>
      <c r="U481" s="488">
        <v>2000</v>
      </c>
      <c r="V481" s="54"/>
      <c r="W481" s="54"/>
      <c r="X481" s="488">
        <f t="shared" si="240"/>
        <v>2000</v>
      </c>
      <c r="Y481" s="488">
        <v>2000</v>
      </c>
      <c r="Z481" s="282"/>
      <c r="AA481" s="282"/>
      <c r="AB481" s="282"/>
      <c r="AC481" s="282"/>
      <c r="AD481" s="282"/>
      <c r="AE481" s="282"/>
      <c r="AF481" s="282"/>
      <c r="AG481" s="282"/>
      <c r="AH481" s="282"/>
      <c r="AI481" s="282"/>
      <c r="AJ481" s="282"/>
      <c r="AK481" s="282"/>
      <c r="AL481" s="25"/>
      <c r="AM481" s="1009">
        <f t="shared" si="188"/>
        <v>0</v>
      </c>
      <c r="AN481" s="1009">
        <f t="shared" si="189"/>
        <v>1</v>
      </c>
      <c r="AO481" s="144">
        <f t="shared" si="200"/>
        <v>1</v>
      </c>
    </row>
    <row r="482" spans="1:41" ht="66" hidden="1" x14ac:dyDescent="0.25">
      <c r="A482" s="60">
        <v>14</v>
      </c>
      <c r="B482" s="60">
        <v>1</v>
      </c>
      <c r="C482" s="9" t="s">
        <v>1168</v>
      </c>
      <c r="D482" s="25" t="s">
        <v>1164</v>
      </c>
      <c r="E482" s="25" t="s">
        <v>1167</v>
      </c>
      <c r="F482" s="286" t="s">
        <v>116</v>
      </c>
      <c r="G482" s="1355" t="s">
        <v>2200</v>
      </c>
      <c r="H482" s="288">
        <f>I482</f>
        <v>7211</v>
      </c>
      <c r="I482" s="288">
        <v>7211</v>
      </c>
      <c r="J482" s="282"/>
      <c r="K482" s="282"/>
      <c r="L482" s="282"/>
      <c r="M482" s="282"/>
      <c r="N482" s="4"/>
      <c r="O482" s="332"/>
      <c r="P482" s="354">
        <f t="shared" si="238"/>
        <v>3300</v>
      </c>
      <c r="Q482" s="354">
        <v>3300</v>
      </c>
      <c r="R482" s="8">
        <f t="shared" si="242"/>
        <v>3300</v>
      </c>
      <c r="S482" s="8"/>
      <c r="T482" s="488">
        <f t="shared" si="239"/>
        <v>3300</v>
      </c>
      <c r="U482" s="488">
        <v>3300</v>
      </c>
      <c r="V482" s="54">
        <v>3000</v>
      </c>
      <c r="W482" s="54"/>
      <c r="X482" s="488">
        <f t="shared" si="240"/>
        <v>6300</v>
      </c>
      <c r="Y482" s="488">
        <f>V482+U482</f>
        <v>6300</v>
      </c>
      <c r="Z482" s="244"/>
      <c r="AA482" s="244"/>
      <c r="AB482" s="244"/>
      <c r="AC482" s="244"/>
      <c r="AD482" s="244"/>
      <c r="AE482" s="244"/>
      <c r="AF482" s="244"/>
      <c r="AG482" s="244"/>
      <c r="AH482" s="244"/>
      <c r="AI482" s="244"/>
      <c r="AJ482" s="244"/>
      <c r="AK482" s="244"/>
      <c r="AL482" s="25" t="s">
        <v>2151</v>
      </c>
      <c r="AM482" s="1009">
        <f>IF(Y482-U482=0,0,1)</f>
        <v>1</v>
      </c>
      <c r="AN482" s="1009">
        <f>IF(Y482=0,0,1)</f>
        <v>1</v>
      </c>
      <c r="AO482" s="144">
        <f t="shared" si="200"/>
        <v>1</v>
      </c>
    </row>
    <row r="483" spans="1:41" ht="56.25" hidden="1" x14ac:dyDescent="0.25">
      <c r="A483" s="60">
        <v>15</v>
      </c>
      <c r="B483" s="60"/>
      <c r="C483" s="9" t="s">
        <v>1165</v>
      </c>
      <c r="D483" s="25" t="s">
        <v>1164</v>
      </c>
      <c r="E483" s="25" t="s">
        <v>1163</v>
      </c>
      <c r="F483" s="286" t="s">
        <v>116</v>
      </c>
      <c r="G483" s="1356" t="s">
        <v>1162</v>
      </c>
      <c r="H483" s="288">
        <f>I483</f>
        <v>4354</v>
      </c>
      <c r="I483" s="288">
        <v>4354</v>
      </c>
      <c r="J483" s="282"/>
      <c r="K483" s="282"/>
      <c r="L483" s="282"/>
      <c r="M483" s="282"/>
      <c r="N483" s="68"/>
      <c r="O483" s="288"/>
      <c r="P483" s="284">
        <f t="shared" si="238"/>
        <v>3700</v>
      </c>
      <c r="Q483" s="284">
        <v>3700</v>
      </c>
      <c r="R483" s="54">
        <f t="shared" si="242"/>
        <v>3700</v>
      </c>
      <c r="S483" s="54"/>
      <c r="T483" s="488">
        <f t="shared" si="239"/>
        <v>3700</v>
      </c>
      <c r="U483" s="488">
        <v>3700</v>
      </c>
      <c r="V483" s="54"/>
      <c r="W483" s="54"/>
      <c r="X483" s="488">
        <f t="shared" si="240"/>
        <v>3700</v>
      </c>
      <c r="Y483" s="488">
        <v>3700</v>
      </c>
      <c r="Z483" s="282"/>
      <c r="AA483" s="282"/>
      <c r="AB483" s="282"/>
      <c r="AC483" s="282"/>
      <c r="AD483" s="282"/>
      <c r="AE483" s="282"/>
      <c r="AF483" s="282"/>
      <c r="AG483" s="282"/>
      <c r="AH483" s="282"/>
      <c r="AI483" s="282"/>
      <c r="AJ483" s="282"/>
      <c r="AK483" s="282"/>
      <c r="AL483" s="25"/>
      <c r="AM483" s="1009">
        <f t="shared" si="188"/>
        <v>0</v>
      </c>
      <c r="AN483" s="1009">
        <f t="shared" si="189"/>
        <v>1</v>
      </c>
      <c r="AO483" s="144">
        <f t="shared" si="200"/>
        <v>1</v>
      </c>
    </row>
    <row r="484" spans="1:41" ht="56.25" hidden="1" x14ac:dyDescent="0.25">
      <c r="A484" s="60">
        <v>16</v>
      </c>
      <c r="B484" s="60"/>
      <c r="C484" s="9" t="s">
        <v>1161</v>
      </c>
      <c r="D484" s="25" t="s">
        <v>1157</v>
      </c>
      <c r="E484" s="25" t="s">
        <v>1160</v>
      </c>
      <c r="F484" s="286" t="s">
        <v>116</v>
      </c>
      <c r="G484" s="1356" t="s">
        <v>1159</v>
      </c>
      <c r="H484" s="288">
        <f>I484</f>
        <v>1437</v>
      </c>
      <c r="I484" s="288">
        <v>1437</v>
      </c>
      <c r="J484" s="282"/>
      <c r="K484" s="282"/>
      <c r="L484" s="282"/>
      <c r="M484" s="282"/>
      <c r="N484" s="68"/>
      <c r="O484" s="288"/>
      <c r="P484" s="284">
        <f t="shared" si="238"/>
        <v>1150</v>
      </c>
      <c r="Q484" s="284">
        <v>1150</v>
      </c>
      <c r="R484" s="54">
        <f t="shared" si="242"/>
        <v>1150</v>
      </c>
      <c r="S484" s="54"/>
      <c r="T484" s="488">
        <f t="shared" si="239"/>
        <v>1150</v>
      </c>
      <c r="U484" s="488">
        <v>1150</v>
      </c>
      <c r="V484" s="54"/>
      <c r="W484" s="54"/>
      <c r="X484" s="488">
        <f t="shared" si="240"/>
        <v>1150</v>
      </c>
      <c r="Y484" s="488">
        <v>1150</v>
      </c>
      <c r="Z484" s="282"/>
      <c r="AA484" s="282"/>
      <c r="AB484" s="282"/>
      <c r="AC484" s="282"/>
      <c r="AD484" s="282"/>
      <c r="AE484" s="282"/>
      <c r="AF484" s="282"/>
      <c r="AG484" s="282"/>
      <c r="AH484" s="282"/>
      <c r="AI484" s="282"/>
      <c r="AJ484" s="282"/>
      <c r="AK484" s="282"/>
      <c r="AL484" s="25"/>
      <c r="AM484" s="1009">
        <f t="shared" si="188"/>
        <v>0</v>
      </c>
      <c r="AN484" s="1009">
        <f t="shared" si="189"/>
        <v>1</v>
      </c>
      <c r="AO484" s="144">
        <f t="shared" si="200"/>
        <v>1</v>
      </c>
    </row>
    <row r="485" spans="1:41" ht="56.25" hidden="1" x14ac:dyDescent="0.25">
      <c r="A485" s="60">
        <v>17</v>
      </c>
      <c r="B485" s="60"/>
      <c r="C485" s="9" t="s">
        <v>1158</v>
      </c>
      <c r="D485" s="25" t="s">
        <v>1157</v>
      </c>
      <c r="E485" s="25"/>
      <c r="F485" s="286" t="s">
        <v>116</v>
      </c>
      <c r="G485" s="1356" t="s">
        <v>1156</v>
      </c>
      <c r="H485" s="288">
        <f>I485</f>
        <v>1900</v>
      </c>
      <c r="I485" s="288">
        <v>1900</v>
      </c>
      <c r="J485" s="282"/>
      <c r="K485" s="282"/>
      <c r="L485" s="282"/>
      <c r="M485" s="282"/>
      <c r="N485" s="68"/>
      <c r="O485" s="288"/>
      <c r="P485" s="284">
        <f t="shared" si="238"/>
        <v>1450</v>
      </c>
      <c r="Q485" s="284">
        <v>1450</v>
      </c>
      <c r="R485" s="54">
        <f t="shared" si="242"/>
        <v>1450</v>
      </c>
      <c r="S485" s="54"/>
      <c r="T485" s="488">
        <f t="shared" si="239"/>
        <v>1450</v>
      </c>
      <c r="U485" s="488">
        <v>1450</v>
      </c>
      <c r="V485" s="54"/>
      <c r="W485" s="54"/>
      <c r="X485" s="488">
        <f t="shared" si="240"/>
        <v>1450</v>
      </c>
      <c r="Y485" s="488">
        <v>1450</v>
      </c>
      <c r="Z485" s="282"/>
      <c r="AA485" s="282"/>
      <c r="AB485" s="282"/>
      <c r="AC485" s="282"/>
      <c r="AD485" s="282"/>
      <c r="AE485" s="282"/>
      <c r="AF485" s="282"/>
      <c r="AG485" s="282"/>
      <c r="AH485" s="282"/>
      <c r="AI485" s="282"/>
      <c r="AJ485" s="282"/>
      <c r="AK485" s="282"/>
      <c r="AL485" s="25"/>
      <c r="AM485" s="1009">
        <f t="shared" si="188"/>
        <v>0</v>
      </c>
      <c r="AN485" s="1009">
        <f t="shared" si="189"/>
        <v>1</v>
      </c>
      <c r="AO485" s="144">
        <f t="shared" si="200"/>
        <v>1</v>
      </c>
    </row>
    <row r="486" spans="1:41" ht="56.25" hidden="1" x14ac:dyDescent="0.25">
      <c r="A486" s="60">
        <v>18</v>
      </c>
      <c r="B486" s="60"/>
      <c r="C486" s="9" t="s">
        <v>1155</v>
      </c>
      <c r="D486" s="25" t="s">
        <v>1147</v>
      </c>
      <c r="E486" s="25" t="s">
        <v>1154</v>
      </c>
      <c r="F486" s="286" t="s">
        <v>116</v>
      </c>
      <c r="G486" s="1356" t="s">
        <v>1153</v>
      </c>
      <c r="H486" s="288">
        <f>I486</f>
        <v>5000</v>
      </c>
      <c r="I486" s="288">
        <v>5000</v>
      </c>
      <c r="J486" s="282"/>
      <c r="K486" s="282"/>
      <c r="L486" s="282"/>
      <c r="M486" s="282"/>
      <c r="N486" s="68"/>
      <c r="O486" s="288"/>
      <c r="P486" s="284">
        <f t="shared" si="238"/>
        <v>3500</v>
      </c>
      <c r="Q486" s="284">
        <f>I486*0.7</f>
        <v>3500</v>
      </c>
      <c r="R486" s="54">
        <f t="shared" si="242"/>
        <v>3500</v>
      </c>
      <c r="S486" s="54"/>
      <c r="T486" s="488">
        <f t="shared" si="239"/>
        <v>3500</v>
      </c>
      <c r="U486" s="488">
        <v>3500</v>
      </c>
      <c r="V486" s="54"/>
      <c r="W486" s="54"/>
      <c r="X486" s="488">
        <f t="shared" si="240"/>
        <v>3500</v>
      </c>
      <c r="Y486" s="488">
        <v>3500</v>
      </c>
      <c r="Z486" s="282"/>
      <c r="AA486" s="282"/>
      <c r="AB486" s="282"/>
      <c r="AC486" s="282"/>
      <c r="AD486" s="282"/>
      <c r="AE486" s="282"/>
      <c r="AF486" s="282"/>
      <c r="AG486" s="282"/>
      <c r="AH486" s="282"/>
      <c r="AI486" s="282"/>
      <c r="AJ486" s="282"/>
      <c r="AK486" s="282"/>
      <c r="AL486" s="25"/>
      <c r="AM486" s="1009">
        <f t="shared" si="188"/>
        <v>0</v>
      </c>
      <c r="AN486" s="1009">
        <f t="shared" si="189"/>
        <v>1</v>
      </c>
      <c r="AO486" s="144">
        <f t="shared" si="200"/>
        <v>1</v>
      </c>
    </row>
    <row r="487" spans="1:41" ht="56.25" hidden="1" x14ac:dyDescent="0.25">
      <c r="A487" s="60">
        <v>19</v>
      </c>
      <c r="B487" s="60"/>
      <c r="C487" s="1357" t="s">
        <v>1151</v>
      </c>
      <c r="D487" s="1356" t="s">
        <v>1147</v>
      </c>
      <c r="E487" s="1356" t="s">
        <v>1150</v>
      </c>
      <c r="F487" s="286" t="s">
        <v>116</v>
      </c>
      <c r="G487" s="1356" t="s">
        <v>1149</v>
      </c>
      <c r="H487" s="1356">
        <v>1131</v>
      </c>
      <c r="I487" s="1356">
        <f>H487</f>
        <v>1131</v>
      </c>
      <c r="J487" s="284"/>
      <c r="K487" s="284"/>
      <c r="L487" s="284"/>
      <c r="M487" s="284"/>
      <c r="N487" s="283"/>
      <c r="O487" s="283"/>
      <c r="P487" s="283">
        <f t="shared" si="238"/>
        <v>1000</v>
      </c>
      <c r="Q487" s="129">
        <v>1000</v>
      </c>
      <c r="R487" s="54">
        <f t="shared" si="242"/>
        <v>1000</v>
      </c>
      <c r="S487" s="54"/>
      <c r="T487" s="487">
        <f t="shared" si="239"/>
        <v>1000</v>
      </c>
      <c r="U487" s="488">
        <v>1000</v>
      </c>
      <c r="V487" s="54"/>
      <c r="W487" s="54"/>
      <c r="X487" s="487">
        <f t="shared" si="240"/>
        <v>1000</v>
      </c>
      <c r="Y487" s="488">
        <v>1000</v>
      </c>
      <c r="Z487" s="282"/>
      <c r="AA487" s="282"/>
      <c r="AB487" s="282"/>
      <c r="AC487" s="282"/>
      <c r="AD487" s="282"/>
      <c r="AE487" s="282"/>
      <c r="AF487" s="282"/>
      <c r="AG487" s="282"/>
      <c r="AH487" s="282"/>
      <c r="AI487" s="282"/>
      <c r="AJ487" s="282"/>
      <c r="AK487" s="282"/>
      <c r="AL487" s="25"/>
      <c r="AM487" s="1009">
        <f t="shared" si="188"/>
        <v>0</v>
      </c>
      <c r="AN487" s="1009">
        <f t="shared" si="189"/>
        <v>1</v>
      </c>
      <c r="AO487" s="144">
        <f t="shared" si="200"/>
        <v>1</v>
      </c>
    </row>
    <row r="488" spans="1:41" ht="57.75" hidden="1" customHeight="1" x14ac:dyDescent="0.25">
      <c r="A488" s="60">
        <v>20</v>
      </c>
      <c r="B488" s="60"/>
      <c r="C488" s="9" t="s">
        <v>1148</v>
      </c>
      <c r="D488" s="25" t="s">
        <v>1147</v>
      </c>
      <c r="E488" s="25"/>
      <c r="F488" s="25" t="s">
        <v>116</v>
      </c>
      <c r="G488" s="25" t="s">
        <v>1146</v>
      </c>
      <c r="H488" s="288">
        <f>I488</f>
        <v>13924</v>
      </c>
      <c r="I488" s="288">
        <v>13924</v>
      </c>
      <c r="J488" s="282"/>
      <c r="K488" s="282"/>
      <c r="L488" s="282"/>
      <c r="M488" s="282"/>
      <c r="N488" s="68"/>
      <c r="O488" s="288"/>
      <c r="P488" s="284">
        <f t="shared" si="238"/>
        <v>12210</v>
      </c>
      <c r="Q488" s="284">
        <v>12210</v>
      </c>
      <c r="R488" s="54">
        <f t="shared" si="242"/>
        <v>12210</v>
      </c>
      <c r="S488" s="54"/>
      <c r="T488" s="488">
        <f t="shared" si="239"/>
        <v>12210</v>
      </c>
      <c r="U488" s="488">
        <v>12210</v>
      </c>
      <c r="V488" s="54"/>
      <c r="W488" s="54"/>
      <c r="X488" s="488">
        <f t="shared" si="240"/>
        <v>12210</v>
      </c>
      <c r="Y488" s="488">
        <v>12210</v>
      </c>
      <c r="Z488" s="282"/>
      <c r="AA488" s="282"/>
      <c r="AB488" s="282"/>
      <c r="AC488" s="282"/>
      <c r="AD488" s="282"/>
      <c r="AE488" s="282"/>
      <c r="AF488" s="282"/>
      <c r="AG488" s="282"/>
      <c r="AH488" s="282"/>
      <c r="AI488" s="282"/>
      <c r="AJ488" s="282"/>
      <c r="AK488" s="282"/>
      <c r="AL488" s="25"/>
      <c r="AM488" s="1009">
        <f t="shared" si="188"/>
        <v>0</v>
      </c>
      <c r="AN488" s="1009">
        <f t="shared" si="189"/>
        <v>1</v>
      </c>
      <c r="AO488" s="144">
        <f t="shared" si="200"/>
        <v>1</v>
      </c>
    </row>
    <row r="489" spans="1:41" ht="57.75" hidden="1" customHeight="1" x14ac:dyDescent="0.25">
      <c r="A489" s="60">
        <v>21</v>
      </c>
      <c r="B489" s="60">
        <v>2</v>
      </c>
      <c r="C489" s="9" t="s">
        <v>2201</v>
      </c>
      <c r="D489" s="25" t="s">
        <v>1157</v>
      </c>
      <c r="E489" s="25" t="s">
        <v>2208</v>
      </c>
      <c r="F489" s="25" t="s">
        <v>290</v>
      </c>
      <c r="G489" s="25"/>
      <c r="H489" s="288">
        <f>I489</f>
        <v>7887</v>
      </c>
      <c r="I489" s="288">
        <v>7887</v>
      </c>
      <c r="J489" s="282"/>
      <c r="K489" s="282"/>
      <c r="L489" s="282"/>
      <c r="M489" s="282"/>
      <c r="N489" s="1077"/>
      <c r="O489" s="1081"/>
      <c r="P489" s="1079"/>
      <c r="Q489" s="1079"/>
      <c r="R489" s="1097"/>
      <c r="S489" s="1097"/>
      <c r="T489" s="488"/>
      <c r="U489" s="488"/>
      <c r="V489" s="54">
        <v>7000</v>
      </c>
      <c r="W489" s="54"/>
      <c r="X489" s="488">
        <f>Y489</f>
        <v>7000</v>
      </c>
      <c r="Y489" s="488">
        <f>V489+U489</f>
        <v>7000</v>
      </c>
      <c r="Z489" s="1075"/>
      <c r="AA489" s="1075"/>
      <c r="AB489" s="1075"/>
      <c r="AC489" s="1075"/>
      <c r="AD489" s="1075"/>
      <c r="AE489" s="1075"/>
      <c r="AF489" s="1075"/>
      <c r="AG489" s="1075"/>
      <c r="AH489" s="1075"/>
      <c r="AI489" s="1075"/>
      <c r="AJ489" s="1075"/>
      <c r="AK489" s="1075"/>
      <c r="AL489" s="25" t="s">
        <v>980</v>
      </c>
      <c r="AM489" s="1009">
        <f t="shared" si="188"/>
        <v>1</v>
      </c>
      <c r="AN489" s="1009">
        <f t="shared" si="189"/>
        <v>1</v>
      </c>
      <c r="AO489" s="144">
        <f t="shared" si="200"/>
        <v>1</v>
      </c>
    </row>
    <row r="490" spans="1:41" ht="57.75" hidden="1" customHeight="1" x14ac:dyDescent="0.25">
      <c r="A490" s="60">
        <v>22</v>
      </c>
      <c r="B490" s="60">
        <v>3</v>
      </c>
      <c r="C490" s="9" t="s">
        <v>2202</v>
      </c>
      <c r="D490" s="25" t="s">
        <v>1147</v>
      </c>
      <c r="E490" s="25" t="s">
        <v>2207</v>
      </c>
      <c r="F490" s="25" t="s">
        <v>290</v>
      </c>
      <c r="G490" s="25"/>
      <c r="H490" s="288">
        <f>I490</f>
        <v>9900</v>
      </c>
      <c r="I490" s="288">
        <v>9900</v>
      </c>
      <c r="J490" s="282"/>
      <c r="K490" s="282"/>
      <c r="L490" s="282"/>
      <c r="M490" s="282"/>
      <c r="N490" s="1077"/>
      <c r="O490" s="1081"/>
      <c r="P490" s="1079"/>
      <c r="Q490" s="1079"/>
      <c r="R490" s="1097"/>
      <c r="S490" s="1097"/>
      <c r="T490" s="488"/>
      <c r="U490" s="488"/>
      <c r="V490" s="54">
        <v>9000</v>
      </c>
      <c r="W490" s="54"/>
      <c r="X490" s="488">
        <f t="shared" ref="X490:X493" si="243">Y490</f>
        <v>9000</v>
      </c>
      <c r="Y490" s="488">
        <f t="shared" ref="Y490:Y493" si="244">V490+U490</f>
        <v>9000</v>
      </c>
      <c r="Z490" s="1075"/>
      <c r="AA490" s="1075"/>
      <c r="AB490" s="1075"/>
      <c r="AC490" s="1075"/>
      <c r="AD490" s="1075"/>
      <c r="AE490" s="1075"/>
      <c r="AF490" s="1075"/>
      <c r="AG490" s="1075"/>
      <c r="AH490" s="1075"/>
      <c r="AI490" s="1075"/>
      <c r="AJ490" s="1075"/>
      <c r="AK490" s="1075"/>
      <c r="AL490" s="25" t="s">
        <v>980</v>
      </c>
      <c r="AM490" s="1009">
        <f t="shared" ref="AM490:AM493" si="245">IF(Y490-U490=0,0,1)</f>
        <v>1</v>
      </c>
      <c r="AN490" s="1009">
        <f t="shared" ref="AN490:AN493" si="246">IF(Y490=0,0,1)</f>
        <v>1</v>
      </c>
      <c r="AO490" s="144">
        <f t="shared" si="200"/>
        <v>1</v>
      </c>
    </row>
    <row r="491" spans="1:41" ht="129" customHeight="1" x14ac:dyDescent="0.25">
      <c r="A491" s="60">
        <v>23</v>
      </c>
      <c r="B491" s="60">
        <v>4</v>
      </c>
      <c r="C491" s="9" t="s">
        <v>2203</v>
      </c>
      <c r="D491" s="25" t="s">
        <v>2205</v>
      </c>
      <c r="E491" s="25" t="s">
        <v>2209</v>
      </c>
      <c r="F491" s="25" t="s">
        <v>290</v>
      </c>
      <c r="G491" s="25"/>
      <c r="H491" s="288">
        <f>I491</f>
        <v>14500</v>
      </c>
      <c r="I491" s="288">
        <v>14500</v>
      </c>
      <c r="J491" s="282"/>
      <c r="K491" s="282"/>
      <c r="L491" s="282"/>
      <c r="M491" s="282"/>
      <c r="N491" s="1077"/>
      <c r="O491" s="1081"/>
      <c r="P491" s="1079"/>
      <c r="Q491" s="1079"/>
      <c r="R491" s="1097"/>
      <c r="S491" s="1097"/>
      <c r="T491" s="488">
        <f>U491</f>
        <v>13000</v>
      </c>
      <c r="U491" s="488">
        <v>13000</v>
      </c>
      <c r="V491" s="1385">
        <v>-4000</v>
      </c>
      <c r="W491" s="54"/>
      <c r="X491" s="488">
        <f t="shared" si="243"/>
        <v>9000</v>
      </c>
      <c r="Y491" s="488">
        <f t="shared" si="244"/>
        <v>9000</v>
      </c>
      <c r="Z491" s="1075"/>
      <c r="AA491" s="1075"/>
      <c r="AB491" s="1075"/>
      <c r="AC491" s="1075"/>
      <c r="AD491" s="1075"/>
      <c r="AE491" s="1075"/>
      <c r="AF491" s="1075"/>
      <c r="AG491" s="1075"/>
      <c r="AH491" s="1075"/>
      <c r="AI491" s="1075"/>
      <c r="AJ491" s="1075"/>
      <c r="AK491" s="1075"/>
      <c r="AL491" s="25" t="s">
        <v>2628</v>
      </c>
      <c r="AM491" s="1009">
        <f t="shared" si="245"/>
        <v>1</v>
      </c>
      <c r="AN491" s="1009">
        <f t="shared" si="246"/>
        <v>1</v>
      </c>
      <c r="AO491" s="144">
        <f t="shared" si="200"/>
        <v>1</v>
      </c>
    </row>
    <row r="492" spans="1:41" ht="57.75" hidden="1" customHeight="1" x14ac:dyDescent="0.25">
      <c r="A492" s="60">
        <v>24</v>
      </c>
      <c r="B492" s="60">
        <v>5</v>
      </c>
      <c r="C492" s="9" t="s">
        <v>2204</v>
      </c>
      <c r="D492" s="25" t="s">
        <v>2206</v>
      </c>
      <c r="E492" s="25"/>
      <c r="F492" s="25" t="s">
        <v>290</v>
      </c>
      <c r="G492" s="25"/>
      <c r="H492" s="288">
        <f>I492</f>
        <v>5500</v>
      </c>
      <c r="I492" s="288">
        <v>5500</v>
      </c>
      <c r="J492" s="282"/>
      <c r="K492" s="282"/>
      <c r="L492" s="282"/>
      <c r="M492" s="282"/>
      <c r="N492" s="1077"/>
      <c r="O492" s="1081"/>
      <c r="P492" s="1079"/>
      <c r="Q492" s="1079"/>
      <c r="R492" s="1097"/>
      <c r="S492" s="1097"/>
      <c r="T492" s="488"/>
      <c r="U492" s="488"/>
      <c r="V492" s="54">
        <v>5000</v>
      </c>
      <c r="W492" s="54"/>
      <c r="X492" s="488">
        <f t="shared" si="243"/>
        <v>5000</v>
      </c>
      <c r="Y492" s="488">
        <f t="shared" si="244"/>
        <v>5000</v>
      </c>
      <c r="Z492" s="1075"/>
      <c r="AA492" s="1075"/>
      <c r="AB492" s="1075"/>
      <c r="AC492" s="1075"/>
      <c r="AD492" s="1075"/>
      <c r="AE492" s="1075"/>
      <c r="AF492" s="1075"/>
      <c r="AG492" s="1075"/>
      <c r="AH492" s="1075"/>
      <c r="AI492" s="1075"/>
      <c r="AJ492" s="1075"/>
      <c r="AK492" s="1075"/>
      <c r="AL492" s="25" t="s">
        <v>980</v>
      </c>
      <c r="AM492" s="1009">
        <f t="shared" si="245"/>
        <v>1</v>
      </c>
      <c r="AN492" s="1009">
        <f t="shared" si="246"/>
        <v>1</v>
      </c>
      <c r="AO492" s="144">
        <f t="shared" si="200"/>
        <v>1</v>
      </c>
    </row>
    <row r="493" spans="1:41" ht="57.75" customHeight="1" x14ac:dyDescent="0.25">
      <c r="A493" s="60">
        <v>25</v>
      </c>
      <c r="B493" s="60"/>
      <c r="C493" s="9" t="s">
        <v>2625</v>
      </c>
      <c r="D493" s="25" t="s">
        <v>2626</v>
      </c>
      <c r="E493" s="25" t="s">
        <v>2627</v>
      </c>
      <c r="F493" s="25" t="s">
        <v>290</v>
      </c>
      <c r="G493" s="25"/>
      <c r="H493" s="288">
        <v>4500</v>
      </c>
      <c r="I493" s="288"/>
      <c r="J493" s="282"/>
      <c r="K493" s="282"/>
      <c r="L493" s="282"/>
      <c r="M493" s="282"/>
      <c r="N493" s="1077"/>
      <c r="O493" s="1081"/>
      <c r="P493" s="1079"/>
      <c r="Q493" s="1079"/>
      <c r="R493" s="1097"/>
      <c r="S493" s="1097"/>
      <c r="T493" s="488"/>
      <c r="U493" s="488"/>
      <c r="V493" s="54">
        <v>4000</v>
      </c>
      <c r="W493" s="54"/>
      <c r="X493" s="488">
        <f t="shared" si="243"/>
        <v>4000</v>
      </c>
      <c r="Y493" s="488">
        <f t="shared" si="244"/>
        <v>4000</v>
      </c>
      <c r="Z493" s="1075"/>
      <c r="AA493" s="1075"/>
      <c r="AB493" s="1075"/>
      <c r="AC493" s="1075"/>
      <c r="AD493" s="1075"/>
      <c r="AE493" s="1075"/>
      <c r="AF493" s="1075"/>
      <c r="AG493" s="1075"/>
      <c r="AH493" s="1075"/>
      <c r="AI493" s="1075"/>
      <c r="AJ493" s="1075"/>
      <c r="AK493" s="1075"/>
      <c r="AL493" s="25" t="s">
        <v>980</v>
      </c>
      <c r="AM493" s="1009">
        <f t="shared" si="245"/>
        <v>1</v>
      </c>
      <c r="AN493" s="1009">
        <f t="shared" si="246"/>
        <v>1</v>
      </c>
      <c r="AO493" s="144"/>
    </row>
    <row r="494" spans="1:41" ht="34.5" hidden="1" x14ac:dyDescent="0.25">
      <c r="A494" s="50" t="s">
        <v>47</v>
      </c>
      <c r="B494" s="50"/>
      <c r="C494" s="51" t="s">
        <v>1011</v>
      </c>
      <c r="D494" s="61"/>
      <c r="E494" s="70"/>
      <c r="F494" s="70"/>
      <c r="G494" s="61"/>
      <c r="H494" s="1058">
        <f>SUM(H495:H495)</f>
        <v>40889</v>
      </c>
      <c r="I494" s="1058">
        <f>SUM(I495:I495)</f>
        <v>40889</v>
      </c>
      <c r="J494" s="63"/>
      <c r="K494" s="282"/>
      <c r="L494" s="63"/>
      <c r="M494" s="282"/>
      <c r="N494" s="1058">
        <f t="shared" ref="N494:X494" si="247">SUM(N495:N495)</f>
        <v>10320</v>
      </c>
      <c r="O494" s="1058">
        <f t="shared" si="247"/>
        <v>10320</v>
      </c>
      <c r="P494" s="1058">
        <f t="shared" si="247"/>
        <v>0</v>
      </c>
      <c r="Q494" s="1058">
        <f t="shared" si="247"/>
        <v>0</v>
      </c>
      <c r="R494" s="1058">
        <f t="shared" si="247"/>
        <v>0</v>
      </c>
      <c r="S494" s="1058">
        <f t="shared" si="247"/>
        <v>10320</v>
      </c>
      <c r="T494" s="1131">
        <f t="shared" si="247"/>
        <v>0</v>
      </c>
      <c r="U494" s="1131">
        <v>0</v>
      </c>
      <c r="V494" s="1058"/>
      <c r="W494" s="1058"/>
      <c r="X494" s="1131">
        <f t="shared" si="247"/>
        <v>0</v>
      </c>
      <c r="Y494" s="1131">
        <f>Y495</f>
        <v>0</v>
      </c>
      <c r="Z494" s="1059">
        <f t="shared" ref="Z494:AK494" si="248">Z495+Z488</f>
        <v>0</v>
      </c>
      <c r="AA494" s="1059">
        <f t="shared" si="248"/>
        <v>0</v>
      </c>
      <c r="AB494" s="1059">
        <f t="shared" si="248"/>
        <v>0</v>
      </c>
      <c r="AC494" s="1059">
        <f t="shared" si="248"/>
        <v>0</v>
      </c>
      <c r="AD494" s="1059">
        <f t="shared" si="248"/>
        <v>0</v>
      </c>
      <c r="AE494" s="1059">
        <f t="shared" si="248"/>
        <v>0</v>
      </c>
      <c r="AF494" s="1059">
        <f t="shared" si="248"/>
        <v>0</v>
      </c>
      <c r="AG494" s="1059">
        <f t="shared" si="248"/>
        <v>0</v>
      </c>
      <c r="AH494" s="1059">
        <f t="shared" si="248"/>
        <v>0</v>
      </c>
      <c r="AI494" s="1059">
        <f t="shared" si="248"/>
        <v>0</v>
      </c>
      <c r="AJ494" s="1059">
        <f t="shared" si="248"/>
        <v>0</v>
      </c>
      <c r="AK494" s="1059">
        <f t="shared" si="248"/>
        <v>0</v>
      </c>
      <c r="AL494" s="69"/>
      <c r="AM494" s="1009">
        <f t="shared" ref="AM494:AM558" si="249">IF(Y494-U494=0,0,1)</f>
        <v>0</v>
      </c>
      <c r="AN494" s="1009">
        <f t="shared" ref="AN494:AN558" si="250">IF(Y494=0,0,1)</f>
        <v>0</v>
      </c>
      <c r="AO494" s="144">
        <f t="shared" si="200"/>
        <v>1</v>
      </c>
    </row>
    <row r="495" spans="1:41" ht="99" hidden="1" x14ac:dyDescent="0.25">
      <c r="A495" s="60">
        <v>25</v>
      </c>
      <c r="B495" s="60"/>
      <c r="C495" s="9" t="s">
        <v>1145</v>
      </c>
      <c r="D495" s="25" t="s">
        <v>576</v>
      </c>
      <c r="E495" s="25"/>
      <c r="F495" s="25" t="s">
        <v>155</v>
      </c>
      <c r="G495" s="70"/>
      <c r="H495" s="288">
        <f>I495</f>
        <v>40889</v>
      </c>
      <c r="I495" s="288">
        <v>40889</v>
      </c>
      <c r="J495" s="282"/>
      <c r="K495" s="282"/>
      <c r="L495" s="282"/>
      <c r="M495" s="282"/>
      <c r="N495" s="68">
        <f>O495</f>
        <v>10320</v>
      </c>
      <c r="O495" s="288">
        <v>10320</v>
      </c>
      <c r="P495" s="284"/>
      <c r="Q495" s="284"/>
      <c r="R495" s="54"/>
      <c r="S495" s="54">
        <f>O495-U495</f>
        <v>10320</v>
      </c>
      <c r="T495" s="488"/>
      <c r="U495" s="488"/>
      <c r="V495" s="54"/>
      <c r="W495" s="54"/>
      <c r="X495" s="488"/>
      <c r="Y495" s="488"/>
      <c r="Z495" s="282"/>
      <c r="AA495" s="282"/>
      <c r="AB495" s="282"/>
      <c r="AC495" s="282"/>
      <c r="AD495" s="282"/>
      <c r="AE495" s="282"/>
      <c r="AF495" s="282"/>
      <c r="AG495" s="282"/>
      <c r="AH495" s="282"/>
      <c r="AI495" s="282"/>
      <c r="AJ495" s="282"/>
      <c r="AK495" s="282"/>
      <c r="AL495" s="185" t="s">
        <v>1144</v>
      </c>
      <c r="AM495" s="1009">
        <f t="shared" si="249"/>
        <v>0</v>
      </c>
      <c r="AN495" s="1009">
        <f t="shared" si="250"/>
        <v>0</v>
      </c>
      <c r="AO495" s="144">
        <f t="shared" ref="AO495:AO558" si="251">IF(I495-Y495&gt;=0,1,0)</f>
        <v>1</v>
      </c>
    </row>
    <row r="496" spans="1:41" ht="33" hidden="1" x14ac:dyDescent="0.25">
      <c r="A496" s="23" t="s">
        <v>399</v>
      </c>
      <c r="B496" s="23"/>
      <c r="C496" s="1352" t="s">
        <v>1143</v>
      </c>
      <c r="D496" s="96"/>
      <c r="E496" s="1349"/>
      <c r="F496" s="1349"/>
      <c r="G496" s="1349"/>
      <c r="H496" s="1215">
        <f t="shared" ref="H496:AK496" si="252">H497+H503</f>
        <v>159747</v>
      </c>
      <c r="I496" s="1215">
        <f t="shared" si="252"/>
        <v>155366</v>
      </c>
      <c r="J496" s="1215">
        <f t="shared" si="252"/>
        <v>22000</v>
      </c>
      <c r="K496" s="1215">
        <f t="shared" si="252"/>
        <v>22000</v>
      </c>
      <c r="L496" s="1215">
        <f t="shared" si="252"/>
        <v>22000</v>
      </c>
      <c r="M496" s="1215">
        <f t="shared" si="252"/>
        <v>22000</v>
      </c>
      <c r="N496" s="1215">
        <f t="shared" si="252"/>
        <v>80000</v>
      </c>
      <c r="O496" s="1215">
        <f t="shared" si="252"/>
        <v>80000</v>
      </c>
      <c r="P496" s="1215">
        <f t="shared" si="252"/>
        <v>80000</v>
      </c>
      <c r="Q496" s="1215">
        <f t="shared" si="252"/>
        <v>80000</v>
      </c>
      <c r="R496" s="1215">
        <f t="shared" si="252"/>
        <v>14089</v>
      </c>
      <c r="S496" s="1215">
        <f t="shared" si="252"/>
        <v>14089</v>
      </c>
      <c r="T496" s="1215">
        <f t="shared" si="252"/>
        <v>80000</v>
      </c>
      <c r="U496" s="1215">
        <f t="shared" si="252"/>
        <v>80000</v>
      </c>
      <c r="V496" s="1215">
        <f t="shared" ref="V496:Y496" si="253">V497+V503</f>
        <v>42450</v>
      </c>
      <c r="W496" s="1215">
        <f t="shared" si="253"/>
        <v>0</v>
      </c>
      <c r="X496" s="1215">
        <f t="shared" si="253"/>
        <v>122450</v>
      </c>
      <c r="Y496" s="1215">
        <f t="shared" si="253"/>
        <v>122450</v>
      </c>
      <c r="Z496" s="1215" t="e">
        <f t="shared" si="252"/>
        <v>#REF!</v>
      </c>
      <c r="AA496" s="1215" t="e">
        <f t="shared" si="252"/>
        <v>#REF!</v>
      </c>
      <c r="AB496" s="1215" t="e">
        <f t="shared" si="252"/>
        <v>#REF!</v>
      </c>
      <c r="AC496" s="1215" t="e">
        <f t="shared" si="252"/>
        <v>#REF!</v>
      </c>
      <c r="AD496" s="1350" t="e">
        <f t="shared" si="252"/>
        <v>#REF!</v>
      </c>
      <c r="AE496" s="1350" t="e">
        <f t="shared" si="252"/>
        <v>#REF!</v>
      </c>
      <c r="AF496" s="1350" t="e">
        <f t="shared" si="252"/>
        <v>#REF!</v>
      </c>
      <c r="AG496" s="1350" t="e">
        <f t="shared" si="252"/>
        <v>#REF!</v>
      </c>
      <c r="AH496" s="1350" t="e">
        <f t="shared" si="252"/>
        <v>#REF!</v>
      </c>
      <c r="AI496" s="1350" t="e">
        <f t="shared" si="252"/>
        <v>#REF!</v>
      </c>
      <c r="AJ496" s="1350" t="e">
        <f t="shared" si="252"/>
        <v>#REF!</v>
      </c>
      <c r="AK496" s="1350" t="e">
        <f t="shared" si="252"/>
        <v>#REF!</v>
      </c>
      <c r="AL496" s="25"/>
      <c r="AM496" s="1009">
        <f>IF(Y496-U496=0,0,1)</f>
        <v>1</v>
      </c>
      <c r="AN496" s="1009">
        <f>IF(Y496=0,0,1)</f>
        <v>1</v>
      </c>
      <c r="AO496" s="144">
        <f t="shared" si="251"/>
        <v>1</v>
      </c>
    </row>
    <row r="497" spans="1:41" ht="51.75" hidden="1" x14ac:dyDescent="0.25">
      <c r="A497" s="1066" t="s">
        <v>45</v>
      </c>
      <c r="B497" s="1066"/>
      <c r="C497" s="51" t="s">
        <v>46</v>
      </c>
      <c r="D497" s="57"/>
      <c r="E497" s="57"/>
      <c r="F497" s="57"/>
      <c r="G497" s="57"/>
      <c r="H497" s="1017">
        <f t="shared" ref="H497:AK497" si="254">H498</f>
        <v>39506</v>
      </c>
      <c r="I497" s="1017">
        <f t="shared" si="254"/>
        <v>39506</v>
      </c>
      <c r="J497" s="1017">
        <f t="shared" si="254"/>
        <v>22000</v>
      </c>
      <c r="K497" s="1017">
        <f t="shared" si="254"/>
        <v>22000</v>
      </c>
      <c r="L497" s="1017">
        <f t="shared" si="254"/>
        <v>22000</v>
      </c>
      <c r="M497" s="1017">
        <f t="shared" si="254"/>
        <v>22000</v>
      </c>
      <c r="N497" s="1017">
        <f t="shared" si="254"/>
        <v>25250</v>
      </c>
      <c r="O497" s="1017">
        <f t="shared" si="254"/>
        <v>25250</v>
      </c>
      <c r="P497" s="1017">
        <f t="shared" si="254"/>
        <v>17235</v>
      </c>
      <c r="Q497" s="1017">
        <f t="shared" si="254"/>
        <v>17235</v>
      </c>
      <c r="R497" s="1017">
        <f t="shared" si="254"/>
        <v>140</v>
      </c>
      <c r="S497" s="1017">
        <f t="shared" si="254"/>
        <v>8155</v>
      </c>
      <c r="T497" s="1017">
        <f t="shared" si="254"/>
        <v>17235</v>
      </c>
      <c r="U497" s="1017">
        <f t="shared" si="254"/>
        <v>17235</v>
      </c>
      <c r="V497" s="1017">
        <f t="shared" si="254"/>
        <v>0</v>
      </c>
      <c r="W497" s="1017">
        <f t="shared" si="254"/>
        <v>0</v>
      </c>
      <c r="X497" s="1017">
        <f t="shared" si="254"/>
        <v>17235</v>
      </c>
      <c r="Y497" s="1017">
        <f t="shared" si="254"/>
        <v>17235</v>
      </c>
      <c r="Z497" s="1017">
        <f t="shared" si="254"/>
        <v>16600</v>
      </c>
      <c r="AA497" s="1017">
        <f t="shared" si="254"/>
        <v>16600</v>
      </c>
      <c r="AB497" s="1017">
        <f t="shared" si="254"/>
        <v>631</v>
      </c>
      <c r="AC497" s="1017">
        <f t="shared" si="254"/>
        <v>631</v>
      </c>
      <c r="AD497" s="1016">
        <f t="shared" si="254"/>
        <v>0</v>
      </c>
      <c r="AE497" s="1016">
        <f t="shared" si="254"/>
        <v>0</v>
      </c>
      <c r="AF497" s="1016">
        <f t="shared" si="254"/>
        <v>0</v>
      </c>
      <c r="AG497" s="1016">
        <f t="shared" si="254"/>
        <v>0</v>
      </c>
      <c r="AH497" s="1016">
        <f t="shared" si="254"/>
        <v>0</v>
      </c>
      <c r="AI497" s="1016">
        <f t="shared" si="254"/>
        <v>0</v>
      </c>
      <c r="AJ497" s="1016">
        <f t="shared" si="254"/>
        <v>0</v>
      </c>
      <c r="AK497" s="1016">
        <f t="shared" si="254"/>
        <v>0</v>
      </c>
      <c r="AL497" s="25"/>
      <c r="AM497" s="1009">
        <f t="shared" si="249"/>
        <v>0</v>
      </c>
      <c r="AN497" s="1009">
        <f t="shared" si="250"/>
        <v>1</v>
      </c>
      <c r="AO497" s="144">
        <f t="shared" si="251"/>
        <v>1</v>
      </c>
    </row>
    <row r="498" spans="1:41" ht="34.5" hidden="1" x14ac:dyDescent="0.25">
      <c r="A498" s="50" t="s">
        <v>47</v>
      </c>
      <c r="B498" s="50"/>
      <c r="C498" s="51" t="s">
        <v>48</v>
      </c>
      <c r="D498" s="57"/>
      <c r="E498" s="57"/>
      <c r="F498" s="57"/>
      <c r="G498" s="57"/>
      <c r="H498" s="1017">
        <f t="shared" ref="H498:V498" si="255">SUM(H501:H502)</f>
        <v>39506</v>
      </c>
      <c r="I498" s="1017">
        <f t="shared" si="255"/>
        <v>39506</v>
      </c>
      <c r="J498" s="1017">
        <f t="shared" si="255"/>
        <v>22000</v>
      </c>
      <c r="K498" s="1017">
        <f t="shared" si="255"/>
        <v>22000</v>
      </c>
      <c r="L498" s="1017">
        <f t="shared" si="255"/>
        <v>22000</v>
      </c>
      <c r="M498" s="1017">
        <f t="shared" si="255"/>
        <v>22000</v>
      </c>
      <c r="N498" s="1017">
        <f t="shared" si="255"/>
        <v>25250</v>
      </c>
      <c r="O498" s="1017">
        <f t="shared" si="255"/>
        <v>25250</v>
      </c>
      <c r="P498" s="1017">
        <f t="shared" si="255"/>
        <v>17235</v>
      </c>
      <c r="Q498" s="1017">
        <f t="shared" si="255"/>
        <v>17235</v>
      </c>
      <c r="R498" s="1017">
        <f t="shared" si="255"/>
        <v>140</v>
      </c>
      <c r="S498" s="1017">
        <f t="shared" si="255"/>
        <v>8155</v>
      </c>
      <c r="T498" s="1017">
        <f t="shared" si="255"/>
        <v>17235</v>
      </c>
      <c r="U498" s="1017">
        <f t="shared" si="255"/>
        <v>17235</v>
      </c>
      <c r="V498" s="1017">
        <f t="shared" si="255"/>
        <v>0</v>
      </c>
      <c r="W498" s="1017">
        <f>SUM(W501:W502)</f>
        <v>0</v>
      </c>
      <c r="X498" s="1017">
        <f t="shared" ref="X498:Y498" si="256">SUM(X501:X502)</f>
        <v>17235</v>
      </c>
      <c r="Y498" s="1017">
        <f t="shared" si="256"/>
        <v>17235</v>
      </c>
      <c r="Z498" s="1017">
        <f t="shared" ref="Z498:AC498" si="257">Z502+Z501</f>
        <v>16600</v>
      </c>
      <c r="AA498" s="1017">
        <f t="shared" si="257"/>
        <v>16600</v>
      </c>
      <c r="AB498" s="1017">
        <f t="shared" si="257"/>
        <v>631</v>
      </c>
      <c r="AC498" s="1017">
        <f t="shared" si="257"/>
        <v>631</v>
      </c>
      <c r="AD498" s="1017">
        <f t="shared" ref="AD498:AK498" si="258">AD502</f>
        <v>0</v>
      </c>
      <c r="AE498" s="1017">
        <f t="shared" si="258"/>
        <v>0</v>
      </c>
      <c r="AF498" s="1017">
        <f t="shared" si="258"/>
        <v>0</v>
      </c>
      <c r="AG498" s="1017">
        <f t="shared" si="258"/>
        <v>0</v>
      </c>
      <c r="AH498" s="1017">
        <f t="shared" si="258"/>
        <v>0</v>
      </c>
      <c r="AI498" s="1017">
        <f t="shared" si="258"/>
        <v>0</v>
      </c>
      <c r="AJ498" s="1017">
        <f t="shared" si="258"/>
        <v>0</v>
      </c>
      <c r="AK498" s="1017">
        <f t="shared" si="258"/>
        <v>0</v>
      </c>
      <c r="AL498" s="25"/>
      <c r="AM498" s="1009">
        <f t="shared" si="249"/>
        <v>0</v>
      </c>
      <c r="AN498" s="1009">
        <f t="shared" si="250"/>
        <v>1</v>
      </c>
      <c r="AO498" s="144">
        <f t="shared" si="251"/>
        <v>1</v>
      </c>
    </row>
    <row r="499" spans="1:41" ht="17.25" hidden="1" x14ac:dyDescent="0.25">
      <c r="A499" s="50"/>
      <c r="B499" s="50"/>
      <c r="C499" s="51" t="s">
        <v>49</v>
      </c>
      <c r="D499" s="52"/>
      <c r="E499" s="52"/>
      <c r="F499" s="52"/>
      <c r="G499" s="52"/>
      <c r="H499" s="1020"/>
      <c r="I499" s="1020"/>
      <c r="J499" s="1020"/>
      <c r="K499" s="1020"/>
      <c r="L499" s="1020"/>
      <c r="M499" s="1020"/>
      <c r="N499" s="1020"/>
      <c r="O499" s="1020"/>
      <c r="P499" s="1021"/>
      <c r="Q499" s="1021"/>
      <c r="R499" s="54"/>
      <c r="S499" s="54"/>
      <c r="T499" s="1022"/>
      <c r="U499" s="1022"/>
      <c r="V499" s="54"/>
      <c r="W499" s="54"/>
      <c r="X499" s="1022"/>
      <c r="Y499" s="1022"/>
      <c r="Z499" s="1020"/>
      <c r="AA499" s="1020"/>
      <c r="AB499" s="1020"/>
      <c r="AC499" s="1020"/>
      <c r="AD499" s="1020"/>
      <c r="AE499" s="1020"/>
      <c r="AF499" s="1020"/>
      <c r="AG499" s="1020"/>
      <c r="AH499" s="1020"/>
      <c r="AI499" s="1020"/>
      <c r="AJ499" s="1020"/>
      <c r="AK499" s="1020"/>
      <c r="AL499" s="25"/>
      <c r="AM499" s="1009">
        <f t="shared" si="249"/>
        <v>0</v>
      </c>
      <c r="AN499" s="1009">
        <f t="shared" si="250"/>
        <v>0</v>
      </c>
      <c r="AO499" s="144">
        <f t="shared" si="251"/>
        <v>1</v>
      </c>
    </row>
    <row r="500" spans="1:41" ht="51.75" hidden="1" x14ac:dyDescent="0.25">
      <c r="A500" s="50"/>
      <c r="B500" s="50"/>
      <c r="C500" s="56" t="s">
        <v>50</v>
      </c>
      <c r="D500" s="57"/>
      <c r="E500" s="57"/>
      <c r="F500" s="57"/>
      <c r="G500" s="57"/>
      <c r="H500" s="1017"/>
      <c r="I500" s="1017"/>
      <c r="J500" s="1017"/>
      <c r="K500" s="1017"/>
      <c r="L500" s="1017"/>
      <c r="M500" s="1017"/>
      <c r="N500" s="1017"/>
      <c r="O500" s="1017"/>
      <c r="P500" s="1016"/>
      <c r="Q500" s="1016"/>
      <c r="R500" s="54"/>
      <c r="S500" s="54"/>
      <c r="T500" s="1018"/>
      <c r="U500" s="1018"/>
      <c r="V500" s="54"/>
      <c r="W500" s="54"/>
      <c r="X500" s="1018"/>
      <c r="Y500" s="1018"/>
      <c r="Z500" s="1017"/>
      <c r="AA500" s="1017"/>
      <c r="AB500" s="1017"/>
      <c r="AC500" s="1017"/>
      <c r="AD500" s="1017"/>
      <c r="AE500" s="1017"/>
      <c r="AF500" s="1017"/>
      <c r="AG500" s="1017"/>
      <c r="AH500" s="1017"/>
      <c r="AI500" s="1017"/>
      <c r="AJ500" s="1017"/>
      <c r="AK500" s="1017"/>
      <c r="AL500" s="25"/>
      <c r="AM500" s="1009">
        <f t="shared" si="249"/>
        <v>0</v>
      </c>
      <c r="AN500" s="1009">
        <f t="shared" si="250"/>
        <v>0</v>
      </c>
      <c r="AO500" s="144">
        <f t="shared" si="251"/>
        <v>1</v>
      </c>
    </row>
    <row r="501" spans="1:41" ht="66" hidden="1" x14ac:dyDescent="0.25">
      <c r="A501" s="64" t="s">
        <v>1142</v>
      </c>
      <c r="B501" s="64"/>
      <c r="C501" s="67" t="s">
        <v>1141</v>
      </c>
      <c r="D501" s="61"/>
      <c r="E501" s="70"/>
      <c r="F501" s="126" t="s">
        <v>738</v>
      </c>
      <c r="G501" s="118" t="s">
        <v>1140</v>
      </c>
      <c r="H501" s="130">
        <f>I501</f>
        <v>12371</v>
      </c>
      <c r="I501" s="130">
        <v>12371</v>
      </c>
      <c r="J501" s="75">
        <v>7000</v>
      </c>
      <c r="K501" s="75">
        <v>7000</v>
      </c>
      <c r="L501" s="75">
        <v>7000</v>
      </c>
      <c r="M501" s="75">
        <v>7000</v>
      </c>
      <c r="N501" s="68">
        <v>5000</v>
      </c>
      <c r="O501" s="288">
        <f>N501</f>
        <v>5000</v>
      </c>
      <c r="P501" s="299">
        <f>Q501</f>
        <v>5140</v>
      </c>
      <c r="Q501" s="283">
        <v>5140</v>
      </c>
      <c r="R501" s="54">
        <f>U501-O501</f>
        <v>140</v>
      </c>
      <c r="S501" s="54"/>
      <c r="T501" s="462">
        <f>U501</f>
        <v>5140</v>
      </c>
      <c r="U501" s="487">
        <v>5140</v>
      </c>
      <c r="V501" s="54"/>
      <c r="W501" s="54"/>
      <c r="X501" s="462">
        <f>Y501</f>
        <v>5140</v>
      </c>
      <c r="Y501" s="487">
        <v>5140</v>
      </c>
      <c r="Z501" s="288">
        <f>AA501</f>
        <v>4600</v>
      </c>
      <c r="AA501" s="288">
        <v>4600</v>
      </c>
      <c r="AB501" s="288">
        <f>AC501</f>
        <v>536</v>
      </c>
      <c r="AC501" s="288">
        <v>536</v>
      </c>
      <c r="AD501" s="288"/>
      <c r="AE501" s="288"/>
      <c r="AF501" s="288"/>
      <c r="AG501" s="288"/>
      <c r="AH501" s="288"/>
      <c r="AI501" s="288"/>
      <c r="AJ501" s="288"/>
      <c r="AK501" s="288"/>
      <c r="AL501" s="25"/>
      <c r="AM501" s="1009">
        <f t="shared" si="249"/>
        <v>0</v>
      </c>
      <c r="AN501" s="1009">
        <f t="shared" si="250"/>
        <v>1</v>
      </c>
      <c r="AO501" s="144">
        <f t="shared" si="251"/>
        <v>1</v>
      </c>
    </row>
    <row r="502" spans="1:41" ht="49.5" hidden="1" x14ac:dyDescent="0.25">
      <c r="A502" s="60">
        <v>2</v>
      </c>
      <c r="B502" s="60"/>
      <c r="C502" s="67" t="s">
        <v>1139</v>
      </c>
      <c r="D502" s="61"/>
      <c r="E502" s="70"/>
      <c r="F502" s="126" t="s">
        <v>199</v>
      </c>
      <c r="G502" s="118" t="s">
        <v>1138</v>
      </c>
      <c r="H502" s="130">
        <v>27135</v>
      </c>
      <c r="I502" s="130">
        <f>H502</f>
        <v>27135</v>
      </c>
      <c r="J502" s="75">
        <v>15000</v>
      </c>
      <c r="K502" s="75">
        <v>15000</v>
      </c>
      <c r="L502" s="75">
        <v>15000</v>
      </c>
      <c r="M502" s="75">
        <v>15000</v>
      </c>
      <c r="N502" s="68">
        <v>20250</v>
      </c>
      <c r="O502" s="282">
        <f>N502</f>
        <v>20250</v>
      </c>
      <c r="P502" s="299">
        <v>12095</v>
      </c>
      <c r="Q502" s="284">
        <f>P502</f>
        <v>12095</v>
      </c>
      <c r="R502" s="54"/>
      <c r="S502" s="54">
        <f>O502-U502</f>
        <v>8155</v>
      </c>
      <c r="T502" s="462">
        <v>12095</v>
      </c>
      <c r="U502" s="488">
        <v>12095</v>
      </c>
      <c r="V502" s="54"/>
      <c r="W502" s="54"/>
      <c r="X502" s="462">
        <v>12095</v>
      </c>
      <c r="Y502" s="488">
        <v>12095</v>
      </c>
      <c r="Z502" s="288">
        <f>AA502</f>
        <v>12000</v>
      </c>
      <c r="AA502" s="288">
        <v>12000</v>
      </c>
      <c r="AB502" s="288">
        <f>AC502</f>
        <v>95</v>
      </c>
      <c r="AC502" s="288">
        <v>95</v>
      </c>
      <c r="AD502" s="288"/>
      <c r="AE502" s="288"/>
      <c r="AF502" s="288"/>
      <c r="AG502" s="288"/>
      <c r="AH502" s="288"/>
      <c r="AI502" s="288"/>
      <c r="AJ502" s="288"/>
      <c r="AK502" s="288"/>
      <c r="AL502" s="25"/>
      <c r="AM502" s="1009">
        <f t="shared" si="249"/>
        <v>0</v>
      </c>
      <c r="AN502" s="1009">
        <f t="shared" si="250"/>
        <v>1</v>
      </c>
      <c r="AO502" s="144">
        <f t="shared" si="251"/>
        <v>1</v>
      </c>
    </row>
    <row r="503" spans="1:41" ht="34.5" hidden="1" x14ac:dyDescent="0.25">
      <c r="A503" s="1066" t="s">
        <v>85</v>
      </c>
      <c r="B503" s="1066"/>
      <c r="C503" s="51" t="s">
        <v>86</v>
      </c>
      <c r="D503" s="57"/>
      <c r="E503" s="57"/>
      <c r="F503" s="57"/>
      <c r="G503" s="57"/>
      <c r="H503" s="1017">
        <f t="shared" ref="H503:U503" si="259">H504</f>
        <v>120241</v>
      </c>
      <c r="I503" s="1017">
        <f t="shared" si="259"/>
        <v>115860</v>
      </c>
      <c r="J503" s="1017">
        <f t="shared" si="259"/>
        <v>0</v>
      </c>
      <c r="K503" s="1017">
        <f t="shared" si="259"/>
        <v>0</v>
      </c>
      <c r="L503" s="1017">
        <f t="shared" si="259"/>
        <v>0</v>
      </c>
      <c r="M503" s="1017">
        <f t="shared" si="259"/>
        <v>0</v>
      </c>
      <c r="N503" s="1017">
        <f t="shared" si="259"/>
        <v>54750</v>
      </c>
      <c r="O503" s="1017">
        <f t="shared" si="259"/>
        <v>54750</v>
      </c>
      <c r="P503" s="1017">
        <f t="shared" si="259"/>
        <v>62765</v>
      </c>
      <c r="Q503" s="1017">
        <f t="shared" si="259"/>
        <v>62765</v>
      </c>
      <c r="R503" s="1017">
        <f t="shared" si="259"/>
        <v>13949</v>
      </c>
      <c r="S503" s="1017">
        <f t="shared" si="259"/>
        <v>5934</v>
      </c>
      <c r="T503" s="1017">
        <f t="shared" si="259"/>
        <v>62765</v>
      </c>
      <c r="U503" s="1017">
        <f t="shared" si="259"/>
        <v>62765</v>
      </c>
      <c r="V503" s="1017">
        <f>V504</f>
        <v>42450</v>
      </c>
      <c r="W503" s="1017">
        <f t="shared" ref="W503:Y503" si="260">W504</f>
        <v>0</v>
      </c>
      <c r="X503" s="1017">
        <f t="shared" si="260"/>
        <v>105215</v>
      </c>
      <c r="Y503" s="1017">
        <f t="shared" si="260"/>
        <v>105215</v>
      </c>
      <c r="Z503" s="1017" t="e">
        <f>Z504+#REF!</f>
        <v>#REF!</v>
      </c>
      <c r="AA503" s="1017" t="e">
        <f>AA504+#REF!</f>
        <v>#REF!</v>
      </c>
      <c r="AB503" s="1017" t="e">
        <f>AB504+#REF!</f>
        <v>#REF!</v>
      </c>
      <c r="AC503" s="1017" t="e">
        <f>AC504+#REF!</f>
        <v>#REF!</v>
      </c>
      <c r="AD503" s="1016" t="e">
        <f>AD504+#REF!</f>
        <v>#REF!</v>
      </c>
      <c r="AE503" s="1016" t="e">
        <f>AE504+#REF!</f>
        <v>#REF!</v>
      </c>
      <c r="AF503" s="1016" t="e">
        <f>AF504+#REF!</f>
        <v>#REF!</v>
      </c>
      <c r="AG503" s="1016" t="e">
        <f>AG504+#REF!</f>
        <v>#REF!</v>
      </c>
      <c r="AH503" s="1016" t="e">
        <f>AH504+#REF!</f>
        <v>#REF!</v>
      </c>
      <c r="AI503" s="1016" t="e">
        <f>AI504+#REF!</f>
        <v>#REF!</v>
      </c>
      <c r="AJ503" s="1016" t="e">
        <f>AJ504+#REF!</f>
        <v>#REF!</v>
      </c>
      <c r="AK503" s="1016" t="e">
        <f>AK504+#REF!</f>
        <v>#REF!</v>
      </c>
      <c r="AL503" s="59"/>
      <c r="AM503" s="1009">
        <f t="shared" si="249"/>
        <v>1</v>
      </c>
      <c r="AN503" s="1009">
        <f t="shared" si="250"/>
        <v>1</v>
      </c>
      <c r="AO503" s="144">
        <f t="shared" si="251"/>
        <v>1</v>
      </c>
    </row>
    <row r="504" spans="1:41" ht="51.75" hidden="1" x14ac:dyDescent="0.25">
      <c r="A504" s="50" t="s">
        <v>87</v>
      </c>
      <c r="B504" s="50"/>
      <c r="C504" s="51" t="s">
        <v>88</v>
      </c>
      <c r="D504" s="57"/>
      <c r="E504" s="57"/>
      <c r="F504" s="57"/>
      <c r="G504" s="57"/>
      <c r="H504" s="1017">
        <f t="shared" ref="H504:X504" si="261">SUM(H505:H518)-H511-H512</f>
        <v>120241</v>
      </c>
      <c r="I504" s="1017">
        <f t="shared" si="261"/>
        <v>115860</v>
      </c>
      <c r="J504" s="1017">
        <f t="shared" si="261"/>
        <v>0</v>
      </c>
      <c r="K504" s="1017">
        <f t="shared" si="261"/>
        <v>0</v>
      </c>
      <c r="L504" s="1017">
        <f t="shared" si="261"/>
        <v>0</v>
      </c>
      <c r="M504" s="1017">
        <f t="shared" si="261"/>
        <v>0</v>
      </c>
      <c r="N504" s="1017">
        <f t="shared" si="261"/>
        <v>54750</v>
      </c>
      <c r="O504" s="1017">
        <f t="shared" si="261"/>
        <v>54750</v>
      </c>
      <c r="P504" s="1017">
        <f t="shared" si="261"/>
        <v>62765</v>
      </c>
      <c r="Q504" s="1017">
        <f t="shared" si="261"/>
        <v>62765</v>
      </c>
      <c r="R504" s="1017">
        <f t="shared" si="261"/>
        <v>13949</v>
      </c>
      <c r="S504" s="1017">
        <f t="shared" si="261"/>
        <v>5934</v>
      </c>
      <c r="T504" s="1017">
        <f t="shared" si="261"/>
        <v>62765</v>
      </c>
      <c r="U504" s="1017">
        <f t="shared" si="261"/>
        <v>62765</v>
      </c>
      <c r="V504" s="1017">
        <f t="shared" si="261"/>
        <v>42450</v>
      </c>
      <c r="W504" s="1017">
        <f t="shared" si="261"/>
        <v>0</v>
      </c>
      <c r="X504" s="1017">
        <f t="shared" si="261"/>
        <v>105215</v>
      </c>
      <c r="Y504" s="1017">
        <f>SUM(Y505:Y518)-Y511-Y512</f>
        <v>105215</v>
      </c>
      <c r="Z504" s="1017">
        <f t="shared" ref="Z504:AC504" si="262">Z505+Z506+Z508+Z510+Z513</f>
        <v>7000</v>
      </c>
      <c r="AA504" s="1017">
        <f t="shared" si="262"/>
        <v>7000</v>
      </c>
      <c r="AB504" s="1017">
        <f t="shared" si="262"/>
        <v>10539</v>
      </c>
      <c r="AC504" s="1017">
        <f t="shared" si="262"/>
        <v>10539</v>
      </c>
      <c r="AD504" s="1016">
        <f t="shared" ref="AD504:AK504" si="263">SUM(AD505:AD513)</f>
        <v>0</v>
      </c>
      <c r="AE504" s="1016">
        <f t="shared" si="263"/>
        <v>0</v>
      </c>
      <c r="AF504" s="1016">
        <f t="shared" si="263"/>
        <v>0</v>
      </c>
      <c r="AG504" s="1016">
        <f t="shared" si="263"/>
        <v>0</v>
      </c>
      <c r="AH504" s="1016">
        <f t="shared" si="263"/>
        <v>0</v>
      </c>
      <c r="AI504" s="1016">
        <f t="shared" si="263"/>
        <v>0</v>
      </c>
      <c r="AJ504" s="1016">
        <f t="shared" si="263"/>
        <v>0</v>
      </c>
      <c r="AK504" s="1016">
        <f t="shared" si="263"/>
        <v>0</v>
      </c>
      <c r="AL504" s="59"/>
      <c r="AM504" s="1009">
        <f t="shared" si="249"/>
        <v>1</v>
      </c>
      <c r="AN504" s="1009">
        <f t="shared" si="250"/>
        <v>1</v>
      </c>
      <c r="AO504" s="144">
        <f t="shared" si="251"/>
        <v>1</v>
      </c>
    </row>
    <row r="505" spans="1:41" ht="49.5" hidden="1" x14ac:dyDescent="0.25">
      <c r="A505" s="749">
        <v>3</v>
      </c>
      <c r="B505" s="749"/>
      <c r="C505" s="67" t="s">
        <v>1137</v>
      </c>
      <c r="D505" s="61"/>
      <c r="E505" s="126" t="s">
        <v>1136</v>
      </c>
      <c r="F505" s="126" t="s">
        <v>97</v>
      </c>
      <c r="G505" s="118" t="s">
        <v>1135</v>
      </c>
      <c r="H505" s="130">
        <f>I505</f>
        <v>3738</v>
      </c>
      <c r="I505" s="130">
        <v>3738</v>
      </c>
      <c r="J505" s="1028"/>
      <c r="K505" s="1028"/>
      <c r="L505" s="1028"/>
      <c r="M505" s="1028"/>
      <c r="N505" s="68">
        <v>4360</v>
      </c>
      <c r="O505" s="68">
        <v>4360</v>
      </c>
      <c r="P505" s="299">
        <f>Q505</f>
        <v>3850</v>
      </c>
      <c r="Q505" s="299">
        <v>3850</v>
      </c>
      <c r="R505" s="54"/>
      <c r="S505" s="54">
        <f>O505-U505</f>
        <v>633</v>
      </c>
      <c r="T505" s="462">
        <f>U505</f>
        <v>3727</v>
      </c>
      <c r="U505" s="462">
        <v>3727</v>
      </c>
      <c r="V505" s="54"/>
      <c r="W505" s="54"/>
      <c r="X505" s="462">
        <f>Y505</f>
        <v>3727</v>
      </c>
      <c r="Y505" s="462">
        <v>3727</v>
      </c>
      <c r="Z505" s="288">
        <f>AA505</f>
        <v>3200</v>
      </c>
      <c r="AA505" s="288">
        <v>3200</v>
      </c>
      <c r="AB505" s="288">
        <f t="shared" ref="AB505:AB510" si="264">AC505</f>
        <v>650</v>
      </c>
      <c r="AC505" s="288">
        <v>650</v>
      </c>
      <c r="AD505" s="288"/>
      <c r="AE505" s="288"/>
      <c r="AF505" s="288"/>
      <c r="AG505" s="288"/>
      <c r="AH505" s="288"/>
      <c r="AI505" s="288"/>
      <c r="AJ505" s="288"/>
      <c r="AK505" s="288"/>
      <c r="AL505" s="749"/>
      <c r="AM505" s="1009">
        <f t="shared" si="249"/>
        <v>0</v>
      </c>
      <c r="AN505" s="1009">
        <f t="shared" si="250"/>
        <v>1</v>
      </c>
      <c r="AO505" s="144">
        <f t="shared" si="251"/>
        <v>1</v>
      </c>
    </row>
    <row r="506" spans="1:41" ht="49.5" hidden="1" x14ac:dyDescent="0.25">
      <c r="A506" s="749">
        <v>4</v>
      </c>
      <c r="B506" s="749"/>
      <c r="C506" s="67" t="s">
        <v>1134</v>
      </c>
      <c r="D506" s="61"/>
      <c r="E506" s="126" t="s">
        <v>1133</v>
      </c>
      <c r="F506" s="126" t="s">
        <v>199</v>
      </c>
      <c r="G506" s="118" t="s">
        <v>1132</v>
      </c>
      <c r="H506" s="130">
        <f>I506</f>
        <v>3877</v>
      </c>
      <c r="I506" s="130">
        <v>3877</v>
      </c>
      <c r="J506" s="1017"/>
      <c r="K506" s="1017"/>
      <c r="L506" s="1017"/>
      <c r="M506" s="1017"/>
      <c r="N506" s="68">
        <v>4710</v>
      </c>
      <c r="O506" s="68">
        <v>4710</v>
      </c>
      <c r="P506" s="299">
        <f>Q506</f>
        <v>3875</v>
      </c>
      <c r="Q506" s="299">
        <v>3875</v>
      </c>
      <c r="R506" s="54"/>
      <c r="S506" s="54">
        <f>O506-U506</f>
        <v>835</v>
      </c>
      <c r="T506" s="462">
        <f>U506</f>
        <v>3875</v>
      </c>
      <c r="U506" s="462">
        <v>3875</v>
      </c>
      <c r="V506" s="54"/>
      <c r="W506" s="54"/>
      <c r="X506" s="462">
        <f>Y506</f>
        <v>3875</v>
      </c>
      <c r="Y506" s="462">
        <v>3875</v>
      </c>
      <c r="Z506" s="288">
        <f>AA506</f>
        <v>3800</v>
      </c>
      <c r="AA506" s="288">
        <v>3800</v>
      </c>
      <c r="AB506" s="288">
        <f t="shared" si="264"/>
        <v>75</v>
      </c>
      <c r="AC506" s="288">
        <v>75</v>
      </c>
      <c r="AD506" s="288"/>
      <c r="AE506" s="288"/>
      <c r="AF506" s="288"/>
      <c r="AG506" s="288"/>
      <c r="AH506" s="288"/>
      <c r="AI506" s="288"/>
      <c r="AJ506" s="288"/>
      <c r="AK506" s="288"/>
      <c r="AL506" s="749"/>
      <c r="AM506" s="1009">
        <f t="shared" si="249"/>
        <v>0</v>
      </c>
      <c r="AN506" s="1009">
        <f t="shared" si="250"/>
        <v>1</v>
      </c>
      <c r="AO506" s="144">
        <f t="shared" si="251"/>
        <v>1</v>
      </c>
    </row>
    <row r="507" spans="1:41" ht="49.5" hidden="1" x14ac:dyDescent="0.25">
      <c r="A507" s="749">
        <v>5</v>
      </c>
      <c r="B507" s="749"/>
      <c r="C507" s="1100" t="s">
        <v>1131</v>
      </c>
      <c r="D507" s="61"/>
      <c r="E507" s="70"/>
      <c r="F507" s="70" t="s">
        <v>109</v>
      </c>
      <c r="G507" s="61" t="s">
        <v>1130</v>
      </c>
      <c r="H507" s="1132">
        <v>995</v>
      </c>
      <c r="I507" s="1132">
        <v>995</v>
      </c>
      <c r="J507" s="1020"/>
      <c r="K507" s="1020"/>
      <c r="L507" s="1020"/>
      <c r="M507" s="1020"/>
      <c r="N507" s="68">
        <v>900</v>
      </c>
      <c r="O507" s="68">
        <v>900</v>
      </c>
      <c r="P507" s="299">
        <v>900</v>
      </c>
      <c r="Q507" s="299">
        <v>900</v>
      </c>
      <c r="R507" s="54"/>
      <c r="S507" s="54">
        <f>O507-U507</f>
        <v>58</v>
      </c>
      <c r="T507" s="462">
        <f>U507</f>
        <v>842</v>
      </c>
      <c r="U507" s="462">
        <v>842</v>
      </c>
      <c r="V507" s="54"/>
      <c r="W507" s="54"/>
      <c r="X507" s="462">
        <f>Y507</f>
        <v>842</v>
      </c>
      <c r="Y507" s="462">
        <v>842</v>
      </c>
      <c r="Z507" s="288"/>
      <c r="AA507" s="288"/>
      <c r="AB507" s="288">
        <f t="shared" si="264"/>
        <v>830</v>
      </c>
      <c r="AC507" s="288">
        <v>830</v>
      </c>
      <c r="AD507" s="288"/>
      <c r="AE507" s="288"/>
      <c r="AF507" s="288"/>
      <c r="AG507" s="288"/>
      <c r="AH507" s="288"/>
      <c r="AI507" s="288"/>
      <c r="AJ507" s="288"/>
      <c r="AK507" s="288"/>
      <c r="AL507" s="55"/>
      <c r="AM507" s="1009">
        <f t="shared" si="249"/>
        <v>0</v>
      </c>
      <c r="AN507" s="1009">
        <f t="shared" si="250"/>
        <v>1</v>
      </c>
      <c r="AO507" s="144">
        <f t="shared" si="251"/>
        <v>1</v>
      </c>
    </row>
    <row r="508" spans="1:41" ht="49.5" hidden="1" x14ac:dyDescent="0.25">
      <c r="A508" s="749">
        <v>6</v>
      </c>
      <c r="B508" s="749"/>
      <c r="C508" s="1100" t="s">
        <v>1129</v>
      </c>
      <c r="D508" s="61"/>
      <c r="E508" s="70"/>
      <c r="F508" s="70" t="s">
        <v>248</v>
      </c>
      <c r="G508" s="61" t="s">
        <v>1128</v>
      </c>
      <c r="H508" s="1132">
        <v>20735</v>
      </c>
      <c r="I508" s="1132">
        <v>16354</v>
      </c>
      <c r="J508" s="1017"/>
      <c r="K508" s="1017"/>
      <c r="L508" s="1017"/>
      <c r="M508" s="1017"/>
      <c r="N508" s="68">
        <v>18000</v>
      </c>
      <c r="O508" s="68">
        <v>18000</v>
      </c>
      <c r="P508" s="299">
        <f>Q508</f>
        <v>13980</v>
      </c>
      <c r="Q508" s="299">
        <f>7980+6000</f>
        <v>13980</v>
      </c>
      <c r="R508" s="54"/>
      <c r="S508" s="54">
        <f>O508-U508</f>
        <v>4376</v>
      </c>
      <c r="T508" s="462">
        <f>U508</f>
        <v>13624</v>
      </c>
      <c r="U508" s="462">
        <v>13624</v>
      </c>
      <c r="V508" s="54"/>
      <c r="W508" s="54"/>
      <c r="X508" s="462">
        <f>Y508</f>
        <v>13624</v>
      </c>
      <c r="Y508" s="462">
        <v>13624</v>
      </c>
      <c r="Z508" s="288"/>
      <c r="AA508" s="288"/>
      <c r="AB508" s="288">
        <f t="shared" si="264"/>
        <v>6000</v>
      </c>
      <c r="AC508" s="288">
        <v>6000</v>
      </c>
      <c r="AD508" s="288"/>
      <c r="AE508" s="288"/>
      <c r="AF508" s="288"/>
      <c r="AG508" s="288"/>
      <c r="AH508" s="288"/>
      <c r="AI508" s="288"/>
      <c r="AJ508" s="288"/>
      <c r="AK508" s="288"/>
      <c r="AL508" s="59"/>
      <c r="AM508" s="1009">
        <f t="shared" si="249"/>
        <v>0</v>
      </c>
      <c r="AN508" s="1009">
        <f t="shared" si="250"/>
        <v>1</v>
      </c>
      <c r="AO508" s="144">
        <f t="shared" si="251"/>
        <v>1</v>
      </c>
    </row>
    <row r="509" spans="1:41" ht="49.5" hidden="1" x14ac:dyDescent="0.25">
      <c r="A509" s="749">
        <v>7</v>
      </c>
      <c r="B509" s="749"/>
      <c r="C509" s="67" t="s">
        <v>1127</v>
      </c>
      <c r="D509" s="61"/>
      <c r="E509" s="70" t="s">
        <v>1126</v>
      </c>
      <c r="F509" s="70" t="s">
        <v>116</v>
      </c>
      <c r="G509" s="61" t="s">
        <v>1125</v>
      </c>
      <c r="H509" s="1132">
        <v>5132</v>
      </c>
      <c r="I509" s="1132">
        <v>5132</v>
      </c>
      <c r="J509" s="63"/>
      <c r="K509" s="282"/>
      <c r="L509" s="63"/>
      <c r="M509" s="282"/>
      <c r="N509" s="68">
        <v>4500</v>
      </c>
      <c r="O509" s="68">
        <v>4500</v>
      </c>
      <c r="P509" s="299">
        <v>4500</v>
      </c>
      <c r="Q509" s="299">
        <v>4500</v>
      </c>
      <c r="R509" s="54"/>
      <c r="S509" s="54">
        <f>O509-U509</f>
        <v>32</v>
      </c>
      <c r="T509" s="462">
        <f>U509</f>
        <v>4468</v>
      </c>
      <c r="U509" s="462">
        <v>4468</v>
      </c>
      <c r="V509" s="54"/>
      <c r="W509" s="54"/>
      <c r="X509" s="462">
        <f>Y509</f>
        <v>4468</v>
      </c>
      <c r="Y509" s="462">
        <v>4468</v>
      </c>
      <c r="Z509" s="288"/>
      <c r="AA509" s="288"/>
      <c r="AB509" s="288">
        <f t="shared" si="264"/>
        <v>4000</v>
      </c>
      <c r="AC509" s="288">
        <v>4000</v>
      </c>
      <c r="AD509" s="288"/>
      <c r="AE509" s="288"/>
      <c r="AF509" s="288"/>
      <c r="AG509" s="288"/>
      <c r="AH509" s="288"/>
      <c r="AI509" s="288"/>
      <c r="AJ509" s="288"/>
      <c r="AK509" s="288"/>
      <c r="AL509" s="69"/>
      <c r="AM509" s="1009">
        <f t="shared" si="249"/>
        <v>0</v>
      </c>
      <c r="AN509" s="1009">
        <f t="shared" si="250"/>
        <v>1</v>
      </c>
      <c r="AO509" s="144">
        <f t="shared" si="251"/>
        <v>1</v>
      </c>
    </row>
    <row r="510" spans="1:41" ht="49.5" hidden="1" x14ac:dyDescent="0.25">
      <c r="A510" s="749">
        <v>8</v>
      </c>
      <c r="B510" s="749"/>
      <c r="C510" s="1100" t="s">
        <v>1124</v>
      </c>
      <c r="D510" s="61"/>
      <c r="E510" s="70"/>
      <c r="F510" s="70" t="s">
        <v>116</v>
      </c>
      <c r="G510" s="61"/>
      <c r="H510" s="1132">
        <f>H511+H512</f>
        <v>18648</v>
      </c>
      <c r="I510" s="1132">
        <f>I511+I512</f>
        <v>18648</v>
      </c>
      <c r="J510" s="63"/>
      <c r="K510" s="282"/>
      <c r="L510" s="63"/>
      <c r="M510" s="282"/>
      <c r="N510" s="1132">
        <f t="shared" ref="N510:Q510" si="265">N511+N512</f>
        <v>12500</v>
      </c>
      <c r="O510" s="1132">
        <f t="shared" si="265"/>
        <v>12500</v>
      </c>
      <c r="P510" s="1060">
        <f t="shared" si="265"/>
        <v>17400</v>
      </c>
      <c r="Q510" s="1060">
        <f t="shared" si="265"/>
        <v>17400</v>
      </c>
      <c r="R510" s="54">
        <f>U510-O510</f>
        <v>4276</v>
      </c>
      <c r="S510" s="54"/>
      <c r="T510" s="1133">
        <f>T511+T512</f>
        <v>16776</v>
      </c>
      <c r="U510" s="1133">
        <f>U511+U512</f>
        <v>16776</v>
      </c>
      <c r="V510" s="54"/>
      <c r="W510" s="54"/>
      <c r="X510" s="1133">
        <f>X511+X512</f>
        <v>16776</v>
      </c>
      <c r="Y510" s="1133">
        <f>Y511+Y512</f>
        <v>16776</v>
      </c>
      <c r="Z510" s="288"/>
      <c r="AA510" s="288"/>
      <c r="AB510" s="288">
        <f t="shared" si="264"/>
        <v>3814</v>
      </c>
      <c r="AC510" s="288">
        <v>3814</v>
      </c>
      <c r="AD510" s="288"/>
      <c r="AE510" s="288"/>
      <c r="AF510" s="288"/>
      <c r="AG510" s="288"/>
      <c r="AH510" s="288"/>
      <c r="AI510" s="288"/>
      <c r="AJ510" s="288"/>
      <c r="AK510" s="288"/>
      <c r="AL510" s="25"/>
      <c r="AM510" s="1009">
        <f t="shared" si="249"/>
        <v>0</v>
      </c>
      <c r="AN510" s="1009">
        <f t="shared" si="250"/>
        <v>1</v>
      </c>
      <c r="AO510" s="144">
        <f t="shared" si="251"/>
        <v>1</v>
      </c>
    </row>
    <row r="511" spans="1:41" s="1332" customFormat="1" ht="66" hidden="1" x14ac:dyDescent="0.25">
      <c r="A511" s="1134" t="s">
        <v>1123</v>
      </c>
      <c r="B511" s="1134"/>
      <c r="C511" s="1135" t="s">
        <v>1122</v>
      </c>
      <c r="D511" s="83"/>
      <c r="E511" s="1136"/>
      <c r="F511" s="1136" t="s">
        <v>116</v>
      </c>
      <c r="G511" s="83"/>
      <c r="H511" s="1137">
        <f t="shared" ref="H511:H518" si="266">I511</f>
        <v>6503</v>
      </c>
      <c r="I511" s="1137">
        <v>6503</v>
      </c>
      <c r="J511" s="86"/>
      <c r="K511" s="1138"/>
      <c r="L511" s="86"/>
      <c r="M511" s="1138"/>
      <c r="N511" s="85">
        <f>O511</f>
        <v>6500</v>
      </c>
      <c r="O511" s="85">
        <v>6500</v>
      </c>
      <c r="P511" s="1061">
        <f>N511</f>
        <v>6500</v>
      </c>
      <c r="Q511" s="1061">
        <f>O511</f>
        <v>6500</v>
      </c>
      <c r="R511" s="1139"/>
      <c r="S511" s="54">
        <f>O511-U511</f>
        <v>624</v>
      </c>
      <c r="T511" s="1140">
        <f>U511</f>
        <v>5876</v>
      </c>
      <c r="U511" s="1140">
        <v>5876</v>
      </c>
      <c r="V511" s="1139"/>
      <c r="W511" s="54"/>
      <c r="X511" s="1140">
        <f>Y511</f>
        <v>5876</v>
      </c>
      <c r="Y511" s="1140">
        <v>5876</v>
      </c>
      <c r="Z511" s="1020"/>
      <c r="AA511" s="1020"/>
      <c r="AB511" s="1020"/>
      <c r="AC511" s="1020"/>
      <c r="AD511" s="1020"/>
      <c r="AE511" s="1020"/>
      <c r="AF511" s="1020"/>
      <c r="AG511" s="1020"/>
      <c r="AH511" s="1020"/>
      <c r="AI511" s="1020"/>
      <c r="AJ511" s="1020"/>
      <c r="AK511" s="1020"/>
      <c r="AL511" s="1141"/>
      <c r="AM511" s="1009">
        <f t="shared" si="249"/>
        <v>0</v>
      </c>
      <c r="AN511" s="1009">
        <f t="shared" si="250"/>
        <v>1</v>
      </c>
      <c r="AO511" s="144">
        <f t="shared" si="251"/>
        <v>1</v>
      </c>
    </row>
    <row r="512" spans="1:41" s="1332" customFormat="1" ht="66" hidden="1" x14ac:dyDescent="0.25">
      <c r="A512" s="1134" t="s">
        <v>1121</v>
      </c>
      <c r="B512" s="1134"/>
      <c r="C512" s="1135" t="s">
        <v>1120</v>
      </c>
      <c r="D512" s="83"/>
      <c r="E512" s="1136"/>
      <c r="F512" s="1136" t="s">
        <v>116</v>
      </c>
      <c r="G512" s="83"/>
      <c r="H512" s="1137">
        <f t="shared" si="266"/>
        <v>12145</v>
      </c>
      <c r="I512" s="1137">
        <v>12145</v>
      </c>
      <c r="J512" s="86"/>
      <c r="K512" s="1138"/>
      <c r="L512" s="86"/>
      <c r="M512" s="1138"/>
      <c r="N512" s="85">
        <v>6000</v>
      </c>
      <c r="O512" s="85">
        <f>N512</f>
        <v>6000</v>
      </c>
      <c r="P512" s="1061">
        <f>Q512</f>
        <v>10900</v>
      </c>
      <c r="Q512" s="1061">
        <v>10900</v>
      </c>
      <c r="R512" s="1061">
        <f>U512-O512</f>
        <v>4900</v>
      </c>
      <c r="S512" s="54"/>
      <c r="T512" s="1140">
        <f>U512</f>
        <v>10900</v>
      </c>
      <c r="U512" s="1140">
        <v>10900</v>
      </c>
      <c r="V512" s="1061"/>
      <c r="W512" s="54"/>
      <c r="X512" s="1140">
        <f>Y512</f>
        <v>10900</v>
      </c>
      <c r="Y512" s="1140">
        <v>10900</v>
      </c>
      <c r="Z512" s="1020"/>
      <c r="AA512" s="1020"/>
      <c r="AB512" s="1020"/>
      <c r="AC512" s="1020"/>
      <c r="AD512" s="1020"/>
      <c r="AE512" s="1020"/>
      <c r="AF512" s="1020"/>
      <c r="AG512" s="1020"/>
      <c r="AH512" s="1020"/>
      <c r="AI512" s="1020"/>
      <c r="AJ512" s="1020"/>
      <c r="AK512" s="1020"/>
      <c r="AL512" s="1141"/>
      <c r="AM512" s="1009">
        <f t="shared" si="249"/>
        <v>0</v>
      </c>
      <c r="AN512" s="1009">
        <f t="shared" si="250"/>
        <v>1</v>
      </c>
      <c r="AO512" s="144">
        <f t="shared" si="251"/>
        <v>1</v>
      </c>
    </row>
    <row r="513" spans="1:42" ht="33" hidden="1" x14ac:dyDescent="0.25">
      <c r="A513" s="60">
        <v>9</v>
      </c>
      <c r="B513" s="60"/>
      <c r="C513" s="1100" t="s">
        <v>1119</v>
      </c>
      <c r="D513" s="61"/>
      <c r="E513" s="70" t="s">
        <v>1118</v>
      </c>
      <c r="F513" s="70" t="s">
        <v>248</v>
      </c>
      <c r="G513" s="61"/>
      <c r="H513" s="1132">
        <f t="shared" si="266"/>
        <v>7374</v>
      </c>
      <c r="I513" s="1132">
        <v>7374</v>
      </c>
      <c r="J513" s="63"/>
      <c r="K513" s="282"/>
      <c r="L513" s="63"/>
      <c r="M513" s="282"/>
      <c r="N513" s="68"/>
      <c r="O513" s="68"/>
      <c r="P513" s="299">
        <f>Q513</f>
        <v>6700</v>
      </c>
      <c r="Q513" s="299">
        <v>6700</v>
      </c>
      <c r="R513" s="54">
        <f>U513-O513</f>
        <v>5983</v>
      </c>
      <c r="S513" s="54"/>
      <c r="T513" s="462">
        <f>U513</f>
        <v>5983</v>
      </c>
      <c r="U513" s="462">
        <v>5983</v>
      </c>
      <c r="V513" s="54"/>
      <c r="W513" s="54"/>
      <c r="X513" s="462">
        <f>Y513</f>
        <v>5983</v>
      </c>
      <c r="Y513" s="462">
        <v>5983</v>
      </c>
      <c r="Z513" s="288"/>
      <c r="AA513" s="288"/>
      <c r="AB513" s="288"/>
      <c r="AC513" s="288"/>
      <c r="AD513" s="288"/>
      <c r="AE513" s="288"/>
      <c r="AF513" s="288"/>
      <c r="AG513" s="288"/>
      <c r="AH513" s="288"/>
      <c r="AI513" s="288"/>
      <c r="AJ513" s="288"/>
      <c r="AK513" s="288"/>
      <c r="AL513" s="25"/>
      <c r="AM513" s="1009">
        <f t="shared" si="249"/>
        <v>0</v>
      </c>
      <c r="AN513" s="1009">
        <f t="shared" si="250"/>
        <v>1</v>
      </c>
      <c r="AO513" s="144">
        <f t="shared" si="251"/>
        <v>1</v>
      </c>
    </row>
    <row r="514" spans="1:42" ht="66" hidden="1" x14ac:dyDescent="0.25">
      <c r="A514" s="60">
        <v>10</v>
      </c>
      <c r="B514" s="60">
        <v>1</v>
      </c>
      <c r="C514" s="1100" t="s">
        <v>1116</v>
      </c>
      <c r="D514" s="61" t="s">
        <v>2420</v>
      </c>
      <c r="E514" s="70" t="s">
        <v>1115</v>
      </c>
      <c r="F514" s="70" t="s">
        <v>290</v>
      </c>
      <c r="G514" s="61"/>
      <c r="H514" s="1132">
        <f t="shared" si="266"/>
        <v>21368</v>
      </c>
      <c r="I514" s="1132">
        <v>21368</v>
      </c>
      <c r="J514" s="63"/>
      <c r="K514" s="282"/>
      <c r="L514" s="63"/>
      <c r="M514" s="282"/>
      <c r="N514" s="4">
        <v>9780</v>
      </c>
      <c r="O514" s="4">
        <v>9780</v>
      </c>
      <c r="P514" s="243">
        <f>Q514</f>
        <v>11560</v>
      </c>
      <c r="Q514" s="243">
        <f>11700-140</f>
        <v>11560</v>
      </c>
      <c r="R514" s="8">
        <f>T514-O514</f>
        <v>3690</v>
      </c>
      <c r="S514" s="8"/>
      <c r="T514" s="462">
        <f>U514</f>
        <v>13470</v>
      </c>
      <c r="U514" s="462">
        <v>13470</v>
      </c>
      <c r="V514" s="54">
        <v>7850</v>
      </c>
      <c r="W514" s="54"/>
      <c r="X514" s="462">
        <f>Y514</f>
        <v>21320</v>
      </c>
      <c r="Y514" s="462">
        <f>V514+U514</f>
        <v>21320</v>
      </c>
      <c r="Z514" s="332"/>
      <c r="AA514" s="332"/>
      <c r="AB514" s="332"/>
      <c r="AC514" s="332"/>
      <c r="AD514" s="332"/>
      <c r="AE514" s="332"/>
      <c r="AF514" s="332"/>
      <c r="AG514" s="332"/>
      <c r="AH514" s="332"/>
      <c r="AI514" s="332"/>
      <c r="AJ514" s="332"/>
      <c r="AK514" s="332"/>
      <c r="AL514" s="25" t="s">
        <v>2151</v>
      </c>
      <c r="AM514" s="1009">
        <f t="shared" si="249"/>
        <v>1</v>
      </c>
      <c r="AN514" s="1009">
        <f t="shared" si="250"/>
        <v>1</v>
      </c>
      <c r="AO514" s="144">
        <f t="shared" si="251"/>
        <v>1</v>
      </c>
      <c r="AP514" s="144"/>
    </row>
    <row r="515" spans="1:42" ht="16.5" hidden="1" x14ac:dyDescent="0.25">
      <c r="A515" s="60">
        <v>11</v>
      </c>
      <c r="B515" s="60">
        <v>2</v>
      </c>
      <c r="C515" s="1100" t="s">
        <v>2197</v>
      </c>
      <c r="D515" s="61"/>
      <c r="E515" s="70"/>
      <c r="F515" s="70" t="s">
        <v>290</v>
      </c>
      <c r="G515" s="61"/>
      <c r="H515" s="1132">
        <f t="shared" si="266"/>
        <v>11328</v>
      </c>
      <c r="I515" s="1132">
        <v>11328</v>
      </c>
      <c r="J515" s="63"/>
      <c r="K515" s="282"/>
      <c r="L515" s="63"/>
      <c r="M515" s="282"/>
      <c r="N515" s="1077"/>
      <c r="O515" s="1077"/>
      <c r="P515" s="1080"/>
      <c r="Q515" s="1080"/>
      <c r="R515" s="1097"/>
      <c r="S515" s="1097"/>
      <c r="T515" s="462"/>
      <c r="U515" s="462"/>
      <c r="V515" s="54">
        <v>10200</v>
      </c>
      <c r="W515" s="54"/>
      <c r="X515" s="462">
        <f t="shared" ref="X515:X518" si="267">Y515</f>
        <v>10200</v>
      </c>
      <c r="Y515" s="462">
        <f t="shared" ref="Y515:Y518" si="268">V515+U515</f>
        <v>10200</v>
      </c>
      <c r="Z515" s="1081"/>
      <c r="AA515" s="1081"/>
      <c r="AB515" s="1081"/>
      <c r="AC515" s="1081"/>
      <c r="AD515" s="1081"/>
      <c r="AE515" s="1081"/>
      <c r="AF515" s="1081"/>
      <c r="AG515" s="1081"/>
      <c r="AH515" s="1081"/>
      <c r="AI515" s="1081"/>
      <c r="AJ515" s="1081"/>
      <c r="AK515" s="1081"/>
      <c r="AL515" s="25" t="s">
        <v>1117</v>
      </c>
      <c r="AM515" s="1009">
        <f t="shared" si="249"/>
        <v>1</v>
      </c>
      <c r="AN515" s="1009">
        <f t="shared" si="250"/>
        <v>1</v>
      </c>
      <c r="AO515" s="144">
        <f t="shared" si="251"/>
        <v>1</v>
      </c>
    </row>
    <row r="516" spans="1:42" ht="33" hidden="1" x14ac:dyDescent="0.25">
      <c r="A516" s="60">
        <v>12</v>
      </c>
      <c r="B516" s="60">
        <v>3</v>
      </c>
      <c r="C516" s="1100" t="s">
        <v>2426</v>
      </c>
      <c r="D516" s="61"/>
      <c r="E516" s="70"/>
      <c r="F516" s="70" t="s">
        <v>290</v>
      </c>
      <c r="G516" s="61"/>
      <c r="H516" s="1132">
        <f t="shared" si="266"/>
        <v>9683</v>
      </c>
      <c r="I516" s="1132">
        <v>9683</v>
      </c>
      <c r="J516" s="63"/>
      <c r="K516" s="282"/>
      <c r="L516" s="63"/>
      <c r="M516" s="282"/>
      <c r="N516" s="1077"/>
      <c r="O516" s="1077"/>
      <c r="P516" s="1080"/>
      <c r="Q516" s="1080"/>
      <c r="R516" s="1097"/>
      <c r="S516" s="1097"/>
      <c r="T516" s="462"/>
      <c r="U516" s="462"/>
      <c r="V516" s="54">
        <v>8700</v>
      </c>
      <c r="W516" s="54"/>
      <c r="X516" s="462">
        <f t="shared" si="267"/>
        <v>8700</v>
      </c>
      <c r="Y516" s="462">
        <f t="shared" si="268"/>
        <v>8700</v>
      </c>
      <c r="Z516" s="1081"/>
      <c r="AA516" s="1081"/>
      <c r="AB516" s="1081"/>
      <c r="AC516" s="1081"/>
      <c r="AD516" s="1081"/>
      <c r="AE516" s="1081"/>
      <c r="AF516" s="1081"/>
      <c r="AG516" s="1081"/>
      <c r="AH516" s="1081"/>
      <c r="AI516" s="1081"/>
      <c r="AJ516" s="1081"/>
      <c r="AK516" s="1081"/>
      <c r="AL516" s="25" t="s">
        <v>1117</v>
      </c>
      <c r="AM516" s="1009">
        <f t="shared" si="249"/>
        <v>1</v>
      </c>
      <c r="AN516" s="1009">
        <f t="shared" si="250"/>
        <v>1</v>
      </c>
      <c r="AO516" s="144">
        <f t="shared" si="251"/>
        <v>1</v>
      </c>
    </row>
    <row r="517" spans="1:42" ht="16.5" hidden="1" x14ac:dyDescent="0.25">
      <c r="A517" s="60">
        <v>13</v>
      </c>
      <c r="B517" s="60">
        <v>4</v>
      </c>
      <c r="C517" s="1100" t="s">
        <v>2198</v>
      </c>
      <c r="D517" s="61"/>
      <c r="E517" s="70"/>
      <c r="F517" s="70" t="s">
        <v>290</v>
      </c>
      <c r="G517" s="61"/>
      <c r="H517" s="1132">
        <f t="shared" si="266"/>
        <v>12395</v>
      </c>
      <c r="I517" s="1132">
        <v>12395</v>
      </c>
      <c r="J517" s="63"/>
      <c r="K517" s="282"/>
      <c r="L517" s="63"/>
      <c r="M517" s="282"/>
      <c r="N517" s="1077"/>
      <c r="O517" s="1077"/>
      <c r="P517" s="1080"/>
      <c r="Q517" s="1080"/>
      <c r="R517" s="1097"/>
      <c r="S517" s="1097"/>
      <c r="T517" s="462"/>
      <c r="U517" s="462"/>
      <c r="V517" s="54">
        <v>11200</v>
      </c>
      <c r="W517" s="54"/>
      <c r="X517" s="462">
        <f t="shared" si="267"/>
        <v>11200</v>
      </c>
      <c r="Y517" s="462">
        <f t="shared" si="268"/>
        <v>11200</v>
      </c>
      <c r="Z517" s="1081"/>
      <c r="AA517" s="1081"/>
      <c r="AB517" s="1081"/>
      <c r="AC517" s="1081"/>
      <c r="AD517" s="1081"/>
      <c r="AE517" s="1081"/>
      <c r="AF517" s="1081"/>
      <c r="AG517" s="1081"/>
      <c r="AH517" s="1081"/>
      <c r="AI517" s="1081"/>
      <c r="AJ517" s="1081"/>
      <c r="AK517" s="1081"/>
      <c r="AL517" s="25" t="s">
        <v>1117</v>
      </c>
      <c r="AM517" s="1009">
        <f t="shared" si="249"/>
        <v>1</v>
      </c>
      <c r="AN517" s="1009">
        <f t="shared" si="250"/>
        <v>1</v>
      </c>
      <c r="AO517" s="144">
        <f t="shared" si="251"/>
        <v>1</v>
      </c>
    </row>
    <row r="518" spans="1:42" ht="33" hidden="1" x14ac:dyDescent="0.25">
      <c r="A518" s="60">
        <v>14</v>
      </c>
      <c r="B518" s="60">
        <v>5</v>
      </c>
      <c r="C518" s="1100" t="s">
        <v>2199</v>
      </c>
      <c r="D518" s="61"/>
      <c r="E518" s="70"/>
      <c r="F518" s="70" t="s">
        <v>290</v>
      </c>
      <c r="G518" s="61"/>
      <c r="H518" s="1132">
        <f t="shared" si="266"/>
        <v>4968</v>
      </c>
      <c r="I518" s="1132">
        <v>4968</v>
      </c>
      <c r="J518" s="63"/>
      <c r="K518" s="282"/>
      <c r="L518" s="63"/>
      <c r="M518" s="282"/>
      <c r="N518" s="1077"/>
      <c r="O518" s="1077"/>
      <c r="P518" s="1080"/>
      <c r="Q518" s="1080"/>
      <c r="R518" s="1097"/>
      <c r="S518" s="1097"/>
      <c r="T518" s="462"/>
      <c r="U518" s="462"/>
      <c r="V518" s="54">
        <v>4500</v>
      </c>
      <c r="W518" s="54"/>
      <c r="X518" s="462">
        <f t="shared" si="267"/>
        <v>4500</v>
      </c>
      <c r="Y518" s="462">
        <f t="shared" si="268"/>
        <v>4500</v>
      </c>
      <c r="Z518" s="1081"/>
      <c r="AA518" s="1081"/>
      <c r="AB518" s="1081"/>
      <c r="AC518" s="1081"/>
      <c r="AD518" s="1081"/>
      <c r="AE518" s="1081"/>
      <c r="AF518" s="1081"/>
      <c r="AG518" s="1081"/>
      <c r="AH518" s="1081"/>
      <c r="AI518" s="1081"/>
      <c r="AJ518" s="1081"/>
      <c r="AK518" s="1081"/>
      <c r="AL518" s="25" t="s">
        <v>1117</v>
      </c>
      <c r="AM518" s="1009">
        <f t="shared" si="249"/>
        <v>1</v>
      </c>
      <c r="AN518" s="1009">
        <f t="shared" si="250"/>
        <v>1</v>
      </c>
      <c r="AO518" s="144">
        <f t="shared" si="251"/>
        <v>1</v>
      </c>
    </row>
    <row r="519" spans="1:42" ht="16.5" hidden="1" x14ac:dyDescent="0.25">
      <c r="A519" s="23" t="s">
        <v>500</v>
      </c>
      <c r="B519" s="23"/>
      <c r="C519" s="1352" t="s">
        <v>1114</v>
      </c>
      <c r="D519" s="96"/>
      <c r="E519" s="1349"/>
      <c r="F519" s="1349"/>
      <c r="G519" s="1349"/>
      <c r="H519" s="1358">
        <f>H520</f>
        <v>202118</v>
      </c>
      <c r="I519" s="1358">
        <f>I520</f>
        <v>237610</v>
      </c>
      <c r="J519" s="1358">
        <f t="shared" ref="J519:O520" si="269">J520</f>
        <v>0</v>
      </c>
      <c r="K519" s="1358">
        <f t="shared" si="269"/>
        <v>0</v>
      </c>
      <c r="L519" s="1358">
        <f t="shared" si="269"/>
        <v>0</v>
      </c>
      <c r="M519" s="1358">
        <f t="shared" si="269"/>
        <v>0</v>
      </c>
      <c r="N519" s="1358">
        <f t="shared" si="269"/>
        <v>80000</v>
      </c>
      <c r="O519" s="1358">
        <f t="shared" si="269"/>
        <v>80000</v>
      </c>
      <c r="P519" s="1359">
        <f t="shared" ref="P519:AE520" si="270">P520</f>
        <v>80000</v>
      </c>
      <c r="Q519" s="1359">
        <f t="shared" si="270"/>
        <v>80000</v>
      </c>
      <c r="R519" s="1358">
        <f t="shared" si="270"/>
        <v>28933</v>
      </c>
      <c r="S519" s="1358">
        <f t="shared" si="270"/>
        <v>28933</v>
      </c>
      <c r="T519" s="1358">
        <f>T520</f>
        <v>80000</v>
      </c>
      <c r="U519" s="1358">
        <f t="shared" ref="U519:Y519" si="271">U520</f>
        <v>80000</v>
      </c>
      <c r="V519" s="1358">
        <f t="shared" si="271"/>
        <v>71600</v>
      </c>
      <c r="W519" s="1358">
        <f t="shared" si="271"/>
        <v>0</v>
      </c>
      <c r="X519" s="1358">
        <f t="shared" si="271"/>
        <v>151600</v>
      </c>
      <c r="Y519" s="1358">
        <f t="shared" si="271"/>
        <v>151600</v>
      </c>
      <c r="Z519" s="1358">
        <f t="shared" si="270"/>
        <v>12500</v>
      </c>
      <c r="AA519" s="1358">
        <f t="shared" si="270"/>
        <v>12500</v>
      </c>
      <c r="AB519" s="1358">
        <f t="shared" si="270"/>
        <v>2985</v>
      </c>
      <c r="AC519" s="1358">
        <f t="shared" si="270"/>
        <v>2985</v>
      </c>
      <c r="AD519" s="1360">
        <f t="shared" si="270"/>
        <v>0</v>
      </c>
      <c r="AE519" s="1360">
        <f t="shared" si="270"/>
        <v>0</v>
      </c>
      <c r="AF519" s="1360">
        <f t="shared" ref="AD519:AK520" si="272">AF520</f>
        <v>0</v>
      </c>
      <c r="AG519" s="1360">
        <f t="shared" si="272"/>
        <v>0</v>
      </c>
      <c r="AH519" s="1360">
        <f t="shared" si="272"/>
        <v>0</v>
      </c>
      <c r="AI519" s="1360">
        <f t="shared" si="272"/>
        <v>0</v>
      </c>
      <c r="AJ519" s="1360">
        <f t="shared" si="272"/>
        <v>0</v>
      </c>
      <c r="AK519" s="1360">
        <f t="shared" si="272"/>
        <v>0</v>
      </c>
      <c r="AL519" s="61"/>
      <c r="AM519" s="1009">
        <f t="shared" si="249"/>
        <v>1</v>
      </c>
      <c r="AN519" s="1009">
        <f t="shared" si="250"/>
        <v>1</v>
      </c>
      <c r="AO519" s="144">
        <f t="shared" si="251"/>
        <v>1</v>
      </c>
    </row>
    <row r="520" spans="1:42" ht="34.5" hidden="1" x14ac:dyDescent="0.25">
      <c r="A520" s="1066" t="s">
        <v>85</v>
      </c>
      <c r="B520" s="1066"/>
      <c r="C520" s="51" t="s">
        <v>86</v>
      </c>
      <c r="D520" s="57"/>
      <c r="E520" s="57"/>
      <c r="F520" s="57"/>
      <c r="G520" s="57"/>
      <c r="H520" s="1017">
        <f>H521+H537</f>
        <v>202118</v>
      </c>
      <c r="I520" s="1017">
        <f>I521+I537</f>
        <v>237610</v>
      </c>
      <c r="J520" s="1017">
        <f t="shared" si="269"/>
        <v>0</v>
      </c>
      <c r="K520" s="1017">
        <f t="shared" si="269"/>
        <v>0</v>
      </c>
      <c r="L520" s="1017">
        <f t="shared" si="269"/>
        <v>0</v>
      </c>
      <c r="M520" s="1017">
        <f t="shared" si="269"/>
        <v>0</v>
      </c>
      <c r="N520" s="1017">
        <f>N521+N537</f>
        <v>80000</v>
      </c>
      <c r="O520" s="1017">
        <f>O521+O537</f>
        <v>80000</v>
      </c>
      <c r="P520" s="1017">
        <f t="shared" si="270"/>
        <v>80000</v>
      </c>
      <c r="Q520" s="1017">
        <f t="shared" si="270"/>
        <v>80000</v>
      </c>
      <c r="R520" s="1017">
        <f t="shared" si="270"/>
        <v>28933</v>
      </c>
      <c r="S520" s="1017">
        <f t="shared" si="270"/>
        <v>28933</v>
      </c>
      <c r="T520" s="1017">
        <f t="shared" si="270"/>
        <v>80000</v>
      </c>
      <c r="U520" s="1017">
        <f t="shared" si="270"/>
        <v>80000</v>
      </c>
      <c r="V520" s="1017">
        <f>V521+V537</f>
        <v>71600</v>
      </c>
      <c r="W520" s="1017">
        <f>W521+W537</f>
        <v>0</v>
      </c>
      <c r="X520" s="1017">
        <f>X521+X537</f>
        <v>151600</v>
      </c>
      <c r="Y520" s="1017">
        <f>Y521+Y537</f>
        <v>151600</v>
      </c>
      <c r="Z520" s="1017">
        <f t="shared" si="270"/>
        <v>12500</v>
      </c>
      <c r="AA520" s="1017">
        <f t="shared" si="270"/>
        <v>12500</v>
      </c>
      <c r="AB520" s="1017">
        <f t="shared" si="270"/>
        <v>2985</v>
      </c>
      <c r="AC520" s="1017">
        <f t="shared" si="270"/>
        <v>2985</v>
      </c>
      <c r="AD520" s="1016">
        <f t="shared" si="272"/>
        <v>0</v>
      </c>
      <c r="AE520" s="1016">
        <f t="shared" si="272"/>
        <v>0</v>
      </c>
      <c r="AF520" s="1016">
        <f t="shared" si="272"/>
        <v>0</v>
      </c>
      <c r="AG520" s="1016">
        <f t="shared" si="272"/>
        <v>0</v>
      </c>
      <c r="AH520" s="1016">
        <f t="shared" si="272"/>
        <v>0</v>
      </c>
      <c r="AI520" s="1016">
        <f t="shared" si="272"/>
        <v>0</v>
      </c>
      <c r="AJ520" s="1016">
        <f t="shared" si="272"/>
        <v>0</v>
      </c>
      <c r="AK520" s="1016">
        <f t="shared" si="272"/>
        <v>0</v>
      </c>
      <c r="AL520" s="59"/>
      <c r="AM520" s="1009">
        <f t="shared" si="249"/>
        <v>1</v>
      </c>
      <c r="AN520" s="1009">
        <f t="shared" si="250"/>
        <v>1</v>
      </c>
      <c r="AO520" s="144">
        <f t="shared" si="251"/>
        <v>1</v>
      </c>
    </row>
    <row r="521" spans="1:42" ht="51.75" hidden="1" x14ac:dyDescent="0.25">
      <c r="A521" s="50" t="s">
        <v>87</v>
      </c>
      <c r="B521" s="50"/>
      <c r="C521" s="51" t="s">
        <v>88</v>
      </c>
      <c r="D521" s="57"/>
      <c r="E521" s="57"/>
      <c r="F521" s="57"/>
      <c r="G521" s="57"/>
      <c r="H521" s="1017">
        <f t="shared" ref="H521:X521" si="273">SUM(H522:H536)</f>
        <v>172122</v>
      </c>
      <c r="I521" s="1017">
        <f t="shared" si="273"/>
        <v>172122</v>
      </c>
      <c r="J521" s="1017">
        <f t="shared" si="273"/>
        <v>0</v>
      </c>
      <c r="K521" s="1017">
        <f t="shared" si="273"/>
        <v>0</v>
      </c>
      <c r="L521" s="1017">
        <f t="shared" si="273"/>
        <v>0</v>
      </c>
      <c r="M521" s="1017">
        <f t="shared" si="273"/>
        <v>0</v>
      </c>
      <c r="N521" s="1017">
        <f t="shared" si="273"/>
        <v>80000</v>
      </c>
      <c r="O521" s="1017">
        <f t="shared" si="273"/>
        <v>80000</v>
      </c>
      <c r="P521" s="1017">
        <f t="shared" si="273"/>
        <v>80000</v>
      </c>
      <c r="Q521" s="1017">
        <f t="shared" si="273"/>
        <v>80000</v>
      </c>
      <c r="R521" s="1017">
        <f t="shared" si="273"/>
        <v>28933</v>
      </c>
      <c r="S521" s="1017">
        <f t="shared" si="273"/>
        <v>28933</v>
      </c>
      <c r="T521" s="1017">
        <f t="shared" si="273"/>
        <v>80000</v>
      </c>
      <c r="U521" s="1017">
        <f t="shared" si="273"/>
        <v>80000</v>
      </c>
      <c r="V521" s="1017">
        <f t="shared" si="273"/>
        <v>44400</v>
      </c>
      <c r="W521" s="1017">
        <f t="shared" si="273"/>
        <v>0</v>
      </c>
      <c r="X521" s="1017">
        <f t="shared" si="273"/>
        <v>124400</v>
      </c>
      <c r="Y521" s="1017">
        <f>SUM(Y522:Y536)</f>
        <v>124400</v>
      </c>
      <c r="Z521" s="1017">
        <f t="shared" ref="Z521:AC521" si="274">Z523+Z525+Z526+Z527+Z528+Z529+Z530+Z531</f>
        <v>12500</v>
      </c>
      <c r="AA521" s="1017">
        <f t="shared" si="274"/>
        <v>12500</v>
      </c>
      <c r="AB521" s="1017">
        <f t="shared" si="274"/>
        <v>2985</v>
      </c>
      <c r="AC521" s="1017">
        <f t="shared" si="274"/>
        <v>2985</v>
      </c>
      <c r="AD521" s="1016">
        <f t="shared" ref="AD521:AK521" si="275">SUM(AD522:AD531)</f>
        <v>0</v>
      </c>
      <c r="AE521" s="1016">
        <f t="shared" si="275"/>
        <v>0</v>
      </c>
      <c r="AF521" s="1016">
        <f t="shared" si="275"/>
        <v>0</v>
      </c>
      <c r="AG521" s="1016">
        <f t="shared" si="275"/>
        <v>0</v>
      </c>
      <c r="AH521" s="1016">
        <f t="shared" si="275"/>
        <v>0</v>
      </c>
      <c r="AI521" s="1016">
        <f t="shared" si="275"/>
        <v>0</v>
      </c>
      <c r="AJ521" s="1016">
        <f t="shared" si="275"/>
        <v>0</v>
      </c>
      <c r="AK521" s="1016">
        <f t="shared" si="275"/>
        <v>0</v>
      </c>
      <c r="AL521" s="59"/>
      <c r="AM521" s="1009">
        <f t="shared" si="249"/>
        <v>1</v>
      </c>
      <c r="AN521" s="1009">
        <f t="shared" si="250"/>
        <v>1</v>
      </c>
      <c r="AO521" s="144">
        <f t="shared" si="251"/>
        <v>1</v>
      </c>
    </row>
    <row r="522" spans="1:42" ht="33" hidden="1" x14ac:dyDescent="0.25">
      <c r="A522" s="60">
        <v>1</v>
      </c>
      <c r="B522" s="60"/>
      <c r="C522" s="290" t="s">
        <v>1008</v>
      </c>
      <c r="D522" s="61"/>
      <c r="E522" s="70"/>
      <c r="F522" s="70"/>
      <c r="G522" s="70"/>
      <c r="H522" s="68"/>
      <c r="I522" s="80"/>
      <c r="J522" s="63"/>
      <c r="K522" s="282"/>
      <c r="L522" s="63"/>
      <c r="M522" s="282"/>
      <c r="N522" s="63">
        <f>O522</f>
        <v>800</v>
      </c>
      <c r="O522" s="68">
        <v>800</v>
      </c>
      <c r="P522" s="299">
        <v>800</v>
      </c>
      <c r="Q522" s="284">
        <v>800</v>
      </c>
      <c r="R522" s="54"/>
      <c r="S522" s="54">
        <f t="shared" ref="S522:S530" si="276">O522-U522</f>
        <v>0</v>
      </c>
      <c r="T522" s="462">
        <v>800</v>
      </c>
      <c r="U522" s="488">
        <v>800</v>
      </c>
      <c r="V522" s="54"/>
      <c r="W522" s="54"/>
      <c r="X522" s="462">
        <v>800</v>
      </c>
      <c r="Y522" s="488">
        <v>800</v>
      </c>
      <c r="Z522" s="284">
        <v>800</v>
      </c>
      <c r="AA522" s="284">
        <v>800</v>
      </c>
      <c r="AB522" s="282"/>
      <c r="AC522" s="282"/>
      <c r="AD522" s="282"/>
      <c r="AE522" s="282"/>
      <c r="AF522" s="282"/>
      <c r="AG522" s="282"/>
      <c r="AH522" s="282"/>
      <c r="AI522" s="282"/>
      <c r="AJ522" s="282"/>
      <c r="AK522" s="282"/>
      <c r="AL522" s="69"/>
      <c r="AM522" s="1009">
        <f t="shared" si="249"/>
        <v>0</v>
      </c>
      <c r="AN522" s="1009">
        <f t="shared" si="250"/>
        <v>1</v>
      </c>
      <c r="AO522" s="144"/>
    </row>
    <row r="523" spans="1:42" ht="66" hidden="1" x14ac:dyDescent="0.25">
      <c r="A523" s="60">
        <v>2</v>
      </c>
      <c r="B523" s="60"/>
      <c r="C523" s="290" t="s">
        <v>1113</v>
      </c>
      <c r="D523" s="61" t="s">
        <v>1112</v>
      </c>
      <c r="E523" s="1039" t="s">
        <v>1111</v>
      </c>
      <c r="F523" s="126" t="s">
        <v>97</v>
      </c>
      <c r="G523" s="118" t="s">
        <v>1110</v>
      </c>
      <c r="H523" s="75">
        <v>7116</v>
      </c>
      <c r="I523" s="75">
        <v>7116</v>
      </c>
      <c r="J523" s="63"/>
      <c r="K523" s="282"/>
      <c r="L523" s="63"/>
      <c r="M523" s="282"/>
      <c r="N523" s="63">
        <f>O523</f>
        <v>6300</v>
      </c>
      <c r="O523" s="68">
        <v>6300</v>
      </c>
      <c r="P523" s="299">
        <f>Q523</f>
        <v>6085</v>
      </c>
      <c r="Q523" s="284">
        <v>6085</v>
      </c>
      <c r="R523" s="54"/>
      <c r="S523" s="54">
        <f t="shared" si="276"/>
        <v>215</v>
      </c>
      <c r="T523" s="462">
        <f>U523</f>
        <v>6085</v>
      </c>
      <c r="U523" s="488">
        <v>6085</v>
      </c>
      <c r="V523" s="54"/>
      <c r="W523" s="54"/>
      <c r="X523" s="462">
        <f>Y523</f>
        <v>6085</v>
      </c>
      <c r="Y523" s="488">
        <v>6085</v>
      </c>
      <c r="Z523" s="284">
        <v>5000</v>
      </c>
      <c r="AA523" s="284">
        <v>5000</v>
      </c>
      <c r="AB523" s="282">
        <f>AC523</f>
        <v>1085</v>
      </c>
      <c r="AC523" s="282">
        <v>1085</v>
      </c>
      <c r="AD523" s="282"/>
      <c r="AE523" s="282"/>
      <c r="AF523" s="282"/>
      <c r="AG523" s="282"/>
      <c r="AH523" s="282"/>
      <c r="AI523" s="282"/>
      <c r="AJ523" s="282"/>
      <c r="AK523" s="282"/>
      <c r="AL523" s="25"/>
      <c r="AM523" s="1009">
        <f t="shared" si="249"/>
        <v>0</v>
      </c>
      <c r="AN523" s="1009">
        <f t="shared" si="250"/>
        <v>1</v>
      </c>
      <c r="AO523" s="144">
        <f t="shared" si="251"/>
        <v>1</v>
      </c>
    </row>
    <row r="524" spans="1:42" ht="49.5" hidden="1" x14ac:dyDescent="0.25">
      <c r="A524" s="60">
        <v>3</v>
      </c>
      <c r="B524" s="60"/>
      <c r="C524" s="290" t="s">
        <v>1109</v>
      </c>
      <c r="D524" s="61" t="s">
        <v>1108</v>
      </c>
      <c r="E524" s="1142" t="s">
        <v>1107</v>
      </c>
      <c r="F524" s="126" t="s">
        <v>97</v>
      </c>
      <c r="G524" s="118" t="s">
        <v>1106</v>
      </c>
      <c r="H524" s="75">
        <v>23231</v>
      </c>
      <c r="I524" s="75">
        <v>23231</v>
      </c>
      <c r="J524" s="63"/>
      <c r="K524" s="282"/>
      <c r="L524" s="63"/>
      <c r="M524" s="282"/>
      <c r="N524" s="63">
        <f>O524</f>
        <v>21000</v>
      </c>
      <c r="O524" s="68">
        <v>21000</v>
      </c>
      <c r="P524" s="299">
        <v>21000</v>
      </c>
      <c r="Q524" s="284">
        <v>21000</v>
      </c>
      <c r="R524" s="54"/>
      <c r="S524" s="54">
        <f t="shared" si="276"/>
        <v>0</v>
      </c>
      <c r="T524" s="462">
        <v>21000</v>
      </c>
      <c r="U524" s="488">
        <v>21000</v>
      </c>
      <c r="V524" s="54"/>
      <c r="W524" s="54"/>
      <c r="X524" s="462">
        <v>21000</v>
      </c>
      <c r="Y524" s="488">
        <v>21000</v>
      </c>
      <c r="Z524" s="284">
        <v>6000</v>
      </c>
      <c r="AA524" s="284">
        <v>6000</v>
      </c>
      <c r="AB524" s="282">
        <f>AC524</f>
        <v>10400</v>
      </c>
      <c r="AC524" s="282">
        <v>10400</v>
      </c>
      <c r="AD524" s="282"/>
      <c r="AE524" s="282"/>
      <c r="AF524" s="282"/>
      <c r="AG524" s="282"/>
      <c r="AH524" s="282"/>
      <c r="AI524" s="282"/>
      <c r="AJ524" s="282"/>
      <c r="AK524" s="282"/>
      <c r="AL524" s="69"/>
      <c r="AM524" s="1009">
        <f t="shared" si="249"/>
        <v>0</v>
      </c>
      <c r="AN524" s="1009">
        <f t="shared" si="250"/>
        <v>1</v>
      </c>
      <c r="AO524" s="144">
        <f t="shared" si="251"/>
        <v>1</v>
      </c>
    </row>
    <row r="525" spans="1:42" ht="49.5" hidden="1" x14ac:dyDescent="0.25">
      <c r="A525" s="60">
        <v>4</v>
      </c>
      <c r="B525" s="60"/>
      <c r="C525" s="290" t="s">
        <v>1105</v>
      </c>
      <c r="D525" s="61"/>
      <c r="E525" s="1039" t="s">
        <v>1104</v>
      </c>
      <c r="F525" s="126" t="s">
        <v>97</v>
      </c>
      <c r="G525" s="118" t="s">
        <v>1103</v>
      </c>
      <c r="H525" s="75">
        <f>I525</f>
        <v>9802</v>
      </c>
      <c r="I525" s="75">
        <v>9802</v>
      </c>
      <c r="J525" s="63"/>
      <c r="K525" s="282"/>
      <c r="L525" s="63"/>
      <c r="M525" s="282"/>
      <c r="N525" s="63">
        <f>O525</f>
        <v>12400</v>
      </c>
      <c r="O525" s="68">
        <v>12400</v>
      </c>
      <c r="P525" s="299">
        <f>Q525</f>
        <v>9802</v>
      </c>
      <c r="Q525" s="284">
        <f>I525</f>
        <v>9802</v>
      </c>
      <c r="R525" s="54"/>
      <c r="S525" s="54">
        <f t="shared" si="276"/>
        <v>2598</v>
      </c>
      <c r="T525" s="462">
        <f>U525</f>
        <v>9802</v>
      </c>
      <c r="U525" s="488">
        <v>9802</v>
      </c>
      <c r="V525" s="54"/>
      <c r="W525" s="54"/>
      <c r="X525" s="462">
        <f>Y525</f>
        <v>9802</v>
      </c>
      <c r="Y525" s="488">
        <v>9802</v>
      </c>
      <c r="Z525" s="284">
        <v>7500</v>
      </c>
      <c r="AA525" s="284">
        <v>7500</v>
      </c>
      <c r="AB525" s="282">
        <f>AC525</f>
        <v>1900</v>
      </c>
      <c r="AC525" s="282">
        <v>1900</v>
      </c>
      <c r="AD525" s="282"/>
      <c r="AE525" s="282"/>
      <c r="AF525" s="282"/>
      <c r="AG525" s="282"/>
      <c r="AH525" s="282"/>
      <c r="AI525" s="282"/>
      <c r="AJ525" s="282"/>
      <c r="AK525" s="282"/>
      <c r="AL525" s="25"/>
      <c r="AM525" s="1009">
        <f t="shared" si="249"/>
        <v>0</v>
      </c>
      <c r="AN525" s="1009">
        <f t="shared" si="250"/>
        <v>1</v>
      </c>
      <c r="AO525" s="144">
        <f t="shared" si="251"/>
        <v>1</v>
      </c>
    </row>
    <row r="526" spans="1:42" ht="114.75" hidden="1" customHeight="1" x14ac:dyDescent="0.25">
      <c r="A526" s="60">
        <v>5</v>
      </c>
      <c r="B526" s="60"/>
      <c r="C526" s="1038" t="s">
        <v>1102</v>
      </c>
      <c r="D526" s="61"/>
      <c r="E526" s="1039" t="s">
        <v>1101</v>
      </c>
      <c r="F526" s="70" t="s">
        <v>461</v>
      </c>
      <c r="G526" s="118" t="s">
        <v>1100</v>
      </c>
      <c r="H526" s="68">
        <f>I526</f>
        <v>7358</v>
      </c>
      <c r="I526" s="68">
        <v>7358</v>
      </c>
      <c r="J526" s="63"/>
      <c r="K526" s="282"/>
      <c r="L526" s="63"/>
      <c r="M526" s="282"/>
      <c r="N526" s="68">
        <v>9700</v>
      </c>
      <c r="O526" s="68">
        <v>9700</v>
      </c>
      <c r="P526" s="299">
        <f>Q526</f>
        <v>6880</v>
      </c>
      <c r="Q526" s="299">
        <v>6880</v>
      </c>
      <c r="R526" s="54"/>
      <c r="S526" s="54">
        <f t="shared" si="276"/>
        <v>2820</v>
      </c>
      <c r="T526" s="462">
        <f>U526</f>
        <v>6880</v>
      </c>
      <c r="U526" s="462">
        <v>6880</v>
      </c>
      <c r="V526" s="54"/>
      <c r="W526" s="54"/>
      <c r="X526" s="462">
        <f>Y526</f>
        <v>6880</v>
      </c>
      <c r="Y526" s="462">
        <v>6880</v>
      </c>
      <c r="Z526" s="299"/>
      <c r="AA526" s="299"/>
      <c r="AB526" s="282"/>
      <c r="AC526" s="282"/>
      <c r="AD526" s="282"/>
      <c r="AE526" s="282"/>
      <c r="AF526" s="282"/>
      <c r="AG526" s="282"/>
      <c r="AH526" s="282"/>
      <c r="AI526" s="282"/>
      <c r="AJ526" s="282"/>
      <c r="AK526" s="282"/>
      <c r="AL526" s="69"/>
      <c r="AM526" s="1009">
        <f t="shared" si="249"/>
        <v>0</v>
      </c>
      <c r="AN526" s="1009">
        <f t="shared" si="250"/>
        <v>1</v>
      </c>
      <c r="AO526" s="144">
        <f t="shared" si="251"/>
        <v>1</v>
      </c>
    </row>
    <row r="527" spans="1:42" ht="82.5" hidden="1" x14ac:dyDescent="0.25">
      <c r="A527" s="60">
        <v>6</v>
      </c>
      <c r="B527" s="60"/>
      <c r="C527" s="1038" t="s">
        <v>1099</v>
      </c>
      <c r="D527" s="61"/>
      <c r="E527" s="1039" t="s">
        <v>1098</v>
      </c>
      <c r="F527" s="70" t="s">
        <v>461</v>
      </c>
      <c r="G527" s="118" t="s">
        <v>1097</v>
      </c>
      <c r="H527" s="68">
        <v>9377</v>
      </c>
      <c r="I527" s="68">
        <v>9377</v>
      </c>
      <c r="J527" s="63"/>
      <c r="K527" s="282"/>
      <c r="L527" s="63"/>
      <c r="M527" s="282"/>
      <c r="N527" s="68">
        <f>O527</f>
        <v>8000</v>
      </c>
      <c r="O527" s="68">
        <v>8000</v>
      </c>
      <c r="P527" s="299">
        <f>Q527</f>
        <v>6500</v>
      </c>
      <c r="Q527" s="299">
        <v>6500</v>
      </c>
      <c r="R527" s="54"/>
      <c r="S527" s="54">
        <f t="shared" si="276"/>
        <v>1500</v>
      </c>
      <c r="T527" s="462">
        <f>U527</f>
        <v>6500</v>
      </c>
      <c r="U527" s="462">
        <v>6500</v>
      </c>
      <c r="V527" s="54"/>
      <c r="W527" s="54"/>
      <c r="X527" s="462">
        <f>Y527</f>
        <v>6500</v>
      </c>
      <c r="Y527" s="462">
        <v>6500</v>
      </c>
      <c r="Z527" s="282"/>
      <c r="AA527" s="282"/>
      <c r="AB527" s="282"/>
      <c r="AC527" s="282"/>
      <c r="AD527" s="282"/>
      <c r="AE527" s="282"/>
      <c r="AF527" s="282"/>
      <c r="AG527" s="282"/>
      <c r="AH527" s="282"/>
      <c r="AI527" s="282"/>
      <c r="AJ527" s="282"/>
      <c r="AK527" s="282"/>
      <c r="AL527" s="69"/>
      <c r="AM527" s="1009">
        <f t="shared" si="249"/>
        <v>0</v>
      </c>
      <c r="AN527" s="1009">
        <f t="shared" si="250"/>
        <v>1</v>
      </c>
      <c r="AO527" s="144">
        <f t="shared" si="251"/>
        <v>1</v>
      </c>
    </row>
    <row r="528" spans="1:42" ht="33" hidden="1" x14ac:dyDescent="0.25">
      <c r="A528" s="60">
        <v>7</v>
      </c>
      <c r="B528" s="60"/>
      <c r="C528" s="1038" t="s">
        <v>1095</v>
      </c>
      <c r="D528" s="61"/>
      <c r="E528" s="1039" t="s">
        <v>1094</v>
      </c>
      <c r="F528" s="70" t="s">
        <v>290</v>
      </c>
      <c r="G528" s="70"/>
      <c r="H528" s="1040">
        <v>12760</v>
      </c>
      <c r="I528" s="1040">
        <v>12760</v>
      </c>
      <c r="J528" s="63"/>
      <c r="K528" s="282"/>
      <c r="L528" s="63"/>
      <c r="M528" s="282"/>
      <c r="N528" s="68">
        <v>9200</v>
      </c>
      <c r="O528" s="68">
        <v>9200</v>
      </c>
      <c r="P528" s="299"/>
      <c r="Q528" s="299"/>
      <c r="R528" s="54"/>
      <c r="S528" s="54">
        <f t="shared" si="276"/>
        <v>9200</v>
      </c>
      <c r="T528" s="462"/>
      <c r="U528" s="462"/>
      <c r="V528" s="54"/>
      <c r="W528" s="54"/>
      <c r="X528" s="462"/>
      <c r="Y528" s="462"/>
      <c r="Z528" s="282"/>
      <c r="AA528" s="282"/>
      <c r="AB528" s="282"/>
      <c r="AC528" s="282"/>
      <c r="AD528" s="282"/>
      <c r="AE528" s="282"/>
      <c r="AF528" s="282"/>
      <c r="AG528" s="282"/>
      <c r="AH528" s="282"/>
      <c r="AI528" s="282"/>
      <c r="AJ528" s="282"/>
      <c r="AK528" s="282"/>
      <c r="AL528" s="25"/>
      <c r="AM528" s="1009">
        <f t="shared" si="249"/>
        <v>0</v>
      </c>
      <c r="AN528" s="1009">
        <f t="shared" si="250"/>
        <v>0</v>
      </c>
      <c r="AO528" s="144">
        <f t="shared" si="251"/>
        <v>1</v>
      </c>
    </row>
    <row r="529" spans="1:41" ht="36" hidden="1" customHeight="1" x14ac:dyDescent="0.25">
      <c r="A529" s="60">
        <v>8</v>
      </c>
      <c r="B529" s="60"/>
      <c r="C529" s="1038" t="s">
        <v>1093</v>
      </c>
      <c r="D529" s="61"/>
      <c r="E529" s="1039" t="s">
        <v>1092</v>
      </c>
      <c r="F529" s="70" t="s">
        <v>290</v>
      </c>
      <c r="G529" s="70"/>
      <c r="H529" s="1040">
        <v>10000</v>
      </c>
      <c r="I529" s="1040">
        <v>10000</v>
      </c>
      <c r="J529" s="63"/>
      <c r="K529" s="282"/>
      <c r="L529" s="63"/>
      <c r="M529" s="282"/>
      <c r="N529" s="68">
        <v>9000</v>
      </c>
      <c r="O529" s="68">
        <v>9000</v>
      </c>
      <c r="P529" s="299"/>
      <c r="Q529" s="299"/>
      <c r="R529" s="54"/>
      <c r="S529" s="54">
        <f t="shared" si="276"/>
        <v>9000</v>
      </c>
      <c r="T529" s="462"/>
      <c r="U529" s="462"/>
      <c r="V529" s="54"/>
      <c r="W529" s="54"/>
      <c r="X529" s="462"/>
      <c r="Y529" s="462"/>
      <c r="Z529" s="282"/>
      <c r="AA529" s="282"/>
      <c r="AB529" s="282"/>
      <c r="AC529" s="282"/>
      <c r="AD529" s="282"/>
      <c r="AE529" s="282"/>
      <c r="AF529" s="282"/>
      <c r="AG529" s="282"/>
      <c r="AH529" s="282"/>
      <c r="AI529" s="282"/>
      <c r="AJ529" s="282"/>
      <c r="AK529" s="282"/>
      <c r="AL529" s="25"/>
      <c r="AM529" s="1009">
        <f t="shared" si="249"/>
        <v>0</v>
      </c>
      <c r="AN529" s="1009">
        <f t="shared" si="250"/>
        <v>0</v>
      </c>
      <c r="AO529" s="144">
        <f t="shared" si="251"/>
        <v>1</v>
      </c>
    </row>
    <row r="530" spans="1:41" ht="39" hidden="1" customHeight="1" x14ac:dyDescent="0.25">
      <c r="A530" s="60">
        <v>9</v>
      </c>
      <c r="B530" s="60"/>
      <c r="C530" s="1038" t="s">
        <v>1091</v>
      </c>
      <c r="D530" s="61"/>
      <c r="E530" s="1039" t="s">
        <v>1090</v>
      </c>
      <c r="F530" s="70" t="s">
        <v>290</v>
      </c>
      <c r="G530" s="70"/>
      <c r="H530" s="1040">
        <v>4000</v>
      </c>
      <c r="I530" s="1040">
        <v>4000</v>
      </c>
      <c r="J530" s="63"/>
      <c r="K530" s="282"/>
      <c r="L530" s="63"/>
      <c r="M530" s="282"/>
      <c r="N530" s="68">
        <v>3600</v>
      </c>
      <c r="O530" s="68">
        <v>3600</v>
      </c>
      <c r="P530" s="299"/>
      <c r="Q530" s="299"/>
      <c r="R530" s="54"/>
      <c r="S530" s="54">
        <f t="shared" si="276"/>
        <v>3600</v>
      </c>
      <c r="T530" s="462"/>
      <c r="U530" s="462"/>
      <c r="V530" s="54"/>
      <c r="W530" s="54"/>
      <c r="X530" s="462"/>
      <c r="Y530" s="462"/>
      <c r="Z530" s="282"/>
      <c r="AA530" s="282"/>
      <c r="AB530" s="282"/>
      <c r="AC530" s="282"/>
      <c r="AD530" s="282"/>
      <c r="AE530" s="282"/>
      <c r="AF530" s="282"/>
      <c r="AG530" s="282"/>
      <c r="AH530" s="282"/>
      <c r="AI530" s="282"/>
      <c r="AJ530" s="282"/>
      <c r="AK530" s="282"/>
      <c r="AL530" s="25"/>
      <c r="AM530" s="1009">
        <f t="shared" si="249"/>
        <v>0</v>
      </c>
      <c r="AN530" s="1009">
        <f t="shared" si="250"/>
        <v>0</v>
      </c>
      <c r="AO530" s="144">
        <f t="shared" si="251"/>
        <v>1</v>
      </c>
    </row>
    <row r="531" spans="1:41" ht="42" hidden="1" customHeight="1" x14ac:dyDescent="0.25">
      <c r="A531" s="60">
        <v>10</v>
      </c>
      <c r="B531" s="60"/>
      <c r="C531" s="1038" t="s">
        <v>1089</v>
      </c>
      <c r="D531" s="61" t="s">
        <v>1088</v>
      </c>
      <c r="E531" s="1039" t="s">
        <v>1087</v>
      </c>
      <c r="F531" s="70" t="s">
        <v>116</v>
      </c>
      <c r="G531" s="70"/>
      <c r="H531" s="1040">
        <f>I531</f>
        <v>33000</v>
      </c>
      <c r="I531" s="1040">
        <v>33000</v>
      </c>
      <c r="J531" s="63"/>
      <c r="K531" s="282"/>
      <c r="L531" s="63"/>
      <c r="M531" s="282"/>
      <c r="N531" s="68"/>
      <c r="O531" s="68"/>
      <c r="P531" s="299">
        <f>Q531</f>
        <v>28933</v>
      </c>
      <c r="Q531" s="299">
        <v>28933</v>
      </c>
      <c r="R531" s="54">
        <v>28933</v>
      </c>
      <c r="S531" s="54"/>
      <c r="T531" s="462">
        <f>U531</f>
        <v>28933</v>
      </c>
      <c r="U531" s="462">
        <v>28933</v>
      </c>
      <c r="V531" s="54"/>
      <c r="W531" s="54"/>
      <c r="X531" s="462">
        <f>Y531</f>
        <v>28933</v>
      </c>
      <c r="Y531" s="462">
        <v>28933</v>
      </c>
      <c r="Z531" s="282"/>
      <c r="AA531" s="282"/>
      <c r="AB531" s="282"/>
      <c r="AC531" s="282"/>
      <c r="AD531" s="282"/>
      <c r="AE531" s="282"/>
      <c r="AF531" s="282"/>
      <c r="AG531" s="282"/>
      <c r="AH531" s="282"/>
      <c r="AI531" s="282"/>
      <c r="AJ531" s="282"/>
      <c r="AK531" s="282"/>
      <c r="AL531" s="25"/>
      <c r="AM531" s="1009">
        <f t="shared" si="249"/>
        <v>0</v>
      </c>
      <c r="AN531" s="1009">
        <f t="shared" si="250"/>
        <v>1</v>
      </c>
      <c r="AO531" s="144">
        <f t="shared" si="251"/>
        <v>1</v>
      </c>
    </row>
    <row r="532" spans="1:41" s="1323" customFormat="1" ht="49.5" hidden="1" x14ac:dyDescent="0.25">
      <c r="A532" s="152">
        <v>11</v>
      </c>
      <c r="B532" s="152">
        <v>2</v>
      </c>
      <c r="C532" s="351" t="s">
        <v>2527</v>
      </c>
      <c r="D532" s="1" t="s">
        <v>1088</v>
      </c>
      <c r="E532" s="335" t="s">
        <v>2604</v>
      </c>
      <c r="F532" s="246" t="s">
        <v>290</v>
      </c>
      <c r="G532" s="424" t="s">
        <v>2603</v>
      </c>
      <c r="H532" s="1367">
        <f>I532</f>
        <v>17991</v>
      </c>
      <c r="I532" s="1367">
        <v>17991</v>
      </c>
      <c r="J532" s="3"/>
      <c r="K532" s="244"/>
      <c r="L532" s="3"/>
      <c r="M532" s="244"/>
      <c r="N532" s="4"/>
      <c r="O532" s="4"/>
      <c r="P532" s="243"/>
      <c r="Q532" s="243"/>
      <c r="R532" s="8"/>
      <c r="S532" s="8"/>
      <c r="T532" s="457"/>
      <c r="U532" s="457"/>
      <c r="V532" s="8">
        <v>14400</v>
      </c>
      <c r="W532" s="8"/>
      <c r="X532" s="457">
        <f t="shared" ref="X532:X536" si="277">Y532</f>
        <v>14400</v>
      </c>
      <c r="Y532" s="457">
        <f t="shared" ref="Y532:Y536" si="278">V532</f>
        <v>14400</v>
      </c>
      <c r="Z532" s="244"/>
      <c r="AA532" s="244"/>
      <c r="AB532" s="244"/>
      <c r="AC532" s="244"/>
      <c r="AD532" s="244"/>
      <c r="AE532" s="244"/>
      <c r="AF532" s="244"/>
      <c r="AG532" s="244"/>
      <c r="AH532" s="244"/>
      <c r="AI532" s="244"/>
      <c r="AJ532" s="244"/>
      <c r="AK532" s="244"/>
      <c r="AL532" s="334" t="s">
        <v>84</v>
      </c>
      <c r="AM532" s="933">
        <f t="shared" si="249"/>
        <v>1</v>
      </c>
      <c r="AN532" s="933">
        <f t="shared" si="250"/>
        <v>1</v>
      </c>
      <c r="AO532" s="1333">
        <f t="shared" si="251"/>
        <v>1</v>
      </c>
    </row>
    <row r="533" spans="1:41" ht="33" hidden="1" x14ac:dyDescent="0.25">
      <c r="A533" s="60">
        <v>12</v>
      </c>
      <c r="B533" s="60">
        <v>3</v>
      </c>
      <c r="C533" s="1038" t="s">
        <v>2212</v>
      </c>
      <c r="D533" s="61" t="s">
        <v>2214</v>
      </c>
      <c r="E533" s="1039" t="s">
        <v>2216</v>
      </c>
      <c r="F533" s="70" t="s">
        <v>290</v>
      </c>
      <c r="G533" s="70"/>
      <c r="H533" s="1040">
        <f t="shared" ref="H533:H536" si="279">I533</f>
        <v>3487</v>
      </c>
      <c r="I533" s="1040">
        <v>3487</v>
      </c>
      <c r="J533" s="63"/>
      <c r="K533" s="282"/>
      <c r="L533" s="63"/>
      <c r="M533" s="282"/>
      <c r="N533" s="1077"/>
      <c r="O533" s="1077"/>
      <c r="P533" s="1080"/>
      <c r="Q533" s="1080"/>
      <c r="R533" s="1097"/>
      <c r="S533" s="1097"/>
      <c r="T533" s="462"/>
      <c r="U533" s="462"/>
      <c r="V533" s="54">
        <v>2800</v>
      </c>
      <c r="W533" s="54"/>
      <c r="X533" s="462">
        <f t="shared" si="277"/>
        <v>2800</v>
      </c>
      <c r="Y533" s="462">
        <f t="shared" si="278"/>
        <v>2800</v>
      </c>
      <c r="Z533" s="1075"/>
      <c r="AA533" s="1075"/>
      <c r="AB533" s="1075"/>
      <c r="AC533" s="1075"/>
      <c r="AD533" s="1075"/>
      <c r="AE533" s="1075"/>
      <c r="AF533" s="1075"/>
      <c r="AG533" s="1075"/>
      <c r="AH533" s="1075"/>
      <c r="AI533" s="1075"/>
      <c r="AJ533" s="1075"/>
      <c r="AK533" s="1075"/>
      <c r="AL533" s="25" t="s">
        <v>84</v>
      </c>
      <c r="AM533" s="1009">
        <f t="shared" si="249"/>
        <v>1</v>
      </c>
      <c r="AN533" s="1009">
        <f t="shared" si="250"/>
        <v>1</v>
      </c>
      <c r="AO533" s="144">
        <f t="shared" si="251"/>
        <v>1</v>
      </c>
    </row>
    <row r="534" spans="1:41" ht="66" hidden="1" x14ac:dyDescent="0.25">
      <c r="A534" s="60">
        <v>13</v>
      </c>
      <c r="B534" s="60">
        <v>4</v>
      </c>
      <c r="C534" s="1038" t="s">
        <v>2369</v>
      </c>
      <c r="D534" s="61" t="s">
        <v>2372</v>
      </c>
      <c r="E534" s="1039" t="s">
        <v>2376</v>
      </c>
      <c r="F534" s="70" t="s">
        <v>290</v>
      </c>
      <c r="G534" s="70"/>
      <c r="H534" s="1040">
        <f t="shared" si="279"/>
        <v>12600</v>
      </c>
      <c r="I534" s="1040">
        <v>12600</v>
      </c>
      <c r="J534" s="63"/>
      <c r="K534" s="282"/>
      <c r="L534" s="63"/>
      <c r="M534" s="282"/>
      <c r="N534" s="68"/>
      <c r="O534" s="68"/>
      <c r="P534" s="299"/>
      <c r="Q534" s="299"/>
      <c r="R534" s="54"/>
      <c r="S534" s="54"/>
      <c r="T534" s="462"/>
      <c r="U534" s="462"/>
      <c r="V534" s="54">
        <v>10080</v>
      </c>
      <c r="W534" s="54"/>
      <c r="X534" s="462">
        <f t="shared" si="277"/>
        <v>10080</v>
      </c>
      <c r="Y534" s="462">
        <f t="shared" si="278"/>
        <v>10080</v>
      </c>
      <c r="Z534" s="282"/>
      <c r="AA534" s="282"/>
      <c r="AB534" s="282"/>
      <c r="AC534" s="282"/>
      <c r="AD534" s="282"/>
      <c r="AE534" s="282"/>
      <c r="AF534" s="282"/>
      <c r="AG534" s="282"/>
      <c r="AH534" s="282"/>
      <c r="AI534" s="282"/>
      <c r="AJ534" s="282"/>
      <c r="AK534" s="282"/>
      <c r="AL534" s="25" t="s">
        <v>84</v>
      </c>
      <c r="AM534" s="1009">
        <f t="shared" si="249"/>
        <v>1</v>
      </c>
      <c r="AN534" s="1009">
        <f t="shared" si="250"/>
        <v>1</v>
      </c>
      <c r="AO534" s="144">
        <f t="shared" si="251"/>
        <v>1</v>
      </c>
    </row>
    <row r="535" spans="1:41" ht="33" hidden="1" x14ac:dyDescent="0.25">
      <c r="A535" s="60">
        <v>14</v>
      </c>
      <c r="B535" s="60">
        <v>5</v>
      </c>
      <c r="C535" s="1038" t="s">
        <v>2370</v>
      </c>
      <c r="D535" s="61" t="s">
        <v>2373</v>
      </c>
      <c r="E535" s="1039" t="s">
        <v>2374</v>
      </c>
      <c r="F535" s="70" t="s">
        <v>290</v>
      </c>
      <c r="G535" s="70"/>
      <c r="H535" s="1040">
        <f t="shared" si="279"/>
        <v>13000</v>
      </c>
      <c r="I535" s="1040">
        <v>13000</v>
      </c>
      <c r="J535" s="63"/>
      <c r="K535" s="282"/>
      <c r="L535" s="63"/>
      <c r="M535" s="282"/>
      <c r="N535" s="68"/>
      <c r="O535" s="68"/>
      <c r="P535" s="299"/>
      <c r="Q535" s="299"/>
      <c r="R535" s="54"/>
      <c r="S535" s="54"/>
      <c r="T535" s="462"/>
      <c r="U535" s="462"/>
      <c r="V535" s="54">
        <v>10400</v>
      </c>
      <c r="W535" s="54"/>
      <c r="X535" s="462">
        <f t="shared" si="277"/>
        <v>10400</v>
      </c>
      <c r="Y535" s="462">
        <f t="shared" si="278"/>
        <v>10400</v>
      </c>
      <c r="Z535" s="282"/>
      <c r="AA535" s="282"/>
      <c r="AB535" s="282"/>
      <c r="AC535" s="282"/>
      <c r="AD535" s="282"/>
      <c r="AE535" s="282"/>
      <c r="AF535" s="282"/>
      <c r="AG535" s="282"/>
      <c r="AH535" s="282"/>
      <c r="AI535" s="282"/>
      <c r="AJ535" s="282"/>
      <c r="AK535" s="282"/>
      <c r="AL535" s="25" t="s">
        <v>84</v>
      </c>
      <c r="AM535" s="1009">
        <f t="shared" si="249"/>
        <v>1</v>
      </c>
      <c r="AN535" s="1009">
        <f t="shared" si="250"/>
        <v>1</v>
      </c>
      <c r="AO535" s="144">
        <f t="shared" si="251"/>
        <v>1</v>
      </c>
    </row>
    <row r="536" spans="1:41" ht="33" hidden="1" x14ac:dyDescent="0.25">
      <c r="A536" s="60">
        <v>15</v>
      </c>
      <c r="B536" s="60">
        <v>6</v>
      </c>
      <c r="C536" s="1038" t="s">
        <v>2371</v>
      </c>
      <c r="D536" s="61" t="s">
        <v>2372</v>
      </c>
      <c r="E536" s="1039" t="s">
        <v>2375</v>
      </c>
      <c r="F536" s="70" t="s">
        <v>290</v>
      </c>
      <c r="G536" s="70"/>
      <c r="H536" s="1040">
        <f t="shared" si="279"/>
        <v>8400</v>
      </c>
      <c r="I536" s="1040">
        <v>8400</v>
      </c>
      <c r="J536" s="63"/>
      <c r="K536" s="282"/>
      <c r="L536" s="63"/>
      <c r="M536" s="282"/>
      <c r="N536" s="68"/>
      <c r="O536" s="68"/>
      <c r="P536" s="299"/>
      <c r="Q536" s="299"/>
      <c r="R536" s="54"/>
      <c r="S536" s="54"/>
      <c r="T536" s="462"/>
      <c r="U536" s="462"/>
      <c r="V536" s="54">
        <v>6720</v>
      </c>
      <c r="W536" s="54"/>
      <c r="X536" s="462">
        <f t="shared" si="277"/>
        <v>6720</v>
      </c>
      <c r="Y536" s="462">
        <f t="shared" si="278"/>
        <v>6720</v>
      </c>
      <c r="Z536" s="282"/>
      <c r="AA536" s="282"/>
      <c r="AB536" s="282"/>
      <c r="AC536" s="282"/>
      <c r="AD536" s="282"/>
      <c r="AE536" s="282"/>
      <c r="AF536" s="282"/>
      <c r="AG536" s="282"/>
      <c r="AH536" s="282"/>
      <c r="AI536" s="282"/>
      <c r="AJ536" s="282"/>
      <c r="AK536" s="282"/>
      <c r="AL536" s="25" t="s">
        <v>84</v>
      </c>
      <c r="AM536" s="1009">
        <f t="shared" si="249"/>
        <v>1</v>
      </c>
      <c r="AN536" s="1009">
        <f t="shared" si="250"/>
        <v>1</v>
      </c>
      <c r="AO536" s="144">
        <f t="shared" si="251"/>
        <v>1</v>
      </c>
    </row>
    <row r="537" spans="1:41" s="1316" customFormat="1" ht="34.5" hidden="1" x14ac:dyDescent="0.25">
      <c r="A537" s="50" t="s">
        <v>47</v>
      </c>
      <c r="B537" s="50"/>
      <c r="C537" s="51" t="s">
        <v>1011</v>
      </c>
      <c r="D537" s="1184"/>
      <c r="E537" s="1192"/>
      <c r="F537" s="1208"/>
      <c r="G537" s="1208"/>
      <c r="H537" s="1017">
        <f>H539</f>
        <v>29996</v>
      </c>
      <c r="I537" s="1017">
        <f>SUM(I538:I539)</f>
        <v>65488</v>
      </c>
      <c r="J537" s="1017"/>
      <c r="K537" s="1017"/>
      <c r="L537" s="1017"/>
      <c r="M537" s="1017"/>
      <c r="N537" s="1017"/>
      <c r="O537" s="1017"/>
      <c r="P537" s="1017"/>
      <c r="Q537" s="1017"/>
      <c r="R537" s="1017"/>
      <c r="S537" s="1017"/>
      <c r="T537" s="1017"/>
      <c r="U537" s="1017"/>
      <c r="V537" s="1017">
        <f t="shared" ref="V537:X537" si="280">SUM(V538:V539)</f>
        <v>27200</v>
      </c>
      <c r="W537" s="1017">
        <f t="shared" si="280"/>
        <v>0</v>
      </c>
      <c r="X537" s="1017">
        <f t="shared" si="280"/>
        <v>27200</v>
      </c>
      <c r="Y537" s="1017">
        <f>SUM(Y538:Y539)</f>
        <v>27200</v>
      </c>
      <c r="Z537" s="1179"/>
      <c r="AA537" s="1179"/>
      <c r="AB537" s="1179"/>
      <c r="AC537" s="1179"/>
      <c r="AD537" s="1179"/>
      <c r="AE537" s="1179"/>
      <c r="AF537" s="1179"/>
      <c r="AG537" s="1179"/>
      <c r="AH537" s="1179"/>
      <c r="AI537" s="1179"/>
      <c r="AJ537" s="1179"/>
      <c r="AK537" s="1179"/>
      <c r="AL537" s="1198"/>
      <c r="AM537" s="1182">
        <f t="shared" ref="AM537:AM539" si="281">IF(Y537-U537=0,0,1)</f>
        <v>1</v>
      </c>
      <c r="AN537" s="1182">
        <f t="shared" ref="AN537:AN539" si="282">IF(Y537=0,0,1)</f>
        <v>1</v>
      </c>
      <c r="AO537" s="144">
        <f t="shared" si="251"/>
        <v>1</v>
      </c>
    </row>
    <row r="538" spans="1:41" s="1316" customFormat="1" ht="54" hidden="1" customHeight="1" x14ac:dyDescent="0.25">
      <c r="A538" s="1297" t="s">
        <v>463</v>
      </c>
      <c r="B538" s="50"/>
      <c r="C538" s="1038" t="s">
        <v>2213</v>
      </c>
      <c r="D538" s="61" t="s">
        <v>2215</v>
      </c>
      <c r="E538" s="1039" t="s">
        <v>2613</v>
      </c>
      <c r="F538" s="70" t="s">
        <v>168</v>
      </c>
      <c r="G538" s="424" t="s">
        <v>2601</v>
      </c>
      <c r="H538" s="1040">
        <f t="shared" ref="H538" si="283">I538</f>
        <v>35492</v>
      </c>
      <c r="I538" s="1040">
        <v>35492</v>
      </c>
      <c r="J538" s="1017"/>
      <c r="K538" s="1017"/>
      <c r="L538" s="1017"/>
      <c r="M538" s="1017"/>
      <c r="N538" s="1017"/>
      <c r="O538" s="1017"/>
      <c r="P538" s="1017"/>
      <c r="Q538" s="1017"/>
      <c r="R538" s="1017"/>
      <c r="S538" s="1017"/>
      <c r="T538" s="1017"/>
      <c r="U538" s="1017"/>
      <c r="V538" s="54">
        <v>12400</v>
      </c>
      <c r="W538" s="54"/>
      <c r="X538" s="462">
        <v>12400</v>
      </c>
      <c r="Y538" s="462">
        <v>12400</v>
      </c>
      <c r="Z538" s="25" t="s">
        <v>84</v>
      </c>
      <c r="AA538" s="1009">
        <v>1</v>
      </c>
      <c r="AB538" s="1009">
        <v>1</v>
      </c>
      <c r="AC538" s="1179"/>
      <c r="AD538" s="1179"/>
      <c r="AE538" s="1179"/>
      <c r="AF538" s="1179"/>
      <c r="AG538" s="1179"/>
      <c r="AH538" s="1179"/>
      <c r="AI538" s="1179"/>
      <c r="AJ538" s="1179"/>
      <c r="AK538" s="1179"/>
      <c r="AL538" s="25" t="s">
        <v>84</v>
      </c>
      <c r="AM538" s="1009">
        <f t="shared" si="281"/>
        <v>1</v>
      </c>
      <c r="AN538" s="1009">
        <f t="shared" si="282"/>
        <v>1</v>
      </c>
      <c r="AO538" s="144">
        <f t="shared" si="251"/>
        <v>1</v>
      </c>
    </row>
    <row r="539" spans="1:41" s="1323" customFormat="1" ht="55.5" hidden="1" customHeight="1" x14ac:dyDescent="0.25">
      <c r="A539" s="152">
        <v>17</v>
      </c>
      <c r="B539" s="152">
        <v>7</v>
      </c>
      <c r="C539" s="351" t="s">
        <v>2211</v>
      </c>
      <c r="D539" s="1" t="s">
        <v>1088</v>
      </c>
      <c r="E539" s="335" t="s">
        <v>2602</v>
      </c>
      <c r="F539" s="246" t="s">
        <v>168</v>
      </c>
      <c r="G539" s="424" t="s">
        <v>2600</v>
      </c>
      <c r="H539" s="1367">
        <f>I539</f>
        <v>29996</v>
      </c>
      <c r="I539" s="1367">
        <v>29996</v>
      </c>
      <c r="J539" s="3"/>
      <c r="K539" s="244"/>
      <c r="L539" s="3"/>
      <c r="M539" s="244"/>
      <c r="N539" s="4"/>
      <c r="O539" s="4"/>
      <c r="P539" s="243"/>
      <c r="Q539" s="243"/>
      <c r="R539" s="8"/>
      <c r="S539" s="8"/>
      <c r="T539" s="457"/>
      <c r="U539" s="457"/>
      <c r="V539" s="8">
        <v>14800</v>
      </c>
      <c r="W539" s="8"/>
      <c r="X539" s="1379">
        <f>Y539</f>
        <v>14800</v>
      </c>
      <c r="Y539" s="1379">
        <f>V539</f>
        <v>14800</v>
      </c>
      <c r="Z539" s="334" t="s">
        <v>84</v>
      </c>
      <c r="AA539" s="244"/>
      <c r="AB539" s="244"/>
      <c r="AC539" s="244"/>
      <c r="AD539" s="244"/>
      <c r="AE539" s="244"/>
      <c r="AF539" s="244"/>
      <c r="AG539" s="244"/>
      <c r="AH539" s="244"/>
      <c r="AI539" s="244"/>
      <c r="AJ539" s="244"/>
      <c r="AK539" s="244"/>
      <c r="AL539" s="334" t="s">
        <v>84</v>
      </c>
      <c r="AM539" s="933">
        <f t="shared" si="281"/>
        <v>1</v>
      </c>
      <c r="AN539" s="933">
        <f t="shared" si="282"/>
        <v>1</v>
      </c>
      <c r="AO539" s="1333">
        <f t="shared" si="251"/>
        <v>1</v>
      </c>
    </row>
    <row r="540" spans="1:41" ht="16.5" hidden="1" x14ac:dyDescent="0.25">
      <c r="A540" s="23" t="s">
        <v>554</v>
      </c>
      <c r="B540" s="23"/>
      <c r="C540" s="1352" t="s">
        <v>1086</v>
      </c>
      <c r="D540" s="96"/>
      <c r="E540" s="1349"/>
      <c r="F540" s="1349"/>
      <c r="G540" s="1349"/>
      <c r="H540" s="1361">
        <f t="shared" ref="H540:AK540" si="284">H541+H548</f>
        <v>237908</v>
      </c>
      <c r="I540" s="1361">
        <f t="shared" si="284"/>
        <v>237908</v>
      </c>
      <c r="J540" s="1361">
        <f t="shared" si="284"/>
        <v>18500</v>
      </c>
      <c r="K540" s="1361">
        <f t="shared" si="284"/>
        <v>18500</v>
      </c>
      <c r="L540" s="1361">
        <f t="shared" si="284"/>
        <v>18500</v>
      </c>
      <c r="M540" s="1361">
        <f t="shared" si="284"/>
        <v>18500</v>
      </c>
      <c r="N540" s="1361">
        <f t="shared" si="284"/>
        <v>80000</v>
      </c>
      <c r="O540" s="1361">
        <f t="shared" si="284"/>
        <v>80000</v>
      </c>
      <c r="P540" s="1361">
        <f t="shared" si="284"/>
        <v>80000</v>
      </c>
      <c r="Q540" s="1361">
        <f t="shared" si="284"/>
        <v>80000</v>
      </c>
      <c r="R540" s="1361">
        <f t="shared" si="284"/>
        <v>12575</v>
      </c>
      <c r="S540" s="1361">
        <f t="shared" si="284"/>
        <v>12575</v>
      </c>
      <c r="T540" s="1361">
        <f t="shared" si="284"/>
        <v>95000</v>
      </c>
      <c r="U540" s="1361">
        <f>U541+U548</f>
        <v>80000</v>
      </c>
      <c r="V540" s="1361">
        <f t="shared" ref="V540:X540" si="285">V541+V548</f>
        <v>44600</v>
      </c>
      <c r="W540" s="1358">
        <f t="shared" si="285"/>
        <v>0</v>
      </c>
      <c r="X540" s="1361">
        <f t="shared" si="285"/>
        <v>139600</v>
      </c>
      <c r="Y540" s="1361">
        <f>Y541+Y548</f>
        <v>124600</v>
      </c>
      <c r="Z540" s="1362">
        <f t="shared" si="284"/>
        <v>27400</v>
      </c>
      <c r="AA540" s="1362">
        <f t="shared" si="284"/>
        <v>27400</v>
      </c>
      <c r="AB540" s="1362">
        <f t="shared" si="284"/>
        <v>9770</v>
      </c>
      <c r="AC540" s="1362">
        <f t="shared" si="284"/>
        <v>9770</v>
      </c>
      <c r="AD540" s="1360">
        <f t="shared" si="284"/>
        <v>17010</v>
      </c>
      <c r="AE540" s="1360">
        <f t="shared" si="284"/>
        <v>17010</v>
      </c>
      <c r="AF540" s="1360">
        <f t="shared" si="284"/>
        <v>17010</v>
      </c>
      <c r="AG540" s="1360">
        <f t="shared" si="284"/>
        <v>17010</v>
      </c>
      <c r="AH540" s="1360">
        <f t="shared" si="284"/>
        <v>17010</v>
      </c>
      <c r="AI540" s="1360">
        <f t="shared" si="284"/>
        <v>17010</v>
      </c>
      <c r="AJ540" s="1360">
        <f t="shared" si="284"/>
        <v>17010</v>
      </c>
      <c r="AK540" s="1360">
        <f t="shared" si="284"/>
        <v>17010</v>
      </c>
      <c r="AL540" s="61"/>
      <c r="AM540" s="1009">
        <f t="shared" si="249"/>
        <v>1</v>
      </c>
      <c r="AN540" s="1009">
        <f t="shared" si="250"/>
        <v>1</v>
      </c>
      <c r="AO540" s="144">
        <f t="shared" si="251"/>
        <v>1</v>
      </c>
    </row>
    <row r="541" spans="1:41" ht="51.75" hidden="1" x14ac:dyDescent="0.25">
      <c r="A541" s="1066" t="s">
        <v>45</v>
      </c>
      <c r="B541" s="1066"/>
      <c r="C541" s="51" t="s">
        <v>46</v>
      </c>
      <c r="D541" s="57"/>
      <c r="E541" s="57"/>
      <c r="F541" s="57"/>
      <c r="G541" s="57"/>
      <c r="H541" s="1017">
        <f t="shared" ref="H541:AC541" si="286">H542</f>
        <v>51169</v>
      </c>
      <c r="I541" s="1017">
        <f t="shared" si="286"/>
        <v>51169</v>
      </c>
      <c r="J541" s="1017">
        <f t="shared" si="286"/>
        <v>18500</v>
      </c>
      <c r="K541" s="1017">
        <f t="shared" si="286"/>
        <v>18500</v>
      </c>
      <c r="L541" s="1017">
        <f t="shared" si="286"/>
        <v>18500</v>
      </c>
      <c r="M541" s="1017">
        <f t="shared" si="286"/>
        <v>18500</v>
      </c>
      <c r="N541" s="1017">
        <f t="shared" si="286"/>
        <v>17010</v>
      </c>
      <c r="O541" s="1017">
        <f t="shared" si="286"/>
        <v>17010</v>
      </c>
      <c r="P541" s="1017">
        <f t="shared" si="286"/>
        <v>16910</v>
      </c>
      <c r="Q541" s="1017">
        <f t="shared" si="286"/>
        <v>16910</v>
      </c>
      <c r="R541" s="1017">
        <f t="shared" si="286"/>
        <v>0</v>
      </c>
      <c r="S541" s="1017">
        <f t="shared" si="286"/>
        <v>100</v>
      </c>
      <c r="T541" s="1017">
        <f t="shared" si="286"/>
        <v>16910</v>
      </c>
      <c r="U541" s="1017">
        <f t="shared" si="286"/>
        <v>16910</v>
      </c>
      <c r="V541" s="1017">
        <f t="shared" si="286"/>
        <v>0</v>
      </c>
      <c r="W541" s="1017">
        <f t="shared" si="286"/>
        <v>0</v>
      </c>
      <c r="X541" s="1017">
        <f t="shared" si="286"/>
        <v>16910</v>
      </c>
      <c r="Y541" s="1017">
        <f t="shared" si="286"/>
        <v>16910</v>
      </c>
      <c r="Z541" s="1017">
        <f t="shared" si="286"/>
        <v>6100</v>
      </c>
      <c r="AA541" s="1017">
        <f t="shared" si="286"/>
        <v>6100</v>
      </c>
      <c r="AB541" s="1017">
        <f t="shared" si="286"/>
        <v>3000</v>
      </c>
      <c r="AC541" s="1017">
        <f t="shared" si="286"/>
        <v>3000</v>
      </c>
      <c r="AD541" s="1016">
        <v>17010</v>
      </c>
      <c r="AE541" s="1016">
        <v>17010</v>
      </c>
      <c r="AF541" s="1016">
        <v>17010</v>
      </c>
      <c r="AG541" s="1016">
        <v>17010</v>
      </c>
      <c r="AH541" s="1016">
        <v>17010</v>
      </c>
      <c r="AI541" s="1016">
        <v>17010</v>
      </c>
      <c r="AJ541" s="1016">
        <v>17010</v>
      </c>
      <c r="AK541" s="1016">
        <v>17010</v>
      </c>
      <c r="AL541" s="69"/>
      <c r="AM541" s="1009">
        <f t="shared" si="249"/>
        <v>0</v>
      </c>
      <c r="AN541" s="1009">
        <f t="shared" si="250"/>
        <v>1</v>
      </c>
      <c r="AO541" s="144">
        <f t="shared" si="251"/>
        <v>1</v>
      </c>
    </row>
    <row r="542" spans="1:41" ht="34.5" hidden="1" x14ac:dyDescent="0.25">
      <c r="A542" s="50" t="s">
        <v>47</v>
      </c>
      <c r="B542" s="50"/>
      <c r="C542" s="51" t="s">
        <v>48</v>
      </c>
      <c r="D542" s="57"/>
      <c r="E542" s="57"/>
      <c r="F542" s="57"/>
      <c r="G542" s="57"/>
      <c r="H542" s="1017">
        <f t="shared" ref="H542:X542" si="287">SUM(H545:H547)</f>
        <v>51169</v>
      </c>
      <c r="I542" s="1017">
        <f t="shared" si="287"/>
        <v>51169</v>
      </c>
      <c r="J542" s="1017">
        <f t="shared" si="287"/>
        <v>18500</v>
      </c>
      <c r="K542" s="1017">
        <f t="shared" si="287"/>
        <v>18500</v>
      </c>
      <c r="L542" s="1017">
        <f t="shared" si="287"/>
        <v>18500</v>
      </c>
      <c r="M542" s="1017">
        <f t="shared" si="287"/>
        <v>18500</v>
      </c>
      <c r="N542" s="1017">
        <f t="shared" si="287"/>
        <v>17010</v>
      </c>
      <c r="O542" s="1017">
        <f t="shared" si="287"/>
        <v>17010</v>
      </c>
      <c r="P542" s="1017">
        <f t="shared" si="287"/>
        <v>16910</v>
      </c>
      <c r="Q542" s="1017">
        <f t="shared" si="287"/>
        <v>16910</v>
      </c>
      <c r="R542" s="1017">
        <f t="shared" si="287"/>
        <v>0</v>
      </c>
      <c r="S542" s="1017">
        <f t="shared" si="287"/>
        <v>100</v>
      </c>
      <c r="T542" s="1017">
        <f t="shared" si="287"/>
        <v>16910</v>
      </c>
      <c r="U542" s="1017">
        <f t="shared" si="287"/>
        <v>16910</v>
      </c>
      <c r="V542" s="1017">
        <f t="shared" si="287"/>
        <v>0</v>
      </c>
      <c r="W542" s="1017">
        <f t="shared" si="287"/>
        <v>0</v>
      </c>
      <c r="X542" s="1017">
        <f t="shared" si="287"/>
        <v>16910</v>
      </c>
      <c r="Y542" s="1017">
        <f>SUM(Y545:Y547)</f>
        <v>16910</v>
      </c>
      <c r="Z542" s="1017">
        <f t="shared" ref="Z542:AC542" si="288">Z546</f>
        <v>6100</v>
      </c>
      <c r="AA542" s="1017">
        <f t="shared" si="288"/>
        <v>6100</v>
      </c>
      <c r="AB542" s="1017">
        <f t="shared" si="288"/>
        <v>3000</v>
      </c>
      <c r="AC542" s="1017">
        <f t="shared" si="288"/>
        <v>3000</v>
      </c>
      <c r="AD542" s="1016">
        <f t="shared" ref="AD542:AK542" si="289">SUM(AD545:AD547)</f>
        <v>0</v>
      </c>
      <c r="AE542" s="1016">
        <f t="shared" si="289"/>
        <v>0</v>
      </c>
      <c r="AF542" s="1016">
        <f t="shared" si="289"/>
        <v>0</v>
      </c>
      <c r="AG542" s="1016">
        <f t="shared" si="289"/>
        <v>0</v>
      </c>
      <c r="AH542" s="1016">
        <f t="shared" si="289"/>
        <v>0</v>
      </c>
      <c r="AI542" s="1016">
        <f t="shared" si="289"/>
        <v>0</v>
      </c>
      <c r="AJ542" s="1016">
        <f t="shared" si="289"/>
        <v>0</v>
      </c>
      <c r="AK542" s="1016">
        <f t="shared" si="289"/>
        <v>0</v>
      </c>
      <c r="AL542" s="69"/>
      <c r="AM542" s="1009">
        <f t="shared" si="249"/>
        <v>0</v>
      </c>
      <c r="AN542" s="1009">
        <f t="shared" si="250"/>
        <v>1</v>
      </c>
      <c r="AO542" s="144">
        <f t="shared" si="251"/>
        <v>1</v>
      </c>
    </row>
    <row r="543" spans="1:41" ht="17.25" hidden="1" x14ac:dyDescent="0.25">
      <c r="A543" s="50"/>
      <c r="B543" s="50"/>
      <c r="C543" s="51" t="s">
        <v>49</v>
      </c>
      <c r="D543" s="52"/>
      <c r="E543" s="52"/>
      <c r="F543" s="52"/>
      <c r="G543" s="52"/>
      <c r="H543" s="1020"/>
      <c r="I543" s="1020"/>
      <c r="J543" s="1020"/>
      <c r="K543" s="1020"/>
      <c r="L543" s="1020"/>
      <c r="M543" s="1020"/>
      <c r="N543" s="1020"/>
      <c r="O543" s="1020"/>
      <c r="P543" s="1021"/>
      <c r="Q543" s="1021"/>
      <c r="R543" s="54"/>
      <c r="S543" s="54"/>
      <c r="T543" s="1022"/>
      <c r="U543" s="1022"/>
      <c r="V543" s="54"/>
      <c r="W543" s="54"/>
      <c r="X543" s="1022"/>
      <c r="Y543" s="1022"/>
      <c r="Z543" s="1020"/>
      <c r="AA543" s="1020"/>
      <c r="AB543" s="1020"/>
      <c r="AC543" s="1020"/>
      <c r="AD543" s="1020"/>
      <c r="AE543" s="1020"/>
      <c r="AF543" s="1020"/>
      <c r="AG543" s="1020"/>
      <c r="AH543" s="1020"/>
      <c r="AI543" s="1020"/>
      <c r="AJ543" s="1020"/>
      <c r="AK543" s="1020"/>
      <c r="AL543" s="69"/>
      <c r="AM543" s="1009">
        <f t="shared" si="249"/>
        <v>0</v>
      </c>
      <c r="AN543" s="1009">
        <f t="shared" si="250"/>
        <v>0</v>
      </c>
      <c r="AO543" s="144">
        <f t="shared" si="251"/>
        <v>1</v>
      </c>
    </row>
    <row r="544" spans="1:41" ht="51.75" hidden="1" x14ac:dyDescent="0.25">
      <c r="A544" s="50"/>
      <c r="B544" s="50"/>
      <c r="C544" s="56" t="s">
        <v>50</v>
      </c>
      <c r="D544" s="57"/>
      <c r="E544" s="57"/>
      <c r="F544" s="57"/>
      <c r="G544" s="57"/>
      <c r="H544" s="1017"/>
      <c r="I544" s="1017"/>
      <c r="J544" s="1017"/>
      <c r="K544" s="1017"/>
      <c r="L544" s="1017"/>
      <c r="M544" s="1017"/>
      <c r="N544" s="1017"/>
      <c r="O544" s="1017"/>
      <c r="P544" s="1016"/>
      <c r="Q544" s="1016"/>
      <c r="R544" s="54"/>
      <c r="S544" s="54"/>
      <c r="T544" s="1018"/>
      <c r="U544" s="1018"/>
      <c r="V544" s="54"/>
      <c r="W544" s="54"/>
      <c r="X544" s="1018"/>
      <c r="Y544" s="1018"/>
      <c r="Z544" s="1017"/>
      <c r="AA544" s="1017"/>
      <c r="AB544" s="1017"/>
      <c r="AC544" s="1017"/>
      <c r="AD544" s="1017"/>
      <c r="AE544" s="1017"/>
      <c r="AF544" s="1017"/>
      <c r="AG544" s="1017"/>
      <c r="AH544" s="1017"/>
      <c r="AI544" s="1017"/>
      <c r="AJ544" s="1017"/>
      <c r="AK544" s="1017"/>
      <c r="AL544" s="69"/>
      <c r="AM544" s="1009">
        <f t="shared" si="249"/>
        <v>0</v>
      </c>
      <c r="AN544" s="1009">
        <f t="shared" si="250"/>
        <v>0</v>
      </c>
      <c r="AO544" s="144">
        <f t="shared" si="251"/>
        <v>1</v>
      </c>
    </row>
    <row r="545" spans="1:41" ht="33" hidden="1" x14ac:dyDescent="0.25">
      <c r="A545" s="60">
        <v>1</v>
      </c>
      <c r="B545" s="60"/>
      <c r="C545" s="290" t="s">
        <v>1008</v>
      </c>
      <c r="D545" s="61"/>
      <c r="E545" s="70"/>
      <c r="F545" s="70"/>
      <c r="G545" s="70"/>
      <c r="H545" s="68"/>
      <c r="I545" s="68"/>
      <c r="J545" s="63"/>
      <c r="K545" s="282"/>
      <c r="L545" s="63"/>
      <c r="M545" s="282"/>
      <c r="N545" s="68">
        <v>810</v>
      </c>
      <c r="O545" s="68">
        <v>810</v>
      </c>
      <c r="P545" s="284">
        <v>810</v>
      </c>
      <c r="Q545" s="284">
        <v>810</v>
      </c>
      <c r="R545" s="54"/>
      <c r="S545" s="54"/>
      <c r="T545" s="488">
        <v>810</v>
      </c>
      <c r="U545" s="488">
        <v>810</v>
      </c>
      <c r="V545" s="54"/>
      <c r="W545" s="54"/>
      <c r="X545" s="488">
        <v>810</v>
      </c>
      <c r="Y545" s="488">
        <v>810</v>
      </c>
      <c r="Z545" s="282">
        <f>AA545</f>
        <v>810</v>
      </c>
      <c r="AA545" s="282">
        <v>810</v>
      </c>
      <c r="AB545" s="282"/>
      <c r="AC545" s="282"/>
      <c r="AD545" s="282"/>
      <c r="AE545" s="282"/>
      <c r="AF545" s="282"/>
      <c r="AG545" s="282"/>
      <c r="AH545" s="282"/>
      <c r="AI545" s="282"/>
      <c r="AJ545" s="282"/>
      <c r="AK545" s="282"/>
      <c r="AL545" s="132"/>
      <c r="AM545" s="1009">
        <f t="shared" si="249"/>
        <v>0</v>
      </c>
      <c r="AN545" s="1009">
        <f t="shared" si="250"/>
        <v>1</v>
      </c>
      <c r="AO545" s="144"/>
    </row>
    <row r="546" spans="1:41" ht="49.5" hidden="1" x14ac:dyDescent="0.25">
      <c r="A546" s="60">
        <v>2</v>
      </c>
      <c r="B546" s="60"/>
      <c r="C546" s="91" t="s">
        <v>1085</v>
      </c>
      <c r="D546" s="61" t="s">
        <v>1066</v>
      </c>
      <c r="E546" s="70"/>
      <c r="F546" s="126" t="s">
        <v>72</v>
      </c>
      <c r="G546" s="118" t="s">
        <v>1084</v>
      </c>
      <c r="H546" s="488">
        <v>20032</v>
      </c>
      <c r="I546" s="488">
        <v>20032</v>
      </c>
      <c r="J546" s="488">
        <v>7500</v>
      </c>
      <c r="K546" s="488">
        <f>J546</f>
        <v>7500</v>
      </c>
      <c r="L546" s="488">
        <v>7500</v>
      </c>
      <c r="M546" s="488">
        <f>L546</f>
        <v>7500</v>
      </c>
      <c r="N546" s="488">
        <v>9200</v>
      </c>
      <c r="O546" s="488">
        <v>9200</v>
      </c>
      <c r="P546" s="488">
        <f>Q546</f>
        <v>9100</v>
      </c>
      <c r="Q546" s="488">
        <v>9100</v>
      </c>
      <c r="R546" s="488"/>
      <c r="S546" s="488">
        <v>100</v>
      </c>
      <c r="T546" s="488">
        <f>U546</f>
        <v>9100</v>
      </c>
      <c r="U546" s="488">
        <v>9100</v>
      </c>
      <c r="V546" s="488"/>
      <c r="W546" s="488"/>
      <c r="X546" s="488">
        <f>Y546</f>
        <v>9100</v>
      </c>
      <c r="Y546" s="488">
        <v>9100</v>
      </c>
      <c r="Z546" s="282">
        <f>AA546</f>
        <v>6100</v>
      </c>
      <c r="AA546" s="282">
        <v>6100</v>
      </c>
      <c r="AB546" s="282">
        <f>AC546</f>
        <v>3000</v>
      </c>
      <c r="AC546" s="282">
        <v>3000</v>
      </c>
      <c r="AD546" s="282"/>
      <c r="AE546" s="282"/>
      <c r="AF546" s="282"/>
      <c r="AG546" s="282"/>
      <c r="AH546" s="282"/>
      <c r="AI546" s="282"/>
      <c r="AJ546" s="282"/>
      <c r="AK546" s="282"/>
      <c r="AL546" s="132"/>
      <c r="AM546" s="1009">
        <f t="shared" si="249"/>
        <v>0</v>
      </c>
      <c r="AN546" s="1009">
        <f t="shared" si="250"/>
        <v>1</v>
      </c>
      <c r="AO546" s="144">
        <f t="shared" si="251"/>
        <v>1</v>
      </c>
    </row>
    <row r="547" spans="1:41" ht="49.5" hidden="1" x14ac:dyDescent="0.25">
      <c r="A547" s="60">
        <v>3</v>
      </c>
      <c r="B547" s="60"/>
      <c r="C547" s="9" t="s">
        <v>1083</v>
      </c>
      <c r="D547" s="61" t="s">
        <v>1082</v>
      </c>
      <c r="E547" s="70"/>
      <c r="F547" s="126" t="s">
        <v>199</v>
      </c>
      <c r="G547" s="118" t="s">
        <v>1081</v>
      </c>
      <c r="H547" s="488">
        <v>31137</v>
      </c>
      <c r="I547" s="488">
        <v>31137</v>
      </c>
      <c r="J547" s="488">
        <f>10000+1000</f>
        <v>11000</v>
      </c>
      <c r="K547" s="488">
        <f>J547</f>
        <v>11000</v>
      </c>
      <c r="L547" s="488">
        <f>10000+1000</f>
        <v>11000</v>
      </c>
      <c r="M547" s="488">
        <f>L547</f>
        <v>11000</v>
      </c>
      <c r="N547" s="488">
        <v>7000</v>
      </c>
      <c r="O547" s="488">
        <v>7000</v>
      </c>
      <c r="P547" s="488">
        <v>7000</v>
      </c>
      <c r="Q547" s="488">
        <v>7000</v>
      </c>
      <c r="R547" s="488"/>
      <c r="S547" s="488"/>
      <c r="T547" s="488">
        <v>7000</v>
      </c>
      <c r="U547" s="488">
        <v>7000</v>
      </c>
      <c r="V547" s="488"/>
      <c r="W547" s="488"/>
      <c r="X547" s="488">
        <v>7000</v>
      </c>
      <c r="Y547" s="488">
        <v>7000</v>
      </c>
      <c r="Z547" s="282">
        <f>AA547</f>
        <v>7000</v>
      </c>
      <c r="AA547" s="282">
        <v>7000</v>
      </c>
      <c r="AB547" s="282">
        <f>AC547</f>
        <v>230</v>
      </c>
      <c r="AC547" s="282">
        <v>230</v>
      </c>
      <c r="AD547" s="282"/>
      <c r="AE547" s="282"/>
      <c r="AF547" s="282"/>
      <c r="AG547" s="282"/>
      <c r="AH547" s="282"/>
      <c r="AI547" s="282"/>
      <c r="AJ547" s="282"/>
      <c r="AK547" s="282"/>
      <c r="AL547" s="69"/>
      <c r="AM547" s="1009">
        <f t="shared" si="249"/>
        <v>0</v>
      </c>
      <c r="AN547" s="1009">
        <f t="shared" si="250"/>
        <v>1</v>
      </c>
      <c r="AO547" s="144">
        <f t="shared" si="251"/>
        <v>1</v>
      </c>
    </row>
    <row r="548" spans="1:41" ht="34.5" hidden="1" x14ac:dyDescent="0.25">
      <c r="A548" s="1066" t="s">
        <v>85</v>
      </c>
      <c r="B548" s="1066"/>
      <c r="C548" s="51" t="s">
        <v>86</v>
      </c>
      <c r="D548" s="57"/>
      <c r="E548" s="57"/>
      <c r="F548" s="57"/>
      <c r="G548" s="57"/>
      <c r="H548" s="1017">
        <f t="shared" ref="H548:V548" si="290">H549+H558</f>
        <v>186739</v>
      </c>
      <c r="I548" s="1017">
        <f t="shared" si="290"/>
        <v>186739</v>
      </c>
      <c r="J548" s="1017">
        <f t="shared" si="290"/>
        <v>0</v>
      </c>
      <c r="K548" s="1017">
        <f t="shared" si="290"/>
        <v>0</v>
      </c>
      <c r="L548" s="1017">
        <f t="shared" si="290"/>
        <v>0</v>
      </c>
      <c r="M548" s="1017">
        <f t="shared" si="290"/>
        <v>0</v>
      </c>
      <c r="N548" s="1017">
        <f t="shared" si="290"/>
        <v>62990</v>
      </c>
      <c r="O548" s="1017">
        <f t="shared" si="290"/>
        <v>62990</v>
      </c>
      <c r="P548" s="1017">
        <f t="shared" si="290"/>
        <v>63090</v>
      </c>
      <c r="Q548" s="1017">
        <f t="shared" si="290"/>
        <v>63090</v>
      </c>
      <c r="R548" s="1017">
        <f t="shared" si="290"/>
        <v>12575</v>
      </c>
      <c r="S548" s="1017">
        <f t="shared" si="290"/>
        <v>12475</v>
      </c>
      <c r="T548" s="1017">
        <f t="shared" si="290"/>
        <v>78090</v>
      </c>
      <c r="U548" s="1017">
        <f t="shared" si="290"/>
        <v>63090</v>
      </c>
      <c r="V548" s="1017">
        <f t="shared" si="290"/>
        <v>44600</v>
      </c>
      <c r="W548" s="1017">
        <f t="shared" ref="W548" si="291">W549+W558</f>
        <v>0</v>
      </c>
      <c r="X548" s="1017">
        <f t="shared" ref="X548" si="292">X549+X558</f>
        <v>122690</v>
      </c>
      <c r="Y548" s="1017">
        <f t="shared" ref="Y548" si="293">Y549+Y558</f>
        <v>107690</v>
      </c>
      <c r="Z548" s="1017">
        <f t="shared" ref="Z548:AC548" si="294">Z549+Z558</f>
        <v>21300</v>
      </c>
      <c r="AA548" s="1017">
        <f t="shared" si="294"/>
        <v>21300</v>
      </c>
      <c r="AB548" s="1017">
        <f t="shared" si="294"/>
        <v>6770</v>
      </c>
      <c r="AC548" s="1017">
        <f t="shared" si="294"/>
        <v>6770</v>
      </c>
      <c r="AD548" s="1016">
        <f t="shared" ref="AD548:AK548" si="295">AD549+AD558</f>
        <v>0</v>
      </c>
      <c r="AE548" s="1016">
        <f t="shared" si="295"/>
        <v>0</v>
      </c>
      <c r="AF548" s="1016">
        <f t="shared" si="295"/>
        <v>0</v>
      </c>
      <c r="AG548" s="1016">
        <f t="shared" si="295"/>
        <v>0</v>
      </c>
      <c r="AH548" s="1016">
        <f t="shared" si="295"/>
        <v>0</v>
      </c>
      <c r="AI548" s="1016">
        <f t="shared" si="295"/>
        <v>0</v>
      </c>
      <c r="AJ548" s="1016">
        <f t="shared" si="295"/>
        <v>0</v>
      </c>
      <c r="AK548" s="1016">
        <f t="shared" si="295"/>
        <v>0</v>
      </c>
      <c r="AL548" s="59"/>
      <c r="AM548" s="1009">
        <f t="shared" si="249"/>
        <v>1</v>
      </c>
      <c r="AN548" s="1009">
        <f t="shared" si="250"/>
        <v>1</v>
      </c>
      <c r="AO548" s="144">
        <f t="shared" si="251"/>
        <v>1</v>
      </c>
    </row>
    <row r="549" spans="1:41" ht="51.75" hidden="1" x14ac:dyDescent="0.25">
      <c r="A549" s="50" t="s">
        <v>87</v>
      </c>
      <c r="B549" s="50"/>
      <c r="C549" s="51" t="s">
        <v>88</v>
      </c>
      <c r="D549" s="57"/>
      <c r="E549" s="57"/>
      <c r="F549" s="57"/>
      <c r="G549" s="57"/>
      <c r="H549" s="1017">
        <f t="shared" ref="H549:X549" si="296">SUM(H550:H557)</f>
        <v>124472</v>
      </c>
      <c r="I549" s="1017">
        <f t="shared" si="296"/>
        <v>124472</v>
      </c>
      <c r="J549" s="1017">
        <f t="shared" si="296"/>
        <v>0</v>
      </c>
      <c r="K549" s="1017">
        <f t="shared" si="296"/>
        <v>0</v>
      </c>
      <c r="L549" s="1017">
        <f t="shared" si="296"/>
        <v>0</v>
      </c>
      <c r="M549" s="1017">
        <f t="shared" si="296"/>
        <v>0</v>
      </c>
      <c r="N549" s="1017">
        <f t="shared" si="296"/>
        <v>53000</v>
      </c>
      <c r="O549" s="1017">
        <f t="shared" si="296"/>
        <v>53000</v>
      </c>
      <c r="P549" s="1017">
        <f t="shared" si="296"/>
        <v>57560</v>
      </c>
      <c r="Q549" s="1017">
        <f t="shared" si="296"/>
        <v>57560</v>
      </c>
      <c r="R549" s="1017">
        <f t="shared" si="296"/>
        <v>4760</v>
      </c>
      <c r="S549" s="1017">
        <f t="shared" si="296"/>
        <v>2485</v>
      </c>
      <c r="T549" s="1017">
        <f t="shared" si="296"/>
        <v>70275</v>
      </c>
      <c r="U549" s="1017">
        <f t="shared" si="296"/>
        <v>55275</v>
      </c>
      <c r="V549" s="1017">
        <f t="shared" si="296"/>
        <v>43800</v>
      </c>
      <c r="W549" s="1017">
        <f t="shared" si="296"/>
        <v>0</v>
      </c>
      <c r="X549" s="1017">
        <f t="shared" si="296"/>
        <v>114075</v>
      </c>
      <c r="Y549" s="1017">
        <f>SUM(Y550:Y557)</f>
        <v>99075</v>
      </c>
      <c r="Z549" s="1017">
        <f t="shared" ref="Z549:AC549" si="297">Z550+Z552+SUM(Z554:Z556)</f>
        <v>21300</v>
      </c>
      <c r="AA549" s="1017">
        <f t="shared" si="297"/>
        <v>21300</v>
      </c>
      <c r="AB549" s="1017">
        <f t="shared" si="297"/>
        <v>6770</v>
      </c>
      <c r="AC549" s="1017">
        <f t="shared" si="297"/>
        <v>6770</v>
      </c>
      <c r="AD549" s="1016">
        <f t="shared" ref="AD549:AK549" si="298">SUM(AD550:AD560)</f>
        <v>0</v>
      </c>
      <c r="AE549" s="1016">
        <f t="shared" si="298"/>
        <v>0</v>
      </c>
      <c r="AF549" s="1016">
        <f t="shared" si="298"/>
        <v>0</v>
      </c>
      <c r="AG549" s="1016">
        <f t="shared" si="298"/>
        <v>0</v>
      </c>
      <c r="AH549" s="1016">
        <f t="shared" si="298"/>
        <v>0</v>
      </c>
      <c r="AI549" s="1016">
        <f t="shared" si="298"/>
        <v>0</v>
      </c>
      <c r="AJ549" s="1016">
        <f t="shared" si="298"/>
        <v>0</v>
      </c>
      <c r="AK549" s="1016">
        <f t="shared" si="298"/>
        <v>0</v>
      </c>
      <c r="AL549" s="59"/>
      <c r="AM549" s="1009">
        <f t="shared" si="249"/>
        <v>1</v>
      </c>
      <c r="AN549" s="1009">
        <f t="shared" si="250"/>
        <v>1</v>
      </c>
      <c r="AO549" s="144">
        <f t="shared" si="251"/>
        <v>1</v>
      </c>
    </row>
    <row r="550" spans="1:41" ht="104.25" hidden="1" customHeight="1" x14ac:dyDescent="0.25">
      <c r="A550" s="60">
        <v>4</v>
      </c>
      <c r="B550" s="60"/>
      <c r="C550" s="91" t="s">
        <v>1080</v>
      </c>
      <c r="D550" s="61" t="s">
        <v>1079</v>
      </c>
      <c r="E550" s="1113" t="s">
        <v>1078</v>
      </c>
      <c r="F550" s="1125" t="s">
        <v>1073</v>
      </c>
      <c r="G550" s="118" t="s">
        <v>1077</v>
      </c>
      <c r="H550" s="68">
        <v>12899</v>
      </c>
      <c r="I550" s="68">
        <v>12899</v>
      </c>
      <c r="J550" s="63"/>
      <c r="K550" s="282"/>
      <c r="L550" s="63"/>
      <c r="M550" s="282"/>
      <c r="N550" s="68">
        <v>11500</v>
      </c>
      <c r="O550" s="68">
        <v>11500</v>
      </c>
      <c r="P550" s="299">
        <f>Q550</f>
        <v>11230</v>
      </c>
      <c r="Q550" s="284">
        <v>11230</v>
      </c>
      <c r="R550" s="54"/>
      <c r="S550" s="54">
        <f>O550-U550</f>
        <v>270</v>
      </c>
      <c r="T550" s="462">
        <f>U550</f>
        <v>11230</v>
      </c>
      <c r="U550" s="488">
        <v>11230</v>
      </c>
      <c r="V550" s="54"/>
      <c r="W550" s="54"/>
      <c r="X550" s="462">
        <f>Y550</f>
        <v>11230</v>
      </c>
      <c r="Y550" s="488">
        <v>11230</v>
      </c>
      <c r="Z550" s="282">
        <f>AA550</f>
        <v>11000</v>
      </c>
      <c r="AA550" s="282">
        <v>11000</v>
      </c>
      <c r="AB550" s="282"/>
      <c r="AC550" s="282"/>
      <c r="AD550" s="282"/>
      <c r="AE550" s="282"/>
      <c r="AF550" s="282"/>
      <c r="AG550" s="282"/>
      <c r="AH550" s="282"/>
      <c r="AI550" s="282"/>
      <c r="AJ550" s="282"/>
      <c r="AK550" s="282"/>
      <c r="AL550" s="25"/>
      <c r="AM550" s="1009">
        <f t="shared" si="249"/>
        <v>0</v>
      </c>
      <c r="AN550" s="1009">
        <f t="shared" si="250"/>
        <v>1</v>
      </c>
      <c r="AO550" s="144">
        <f t="shared" si="251"/>
        <v>1</v>
      </c>
    </row>
    <row r="551" spans="1:41" ht="49.5" hidden="1" x14ac:dyDescent="0.25">
      <c r="A551" s="60">
        <v>5</v>
      </c>
      <c r="B551" s="60"/>
      <c r="C551" s="290" t="s">
        <v>1076</v>
      </c>
      <c r="D551" s="61" t="s">
        <v>1075</v>
      </c>
      <c r="E551" s="118" t="s">
        <v>1074</v>
      </c>
      <c r="F551" s="1125" t="s">
        <v>1073</v>
      </c>
      <c r="G551" s="118" t="s">
        <v>1072</v>
      </c>
      <c r="H551" s="68">
        <v>5784</v>
      </c>
      <c r="I551" s="68">
        <v>5784</v>
      </c>
      <c r="J551" s="63"/>
      <c r="K551" s="282"/>
      <c r="L551" s="63"/>
      <c r="M551" s="282"/>
      <c r="N551" s="68">
        <v>5060</v>
      </c>
      <c r="O551" s="68">
        <v>5060</v>
      </c>
      <c r="P551" s="299">
        <v>5060</v>
      </c>
      <c r="Q551" s="284">
        <v>5060</v>
      </c>
      <c r="R551" s="54"/>
      <c r="S551" s="54"/>
      <c r="T551" s="462">
        <v>5060</v>
      </c>
      <c r="U551" s="488">
        <v>5060</v>
      </c>
      <c r="V551" s="54"/>
      <c r="W551" s="54"/>
      <c r="X551" s="462">
        <v>5060</v>
      </c>
      <c r="Y551" s="488">
        <v>5060</v>
      </c>
      <c r="Z551" s="282">
        <f>AA551</f>
        <v>5062</v>
      </c>
      <c r="AA551" s="282">
        <v>5062</v>
      </c>
      <c r="AB551" s="282"/>
      <c r="AC551" s="282"/>
      <c r="AD551" s="282"/>
      <c r="AE551" s="282"/>
      <c r="AF551" s="282"/>
      <c r="AG551" s="282"/>
      <c r="AH551" s="282"/>
      <c r="AI551" s="282"/>
      <c r="AJ551" s="282"/>
      <c r="AK551" s="282"/>
      <c r="AL551" s="69"/>
      <c r="AM551" s="1009">
        <f t="shared" si="249"/>
        <v>0</v>
      </c>
      <c r="AN551" s="1009">
        <f t="shared" si="250"/>
        <v>1</v>
      </c>
      <c r="AO551" s="144">
        <f t="shared" si="251"/>
        <v>1</v>
      </c>
    </row>
    <row r="552" spans="1:41" ht="49.5" hidden="1" x14ac:dyDescent="0.25">
      <c r="A552" s="60">
        <v>6</v>
      </c>
      <c r="B552" s="60"/>
      <c r="C552" s="290" t="s">
        <v>1071</v>
      </c>
      <c r="D552" s="118" t="s">
        <v>1070</v>
      </c>
      <c r="E552" s="118" t="s">
        <v>1069</v>
      </c>
      <c r="F552" s="126" t="s">
        <v>97</v>
      </c>
      <c r="G552" s="118" t="s">
        <v>1068</v>
      </c>
      <c r="H552" s="75">
        <v>12349</v>
      </c>
      <c r="I552" s="75">
        <v>12349</v>
      </c>
      <c r="J552" s="282"/>
      <c r="K552" s="282"/>
      <c r="L552" s="282"/>
      <c r="M552" s="282"/>
      <c r="N552" s="68">
        <v>10740</v>
      </c>
      <c r="O552" s="68">
        <v>10740</v>
      </c>
      <c r="P552" s="299">
        <f>Q552</f>
        <v>10600</v>
      </c>
      <c r="Q552" s="284">
        <v>10600</v>
      </c>
      <c r="R552" s="54"/>
      <c r="S552" s="54">
        <f>O552-U552</f>
        <v>140</v>
      </c>
      <c r="T552" s="462">
        <f>U552</f>
        <v>10600</v>
      </c>
      <c r="U552" s="488">
        <v>10600</v>
      </c>
      <c r="V552" s="54"/>
      <c r="W552" s="54"/>
      <c r="X552" s="462">
        <f>Y552</f>
        <v>10600</v>
      </c>
      <c r="Y552" s="488">
        <v>10600</v>
      </c>
      <c r="Z552" s="282">
        <f>AA552</f>
        <v>10300</v>
      </c>
      <c r="AA552" s="282">
        <v>10300</v>
      </c>
      <c r="AB552" s="282">
        <f>AC552</f>
        <v>300</v>
      </c>
      <c r="AC552" s="282">
        <v>300</v>
      </c>
      <c r="AD552" s="282"/>
      <c r="AE552" s="282"/>
      <c r="AF552" s="282"/>
      <c r="AG552" s="282"/>
      <c r="AH552" s="282"/>
      <c r="AI552" s="282"/>
      <c r="AJ552" s="282"/>
      <c r="AK552" s="282"/>
      <c r="AL552" s="25"/>
      <c r="AM552" s="1009">
        <f t="shared" si="249"/>
        <v>0</v>
      </c>
      <c r="AN552" s="1009">
        <f t="shared" si="250"/>
        <v>1</v>
      </c>
      <c r="AO552" s="144">
        <f t="shared" si="251"/>
        <v>1</v>
      </c>
    </row>
    <row r="553" spans="1:41" ht="78" hidden="1" customHeight="1" x14ac:dyDescent="0.25">
      <c r="A553" s="60">
        <v>7</v>
      </c>
      <c r="B553" s="60">
        <v>1</v>
      </c>
      <c r="C553" s="1023" t="s">
        <v>1067</v>
      </c>
      <c r="D553" s="1024" t="s">
        <v>1066</v>
      </c>
      <c r="E553" s="1024" t="s">
        <v>1065</v>
      </c>
      <c r="F553" s="1024" t="s">
        <v>109</v>
      </c>
      <c r="G553" s="1025" t="s">
        <v>1064</v>
      </c>
      <c r="H553" s="63">
        <f>I553</f>
        <v>29974</v>
      </c>
      <c r="I553" s="1026">
        <v>29974</v>
      </c>
      <c r="J553" s="282"/>
      <c r="K553" s="282"/>
      <c r="L553" s="282"/>
      <c r="M553" s="282"/>
      <c r="N553" s="4">
        <f>O553</f>
        <v>12200</v>
      </c>
      <c r="O553" s="4">
        <v>12200</v>
      </c>
      <c r="P553" s="243">
        <v>12200</v>
      </c>
      <c r="Q553" s="354">
        <v>12200</v>
      </c>
      <c r="R553" s="8"/>
      <c r="S553" s="8">
        <v>2000</v>
      </c>
      <c r="T553" s="462">
        <f>U553+15000</f>
        <v>25200</v>
      </c>
      <c r="U553" s="488">
        <f>O553-S553</f>
        <v>10200</v>
      </c>
      <c r="V553" s="54">
        <v>3800</v>
      </c>
      <c r="W553" s="54"/>
      <c r="X553" s="462">
        <f>Y553+15000</f>
        <v>29000</v>
      </c>
      <c r="Y553" s="488">
        <f>V553+U553</f>
        <v>14000</v>
      </c>
      <c r="Z553" s="244"/>
      <c r="AA553" s="244"/>
      <c r="AB553" s="244">
        <f>AC553</f>
        <v>6000</v>
      </c>
      <c r="AC553" s="244">
        <v>6000</v>
      </c>
      <c r="AD553" s="244"/>
      <c r="AE553" s="244"/>
      <c r="AF553" s="244"/>
      <c r="AG553" s="244"/>
      <c r="AH553" s="244"/>
      <c r="AI553" s="244"/>
      <c r="AJ553" s="244"/>
      <c r="AK553" s="244"/>
      <c r="AL553" s="25" t="s">
        <v>2187</v>
      </c>
      <c r="AM553" s="1009">
        <f>IF(Y553-U553=0,0,1)</f>
        <v>1</v>
      </c>
      <c r="AN553" s="1009">
        <f>IF(Y553=0,0,1)</f>
        <v>1</v>
      </c>
      <c r="AO553" s="144">
        <f t="shared" si="251"/>
        <v>1</v>
      </c>
    </row>
    <row r="554" spans="1:41" ht="66" hidden="1" x14ac:dyDescent="0.25">
      <c r="A554" s="60">
        <v>8</v>
      </c>
      <c r="B554" s="60"/>
      <c r="C554" s="1143" t="s">
        <v>1062</v>
      </c>
      <c r="D554" s="61"/>
      <c r="E554" s="70"/>
      <c r="F554" s="70" t="s">
        <v>248</v>
      </c>
      <c r="G554" s="1025" t="s">
        <v>1061</v>
      </c>
      <c r="H554" s="1091">
        <f>I554</f>
        <v>14698</v>
      </c>
      <c r="I554" s="1091">
        <v>14698</v>
      </c>
      <c r="J554" s="282"/>
      <c r="K554" s="282"/>
      <c r="L554" s="282"/>
      <c r="M554" s="282"/>
      <c r="N554" s="68">
        <v>13500</v>
      </c>
      <c r="O554" s="68">
        <v>13500</v>
      </c>
      <c r="P554" s="284">
        <f>Q554</f>
        <v>13470</v>
      </c>
      <c r="Q554" s="284">
        <v>13470</v>
      </c>
      <c r="R554" s="54"/>
      <c r="S554" s="54">
        <f>O554-U554</f>
        <v>75</v>
      </c>
      <c r="T554" s="488">
        <f>U554</f>
        <v>13425</v>
      </c>
      <c r="U554" s="488">
        <v>13425</v>
      </c>
      <c r="V554" s="54"/>
      <c r="W554" s="54"/>
      <c r="X554" s="488">
        <f>Y554</f>
        <v>13425</v>
      </c>
      <c r="Y554" s="488">
        <v>13425</v>
      </c>
      <c r="Z554" s="282"/>
      <c r="AA554" s="282"/>
      <c r="AB554" s="282">
        <f>AC554</f>
        <v>6470</v>
      </c>
      <c r="AC554" s="282">
        <v>6470</v>
      </c>
      <c r="AD554" s="282"/>
      <c r="AE554" s="282"/>
      <c r="AF554" s="282"/>
      <c r="AG554" s="282"/>
      <c r="AH554" s="282"/>
      <c r="AI554" s="282"/>
      <c r="AJ554" s="282"/>
      <c r="AK554" s="282"/>
      <c r="AL554" s="25"/>
      <c r="AM554" s="1009">
        <f t="shared" si="249"/>
        <v>0</v>
      </c>
      <c r="AN554" s="1009">
        <f t="shared" si="250"/>
        <v>1</v>
      </c>
      <c r="AO554" s="144">
        <f t="shared" si="251"/>
        <v>1</v>
      </c>
    </row>
    <row r="555" spans="1:41" ht="49.5" hidden="1" x14ac:dyDescent="0.25">
      <c r="A555" s="60">
        <v>9</v>
      </c>
      <c r="B555" s="60"/>
      <c r="C555" s="1143" t="s">
        <v>1060</v>
      </c>
      <c r="D555" s="61"/>
      <c r="E555" s="70"/>
      <c r="F555" s="70">
        <v>2018</v>
      </c>
      <c r="G555" s="1025" t="s">
        <v>1059</v>
      </c>
      <c r="H555" s="1091">
        <f>I555</f>
        <v>2881</v>
      </c>
      <c r="I555" s="1091">
        <v>2881</v>
      </c>
      <c r="J555" s="282"/>
      <c r="K555" s="282"/>
      <c r="L555" s="282"/>
      <c r="M555" s="282"/>
      <c r="N555" s="68"/>
      <c r="O555" s="68"/>
      <c r="P555" s="284">
        <f>Q555</f>
        <v>2500</v>
      </c>
      <c r="Q555" s="284">
        <v>2500</v>
      </c>
      <c r="R555" s="54">
        <v>2380</v>
      </c>
      <c r="S555" s="54"/>
      <c r="T555" s="488">
        <f>U555</f>
        <v>2380</v>
      </c>
      <c r="U555" s="488">
        <f>R555</f>
        <v>2380</v>
      </c>
      <c r="V555" s="54"/>
      <c r="W555" s="54"/>
      <c r="X555" s="488">
        <f>Y555</f>
        <v>2380</v>
      </c>
      <c r="Y555" s="488">
        <v>2380</v>
      </c>
      <c r="Z555" s="282"/>
      <c r="AA555" s="282"/>
      <c r="AB555" s="282"/>
      <c r="AC555" s="282"/>
      <c r="AD555" s="282"/>
      <c r="AE555" s="282"/>
      <c r="AF555" s="282"/>
      <c r="AG555" s="282"/>
      <c r="AH555" s="282"/>
      <c r="AI555" s="282"/>
      <c r="AJ555" s="282"/>
      <c r="AK555" s="282"/>
      <c r="AL555" s="25"/>
      <c r="AM555" s="1009">
        <f t="shared" si="249"/>
        <v>0</v>
      </c>
      <c r="AN555" s="1009">
        <f t="shared" si="250"/>
        <v>1</v>
      </c>
      <c r="AO555" s="144">
        <f t="shared" si="251"/>
        <v>1</v>
      </c>
    </row>
    <row r="556" spans="1:41" ht="49.5" hidden="1" x14ac:dyDescent="0.25">
      <c r="A556" s="60">
        <v>10</v>
      </c>
      <c r="B556" s="60"/>
      <c r="C556" s="1143" t="s">
        <v>1058</v>
      </c>
      <c r="D556" s="61"/>
      <c r="E556" s="70"/>
      <c r="F556" s="70">
        <v>2018</v>
      </c>
      <c r="G556" s="1025" t="s">
        <v>1057</v>
      </c>
      <c r="H556" s="1091">
        <f>I556</f>
        <v>2887</v>
      </c>
      <c r="I556" s="1091">
        <v>2887</v>
      </c>
      <c r="J556" s="282"/>
      <c r="K556" s="282"/>
      <c r="L556" s="282"/>
      <c r="M556" s="282"/>
      <c r="N556" s="68"/>
      <c r="O556" s="68"/>
      <c r="P556" s="284">
        <f>Q556</f>
        <v>2500</v>
      </c>
      <c r="Q556" s="284">
        <v>2500</v>
      </c>
      <c r="R556" s="54">
        <v>2380</v>
      </c>
      <c r="S556" s="54"/>
      <c r="T556" s="488">
        <f>U556</f>
        <v>2380</v>
      </c>
      <c r="U556" s="488">
        <v>2380</v>
      </c>
      <c r="V556" s="54"/>
      <c r="W556" s="54"/>
      <c r="X556" s="488">
        <f>Y556</f>
        <v>2380</v>
      </c>
      <c r="Y556" s="488">
        <v>2380</v>
      </c>
      <c r="Z556" s="282"/>
      <c r="AA556" s="282"/>
      <c r="AB556" s="282"/>
      <c r="AC556" s="282"/>
      <c r="AD556" s="282"/>
      <c r="AE556" s="282"/>
      <c r="AF556" s="282"/>
      <c r="AG556" s="282"/>
      <c r="AH556" s="282"/>
      <c r="AI556" s="282"/>
      <c r="AJ556" s="282"/>
      <c r="AK556" s="282"/>
      <c r="AL556" s="25"/>
      <c r="AM556" s="1009">
        <f t="shared" si="249"/>
        <v>0</v>
      </c>
      <c r="AN556" s="1009">
        <f t="shared" si="250"/>
        <v>1</v>
      </c>
      <c r="AO556" s="144">
        <f t="shared" si="251"/>
        <v>1</v>
      </c>
    </row>
    <row r="557" spans="1:41" s="1323" customFormat="1" ht="49.5" hidden="1" x14ac:dyDescent="0.25">
      <c r="A557" s="152">
        <v>11</v>
      </c>
      <c r="B557" s="152">
        <v>2</v>
      </c>
      <c r="C557" s="993" t="s">
        <v>2194</v>
      </c>
      <c r="D557" s="1" t="s">
        <v>2595</v>
      </c>
      <c r="E557" s="246" t="s">
        <v>2597</v>
      </c>
      <c r="F557" s="246" t="s">
        <v>290</v>
      </c>
      <c r="G557" s="424" t="s">
        <v>2596</v>
      </c>
      <c r="H557" s="994">
        <f>I557</f>
        <v>43000</v>
      </c>
      <c r="I557" s="994">
        <v>43000</v>
      </c>
      <c r="J557" s="244"/>
      <c r="K557" s="244"/>
      <c r="L557" s="244"/>
      <c r="M557" s="244"/>
      <c r="N557" s="4"/>
      <c r="O557" s="4"/>
      <c r="P557" s="354"/>
      <c r="Q557" s="354"/>
      <c r="R557" s="8"/>
      <c r="S557" s="8"/>
      <c r="T557" s="476"/>
      <c r="U557" s="476"/>
      <c r="V557" s="8">
        <v>40000</v>
      </c>
      <c r="W557" s="8"/>
      <c r="X557" s="476">
        <f>V557+U557</f>
        <v>40000</v>
      </c>
      <c r="Y557" s="476">
        <f>X557</f>
        <v>40000</v>
      </c>
      <c r="Z557" s="244"/>
      <c r="AA557" s="244"/>
      <c r="AB557" s="244"/>
      <c r="AC557" s="244"/>
      <c r="AD557" s="244"/>
      <c r="AE557" s="244"/>
      <c r="AF557" s="244"/>
      <c r="AG557" s="244"/>
      <c r="AH557" s="244"/>
      <c r="AI557" s="244"/>
      <c r="AJ557" s="244"/>
      <c r="AK557" s="244"/>
      <c r="AL557" s="334" t="s">
        <v>84</v>
      </c>
      <c r="AM557" s="933">
        <f t="shared" si="249"/>
        <v>1</v>
      </c>
      <c r="AN557" s="933">
        <f t="shared" si="250"/>
        <v>1</v>
      </c>
      <c r="AO557" s="1333">
        <f t="shared" si="251"/>
        <v>1</v>
      </c>
    </row>
    <row r="558" spans="1:41" ht="34.5" hidden="1" x14ac:dyDescent="0.25">
      <c r="A558" s="50" t="s">
        <v>47</v>
      </c>
      <c r="B558" s="50"/>
      <c r="C558" s="51" t="s">
        <v>1011</v>
      </c>
      <c r="D558" s="61"/>
      <c r="E558" s="1039"/>
      <c r="F558" s="70"/>
      <c r="G558" s="70"/>
      <c r="H558" s="1064">
        <f t="shared" ref="H558:X558" si="299">SUM(H559:H560)</f>
        <v>62267</v>
      </c>
      <c r="I558" s="1064">
        <f t="shared" si="299"/>
        <v>62267</v>
      </c>
      <c r="J558" s="1064">
        <f t="shared" si="299"/>
        <v>0</v>
      </c>
      <c r="K558" s="1064">
        <f t="shared" si="299"/>
        <v>0</v>
      </c>
      <c r="L558" s="1064">
        <f t="shared" si="299"/>
        <v>0</v>
      </c>
      <c r="M558" s="1064">
        <f t="shared" si="299"/>
        <v>0</v>
      </c>
      <c r="N558" s="1064">
        <f t="shared" si="299"/>
        <v>9990</v>
      </c>
      <c r="O558" s="1064">
        <f t="shared" si="299"/>
        <v>9990</v>
      </c>
      <c r="P558" s="1064">
        <f t="shared" si="299"/>
        <v>5530</v>
      </c>
      <c r="Q558" s="1064">
        <f t="shared" si="299"/>
        <v>5530</v>
      </c>
      <c r="R558" s="1064">
        <f t="shared" si="299"/>
        <v>7815</v>
      </c>
      <c r="S558" s="1064">
        <f t="shared" si="299"/>
        <v>9990</v>
      </c>
      <c r="T558" s="1064">
        <f t="shared" si="299"/>
        <v>7815</v>
      </c>
      <c r="U558" s="1064">
        <f t="shared" si="299"/>
        <v>7815</v>
      </c>
      <c r="V558" s="1064">
        <f t="shared" si="299"/>
        <v>800</v>
      </c>
      <c r="W558" s="1064">
        <f t="shared" si="299"/>
        <v>0</v>
      </c>
      <c r="X558" s="1064">
        <f t="shared" si="299"/>
        <v>8615</v>
      </c>
      <c r="Y558" s="1064">
        <f>SUM(Y559:Y560)</f>
        <v>8615</v>
      </c>
      <c r="Z558" s="1064">
        <f t="shared" ref="Z558" si="300">SUM(Z559:Z560)</f>
        <v>0</v>
      </c>
      <c r="AA558" s="1064">
        <f t="shared" ref="AA558" si="301">SUM(AA559:AA560)</f>
        <v>0</v>
      </c>
      <c r="AB558" s="1064">
        <f t="shared" ref="AB558" si="302">SUM(AB559:AB560)</f>
        <v>0</v>
      </c>
      <c r="AC558" s="1064">
        <f t="shared" ref="AC558" si="303">SUM(AC559:AC560)</f>
        <v>0</v>
      </c>
      <c r="AD558" s="1065"/>
      <c r="AE558" s="1065"/>
      <c r="AF558" s="1065"/>
      <c r="AG558" s="1065"/>
      <c r="AH558" s="1065"/>
      <c r="AI558" s="1065"/>
      <c r="AJ558" s="1065"/>
      <c r="AK558" s="1065"/>
      <c r="AL558" s="69"/>
      <c r="AM558" s="1009">
        <f t="shared" si="249"/>
        <v>1</v>
      </c>
      <c r="AN558" s="1009">
        <f t="shared" si="250"/>
        <v>1</v>
      </c>
      <c r="AO558" s="144">
        <f t="shared" si="251"/>
        <v>1</v>
      </c>
    </row>
    <row r="559" spans="1:41" ht="66" hidden="1" x14ac:dyDescent="0.25">
      <c r="A559" s="60">
        <v>12</v>
      </c>
      <c r="B559" s="60"/>
      <c r="C559" s="1143" t="s">
        <v>1056</v>
      </c>
      <c r="D559" s="61"/>
      <c r="E559" s="70" t="s">
        <v>1055</v>
      </c>
      <c r="F559" s="70" t="s">
        <v>141</v>
      </c>
      <c r="G559" s="70"/>
      <c r="H559" s="1091">
        <f>I559</f>
        <v>49892</v>
      </c>
      <c r="I559" s="1091">
        <v>49892</v>
      </c>
      <c r="J559" s="282"/>
      <c r="K559" s="282"/>
      <c r="L559" s="282"/>
      <c r="M559" s="282"/>
      <c r="N559" s="68">
        <f>O559</f>
        <v>9990</v>
      </c>
      <c r="O559" s="68">
        <f>22190-12200</f>
        <v>9990</v>
      </c>
      <c r="P559" s="284">
        <f>Q559</f>
        <v>1330</v>
      </c>
      <c r="Q559" s="284">
        <v>1330</v>
      </c>
      <c r="R559" s="54"/>
      <c r="S559" s="54">
        <v>9990</v>
      </c>
      <c r="T559" s="488">
        <f>U559</f>
        <v>0</v>
      </c>
      <c r="U559" s="488">
        <f>O559-S559</f>
        <v>0</v>
      </c>
      <c r="V559" s="54"/>
      <c r="W559" s="54"/>
      <c r="X559" s="488"/>
      <c r="Y559" s="488"/>
      <c r="Z559" s="282"/>
      <c r="AA559" s="282"/>
      <c r="AB559" s="282"/>
      <c r="AC559" s="282"/>
      <c r="AD559" s="282"/>
      <c r="AE559" s="282"/>
      <c r="AF559" s="282"/>
      <c r="AG559" s="282"/>
      <c r="AH559" s="282"/>
      <c r="AI559" s="282"/>
      <c r="AJ559" s="282"/>
      <c r="AK559" s="282"/>
      <c r="AL559" s="25"/>
      <c r="AM559" s="1009">
        <f t="shared" ref="AM559:AM623" si="304">IF(Y559-U559=0,0,1)</f>
        <v>0</v>
      </c>
      <c r="AN559" s="1009">
        <f t="shared" ref="AN559:AN623" si="305">IF(Y559=0,0,1)</f>
        <v>0</v>
      </c>
      <c r="AO559" s="144">
        <f t="shared" ref="AO559:AO622" si="306">IF(I559-Y559&gt;=0,1,0)</f>
        <v>1</v>
      </c>
    </row>
    <row r="560" spans="1:41" ht="49.5" hidden="1" x14ac:dyDescent="0.25">
      <c r="A560" s="60">
        <v>13</v>
      </c>
      <c r="B560" s="60">
        <v>1</v>
      </c>
      <c r="C560" s="1143" t="s">
        <v>1054</v>
      </c>
      <c r="D560" s="61"/>
      <c r="E560" s="70"/>
      <c r="F560" s="70">
        <v>2018</v>
      </c>
      <c r="G560" s="1025" t="s">
        <v>1053</v>
      </c>
      <c r="H560" s="1091">
        <f>I560</f>
        <v>12375</v>
      </c>
      <c r="I560" s="1091">
        <v>12375</v>
      </c>
      <c r="J560" s="282"/>
      <c r="K560" s="282"/>
      <c r="L560" s="282"/>
      <c r="M560" s="282"/>
      <c r="N560" s="4"/>
      <c r="O560" s="4"/>
      <c r="P560" s="354">
        <f>Q560</f>
        <v>4200</v>
      </c>
      <c r="Q560" s="354">
        <v>4200</v>
      </c>
      <c r="R560" s="8">
        <v>7815</v>
      </c>
      <c r="S560" s="8"/>
      <c r="T560" s="488">
        <f>U560</f>
        <v>7815</v>
      </c>
      <c r="U560" s="488">
        <f>R560</f>
        <v>7815</v>
      </c>
      <c r="V560" s="54">
        <v>800</v>
      </c>
      <c r="W560" s="54"/>
      <c r="X560" s="488">
        <f>Y560</f>
        <v>8615</v>
      </c>
      <c r="Y560" s="488">
        <f>V560+U560</f>
        <v>8615</v>
      </c>
      <c r="Z560" s="244"/>
      <c r="AA560" s="244"/>
      <c r="AB560" s="244"/>
      <c r="AC560" s="244"/>
      <c r="AD560" s="244"/>
      <c r="AE560" s="244"/>
      <c r="AF560" s="244"/>
      <c r="AG560" s="244"/>
      <c r="AH560" s="244"/>
      <c r="AI560" s="244"/>
      <c r="AJ560" s="244"/>
      <c r="AK560" s="244"/>
      <c r="AL560" s="25" t="s">
        <v>2187</v>
      </c>
      <c r="AM560" s="1009">
        <f t="shared" si="304"/>
        <v>1</v>
      </c>
      <c r="AN560" s="1009">
        <f t="shared" si="305"/>
        <v>1</v>
      </c>
      <c r="AO560" s="144">
        <f t="shared" si="306"/>
        <v>1</v>
      </c>
    </row>
    <row r="561" spans="1:42" ht="16.5" hidden="1" x14ac:dyDescent="0.25">
      <c r="A561" s="23" t="s">
        <v>582</v>
      </c>
      <c r="B561" s="23"/>
      <c r="C561" s="1352" t="s">
        <v>1052</v>
      </c>
      <c r="D561" s="96"/>
      <c r="E561" s="1349"/>
      <c r="F561" s="1349"/>
      <c r="G561" s="1349"/>
      <c r="H561" s="1358">
        <f t="shared" ref="H561:AC561" si="307">H562+H569</f>
        <v>163640</v>
      </c>
      <c r="I561" s="1358">
        <f t="shared" si="307"/>
        <v>163640</v>
      </c>
      <c r="J561" s="1358">
        <f t="shared" si="307"/>
        <v>5700</v>
      </c>
      <c r="K561" s="1358">
        <f t="shared" si="307"/>
        <v>5700</v>
      </c>
      <c r="L561" s="1358">
        <f t="shared" si="307"/>
        <v>5700</v>
      </c>
      <c r="M561" s="1358">
        <f t="shared" si="307"/>
        <v>5700</v>
      </c>
      <c r="N561" s="1358">
        <f t="shared" si="307"/>
        <v>85000</v>
      </c>
      <c r="O561" s="1358">
        <f t="shared" si="307"/>
        <v>85000</v>
      </c>
      <c r="P561" s="1358">
        <f t="shared" si="307"/>
        <v>85000</v>
      </c>
      <c r="Q561" s="1358">
        <f t="shared" si="307"/>
        <v>85000</v>
      </c>
      <c r="R561" s="1358">
        <f t="shared" si="307"/>
        <v>0</v>
      </c>
      <c r="S561" s="1358">
        <f t="shared" si="307"/>
        <v>0</v>
      </c>
      <c r="T561" s="1359">
        <f t="shared" si="307"/>
        <v>85000</v>
      </c>
      <c r="U561" s="1359">
        <v>85000</v>
      </c>
      <c r="V561" s="1358">
        <f t="shared" ref="V561:Y561" si="308">V562+V569</f>
        <v>48270</v>
      </c>
      <c r="W561" s="1358">
        <f t="shared" si="308"/>
        <v>29370</v>
      </c>
      <c r="X561" s="1359">
        <f t="shared" si="308"/>
        <v>103900</v>
      </c>
      <c r="Y561" s="1359">
        <f t="shared" si="308"/>
        <v>103900</v>
      </c>
      <c r="Z561" s="1360" t="e">
        <f t="shared" si="307"/>
        <v>#REF!</v>
      </c>
      <c r="AA561" s="1360" t="e">
        <f t="shared" si="307"/>
        <v>#REF!</v>
      </c>
      <c r="AB561" s="1360" t="e">
        <f t="shared" si="307"/>
        <v>#REF!</v>
      </c>
      <c r="AC561" s="1360" t="e">
        <f t="shared" si="307"/>
        <v>#REF!</v>
      </c>
      <c r="AD561" s="1360">
        <v>85000</v>
      </c>
      <c r="AE561" s="1360">
        <v>85000</v>
      </c>
      <c r="AF561" s="1360">
        <v>85000</v>
      </c>
      <c r="AG561" s="1360">
        <v>85000</v>
      </c>
      <c r="AH561" s="1360">
        <v>85000</v>
      </c>
      <c r="AI561" s="1360">
        <v>85000</v>
      </c>
      <c r="AJ561" s="1360">
        <v>85000</v>
      </c>
      <c r="AK561" s="1360">
        <v>85000</v>
      </c>
      <c r="AL561" s="69"/>
      <c r="AM561" s="1009">
        <f t="shared" si="304"/>
        <v>1</v>
      </c>
      <c r="AN561" s="1009">
        <f t="shared" si="305"/>
        <v>1</v>
      </c>
      <c r="AO561" s="144">
        <f t="shared" si="306"/>
        <v>1</v>
      </c>
    </row>
    <row r="562" spans="1:42" ht="51.75" hidden="1" x14ac:dyDescent="0.25">
      <c r="A562" s="1066" t="s">
        <v>45</v>
      </c>
      <c r="B562" s="1066"/>
      <c r="C562" s="51" t="s">
        <v>46</v>
      </c>
      <c r="D562" s="57"/>
      <c r="E562" s="57"/>
      <c r="F562" s="57"/>
      <c r="G562" s="57"/>
      <c r="H562" s="1017">
        <f t="shared" ref="H562:AC562" si="309">H563</f>
        <v>12297</v>
      </c>
      <c r="I562" s="1017">
        <f t="shared" si="309"/>
        <v>12297</v>
      </c>
      <c r="J562" s="1017">
        <f t="shared" si="309"/>
        <v>5700</v>
      </c>
      <c r="K562" s="1017">
        <f t="shared" si="309"/>
        <v>5700</v>
      </c>
      <c r="L562" s="1017">
        <f t="shared" si="309"/>
        <v>5700</v>
      </c>
      <c r="M562" s="1017">
        <f t="shared" si="309"/>
        <v>5700</v>
      </c>
      <c r="N562" s="1017">
        <f t="shared" si="309"/>
        <v>6720</v>
      </c>
      <c r="O562" s="1017">
        <f t="shared" si="309"/>
        <v>6720</v>
      </c>
      <c r="P562" s="1017">
        <f t="shared" si="309"/>
        <v>6720</v>
      </c>
      <c r="Q562" s="1017">
        <f t="shared" si="309"/>
        <v>6720</v>
      </c>
      <c r="R562" s="1017">
        <f t="shared" si="309"/>
        <v>0</v>
      </c>
      <c r="S562" s="1017">
        <f t="shared" si="309"/>
        <v>0</v>
      </c>
      <c r="T562" s="1018">
        <f t="shared" si="309"/>
        <v>6720</v>
      </c>
      <c r="U562" s="1018">
        <v>6720</v>
      </c>
      <c r="V562" s="1017">
        <f t="shared" si="309"/>
        <v>0</v>
      </c>
      <c r="W562" s="1017">
        <f t="shared" si="309"/>
        <v>0</v>
      </c>
      <c r="X562" s="1018">
        <f t="shared" si="309"/>
        <v>6720</v>
      </c>
      <c r="Y562" s="1018">
        <v>6720</v>
      </c>
      <c r="Z562" s="1016">
        <f t="shared" si="309"/>
        <v>6650</v>
      </c>
      <c r="AA562" s="1016">
        <f t="shared" si="309"/>
        <v>6650</v>
      </c>
      <c r="AB562" s="1016">
        <f t="shared" si="309"/>
        <v>0</v>
      </c>
      <c r="AC562" s="1016">
        <f t="shared" si="309"/>
        <v>0</v>
      </c>
      <c r="AD562" s="1016">
        <v>6720</v>
      </c>
      <c r="AE562" s="1016">
        <v>6720</v>
      </c>
      <c r="AF562" s="1016">
        <v>6720</v>
      </c>
      <c r="AG562" s="1016">
        <v>6720</v>
      </c>
      <c r="AH562" s="1016">
        <v>6720</v>
      </c>
      <c r="AI562" s="1016">
        <v>6720</v>
      </c>
      <c r="AJ562" s="1016">
        <v>6720</v>
      </c>
      <c r="AK562" s="1016">
        <v>6720</v>
      </c>
      <c r="AL562" s="69"/>
      <c r="AM562" s="1009">
        <f t="shared" si="304"/>
        <v>0</v>
      </c>
      <c r="AN562" s="1009">
        <f t="shared" si="305"/>
        <v>1</v>
      </c>
      <c r="AO562" s="144">
        <f t="shared" si="306"/>
        <v>1</v>
      </c>
    </row>
    <row r="563" spans="1:42" ht="34.5" hidden="1" x14ac:dyDescent="0.25">
      <c r="A563" s="50" t="s">
        <v>47</v>
      </c>
      <c r="B563" s="50"/>
      <c r="C563" s="51" t="s">
        <v>48</v>
      </c>
      <c r="D563" s="57"/>
      <c r="E563" s="57"/>
      <c r="F563" s="57"/>
      <c r="G563" s="57"/>
      <c r="H563" s="1018">
        <f t="shared" ref="H563:X563" si="310">SUM(H566:H568)</f>
        <v>12297</v>
      </c>
      <c r="I563" s="1018">
        <f t="shared" si="310"/>
        <v>12297</v>
      </c>
      <c r="J563" s="1018">
        <f t="shared" si="310"/>
        <v>5700</v>
      </c>
      <c r="K563" s="1018">
        <f t="shared" si="310"/>
        <v>5700</v>
      </c>
      <c r="L563" s="1018">
        <f t="shared" si="310"/>
        <v>5700</v>
      </c>
      <c r="M563" s="1018">
        <f t="shared" si="310"/>
        <v>5700</v>
      </c>
      <c r="N563" s="1018">
        <f t="shared" si="310"/>
        <v>6720</v>
      </c>
      <c r="O563" s="1018">
        <f t="shared" si="310"/>
        <v>6720</v>
      </c>
      <c r="P563" s="1018">
        <f t="shared" si="310"/>
        <v>6720</v>
      </c>
      <c r="Q563" s="1018">
        <f t="shared" si="310"/>
        <v>6720</v>
      </c>
      <c r="R563" s="1018">
        <f t="shared" si="310"/>
        <v>0</v>
      </c>
      <c r="S563" s="1018">
        <f t="shared" si="310"/>
        <v>0</v>
      </c>
      <c r="T563" s="1018">
        <f t="shared" si="310"/>
        <v>6720</v>
      </c>
      <c r="U563" s="1018">
        <f t="shared" si="310"/>
        <v>6720</v>
      </c>
      <c r="V563" s="1018">
        <f t="shared" si="310"/>
        <v>0</v>
      </c>
      <c r="W563" s="1018">
        <f t="shared" si="310"/>
        <v>0</v>
      </c>
      <c r="X563" s="1018">
        <f t="shared" si="310"/>
        <v>6720</v>
      </c>
      <c r="Y563" s="1018">
        <f>SUM(Y566:Y568)</f>
        <v>6720</v>
      </c>
      <c r="Z563" s="1016">
        <f t="shared" ref="Z563:AC563" si="311">SUM(Z566:Z568)</f>
        <v>6650</v>
      </c>
      <c r="AA563" s="1016">
        <f t="shared" si="311"/>
        <v>6650</v>
      </c>
      <c r="AB563" s="1016">
        <f t="shared" si="311"/>
        <v>0</v>
      </c>
      <c r="AC563" s="1016">
        <f t="shared" si="311"/>
        <v>0</v>
      </c>
      <c r="AD563" s="1016">
        <v>6720</v>
      </c>
      <c r="AE563" s="1016">
        <v>6720</v>
      </c>
      <c r="AF563" s="1016">
        <v>6720</v>
      </c>
      <c r="AG563" s="1016">
        <v>6720</v>
      </c>
      <c r="AH563" s="1016">
        <v>6720</v>
      </c>
      <c r="AI563" s="1016">
        <v>6720</v>
      </c>
      <c r="AJ563" s="1016">
        <v>6720</v>
      </c>
      <c r="AK563" s="1016">
        <v>6720</v>
      </c>
      <c r="AL563" s="69"/>
      <c r="AM563" s="1009">
        <f t="shared" si="304"/>
        <v>0</v>
      </c>
      <c r="AN563" s="1009">
        <f t="shared" si="305"/>
        <v>1</v>
      </c>
      <c r="AO563" s="144">
        <f t="shared" si="306"/>
        <v>1</v>
      </c>
    </row>
    <row r="564" spans="1:42" ht="17.25" hidden="1" x14ac:dyDescent="0.25">
      <c r="A564" s="50"/>
      <c r="B564" s="50"/>
      <c r="C564" s="51" t="s">
        <v>49</v>
      </c>
      <c r="D564" s="52"/>
      <c r="E564" s="52"/>
      <c r="F564" s="52"/>
      <c r="G564" s="52"/>
      <c r="H564" s="1020"/>
      <c r="I564" s="1020"/>
      <c r="J564" s="1020"/>
      <c r="K564" s="1020"/>
      <c r="L564" s="1020"/>
      <c r="M564" s="1020"/>
      <c r="N564" s="1020"/>
      <c r="O564" s="1020"/>
      <c r="P564" s="1021"/>
      <c r="Q564" s="1021"/>
      <c r="R564" s="54"/>
      <c r="S564" s="54"/>
      <c r="T564" s="1022"/>
      <c r="U564" s="1022"/>
      <c r="V564" s="54"/>
      <c r="W564" s="54"/>
      <c r="X564" s="1022"/>
      <c r="Y564" s="1022"/>
      <c r="Z564" s="1020"/>
      <c r="AA564" s="1020"/>
      <c r="AB564" s="1020"/>
      <c r="AC564" s="1020"/>
      <c r="AD564" s="1020"/>
      <c r="AE564" s="1020"/>
      <c r="AF564" s="1020"/>
      <c r="AG564" s="1020"/>
      <c r="AH564" s="1020"/>
      <c r="AI564" s="1020"/>
      <c r="AJ564" s="1020"/>
      <c r="AK564" s="1020"/>
      <c r="AL564" s="69"/>
      <c r="AM564" s="1009">
        <f t="shared" si="304"/>
        <v>0</v>
      </c>
      <c r="AN564" s="1009">
        <f t="shared" si="305"/>
        <v>0</v>
      </c>
      <c r="AO564" s="144">
        <f t="shared" si="306"/>
        <v>1</v>
      </c>
    </row>
    <row r="565" spans="1:42" ht="51.75" hidden="1" x14ac:dyDescent="0.25">
      <c r="A565" s="50"/>
      <c r="B565" s="50"/>
      <c r="C565" s="56" t="s">
        <v>50</v>
      </c>
      <c r="D565" s="57"/>
      <c r="E565" s="57"/>
      <c r="F565" s="57"/>
      <c r="G565" s="57"/>
      <c r="H565" s="1017"/>
      <c r="I565" s="1017"/>
      <c r="J565" s="1017"/>
      <c r="K565" s="1017"/>
      <c r="L565" s="1017"/>
      <c r="M565" s="1017"/>
      <c r="N565" s="1017"/>
      <c r="O565" s="1017"/>
      <c r="P565" s="1016"/>
      <c r="Q565" s="1016"/>
      <c r="R565" s="54"/>
      <c r="S565" s="54"/>
      <c r="T565" s="1018"/>
      <c r="U565" s="1018"/>
      <c r="V565" s="54"/>
      <c r="W565" s="54"/>
      <c r="X565" s="1018"/>
      <c r="Y565" s="1018"/>
      <c r="Z565" s="1017"/>
      <c r="AA565" s="1017"/>
      <c r="AB565" s="1017"/>
      <c r="AC565" s="1017"/>
      <c r="AD565" s="1017"/>
      <c r="AE565" s="1017"/>
      <c r="AF565" s="1017"/>
      <c r="AG565" s="1017"/>
      <c r="AH565" s="1017"/>
      <c r="AI565" s="1017"/>
      <c r="AJ565" s="1017"/>
      <c r="AK565" s="1017"/>
      <c r="AL565" s="69"/>
      <c r="AM565" s="1009">
        <f t="shared" si="304"/>
        <v>0</v>
      </c>
      <c r="AN565" s="1009">
        <f t="shared" si="305"/>
        <v>0</v>
      </c>
      <c r="AO565" s="144">
        <f t="shared" si="306"/>
        <v>1</v>
      </c>
    </row>
    <row r="566" spans="1:42" ht="33" hidden="1" x14ac:dyDescent="0.25">
      <c r="A566" s="60">
        <v>1</v>
      </c>
      <c r="B566" s="60"/>
      <c r="C566" s="290" t="s">
        <v>1008</v>
      </c>
      <c r="D566" s="61"/>
      <c r="E566" s="70"/>
      <c r="F566" s="70"/>
      <c r="G566" s="70"/>
      <c r="H566" s="68"/>
      <c r="I566" s="1067"/>
      <c r="J566" s="282"/>
      <c r="K566" s="282"/>
      <c r="L566" s="282"/>
      <c r="M566" s="282"/>
      <c r="N566" s="68">
        <v>1650</v>
      </c>
      <c r="O566" s="68">
        <v>1650</v>
      </c>
      <c r="P566" s="284">
        <v>1650</v>
      </c>
      <c r="Q566" s="284">
        <v>1650</v>
      </c>
      <c r="R566" s="54"/>
      <c r="S566" s="54"/>
      <c r="T566" s="488">
        <v>1650</v>
      </c>
      <c r="U566" s="488">
        <v>1650</v>
      </c>
      <c r="V566" s="54"/>
      <c r="W566" s="54"/>
      <c r="X566" s="488">
        <v>1650</v>
      </c>
      <c r="Y566" s="488">
        <v>1650</v>
      </c>
      <c r="Z566" s="282">
        <f>AA566</f>
        <v>1650</v>
      </c>
      <c r="AA566" s="282">
        <v>1650</v>
      </c>
      <c r="AB566" s="282"/>
      <c r="AC566" s="282"/>
      <c r="AD566" s="282"/>
      <c r="AE566" s="282"/>
      <c r="AF566" s="282"/>
      <c r="AG566" s="282"/>
      <c r="AH566" s="282"/>
      <c r="AI566" s="282"/>
      <c r="AJ566" s="282"/>
      <c r="AK566" s="282"/>
      <c r="AL566" s="69"/>
      <c r="AM566" s="1009">
        <f t="shared" si="304"/>
        <v>0</v>
      </c>
      <c r="AN566" s="1009">
        <f t="shared" si="305"/>
        <v>1</v>
      </c>
      <c r="AO566" s="144"/>
    </row>
    <row r="567" spans="1:42" ht="49.5" hidden="1" x14ac:dyDescent="0.25">
      <c r="A567" s="60">
        <v>2</v>
      </c>
      <c r="B567" s="60"/>
      <c r="C567" s="290" t="s">
        <v>1051</v>
      </c>
      <c r="D567" s="118" t="s">
        <v>1040</v>
      </c>
      <c r="E567" s="126"/>
      <c r="F567" s="126" t="s">
        <v>199</v>
      </c>
      <c r="G567" s="118" t="s">
        <v>1050</v>
      </c>
      <c r="H567" s="68">
        <v>2986</v>
      </c>
      <c r="I567" s="68">
        <v>2986</v>
      </c>
      <c r="J567" s="282">
        <v>1500</v>
      </c>
      <c r="K567" s="282">
        <f>J567</f>
        <v>1500</v>
      </c>
      <c r="L567" s="282">
        <v>1500</v>
      </c>
      <c r="M567" s="282">
        <f>L567</f>
        <v>1500</v>
      </c>
      <c r="N567" s="68">
        <v>570</v>
      </c>
      <c r="O567" s="68">
        <v>570</v>
      </c>
      <c r="P567" s="284">
        <v>570</v>
      </c>
      <c r="Q567" s="284">
        <v>570</v>
      </c>
      <c r="R567" s="54"/>
      <c r="S567" s="54"/>
      <c r="T567" s="488">
        <v>570</v>
      </c>
      <c r="U567" s="488">
        <v>570</v>
      </c>
      <c r="V567" s="54"/>
      <c r="W567" s="54"/>
      <c r="X567" s="488">
        <v>570</v>
      </c>
      <c r="Y567" s="488">
        <v>570</v>
      </c>
      <c r="Z567" s="282">
        <f>AA567</f>
        <v>500</v>
      </c>
      <c r="AA567" s="282">
        <v>500</v>
      </c>
      <c r="AB567" s="282"/>
      <c r="AC567" s="282"/>
      <c r="AD567" s="282"/>
      <c r="AE567" s="282"/>
      <c r="AF567" s="282"/>
      <c r="AG567" s="282"/>
      <c r="AH567" s="282"/>
      <c r="AI567" s="282"/>
      <c r="AJ567" s="282"/>
      <c r="AK567" s="282"/>
      <c r="AL567" s="69"/>
      <c r="AM567" s="1009">
        <f t="shared" si="304"/>
        <v>0</v>
      </c>
      <c r="AN567" s="1009">
        <f t="shared" si="305"/>
        <v>1</v>
      </c>
      <c r="AO567" s="144">
        <f t="shared" si="306"/>
        <v>1</v>
      </c>
    </row>
    <row r="568" spans="1:42" ht="49.5" hidden="1" x14ac:dyDescent="0.25">
      <c r="A568" s="60">
        <v>3</v>
      </c>
      <c r="B568" s="60"/>
      <c r="C568" s="290" t="s">
        <v>1049</v>
      </c>
      <c r="D568" s="118" t="s">
        <v>1048</v>
      </c>
      <c r="E568" s="126" t="s">
        <v>1047</v>
      </c>
      <c r="F568" s="126" t="s">
        <v>738</v>
      </c>
      <c r="G568" s="118" t="s">
        <v>1046</v>
      </c>
      <c r="H568" s="130">
        <v>9311</v>
      </c>
      <c r="I568" s="130">
        <v>9311</v>
      </c>
      <c r="J568" s="282">
        <v>4200</v>
      </c>
      <c r="K568" s="282">
        <v>4200</v>
      </c>
      <c r="L568" s="282">
        <v>4200</v>
      </c>
      <c r="M568" s="282">
        <v>4200</v>
      </c>
      <c r="N568" s="68">
        <f>O568</f>
        <v>4500</v>
      </c>
      <c r="O568" s="68">
        <v>4500</v>
      </c>
      <c r="P568" s="284">
        <v>4500</v>
      </c>
      <c r="Q568" s="284">
        <v>4500</v>
      </c>
      <c r="R568" s="54"/>
      <c r="S568" s="54"/>
      <c r="T568" s="488">
        <v>4500</v>
      </c>
      <c r="U568" s="488">
        <v>4500</v>
      </c>
      <c r="V568" s="54"/>
      <c r="W568" s="54"/>
      <c r="X568" s="488">
        <v>4500</v>
      </c>
      <c r="Y568" s="488">
        <v>4500</v>
      </c>
      <c r="Z568" s="282">
        <f>AA568</f>
        <v>4500</v>
      </c>
      <c r="AA568" s="282">
        <v>4500</v>
      </c>
      <c r="AB568" s="282"/>
      <c r="AC568" s="282"/>
      <c r="AD568" s="282"/>
      <c r="AE568" s="282"/>
      <c r="AF568" s="282"/>
      <c r="AG568" s="282"/>
      <c r="AH568" s="282"/>
      <c r="AI568" s="282"/>
      <c r="AJ568" s="282"/>
      <c r="AK568" s="282"/>
      <c r="AL568" s="61"/>
      <c r="AM568" s="1009">
        <f t="shared" si="304"/>
        <v>0</v>
      </c>
      <c r="AN568" s="1009">
        <f t="shared" si="305"/>
        <v>1</v>
      </c>
      <c r="AO568" s="144">
        <f t="shared" si="306"/>
        <v>1</v>
      </c>
    </row>
    <row r="569" spans="1:42" ht="34.5" hidden="1" x14ac:dyDescent="0.25">
      <c r="A569" s="1066" t="s">
        <v>85</v>
      </c>
      <c r="B569" s="1066"/>
      <c r="C569" s="51" t="s">
        <v>86</v>
      </c>
      <c r="D569" s="57"/>
      <c r="E569" s="57"/>
      <c r="F569" s="57"/>
      <c r="G569" s="57"/>
      <c r="H569" s="1017">
        <f t="shared" ref="H569:X569" si="312">H570</f>
        <v>151343</v>
      </c>
      <c r="I569" s="1017">
        <f t="shared" si="312"/>
        <v>151343</v>
      </c>
      <c r="J569" s="1017">
        <f t="shared" si="312"/>
        <v>0</v>
      </c>
      <c r="K569" s="1017">
        <f t="shared" si="312"/>
        <v>0</v>
      </c>
      <c r="L569" s="1017">
        <f t="shared" si="312"/>
        <v>0</v>
      </c>
      <c r="M569" s="1017">
        <f t="shared" si="312"/>
        <v>0</v>
      </c>
      <c r="N569" s="1017">
        <f t="shared" si="312"/>
        <v>78280</v>
      </c>
      <c r="O569" s="1017">
        <f t="shared" si="312"/>
        <v>78280</v>
      </c>
      <c r="P569" s="1017">
        <f t="shared" si="312"/>
        <v>78280</v>
      </c>
      <c r="Q569" s="1017">
        <f t="shared" si="312"/>
        <v>78280</v>
      </c>
      <c r="R569" s="1017">
        <f t="shared" si="312"/>
        <v>0</v>
      </c>
      <c r="S569" s="1017">
        <f t="shared" si="312"/>
        <v>0</v>
      </c>
      <c r="T569" s="1017">
        <f t="shared" si="312"/>
        <v>78280</v>
      </c>
      <c r="U569" s="1017">
        <f t="shared" si="312"/>
        <v>78280</v>
      </c>
      <c r="V569" s="1017">
        <f t="shared" si="312"/>
        <v>48270</v>
      </c>
      <c r="W569" s="1017">
        <f t="shared" si="312"/>
        <v>29370</v>
      </c>
      <c r="X569" s="1017">
        <f t="shared" si="312"/>
        <v>97180</v>
      </c>
      <c r="Y569" s="1017">
        <f>Y570</f>
        <v>97180</v>
      </c>
      <c r="Z569" s="1016" t="e">
        <f>Z570+#REF!</f>
        <v>#REF!</v>
      </c>
      <c r="AA569" s="1016" t="e">
        <f>AA570+#REF!</f>
        <v>#REF!</v>
      </c>
      <c r="AB569" s="1016" t="e">
        <f>AB570+#REF!</f>
        <v>#REF!</v>
      </c>
      <c r="AC569" s="1016" t="e">
        <f>AC570+#REF!</f>
        <v>#REF!</v>
      </c>
      <c r="AD569" s="1016">
        <v>78280</v>
      </c>
      <c r="AE569" s="1016">
        <v>78280</v>
      </c>
      <c r="AF569" s="1016">
        <v>78280</v>
      </c>
      <c r="AG569" s="1016">
        <v>78280</v>
      </c>
      <c r="AH569" s="1016">
        <v>78280</v>
      </c>
      <c r="AI569" s="1016">
        <v>78280</v>
      </c>
      <c r="AJ569" s="1016">
        <v>78280</v>
      </c>
      <c r="AK569" s="1016">
        <v>78280</v>
      </c>
      <c r="AL569" s="59"/>
      <c r="AM569" s="1009">
        <f t="shared" si="304"/>
        <v>1</v>
      </c>
      <c r="AN569" s="1009">
        <f t="shared" si="305"/>
        <v>1</v>
      </c>
      <c r="AO569" s="144">
        <f t="shared" si="306"/>
        <v>1</v>
      </c>
    </row>
    <row r="570" spans="1:42" ht="51.75" hidden="1" x14ac:dyDescent="0.25">
      <c r="A570" s="50" t="s">
        <v>87</v>
      </c>
      <c r="B570" s="50"/>
      <c r="C570" s="51" t="s">
        <v>88</v>
      </c>
      <c r="D570" s="57"/>
      <c r="E570" s="57"/>
      <c r="F570" s="57"/>
      <c r="G570" s="57"/>
      <c r="H570" s="1017">
        <f t="shared" ref="H570:Y570" si="313">SUM(H571:H593)</f>
        <v>151343</v>
      </c>
      <c r="I570" s="1017">
        <f t="shared" si="313"/>
        <v>151343</v>
      </c>
      <c r="J570" s="1017">
        <f t="shared" si="313"/>
        <v>0</v>
      </c>
      <c r="K570" s="1017">
        <f t="shared" si="313"/>
        <v>0</v>
      </c>
      <c r="L570" s="1017">
        <f t="shared" si="313"/>
        <v>0</v>
      </c>
      <c r="M570" s="1017">
        <f t="shared" si="313"/>
        <v>0</v>
      </c>
      <c r="N570" s="1017">
        <f t="shared" si="313"/>
        <v>78280</v>
      </c>
      <c r="O570" s="1017">
        <f t="shared" si="313"/>
        <v>78280</v>
      </c>
      <c r="P570" s="1017">
        <f t="shared" si="313"/>
        <v>78280</v>
      </c>
      <c r="Q570" s="1017">
        <f t="shared" si="313"/>
        <v>78280</v>
      </c>
      <c r="R570" s="1017">
        <f t="shared" si="313"/>
        <v>0</v>
      </c>
      <c r="S570" s="1017">
        <f t="shared" si="313"/>
        <v>0</v>
      </c>
      <c r="T570" s="1017">
        <f t="shared" si="313"/>
        <v>78280</v>
      </c>
      <c r="U570" s="1017">
        <f t="shared" si="313"/>
        <v>78280</v>
      </c>
      <c r="V570" s="1017">
        <f t="shared" si="313"/>
        <v>48270</v>
      </c>
      <c r="W570" s="1017">
        <f t="shared" si="313"/>
        <v>29370</v>
      </c>
      <c r="X570" s="1017">
        <f t="shared" si="313"/>
        <v>97180</v>
      </c>
      <c r="Y570" s="1017">
        <f t="shared" si="313"/>
        <v>97180</v>
      </c>
      <c r="Z570" s="1016">
        <f t="shared" ref="Z570:AC570" si="314">SUM(Z571:Z585)</f>
        <v>4900</v>
      </c>
      <c r="AA570" s="1016">
        <f t="shared" si="314"/>
        <v>4900</v>
      </c>
      <c r="AB570" s="1016">
        <f t="shared" si="314"/>
        <v>16200</v>
      </c>
      <c r="AC570" s="1016">
        <f t="shared" si="314"/>
        <v>16200</v>
      </c>
      <c r="AD570" s="1016">
        <v>50710</v>
      </c>
      <c r="AE570" s="1016">
        <v>50710</v>
      </c>
      <c r="AF570" s="1016">
        <v>50710</v>
      </c>
      <c r="AG570" s="1016">
        <v>50710</v>
      </c>
      <c r="AH570" s="1016">
        <v>50710</v>
      </c>
      <c r="AI570" s="1016">
        <v>50710</v>
      </c>
      <c r="AJ570" s="1016">
        <v>50710</v>
      </c>
      <c r="AK570" s="1016">
        <v>50710</v>
      </c>
      <c r="AL570" s="59"/>
      <c r="AM570" s="1009">
        <f t="shared" si="304"/>
        <v>1</v>
      </c>
      <c r="AN570" s="1009">
        <f t="shared" si="305"/>
        <v>1</v>
      </c>
      <c r="AO570" s="144">
        <f t="shared" si="306"/>
        <v>1</v>
      </c>
      <c r="AP570" s="144"/>
    </row>
    <row r="571" spans="1:42" ht="49.5" hidden="1" x14ac:dyDescent="0.25">
      <c r="A571" s="60">
        <v>4</v>
      </c>
      <c r="B571" s="60"/>
      <c r="C571" s="1243" t="s">
        <v>1045</v>
      </c>
      <c r="D571" s="118" t="s">
        <v>1044</v>
      </c>
      <c r="E571" s="126" t="s">
        <v>1043</v>
      </c>
      <c r="F571" s="126" t="s">
        <v>183</v>
      </c>
      <c r="G571" s="118" t="s">
        <v>1042</v>
      </c>
      <c r="H571" s="130">
        <v>2976</v>
      </c>
      <c r="I571" s="130">
        <v>2976</v>
      </c>
      <c r="J571" s="282"/>
      <c r="K571" s="282"/>
      <c r="L571" s="282"/>
      <c r="M571" s="282"/>
      <c r="N571" s="68">
        <v>2500</v>
      </c>
      <c r="O571" s="68">
        <v>2500</v>
      </c>
      <c r="P571" s="284">
        <v>2500</v>
      </c>
      <c r="Q571" s="284">
        <v>2500</v>
      </c>
      <c r="R571" s="54"/>
      <c r="S571" s="54"/>
      <c r="T571" s="488">
        <v>2500</v>
      </c>
      <c r="U571" s="488">
        <v>2500</v>
      </c>
      <c r="V571" s="54"/>
      <c r="W571" s="54"/>
      <c r="X571" s="488">
        <v>2500</v>
      </c>
      <c r="Y571" s="488">
        <v>2500</v>
      </c>
      <c r="Z571" s="282">
        <f>AA571</f>
        <v>1900</v>
      </c>
      <c r="AA571" s="282">
        <v>1900</v>
      </c>
      <c r="AB571" s="282">
        <f>AC571</f>
        <v>680</v>
      </c>
      <c r="AC571" s="282">
        <v>680</v>
      </c>
      <c r="AD571" s="282"/>
      <c r="AE571" s="282"/>
      <c r="AF571" s="282"/>
      <c r="AG571" s="282"/>
      <c r="AH571" s="282"/>
      <c r="AI571" s="282"/>
      <c r="AJ571" s="282"/>
      <c r="AK571" s="282"/>
      <c r="AL571" s="69"/>
      <c r="AM571" s="1009">
        <f t="shared" si="304"/>
        <v>0</v>
      </c>
      <c r="AN571" s="1009">
        <f t="shared" si="305"/>
        <v>1</v>
      </c>
      <c r="AO571" s="144">
        <f t="shared" si="306"/>
        <v>1</v>
      </c>
    </row>
    <row r="572" spans="1:42" ht="49.5" hidden="1" x14ac:dyDescent="0.25">
      <c r="A572" s="60">
        <v>5</v>
      </c>
      <c r="B572" s="60"/>
      <c r="C572" s="290" t="s">
        <v>1041</v>
      </c>
      <c r="D572" s="118" t="s">
        <v>1040</v>
      </c>
      <c r="E572" s="126" t="s">
        <v>1039</v>
      </c>
      <c r="F572" s="126" t="s">
        <v>183</v>
      </c>
      <c r="G572" s="118" t="s">
        <v>1038</v>
      </c>
      <c r="H572" s="130">
        <v>4610</v>
      </c>
      <c r="I572" s="130">
        <v>4610</v>
      </c>
      <c r="J572" s="282"/>
      <c r="K572" s="282"/>
      <c r="L572" s="282"/>
      <c r="M572" s="282"/>
      <c r="N572" s="68">
        <v>4200</v>
      </c>
      <c r="O572" s="68">
        <v>4200</v>
      </c>
      <c r="P572" s="284">
        <v>4200</v>
      </c>
      <c r="Q572" s="284">
        <v>4200</v>
      </c>
      <c r="R572" s="54"/>
      <c r="S572" s="54"/>
      <c r="T572" s="488">
        <v>4200</v>
      </c>
      <c r="U572" s="488">
        <v>4200</v>
      </c>
      <c r="V572" s="54"/>
      <c r="W572" s="54"/>
      <c r="X572" s="488">
        <v>4200</v>
      </c>
      <c r="Y572" s="488">
        <v>4200</v>
      </c>
      <c r="Z572" s="282">
        <f>AA572</f>
        <v>3000</v>
      </c>
      <c r="AA572" s="282">
        <v>3000</v>
      </c>
      <c r="AB572" s="282"/>
      <c r="AC572" s="282"/>
      <c r="AD572" s="282"/>
      <c r="AE572" s="282"/>
      <c r="AF572" s="282"/>
      <c r="AG572" s="282"/>
      <c r="AH572" s="282"/>
      <c r="AI572" s="282"/>
      <c r="AJ572" s="282"/>
      <c r="AK572" s="282"/>
      <c r="AL572" s="69"/>
      <c r="AM572" s="1009">
        <f t="shared" si="304"/>
        <v>0</v>
      </c>
      <c r="AN572" s="1009">
        <f t="shared" si="305"/>
        <v>1</v>
      </c>
      <c r="AO572" s="144">
        <f t="shared" si="306"/>
        <v>1</v>
      </c>
    </row>
    <row r="573" spans="1:42" ht="49.5" hidden="1" x14ac:dyDescent="0.25">
      <c r="A573" s="60">
        <v>6</v>
      </c>
      <c r="B573" s="60"/>
      <c r="C573" s="290" t="s">
        <v>1037</v>
      </c>
      <c r="D573" s="118"/>
      <c r="E573" s="118" t="s">
        <v>1036</v>
      </c>
      <c r="F573" s="126" t="s">
        <v>109</v>
      </c>
      <c r="G573" s="118"/>
      <c r="H573" s="130">
        <v>1426</v>
      </c>
      <c r="I573" s="130">
        <v>1426</v>
      </c>
      <c r="J573" s="282"/>
      <c r="K573" s="282"/>
      <c r="L573" s="282"/>
      <c r="M573" s="282"/>
      <c r="N573" s="68">
        <v>1200</v>
      </c>
      <c r="O573" s="63">
        <v>1200</v>
      </c>
      <c r="P573" s="284">
        <v>1200</v>
      </c>
      <c r="Q573" s="284">
        <v>1200</v>
      </c>
      <c r="R573" s="54"/>
      <c r="S573" s="54"/>
      <c r="T573" s="488">
        <v>1200</v>
      </c>
      <c r="U573" s="488">
        <v>1200</v>
      </c>
      <c r="V573" s="54"/>
      <c r="W573" s="54"/>
      <c r="X573" s="488">
        <v>1200</v>
      </c>
      <c r="Y573" s="488">
        <v>1200</v>
      </c>
      <c r="Z573" s="282"/>
      <c r="AA573" s="282"/>
      <c r="AB573" s="282">
        <f>AC573</f>
        <v>1100</v>
      </c>
      <c r="AC573" s="282">
        <v>1100</v>
      </c>
      <c r="AD573" s="282"/>
      <c r="AE573" s="282"/>
      <c r="AF573" s="282"/>
      <c r="AG573" s="282"/>
      <c r="AH573" s="282"/>
      <c r="AI573" s="282"/>
      <c r="AJ573" s="282"/>
      <c r="AK573" s="282"/>
      <c r="AL573" s="69"/>
      <c r="AM573" s="1009">
        <f t="shared" si="304"/>
        <v>0</v>
      </c>
      <c r="AN573" s="1009">
        <f t="shared" si="305"/>
        <v>1</v>
      </c>
      <c r="AO573" s="144">
        <f t="shared" si="306"/>
        <v>1</v>
      </c>
    </row>
    <row r="574" spans="1:42" ht="66" hidden="1" x14ac:dyDescent="0.25">
      <c r="A574" s="60">
        <v>7</v>
      </c>
      <c r="B574" s="60"/>
      <c r="C574" s="290" t="s">
        <v>1035</v>
      </c>
      <c r="D574" s="118"/>
      <c r="E574" s="118" t="s">
        <v>1034</v>
      </c>
      <c r="F574" s="126" t="s">
        <v>109</v>
      </c>
      <c r="G574" s="118"/>
      <c r="H574" s="130">
        <v>2356</v>
      </c>
      <c r="I574" s="130">
        <v>2356</v>
      </c>
      <c r="J574" s="282"/>
      <c r="K574" s="282"/>
      <c r="L574" s="282"/>
      <c r="M574" s="282"/>
      <c r="N574" s="68">
        <v>2000</v>
      </c>
      <c r="O574" s="63">
        <f>N574</f>
        <v>2000</v>
      </c>
      <c r="P574" s="284">
        <v>2000</v>
      </c>
      <c r="Q574" s="284">
        <v>2000</v>
      </c>
      <c r="R574" s="54"/>
      <c r="S574" s="54"/>
      <c r="T574" s="488">
        <v>2000</v>
      </c>
      <c r="U574" s="488">
        <v>2000</v>
      </c>
      <c r="V574" s="54"/>
      <c r="W574" s="54"/>
      <c r="X574" s="488">
        <v>2000</v>
      </c>
      <c r="Y574" s="488">
        <v>2000</v>
      </c>
      <c r="Z574" s="282"/>
      <c r="AA574" s="282"/>
      <c r="AB574" s="282">
        <f>AC574</f>
        <v>1830</v>
      </c>
      <c r="AC574" s="282">
        <v>1830</v>
      </c>
      <c r="AD574" s="282"/>
      <c r="AE574" s="282"/>
      <c r="AF574" s="282"/>
      <c r="AG574" s="282"/>
      <c r="AH574" s="282"/>
      <c r="AI574" s="282"/>
      <c r="AJ574" s="282"/>
      <c r="AK574" s="282"/>
      <c r="AL574" s="69"/>
      <c r="AM574" s="1009">
        <f t="shared" si="304"/>
        <v>0</v>
      </c>
      <c r="AN574" s="1009">
        <f t="shared" si="305"/>
        <v>1</v>
      </c>
      <c r="AO574" s="144">
        <f t="shared" si="306"/>
        <v>1</v>
      </c>
    </row>
    <row r="575" spans="1:42" s="1323" customFormat="1" ht="49.5" hidden="1" x14ac:dyDescent="0.25">
      <c r="A575" s="152">
        <v>8</v>
      </c>
      <c r="B575" s="152">
        <v>1</v>
      </c>
      <c r="C575" s="1244" t="s">
        <v>1033</v>
      </c>
      <c r="D575" s="350"/>
      <c r="E575" s="350" t="s">
        <v>1032</v>
      </c>
      <c r="F575" s="1245" t="s">
        <v>109</v>
      </c>
      <c r="G575" s="350"/>
      <c r="H575" s="1246">
        <v>2007</v>
      </c>
      <c r="I575" s="1246">
        <v>2007</v>
      </c>
      <c r="J575" s="244"/>
      <c r="K575" s="244"/>
      <c r="L575" s="244"/>
      <c r="M575" s="244"/>
      <c r="N575" s="4">
        <v>1800</v>
      </c>
      <c r="O575" s="3">
        <f>N575</f>
        <v>1800</v>
      </c>
      <c r="P575" s="354">
        <v>1800</v>
      </c>
      <c r="Q575" s="354">
        <v>1800</v>
      </c>
      <c r="R575" s="8"/>
      <c r="S575" s="8"/>
      <c r="T575" s="476">
        <v>1800</v>
      </c>
      <c r="U575" s="476">
        <v>1800</v>
      </c>
      <c r="V575" s="8"/>
      <c r="W575" s="8">
        <v>1800</v>
      </c>
      <c r="X575" s="476">
        <f>Y575</f>
        <v>0</v>
      </c>
      <c r="Y575" s="476">
        <f>O575-W575</f>
        <v>0</v>
      </c>
      <c r="Z575" s="244"/>
      <c r="AA575" s="244"/>
      <c r="AB575" s="244"/>
      <c r="AC575" s="244"/>
      <c r="AD575" s="244"/>
      <c r="AE575" s="244"/>
      <c r="AF575" s="244"/>
      <c r="AG575" s="244"/>
      <c r="AH575" s="244"/>
      <c r="AI575" s="244"/>
      <c r="AJ575" s="244"/>
      <c r="AK575" s="244"/>
      <c r="AL575" s="334" t="s">
        <v>2417</v>
      </c>
      <c r="AM575" s="933">
        <f t="shared" si="304"/>
        <v>1</v>
      </c>
      <c r="AN575" s="933">
        <f t="shared" si="305"/>
        <v>0</v>
      </c>
      <c r="AO575" s="144">
        <f t="shared" si="306"/>
        <v>1</v>
      </c>
      <c r="AP575" s="1333"/>
    </row>
    <row r="576" spans="1:42" ht="33" hidden="1" x14ac:dyDescent="0.25">
      <c r="A576" s="60">
        <v>9</v>
      </c>
      <c r="B576" s="60"/>
      <c r="C576" s="290" t="s">
        <v>1031</v>
      </c>
      <c r="D576" s="118"/>
      <c r="E576" s="118" t="s">
        <v>1030</v>
      </c>
      <c r="F576" s="126" t="s">
        <v>109</v>
      </c>
      <c r="G576" s="118"/>
      <c r="H576" s="130">
        <v>1511</v>
      </c>
      <c r="I576" s="130">
        <v>1511</v>
      </c>
      <c r="J576" s="282"/>
      <c r="K576" s="282"/>
      <c r="L576" s="282"/>
      <c r="M576" s="282"/>
      <c r="N576" s="68">
        <f>O576</f>
        <v>1300</v>
      </c>
      <c r="O576" s="63">
        <v>1300</v>
      </c>
      <c r="P576" s="284">
        <v>1300</v>
      </c>
      <c r="Q576" s="284">
        <v>1300</v>
      </c>
      <c r="R576" s="54"/>
      <c r="S576" s="54"/>
      <c r="T576" s="488">
        <v>1300</v>
      </c>
      <c r="U576" s="488">
        <v>1300</v>
      </c>
      <c r="V576" s="54"/>
      <c r="W576" s="54"/>
      <c r="X576" s="488">
        <v>1300</v>
      </c>
      <c r="Y576" s="488">
        <v>1300</v>
      </c>
      <c r="Z576" s="282"/>
      <c r="AA576" s="282"/>
      <c r="AB576" s="282"/>
      <c r="AC576" s="282"/>
      <c r="AD576" s="282"/>
      <c r="AE576" s="282"/>
      <c r="AF576" s="282"/>
      <c r="AG576" s="282"/>
      <c r="AH576" s="282"/>
      <c r="AI576" s="282"/>
      <c r="AJ576" s="282"/>
      <c r="AK576" s="282"/>
      <c r="AL576" s="69"/>
      <c r="AM576" s="1009">
        <f t="shared" si="304"/>
        <v>0</v>
      </c>
      <c r="AN576" s="1009">
        <f t="shared" si="305"/>
        <v>1</v>
      </c>
      <c r="AO576" s="144">
        <f t="shared" si="306"/>
        <v>1</v>
      </c>
    </row>
    <row r="577" spans="1:41" ht="49.5" hidden="1" x14ac:dyDescent="0.25">
      <c r="A577" s="60">
        <v>10</v>
      </c>
      <c r="B577" s="60"/>
      <c r="C577" s="290" t="s">
        <v>1029</v>
      </c>
      <c r="D577" s="118"/>
      <c r="E577" s="118" t="s">
        <v>1028</v>
      </c>
      <c r="F577" s="126" t="s">
        <v>109</v>
      </c>
      <c r="G577" s="118"/>
      <c r="H577" s="130">
        <v>1063</v>
      </c>
      <c r="I577" s="130">
        <v>1063</v>
      </c>
      <c r="J577" s="282"/>
      <c r="K577" s="282"/>
      <c r="L577" s="282"/>
      <c r="M577" s="282"/>
      <c r="N577" s="68">
        <v>960</v>
      </c>
      <c r="O577" s="63">
        <f t="shared" ref="O577:O585" si="315">N577</f>
        <v>960</v>
      </c>
      <c r="P577" s="284">
        <v>960</v>
      </c>
      <c r="Q577" s="284">
        <v>960</v>
      </c>
      <c r="R577" s="54"/>
      <c r="S577" s="54"/>
      <c r="T577" s="488">
        <v>960</v>
      </c>
      <c r="U577" s="488">
        <v>960</v>
      </c>
      <c r="V577" s="54"/>
      <c r="W577" s="54"/>
      <c r="X577" s="488">
        <v>960</v>
      </c>
      <c r="Y577" s="488">
        <v>960</v>
      </c>
      <c r="Z577" s="282"/>
      <c r="AA577" s="282"/>
      <c r="AB577" s="282"/>
      <c r="AC577" s="282"/>
      <c r="AD577" s="282"/>
      <c r="AE577" s="282"/>
      <c r="AF577" s="282"/>
      <c r="AG577" s="282"/>
      <c r="AH577" s="282"/>
      <c r="AI577" s="282"/>
      <c r="AJ577" s="282"/>
      <c r="AK577" s="282"/>
      <c r="AL577" s="69"/>
      <c r="AM577" s="1009">
        <f t="shared" si="304"/>
        <v>0</v>
      </c>
      <c r="AN577" s="1009">
        <f t="shared" si="305"/>
        <v>1</v>
      </c>
      <c r="AO577" s="144">
        <f t="shared" si="306"/>
        <v>1</v>
      </c>
    </row>
    <row r="578" spans="1:41" ht="49.5" hidden="1" x14ac:dyDescent="0.25">
      <c r="A578" s="60">
        <v>11</v>
      </c>
      <c r="B578" s="60"/>
      <c r="C578" s="290" t="s">
        <v>1027</v>
      </c>
      <c r="D578" s="118"/>
      <c r="E578" s="118" t="s">
        <v>1026</v>
      </c>
      <c r="F578" s="126" t="s">
        <v>116</v>
      </c>
      <c r="G578" s="118"/>
      <c r="H578" s="130">
        <v>1444</v>
      </c>
      <c r="I578" s="130">
        <v>1444</v>
      </c>
      <c r="J578" s="282"/>
      <c r="K578" s="282"/>
      <c r="L578" s="282"/>
      <c r="M578" s="282"/>
      <c r="N578" s="68">
        <v>1280</v>
      </c>
      <c r="O578" s="63">
        <f t="shared" si="315"/>
        <v>1280</v>
      </c>
      <c r="P578" s="284">
        <v>1280</v>
      </c>
      <c r="Q578" s="284">
        <v>1280</v>
      </c>
      <c r="R578" s="54"/>
      <c r="S578" s="54"/>
      <c r="T578" s="488">
        <v>1280</v>
      </c>
      <c r="U578" s="488">
        <v>1280</v>
      </c>
      <c r="V578" s="54"/>
      <c r="W578" s="54"/>
      <c r="X578" s="488">
        <v>1280</v>
      </c>
      <c r="Y578" s="488">
        <v>1280</v>
      </c>
      <c r="Z578" s="282"/>
      <c r="AA578" s="282"/>
      <c r="AB578" s="282"/>
      <c r="AC578" s="282"/>
      <c r="AD578" s="282"/>
      <c r="AE578" s="282"/>
      <c r="AF578" s="282"/>
      <c r="AG578" s="282"/>
      <c r="AH578" s="282"/>
      <c r="AI578" s="282"/>
      <c r="AJ578" s="282"/>
      <c r="AK578" s="282"/>
      <c r="AL578" s="69"/>
      <c r="AM578" s="1009">
        <f t="shared" si="304"/>
        <v>0</v>
      </c>
      <c r="AN578" s="1009">
        <f t="shared" si="305"/>
        <v>1</v>
      </c>
      <c r="AO578" s="144">
        <f t="shared" si="306"/>
        <v>1</v>
      </c>
    </row>
    <row r="579" spans="1:41" ht="99" hidden="1" x14ac:dyDescent="0.25">
      <c r="A579" s="60">
        <v>12</v>
      </c>
      <c r="B579" s="60"/>
      <c r="C579" s="290" t="s">
        <v>1025</v>
      </c>
      <c r="D579" s="118"/>
      <c r="E579" s="1068" t="s">
        <v>1024</v>
      </c>
      <c r="F579" s="126" t="s">
        <v>116</v>
      </c>
      <c r="G579" s="118"/>
      <c r="H579" s="130">
        <v>3858</v>
      </c>
      <c r="I579" s="130">
        <v>3858</v>
      </c>
      <c r="J579" s="282"/>
      <c r="K579" s="282"/>
      <c r="L579" s="282"/>
      <c r="M579" s="282"/>
      <c r="N579" s="68">
        <v>3500</v>
      </c>
      <c r="O579" s="63">
        <f t="shared" si="315"/>
        <v>3500</v>
      </c>
      <c r="P579" s="284">
        <v>3500</v>
      </c>
      <c r="Q579" s="284">
        <v>3500</v>
      </c>
      <c r="R579" s="54"/>
      <c r="S579" s="54"/>
      <c r="T579" s="488">
        <v>3500</v>
      </c>
      <c r="U579" s="488">
        <v>3500</v>
      </c>
      <c r="V579" s="54"/>
      <c r="W579" s="54"/>
      <c r="X579" s="488">
        <v>3500</v>
      </c>
      <c r="Y579" s="488">
        <v>3500</v>
      </c>
      <c r="Z579" s="282"/>
      <c r="AA579" s="282"/>
      <c r="AB579" s="282"/>
      <c r="AC579" s="282"/>
      <c r="AD579" s="282"/>
      <c r="AE579" s="282"/>
      <c r="AF579" s="282"/>
      <c r="AG579" s="282"/>
      <c r="AH579" s="282"/>
      <c r="AI579" s="282"/>
      <c r="AJ579" s="282"/>
      <c r="AK579" s="282"/>
      <c r="AL579" s="69"/>
      <c r="AM579" s="1009">
        <f t="shared" si="304"/>
        <v>0</v>
      </c>
      <c r="AN579" s="1009">
        <f t="shared" si="305"/>
        <v>1</v>
      </c>
      <c r="AO579" s="144">
        <f t="shared" si="306"/>
        <v>1</v>
      </c>
    </row>
    <row r="580" spans="1:41" ht="49.5" hidden="1" x14ac:dyDescent="0.25">
      <c r="A580" s="60">
        <v>13</v>
      </c>
      <c r="B580" s="60"/>
      <c r="C580" s="290" t="s">
        <v>1023</v>
      </c>
      <c r="D580" s="118"/>
      <c r="E580" s="118" t="s">
        <v>1022</v>
      </c>
      <c r="F580" s="126" t="s">
        <v>116</v>
      </c>
      <c r="G580" s="118"/>
      <c r="H580" s="130">
        <v>6016</v>
      </c>
      <c r="I580" s="130">
        <v>6016</v>
      </c>
      <c r="J580" s="282"/>
      <c r="K580" s="282"/>
      <c r="L580" s="282"/>
      <c r="M580" s="282"/>
      <c r="N580" s="68">
        <v>5400</v>
      </c>
      <c r="O580" s="63">
        <f t="shared" si="315"/>
        <v>5400</v>
      </c>
      <c r="P580" s="284">
        <v>5400</v>
      </c>
      <c r="Q580" s="284">
        <v>5400</v>
      </c>
      <c r="R580" s="54"/>
      <c r="S580" s="54"/>
      <c r="T580" s="488">
        <v>5400</v>
      </c>
      <c r="U580" s="488">
        <v>5400</v>
      </c>
      <c r="V580" s="54"/>
      <c r="W580" s="54"/>
      <c r="X580" s="488">
        <v>5400</v>
      </c>
      <c r="Y580" s="488">
        <v>5400</v>
      </c>
      <c r="Z580" s="282"/>
      <c r="AA580" s="282"/>
      <c r="AB580" s="282">
        <f>AC580</f>
        <v>4700</v>
      </c>
      <c r="AC580" s="282">
        <v>4700</v>
      </c>
      <c r="AD580" s="282"/>
      <c r="AE580" s="282"/>
      <c r="AF580" s="282"/>
      <c r="AG580" s="282"/>
      <c r="AH580" s="282"/>
      <c r="AI580" s="282"/>
      <c r="AJ580" s="282"/>
      <c r="AK580" s="282"/>
      <c r="AL580" s="69"/>
      <c r="AM580" s="1009">
        <f t="shared" si="304"/>
        <v>0</v>
      </c>
      <c r="AN580" s="1009">
        <f t="shared" si="305"/>
        <v>1</v>
      </c>
      <c r="AO580" s="144">
        <f t="shared" si="306"/>
        <v>1</v>
      </c>
    </row>
    <row r="581" spans="1:41" ht="49.5" hidden="1" x14ac:dyDescent="0.25">
      <c r="A581" s="60">
        <v>14</v>
      </c>
      <c r="B581" s="60"/>
      <c r="C581" s="290" t="s">
        <v>1021</v>
      </c>
      <c r="D581" s="118"/>
      <c r="E581" s="118" t="s">
        <v>1020</v>
      </c>
      <c r="F581" s="126" t="s">
        <v>116</v>
      </c>
      <c r="G581" s="118"/>
      <c r="H581" s="130">
        <v>5604</v>
      </c>
      <c r="I581" s="130">
        <v>5604</v>
      </c>
      <c r="J581" s="282"/>
      <c r="K581" s="282"/>
      <c r="L581" s="282"/>
      <c r="M581" s="282"/>
      <c r="N581" s="68">
        <v>5000</v>
      </c>
      <c r="O581" s="63">
        <f t="shared" si="315"/>
        <v>5000</v>
      </c>
      <c r="P581" s="284">
        <v>5000</v>
      </c>
      <c r="Q581" s="284">
        <v>5000</v>
      </c>
      <c r="R581" s="54"/>
      <c r="S581" s="54"/>
      <c r="T581" s="488">
        <v>5000</v>
      </c>
      <c r="U581" s="488">
        <v>5000</v>
      </c>
      <c r="V581" s="54"/>
      <c r="W581" s="54"/>
      <c r="X581" s="488">
        <v>5000</v>
      </c>
      <c r="Y581" s="488">
        <v>5000</v>
      </c>
      <c r="Z581" s="282"/>
      <c r="AA581" s="282"/>
      <c r="AB581" s="282">
        <f>AC581</f>
        <v>4400</v>
      </c>
      <c r="AC581" s="282">
        <v>4400</v>
      </c>
      <c r="AD581" s="282"/>
      <c r="AE581" s="282"/>
      <c r="AF581" s="282"/>
      <c r="AG581" s="282"/>
      <c r="AH581" s="282"/>
      <c r="AI581" s="282"/>
      <c r="AJ581" s="282"/>
      <c r="AK581" s="282"/>
      <c r="AL581" s="69"/>
      <c r="AM581" s="1009">
        <f t="shared" si="304"/>
        <v>0</v>
      </c>
      <c r="AN581" s="1009">
        <f t="shared" si="305"/>
        <v>1</v>
      </c>
      <c r="AO581" s="144">
        <f t="shared" si="306"/>
        <v>1</v>
      </c>
    </row>
    <row r="582" spans="1:41" ht="49.5" hidden="1" x14ac:dyDescent="0.25">
      <c r="A582" s="749">
        <v>15</v>
      </c>
      <c r="B582" s="749"/>
      <c r="C582" s="290" t="s">
        <v>1019</v>
      </c>
      <c r="D582" s="118"/>
      <c r="E582" s="118" t="s">
        <v>1018</v>
      </c>
      <c r="F582" s="126" t="s">
        <v>116</v>
      </c>
      <c r="G582" s="118"/>
      <c r="H582" s="130">
        <v>1823</v>
      </c>
      <c r="I582" s="130">
        <v>1823</v>
      </c>
      <c r="J582" s="1020"/>
      <c r="K582" s="1020"/>
      <c r="L582" s="1020"/>
      <c r="M582" s="1020"/>
      <c r="N582" s="68">
        <v>1670</v>
      </c>
      <c r="O582" s="63">
        <f t="shared" si="315"/>
        <v>1670</v>
      </c>
      <c r="P582" s="1021">
        <v>1670</v>
      </c>
      <c r="Q582" s="1021">
        <v>1670</v>
      </c>
      <c r="R582" s="54"/>
      <c r="S582" s="54"/>
      <c r="T582" s="1022">
        <v>1670</v>
      </c>
      <c r="U582" s="1022">
        <v>1670</v>
      </c>
      <c r="V582" s="54"/>
      <c r="W582" s="54"/>
      <c r="X582" s="1022">
        <v>1670</v>
      </c>
      <c r="Y582" s="1022">
        <v>1670</v>
      </c>
      <c r="Z582" s="1020"/>
      <c r="AA582" s="1020"/>
      <c r="AB582" s="282">
        <f>AC582</f>
        <v>1400</v>
      </c>
      <c r="AC582" s="282">
        <v>1400</v>
      </c>
      <c r="AD582" s="1020"/>
      <c r="AE582" s="1020"/>
      <c r="AF582" s="1020"/>
      <c r="AG582" s="1020"/>
      <c r="AH582" s="1020"/>
      <c r="AI582" s="1020"/>
      <c r="AJ582" s="1020"/>
      <c r="AK582" s="1020"/>
      <c r="AL582" s="27"/>
      <c r="AM582" s="1009">
        <f t="shared" si="304"/>
        <v>0</v>
      </c>
      <c r="AN582" s="1009">
        <f t="shared" si="305"/>
        <v>1</v>
      </c>
      <c r="AO582" s="144">
        <f t="shared" si="306"/>
        <v>1</v>
      </c>
    </row>
    <row r="583" spans="1:41" ht="49.5" hidden="1" x14ac:dyDescent="0.25">
      <c r="A583" s="749">
        <v>16</v>
      </c>
      <c r="B583" s="749"/>
      <c r="C583" s="290" t="s">
        <v>1017</v>
      </c>
      <c r="D583" s="118"/>
      <c r="E583" s="118" t="s">
        <v>1016</v>
      </c>
      <c r="F583" s="126" t="s">
        <v>116</v>
      </c>
      <c r="G583" s="118"/>
      <c r="H583" s="130">
        <v>2261</v>
      </c>
      <c r="I583" s="130">
        <v>2261</v>
      </c>
      <c r="J583" s="288"/>
      <c r="K583" s="288"/>
      <c r="L583" s="288"/>
      <c r="M583" s="288"/>
      <c r="N583" s="68">
        <v>2000</v>
      </c>
      <c r="O583" s="63">
        <f t="shared" si="315"/>
        <v>2000</v>
      </c>
      <c r="P583" s="283">
        <v>2000</v>
      </c>
      <c r="Q583" s="283">
        <v>2000</v>
      </c>
      <c r="R583" s="54"/>
      <c r="S583" s="54"/>
      <c r="T583" s="487">
        <v>2000</v>
      </c>
      <c r="U583" s="487">
        <v>2000</v>
      </c>
      <c r="V583" s="54"/>
      <c r="W583" s="54"/>
      <c r="X583" s="487">
        <v>2000</v>
      </c>
      <c r="Y583" s="487">
        <v>2000</v>
      </c>
      <c r="Z583" s="288"/>
      <c r="AA583" s="288"/>
      <c r="AB583" s="282">
        <f>AC583</f>
        <v>990</v>
      </c>
      <c r="AC583" s="288">
        <v>990</v>
      </c>
      <c r="AD583" s="288"/>
      <c r="AE583" s="288"/>
      <c r="AF583" s="288"/>
      <c r="AG583" s="288"/>
      <c r="AH583" s="288"/>
      <c r="AI583" s="288"/>
      <c r="AJ583" s="288"/>
      <c r="AK583" s="288"/>
      <c r="AL583" s="1052"/>
      <c r="AM583" s="1009">
        <f t="shared" si="304"/>
        <v>0</v>
      </c>
      <c r="AN583" s="1009">
        <f t="shared" si="305"/>
        <v>1</v>
      </c>
      <c r="AO583" s="144">
        <f t="shared" si="306"/>
        <v>1</v>
      </c>
    </row>
    <row r="584" spans="1:41" ht="49.5" hidden="1" x14ac:dyDescent="0.25">
      <c r="A584" s="749">
        <v>17</v>
      </c>
      <c r="B584" s="749"/>
      <c r="C584" s="290" t="s">
        <v>1015</v>
      </c>
      <c r="D584" s="118"/>
      <c r="E584" s="118" t="s">
        <v>1014</v>
      </c>
      <c r="F584" s="126" t="s">
        <v>116</v>
      </c>
      <c r="G584" s="118"/>
      <c r="H584" s="130">
        <v>9913</v>
      </c>
      <c r="I584" s="130">
        <v>9913</v>
      </c>
      <c r="J584" s="288"/>
      <c r="K584" s="288"/>
      <c r="L584" s="288"/>
      <c r="M584" s="288"/>
      <c r="N584" s="68">
        <v>9000</v>
      </c>
      <c r="O584" s="63">
        <f t="shared" si="315"/>
        <v>9000</v>
      </c>
      <c r="P584" s="283">
        <v>9000</v>
      </c>
      <c r="Q584" s="283">
        <v>9000</v>
      </c>
      <c r="R584" s="54"/>
      <c r="S584" s="54"/>
      <c r="T584" s="487">
        <v>9000</v>
      </c>
      <c r="U584" s="487">
        <v>9000</v>
      </c>
      <c r="V584" s="54"/>
      <c r="W584" s="54"/>
      <c r="X584" s="487">
        <v>9000</v>
      </c>
      <c r="Y584" s="487">
        <v>9000</v>
      </c>
      <c r="Z584" s="288"/>
      <c r="AA584" s="288"/>
      <c r="AB584" s="282">
        <f>AC584</f>
        <v>1100</v>
      </c>
      <c r="AC584" s="288">
        <v>1100</v>
      </c>
      <c r="AD584" s="288"/>
      <c r="AE584" s="288"/>
      <c r="AF584" s="288"/>
      <c r="AG584" s="288"/>
      <c r="AH584" s="288"/>
      <c r="AI584" s="288"/>
      <c r="AJ584" s="288"/>
      <c r="AK584" s="288"/>
      <c r="AL584" s="1052"/>
      <c r="AM584" s="1009">
        <f t="shared" si="304"/>
        <v>0</v>
      </c>
      <c r="AN584" s="1009">
        <f t="shared" si="305"/>
        <v>1</v>
      </c>
      <c r="AO584" s="144">
        <f t="shared" si="306"/>
        <v>1</v>
      </c>
    </row>
    <row r="585" spans="1:41" ht="33" hidden="1" x14ac:dyDescent="0.25">
      <c r="A585" s="749">
        <v>18</v>
      </c>
      <c r="B585" s="749"/>
      <c r="C585" s="290" t="s">
        <v>1013</v>
      </c>
      <c r="D585" s="118"/>
      <c r="E585" s="118" t="s">
        <v>1012</v>
      </c>
      <c r="F585" s="126" t="s">
        <v>116</v>
      </c>
      <c r="G585" s="118"/>
      <c r="H585" s="130">
        <v>9825</v>
      </c>
      <c r="I585" s="130">
        <v>9825</v>
      </c>
      <c r="J585" s="5"/>
      <c r="K585" s="5"/>
      <c r="L585" s="5"/>
      <c r="M585" s="5"/>
      <c r="N585" s="68">
        <v>8900</v>
      </c>
      <c r="O585" s="63">
        <f t="shared" si="315"/>
        <v>8900</v>
      </c>
      <c r="P585" s="1069">
        <v>8900</v>
      </c>
      <c r="Q585" s="1069">
        <v>8900</v>
      </c>
      <c r="R585" s="54"/>
      <c r="S585" s="54"/>
      <c r="T585" s="487">
        <v>8900</v>
      </c>
      <c r="U585" s="487">
        <v>8900</v>
      </c>
      <c r="V585" s="54"/>
      <c r="W585" s="54"/>
      <c r="X585" s="487">
        <v>8900</v>
      </c>
      <c r="Y585" s="487">
        <v>8900</v>
      </c>
      <c r="Z585" s="5"/>
      <c r="AA585" s="5"/>
      <c r="AB585" s="5"/>
      <c r="AC585" s="5"/>
      <c r="AD585" s="5"/>
      <c r="AE585" s="5"/>
      <c r="AF585" s="5"/>
      <c r="AG585" s="5"/>
      <c r="AH585" s="5"/>
      <c r="AI585" s="5"/>
      <c r="AJ585" s="5"/>
      <c r="AK585" s="5"/>
      <c r="AL585" s="1052"/>
      <c r="AM585" s="1009">
        <f t="shared" si="304"/>
        <v>0</v>
      </c>
      <c r="AN585" s="1009">
        <f t="shared" si="305"/>
        <v>1</v>
      </c>
      <c r="AO585" s="144">
        <f t="shared" si="306"/>
        <v>1</v>
      </c>
    </row>
    <row r="586" spans="1:41" ht="82.5" hidden="1" x14ac:dyDescent="0.25">
      <c r="A586" s="749">
        <v>19</v>
      </c>
      <c r="B586" s="749">
        <v>2</v>
      </c>
      <c r="C586" s="290" t="s">
        <v>1010</v>
      </c>
      <c r="D586" s="118"/>
      <c r="E586" s="118"/>
      <c r="F586" s="126" t="s">
        <v>116</v>
      </c>
      <c r="G586" s="118"/>
      <c r="H586" s="130">
        <v>40000</v>
      </c>
      <c r="I586" s="130">
        <v>40000</v>
      </c>
      <c r="J586" s="5"/>
      <c r="K586" s="5"/>
      <c r="L586" s="5"/>
      <c r="M586" s="5"/>
      <c r="N586" s="4">
        <v>27570</v>
      </c>
      <c r="O586" s="3">
        <f>N586</f>
        <v>27570</v>
      </c>
      <c r="P586" s="1144">
        <v>27570</v>
      </c>
      <c r="Q586" s="1144">
        <v>27570</v>
      </c>
      <c r="R586" s="8"/>
      <c r="S586" s="8"/>
      <c r="T586" s="487">
        <v>27570</v>
      </c>
      <c r="U586" s="487">
        <v>27570</v>
      </c>
      <c r="V586" s="54">
        <f>SUM(U587:U589)</f>
        <v>0</v>
      </c>
      <c r="W586" s="54">
        <v>27570</v>
      </c>
      <c r="X586" s="487">
        <f>Y586</f>
        <v>0</v>
      </c>
      <c r="Y586" s="487">
        <f>U586-W586</f>
        <v>0</v>
      </c>
      <c r="Z586" s="150"/>
      <c r="AA586" s="150"/>
      <c r="AB586" s="150"/>
      <c r="AC586" s="150"/>
      <c r="AD586" s="150"/>
      <c r="AE586" s="150"/>
      <c r="AF586" s="150"/>
      <c r="AG586" s="150"/>
      <c r="AH586" s="150"/>
      <c r="AI586" s="150"/>
      <c r="AJ586" s="150"/>
      <c r="AK586" s="150"/>
      <c r="AL586" s="25" t="s">
        <v>2181</v>
      </c>
      <c r="AM586" s="1009">
        <f t="shared" si="304"/>
        <v>1</v>
      </c>
      <c r="AN586" s="1009">
        <f t="shared" si="305"/>
        <v>0</v>
      </c>
      <c r="AO586" s="144">
        <f t="shared" si="306"/>
        <v>1</v>
      </c>
    </row>
    <row r="587" spans="1:41" ht="49.5" hidden="1" x14ac:dyDescent="0.25">
      <c r="A587" s="749">
        <v>20</v>
      </c>
      <c r="B587" s="749">
        <v>3</v>
      </c>
      <c r="C587" s="290" t="s">
        <v>2182</v>
      </c>
      <c r="D587" s="118"/>
      <c r="E587" s="118"/>
      <c r="F587" s="126" t="s">
        <v>116</v>
      </c>
      <c r="G587" s="118"/>
      <c r="H587" s="130">
        <f>I587</f>
        <v>9900</v>
      </c>
      <c r="I587" s="130">
        <v>9900</v>
      </c>
      <c r="J587" s="5"/>
      <c r="K587" s="5"/>
      <c r="L587" s="5"/>
      <c r="M587" s="5"/>
      <c r="N587" s="1077"/>
      <c r="O587" s="1076"/>
      <c r="P587" s="1145"/>
      <c r="Q587" s="1145"/>
      <c r="R587" s="1097"/>
      <c r="S587" s="1097"/>
      <c r="T587" s="487"/>
      <c r="U587" s="487"/>
      <c r="V587" s="54">
        <v>8400</v>
      </c>
      <c r="W587" s="54"/>
      <c r="X587" s="487">
        <f>Y587</f>
        <v>8400</v>
      </c>
      <c r="Y587" s="487">
        <f>V587+U587</f>
        <v>8400</v>
      </c>
      <c r="Z587" s="1078"/>
      <c r="AA587" s="1078"/>
      <c r="AB587" s="1078"/>
      <c r="AC587" s="1078"/>
      <c r="AD587" s="1078"/>
      <c r="AE587" s="1078"/>
      <c r="AF587" s="1078"/>
      <c r="AG587" s="1078"/>
      <c r="AH587" s="1078"/>
      <c r="AI587" s="1078"/>
      <c r="AJ587" s="1078"/>
      <c r="AK587" s="1078"/>
      <c r="AL587" s="25" t="s">
        <v>980</v>
      </c>
      <c r="AM587" s="1009">
        <f t="shared" si="304"/>
        <v>1</v>
      </c>
      <c r="AN587" s="1009">
        <f t="shared" si="305"/>
        <v>1</v>
      </c>
      <c r="AO587" s="144">
        <f t="shared" si="306"/>
        <v>1</v>
      </c>
    </row>
    <row r="588" spans="1:41" ht="49.5" hidden="1" x14ac:dyDescent="0.25">
      <c r="A588" s="749">
        <v>21</v>
      </c>
      <c r="B588" s="749">
        <v>4</v>
      </c>
      <c r="C588" s="290" t="s">
        <v>2179</v>
      </c>
      <c r="D588" s="118"/>
      <c r="E588" s="118"/>
      <c r="F588" s="126" t="s">
        <v>116</v>
      </c>
      <c r="G588" s="118"/>
      <c r="H588" s="130">
        <f t="shared" ref="H588:H589" si="316">I588</f>
        <v>9800</v>
      </c>
      <c r="I588" s="130">
        <v>9800</v>
      </c>
      <c r="J588" s="5"/>
      <c r="K588" s="5"/>
      <c r="L588" s="5"/>
      <c r="M588" s="5"/>
      <c r="N588" s="1077"/>
      <c r="O588" s="1076"/>
      <c r="P588" s="1145"/>
      <c r="Q588" s="1145"/>
      <c r="R588" s="1097"/>
      <c r="S588" s="1097"/>
      <c r="T588" s="487"/>
      <c r="U588" s="487"/>
      <c r="V588" s="54">
        <v>8300</v>
      </c>
      <c r="W588" s="54"/>
      <c r="X588" s="487">
        <f t="shared" ref="X588:X593" si="317">Y588</f>
        <v>8300</v>
      </c>
      <c r="Y588" s="487">
        <f t="shared" ref="Y588:Y589" si="318">V588+U588</f>
        <v>8300</v>
      </c>
      <c r="Z588" s="1078"/>
      <c r="AA588" s="1078"/>
      <c r="AB588" s="1078"/>
      <c r="AC588" s="1078"/>
      <c r="AD588" s="1078"/>
      <c r="AE588" s="1078"/>
      <c r="AF588" s="1078"/>
      <c r="AG588" s="1078"/>
      <c r="AH588" s="1078"/>
      <c r="AI588" s="1078"/>
      <c r="AJ588" s="1078"/>
      <c r="AK588" s="1078"/>
      <c r="AL588" s="25" t="s">
        <v>980</v>
      </c>
      <c r="AM588" s="1009">
        <f t="shared" si="304"/>
        <v>1</v>
      </c>
      <c r="AN588" s="1009">
        <f t="shared" si="305"/>
        <v>1</v>
      </c>
      <c r="AO588" s="144">
        <f t="shared" si="306"/>
        <v>1</v>
      </c>
    </row>
    <row r="589" spans="1:41" ht="60" hidden="1" customHeight="1" x14ac:dyDescent="0.25">
      <c r="A589" s="749">
        <v>22</v>
      </c>
      <c r="B589" s="749">
        <v>5</v>
      </c>
      <c r="C589" s="290" t="s">
        <v>2180</v>
      </c>
      <c r="D589" s="118"/>
      <c r="E589" s="118"/>
      <c r="F589" s="126" t="s">
        <v>116</v>
      </c>
      <c r="G589" s="118"/>
      <c r="H589" s="130">
        <f t="shared" si="316"/>
        <v>12000</v>
      </c>
      <c r="I589" s="130">
        <v>12000</v>
      </c>
      <c r="J589" s="5"/>
      <c r="K589" s="5"/>
      <c r="L589" s="5"/>
      <c r="M589" s="5"/>
      <c r="N589" s="1077"/>
      <c r="O589" s="1076"/>
      <c r="P589" s="1145"/>
      <c r="Q589" s="1145"/>
      <c r="R589" s="1097"/>
      <c r="S589" s="1097"/>
      <c r="T589" s="487"/>
      <c r="U589" s="487"/>
      <c r="V589" s="54">
        <f>27570-V587-V588</f>
        <v>10870</v>
      </c>
      <c r="W589" s="54"/>
      <c r="X589" s="487">
        <f t="shared" si="317"/>
        <v>10870</v>
      </c>
      <c r="Y589" s="487">
        <f t="shared" si="318"/>
        <v>10870</v>
      </c>
      <c r="Z589" s="1078"/>
      <c r="AA589" s="1078"/>
      <c r="AB589" s="1078"/>
      <c r="AC589" s="1078"/>
      <c r="AD589" s="1078"/>
      <c r="AE589" s="1078"/>
      <c r="AF589" s="1078"/>
      <c r="AG589" s="1078"/>
      <c r="AH589" s="1078"/>
      <c r="AI589" s="1078"/>
      <c r="AJ589" s="1078"/>
      <c r="AK589" s="1078"/>
      <c r="AL589" s="25" t="s">
        <v>980</v>
      </c>
      <c r="AM589" s="1009">
        <f t="shared" si="304"/>
        <v>1</v>
      </c>
      <c r="AN589" s="1009">
        <f t="shared" si="305"/>
        <v>1</v>
      </c>
      <c r="AO589" s="144">
        <f t="shared" si="306"/>
        <v>1</v>
      </c>
    </row>
    <row r="590" spans="1:41" ht="66" hidden="1" x14ac:dyDescent="0.25">
      <c r="A590" s="749">
        <v>23</v>
      </c>
      <c r="B590" s="749">
        <v>6</v>
      </c>
      <c r="C590" s="290" t="s">
        <v>2183</v>
      </c>
      <c r="D590" s="118"/>
      <c r="E590" s="118" t="s">
        <v>2185</v>
      </c>
      <c r="F590" s="126" t="s">
        <v>290</v>
      </c>
      <c r="G590" s="118"/>
      <c r="H590" s="130">
        <f>I590</f>
        <v>7000</v>
      </c>
      <c r="I590" s="130">
        <v>7000</v>
      </c>
      <c r="J590" s="5"/>
      <c r="K590" s="5"/>
      <c r="L590" s="5"/>
      <c r="M590" s="5"/>
      <c r="N590" s="1077"/>
      <c r="O590" s="1076"/>
      <c r="P590" s="1145"/>
      <c r="Q590" s="1145"/>
      <c r="R590" s="1097"/>
      <c r="S590" s="1097"/>
      <c r="T590" s="487"/>
      <c r="U590" s="487"/>
      <c r="V590" s="54">
        <v>6300</v>
      </c>
      <c r="W590" s="54"/>
      <c r="X590" s="487">
        <f t="shared" si="317"/>
        <v>6300</v>
      </c>
      <c r="Y590" s="487">
        <f t="shared" ref="Y590:Y592" si="319">V590+U590</f>
        <v>6300</v>
      </c>
      <c r="Z590" s="1078"/>
      <c r="AA590" s="1078"/>
      <c r="AB590" s="1078"/>
      <c r="AC590" s="1078"/>
      <c r="AD590" s="1078"/>
      <c r="AE590" s="1078"/>
      <c r="AF590" s="1078"/>
      <c r="AG590" s="1078"/>
      <c r="AH590" s="1078"/>
      <c r="AI590" s="1078"/>
      <c r="AJ590" s="1078"/>
      <c r="AK590" s="1078"/>
      <c r="AL590" s="25" t="s">
        <v>980</v>
      </c>
      <c r="AM590" s="1009">
        <f t="shared" si="304"/>
        <v>1</v>
      </c>
      <c r="AN590" s="1009">
        <f t="shared" si="305"/>
        <v>1</v>
      </c>
      <c r="AO590" s="144">
        <f t="shared" si="306"/>
        <v>1</v>
      </c>
    </row>
    <row r="591" spans="1:41" ht="66" hidden="1" x14ac:dyDescent="0.25">
      <c r="A591" s="749">
        <v>24</v>
      </c>
      <c r="B591" s="749">
        <v>7</v>
      </c>
      <c r="C591" s="290" t="s">
        <v>2184</v>
      </c>
      <c r="D591" s="118"/>
      <c r="E591" s="118" t="s">
        <v>2185</v>
      </c>
      <c r="F591" s="126" t="s">
        <v>290</v>
      </c>
      <c r="G591" s="118"/>
      <c r="H591" s="130">
        <f>I591</f>
        <v>7000</v>
      </c>
      <c r="I591" s="130">
        <v>7000</v>
      </c>
      <c r="J591" s="5"/>
      <c r="K591" s="5"/>
      <c r="L591" s="5"/>
      <c r="M591" s="5"/>
      <c r="N591" s="1077"/>
      <c r="O591" s="1076"/>
      <c r="P591" s="1145"/>
      <c r="Q591" s="1145"/>
      <c r="R591" s="1097"/>
      <c r="S591" s="1097"/>
      <c r="T591" s="487"/>
      <c r="U591" s="487"/>
      <c r="V591" s="54">
        <v>6300</v>
      </c>
      <c r="W591" s="54"/>
      <c r="X591" s="487">
        <f t="shared" si="317"/>
        <v>6300</v>
      </c>
      <c r="Y591" s="487">
        <f t="shared" si="319"/>
        <v>6300</v>
      </c>
      <c r="Z591" s="1078"/>
      <c r="AA591" s="1078"/>
      <c r="AB591" s="1078"/>
      <c r="AC591" s="1078"/>
      <c r="AD591" s="1078"/>
      <c r="AE591" s="1078"/>
      <c r="AF591" s="1078"/>
      <c r="AG591" s="1078"/>
      <c r="AH591" s="1078"/>
      <c r="AI591" s="1078"/>
      <c r="AJ591" s="1078"/>
      <c r="AK591" s="1078"/>
      <c r="AL591" s="25" t="s">
        <v>980</v>
      </c>
      <c r="AM591" s="1009">
        <f t="shared" si="304"/>
        <v>1</v>
      </c>
      <c r="AN591" s="1009">
        <f t="shared" si="305"/>
        <v>1</v>
      </c>
      <c r="AO591" s="144">
        <f t="shared" si="306"/>
        <v>1</v>
      </c>
    </row>
    <row r="592" spans="1:41" ht="33" hidden="1" x14ac:dyDescent="0.25">
      <c r="A592" s="749">
        <v>25</v>
      </c>
      <c r="B592" s="749">
        <v>8</v>
      </c>
      <c r="C592" s="290" t="s">
        <v>2377</v>
      </c>
      <c r="D592" s="118" t="s">
        <v>2186</v>
      </c>
      <c r="E592" s="118" t="s">
        <v>398</v>
      </c>
      <c r="F592" s="126" t="s">
        <v>290</v>
      </c>
      <c r="G592" s="118"/>
      <c r="H592" s="130">
        <f>I592</f>
        <v>7000</v>
      </c>
      <c r="I592" s="130">
        <v>7000</v>
      </c>
      <c r="J592" s="5"/>
      <c r="K592" s="5"/>
      <c r="L592" s="5"/>
      <c r="M592" s="5"/>
      <c r="N592" s="1077"/>
      <c r="O592" s="1076"/>
      <c r="P592" s="1145"/>
      <c r="Q592" s="1145"/>
      <c r="R592" s="1097"/>
      <c r="S592" s="1097"/>
      <c r="T592" s="487"/>
      <c r="U592" s="487"/>
      <c r="V592" s="54">
        <v>6300</v>
      </c>
      <c r="W592" s="54"/>
      <c r="X592" s="487">
        <f t="shared" ref="X592" si="320">Y592</f>
        <v>6300</v>
      </c>
      <c r="Y592" s="487">
        <f t="shared" si="319"/>
        <v>6300</v>
      </c>
      <c r="Z592" s="1078"/>
      <c r="AA592" s="1078"/>
      <c r="AB592" s="1078"/>
      <c r="AC592" s="1078"/>
      <c r="AD592" s="1078"/>
      <c r="AE592" s="1078"/>
      <c r="AF592" s="1078"/>
      <c r="AG592" s="1078"/>
      <c r="AH592" s="1078"/>
      <c r="AI592" s="1078"/>
      <c r="AJ592" s="1078"/>
      <c r="AK592" s="1078"/>
      <c r="AL592" s="25" t="s">
        <v>980</v>
      </c>
      <c r="AM592" s="1009">
        <f t="shared" si="304"/>
        <v>1</v>
      </c>
      <c r="AN592" s="1009">
        <f t="shared" si="305"/>
        <v>1</v>
      </c>
      <c r="AO592" s="144">
        <f t="shared" si="306"/>
        <v>1</v>
      </c>
    </row>
    <row r="593" spans="1:41" ht="52.5" hidden="1" customHeight="1" x14ac:dyDescent="0.25">
      <c r="A593" s="749">
        <v>26</v>
      </c>
      <c r="B593" s="749">
        <v>10</v>
      </c>
      <c r="C593" s="290" t="s">
        <v>2418</v>
      </c>
      <c r="D593" s="118" t="s">
        <v>2186</v>
      </c>
      <c r="E593" s="118" t="s">
        <v>2419</v>
      </c>
      <c r="F593" s="126" t="s">
        <v>290</v>
      </c>
      <c r="G593" s="118"/>
      <c r="H593" s="130">
        <f>I593</f>
        <v>1950</v>
      </c>
      <c r="I593" s="130">
        <v>1950</v>
      </c>
      <c r="J593" s="5"/>
      <c r="K593" s="5"/>
      <c r="L593" s="5"/>
      <c r="M593" s="5"/>
      <c r="N593" s="1077"/>
      <c r="O593" s="1076"/>
      <c r="P593" s="1145"/>
      <c r="Q593" s="1145"/>
      <c r="R593" s="1097"/>
      <c r="S593" s="1097"/>
      <c r="T593" s="487"/>
      <c r="U593" s="487"/>
      <c r="V593" s="54">
        <v>1800</v>
      </c>
      <c r="W593" s="54"/>
      <c r="X593" s="487">
        <f t="shared" si="317"/>
        <v>1800</v>
      </c>
      <c r="Y593" s="487">
        <f t="shared" ref="Y593" si="321">V593+U593</f>
        <v>1800</v>
      </c>
      <c r="Z593" s="1078"/>
      <c r="AA593" s="1078"/>
      <c r="AB593" s="1078"/>
      <c r="AC593" s="1078"/>
      <c r="AD593" s="1078"/>
      <c r="AE593" s="1078"/>
      <c r="AF593" s="1078"/>
      <c r="AG593" s="1078"/>
      <c r="AH593" s="1078"/>
      <c r="AI593" s="1078"/>
      <c r="AJ593" s="1078"/>
      <c r="AK593" s="1078"/>
      <c r="AL593" s="25" t="s">
        <v>980</v>
      </c>
      <c r="AM593" s="1009">
        <f t="shared" si="304"/>
        <v>1</v>
      </c>
      <c r="AN593" s="1009">
        <f t="shared" si="305"/>
        <v>1</v>
      </c>
      <c r="AO593" s="144">
        <f t="shared" si="306"/>
        <v>1</v>
      </c>
    </row>
    <row r="594" spans="1:41" ht="24" hidden="1" customHeight="1" x14ac:dyDescent="0.25">
      <c r="A594" s="23" t="s">
        <v>658</v>
      </c>
      <c r="B594" s="23"/>
      <c r="C594" s="1352" t="s">
        <v>1009</v>
      </c>
      <c r="D594" s="96"/>
      <c r="E594" s="1349"/>
      <c r="F594" s="1349"/>
      <c r="G594" s="1349"/>
      <c r="H594" s="1358">
        <f t="shared" ref="H594:T594" si="322">H595+H601</f>
        <v>260747</v>
      </c>
      <c r="I594" s="1358">
        <f t="shared" si="322"/>
        <v>260747</v>
      </c>
      <c r="J594" s="1358">
        <f t="shared" si="322"/>
        <v>8000</v>
      </c>
      <c r="K594" s="1358">
        <f t="shared" si="322"/>
        <v>8000</v>
      </c>
      <c r="L594" s="1358">
        <f t="shared" si="322"/>
        <v>8000</v>
      </c>
      <c r="M594" s="1358">
        <f t="shared" si="322"/>
        <v>8000</v>
      </c>
      <c r="N594" s="1358">
        <f t="shared" si="322"/>
        <v>80000</v>
      </c>
      <c r="O594" s="1358">
        <f t="shared" si="322"/>
        <v>80000</v>
      </c>
      <c r="P594" s="1358">
        <f t="shared" si="322"/>
        <v>80000</v>
      </c>
      <c r="Q594" s="1358">
        <f t="shared" si="322"/>
        <v>80000</v>
      </c>
      <c r="R594" s="1358">
        <f t="shared" si="322"/>
        <v>5700</v>
      </c>
      <c r="S594" s="1358">
        <f t="shared" si="322"/>
        <v>5700</v>
      </c>
      <c r="T594" s="1358">
        <f t="shared" si="322"/>
        <v>80000</v>
      </c>
      <c r="U594" s="1358">
        <f>U595+U601</f>
        <v>80000</v>
      </c>
      <c r="V594" s="1358">
        <f t="shared" ref="V594:Y594" si="323">V595+V601</f>
        <v>98700</v>
      </c>
      <c r="W594" s="1358">
        <f t="shared" si="323"/>
        <v>0</v>
      </c>
      <c r="X594" s="1358">
        <f t="shared" si="323"/>
        <v>178700</v>
      </c>
      <c r="Y594" s="1358">
        <f t="shared" si="323"/>
        <v>178700</v>
      </c>
      <c r="Z594" s="1358">
        <f t="shared" ref="Z594:AC594" si="324">Z601</f>
        <v>0</v>
      </c>
      <c r="AA594" s="1358">
        <f t="shared" si="324"/>
        <v>0</v>
      </c>
      <c r="AB594" s="1358">
        <f t="shared" si="324"/>
        <v>0</v>
      </c>
      <c r="AC594" s="1358">
        <f t="shared" si="324"/>
        <v>0</v>
      </c>
      <c r="AD594" s="1360">
        <v>80000</v>
      </c>
      <c r="AE594" s="1360">
        <v>80000</v>
      </c>
      <c r="AF594" s="1360">
        <v>80000</v>
      </c>
      <c r="AG594" s="1360">
        <v>80000</v>
      </c>
      <c r="AH594" s="1360">
        <v>80000</v>
      </c>
      <c r="AI594" s="1360">
        <v>80000</v>
      </c>
      <c r="AJ594" s="1360">
        <v>80000</v>
      </c>
      <c r="AK594" s="1360">
        <v>80000</v>
      </c>
      <c r="AL594" s="1360"/>
      <c r="AM594" s="1009">
        <f t="shared" si="304"/>
        <v>1</v>
      </c>
      <c r="AN594" s="1009">
        <f t="shared" si="305"/>
        <v>1</v>
      </c>
      <c r="AO594" s="144">
        <f t="shared" si="306"/>
        <v>1</v>
      </c>
    </row>
    <row r="595" spans="1:41" ht="51.75" hidden="1" x14ac:dyDescent="0.25">
      <c r="A595" s="1066" t="s">
        <v>45</v>
      </c>
      <c r="B595" s="1066"/>
      <c r="C595" s="51" t="s">
        <v>46</v>
      </c>
      <c r="D595" s="57"/>
      <c r="E595" s="57"/>
      <c r="F595" s="57"/>
      <c r="G595" s="57"/>
      <c r="H595" s="1017">
        <f t="shared" ref="H595:X595" si="325">H596</f>
        <v>14997</v>
      </c>
      <c r="I595" s="1017">
        <f t="shared" si="325"/>
        <v>14997</v>
      </c>
      <c r="J595" s="1017">
        <f t="shared" si="325"/>
        <v>8000</v>
      </c>
      <c r="K595" s="1017">
        <f t="shared" si="325"/>
        <v>8000</v>
      </c>
      <c r="L595" s="1017">
        <f t="shared" si="325"/>
        <v>8000</v>
      </c>
      <c r="M595" s="1017">
        <f t="shared" si="325"/>
        <v>8000</v>
      </c>
      <c r="N595" s="1017">
        <f t="shared" si="325"/>
        <v>5500</v>
      </c>
      <c r="O595" s="1017">
        <f t="shared" si="325"/>
        <v>5500</v>
      </c>
      <c r="P595" s="1017">
        <f t="shared" si="325"/>
        <v>5500</v>
      </c>
      <c r="Q595" s="1017">
        <f t="shared" si="325"/>
        <v>5500</v>
      </c>
      <c r="R595" s="1017">
        <f t="shared" si="325"/>
        <v>0</v>
      </c>
      <c r="S595" s="1017">
        <f t="shared" si="325"/>
        <v>0</v>
      </c>
      <c r="T595" s="1017">
        <f t="shared" si="325"/>
        <v>5500</v>
      </c>
      <c r="U595" s="1017">
        <f t="shared" si="325"/>
        <v>5500</v>
      </c>
      <c r="V595" s="1017">
        <f t="shared" si="325"/>
        <v>0</v>
      </c>
      <c r="W595" s="1017">
        <f t="shared" si="325"/>
        <v>0</v>
      </c>
      <c r="X595" s="1017">
        <f t="shared" si="325"/>
        <v>5500</v>
      </c>
      <c r="Y595" s="1017">
        <f>Y596</f>
        <v>5500</v>
      </c>
      <c r="Z595" s="1017">
        <f t="shared" ref="Z595:AC595" si="326">Z596</f>
        <v>5500</v>
      </c>
      <c r="AA595" s="1017">
        <f t="shared" si="326"/>
        <v>5500</v>
      </c>
      <c r="AB595" s="1017">
        <f t="shared" si="326"/>
        <v>0</v>
      </c>
      <c r="AC595" s="1017">
        <f t="shared" si="326"/>
        <v>0</v>
      </c>
      <c r="AD595" s="1016">
        <v>5500</v>
      </c>
      <c r="AE595" s="1016">
        <v>5500</v>
      </c>
      <c r="AF595" s="1016">
        <v>5500</v>
      </c>
      <c r="AG595" s="1016">
        <v>5500</v>
      </c>
      <c r="AH595" s="1016">
        <v>5500</v>
      </c>
      <c r="AI595" s="1016">
        <v>5500</v>
      </c>
      <c r="AJ595" s="1016">
        <v>5500</v>
      </c>
      <c r="AK595" s="1016">
        <v>5500</v>
      </c>
      <c r="AL595" s="1016"/>
      <c r="AM595" s="1009">
        <f t="shared" si="304"/>
        <v>0</v>
      </c>
      <c r="AN595" s="1009">
        <f t="shared" si="305"/>
        <v>1</v>
      </c>
      <c r="AO595" s="144">
        <f t="shared" si="306"/>
        <v>1</v>
      </c>
    </row>
    <row r="596" spans="1:41" ht="34.5" hidden="1" x14ac:dyDescent="0.25">
      <c r="A596" s="50" t="s">
        <v>47</v>
      </c>
      <c r="B596" s="50"/>
      <c r="C596" s="51" t="s">
        <v>48</v>
      </c>
      <c r="D596" s="57"/>
      <c r="E596" s="57"/>
      <c r="F596" s="57"/>
      <c r="G596" s="57"/>
      <c r="H596" s="1017">
        <f t="shared" ref="H596:X596" si="327">SUM(H599:H600)</f>
        <v>14997</v>
      </c>
      <c r="I596" s="1017">
        <f t="shared" si="327"/>
        <v>14997</v>
      </c>
      <c r="J596" s="1017">
        <f t="shared" si="327"/>
        <v>8000</v>
      </c>
      <c r="K596" s="1017">
        <f t="shared" si="327"/>
        <v>8000</v>
      </c>
      <c r="L596" s="1017">
        <f t="shared" si="327"/>
        <v>8000</v>
      </c>
      <c r="M596" s="1017">
        <f t="shared" si="327"/>
        <v>8000</v>
      </c>
      <c r="N596" s="1017">
        <f t="shared" si="327"/>
        <v>5500</v>
      </c>
      <c r="O596" s="1017">
        <f t="shared" si="327"/>
        <v>5500</v>
      </c>
      <c r="P596" s="1017">
        <f t="shared" si="327"/>
        <v>5500</v>
      </c>
      <c r="Q596" s="1017">
        <f t="shared" si="327"/>
        <v>5500</v>
      </c>
      <c r="R596" s="1017">
        <f t="shared" si="327"/>
        <v>0</v>
      </c>
      <c r="S596" s="1017">
        <f t="shared" si="327"/>
        <v>0</v>
      </c>
      <c r="T596" s="1017">
        <f t="shared" si="327"/>
        <v>5500</v>
      </c>
      <c r="U596" s="1017">
        <f t="shared" si="327"/>
        <v>5500</v>
      </c>
      <c r="V596" s="1017">
        <f t="shared" si="327"/>
        <v>0</v>
      </c>
      <c r="W596" s="1017">
        <f t="shared" si="327"/>
        <v>0</v>
      </c>
      <c r="X596" s="1017">
        <f t="shared" si="327"/>
        <v>5500</v>
      </c>
      <c r="Y596" s="1017">
        <f>SUM(Y599:Y600)</f>
        <v>5500</v>
      </c>
      <c r="Z596" s="1017">
        <f t="shared" ref="Z596:AC596" si="328">Z599+Z600</f>
        <v>5500</v>
      </c>
      <c r="AA596" s="1017">
        <f t="shared" si="328"/>
        <v>5500</v>
      </c>
      <c r="AB596" s="1017">
        <f t="shared" si="328"/>
        <v>0</v>
      </c>
      <c r="AC596" s="1017">
        <f t="shared" si="328"/>
        <v>0</v>
      </c>
      <c r="AD596" s="1016">
        <v>5500</v>
      </c>
      <c r="AE596" s="1016">
        <v>5500</v>
      </c>
      <c r="AF596" s="1016">
        <v>5500</v>
      </c>
      <c r="AG596" s="1016">
        <v>5500</v>
      </c>
      <c r="AH596" s="1016">
        <v>5500</v>
      </c>
      <c r="AI596" s="1016">
        <v>5500</v>
      </c>
      <c r="AJ596" s="1016">
        <v>5500</v>
      </c>
      <c r="AK596" s="1016">
        <v>5500</v>
      </c>
      <c r="AL596" s="1016"/>
      <c r="AM596" s="1009">
        <f t="shared" si="304"/>
        <v>0</v>
      </c>
      <c r="AN596" s="1009">
        <f t="shared" si="305"/>
        <v>1</v>
      </c>
      <c r="AO596" s="144">
        <f t="shared" si="306"/>
        <v>1</v>
      </c>
    </row>
    <row r="597" spans="1:41" ht="17.25" hidden="1" x14ac:dyDescent="0.25">
      <c r="A597" s="50"/>
      <c r="B597" s="50"/>
      <c r="C597" s="51" t="s">
        <v>49</v>
      </c>
      <c r="D597" s="52"/>
      <c r="E597" s="52"/>
      <c r="F597" s="52"/>
      <c r="G597" s="52"/>
      <c r="H597" s="1020"/>
      <c r="I597" s="1020"/>
      <c r="J597" s="1020"/>
      <c r="K597" s="1020"/>
      <c r="L597" s="1020"/>
      <c r="M597" s="1020"/>
      <c r="N597" s="1020"/>
      <c r="O597" s="1020"/>
      <c r="P597" s="1021"/>
      <c r="Q597" s="1021"/>
      <c r="R597" s="54"/>
      <c r="S597" s="54"/>
      <c r="T597" s="1022"/>
      <c r="U597" s="1022"/>
      <c r="V597" s="54"/>
      <c r="W597" s="54"/>
      <c r="X597" s="1022"/>
      <c r="Y597" s="1022"/>
      <c r="Z597" s="1020"/>
      <c r="AA597" s="1020"/>
      <c r="AB597" s="1020"/>
      <c r="AC597" s="1020"/>
      <c r="AD597" s="1020"/>
      <c r="AE597" s="1020"/>
      <c r="AF597" s="1020"/>
      <c r="AG597" s="1020"/>
      <c r="AH597" s="1020"/>
      <c r="AI597" s="1020"/>
      <c r="AJ597" s="1020"/>
      <c r="AK597" s="1020"/>
      <c r="AL597" s="69"/>
      <c r="AM597" s="1009">
        <f t="shared" si="304"/>
        <v>0</v>
      </c>
      <c r="AN597" s="1009">
        <f t="shared" si="305"/>
        <v>0</v>
      </c>
      <c r="AO597" s="144">
        <f t="shared" si="306"/>
        <v>1</v>
      </c>
    </row>
    <row r="598" spans="1:41" ht="51.75" hidden="1" x14ac:dyDescent="0.25">
      <c r="A598" s="50"/>
      <c r="B598" s="50"/>
      <c r="C598" s="56" t="s">
        <v>50</v>
      </c>
      <c r="D598" s="57"/>
      <c r="E598" s="57"/>
      <c r="F598" s="57"/>
      <c r="G598" s="57"/>
      <c r="H598" s="1017"/>
      <c r="I598" s="1017"/>
      <c r="J598" s="1017"/>
      <c r="K598" s="1017"/>
      <c r="L598" s="1017"/>
      <c r="M598" s="1017"/>
      <c r="N598" s="1017"/>
      <c r="O598" s="1017"/>
      <c r="P598" s="1016"/>
      <c r="Q598" s="1016"/>
      <c r="R598" s="54"/>
      <c r="S598" s="54"/>
      <c r="T598" s="1018"/>
      <c r="U598" s="1018"/>
      <c r="V598" s="54"/>
      <c r="W598" s="54"/>
      <c r="X598" s="1018"/>
      <c r="Y598" s="1018"/>
      <c r="Z598" s="1017"/>
      <c r="AA598" s="1017"/>
      <c r="AB598" s="1017"/>
      <c r="AC598" s="1017"/>
      <c r="AD598" s="1017"/>
      <c r="AE598" s="1017"/>
      <c r="AF598" s="1017"/>
      <c r="AG598" s="1017"/>
      <c r="AH598" s="1017"/>
      <c r="AI598" s="1017"/>
      <c r="AJ598" s="1017"/>
      <c r="AK598" s="1017"/>
      <c r="AL598" s="69"/>
      <c r="AM598" s="1009">
        <f t="shared" si="304"/>
        <v>0</v>
      </c>
      <c r="AN598" s="1009">
        <f t="shared" si="305"/>
        <v>0</v>
      </c>
      <c r="AO598" s="144">
        <f t="shared" si="306"/>
        <v>1</v>
      </c>
    </row>
    <row r="599" spans="1:41" ht="33" hidden="1" x14ac:dyDescent="0.25">
      <c r="A599" s="749">
        <v>1</v>
      </c>
      <c r="B599" s="749"/>
      <c r="C599" s="290" t="s">
        <v>1008</v>
      </c>
      <c r="D599" s="61"/>
      <c r="E599" s="70"/>
      <c r="F599" s="70"/>
      <c r="G599" s="70"/>
      <c r="H599" s="68"/>
      <c r="I599" s="5"/>
      <c r="J599" s="5"/>
      <c r="K599" s="5"/>
      <c r="L599" s="5"/>
      <c r="M599" s="5"/>
      <c r="N599" s="68">
        <v>2000</v>
      </c>
      <c r="O599" s="68">
        <v>2000</v>
      </c>
      <c r="P599" s="299">
        <v>2000</v>
      </c>
      <c r="Q599" s="299">
        <v>2000</v>
      </c>
      <c r="R599" s="54"/>
      <c r="S599" s="54"/>
      <c r="T599" s="462">
        <v>2000</v>
      </c>
      <c r="U599" s="462">
        <v>2000</v>
      </c>
      <c r="V599" s="54"/>
      <c r="W599" s="54"/>
      <c r="X599" s="462">
        <v>2000</v>
      </c>
      <c r="Y599" s="462">
        <v>2000</v>
      </c>
      <c r="Z599" s="5">
        <f>AA599</f>
        <v>2000</v>
      </c>
      <c r="AA599" s="5">
        <v>2000</v>
      </c>
      <c r="AB599" s="5"/>
      <c r="AC599" s="5"/>
      <c r="AD599" s="5"/>
      <c r="AE599" s="5"/>
      <c r="AF599" s="5"/>
      <c r="AG599" s="5"/>
      <c r="AH599" s="5"/>
      <c r="AI599" s="5"/>
      <c r="AJ599" s="5"/>
      <c r="AK599" s="5"/>
      <c r="AL599" s="1052"/>
      <c r="AM599" s="1009">
        <f t="shared" si="304"/>
        <v>0</v>
      </c>
      <c r="AN599" s="1009">
        <f t="shared" si="305"/>
        <v>1</v>
      </c>
      <c r="AO599" s="144"/>
    </row>
    <row r="600" spans="1:41" ht="49.5" hidden="1" x14ac:dyDescent="0.25">
      <c r="A600" s="749">
        <v>2</v>
      </c>
      <c r="B600" s="749"/>
      <c r="C600" s="9" t="s">
        <v>1007</v>
      </c>
      <c r="D600" s="61"/>
      <c r="E600" s="70"/>
      <c r="F600" s="126" t="s">
        <v>199</v>
      </c>
      <c r="G600" s="118" t="s">
        <v>1006</v>
      </c>
      <c r="H600" s="68">
        <v>14997</v>
      </c>
      <c r="I600" s="68">
        <f>H600</f>
        <v>14997</v>
      </c>
      <c r="J600" s="68">
        <f>K600</f>
        <v>8000</v>
      </c>
      <c r="K600" s="68">
        <v>8000</v>
      </c>
      <c r="L600" s="68">
        <f>M600</f>
        <v>8000</v>
      </c>
      <c r="M600" s="68">
        <v>8000</v>
      </c>
      <c r="N600" s="68">
        <f>O600</f>
        <v>3500</v>
      </c>
      <c r="O600" s="68">
        <v>3500</v>
      </c>
      <c r="P600" s="299">
        <v>3500</v>
      </c>
      <c r="Q600" s="299">
        <v>3500</v>
      </c>
      <c r="R600" s="54"/>
      <c r="S600" s="54"/>
      <c r="T600" s="462">
        <v>3500</v>
      </c>
      <c r="U600" s="462">
        <v>3500</v>
      </c>
      <c r="V600" s="54"/>
      <c r="W600" s="54"/>
      <c r="X600" s="462">
        <v>3500</v>
      </c>
      <c r="Y600" s="462">
        <v>3500</v>
      </c>
      <c r="Z600" s="5">
        <f>AA600</f>
        <v>3500</v>
      </c>
      <c r="AA600" s="5">
        <v>3500</v>
      </c>
      <c r="AB600" s="5"/>
      <c r="AC600" s="5"/>
      <c r="AD600" s="5"/>
      <c r="AE600" s="5"/>
      <c r="AF600" s="5"/>
      <c r="AG600" s="5"/>
      <c r="AH600" s="5"/>
      <c r="AI600" s="5"/>
      <c r="AJ600" s="5"/>
      <c r="AK600" s="5"/>
      <c r="AL600" s="1052"/>
      <c r="AM600" s="1009">
        <f t="shared" si="304"/>
        <v>0</v>
      </c>
      <c r="AN600" s="1009">
        <f t="shared" si="305"/>
        <v>1</v>
      </c>
      <c r="AO600" s="144">
        <f t="shared" si="306"/>
        <v>1</v>
      </c>
    </row>
    <row r="601" spans="1:41" ht="34.5" hidden="1" x14ac:dyDescent="0.25">
      <c r="A601" s="1066" t="s">
        <v>85</v>
      </c>
      <c r="B601" s="1066"/>
      <c r="C601" s="51" t="s">
        <v>86</v>
      </c>
      <c r="D601" s="57"/>
      <c r="E601" s="57"/>
      <c r="F601" s="57"/>
      <c r="G601" s="57"/>
      <c r="H601" s="1017">
        <f t="shared" ref="H601:O601" si="329">H602+H621</f>
        <v>245750</v>
      </c>
      <c r="I601" s="1017">
        <f t="shared" si="329"/>
        <v>245750</v>
      </c>
      <c r="J601" s="1017">
        <f t="shared" si="329"/>
        <v>0</v>
      </c>
      <c r="K601" s="1017">
        <f t="shared" si="329"/>
        <v>0</v>
      </c>
      <c r="L601" s="1017">
        <f t="shared" si="329"/>
        <v>0</v>
      </c>
      <c r="M601" s="1017">
        <f t="shared" si="329"/>
        <v>0</v>
      </c>
      <c r="N601" s="1017">
        <f t="shared" si="329"/>
        <v>74500</v>
      </c>
      <c r="O601" s="1017">
        <f t="shared" si="329"/>
        <v>74500</v>
      </c>
      <c r="P601" s="1017">
        <f t="shared" ref="P601:U601" si="330">P602</f>
        <v>74500</v>
      </c>
      <c r="Q601" s="1017">
        <f t="shared" si="330"/>
        <v>74500</v>
      </c>
      <c r="R601" s="1017">
        <f t="shared" si="330"/>
        <v>5700</v>
      </c>
      <c r="S601" s="1017">
        <f t="shared" si="330"/>
        <v>5700</v>
      </c>
      <c r="T601" s="1017">
        <f t="shared" si="330"/>
        <v>74500</v>
      </c>
      <c r="U601" s="1017">
        <f t="shared" si="330"/>
        <v>74500</v>
      </c>
      <c r="V601" s="1017">
        <f>V602+V621</f>
        <v>98700</v>
      </c>
      <c r="W601" s="1017">
        <f t="shared" ref="W601:Y601" si="331">W602+W621</f>
        <v>0</v>
      </c>
      <c r="X601" s="1017">
        <f t="shared" si="331"/>
        <v>173200</v>
      </c>
      <c r="Y601" s="1017">
        <f t="shared" si="331"/>
        <v>173200</v>
      </c>
      <c r="Z601" s="1017">
        <f t="shared" ref="Z601:AC601" si="332">Z602</f>
        <v>0</v>
      </c>
      <c r="AA601" s="1017">
        <f t="shared" si="332"/>
        <v>0</v>
      </c>
      <c r="AB601" s="1017">
        <f t="shared" si="332"/>
        <v>0</v>
      </c>
      <c r="AC601" s="1017">
        <f t="shared" si="332"/>
        <v>0</v>
      </c>
      <c r="AD601" s="1016">
        <v>74500</v>
      </c>
      <c r="AE601" s="1016">
        <v>74500</v>
      </c>
      <c r="AF601" s="1016">
        <v>74500</v>
      </c>
      <c r="AG601" s="1016">
        <v>74500</v>
      </c>
      <c r="AH601" s="1016">
        <v>74500</v>
      </c>
      <c r="AI601" s="1016">
        <v>74500</v>
      </c>
      <c r="AJ601" s="1016">
        <v>74500</v>
      </c>
      <c r="AK601" s="1016">
        <v>74500</v>
      </c>
      <c r="AL601" s="1016"/>
      <c r="AM601" s="1009">
        <f t="shared" si="304"/>
        <v>1</v>
      </c>
      <c r="AN601" s="1009">
        <f t="shared" si="305"/>
        <v>1</v>
      </c>
      <c r="AO601" s="144">
        <f t="shared" si="306"/>
        <v>1</v>
      </c>
    </row>
    <row r="602" spans="1:41" ht="51.75" hidden="1" x14ac:dyDescent="0.25">
      <c r="A602" s="50" t="s">
        <v>87</v>
      </c>
      <c r="B602" s="50"/>
      <c r="C602" s="51" t="s">
        <v>88</v>
      </c>
      <c r="D602" s="57"/>
      <c r="E602" s="57"/>
      <c r="F602" s="57"/>
      <c r="G602" s="57"/>
      <c r="H602" s="1017">
        <f t="shared" ref="H602:O602" si="333">SUM(H603:H620)</f>
        <v>176298</v>
      </c>
      <c r="I602" s="1017">
        <f t="shared" si="333"/>
        <v>176298</v>
      </c>
      <c r="J602" s="1017">
        <f t="shared" si="333"/>
        <v>0</v>
      </c>
      <c r="K602" s="1017">
        <f t="shared" si="333"/>
        <v>0</v>
      </c>
      <c r="L602" s="1017">
        <f t="shared" si="333"/>
        <v>0</v>
      </c>
      <c r="M602" s="1017">
        <f t="shared" si="333"/>
        <v>0</v>
      </c>
      <c r="N602" s="1017">
        <f t="shared" si="333"/>
        <v>74500</v>
      </c>
      <c r="O602" s="1017">
        <f t="shared" si="333"/>
        <v>74500</v>
      </c>
      <c r="P602" s="1017">
        <f t="shared" ref="P602:U602" si="334">SUM(P603:P623)</f>
        <v>74500</v>
      </c>
      <c r="Q602" s="1017">
        <f t="shared" si="334"/>
        <v>74500</v>
      </c>
      <c r="R602" s="1017">
        <f t="shared" si="334"/>
        <v>5700</v>
      </c>
      <c r="S602" s="1017">
        <f t="shared" si="334"/>
        <v>5700</v>
      </c>
      <c r="T602" s="1017">
        <f t="shared" si="334"/>
        <v>74500</v>
      </c>
      <c r="U602" s="1017">
        <f t="shared" si="334"/>
        <v>74500</v>
      </c>
      <c r="V602" s="1017">
        <f>SUM(V603:V620)</f>
        <v>76500</v>
      </c>
      <c r="W602" s="1017">
        <f t="shared" ref="W602:Y602" si="335">SUM(W603:W620)</f>
        <v>0</v>
      </c>
      <c r="X602" s="1017">
        <f t="shared" si="335"/>
        <v>151000</v>
      </c>
      <c r="Y602" s="1017">
        <f t="shared" si="335"/>
        <v>151000</v>
      </c>
      <c r="Z602" s="1017">
        <f t="shared" ref="Z602:AC602" si="336">Z609+Z613</f>
        <v>0</v>
      </c>
      <c r="AA602" s="1017">
        <f t="shared" si="336"/>
        <v>0</v>
      </c>
      <c r="AB602" s="1017">
        <f t="shared" si="336"/>
        <v>0</v>
      </c>
      <c r="AC602" s="1017">
        <f t="shared" si="336"/>
        <v>0</v>
      </c>
      <c r="AD602" s="1016">
        <f t="shared" ref="AD602:AK602" si="337">SUM(AD603:AD613)</f>
        <v>0</v>
      </c>
      <c r="AE602" s="1016">
        <f t="shared" si="337"/>
        <v>0</v>
      </c>
      <c r="AF602" s="1016">
        <f t="shared" si="337"/>
        <v>0</v>
      </c>
      <c r="AG602" s="1016">
        <f t="shared" si="337"/>
        <v>0</v>
      </c>
      <c r="AH602" s="1016">
        <f t="shared" si="337"/>
        <v>0</v>
      </c>
      <c r="AI602" s="1016">
        <f t="shared" si="337"/>
        <v>0</v>
      </c>
      <c r="AJ602" s="1016">
        <f t="shared" si="337"/>
        <v>0</v>
      </c>
      <c r="AK602" s="1016">
        <f t="shared" si="337"/>
        <v>0</v>
      </c>
      <c r="AL602" s="1016"/>
      <c r="AM602" s="1009">
        <f t="shared" si="304"/>
        <v>1</v>
      </c>
      <c r="AN602" s="1009">
        <f t="shared" si="305"/>
        <v>1</v>
      </c>
      <c r="AO602" s="144">
        <f t="shared" si="306"/>
        <v>1</v>
      </c>
    </row>
    <row r="603" spans="1:41" ht="49.5" hidden="1" x14ac:dyDescent="0.25">
      <c r="A603" s="749">
        <v>3</v>
      </c>
      <c r="B603" s="749"/>
      <c r="C603" s="290" t="s">
        <v>1005</v>
      </c>
      <c r="D603" s="61"/>
      <c r="E603" s="118" t="s">
        <v>1004</v>
      </c>
      <c r="F603" s="126" t="s">
        <v>97</v>
      </c>
      <c r="G603" s="118" t="s">
        <v>1003</v>
      </c>
      <c r="H603" s="68">
        <v>14763</v>
      </c>
      <c r="I603" s="68">
        <f t="shared" ref="I603:I613" si="338">H603</f>
        <v>14763</v>
      </c>
      <c r="J603" s="5"/>
      <c r="K603" s="5"/>
      <c r="L603" s="5"/>
      <c r="M603" s="5"/>
      <c r="N603" s="68">
        <f t="shared" ref="N603:N612" si="339">O603</f>
        <v>12500</v>
      </c>
      <c r="O603" s="68">
        <v>12500</v>
      </c>
      <c r="P603" s="299">
        <v>12500</v>
      </c>
      <c r="Q603" s="299">
        <v>12500</v>
      </c>
      <c r="R603" s="54"/>
      <c r="S603" s="54"/>
      <c r="T603" s="462">
        <v>12500</v>
      </c>
      <c r="U603" s="462">
        <v>12500</v>
      </c>
      <c r="V603" s="54"/>
      <c r="W603" s="54"/>
      <c r="X603" s="462">
        <v>12500</v>
      </c>
      <c r="Y603" s="462">
        <v>12500</v>
      </c>
      <c r="Z603" s="68">
        <f>AA603</f>
        <v>9100</v>
      </c>
      <c r="AA603" s="68">
        <v>9100</v>
      </c>
      <c r="AB603" s="68"/>
      <c r="AC603" s="68"/>
      <c r="AD603" s="68"/>
      <c r="AE603" s="68"/>
      <c r="AF603" s="68"/>
      <c r="AG603" s="68"/>
      <c r="AH603" s="68"/>
      <c r="AI603" s="68"/>
      <c r="AJ603" s="68"/>
      <c r="AK603" s="68"/>
      <c r="AL603" s="1052"/>
      <c r="AM603" s="1009">
        <f t="shared" si="304"/>
        <v>0</v>
      </c>
      <c r="AN603" s="1009">
        <f t="shared" si="305"/>
        <v>1</v>
      </c>
      <c r="AO603" s="144">
        <f t="shared" si="306"/>
        <v>1</v>
      </c>
    </row>
    <row r="604" spans="1:41" ht="49.5" hidden="1" x14ac:dyDescent="0.25">
      <c r="A604" s="749">
        <v>4</v>
      </c>
      <c r="B604" s="749"/>
      <c r="C604" s="290" t="s">
        <v>1002</v>
      </c>
      <c r="D604" s="61" t="s">
        <v>1001</v>
      </c>
      <c r="E604" s="61" t="s">
        <v>1000</v>
      </c>
      <c r="F604" s="70" t="s">
        <v>109</v>
      </c>
      <c r="G604" s="61" t="s">
        <v>999</v>
      </c>
      <c r="H604" s="75">
        <v>10991</v>
      </c>
      <c r="I604" s="68">
        <f t="shared" si="338"/>
        <v>10991</v>
      </c>
      <c r="J604" s="5"/>
      <c r="K604" s="5"/>
      <c r="L604" s="5"/>
      <c r="M604" s="5"/>
      <c r="N604" s="68">
        <f t="shared" si="339"/>
        <v>9980</v>
      </c>
      <c r="O604" s="68">
        <v>9980</v>
      </c>
      <c r="P604" s="299">
        <v>9980</v>
      </c>
      <c r="Q604" s="299">
        <v>9980</v>
      </c>
      <c r="R604" s="54"/>
      <c r="S604" s="54"/>
      <c r="T604" s="462">
        <v>9980</v>
      </c>
      <c r="U604" s="462">
        <v>9980</v>
      </c>
      <c r="V604" s="54"/>
      <c r="W604" s="54"/>
      <c r="X604" s="462">
        <v>9980</v>
      </c>
      <c r="Y604" s="462">
        <v>9980</v>
      </c>
      <c r="Z604" s="68"/>
      <c r="AA604" s="68"/>
      <c r="AB604" s="68">
        <f>AC604</f>
        <v>7000</v>
      </c>
      <c r="AC604" s="68">
        <v>7000</v>
      </c>
      <c r="AD604" s="68"/>
      <c r="AE604" s="68"/>
      <c r="AF604" s="68"/>
      <c r="AG604" s="68"/>
      <c r="AH604" s="68"/>
      <c r="AI604" s="68"/>
      <c r="AJ604" s="68"/>
      <c r="AK604" s="68"/>
      <c r="AL604" s="1052"/>
      <c r="AM604" s="1009">
        <f t="shared" si="304"/>
        <v>0</v>
      </c>
      <c r="AN604" s="1009">
        <f t="shared" si="305"/>
        <v>1</v>
      </c>
      <c r="AO604" s="144">
        <f t="shared" si="306"/>
        <v>1</v>
      </c>
    </row>
    <row r="605" spans="1:41" ht="49.5" hidden="1" x14ac:dyDescent="0.25">
      <c r="A605" s="749">
        <v>5</v>
      </c>
      <c r="B605" s="749"/>
      <c r="C605" s="290" t="s">
        <v>998</v>
      </c>
      <c r="D605" s="61" t="s">
        <v>994</v>
      </c>
      <c r="E605" s="61" t="s">
        <v>997</v>
      </c>
      <c r="F605" s="70" t="s">
        <v>109</v>
      </c>
      <c r="G605" s="61" t="s">
        <v>996</v>
      </c>
      <c r="H605" s="75">
        <v>13008</v>
      </c>
      <c r="I605" s="68">
        <f t="shared" si="338"/>
        <v>13008</v>
      </c>
      <c r="J605" s="5"/>
      <c r="K605" s="5"/>
      <c r="L605" s="5"/>
      <c r="M605" s="5"/>
      <c r="N605" s="68">
        <f t="shared" si="339"/>
        <v>11500</v>
      </c>
      <c r="O605" s="68">
        <v>11500</v>
      </c>
      <c r="P605" s="299">
        <v>11500</v>
      </c>
      <c r="Q605" s="299">
        <v>11500</v>
      </c>
      <c r="R605" s="54"/>
      <c r="S605" s="54"/>
      <c r="T605" s="462">
        <v>11500</v>
      </c>
      <c r="U605" s="462">
        <v>11500</v>
      </c>
      <c r="V605" s="54"/>
      <c r="W605" s="54"/>
      <c r="X605" s="462">
        <v>11500</v>
      </c>
      <c r="Y605" s="462">
        <v>11500</v>
      </c>
      <c r="Z605" s="68"/>
      <c r="AA605" s="68"/>
      <c r="AB605" s="68">
        <f>AC605</f>
        <v>9000</v>
      </c>
      <c r="AC605" s="68">
        <v>9000</v>
      </c>
      <c r="AD605" s="68"/>
      <c r="AE605" s="68"/>
      <c r="AF605" s="68"/>
      <c r="AG605" s="68"/>
      <c r="AH605" s="68"/>
      <c r="AI605" s="68"/>
      <c r="AJ605" s="68"/>
      <c r="AK605" s="68"/>
      <c r="AL605" s="1052"/>
      <c r="AM605" s="1009">
        <f t="shared" si="304"/>
        <v>0</v>
      </c>
      <c r="AN605" s="1009">
        <f t="shared" si="305"/>
        <v>1</v>
      </c>
      <c r="AO605" s="144">
        <f t="shared" si="306"/>
        <v>1</v>
      </c>
    </row>
    <row r="606" spans="1:41" ht="49.5" hidden="1" x14ac:dyDescent="0.25">
      <c r="A606" s="749">
        <v>6</v>
      </c>
      <c r="B606" s="749"/>
      <c r="C606" s="290" t="s">
        <v>995</v>
      </c>
      <c r="D606" s="61" t="s">
        <v>994</v>
      </c>
      <c r="E606" s="61" t="s">
        <v>993</v>
      </c>
      <c r="F606" s="70"/>
      <c r="G606" s="70"/>
      <c r="H606" s="75">
        <v>8798</v>
      </c>
      <c r="I606" s="68">
        <f t="shared" si="338"/>
        <v>8798</v>
      </c>
      <c r="J606" s="5"/>
      <c r="K606" s="5"/>
      <c r="L606" s="5"/>
      <c r="M606" s="5"/>
      <c r="N606" s="68">
        <f t="shared" si="339"/>
        <v>8400</v>
      </c>
      <c r="O606" s="68">
        <v>8400</v>
      </c>
      <c r="P606" s="299">
        <v>8400</v>
      </c>
      <c r="Q606" s="299">
        <v>8400</v>
      </c>
      <c r="R606" s="54"/>
      <c r="S606" s="54"/>
      <c r="T606" s="462">
        <v>8400</v>
      </c>
      <c r="U606" s="462">
        <v>8400</v>
      </c>
      <c r="V606" s="54"/>
      <c r="W606" s="54"/>
      <c r="X606" s="462">
        <v>8400</v>
      </c>
      <c r="Y606" s="462">
        <v>8400</v>
      </c>
      <c r="Z606" s="68"/>
      <c r="AA606" s="68"/>
      <c r="AB606" s="68"/>
      <c r="AC606" s="68"/>
      <c r="AD606" s="68"/>
      <c r="AE606" s="68"/>
      <c r="AF606" s="68"/>
      <c r="AG606" s="68"/>
      <c r="AH606" s="68"/>
      <c r="AI606" s="68"/>
      <c r="AJ606" s="68"/>
      <c r="AK606" s="68"/>
      <c r="AL606" s="1052"/>
      <c r="AM606" s="1009">
        <f t="shared" si="304"/>
        <v>0</v>
      </c>
      <c r="AN606" s="1009">
        <f t="shared" si="305"/>
        <v>1</v>
      </c>
      <c r="AO606" s="144">
        <f t="shared" si="306"/>
        <v>1</v>
      </c>
    </row>
    <row r="607" spans="1:41" ht="49.5" hidden="1" x14ac:dyDescent="0.25">
      <c r="A607" s="749">
        <v>7</v>
      </c>
      <c r="B607" s="749"/>
      <c r="C607" s="290" t="s">
        <v>992</v>
      </c>
      <c r="D607" s="61" t="s">
        <v>991</v>
      </c>
      <c r="E607" s="61" t="s">
        <v>990</v>
      </c>
      <c r="F607" s="70"/>
      <c r="G607" s="70"/>
      <c r="H607" s="75">
        <v>8000</v>
      </c>
      <c r="I607" s="68">
        <f t="shared" si="338"/>
        <v>8000</v>
      </c>
      <c r="J607" s="5"/>
      <c r="K607" s="5"/>
      <c r="L607" s="5"/>
      <c r="M607" s="5"/>
      <c r="N607" s="68">
        <f t="shared" si="339"/>
        <v>7500</v>
      </c>
      <c r="O607" s="68">
        <v>7500</v>
      </c>
      <c r="P607" s="299">
        <v>7500</v>
      </c>
      <c r="Q607" s="299">
        <v>7500</v>
      </c>
      <c r="R607" s="54"/>
      <c r="S607" s="54"/>
      <c r="T607" s="462">
        <v>7500</v>
      </c>
      <c r="U607" s="462">
        <v>7500</v>
      </c>
      <c r="V607" s="54"/>
      <c r="W607" s="54"/>
      <c r="X607" s="462">
        <v>7500</v>
      </c>
      <c r="Y607" s="462">
        <v>7500</v>
      </c>
      <c r="Z607" s="68"/>
      <c r="AA607" s="68"/>
      <c r="AB607" s="68"/>
      <c r="AC607" s="68"/>
      <c r="AD607" s="68"/>
      <c r="AE607" s="68"/>
      <c r="AF607" s="68"/>
      <c r="AG607" s="68"/>
      <c r="AH607" s="68"/>
      <c r="AI607" s="68"/>
      <c r="AJ607" s="68"/>
      <c r="AK607" s="68"/>
      <c r="AL607" s="1052"/>
      <c r="AM607" s="1009">
        <f t="shared" si="304"/>
        <v>0</v>
      </c>
      <c r="AN607" s="1009">
        <f t="shared" si="305"/>
        <v>1</v>
      </c>
      <c r="AO607" s="144">
        <f t="shared" si="306"/>
        <v>1</v>
      </c>
    </row>
    <row r="608" spans="1:41" ht="29.25" hidden="1" customHeight="1" x14ac:dyDescent="0.25">
      <c r="A608" s="749">
        <v>8</v>
      </c>
      <c r="B608" s="749"/>
      <c r="C608" s="290" t="s">
        <v>989</v>
      </c>
      <c r="D608" s="61" t="s">
        <v>982</v>
      </c>
      <c r="E608" s="70"/>
      <c r="F608" s="70"/>
      <c r="G608" s="70"/>
      <c r="H608" s="75">
        <v>8000</v>
      </c>
      <c r="I608" s="68">
        <f t="shared" si="338"/>
        <v>8000</v>
      </c>
      <c r="J608" s="5"/>
      <c r="K608" s="5"/>
      <c r="L608" s="5"/>
      <c r="M608" s="5"/>
      <c r="N608" s="68">
        <f t="shared" si="339"/>
        <v>7500</v>
      </c>
      <c r="O608" s="68">
        <v>7500</v>
      </c>
      <c r="P608" s="299">
        <v>7500</v>
      </c>
      <c r="Q608" s="299">
        <v>7500</v>
      </c>
      <c r="R608" s="54"/>
      <c r="S608" s="54"/>
      <c r="T608" s="462">
        <v>7500</v>
      </c>
      <c r="U608" s="462">
        <v>7500</v>
      </c>
      <c r="V608" s="54"/>
      <c r="W608" s="54"/>
      <c r="X608" s="462">
        <v>7500</v>
      </c>
      <c r="Y608" s="462">
        <v>7500</v>
      </c>
      <c r="Z608" s="68"/>
      <c r="AA608" s="68"/>
      <c r="AB608" s="68"/>
      <c r="AC608" s="68"/>
      <c r="AD608" s="68"/>
      <c r="AE608" s="68"/>
      <c r="AF608" s="68"/>
      <c r="AG608" s="68"/>
      <c r="AH608" s="68"/>
      <c r="AI608" s="68"/>
      <c r="AJ608" s="68"/>
      <c r="AK608" s="68"/>
      <c r="AL608" s="1052"/>
      <c r="AM608" s="1009">
        <f t="shared" si="304"/>
        <v>0</v>
      </c>
      <c r="AN608" s="1009">
        <f t="shared" si="305"/>
        <v>1</v>
      </c>
      <c r="AO608" s="144">
        <f t="shared" si="306"/>
        <v>1</v>
      </c>
    </row>
    <row r="609" spans="1:42" ht="33" hidden="1" x14ac:dyDescent="0.25">
      <c r="A609" s="749">
        <v>9</v>
      </c>
      <c r="B609" s="749"/>
      <c r="C609" s="290" t="s">
        <v>988</v>
      </c>
      <c r="D609" s="61" t="s">
        <v>987</v>
      </c>
      <c r="E609" s="70"/>
      <c r="F609" s="70"/>
      <c r="G609" s="70"/>
      <c r="H609" s="75">
        <v>6000</v>
      </c>
      <c r="I609" s="68">
        <f t="shared" si="338"/>
        <v>6000</v>
      </c>
      <c r="J609" s="5"/>
      <c r="K609" s="5"/>
      <c r="L609" s="5"/>
      <c r="M609" s="5"/>
      <c r="N609" s="68">
        <f t="shared" si="339"/>
        <v>5700</v>
      </c>
      <c r="O609" s="68">
        <v>5700</v>
      </c>
      <c r="P609" s="299"/>
      <c r="Q609" s="299"/>
      <c r="R609" s="54"/>
      <c r="S609" s="54">
        <f>O609-U609</f>
        <v>5700</v>
      </c>
      <c r="T609" s="462"/>
      <c r="U609" s="462"/>
      <c r="V609" s="54"/>
      <c r="W609" s="54"/>
      <c r="X609" s="462"/>
      <c r="Y609" s="462"/>
      <c r="Z609" s="68"/>
      <c r="AA609" s="68"/>
      <c r="AB609" s="68"/>
      <c r="AC609" s="68"/>
      <c r="AD609" s="68"/>
      <c r="AE609" s="68"/>
      <c r="AF609" s="68"/>
      <c r="AG609" s="68"/>
      <c r="AH609" s="68"/>
      <c r="AI609" s="68"/>
      <c r="AJ609" s="68"/>
      <c r="AK609" s="68"/>
      <c r="AL609" s="25"/>
      <c r="AM609" s="1009">
        <f t="shared" si="304"/>
        <v>0</v>
      </c>
      <c r="AN609" s="1009">
        <f t="shared" si="305"/>
        <v>0</v>
      </c>
      <c r="AO609" s="144">
        <f t="shared" si="306"/>
        <v>1</v>
      </c>
    </row>
    <row r="610" spans="1:42" ht="33" hidden="1" x14ac:dyDescent="0.25">
      <c r="A610" s="749">
        <v>10</v>
      </c>
      <c r="B610" s="749"/>
      <c r="C610" s="290" t="s">
        <v>986</v>
      </c>
      <c r="D610" s="61" t="s">
        <v>985</v>
      </c>
      <c r="E610" s="70"/>
      <c r="F610" s="70"/>
      <c r="G610" s="70"/>
      <c r="H610" s="75">
        <v>3000</v>
      </c>
      <c r="I610" s="68">
        <f t="shared" si="338"/>
        <v>3000</v>
      </c>
      <c r="J610" s="5"/>
      <c r="K610" s="5"/>
      <c r="L610" s="5"/>
      <c r="M610" s="5"/>
      <c r="N610" s="68">
        <f t="shared" si="339"/>
        <v>2850</v>
      </c>
      <c r="O610" s="68">
        <v>2850</v>
      </c>
      <c r="P610" s="299">
        <v>2850</v>
      </c>
      <c r="Q610" s="299">
        <v>2850</v>
      </c>
      <c r="R610" s="54"/>
      <c r="S610" s="54"/>
      <c r="T610" s="462">
        <v>2850</v>
      </c>
      <c r="U610" s="462">
        <v>2850</v>
      </c>
      <c r="V610" s="54"/>
      <c r="W610" s="54"/>
      <c r="X610" s="462">
        <v>2850</v>
      </c>
      <c r="Y610" s="462">
        <v>2850</v>
      </c>
      <c r="Z610" s="68"/>
      <c r="AA610" s="68"/>
      <c r="AB610" s="68"/>
      <c r="AC610" s="68"/>
      <c r="AD610" s="68"/>
      <c r="AE610" s="68"/>
      <c r="AF610" s="68"/>
      <c r="AG610" s="68"/>
      <c r="AH610" s="68"/>
      <c r="AI610" s="68"/>
      <c r="AJ610" s="68"/>
      <c r="AK610" s="68"/>
      <c r="AL610" s="1052"/>
      <c r="AM610" s="1009">
        <f t="shared" si="304"/>
        <v>0</v>
      </c>
      <c r="AN610" s="1009">
        <f t="shared" si="305"/>
        <v>1</v>
      </c>
      <c r="AO610" s="144">
        <f t="shared" si="306"/>
        <v>1</v>
      </c>
    </row>
    <row r="611" spans="1:42" ht="22.5" hidden="1" customHeight="1" x14ac:dyDescent="0.25">
      <c r="A611" s="749">
        <v>11</v>
      </c>
      <c r="B611" s="749"/>
      <c r="C611" s="290" t="s">
        <v>984</v>
      </c>
      <c r="D611" s="61" t="s">
        <v>982</v>
      </c>
      <c r="E611" s="70">
        <f>12.62475-14.647</f>
        <v>-2.0222499999999997</v>
      </c>
      <c r="F611" s="70"/>
      <c r="G611" s="70"/>
      <c r="H611" s="75">
        <v>4000</v>
      </c>
      <c r="I611" s="68">
        <f t="shared" si="338"/>
        <v>4000</v>
      </c>
      <c r="J611" s="5"/>
      <c r="K611" s="5"/>
      <c r="L611" s="5"/>
      <c r="M611" s="5"/>
      <c r="N611" s="68">
        <f t="shared" si="339"/>
        <v>3810</v>
      </c>
      <c r="O611" s="68">
        <v>3810</v>
      </c>
      <c r="P611" s="299">
        <v>3810</v>
      </c>
      <c r="Q611" s="299">
        <v>3810</v>
      </c>
      <c r="R611" s="54"/>
      <c r="S611" s="54"/>
      <c r="T611" s="462">
        <v>3810</v>
      </c>
      <c r="U611" s="462">
        <v>3810</v>
      </c>
      <c r="V611" s="54"/>
      <c r="W611" s="54"/>
      <c r="X611" s="462">
        <v>3810</v>
      </c>
      <c r="Y611" s="462">
        <v>3810</v>
      </c>
      <c r="Z611" s="68"/>
      <c r="AA611" s="68"/>
      <c r="AB611" s="68"/>
      <c r="AC611" s="68"/>
      <c r="AD611" s="68"/>
      <c r="AE611" s="68"/>
      <c r="AF611" s="68"/>
      <c r="AG611" s="68"/>
      <c r="AH611" s="68"/>
      <c r="AI611" s="68"/>
      <c r="AJ611" s="68"/>
      <c r="AK611" s="68"/>
      <c r="AL611" s="1052"/>
      <c r="AM611" s="1009">
        <f t="shared" si="304"/>
        <v>0</v>
      </c>
      <c r="AN611" s="1009">
        <f t="shared" si="305"/>
        <v>1</v>
      </c>
      <c r="AO611" s="144">
        <f t="shared" si="306"/>
        <v>1</v>
      </c>
    </row>
    <row r="612" spans="1:42" ht="22.5" hidden="1" customHeight="1" x14ac:dyDescent="0.25">
      <c r="A612" s="749">
        <v>12</v>
      </c>
      <c r="B612" s="749"/>
      <c r="C612" s="290" t="s">
        <v>983</v>
      </c>
      <c r="D612" s="61" t="s">
        <v>982</v>
      </c>
      <c r="E612" s="70">
        <f>4000-3060</f>
        <v>940</v>
      </c>
      <c r="F612" s="70"/>
      <c r="G612" s="70"/>
      <c r="H612" s="75">
        <v>5000</v>
      </c>
      <c r="I612" s="68">
        <f t="shared" si="338"/>
        <v>5000</v>
      </c>
      <c r="J612" s="5"/>
      <c r="K612" s="5"/>
      <c r="L612" s="5"/>
      <c r="M612" s="5"/>
      <c r="N612" s="68">
        <f t="shared" si="339"/>
        <v>4760</v>
      </c>
      <c r="O612" s="68">
        <v>4760</v>
      </c>
      <c r="P612" s="299">
        <v>4760</v>
      </c>
      <c r="Q612" s="299">
        <v>4760</v>
      </c>
      <c r="R612" s="54"/>
      <c r="S612" s="54"/>
      <c r="T612" s="462">
        <v>4760</v>
      </c>
      <c r="U612" s="462">
        <v>4760</v>
      </c>
      <c r="V612" s="54"/>
      <c r="W612" s="54"/>
      <c r="X612" s="462">
        <v>4760</v>
      </c>
      <c r="Y612" s="462">
        <v>4760</v>
      </c>
      <c r="Z612" s="68"/>
      <c r="AA612" s="68"/>
      <c r="AB612" s="68"/>
      <c r="AC612" s="68"/>
      <c r="AD612" s="68"/>
      <c r="AE612" s="68"/>
      <c r="AF612" s="68"/>
      <c r="AG612" s="68"/>
      <c r="AH612" s="68"/>
      <c r="AI612" s="68"/>
      <c r="AJ612" s="68"/>
      <c r="AK612" s="68"/>
      <c r="AL612" s="1052"/>
      <c r="AM612" s="1009">
        <f t="shared" si="304"/>
        <v>0</v>
      </c>
      <c r="AN612" s="1009">
        <f t="shared" si="305"/>
        <v>1</v>
      </c>
      <c r="AO612" s="144">
        <f t="shared" si="306"/>
        <v>1</v>
      </c>
    </row>
    <row r="613" spans="1:42" ht="49.5" hidden="1" x14ac:dyDescent="0.25">
      <c r="A613" s="749">
        <v>13</v>
      </c>
      <c r="B613" s="749"/>
      <c r="C613" s="290" t="s">
        <v>981</v>
      </c>
      <c r="D613" s="61" t="s">
        <v>2164</v>
      </c>
      <c r="E613" s="118"/>
      <c r="F613" s="126" t="s">
        <v>116</v>
      </c>
      <c r="G613" s="118"/>
      <c r="H613" s="68">
        <v>7999</v>
      </c>
      <c r="I613" s="68">
        <f t="shared" si="338"/>
        <v>7999</v>
      </c>
      <c r="J613" s="5"/>
      <c r="K613" s="5"/>
      <c r="L613" s="5"/>
      <c r="M613" s="5"/>
      <c r="N613" s="68"/>
      <c r="O613" s="68"/>
      <c r="P613" s="299">
        <f>Q613</f>
        <v>5700</v>
      </c>
      <c r="Q613" s="299">
        <v>5700</v>
      </c>
      <c r="R613" s="54">
        <f>U613-O613</f>
        <v>5700</v>
      </c>
      <c r="S613" s="54"/>
      <c r="T613" s="462">
        <f>U613</f>
        <v>5700</v>
      </c>
      <c r="U613" s="462">
        <v>5700</v>
      </c>
      <c r="V613" s="54"/>
      <c r="W613" s="54"/>
      <c r="X613" s="462">
        <f>Y613</f>
        <v>5700</v>
      </c>
      <c r="Y613" s="462">
        <v>5700</v>
      </c>
      <c r="Z613" s="68"/>
      <c r="AA613" s="68"/>
      <c r="AB613" s="68"/>
      <c r="AC613" s="68"/>
      <c r="AD613" s="68"/>
      <c r="AE613" s="68"/>
      <c r="AF613" s="68"/>
      <c r="AG613" s="68"/>
      <c r="AH613" s="68"/>
      <c r="AI613" s="68"/>
      <c r="AJ613" s="68"/>
      <c r="AK613" s="68"/>
      <c r="AL613" s="25"/>
      <c r="AM613" s="1009">
        <f t="shared" si="304"/>
        <v>0</v>
      </c>
      <c r="AN613" s="1009">
        <f t="shared" si="305"/>
        <v>1</v>
      </c>
      <c r="AO613" s="144">
        <f t="shared" si="306"/>
        <v>1</v>
      </c>
    </row>
    <row r="614" spans="1:42" ht="66" hidden="1" x14ac:dyDescent="0.25">
      <c r="A614" s="749">
        <v>14</v>
      </c>
      <c r="B614" s="749">
        <v>1</v>
      </c>
      <c r="C614" s="290" t="s">
        <v>2163</v>
      </c>
      <c r="D614" s="61" t="s">
        <v>2164</v>
      </c>
      <c r="E614" s="118" t="s">
        <v>2167</v>
      </c>
      <c r="F614" s="126" t="s">
        <v>290</v>
      </c>
      <c r="G614" s="118"/>
      <c r="H614" s="68">
        <f>I614</f>
        <v>14661</v>
      </c>
      <c r="I614" s="68">
        <v>14661</v>
      </c>
      <c r="J614" s="5"/>
      <c r="K614" s="5"/>
      <c r="L614" s="5"/>
      <c r="M614" s="5"/>
      <c r="N614" s="1077"/>
      <c r="O614" s="1077"/>
      <c r="P614" s="1080"/>
      <c r="Q614" s="1080"/>
      <c r="R614" s="1097"/>
      <c r="S614" s="1097"/>
      <c r="T614" s="462"/>
      <c r="U614" s="462"/>
      <c r="V614" s="54">
        <v>13000</v>
      </c>
      <c r="W614" s="54"/>
      <c r="X614" s="462">
        <f>Y614</f>
        <v>13000</v>
      </c>
      <c r="Y614" s="462">
        <f>V614+U614</f>
        <v>13000</v>
      </c>
      <c r="Z614" s="1077"/>
      <c r="AA614" s="1077"/>
      <c r="AB614" s="1077"/>
      <c r="AC614" s="1077"/>
      <c r="AD614" s="1077"/>
      <c r="AE614" s="1077"/>
      <c r="AF614" s="1077"/>
      <c r="AG614" s="1077"/>
      <c r="AH614" s="1077"/>
      <c r="AI614" s="1077"/>
      <c r="AJ614" s="1077"/>
      <c r="AK614" s="1077"/>
      <c r="AL614" s="25" t="s">
        <v>980</v>
      </c>
      <c r="AM614" s="1009">
        <f t="shared" si="304"/>
        <v>1</v>
      </c>
      <c r="AN614" s="1009">
        <f t="shared" si="305"/>
        <v>1</v>
      </c>
      <c r="AO614" s="144">
        <f t="shared" si="306"/>
        <v>1</v>
      </c>
    </row>
    <row r="615" spans="1:42" ht="33" hidden="1" x14ac:dyDescent="0.25">
      <c r="A615" s="749">
        <v>15</v>
      </c>
      <c r="B615" s="749">
        <v>2</v>
      </c>
      <c r="C615" s="290" t="s">
        <v>2165</v>
      </c>
      <c r="D615" s="61" t="s">
        <v>2166</v>
      </c>
      <c r="E615" s="118" t="s">
        <v>2168</v>
      </c>
      <c r="F615" s="126" t="s">
        <v>290</v>
      </c>
      <c r="G615" s="118"/>
      <c r="H615" s="68">
        <f>I615</f>
        <v>14990</v>
      </c>
      <c r="I615" s="68">
        <v>14990</v>
      </c>
      <c r="J615" s="5"/>
      <c r="K615" s="5"/>
      <c r="L615" s="5"/>
      <c r="M615" s="5"/>
      <c r="N615" s="1077"/>
      <c r="O615" s="1077"/>
      <c r="P615" s="1080"/>
      <c r="Q615" s="1080"/>
      <c r="R615" s="1097"/>
      <c r="S615" s="1097"/>
      <c r="T615" s="462"/>
      <c r="U615" s="462"/>
      <c r="V615" s="54">
        <v>12800</v>
      </c>
      <c r="W615" s="54"/>
      <c r="X615" s="462">
        <f>Y615</f>
        <v>12800</v>
      </c>
      <c r="Y615" s="462">
        <f>V615+U615</f>
        <v>12800</v>
      </c>
      <c r="Z615" s="1077"/>
      <c r="AA615" s="1077"/>
      <c r="AB615" s="1077"/>
      <c r="AC615" s="1077"/>
      <c r="AD615" s="1077"/>
      <c r="AE615" s="1077"/>
      <c r="AF615" s="1077"/>
      <c r="AG615" s="1077"/>
      <c r="AH615" s="1077"/>
      <c r="AI615" s="1077"/>
      <c r="AJ615" s="1077"/>
      <c r="AK615" s="1077"/>
      <c r="AL615" s="25" t="s">
        <v>980</v>
      </c>
      <c r="AM615" s="1009">
        <f t="shared" si="304"/>
        <v>1</v>
      </c>
      <c r="AN615" s="1009">
        <f t="shared" si="305"/>
        <v>1</v>
      </c>
      <c r="AO615" s="144">
        <f t="shared" si="306"/>
        <v>1</v>
      </c>
    </row>
    <row r="616" spans="1:42" ht="33" hidden="1" x14ac:dyDescent="0.25">
      <c r="A616" s="749">
        <v>16</v>
      </c>
      <c r="B616" s="749">
        <v>3</v>
      </c>
      <c r="C616" s="290" t="s">
        <v>2171</v>
      </c>
      <c r="D616" s="61" t="s">
        <v>2169</v>
      </c>
      <c r="E616" s="118" t="s">
        <v>2170</v>
      </c>
      <c r="F616" s="126" t="s">
        <v>290</v>
      </c>
      <c r="G616" s="118"/>
      <c r="H616" s="68">
        <f t="shared" ref="H616:H623" si="340">I616</f>
        <v>13468</v>
      </c>
      <c r="I616" s="68">
        <v>13468</v>
      </c>
      <c r="J616" s="5"/>
      <c r="K616" s="5"/>
      <c r="L616" s="5"/>
      <c r="M616" s="5"/>
      <c r="N616" s="1077"/>
      <c r="O616" s="1077"/>
      <c r="P616" s="1080"/>
      <c r="Q616" s="1080"/>
      <c r="R616" s="1097"/>
      <c r="S616" s="1097"/>
      <c r="T616" s="462"/>
      <c r="U616" s="462"/>
      <c r="V616" s="54">
        <v>12000</v>
      </c>
      <c r="W616" s="54"/>
      <c r="X616" s="462">
        <f t="shared" ref="X616:X623" si="341">Y616</f>
        <v>12000</v>
      </c>
      <c r="Y616" s="462">
        <f t="shared" ref="Y616:Y623" si="342">V616+U616</f>
        <v>12000</v>
      </c>
      <c r="Z616" s="1077"/>
      <c r="AA616" s="1077"/>
      <c r="AB616" s="1077"/>
      <c r="AC616" s="1077"/>
      <c r="AD616" s="1077"/>
      <c r="AE616" s="1077"/>
      <c r="AF616" s="1077"/>
      <c r="AG616" s="1077"/>
      <c r="AH616" s="1077"/>
      <c r="AI616" s="1077"/>
      <c r="AJ616" s="1077"/>
      <c r="AK616" s="1077"/>
      <c r="AL616" s="25" t="s">
        <v>980</v>
      </c>
      <c r="AM616" s="1009">
        <f t="shared" si="304"/>
        <v>1</v>
      </c>
      <c r="AN616" s="1009">
        <f t="shared" si="305"/>
        <v>1</v>
      </c>
      <c r="AO616" s="144">
        <f t="shared" si="306"/>
        <v>1</v>
      </c>
    </row>
    <row r="617" spans="1:42" ht="49.5" hidden="1" x14ac:dyDescent="0.25">
      <c r="A617" s="749">
        <v>17</v>
      </c>
      <c r="B617" s="749">
        <v>4</v>
      </c>
      <c r="C617" s="290" t="s">
        <v>2172</v>
      </c>
      <c r="D617" s="61" t="s">
        <v>2169</v>
      </c>
      <c r="E617" s="118" t="s">
        <v>2173</v>
      </c>
      <c r="F617" s="126" t="s">
        <v>290</v>
      </c>
      <c r="G617" s="118"/>
      <c r="H617" s="68">
        <f t="shared" si="340"/>
        <v>13511</v>
      </c>
      <c r="I617" s="68">
        <v>13511</v>
      </c>
      <c r="J617" s="5"/>
      <c r="K617" s="5"/>
      <c r="L617" s="5"/>
      <c r="M617" s="5"/>
      <c r="N617" s="1077"/>
      <c r="O617" s="1077"/>
      <c r="P617" s="1080"/>
      <c r="Q617" s="1080"/>
      <c r="R617" s="1097"/>
      <c r="S617" s="1097"/>
      <c r="T617" s="462"/>
      <c r="U617" s="462"/>
      <c r="V617" s="54">
        <v>12000</v>
      </c>
      <c r="W617" s="54"/>
      <c r="X617" s="462">
        <f t="shared" si="341"/>
        <v>12000</v>
      </c>
      <c r="Y617" s="462">
        <f t="shared" si="342"/>
        <v>12000</v>
      </c>
      <c r="Z617" s="1077"/>
      <c r="AA617" s="1077"/>
      <c r="AB617" s="1077"/>
      <c r="AC617" s="1077"/>
      <c r="AD617" s="1077"/>
      <c r="AE617" s="1077"/>
      <c r="AF617" s="1077"/>
      <c r="AG617" s="1077"/>
      <c r="AH617" s="1077"/>
      <c r="AI617" s="1077"/>
      <c r="AJ617" s="1077"/>
      <c r="AK617" s="1077"/>
      <c r="AL617" s="25" t="s">
        <v>980</v>
      </c>
      <c r="AM617" s="1009">
        <f t="shared" si="304"/>
        <v>1</v>
      </c>
      <c r="AN617" s="1009">
        <f t="shared" si="305"/>
        <v>1</v>
      </c>
      <c r="AO617" s="144">
        <f t="shared" si="306"/>
        <v>1</v>
      </c>
    </row>
    <row r="618" spans="1:42" ht="107.25" hidden="1" customHeight="1" x14ac:dyDescent="0.25">
      <c r="A618" s="749">
        <v>18</v>
      </c>
      <c r="B618" s="749">
        <v>5</v>
      </c>
      <c r="C618" s="290" t="s">
        <v>2223</v>
      </c>
      <c r="D618" s="61" t="s">
        <v>2224</v>
      </c>
      <c r="E618" s="118"/>
      <c r="F618" s="126" t="s">
        <v>168</v>
      </c>
      <c r="G618" s="118"/>
      <c r="H618" s="68">
        <f>I618</f>
        <v>13258</v>
      </c>
      <c r="I618" s="4">
        <v>13258</v>
      </c>
      <c r="J618" s="5"/>
      <c r="K618" s="5"/>
      <c r="L618" s="5"/>
      <c r="M618" s="5"/>
      <c r="N618" s="1077"/>
      <c r="O618" s="1077"/>
      <c r="P618" s="1080"/>
      <c r="Q618" s="1080"/>
      <c r="R618" s="1097"/>
      <c r="S618" s="1097"/>
      <c r="T618" s="462"/>
      <c r="U618" s="462"/>
      <c r="V618" s="54">
        <v>12000</v>
      </c>
      <c r="W618" s="54"/>
      <c r="X618" s="462">
        <f>Y618</f>
        <v>12000</v>
      </c>
      <c r="Y618" s="462">
        <f>V618+U618</f>
        <v>12000</v>
      </c>
      <c r="Z618" s="1077"/>
      <c r="AA618" s="1077"/>
      <c r="AB618" s="1077"/>
      <c r="AC618" s="1077"/>
      <c r="AD618" s="1077"/>
      <c r="AE618" s="1077"/>
      <c r="AF618" s="1077"/>
      <c r="AG618" s="1077"/>
      <c r="AH618" s="1077"/>
      <c r="AI618" s="1077"/>
      <c r="AJ618" s="1077"/>
      <c r="AK618" s="1077"/>
      <c r="AL618" s="25" t="s">
        <v>980</v>
      </c>
      <c r="AM618" s="1009">
        <f t="shared" si="304"/>
        <v>1</v>
      </c>
      <c r="AN618" s="1009">
        <f t="shared" si="305"/>
        <v>1</v>
      </c>
      <c r="AO618" s="144">
        <f t="shared" si="306"/>
        <v>1</v>
      </c>
    </row>
    <row r="619" spans="1:42" ht="33" hidden="1" x14ac:dyDescent="0.25">
      <c r="A619" s="749">
        <v>20</v>
      </c>
      <c r="B619" s="749">
        <v>6</v>
      </c>
      <c r="C619" s="290" t="s">
        <v>2177</v>
      </c>
      <c r="D619" s="61" t="s">
        <v>2176</v>
      </c>
      <c r="E619" s="118"/>
      <c r="F619" s="126" t="s">
        <v>290</v>
      </c>
      <c r="G619" s="118"/>
      <c r="H619" s="68">
        <f>I619</f>
        <v>9840</v>
      </c>
      <c r="I619" s="68">
        <v>9840</v>
      </c>
      <c r="J619" s="5"/>
      <c r="K619" s="5"/>
      <c r="L619" s="5"/>
      <c r="M619" s="5"/>
      <c r="N619" s="1077"/>
      <c r="O619" s="1077"/>
      <c r="P619" s="1080"/>
      <c r="Q619" s="1080"/>
      <c r="R619" s="1097"/>
      <c r="S619" s="1097"/>
      <c r="T619" s="462"/>
      <c r="U619" s="462"/>
      <c r="V619" s="54">
        <v>8600</v>
      </c>
      <c r="W619" s="54"/>
      <c r="X619" s="462">
        <f>Y619</f>
        <v>8600</v>
      </c>
      <c r="Y619" s="462">
        <f>V619+U619</f>
        <v>8600</v>
      </c>
      <c r="Z619" s="1077"/>
      <c r="AA619" s="1077"/>
      <c r="AB619" s="1077"/>
      <c r="AC619" s="1077"/>
      <c r="AD619" s="1077"/>
      <c r="AE619" s="1077"/>
      <c r="AF619" s="1077"/>
      <c r="AG619" s="1077"/>
      <c r="AH619" s="1077"/>
      <c r="AI619" s="1077"/>
      <c r="AJ619" s="1077"/>
      <c r="AK619" s="1077"/>
      <c r="AL619" s="25" t="s">
        <v>980</v>
      </c>
      <c r="AM619" s="1009">
        <f>IF(Y619-U619=0,0,1)</f>
        <v>1</v>
      </c>
      <c r="AN619" s="1009">
        <f>IF(Y619=0,0,1)</f>
        <v>1</v>
      </c>
      <c r="AO619" s="144">
        <f t="shared" si="306"/>
        <v>1</v>
      </c>
    </row>
    <row r="620" spans="1:42" ht="33" hidden="1" x14ac:dyDescent="0.25">
      <c r="A620" s="749">
        <v>21</v>
      </c>
      <c r="B620" s="749">
        <v>7</v>
      </c>
      <c r="C620" s="290" t="s">
        <v>2178</v>
      </c>
      <c r="D620" s="61" t="s">
        <v>1164</v>
      </c>
      <c r="E620" s="118"/>
      <c r="F620" s="126" t="s">
        <v>290</v>
      </c>
      <c r="G620" s="118"/>
      <c r="H620" s="68">
        <f>I620</f>
        <v>7011</v>
      </c>
      <c r="I620" s="68">
        <v>7011</v>
      </c>
      <c r="J620" s="5"/>
      <c r="K620" s="5"/>
      <c r="L620" s="5"/>
      <c r="M620" s="5"/>
      <c r="N620" s="1077"/>
      <c r="O620" s="1077"/>
      <c r="P620" s="1080"/>
      <c r="Q620" s="1080"/>
      <c r="R620" s="1097"/>
      <c r="S620" s="1097"/>
      <c r="T620" s="462"/>
      <c r="U620" s="462"/>
      <c r="V620" s="54">
        <v>6100</v>
      </c>
      <c r="W620" s="54"/>
      <c r="X620" s="462">
        <f>Y620</f>
        <v>6100</v>
      </c>
      <c r="Y620" s="462">
        <f>V620+U620</f>
        <v>6100</v>
      </c>
      <c r="Z620" s="1077"/>
      <c r="AA620" s="1077"/>
      <c r="AB620" s="1077"/>
      <c r="AC620" s="1077"/>
      <c r="AD620" s="1077"/>
      <c r="AE620" s="1077"/>
      <c r="AF620" s="1077"/>
      <c r="AG620" s="1077"/>
      <c r="AH620" s="1077"/>
      <c r="AI620" s="1077"/>
      <c r="AJ620" s="1077"/>
      <c r="AK620" s="1077"/>
      <c r="AL620" s="25" t="s">
        <v>980</v>
      </c>
      <c r="AM620" s="1009">
        <f>IF(Y620-U620=0,0,1)</f>
        <v>1</v>
      </c>
      <c r="AN620" s="1009">
        <f>IF(Y620=0,0,1)</f>
        <v>1</v>
      </c>
      <c r="AO620" s="144">
        <f t="shared" si="306"/>
        <v>1</v>
      </c>
    </row>
    <row r="621" spans="1:42" ht="51.75" hidden="1" x14ac:dyDescent="0.25">
      <c r="A621" s="1224" t="s">
        <v>47</v>
      </c>
      <c r="B621" s="1224"/>
      <c r="C621" s="1225" t="s">
        <v>2074</v>
      </c>
      <c r="D621" s="61"/>
      <c r="E621" s="118"/>
      <c r="F621" s="126"/>
      <c r="G621" s="118"/>
      <c r="H621" s="1017">
        <f t="shared" ref="H621:I621" si="343">H622+H623</f>
        <v>69452</v>
      </c>
      <c r="I621" s="1017">
        <f t="shared" si="343"/>
        <v>69452</v>
      </c>
      <c r="J621" s="5"/>
      <c r="K621" s="5"/>
      <c r="L621" s="5"/>
      <c r="M621" s="5"/>
      <c r="N621" s="1077"/>
      <c r="O621" s="1077"/>
      <c r="P621" s="1080"/>
      <c r="Q621" s="1080"/>
      <c r="R621" s="1097"/>
      <c r="S621" s="1097"/>
      <c r="T621" s="462"/>
      <c r="U621" s="462"/>
      <c r="V621" s="1017">
        <f>V622+V623</f>
        <v>22200</v>
      </c>
      <c r="W621" s="1017">
        <f t="shared" ref="W621:Y621" si="344">W622+W623</f>
        <v>0</v>
      </c>
      <c r="X621" s="1017">
        <f t="shared" si="344"/>
        <v>22200</v>
      </c>
      <c r="Y621" s="1017">
        <f t="shared" si="344"/>
        <v>22200</v>
      </c>
      <c r="Z621" s="1077"/>
      <c r="AA621" s="1077"/>
      <c r="AB621" s="1077"/>
      <c r="AC621" s="1077"/>
      <c r="AD621" s="1077"/>
      <c r="AE621" s="1077"/>
      <c r="AF621" s="1077"/>
      <c r="AG621" s="1077"/>
      <c r="AH621" s="1077"/>
      <c r="AI621" s="1077"/>
      <c r="AJ621" s="1077"/>
      <c r="AK621" s="1077"/>
      <c r="AL621" s="25"/>
      <c r="AM621" s="1009">
        <f t="shared" ref="AM621" si="345">IF(Y621-U621=0,0,1)</f>
        <v>1</v>
      </c>
      <c r="AN621" s="1009">
        <f t="shared" ref="AN621" si="346">IF(Y621=0,0,1)</f>
        <v>1</v>
      </c>
      <c r="AO621" s="144">
        <f t="shared" si="306"/>
        <v>1</v>
      </c>
    </row>
    <row r="622" spans="1:42" s="1323" customFormat="1" ht="55.5" hidden="1" customHeight="1" x14ac:dyDescent="0.25">
      <c r="A622" s="1280">
        <v>18</v>
      </c>
      <c r="B622" s="1280">
        <v>8</v>
      </c>
      <c r="C622" s="1244" t="s">
        <v>2174</v>
      </c>
      <c r="D622" s="1" t="s">
        <v>1164</v>
      </c>
      <c r="E622" s="350"/>
      <c r="F622" s="1245" t="s">
        <v>168</v>
      </c>
      <c r="G622" s="424" t="s">
        <v>2584</v>
      </c>
      <c r="H622" s="4">
        <f t="shared" si="340"/>
        <v>32018</v>
      </c>
      <c r="I622" s="4">
        <v>32018</v>
      </c>
      <c r="J622" s="150"/>
      <c r="K622" s="150"/>
      <c r="L622" s="150"/>
      <c r="M622" s="150"/>
      <c r="N622" s="4"/>
      <c r="O622" s="4"/>
      <c r="P622" s="243"/>
      <c r="Q622" s="243"/>
      <c r="R622" s="8"/>
      <c r="S622" s="8"/>
      <c r="T622" s="457"/>
      <c r="U622" s="457"/>
      <c r="V622" s="8">
        <v>12000</v>
      </c>
      <c r="W622" s="8"/>
      <c r="X622" s="457">
        <f t="shared" si="341"/>
        <v>12000</v>
      </c>
      <c r="Y622" s="457">
        <f t="shared" si="342"/>
        <v>12000</v>
      </c>
      <c r="Z622" s="4"/>
      <c r="AA622" s="4"/>
      <c r="AB622" s="4"/>
      <c r="AC622" s="4"/>
      <c r="AD622" s="4"/>
      <c r="AE622" s="4"/>
      <c r="AF622" s="4"/>
      <c r="AG622" s="4"/>
      <c r="AH622" s="4"/>
      <c r="AI622" s="4"/>
      <c r="AJ622" s="4"/>
      <c r="AK622" s="4"/>
      <c r="AL622" s="334" t="s">
        <v>980</v>
      </c>
      <c r="AM622" s="933">
        <f t="shared" si="304"/>
        <v>1</v>
      </c>
      <c r="AN622" s="933">
        <f t="shared" si="305"/>
        <v>1</v>
      </c>
      <c r="AO622" s="1333">
        <f t="shared" si="306"/>
        <v>1</v>
      </c>
    </row>
    <row r="623" spans="1:42" s="1323" customFormat="1" ht="55.5" hidden="1" customHeight="1" x14ac:dyDescent="0.25">
      <c r="A623" s="1280">
        <v>19</v>
      </c>
      <c r="B623" s="1280">
        <v>9</v>
      </c>
      <c r="C623" s="1244" t="s">
        <v>2175</v>
      </c>
      <c r="D623" s="1" t="s">
        <v>1164</v>
      </c>
      <c r="E623" s="350"/>
      <c r="F623" s="1245" t="s">
        <v>168</v>
      </c>
      <c r="G623" s="424" t="s">
        <v>2585</v>
      </c>
      <c r="H623" s="4">
        <f t="shared" si="340"/>
        <v>37434</v>
      </c>
      <c r="I623" s="4">
        <v>37434</v>
      </c>
      <c r="J623" s="150"/>
      <c r="K623" s="150"/>
      <c r="L623" s="150"/>
      <c r="M623" s="150"/>
      <c r="N623" s="4"/>
      <c r="O623" s="4"/>
      <c r="P623" s="243"/>
      <c r="Q623" s="243"/>
      <c r="R623" s="8"/>
      <c r="S623" s="8"/>
      <c r="T623" s="457"/>
      <c r="U623" s="457"/>
      <c r="V623" s="8">
        <v>10200</v>
      </c>
      <c r="W623" s="8"/>
      <c r="X623" s="457">
        <f t="shared" si="341"/>
        <v>10200</v>
      </c>
      <c r="Y623" s="457">
        <f t="shared" si="342"/>
        <v>10200</v>
      </c>
      <c r="Z623" s="4"/>
      <c r="AA623" s="4"/>
      <c r="AB623" s="4"/>
      <c r="AC623" s="4"/>
      <c r="AD623" s="4"/>
      <c r="AE623" s="4"/>
      <c r="AF623" s="4"/>
      <c r="AG623" s="4"/>
      <c r="AH623" s="4"/>
      <c r="AI623" s="4"/>
      <c r="AJ623" s="4"/>
      <c r="AK623" s="4"/>
      <c r="AL623" s="334" t="s">
        <v>980</v>
      </c>
      <c r="AM623" s="933">
        <f t="shared" si="304"/>
        <v>1</v>
      </c>
      <c r="AN623" s="933">
        <f t="shared" si="305"/>
        <v>1</v>
      </c>
      <c r="AO623" s="1333">
        <f t="shared" ref="AO623:AO660" si="347">IF(I623-Y623&gt;=0,1,0)</f>
        <v>1</v>
      </c>
    </row>
    <row r="624" spans="1:42" ht="24.75" hidden="1" customHeight="1" x14ac:dyDescent="0.25">
      <c r="A624" s="23" t="s">
        <v>730</v>
      </c>
      <c r="B624" s="23"/>
      <c r="C624" s="1352" t="s">
        <v>979</v>
      </c>
      <c r="D624" s="96"/>
      <c r="E624" s="1349"/>
      <c r="F624" s="1349"/>
      <c r="G624" s="1349"/>
      <c r="H624" s="1358">
        <f t="shared" ref="H624:I624" si="348">H625+H634</f>
        <v>229431</v>
      </c>
      <c r="I624" s="1358">
        <f t="shared" si="348"/>
        <v>209869</v>
      </c>
      <c r="J624" s="1358">
        <f>J625+J634</f>
        <v>2600</v>
      </c>
      <c r="K624" s="1358">
        <f t="shared" ref="K624:Y624" si="349">K625+K634</f>
        <v>14800</v>
      </c>
      <c r="L624" s="1358">
        <f t="shared" si="349"/>
        <v>14800</v>
      </c>
      <c r="M624" s="1358">
        <f t="shared" si="349"/>
        <v>14800</v>
      </c>
      <c r="N624" s="1358">
        <f t="shared" si="349"/>
        <v>80000</v>
      </c>
      <c r="O624" s="1358">
        <f t="shared" si="349"/>
        <v>80000</v>
      </c>
      <c r="P624" s="1358">
        <f t="shared" si="349"/>
        <v>80000</v>
      </c>
      <c r="Q624" s="1358">
        <f t="shared" si="349"/>
        <v>80000</v>
      </c>
      <c r="R624" s="1358">
        <f t="shared" si="349"/>
        <v>14380</v>
      </c>
      <c r="S624" s="1358">
        <f t="shared" si="349"/>
        <v>14380</v>
      </c>
      <c r="T624" s="1358">
        <f t="shared" si="349"/>
        <v>80000</v>
      </c>
      <c r="U624" s="1358">
        <f t="shared" si="349"/>
        <v>80000</v>
      </c>
      <c r="V624" s="1358">
        <f t="shared" si="349"/>
        <v>69679</v>
      </c>
      <c r="W624" s="1358">
        <f t="shared" si="349"/>
        <v>21340</v>
      </c>
      <c r="X624" s="1358">
        <f t="shared" si="349"/>
        <v>128339</v>
      </c>
      <c r="Y624" s="1358">
        <f t="shared" si="349"/>
        <v>128339</v>
      </c>
      <c r="Z624" s="1358">
        <f t="shared" ref="Z624:AC624" si="350">Z625+Z634</f>
        <v>300</v>
      </c>
      <c r="AA624" s="1358">
        <f t="shared" si="350"/>
        <v>300</v>
      </c>
      <c r="AB624" s="1358">
        <f t="shared" si="350"/>
        <v>8945</v>
      </c>
      <c r="AC624" s="1358">
        <f t="shared" si="350"/>
        <v>8945</v>
      </c>
      <c r="AD624" s="1360">
        <f t="shared" ref="AD624:AK624" si="351">AD625+AD634</f>
        <v>0</v>
      </c>
      <c r="AE624" s="1360">
        <f t="shared" si="351"/>
        <v>0</v>
      </c>
      <c r="AF624" s="1360">
        <f t="shared" si="351"/>
        <v>0</v>
      </c>
      <c r="AG624" s="1360">
        <f t="shared" si="351"/>
        <v>0</v>
      </c>
      <c r="AH624" s="1360">
        <f t="shared" si="351"/>
        <v>0</v>
      </c>
      <c r="AI624" s="1360">
        <f t="shared" si="351"/>
        <v>0</v>
      </c>
      <c r="AJ624" s="1360">
        <f t="shared" si="351"/>
        <v>0</v>
      </c>
      <c r="AK624" s="1360">
        <f t="shared" si="351"/>
        <v>0</v>
      </c>
      <c r="AL624" s="69"/>
      <c r="AM624" s="1009">
        <f t="shared" ref="AM624" si="352">IF(Y624-U624=0,0,1)</f>
        <v>1</v>
      </c>
      <c r="AN624" s="1009">
        <f t="shared" ref="AN624" si="353">IF(Y624=0,0,1)</f>
        <v>1</v>
      </c>
      <c r="AO624" s="144">
        <f t="shared" si="347"/>
        <v>1</v>
      </c>
      <c r="AP624" s="1334"/>
    </row>
    <row r="625" spans="1:42" ht="51.75" hidden="1" x14ac:dyDescent="0.25">
      <c r="A625" s="1066" t="s">
        <v>45</v>
      </c>
      <c r="B625" s="1066"/>
      <c r="C625" s="51" t="s">
        <v>46</v>
      </c>
      <c r="D625" s="57"/>
      <c r="E625" s="57"/>
      <c r="F625" s="57"/>
      <c r="G625" s="57"/>
      <c r="H625" s="1017">
        <f t="shared" ref="H625:AK625" si="354">H626</f>
        <v>6632</v>
      </c>
      <c r="I625" s="1017">
        <f t="shared" si="354"/>
        <v>6632</v>
      </c>
      <c r="J625" s="1017">
        <f t="shared" si="354"/>
        <v>2600</v>
      </c>
      <c r="K625" s="1017">
        <f t="shared" si="354"/>
        <v>14800</v>
      </c>
      <c r="L625" s="1017">
        <f t="shared" si="354"/>
        <v>14800</v>
      </c>
      <c r="M625" s="1017">
        <f t="shared" si="354"/>
        <v>14800</v>
      </c>
      <c r="N625" s="1017">
        <f t="shared" si="354"/>
        <v>14910</v>
      </c>
      <c r="O625" s="1017">
        <f t="shared" si="354"/>
        <v>14910</v>
      </c>
      <c r="P625" s="1016">
        <f t="shared" si="354"/>
        <v>14700</v>
      </c>
      <c r="Q625" s="1016">
        <f t="shared" si="354"/>
        <v>14700</v>
      </c>
      <c r="R625" s="1017">
        <f t="shared" si="354"/>
        <v>0</v>
      </c>
      <c r="S625" s="1017">
        <f t="shared" si="354"/>
        <v>210</v>
      </c>
      <c r="T625" s="1017">
        <f t="shared" si="354"/>
        <v>14700</v>
      </c>
      <c r="U625" s="1017">
        <f t="shared" si="354"/>
        <v>14700</v>
      </c>
      <c r="V625" s="1017">
        <f t="shared" si="354"/>
        <v>0</v>
      </c>
      <c r="W625" s="1017">
        <f t="shared" si="354"/>
        <v>0</v>
      </c>
      <c r="X625" s="1017">
        <f t="shared" si="354"/>
        <v>14700</v>
      </c>
      <c r="Y625" s="1017">
        <f t="shared" si="354"/>
        <v>14700</v>
      </c>
      <c r="Z625" s="1017">
        <f t="shared" si="354"/>
        <v>300</v>
      </c>
      <c r="AA625" s="1017">
        <f t="shared" si="354"/>
        <v>300</v>
      </c>
      <c r="AB625" s="1017">
        <f t="shared" si="354"/>
        <v>37</v>
      </c>
      <c r="AC625" s="1017">
        <f t="shared" si="354"/>
        <v>37</v>
      </c>
      <c r="AD625" s="1016">
        <f t="shared" si="354"/>
        <v>0</v>
      </c>
      <c r="AE625" s="1016">
        <f t="shared" si="354"/>
        <v>0</v>
      </c>
      <c r="AF625" s="1016">
        <f t="shared" si="354"/>
        <v>0</v>
      </c>
      <c r="AG625" s="1016">
        <f t="shared" si="354"/>
        <v>0</v>
      </c>
      <c r="AH625" s="1016">
        <f t="shared" si="354"/>
        <v>0</v>
      </c>
      <c r="AI625" s="1016">
        <f t="shared" si="354"/>
        <v>0</v>
      </c>
      <c r="AJ625" s="1016">
        <f t="shared" si="354"/>
        <v>0</v>
      </c>
      <c r="AK625" s="1016">
        <f t="shared" si="354"/>
        <v>0</v>
      </c>
      <c r="AL625" s="69"/>
      <c r="AM625" s="1009">
        <f t="shared" ref="AM625:AM648" si="355">IF(Y625-U625=0,0,1)</f>
        <v>0</v>
      </c>
      <c r="AN625" s="1009">
        <f t="shared" ref="AN625:AN648" si="356">IF(Y625=0,0,1)</f>
        <v>1</v>
      </c>
      <c r="AO625" s="144"/>
    </row>
    <row r="626" spans="1:42" ht="34.5" hidden="1" x14ac:dyDescent="0.25">
      <c r="A626" s="50" t="s">
        <v>47</v>
      </c>
      <c r="B626" s="50"/>
      <c r="C626" s="51" t="s">
        <v>48</v>
      </c>
      <c r="D626" s="57"/>
      <c r="E626" s="57"/>
      <c r="F626" s="57"/>
      <c r="G626" s="57"/>
      <c r="H626" s="1017">
        <f>H629+H632</f>
        <v>6632</v>
      </c>
      <c r="I626" s="1017">
        <f>I629+I632</f>
        <v>6632</v>
      </c>
      <c r="J626" s="1017">
        <f t="shared" ref="J626" si="357">J629+J632</f>
        <v>2600</v>
      </c>
      <c r="K626" s="1017">
        <f t="shared" ref="K626:X626" si="358">SUM(K629:K633)</f>
        <v>14800</v>
      </c>
      <c r="L626" s="1017">
        <f t="shared" si="358"/>
        <v>14800</v>
      </c>
      <c r="M626" s="1017">
        <f t="shared" si="358"/>
        <v>14800</v>
      </c>
      <c r="N626" s="1017">
        <f t="shared" si="358"/>
        <v>14910</v>
      </c>
      <c r="O626" s="1017">
        <f t="shared" si="358"/>
        <v>14910</v>
      </c>
      <c r="P626" s="1017">
        <f t="shared" si="358"/>
        <v>14700</v>
      </c>
      <c r="Q626" s="1017">
        <f t="shared" si="358"/>
        <v>14700</v>
      </c>
      <c r="R626" s="1017">
        <f t="shared" si="358"/>
        <v>0</v>
      </c>
      <c r="S626" s="1017">
        <f t="shared" si="358"/>
        <v>210</v>
      </c>
      <c r="T626" s="1017">
        <f t="shared" si="358"/>
        <v>14700</v>
      </c>
      <c r="U626" s="1017">
        <f t="shared" si="358"/>
        <v>14700</v>
      </c>
      <c r="V626" s="1017">
        <f t="shared" si="358"/>
        <v>0</v>
      </c>
      <c r="W626" s="1017">
        <f t="shared" si="358"/>
        <v>0</v>
      </c>
      <c r="X626" s="1017">
        <f t="shared" si="358"/>
        <v>14700</v>
      </c>
      <c r="Y626" s="1017">
        <f>SUM(Y629:Y633)</f>
        <v>14700</v>
      </c>
      <c r="Z626" s="1017">
        <f t="shared" ref="Z626:AC626" si="359">Z629+Z632</f>
        <v>300</v>
      </c>
      <c r="AA626" s="1017">
        <f t="shared" si="359"/>
        <v>300</v>
      </c>
      <c r="AB626" s="1017">
        <f t="shared" si="359"/>
        <v>37</v>
      </c>
      <c r="AC626" s="1017">
        <f t="shared" si="359"/>
        <v>37</v>
      </c>
      <c r="AD626" s="1016">
        <f t="shared" ref="AD626:AK626" si="360">SUM(AD629:AD633)</f>
        <v>0</v>
      </c>
      <c r="AE626" s="1016">
        <f t="shared" si="360"/>
        <v>0</v>
      </c>
      <c r="AF626" s="1016">
        <f t="shared" si="360"/>
        <v>0</v>
      </c>
      <c r="AG626" s="1016">
        <f t="shared" si="360"/>
        <v>0</v>
      </c>
      <c r="AH626" s="1016">
        <f t="shared" si="360"/>
        <v>0</v>
      </c>
      <c r="AI626" s="1016">
        <f t="shared" si="360"/>
        <v>0</v>
      </c>
      <c r="AJ626" s="1016">
        <f t="shared" si="360"/>
        <v>0</v>
      </c>
      <c r="AK626" s="1016">
        <f t="shared" si="360"/>
        <v>0</v>
      </c>
      <c r="AL626" s="69"/>
      <c r="AM626" s="1009">
        <f t="shared" si="355"/>
        <v>0</v>
      </c>
      <c r="AN626" s="1009">
        <f t="shared" si="356"/>
        <v>1</v>
      </c>
      <c r="AO626" s="144"/>
    </row>
    <row r="627" spans="1:42" ht="17.25" hidden="1" x14ac:dyDescent="0.25">
      <c r="A627" s="50"/>
      <c r="B627" s="50"/>
      <c r="C627" s="51" t="s">
        <v>49</v>
      </c>
      <c r="D627" s="52"/>
      <c r="E627" s="52"/>
      <c r="F627" s="52"/>
      <c r="G627" s="52"/>
      <c r="H627" s="1020"/>
      <c r="I627" s="1020"/>
      <c r="J627" s="1020"/>
      <c r="K627" s="1020"/>
      <c r="L627" s="1020"/>
      <c r="M627" s="1020"/>
      <c r="N627" s="1020"/>
      <c r="O627" s="1020"/>
      <c r="P627" s="1021"/>
      <c r="Q627" s="1021"/>
      <c r="R627" s="54"/>
      <c r="S627" s="54"/>
      <c r="T627" s="1022"/>
      <c r="U627" s="1022"/>
      <c r="V627" s="54"/>
      <c r="W627" s="54"/>
      <c r="X627" s="1022"/>
      <c r="Y627" s="1022"/>
      <c r="Z627" s="1020"/>
      <c r="AA627" s="1020"/>
      <c r="AB627" s="1020"/>
      <c r="AC627" s="1020"/>
      <c r="AD627" s="1020"/>
      <c r="AE627" s="1020"/>
      <c r="AF627" s="1020"/>
      <c r="AG627" s="1020"/>
      <c r="AH627" s="1020"/>
      <c r="AI627" s="1020"/>
      <c r="AJ627" s="1020"/>
      <c r="AK627" s="1020"/>
      <c r="AL627" s="69"/>
      <c r="AM627" s="1009">
        <f t="shared" si="355"/>
        <v>0</v>
      </c>
      <c r="AN627" s="1009">
        <f t="shared" si="356"/>
        <v>0</v>
      </c>
      <c r="AO627" s="144">
        <f t="shared" si="347"/>
        <v>1</v>
      </c>
    </row>
    <row r="628" spans="1:42" ht="51.75" hidden="1" x14ac:dyDescent="0.25">
      <c r="A628" s="50"/>
      <c r="B628" s="50"/>
      <c r="C628" s="56" t="s">
        <v>50</v>
      </c>
      <c r="D628" s="57"/>
      <c r="E628" s="57"/>
      <c r="F628" s="57"/>
      <c r="G628" s="57"/>
      <c r="H628" s="1017"/>
      <c r="I628" s="1017"/>
      <c r="J628" s="1017"/>
      <c r="K628" s="1017"/>
      <c r="L628" s="1017"/>
      <c r="M628" s="1017"/>
      <c r="N628" s="1017"/>
      <c r="O628" s="1017"/>
      <c r="P628" s="1016"/>
      <c r="Q628" s="1016"/>
      <c r="R628" s="54"/>
      <c r="S628" s="54"/>
      <c r="T628" s="1018"/>
      <c r="U628" s="1018"/>
      <c r="V628" s="54"/>
      <c r="W628" s="54"/>
      <c r="X628" s="1018"/>
      <c r="Y628" s="1018"/>
      <c r="Z628" s="1017"/>
      <c r="AA628" s="1017"/>
      <c r="AB628" s="1017"/>
      <c r="AC628" s="1017"/>
      <c r="AD628" s="1017"/>
      <c r="AE628" s="1017"/>
      <c r="AF628" s="1017"/>
      <c r="AG628" s="1017"/>
      <c r="AH628" s="1017"/>
      <c r="AI628" s="1017"/>
      <c r="AJ628" s="1017"/>
      <c r="AK628" s="1017"/>
      <c r="AL628" s="69"/>
      <c r="AM628" s="1009">
        <f t="shared" si="355"/>
        <v>0</v>
      </c>
      <c r="AN628" s="1009">
        <f t="shared" si="356"/>
        <v>0</v>
      </c>
      <c r="AO628" s="144">
        <f t="shared" si="347"/>
        <v>1</v>
      </c>
      <c r="AP628" s="1334"/>
    </row>
    <row r="629" spans="1:42" ht="49.5" hidden="1" x14ac:dyDescent="0.25">
      <c r="A629" s="749">
        <v>1</v>
      </c>
      <c r="B629" s="749"/>
      <c r="C629" s="290" t="s">
        <v>978</v>
      </c>
      <c r="D629" s="61" t="s">
        <v>977</v>
      </c>
      <c r="E629" s="70" t="s">
        <v>976</v>
      </c>
      <c r="F629" s="70">
        <v>2015</v>
      </c>
      <c r="G629" s="118" t="s">
        <v>975</v>
      </c>
      <c r="H629" s="68">
        <v>5730</v>
      </c>
      <c r="I629" s="68">
        <f>H629</f>
        <v>5730</v>
      </c>
      <c r="J629" s="68">
        <f>K629</f>
        <v>2100</v>
      </c>
      <c r="K629" s="75">
        <v>2100</v>
      </c>
      <c r="L629" s="68">
        <f>M629</f>
        <v>2100</v>
      </c>
      <c r="M629" s="75">
        <v>2100</v>
      </c>
      <c r="N629" s="68">
        <f>O629</f>
        <v>2580</v>
      </c>
      <c r="O629" s="68">
        <v>2580</v>
      </c>
      <c r="P629" s="299">
        <f>Q629</f>
        <v>2400</v>
      </c>
      <c r="Q629" s="299">
        <v>2400</v>
      </c>
      <c r="R629" s="54"/>
      <c r="S629" s="54">
        <f>O629-U629</f>
        <v>180</v>
      </c>
      <c r="T629" s="462">
        <f>U629</f>
        <v>2400</v>
      </c>
      <c r="U629" s="462">
        <v>2400</v>
      </c>
      <c r="V629" s="54"/>
      <c r="W629" s="54"/>
      <c r="X629" s="462">
        <f>Y629</f>
        <v>2400</v>
      </c>
      <c r="Y629" s="462">
        <v>2400</v>
      </c>
      <c r="Z629" s="5"/>
      <c r="AA629" s="5"/>
      <c r="AB629" s="5">
        <f>AC629</f>
        <v>22</v>
      </c>
      <c r="AC629" s="5">
        <v>22</v>
      </c>
      <c r="AD629" s="5"/>
      <c r="AE629" s="5"/>
      <c r="AF629" s="5"/>
      <c r="AG629" s="5"/>
      <c r="AH629" s="5"/>
      <c r="AI629" s="5"/>
      <c r="AJ629" s="5"/>
      <c r="AK629" s="5"/>
      <c r="AL629" s="1052"/>
      <c r="AM629" s="1009">
        <f t="shared" si="355"/>
        <v>0</v>
      </c>
      <c r="AN629" s="1009">
        <f t="shared" si="356"/>
        <v>1</v>
      </c>
      <c r="AO629" s="144">
        <f t="shared" si="347"/>
        <v>1</v>
      </c>
    </row>
    <row r="630" spans="1:42" ht="49.5" hidden="1" x14ac:dyDescent="0.25">
      <c r="A630" s="749">
        <v>2</v>
      </c>
      <c r="B630" s="749"/>
      <c r="C630" s="290" t="s">
        <v>974</v>
      </c>
      <c r="D630" s="61" t="s">
        <v>973</v>
      </c>
      <c r="E630" s="70" t="s">
        <v>972</v>
      </c>
      <c r="F630" s="70">
        <v>2015</v>
      </c>
      <c r="G630" s="118" t="s">
        <v>971</v>
      </c>
      <c r="H630" s="68">
        <v>14679</v>
      </c>
      <c r="I630" s="68">
        <f>H630</f>
        <v>14679</v>
      </c>
      <c r="J630" s="68">
        <f>K630</f>
        <v>5200</v>
      </c>
      <c r="K630" s="75">
        <v>5200</v>
      </c>
      <c r="L630" s="68">
        <f>M630</f>
        <v>5200</v>
      </c>
      <c r="M630" s="75">
        <v>5200</v>
      </c>
      <c r="N630" s="68">
        <v>7800</v>
      </c>
      <c r="O630" s="68">
        <v>7800</v>
      </c>
      <c r="P630" s="299">
        <v>7800</v>
      </c>
      <c r="Q630" s="299">
        <v>7800</v>
      </c>
      <c r="R630" s="54"/>
      <c r="S630" s="54">
        <f>O630-U630</f>
        <v>0</v>
      </c>
      <c r="T630" s="462">
        <v>7800</v>
      </c>
      <c r="U630" s="462">
        <v>7800</v>
      </c>
      <c r="V630" s="54"/>
      <c r="W630" s="54"/>
      <c r="X630" s="462">
        <v>7800</v>
      </c>
      <c r="Y630" s="462">
        <v>7800</v>
      </c>
      <c r="Z630" s="5"/>
      <c r="AA630" s="5"/>
      <c r="AB630" s="5"/>
      <c r="AC630" s="5"/>
      <c r="AD630" s="5"/>
      <c r="AE630" s="5"/>
      <c r="AF630" s="5"/>
      <c r="AG630" s="5"/>
      <c r="AH630" s="5"/>
      <c r="AI630" s="5"/>
      <c r="AJ630" s="5"/>
      <c r="AK630" s="5"/>
      <c r="AL630" s="1052"/>
      <c r="AM630" s="1009">
        <f t="shared" si="355"/>
        <v>0</v>
      </c>
      <c r="AN630" s="1009">
        <f t="shared" si="356"/>
        <v>1</v>
      </c>
      <c r="AO630" s="144">
        <f t="shared" si="347"/>
        <v>1</v>
      </c>
    </row>
    <row r="631" spans="1:42" ht="49.5" hidden="1" x14ac:dyDescent="0.25">
      <c r="A631" s="749">
        <v>3</v>
      </c>
      <c r="B631" s="749"/>
      <c r="C631" s="290" t="s">
        <v>970</v>
      </c>
      <c r="D631" s="118" t="s">
        <v>969</v>
      </c>
      <c r="E631" s="118"/>
      <c r="F631" s="126" t="s">
        <v>963</v>
      </c>
      <c r="G631" s="118" t="s">
        <v>968</v>
      </c>
      <c r="H631" s="68">
        <v>9092</v>
      </c>
      <c r="I631" s="68">
        <f>H631</f>
        <v>9092</v>
      </c>
      <c r="J631" s="68">
        <f>K631</f>
        <v>3500</v>
      </c>
      <c r="K631" s="68">
        <v>3500</v>
      </c>
      <c r="L631" s="68">
        <f>M631</f>
        <v>3500</v>
      </c>
      <c r="M631" s="68">
        <v>3500</v>
      </c>
      <c r="N631" s="68">
        <v>3850</v>
      </c>
      <c r="O631" s="68">
        <v>3850</v>
      </c>
      <c r="P631" s="299">
        <v>3850</v>
      </c>
      <c r="Q631" s="299">
        <v>3850</v>
      </c>
      <c r="R631" s="54"/>
      <c r="S631" s="54">
        <f>O631-U631</f>
        <v>0</v>
      </c>
      <c r="T631" s="462">
        <v>3850</v>
      </c>
      <c r="U631" s="462">
        <v>3850</v>
      </c>
      <c r="V631" s="54"/>
      <c r="W631" s="54"/>
      <c r="X631" s="462">
        <v>3850</v>
      </c>
      <c r="Y631" s="462">
        <v>3850</v>
      </c>
      <c r="Z631" s="5">
        <f>AA631</f>
        <v>6850</v>
      </c>
      <c r="AA631" s="5">
        <v>6850</v>
      </c>
      <c r="AB631" s="5"/>
      <c r="AC631" s="5"/>
      <c r="AD631" s="5"/>
      <c r="AE631" s="5"/>
      <c r="AF631" s="5"/>
      <c r="AG631" s="5"/>
      <c r="AH631" s="5"/>
      <c r="AI631" s="5"/>
      <c r="AJ631" s="5"/>
      <c r="AK631" s="5"/>
      <c r="AL631" s="1052"/>
      <c r="AM631" s="1009">
        <f t="shared" si="355"/>
        <v>0</v>
      </c>
      <c r="AN631" s="1009">
        <f t="shared" si="356"/>
        <v>1</v>
      </c>
      <c r="AO631" s="144">
        <f t="shared" si="347"/>
        <v>1</v>
      </c>
    </row>
    <row r="632" spans="1:42" ht="49.5" hidden="1" x14ac:dyDescent="0.25">
      <c r="A632" s="749">
        <v>4</v>
      </c>
      <c r="B632" s="749"/>
      <c r="C632" s="290" t="s">
        <v>967</v>
      </c>
      <c r="D632" s="118" t="s">
        <v>960</v>
      </c>
      <c r="E632" s="118"/>
      <c r="F632" s="126" t="s">
        <v>963</v>
      </c>
      <c r="G632" s="118" t="s">
        <v>966</v>
      </c>
      <c r="H632" s="68">
        <v>902</v>
      </c>
      <c r="I632" s="68">
        <f>H632</f>
        <v>902</v>
      </c>
      <c r="J632" s="5">
        <v>500</v>
      </c>
      <c r="K632" s="5">
        <v>500</v>
      </c>
      <c r="L632" s="5">
        <v>500</v>
      </c>
      <c r="M632" s="5">
        <v>500</v>
      </c>
      <c r="N632" s="68">
        <f>O632</f>
        <v>330</v>
      </c>
      <c r="O632" s="68">
        <v>330</v>
      </c>
      <c r="P632" s="299">
        <f>Q632</f>
        <v>300</v>
      </c>
      <c r="Q632" s="299">
        <v>300</v>
      </c>
      <c r="R632" s="54"/>
      <c r="S632" s="54">
        <f>O632-U632</f>
        <v>30</v>
      </c>
      <c r="T632" s="462">
        <f>U632</f>
        <v>300</v>
      </c>
      <c r="U632" s="462">
        <v>300</v>
      </c>
      <c r="V632" s="54"/>
      <c r="W632" s="54"/>
      <c r="X632" s="462">
        <f>Y632</f>
        <v>300</v>
      </c>
      <c r="Y632" s="462">
        <v>300</v>
      </c>
      <c r="Z632" s="5">
        <f>AA632</f>
        <v>300</v>
      </c>
      <c r="AA632" s="5">
        <v>300</v>
      </c>
      <c r="AB632" s="5">
        <f>AC632</f>
        <v>15</v>
      </c>
      <c r="AC632" s="5">
        <v>15</v>
      </c>
      <c r="AD632" s="5"/>
      <c r="AE632" s="5"/>
      <c r="AF632" s="5"/>
      <c r="AG632" s="5"/>
      <c r="AH632" s="5"/>
      <c r="AI632" s="5"/>
      <c r="AJ632" s="5"/>
      <c r="AK632" s="5"/>
      <c r="AL632" s="1052"/>
      <c r="AM632" s="1009">
        <f t="shared" si="355"/>
        <v>0</v>
      </c>
      <c r="AN632" s="1009">
        <f t="shared" si="356"/>
        <v>1</v>
      </c>
      <c r="AO632" s="144">
        <f t="shared" si="347"/>
        <v>1</v>
      </c>
    </row>
    <row r="633" spans="1:42" ht="66" hidden="1" x14ac:dyDescent="0.25">
      <c r="A633" s="749">
        <v>5</v>
      </c>
      <c r="B633" s="749"/>
      <c r="C633" s="290" t="s">
        <v>965</v>
      </c>
      <c r="D633" s="118" t="s">
        <v>964</v>
      </c>
      <c r="E633" s="118"/>
      <c r="F633" s="126" t="s">
        <v>963</v>
      </c>
      <c r="G633" s="118" t="s">
        <v>962</v>
      </c>
      <c r="H633" s="68">
        <v>4471</v>
      </c>
      <c r="I633" s="68">
        <f>H633</f>
        <v>4471</v>
      </c>
      <c r="J633" s="68">
        <v>3500</v>
      </c>
      <c r="K633" s="68">
        <f>J633</f>
        <v>3500</v>
      </c>
      <c r="L633" s="68">
        <v>3500</v>
      </c>
      <c r="M633" s="68">
        <f>L633</f>
        <v>3500</v>
      </c>
      <c r="N633" s="68">
        <v>350</v>
      </c>
      <c r="O633" s="68">
        <v>350</v>
      </c>
      <c r="P633" s="299">
        <v>350</v>
      </c>
      <c r="Q633" s="299">
        <v>350</v>
      </c>
      <c r="R633" s="54"/>
      <c r="S633" s="54">
        <f>O633-U633</f>
        <v>0</v>
      </c>
      <c r="T633" s="462">
        <v>350</v>
      </c>
      <c r="U633" s="462">
        <v>350</v>
      </c>
      <c r="V633" s="54"/>
      <c r="W633" s="54"/>
      <c r="X633" s="462">
        <v>350</v>
      </c>
      <c r="Y633" s="462">
        <v>350</v>
      </c>
      <c r="Z633" s="5">
        <f>AA633</f>
        <v>350</v>
      </c>
      <c r="AA633" s="5">
        <v>350</v>
      </c>
      <c r="AB633" s="5"/>
      <c r="AC633" s="5"/>
      <c r="AD633" s="5"/>
      <c r="AE633" s="5"/>
      <c r="AF633" s="5"/>
      <c r="AG633" s="5"/>
      <c r="AH633" s="5"/>
      <c r="AI633" s="5"/>
      <c r="AJ633" s="5"/>
      <c r="AK633" s="5"/>
      <c r="AL633" s="1052"/>
      <c r="AM633" s="1009">
        <f t="shared" si="355"/>
        <v>0</v>
      </c>
      <c r="AN633" s="1009">
        <f t="shared" si="356"/>
        <v>1</v>
      </c>
      <c r="AO633" s="144">
        <f t="shared" si="347"/>
        <v>1</v>
      </c>
    </row>
    <row r="634" spans="1:42" ht="34.5" hidden="1" x14ac:dyDescent="0.25">
      <c r="A634" s="1066" t="s">
        <v>85</v>
      </c>
      <c r="B634" s="1066"/>
      <c r="C634" s="51" t="s">
        <v>86</v>
      </c>
      <c r="D634" s="57"/>
      <c r="E634" s="57"/>
      <c r="F634" s="57"/>
      <c r="G634" s="57"/>
      <c r="H634" s="1017">
        <f t="shared" ref="H634:I634" si="361">H635+H658</f>
        <v>222799</v>
      </c>
      <c r="I634" s="1017">
        <f t="shared" si="361"/>
        <v>203237</v>
      </c>
      <c r="J634" s="1017">
        <f t="shared" ref="J634:M634" si="362">J635</f>
        <v>0</v>
      </c>
      <c r="K634" s="1017">
        <f t="shared" si="362"/>
        <v>0</v>
      </c>
      <c r="L634" s="1017">
        <f t="shared" si="362"/>
        <v>0</v>
      </c>
      <c r="M634" s="1017">
        <f t="shared" si="362"/>
        <v>0</v>
      </c>
      <c r="N634" s="1017">
        <f t="shared" ref="N634:X634" si="363">N635+N658</f>
        <v>65090</v>
      </c>
      <c r="O634" s="1017">
        <f t="shared" si="363"/>
        <v>65090</v>
      </c>
      <c r="P634" s="1017">
        <f t="shared" si="363"/>
        <v>65300</v>
      </c>
      <c r="Q634" s="1017">
        <f t="shared" si="363"/>
        <v>65300</v>
      </c>
      <c r="R634" s="1017">
        <f t="shared" si="363"/>
        <v>14380</v>
      </c>
      <c r="S634" s="1017">
        <f t="shared" si="363"/>
        <v>14170</v>
      </c>
      <c r="T634" s="1017">
        <f t="shared" si="363"/>
        <v>65300</v>
      </c>
      <c r="U634" s="1017">
        <f t="shared" si="363"/>
        <v>65300</v>
      </c>
      <c r="V634" s="1017">
        <f t="shared" si="363"/>
        <v>69679</v>
      </c>
      <c r="W634" s="1017">
        <f t="shared" si="363"/>
        <v>21340</v>
      </c>
      <c r="X634" s="1017">
        <f t="shared" si="363"/>
        <v>113639</v>
      </c>
      <c r="Y634" s="1017">
        <f>Y635+Y658</f>
        <v>113639</v>
      </c>
      <c r="Z634" s="1017">
        <f t="shared" ref="Z634:AK634" si="364">Z635</f>
        <v>0</v>
      </c>
      <c r="AA634" s="1017">
        <f t="shared" si="364"/>
        <v>0</v>
      </c>
      <c r="AB634" s="1017">
        <f t="shared" si="364"/>
        <v>8908</v>
      </c>
      <c r="AC634" s="1017">
        <f t="shared" si="364"/>
        <v>8908</v>
      </c>
      <c r="AD634" s="1016">
        <f t="shared" si="364"/>
        <v>0</v>
      </c>
      <c r="AE634" s="1016">
        <f t="shared" si="364"/>
        <v>0</v>
      </c>
      <c r="AF634" s="1016">
        <f t="shared" si="364"/>
        <v>0</v>
      </c>
      <c r="AG634" s="1016">
        <f t="shared" si="364"/>
        <v>0</v>
      </c>
      <c r="AH634" s="1016">
        <f t="shared" si="364"/>
        <v>0</v>
      </c>
      <c r="AI634" s="1016">
        <f t="shared" si="364"/>
        <v>0</v>
      </c>
      <c r="AJ634" s="1016">
        <f t="shared" si="364"/>
        <v>0</v>
      </c>
      <c r="AK634" s="1016">
        <f t="shared" si="364"/>
        <v>0</v>
      </c>
      <c r="AL634" s="59"/>
      <c r="AM634" s="1009">
        <f t="shared" si="355"/>
        <v>1</v>
      </c>
      <c r="AN634" s="1009">
        <f t="shared" si="356"/>
        <v>1</v>
      </c>
      <c r="AO634" s="144">
        <f t="shared" si="347"/>
        <v>1</v>
      </c>
    </row>
    <row r="635" spans="1:42" ht="51.75" hidden="1" x14ac:dyDescent="0.25">
      <c r="A635" s="50" t="s">
        <v>87</v>
      </c>
      <c r="B635" s="50"/>
      <c r="C635" s="51" t="s">
        <v>88</v>
      </c>
      <c r="D635" s="57"/>
      <c r="E635" s="57"/>
      <c r="F635" s="57"/>
      <c r="G635" s="57"/>
      <c r="H635" s="1017">
        <f>SUM(H636:H657)</f>
        <v>161232</v>
      </c>
      <c r="I635" s="1017">
        <f t="shared" ref="I635:Y635" si="365">SUM(I636:I657)</f>
        <v>141670</v>
      </c>
      <c r="J635" s="1017">
        <f t="shared" si="365"/>
        <v>0</v>
      </c>
      <c r="K635" s="1017">
        <f t="shared" si="365"/>
        <v>0</v>
      </c>
      <c r="L635" s="1017">
        <f t="shared" si="365"/>
        <v>0</v>
      </c>
      <c r="M635" s="1017">
        <f t="shared" si="365"/>
        <v>0</v>
      </c>
      <c r="N635" s="1017">
        <f t="shared" si="365"/>
        <v>65090</v>
      </c>
      <c r="O635" s="1017">
        <f t="shared" si="365"/>
        <v>65090</v>
      </c>
      <c r="P635" s="1017">
        <f t="shared" si="365"/>
        <v>65300</v>
      </c>
      <c r="Q635" s="1017">
        <f t="shared" si="365"/>
        <v>65300</v>
      </c>
      <c r="R635" s="1017">
        <f t="shared" si="365"/>
        <v>14380</v>
      </c>
      <c r="S635" s="1017">
        <f t="shared" si="365"/>
        <v>14170</v>
      </c>
      <c r="T635" s="1017">
        <f t="shared" si="365"/>
        <v>65300</v>
      </c>
      <c r="U635" s="1017">
        <f t="shared" si="365"/>
        <v>65300</v>
      </c>
      <c r="V635" s="1017">
        <f t="shared" si="365"/>
        <v>49679</v>
      </c>
      <c r="W635" s="1017">
        <f t="shared" si="365"/>
        <v>21340</v>
      </c>
      <c r="X635" s="1017">
        <f t="shared" si="365"/>
        <v>93639</v>
      </c>
      <c r="Y635" s="1017">
        <f t="shared" si="365"/>
        <v>93639</v>
      </c>
      <c r="Z635" s="1017">
        <f t="shared" ref="Z635:AC635" si="366">SUM(Z638:Z640)+SUM(Z642:Z648)</f>
        <v>0</v>
      </c>
      <c r="AA635" s="1017">
        <f t="shared" si="366"/>
        <v>0</v>
      </c>
      <c r="AB635" s="1017">
        <f t="shared" si="366"/>
        <v>8908</v>
      </c>
      <c r="AC635" s="1017">
        <f t="shared" si="366"/>
        <v>8908</v>
      </c>
      <c r="AD635" s="1016">
        <f t="shared" ref="AD635:AK635" si="367">SUM(AD636:AD648)</f>
        <v>0</v>
      </c>
      <c r="AE635" s="1016">
        <f t="shared" si="367"/>
        <v>0</v>
      </c>
      <c r="AF635" s="1016">
        <f t="shared" si="367"/>
        <v>0</v>
      </c>
      <c r="AG635" s="1016">
        <f t="shared" si="367"/>
        <v>0</v>
      </c>
      <c r="AH635" s="1016">
        <f t="shared" si="367"/>
        <v>0</v>
      </c>
      <c r="AI635" s="1016">
        <f t="shared" si="367"/>
        <v>0</v>
      </c>
      <c r="AJ635" s="1016">
        <f t="shared" si="367"/>
        <v>0</v>
      </c>
      <c r="AK635" s="1016">
        <f t="shared" si="367"/>
        <v>0</v>
      </c>
      <c r="AL635" s="59"/>
      <c r="AM635" s="1009">
        <f t="shared" si="355"/>
        <v>1</v>
      </c>
      <c r="AN635" s="1009">
        <f t="shared" si="356"/>
        <v>1</v>
      </c>
      <c r="AO635" s="144">
        <f t="shared" si="347"/>
        <v>1</v>
      </c>
      <c r="AP635" s="1334"/>
    </row>
    <row r="636" spans="1:42" ht="49.5" hidden="1" x14ac:dyDescent="0.25">
      <c r="A636" s="749">
        <v>1</v>
      </c>
      <c r="B636" s="749"/>
      <c r="C636" s="290" t="s">
        <v>961</v>
      </c>
      <c r="D636" s="118" t="s">
        <v>960</v>
      </c>
      <c r="E636" s="61" t="s">
        <v>959</v>
      </c>
      <c r="F636" s="126" t="s">
        <v>199</v>
      </c>
      <c r="G636" s="118" t="s">
        <v>958</v>
      </c>
      <c r="H636" s="68">
        <v>14898</v>
      </c>
      <c r="I636" s="68">
        <f t="shared" ref="I636:I641" si="368">H636</f>
        <v>14898</v>
      </c>
      <c r="J636" s="5"/>
      <c r="K636" s="5"/>
      <c r="L636" s="5"/>
      <c r="M636" s="5"/>
      <c r="N636" s="68">
        <v>13400</v>
      </c>
      <c r="O636" s="68">
        <v>13400</v>
      </c>
      <c r="P636" s="299">
        <v>13400</v>
      </c>
      <c r="Q636" s="299">
        <v>13400</v>
      </c>
      <c r="R636" s="54"/>
      <c r="S636" s="54">
        <f>O636-U636</f>
        <v>0</v>
      </c>
      <c r="T636" s="462">
        <v>13400</v>
      </c>
      <c r="U636" s="462">
        <v>13400</v>
      </c>
      <c r="V636" s="54"/>
      <c r="W636" s="54"/>
      <c r="X636" s="462">
        <v>13400</v>
      </c>
      <c r="Y636" s="462">
        <v>13400</v>
      </c>
      <c r="Z636" s="5">
        <f>AA636</f>
        <v>7400</v>
      </c>
      <c r="AA636" s="5">
        <v>7400</v>
      </c>
      <c r="AB636" s="5">
        <f t="shared" ref="AB636:AB643" si="369">AC636</f>
        <v>4400</v>
      </c>
      <c r="AC636" s="5">
        <v>4400</v>
      </c>
      <c r="AD636" s="5"/>
      <c r="AE636" s="5"/>
      <c r="AF636" s="5"/>
      <c r="AG636" s="5"/>
      <c r="AH636" s="5"/>
      <c r="AI636" s="5"/>
      <c r="AJ636" s="5"/>
      <c r="AK636" s="5"/>
      <c r="AL636" s="1052"/>
      <c r="AM636" s="1009">
        <f t="shared" si="355"/>
        <v>0</v>
      </c>
      <c r="AN636" s="1009">
        <f t="shared" si="356"/>
        <v>1</v>
      </c>
      <c r="AO636" s="144">
        <f t="shared" si="347"/>
        <v>1</v>
      </c>
    </row>
    <row r="637" spans="1:42" ht="49.5" hidden="1" x14ac:dyDescent="0.25">
      <c r="A637" s="749">
        <v>2</v>
      </c>
      <c r="B637" s="749"/>
      <c r="C637" s="290" t="s">
        <v>957</v>
      </c>
      <c r="D637" s="118" t="s">
        <v>956</v>
      </c>
      <c r="E637" s="61" t="s">
        <v>955</v>
      </c>
      <c r="F637" s="126" t="s">
        <v>199</v>
      </c>
      <c r="G637" s="118" t="s">
        <v>954</v>
      </c>
      <c r="H637" s="68">
        <v>14978</v>
      </c>
      <c r="I637" s="68">
        <f t="shared" si="368"/>
        <v>14978</v>
      </c>
      <c r="J637" s="5"/>
      <c r="K637" s="5"/>
      <c r="L637" s="5"/>
      <c r="M637" s="5"/>
      <c r="N637" s="68">
        <v>10790</v>
      </c>
      <c r="O637" s="68">
        <v>10790</v>
      </c>
      <c r="P637" s="299">
        <v>10790</v>
      </c>
      <c r="Q637" s="299">
        <v>10790</v>
      </c>
      <c r="R637" s="54"/>
      <c r="S637" s="54">
        <f>O637-U637</f>
        <v>0</v>
      </c>
      <c r="T637" s="462">
        <v>10790</v>
      </c>
      <c r="U637" s="462">
        <v>10790</v>
      </c>
      <c r="V637" s="54"/>
      <c r="W637" s="54"/>
      <c r="X637" s="462">
        <v>10790</v>
      </c>
      <c r="Y637" s="462">
        <v>10790</v>
      </c>
      <c r="Z637" s="5">
        <f>AA637</f>
        <v>8000</v>
      </c>
      <c r="AA637" s="5">
        <v>8000</v>
      </c>
      <c r="AB637" s="5">
        <f t="shared" si="369"/>
        <v>2290</v>
      </c>
      <c r="AC637" s="5">
        <v>2290</v>
      </c>
      <c r="AD637" s="5"/>
      <c r="AE637" s="5"/>
      <c r="AF637" s="5"/>
      <c r="AG637" s="5"/>
      <c r="AH637" s="5"/>
      <c r="AI637" s="5"/>
      <c r="AJ637" s="5"/>
      <c r="AK637" s="5"/>
      <c r="AL637" s="1052"/>
      <c r="AM637" s="1009">
        <f t="shared" si="355"/>
        <v>0</v>
      </c>
      <c r="AN637" s="1009">
        <f t="shared" si="356"/>
        <v>1</v>
      </c>
      <c r="AO637" s="144">
        <f t="shared" si="347"/>
        <v>1</v>
      </c>
    </row>
    <row r="638" spans="1:42" ht="82.5" hidden="1" x14ac:dyDescent="0.25">
      <c r="A638" s="749">
        <v>3</v>
      </c>
      <c r="B638" s="749"/>
      <c r="C638" s="290" t="s">
        <v>953</v>
      </c>
      <c r="D638" s="118" t="s">
        <v>952</v>
      </c>
      <c r="E638" s="1039" t="s">
        <v>951</v>
      </c>
      <c r="F638" s="1125" t="s">
        <v>938</v>
      </c>
      <c r="G638" s="118" t="s">
        <v>950</v>
      </c>
      <c r="H638" s="68">
        <v>559</v>
      </c>
      <c r="I638" s="68">
        <f t="shared" si="368"/>
        <v>559</v>
      </c>
      <c r="J638" s="5"/>
      <c r="K638" s="5"/>
      <c r="L638" s="5"/>
      <c r="M638" s="5"/>
      <c r="N638" s="68">
        <f>O638</f>
        <v>530</v>
      </c>
      <c r="O638" s="5">
        <v>530</v>
      </c>
      <c r="P638" s="299">
        <f t="shared" ref="P638:P648" si="370">Q638</f>
        <v>510</v>
      </c>
      <c r="Q638" s="1069">
        <v>510</v>
      </c>
      <c r="R638" s="54"/>
      <c r="S638" s="54">
        <f>O638-U638</f>
        <v>20</v>
      </c>
      <c r="T638" s="462">
        <f t="shared" ref="T638:T648" si="371">U638</f>
        <v>510</v>
      </c>
      <c r="U638" s="487">
        <v>510</v>
      </c>
      <c r="V638" s="54"/>
      <c r="W638" s="54"/>
      <c r="X638" s="462">
        <f t="shared" ref="X638:X650" si="372">Y638</f>
        <v>510</v>
      </c>
      <c r="Y638" s="487">
        <v>510</v>
      </c>
      <c r="Z638" s="5"/>
      <c r="AA638" s="5"/>
      <c r="AB638" s="5">
        <f t="shared" si="369"/>
        <v>480</v>
      </c>
      <c r="AC638" s="5">
        <v>480</v>
      </c>
      <c r="AD638" s="5"/>
      <c r="AE638" s="5"/>
      <c r="AF638" s="5"/>
      <c r="AG638" s="5"/>
      <c r="AH638" s="5"/>
      <c r="AI638" s="5"/>
      <c r="AJ638" s="5"/>
      <c r="AK638" s="5"/>
      <c r="AL638" s="1052"/>
      <c r="AM638" s="1009">
        <f t="shared" si="355"/>
        <v>0</v>
      </c>
      <c r="AN638" s="1009">
        <f t="shared" si="356"/>
        <v>1</v>
      </c>
      <c r="AO638" s="144">
        <f t="shared" si="347"/>
        <v>1</v>
      </c>
    </row>
    <row r="639" spans="1:42" ht="81.75" hidden="1" customHeight="1" x14ac:dyDescent="0.25">
      <c r="A639" s="749">
        <v>4</v>
      </c>
      <c r="B639" s="749"/>
      <c r="C639" s="290" t="s">
        <v>949</v>
      </c>
      <c r="D639" s="118" t="s">
        <v>948</v>
      </c>
      <c r="E639" s="1039" t="s">
        <v>947</v>
      </c>
      <c r="F639" s="1125" t="s">
        <v>938</v>
      </c>
      <c r="G639" s="118" t="s">
        <v>946</v>
      </c>
      <c r="H639" s="68">
        <v>896</v>
      </c>
      <c r="I639" s="68">
        <f t="shared" si="368"/>
        <v>896</v>
      </c>
      <c r="J639" s="5"/>
      <c r="K639" s="5"/>
      <c r="L639" s="5"/>
      <c r="M639" s="5"/>
      <c r="N639" s="68">
        <f>O639</f>
        <v>850</v>
      </c>
      <c r="O639" s="5">
        <v>850</v>
      </c>
      <c r="P639" s="299">
        <f t="shared" si="370"/>
        <v>780</v>
      </c>
      <c r="Q639" s="1069">
        <v>780</v>
      </c>
      <c r="R639" s="54"/>
      <c r="S639" s="54">
        <f>O639-U639</f>
        <v>70</v>
      </c>
      <c r="T639" s="462">
        <f t="shared" si="371"/>
        <v>780</v>
      </c>
      <c r="U639" s="487">
        <v>780</v>
      </c>
      <c r="V639" s="54"/>
      <c r="W639" s="54"/>
      <c r="X639" s="462">
        <f t="shared" si="372"/>
        <v>780</v>
      </c>
      <c r="Y639" s="487">
        <v>780</v>
      </c>
      <c r="Z639" s="5"/>
      <c r="AA639" s="5"/>
      <c r="AB639" s="5">
        <f t="shared" si="369"/>
        <v>780</v>
      </c>
      <c r="AC639" s="5">
        <v>780</v>
      </c>
      <c r="AD639" s="5"/>
      <c r="AE639" s="5"/>
      <c r="AF639" s="5"/>
      <c r="AG639" s="5"/>
      <c r="AH639" s="5"/>
      <c r="AI639" s="5"/>
      <c r="AJ639" s="5"/>
      <c r="AK639" s="5"/>
      <c r="AL639" s="1052"/>
      <c r="AM639" s="1009">
        <f t="shared" si="355"/>
        <v>0</v>
      </c>
      <c r="AN639" s="1009">
        <f t="shared" si="356"/>
        <v>1</v>
      </c>
      <c r="AO639" s="144">
        <f t="shared" si="347"/>
        <v>1</v>
      </c>
    </row>
    <row r="640" spans="1:42" ht="87" hidden="1" customHeight="1" x14ac:dyDescent="0.25">
      <c r="A640" s="749">
        <v>5</v>
      </c>
      <c r="B640" s="749"/>
      <c r="C640" s="290" t="s">
        <v>945</v>
      </c>
      <c r="D640" s="118" t="s">
        <v>944</v>
      </c>
      <c r="E640" s="1039" t="s">
        <v>943</v>
      </c>
      <c r="F640" s="1125" t="s">
        <v>938</v>
      </c>
      <c r="G640" s="118" t="s">
        <v>942</v>
      </c>
      <c r="H640" s="68">
        <v>1156</v>
      </c>
      <c r="I640" s="68">
        <f t="shared" si="368"/>
        <v>1156</v>
      </c>
      <c r="J640" s="5"/>
      <c r="K640" s="5"/>
      <c r="L640" s="5"/>
      <c r="M640" s="5"/>
      <c r="N640" s="68">
        <f>O640</f>
        <v>1050</v>
      </c>
      <c r="O640" s="68">
        <v>1050</v>
      </c>
      <c r="P640" s="299">
        <f t="shared" si="370"/>
        <v>1100</v>
      </c>
      <c r="Q640" s="299">
        <v>1100</v>
      </c>
      <c r="R640" s="54">
        <f>U640-O640</f>
        <v>50</v>
      </c>
      <c r="S640" s="54"/>
      <c r="T640" s="462">
        <f t="shared" si="371"/>
        <v>1100</v>
      </c>
      <c r="U640" s="462">
        <v>1100</v>
      </c>
      <c r="V640" s="54"/>
      <c r="W640" s="54"/>
      <c r="X640" s="462">
        <f t="shared" si="372"/>
        <v>1100</v>
      </c>
      <c r="Y640" s="462">
        <v>1100</v>
      </c>
      <c r="Z640" s="5"/>
      <c r="AA640" s="5"/>
      <c r="AB640" s="5">
        <f t="shared" si="369"/>
        <v>1100</v>
      </c>
      <c r="AC640" s="5">
        <v>1100</v>
      </c>
      <c r="AD640" s="5"/>
      <c r="AE640" s="5"/>
      <c r="AF640" s="5"/>
      <c r="AG640" s="5"/>
      <c r="AH640" s="5"/>
      <c r="AI640" s="5"/>
      <c r="AJ640" s="5"/>
      <c r="AK640" s="5"/>
      <c r="AL640" s="1052"/>
      <c r="AM640" s="1009">
        <f t="shared" si="355"/>
        <v>0</v>
      </c>
      <c r="AN640" s="1009">
        <f t="shared" si="356"/>
        <v>1</v>
      </c>
      <c r="AO640" s="144">
        <f t="shared" si="347"/>
        <v>1</v>
      </c>
    </row>
    <row r="641" spans="1:42" ht="82.5" hidden="1" customHeight="1" x14ac:dyDescent="0.25">
      <c r="A641" s="749">
        <v>6</v>
      </c>
      <c r="B641" s="749"/>
      <c r="C641" s="290" t="s">
        <v>941</v>
      </c>
      <c r="D641" s="118" t="s">
        <v>940</v>
      </c>
      <c r="E641" s="1039" t="s">
        <v>939</v>
      </c>
      <c r="F641" s="1125" t="s">
        <v>938</v>
      </c>
      <c r="G641" s="118" t="s">
        <v>937</v>
      </c>
      <c r="H641" s="68">
        <v>409</v>
      </c>
      <c r="I641" s="68">
        <f t="shared" si="368"/>
        <v>409</v>
      </c>
      <c r="J641" s="5"/>
      <c r="K641" s="5"/>
      <c r="L641" s="5"/>
      <c r="M641" s="5"/>
      <c r="N641" s="68">
        <f>O641</f>
        <v>390</v>
      </c>
      <c r="O641" s="5">
        <v>390</v>
      </c>
      <c r="P641" s="299">
        <f t="shared" si="370"/>
        <v>390</v>
      </c>
      <c r="Q641" s="1069">
        <v>390</v>
      </c>
      <c r="R641" s="54"/>
      <c r="S641" s="54">
        <f>O641-U641</f>
        <v>0</v>
      </c>
      <c r="T641" s="462">
        <f t="shared" si="371"/>
        <v>390</v>
      </c>
      <c r="U641" s="487">
        <v>390</v>
      </c>
      <c r="V641" s="54"/>
      <c r="W641" s="54"/>
      <c r="X641" s="462">
        <f t="shared" si="372"/>
        <v>390</v>
      </c>
      <c r="Y641" s="487">
        <v>390</v>
      </c>
      <c r="Z641" s="5"/>
      <c r="AA641" s="5"/>
      <c r="AB641" s="5">
        <f t="shared" si="369"/>
        <v>365</v>
      </c>
      <c r="AC641" s="5">
        <v>365</v>
      </c>
      <c r="AD641" s="5"/>
      <c r="AE641" s="5"/>
      <c r="AF641" s="5"/>
      <c r="AG641" s="5"/>
      <c r="AH641" s="5"/>
      <c r="AI641" s="5"/>
      <c r="AJ641" s="5"/>
      <c r="AK641" s="5"/>
      <c r="AL641" s="1052"/>
      <c r="AM641" s="1009">
        <f t="shared" si="355"/>
        <v>0</v>
      </c>
      <c r="AN641" s="1009">
        <f t="shared" si="356"/>
        <v>1</v>
      </c>
      <c r="AO641" s="144">
        <f t="shared" si="347"/>
        <v>1</v>
      </c>
    </row>
    <row r="642" spans="1:42" ht="170.25" hidden="1" customHeight="1" x14ac:dyDescent="0.25">
      <c r="A642" s="749">
        <v>7</v>
      </c>
      <c r="B642" s="749"/>
      <c r="C642" s="290" t="s">
        <v>936</v>
      </c>
      <c r="D642" s="118" t="s">
        <v>935</v>
      </c>
      <c r="E642" s="1039" t="s">
        <v>2160</v>
      </c>
      <c r="F642" s="126" t="s">
        <v>109</v>
      </c>
      <c r="G642" s="118" t="s">
        <v>930</v>
      </c>
      <c r="H642" s="68">
        <v>8900</v>
      </c>
      <c r="I642" s="68">
        <v>7506</v>
      </c>
      <c r="J642" s="5"/>
      <c r="K642" s="5"/>
      <c r="L642" s="5"/>
      <c r="M642" s="5"/>
      <c r="N642" s="68">
        <v>8000</v>
      </c>
      <c r="O642" s="68">
        <f>N642</f>
        <v>8000</v>
      </c>
      <c r="P642" s="299">
        <f t="shared" si="370"/>
        <v>6800</v>
      </c>
      <c r="Q642" s="299">
        <v>6800</v>
      </c>
      <c r="R642" s="54"/>
      <c r="S642" s="54">
        <f>O642-U642</f>
        <v>1200</v>
      </c>
      <c r="T642" s="462">
        <f t="shared" si="371"/>
        <v>6800</v>
      </c>
      <c r="U642" s="462">
        <v>6800</v>
      </c>
      <c r="V642" s="54"/>
      <c r="W642" s="54"/>
      <c r="X642" s="462">
        <f t="shared" si="372"/>
        <v>6800</v>
      </c>
      <c r="Y642" s="462">
        <v>6800</v>
      </c>
      <c r="Z642" s="68"/>
      <c r="AA642" s="68"/>
      <c r="AB642" s="5">
        <f t="shared" si="369"/>
        <v>3208</v>
      </c>
      <c r="AC642" s="68">
        <v>3208</v>
      </c>
      <c r="AD642" s="68"/>
      <c r="AE642" s="68"/>
      <c r="AF642" s="68"/>
      <c r="AG642" s="68"/>
      <c r="AH642" s="68"/>
      <c r="AI642" s="68"/>
      <c r="AJ642" s="68"/>
      <c r="AK642" s="68"/>
      <c r="AL642" s="25"/>
      <c r="AM642" s="1009">
        <f t="shared" si="355"/>
        <v>0</v>
      </c>
      <c r="AN642" s="1009">
        <f t="shared" si="356"/>
        <v>1</v>
      </c>
      <c r="AO642" s="144">
        <f t="shared" si="347"/>
        <v>1</v>
      </c>
    </row>
    <row r="643" spans="1:42" ht="171" hidden="1" customHeight="1" x14ac:dyDescent="0.25">
      <c r="A643" s="749">
        <v>8</v>
      </c>
      <c r="B643" s="749"/>
      <c r="C643" s="290" t="s">
        <v>933</v>
      </c>
      <c r="D643" s="118" t="s">
        <v>932</v>
      </c>
      <c r="E643" s="1039" t="s">
        <v>2161</v>
      </c>
      <c r="F643" s="126" t="s">
        <v>109</v>
      </c>
      <c r="G643" s="118" t="s">
        <v>930</v>
      </c>
      <c r="H643" s="68">
        <v>26100</v>
      </c>
      <c r="I643" s="68">
        <v>7932</v>
      </c>
      <c r="J643" s="5"/>
      <c r="K643" s="5"/>
      <c r="L643" s="5"/>
      <c r="M643" s="5"/>
      <c r="N643" s="68">
        <f>O643</f>
        <v>20080</v>
      </c>
      <c r="O643" s="68">
        <v>20080</v>
      </c>
      <c r="P643" s="299">
        <f t="shared" si="370"/>
        <v>7200</v>
      </c>
      <c r="Q643" s="299">
        <v>7200</v>
      </c>
      <c r="R643" s="54"/>
      <c r="S643" s="54">
        <f>O643-U643</f>
        <v>12880</v>
      </c>
      <c r="T643" s="462">
        <f t="shared" si="371"/>
        <v>7200</v>
      </c>
      <c r="U643" s="462">
        <v>7200</v>
      </c>
      <c r="V643" s="54"/>
      <c r="W643" s="54"/>
      <c r="X643" s="462">
        <f t="shared" si="372"/>
        <v>7200</v>
      </c>
      <c r="Y643" s="462">
        <v>7200</v>
      </c>
      <c r="Z643" s="5"/>
      <c r="AA643" s="5"/>
      <c r="AB643" s="5">
        <f t="shared" si="369"/>
        <v>3340</v>
      </c>
      <c r="AC643" s="5">
        <v>3340</v>
      </c>
      <c r="AD643" s="5"/>
      <c r="AE643" s="5"/>
      <c r="AF643" s="5"/>
      <c r="AG643" s="5"/>
      <c r="AH643" s="5"/>
      <c r="AI643" s="5"/>
      <c r="AJ643" s="5"/>
      <c r="AK643" s="5"/>
      <c r="AL643" s="25"/>
      <c r="AM643" s="1009">
        <f t="shared" si="355"/>
        <v>0</v>
      </c>
      <c r="AN643" s="1009">
        <f t="shared" si="356"/>
        <v>1</v>
      </c>
      <c r="AO643" s="144">
        <f t="shared" si="347"/>
        <v>1</v>
      </c>
    </row>
    <row r="644" spans="1:42" ht="82.5" hidden="1" x14ac:dyDescent="0.25">
      <c r="A644" s="749">
        <v>9</v>
      </c>
      <c r="B644" s="749">
        <v>1</v>
      </c>
      <c r="C644" s="290" t="s">
        <v>929</v>
      </c>
      <c r="D644" s="118" t="s">
        <v>1164</v>
      </c>
      <c r="E644" s="1039" t="s">
        <v>927</v>
      </c>
      <c r="F644" s="126" t="s">
        <v>116</v>
      </c>
      <c r="G644" s="118"/>
      <c r="H644" s="68">
        <f t="shared" ref="H644:H648" si="373">I644</f>
        <v>28000</v>
      </c>
      <c r="I644" s="68">
        <v>28000</v>
      </c>
      <c r="J644" s="5"/>
      <c r="K644" s="5"/>
      <c r="L644" s="5"/>
      <c r="M644" s="5"/>
      <c r="N644" s="68">
        <v>10000</v>
      </c>
      <c r="O644" s="68">
        <f>N644</f>
        <v>10000</v>
      </c>
      <c r="P644" s="299">
        <f t="shared" si="370"/>
        <v>21340</v>
      </c>
      <c r="Q644" s="299">
        <f>23600-2260</f>
        <v>21340</v>
      </c>
      <c r="R644" s="54">
        <f>U644-O644</f>
        <v>11340</v>
      </c>
      <c r="S644" s="54"/>
      <c r="T644" s="462">
        <f t="shared" si="371"/>
        <v>21340</v>
      </c>
      <c r="U644" s="462">
        <v>21340</v>
      </c>
      <c r="V644" s="54"/>
      <c r="W644" s="54">
        <v>21340</v>
      </c>
      <c r="X644" s="462">
        <f t="shared" si="372"/>
        <v>0</v>
      </c>
      <c r="Y644" s="462">
        <f>U644-W644</f>
        <v>0</v>
      </c>
      <c r="Z644" s="5"/>
      <c r="AA644" s="5"/>
      <c r="AB644" s="5"/>
      <c r="AC644" s="5"/>
      <c r="AD644" s="5"/>
      <c r="AE644" s="5"/>
      <c r="AF644" s="5"/>
      <c r="AG644" s="5"/>
      <c r="AH644" s="5"/>
      <c r="AI644" s="5"/>
      <c r="AJ644" s="5"/>
      <c r="AK644" s="5"/>
      <c r="AL644" s="25" t="s">
        <v>2181</v>
      </c>
      <c r="AM644" s="1009">
        <f t="shared" si="355"/>
        <v>1</v>
      </c>
      <c r="AN644" s="1009">
        <f>IF(U644=0,0,1)</f>
        <v>1</v>
      </c>
      <c r="AO644" s="144">
        <f t="shared" si="347"/>
        <v>1</v>
      </c>
    </row>
    <row r="645" spans="1:42" ht="33" hidden="1" x14ac:dyDescent="0.25">
      <c r="A645" s="749">
        <v>10</v>
      </c>
      <c r="B645" s="749"/>
      <c r="C645" s="290" t="s">
        <v>925</v>
      </c>
      <c r="D645" s="118" t="s">
        <v>924</v>
      </c>
      <c r="E645" s="1039"/>
      <c r="F645" s="126"/>
      <c r="G645" s="118"/>
      <c r="H645" s="68">
        <f t="shared" si="373"/>
        <v>1150</v>
      </c>
      <c r="I645" s="68">
        <v>1150</v>
      </c>
      <c r="J645" s="5"/>
      <c r="K645" s="5"/>
      <c r="L645" s="5"/>
      <c r="M645" s="5"/>
      <c r="N645" s="68"/>
      <c r="O645" s="68"/>
      <c r="P645" s="299">
        <f t="shared" si="370"/>
        <v>1030</v>
      </c>
      <c r="Q645" s="299">
        <v>1030</v>
      </c>
      <c r="R645" s="54">
        <f>U645-O645</f>
        <v>1030</v>
      </c>
      <c r="S645" s="54"/>
      <c r="T645" s="462">
        <f t="shared" si="371"/>
        <v>1030</v>
      </c>
      <c r="U645" s="462">
        <v>1030</v>
      </c>
      <c r="V645" s="54"/>
      <c r="W645" s="54"/>
      <c r="X645" s="462">
        <f t="shared" si="372"/>
        <v>1030</v>
      </c>
      <c r="Y645" s="462">
        <v>1030</v>
      </c>
      <c r="Z645" s="5"/>
      <c r="AA645" s="5"/>
      <c r="AB645" s="5"/>
      <c r="AC645" s="5"/>
      <c r="AD645" s="5"/>
      <c r="AE645" s="5"/>
      <c r="AF645" s="5"/>
      <c r="AG645" s="5"/>
      <c r="AH645" s="5"/>
      <c r="AI645" s="5"/>
      <c r="AJ645" s="5"/>
      <c r="AK645" s="5"/>
      <c r="AL645" s="1052"/>
      <c r="AM645" s="1009">
        <f t="shared" si="355"/>
        <v>0</v>
      </c>
      <c r="AN645" s="1009">
        <f t="shared" si="356"/>
        <v>1</v>
      </c>
      <c r="AO645" s="144">
        <f t="shared" si="347"/>
        <v>1</v>
      </c>
    </row>
    <row r="646" spans="1:42" ht="33" hidden="1" x14ac:dyDescent="0.25">
      <c r="A646" s="749">
        <v>11</v>
      </c>
      <c r="B646" s="749">
        <v>2</v>
      </c>
      <c r="C646" s="290" t="s">
        <v>923</v>
      </c>
      <c r="D646" s="118" t="s">
        <v>922</v>
      </c>
      <c r="E646" s="1039"/>
      <c r="F646" s="126"/>
      <c r="G646" s="118"/>
      <c r="H646" s="68">
        <f t="shared" si="373"/>
        <v>830</v>
      </c>
      <c r="I646" s="68">
        <v>830</v>
      </c>
      <c r="J646" s="5"/>
      <c r="K646" s="5"/>
      <c r="L646" s="5"/>
      <c r="M646" s="5"/>
      <c r="N646" s="4"/>
      <c r="O646" s="4"/>
      <c r="P646" s="299">
        <f t="shared" si="370"/>
        <v>750</v>
      </c>
      <c r="Q646" s="299">
        <v>750</v>
      </c>
      <c r="R646" s="5">
        <f>U646-O646</f>
        <v>750</v>
      </c>
      <c r="S646" s="8"/>
      <c r="T646" s="462">
        <f t="shared" si="371"/>
        <v>750</v>
      </c>
      <c r="U646" s="462">
        <v>750</v>
      </c>
      <c r="V646" s="54">
        <v>56</v>
      </c>
      <c r="W646" s="54"/>
      <c r="X646" s="462">
        <f t="shared" si="372"/>
        <v>806</v>
      </c>
      <c r="Y646" s="462">
        <f>V646+U646</f>
        <v>806</v>
      </c>
      <c r="Z646" s="150"/>
      <c r="AA646" s="150"/>
      <c r="AB646" s="150"/>
      <c r="AC646" s="150"/>
      <c r="AD646" s="150"/>
      <c r="AE646" s="150"/>
      <c r="AF646" s="150"/>
      <c r="AG646" s="150"/>
      <c r="AH646" s="150"/>
      <c r="AI646" s="150"/>
      <c r="AJ646" s="150"/>
      <c r="AK646" s="150"/>
      <c r="AL646" s="25" t="s">
        <v>2195</v>
      </c>
      <c r="AM646" s="1009">
        <f t="shared" si="355"/>
        <v>1</v>
      </c>
      <c r="AN646" s="1009">
        <f t="shared" si="356"/>
        <v>1</v>
      </c>
      <c r="AO646" s="144">
        <f t="shared" si="347"/>
        <v>1</v>
      </c>
      <c r="AP646" s="144"/>
    </row>
    <row r="647" spans="1:42" ht="49.5" hidden="1" x14ac:dyDescent="0.25">
      <c r="A647" s="749">
        <v>12</v>
      </c>
      <c r="B647" s="749">
        <v>3</v>
      </c>
      <c r="C647" s="290" t="s">
        <v>921</v>
      </c>
      <c r="D647" s="118" t="s">
        <v>920</v>
      </c>
      <c r="E647" s="1039"/>
      <c r="F647" s="126"/>
      <c r="G647" s="118"/>
      <c r="H647" s="68">
        <f t="shared" si="373"/>
        <v>819</v>
      </c>
      <c r="I647" s="68">
        <v>819</v>
      </c>
      <c r="J647" s="5"/>
      <c r="K647" s="5"/>
      <c r="L647" s="5"/>
      <c r="M647" s="5"/>
      <c r="N647" s="4"/>
      <c r="O647" s="4"/>
      <c r="P647" s="299">
        <f t="shared" si="370"/>
        <v>740</v>
      </c>
      <c r="Q647" s="299">
        <v>740</v>
      </c>
      <c r="R647" s="5">
        <f>U647-O647</f>
        <v>740</v>
      </c>
      <c r="S647" s="8"/>
      <c r="T647" s="462">
        <f t="shared" si="371"/>
        <v>740</v>
      </c>
      <c r="U647" s="462">
        <v>740</v>
      </c>
      <c r="V647" s="54">
        <v>16</v>
      </c>
      <c r="W647" s="54"/>
      <c r="X647" s="462">
        <f t="shared" si="372"/>
        <v>756</v>
      </c>
      <c r="Y647" s="462">
        <f>V647+U647</f>
        <v>756</v>
      </c>
      <c r="Z647" s="150"/>
      <c r="AA647" s="150"/>
      <c r="AB647" s="150"/>
      <c r="AC647" s="150"/>
      <c r="AD647" s="150"/>
      <c r="AE647" s="150"/>
      <c r="AF647" s="150"/>
      <c r="AG647" s="150"/>
      <c r="AH647" s="150"/>
      <c r="AI647" s="150"/>
      <c r="AJ647" s="150"/>
      <c r="AK647" s="150"/>
      <c r="AL647" s="25" t="s">
        <v>2195</v>
      </c>
      <c r="AM647" s="1009">
        <f t="shared" si="355"/>
        <v>1</v>
      </c>
      <c r="AN647" s="1009">
        <f t="shared" si="356"/>
        <v>1</v>
      </c>
      <c r="AO647" s="144">
        <f t="shared" si="347"/>
        <v>1</v>
      </c>
      <c r="AP647" s="144"/>
    </row>
    <row r="648" spans="1:42" ht="33" hidden="1" x14ac:dyDescent="0.25">
      <c r="A648" s="749">
        <v>13</v>
      </c>
      <c r="B648" s="749">
        <v>4</v>
      </c>
      <c r="C648" s="290" t="s">
        <v>919</v>
      </c>
      <c r="D648" s="118" t="s">
        <v>918</v>
      </c>
      <c r="E648" s="1039"/>
      <c r="F648" s="126"/>
      <c r="G648" s="118"/>
      <c r="H648" s="68">
        <f t="shared" si="373"/>
        <v>520</v>
      </c>
      <c r="I648" s="68">
        <v>520</v>
      </c>
      <c r="J648" s="5"/>
      <c r="K648" s="5"/>
      <c r="L648" s="5"/>
      <c r="M648" s="5"/>
      <c r="N648" s="4"/>
      <c r="O648" s="4"/>
      <c r="P648" s="299">
        <f t="shared" si="370"/>
        <v>470</v>
      </c>
      <c r="Q648" s="299">
        <v>470</v>
      </c>
      <c r="R648" s="5">
        <f>U648-O648</f>
        <v>470</v>
      </c>
      <c r="S648" s="8"/>
      <c r="T648" s="462">
        <f t="shared" si="371"/>
        <v>470</v>
      </c>
      <c r="U648" s="462">
        <v>470</v>
      </c>
      <c r="V648" s="54">
        <v>17</v>
      </c>
      <c r="W648" s="54"/>
      <c r="X648" s="462">
        <f t="shared" si="372"/>
        <v>487</v>
      </c>
      <c r="Y648" s="462">
        <f>V648+U648</f>
        <v>487</v>
      </c>
      <c r="Z648" s="150"/>
      <c r="AA648" s="150"/>
      <c r="AB648" s="150"/>
      <c r="AC648" s="150"/>
      <c r="AD648" s="150"/>
      <c r="AE648" s="150"/>
      <c r="AF648" s="150"/>
      <c r="AG648" s="150"/>
      <c r="AH648" s="150"/>
      <c r="AI648" s="150"/>
      <c r="AJ648" s="150"/>
      <c r="AK648" s="150"/>
      <c r="AL648" s="25" t="s">
        <v>2195</v>
      </c>
      <c r="AM648" s="1009">
        <f t="shared" si="355"/>
        <v>1</v>
      </c>
      <c r="AN648" s="1009">
        <f t="shared" si="356"/>
        <v>1</v>
      </c>
      <c r="AO648" s="144">
        <f t="shared" si="347"/>
        <v>1</v>
      </c>
    </row>
    <row r="649" spans="1:42" ht="33" hidden="1" x14ac:dyDescent="0.25">
      <c r="A649" s="749">
        <v>14</v>
      </c>
      <c r="B649" s="749">
        <v>5</v>
      </c>
      <c r="C649" s="290" t="s">
        <v>2381</v>
      </c>
      <c r="D649" s="118" t="s">
        <v>1164</v>
      </c>
      <c r="E649" s="1039"/>
      <c r="F649" s="126" t="s">
        <v>290</v>
      </c>
      <c r="G649" s="118"/>
      <c r="H649" s="68">
        <f t="shared" ref="H649:H650" si="374">I649</f>
        <v>13997</v>
      </c>
      <c r="I649" s="68">
        <v>13997</v>
      </c>
      <c r="J649" s="5"/>
      <c r="K649" s="5"/>
      <c r="L649" s="5"/>
      <c r="M649" s="5"/>
      <c r="N649" s="68"/>
      <c r="O649" s="68"/>
      <c r="P649" s="299"/>
      <c r="Q649" s="299"/>
      <c r="R649" s="54"/>
      <c r="S649" s="54"/>
      <c r="T649" s="462"/>
      <c r="U649" s="462"/>
      <c r="V649" s="54">
        <v>10000</v>
      </c>
      <c r="W649" s="54"/>
      <c r="X649" s="462">
        <f t="shared" si="372"/>
        <v>10000</v>
      </c>
      <c r="Y649" s="462">
        <f t="shared" ref="Y649:Y650" si="375">V649+U649</f>
        <v>10000</v>
      </c>
      <c r="Z649" s="5"/>
      <c r="AA649" s="5"/>
      <c r="AB649" s="5"/>
      <c r="AC649" s="5"/>
      <c r="AD649" s="5"/>
      <c r="AE649" s="5"/>
      <c r="AF649" s="5"/>
      <c r="AG649" s="5"/>
      <c r="AH649" s="5"/>
      <c r="AI649" s="5"/>
      <c r="AJ649" s="5"/>
      <c r="AK649" s="5"/>
      <c r="AL649" s="25" t="s">
        <v>980</v>
      </c>
      <c r="AM649" s="1009">
        <f t="shared" ref="AM649:AM650" si="376">IF(Y649-U649=0,0,1)</f>
        <v>1</v>
      </c>
      <c r="AN649" s="1009">
        <f t="shared" ref="AN649:AN650" si="377">IF(Y649=0,0,1)</f>
        <v>1</v>
      </c>
      <c r="AO649" s="144">
        <f t="shared" si="347"/>
        <v>1</v>
      </c>
    </row>
    <row r="650" spans="1:42" ht="49.5" hidden="1" x14ac:dyDescent="0.25">
      <c r="A650" s="749">
        <v>15</v>
      </c>
      <c r="B650" s="749">
        <v>6</v>
      </c>
      <c r="C650" s="290" t="s">
        <v>2382</v>
      </c>
      <c r="D650" s="118" t="s">
        <v>1164</v>
      </c>
      <c r="E650" s="1039"/>
      <c r="F650" s="126" t="s">
        <v>290</v>
      </c>
      <c r="G650" s="118"/>
      <c r="H650" s="68">
        <f t="shared" si="374"/>
        <v>14995</v>
      </c>
      <c r="I650" s="68">
        <v>14995</v>
      </c>
      <c r="J650" s="5"/>
      <c r="K650" s="5"/>
      <c r="L650" s="5"/>
      <c r="M650" s="5"/>
      <c r="N650" s="68"/>
      <c r="O650" s="68"/>
      <c r="P650" s="299"/>
      <c r="Q650" s="299"/>
      <c r="R650" s="54"/>
      <c r="S650" s="54"/>
      <c r="T650" s="462"/>
      <c r="U650" s="462"/>
      <c r="V650" s="54">
        <v>11340</v>
      </c>
      <c r="W650" s="54"/>
      <c r="X650" s="462">
        <f t="shared" si="372"/>
        <v>11340</v>
      </c>
      <c r="Y650" s="462">
        <f t="shared" si="375"/>
        <v>11340</v>
      </c>
      <c r="Z650" s="5"/>
      <c r="AA650" s="5"/>
      <c r="AB650" s="5"/>
      <c r="AC650" s="5"/>
      <c r="AD650" s="5"/>
      <c r="AE650" s="5"/>
      <c r="AF650" s="5"/>
      <c r="AG650" s="5"/>
      <c r="AH650" s="5"/>
      <c r="AI650" s="5"/>
      <c r="AJ650" s="5"/>
      <c r="AK650" s="5"/>
      <c r="AL650" s="25" t="s">
        <v>980</v>
      </c>
      <c r="AM650" s="1009">
        <f t="shared" si="376"/>
        <v>1</v>
      </c>
      <c r="AN650" s="1009">
        <f t="shared" si="377"/>
        <v>1</v>
      </c>
      <c r="AO650" s="144">
        <f t="shared" si="347"/>
        <v>1</v>
      </c>
    </row>
    <row r="651" spans="1:42" ht="82.5" hidden="1" x14ac:dyDescent="0.25">
      <c r="A651" s="749"/>
      <c r="B651" s="749"/>
      <c r="C651" s="1380" t="s">
        <v>2388</v>
      </c>
      <c r="D651" s="118"/>
      <c r="E651" s="1039"/>
      <c r="F651" s="126"/>
      <c r="G651" s="118"/>
      <c r="H651" s="68"/>
      <c r="I651" s="68"/>
      <c r="J651" s="5"/>
      <c r="K651" s="5"/>
      <c r="L651" s="5"/>
      <c r="M651" s="5"/>
      <c r="N651" s="68"/>
      <c r="O651" s="68"/>
      <c r="P651" s="299"/>
      <c r="Q651" s="299"/>
      <c r="R651" s="54"/>
      <c r="S651" s="54"/>
      <c r="T651" s="462"/>
      <c r="U651" s="462"/>
      <c r="V651" s="54"/>
      <c r="W651" s="54"/>
      <c r="X651" s="462"/>
      <c r="Y651" s="462"/>
      <c r="Z651" s="5"/>
      <c r="AA651" s="5"/>
      <c r="AB651" s="5"/>
      <c r="AC651" s="5"/>
      <c r="AD651" s="5"/>
      <c r="AE651" s="5"/>
      <c r="AF651" s="5"/>
      <c r="AG651" s="5"/>
      <c r="AH651" s="5"/>
      <c r="AI651" s="5"/>
      <c r="AJ651" s="5"/>
      <c r="AK651" s="5"/>
      <c r="AL651" s="25" t="s">
        <v>2396</v>
      </c>
      <c r="AM651" s="1009"/>
      <c r="AN651" s="1009"/>
      <c r="AO651" s="144">
        <f t="shared" si="347"/>
        <v>1</v>
      </c>
    </row>
    <row r="652" spans="1:42" ht="33" hidden="1" x14ac:dyDescent="0.25">
      <c r="A652" s="749">
        <v>16</v>
      </c>
      <c r="B652" s="749">
        <v>7</v>
      </c>
      <c r="C652" s="290" t="s">
        <v>2389</v>
      </c>
      <c r="D652" s="118" t="s">
        <v>2395</v>
      </c>
      <c r="E652" s="1039" t="s">
        <v>2405</v>
      </c>
      <c r="F652" s="126" t="s">
        <v>290</v>
      </c>
      <c r="G652" s="118"/>
      <c r="H652" s="68">
        <f t="shared" ref="H652:H657" si="378">I652</f>
        <v>12585</v>
      </c>
      <c r="I652" s="68">
        <v>12585</v>
      </c>
      <c r="J652" s="5"/>
      <c r="K652" s="5"/>
      <c r="L652" s="5"/>
      <c r="M652" s="5"/>
      <c r="N652" s="68"/>
      <c r="O652" s="68"/>
      <c r="P652" s="299"/>
      <c r="Q652" s="299"/>
      <c r="R652" s="54"/>
      <c r="S652" s="54"/>
      <c r="T652" s="462"/>
      <c r="U652" s="462"/>
      <c r="V652" s="54">
        <v>10000</v>
      </c>
      <c r="W652" s="54"/>
      <c r="X652" s="462">
        <f t="shared" ref="X652:X657" si="379">Y652</f>
        <v>10000</v>
      </c>
      <c r="Y652" s="462">
        <f t="shared" ref="Y652:Y657" si="380">V652+U652</f>
        <v>10000</v>
      </c>
      <c r="Z652" s="5"/>
      <c r="AA652" s="5"/>
      <c r="AB652" s="5"/>
      <c r="AC652" s="5"/>
      <c r="AD652" s="5"/>
      <c r="AE652" s="5"/>
      <c r="AF652" s="5"/>
      <c r="AG652" s="5"/>
      <c r="AH652" s="5"/>
      <c r="AI652" s="5"/>
      <c r="AJ652" s="5"/>
      <c r="AK652" s="5"/>
      <c r="AL652" s="25" t="s">
        <v>980</v>
      </c>
      <c r="AM652" s="1009">
        <f t="shared" ref="AM652:AM658" si="381">IF(Y652-U652=0,0,1)</f>
        <v>1</v>
      </c>
      <c r="AN652" s="1009">
        <f t="shared" ref="AN652:AN658" si="382">IF(Y652=0,0,1)</f>
        <v>1</v>
      </c>
      <c r="AO652" s="144">
        <f t="shared" si="347"/>
        <v>1</v>
      </c>
    </row>
    <row r="653" spans="1:42" ht="33" hidden="1" x14ac:dyDescent="0.25">
      <c r="A653" s="749">
        <v>17</v>
      </c>
      <c r="B653" s="749">
        <v>8</v>
      </c>
      <c r="C653" s="290" t="s">
        <v>2390</v>
      </c>
      <c r="D653" s="118" t="s">
        <v>2395</v>
      </c>
      <c r="E653" s="1039" t="s">
        <v>2406</v>
      </c>
      <c r="F653" s="126" t="s">
        <v>290</v>
      </c>
      <c r="G653" s="118"/>
      <c r="H653" s="68">
        <f t="shared" si="378"/>
        <v>1668</v>
      </c>
      <c r="I653" s="68">
        <v>1668</v>
      </c>
      <c r="J653" s="5"/>
      <c r="K653" s="5"/>
      <c r="L653" s="5"/>
      <c r="M653" s="5"/>
      <c r="N653" s="68"/>
      <c r="O653" s="68"/>
      <c r="P653" s="299"/>
      <c r="Q653" s="299"/>
      <c r="R653" s="54"/>
      <c r="S653" s="54"/>
      <c r="T653" s="462"/>
      <c r="U653" s="462"/>
      <c r="V653" s="54">
        <v>1500</v>
      </c>
      <c r="W653" s="54"/>
      <c r="X653" s="462">
        <f t="shared" si="379"/>
        <v>1500</v>
      </c>
      <c r="Y653" s="462">
        <f t="shared" ref="Y653:Y656" si="383">V653+U653</f>
        <v>1500</v>
      </c>
      <c r="Z653" s="5"/>
      <c r="AA653" s="5"/>
      <c r="AB653" s="5"/>
      <c r="AC653" s="5"/>
      <c r="AD653" s="5"/>
      <c r="AE653" s="5"/>
      <c r="AF653" s="5"/>
      <c r="AG653" s="5"/>
      <c r="AH653" s="5"/>
      <c r="AI653" s="5"/>
      <c r="AJ653" s="5"/>
      <c r="AK653" s="5"/>
      <c r="AL653" s="25" t="s">
        <v>980</v>
      </c>
      <c r="AM653" s="1009">
        <f t="shared" ref="AM653:AM656" si="384">IF(Y653-U653=0,0,1)</f>
        <v>1</v>
      </c>
      <c r="AN653" s="1009">
        <f t="shared" ref="AN653:AN656" si="385">IF(Y653=0,0,1)</f>
        <v>1</v>
      </c>
      <c r="AO653" s="144">
        <f t="shared" si="347"/>
        <v>1</v>
      </c>
    </row>
    <row r="654" spans="1:42" ht="33" hidden="1" x14ac:dyDescent="0.25">
      <c r="A654" s="749">
        <v>18</v>
      </c>
      <c r="B654" s="749">
        <v>9</v>
      </c>
      <c r="C654" s="290" t="s">
        <v>2391</v>
      </c>
      <c r="D654" s="118" t="s">
        <v>2395</v>
      </c>
      <c r="E654" s="1039" t="s">
        <v>2407</v>
      </c>
      <c r="F654" s="126" t="s">
        <v>290</v>
      </c>
      <c r="G654" s="118"/>
      <c r="H654" s="68">
        <f t="shared" si="378"/>
        <v>5574</v>
      </c>
      <c r="I654" s="68">
        <v>5574</v>
      </c>
      <c r="J654" s="5"/>
      <c r="K654" s="5"/>
      <c r="L654" s="5"/>
      <c r="M654" s="5"/>
      <c r="N654" s="68"/>
      <c r="O654" s="68"/>
      <c r="P654" s="299"/>
      <c r="Q654" s="299"/>
      <c r="R654" s="54"/>
      <c r="S654" s="54"/>
      <c r="T654" s="462"/>
      <c r="U654" s="462"/>
      <c r="V654" s="54">
        <v>5000</v>
      </c>
      <c r="W654" s="54"/>
      <c r="X654" s="462">
        <f t="shared" si="379"/>
        <v>5000</v>
      </c>
      <c r="Y654" s="462">
        <f t="shared" si="383"/>
        <v>5000</v>
      </c>
      <c r="Z654" s="5"/>
      <c r="AA654" s="5"/>
      <c r="AB654" s="5"/>
      <c r="AC654" s="5"/>
      <c r="AD654" s="5"/>
      <c r="AE654" s="5"/>
      <c r="AF654" s="5"/>
      <c r="AG654" s="5"/>
      <c r="AH654" s="5"/>
      <c r="AI654" s="5"/>
      <c r="AJ654" s="5"/>
      <c r="AK654" s="5"/>
      <c r="AL654" s="25" t="s">
        <v>980</v>
      </c>
      <c r="AM654" s="1009">
        <f t="shared" si="384"/>
        <v>1</v>
      </c>
      <c r="AN654" s="1009">
        <f t="shared" si="385"/>
        <v>1</v>
      </c>
      <c r="AO654" s="144">
        <f t="shared" si="347"/>
        <v>1</v>
      </c>
    </row>
    <row r="655" spans="1:42" ht="33" hidden="1" x14ac:dyDescent="0.25">
      <c r="A655" s="749">
        <v>19</v>
      </c>
      <c r="B655" s="749">
        <v>10</v>
      </c>
      <c r="C655" s="290" t="s">
        <v>2392</v>
      </c>
      <c r="D655" s="118" t="s">
        <v>2395</v>
      </c>
      <c r="E655" s="1039" t="s">
        <v>2408</v>
      </c>
      <c r="F655" s="126" t="s">
        <v>290</v>
      </c>
      <c r="G655" s="118"/>
      <c r="H655" s="68">
        <f t="shared" si="378"/>
        <v>6723</v>
      </c>
      <c r="I655" s="68">
        <v>6723</v>
      </c>
      <c r="J655" s="5"/>
      <c r="K655" s="5"/>
      <c r="L655" s="5"/>
      <c r="M655" s="5"/>
      <c r="N655" s="68"/>
      <c r="O655" s="68"/>
      <c r="P655" s="299"/>
      <c r="Q655" s="299"/>
      <c r="R655" s="54"/>
      <c r="S655" s="54"/>
      <c r="T655" s="462"/>
      <c r="U655" s="462"/>
      <c r="V655" s="54">
        <v>6000</v>
      </c>
      <c r="W655" s="54"/>
      <c r="X655" s="462">
        <f t="shared" si="379"/>
        <v>6000</v>
      </c>
      <c r="Y655" s="462">
        <f t="shared" si="383"/>
        <v>6000</v>
      </c>
      <c r="Z655" s="5"/>
      <c r="AA655" s="5"/>
      <c r="AB655" s="5"/>
      <c r="AC655" s="5"/>
      <c r="AD655" s="5"/>
      <c r="AE655" s="5"/>
      <c r="AF655" s="5"/>
      <c r="AG655" s="5"/>
      <c r="AH655" s="5"/>
      <c r="AI655" s="5"/>
      <c r="AJ655" s="5"/>
      <c r="AK655" s="5"/>
      <c r="AL655" s="25" t="s">
        <v>980</v>
      </c>
      <c r="AM655" s="1009">
        <f t="shared" si="384"/>
        <v>1</v>
      </c>
      <c r="AN655" s="1009">
        <f t="shared" si="385"/>
        <v>1</v>
      </c>
      <c r="AO655" s="144">
        <f t="shared" si="347"/>
        <v>1</v>
      </c>
    </row>
    <row r="656" spans="1:42" ht="33" hidden="1" x14ac:dyDescent="0.25">
      <c r="A656" s="749">
        <v>20</v>
      </c>
      <c r="B656" s="749">
        <v>11</v>
      </c>
      <c r="C656" s="290" t="s">
        <v>2393</v>
      </c>
      <c r="D656" s="118" t="s">
        <v>2395</v>
      </c>
      <c r="E656" s="1039" t="s">
        <v>2409</v>
      </c>
      <c r="F656" s="126" t="s">
        <v>290</v>
      </c>
      <c r="G656" s="118"/>
      <c r="H656" s="68">
        <f t="shared" si="378"/>
        <v>5625</v>
      </c>
      <c r="I656" s="68">
        <v>5625</v>
      </c>
      <c r="J656" s="5"/>
      <c r="K656" s="5"/>
      <c r="L656" s="5"/>
      <c r="M656" s="5"/>
      <c r="N656" s="68"/>
      <c r="O656" s="68"/>
      <c r="P656" s="299"/>
      <c r="Q656" s="299"/>
      <c r="R656" s="54"/>
      <c r="S656" s="54"/>
      <c r="T656" s="462"/>
      <c r="U656" s="462"/>
      <c r="V656" s="54">
        <v>5000</v>
      </c>
      <c r="W656" s="54"/>
      <c r="X656" s="462">
        <f t="shared" si="379"/>
        <v>5000</v>
      </c>
      <c r="Y656" s="462">
        <f t="shared" si="383"/>
        <v>5000</v>
      </c>
      <c r="Z656" s="5"/>
      <c r="AA656" s="5"/>
      <c r="AB656" s="5"/>
      <c r="AC656" s="5"/>
      <c r="AD656" s="5"/>
      <c r="AE656" s="5"/>
      <c r="AF656" s="5"/>
      <c r="AG656" s="5"/>
      <c r="AH656" s="5"/>
      <c r="AI656" s="5"/>
      <c r="AJ656" s="5"/>
      <c r="AK656" s="5"/>
      <c r="AL656" s="25" t="s">
        <v>980</v>
      </c>
      <c r="AM656" s="1009">
        <f t="shared" si="384"/>
        <v>1</v>
      </c>
      <c r="AN656" s="1009">
        <f t="shared" si="385"/>
        <v>1</v>
      </c>
      <c r="AO656" s="144">
        <f t="shared" si="347"/>
        <v>1</v>
      </c>
    </row>
    <row r="657" spans="1:42" ht="33" hidden="1" x14ac:dyDescent="0.25">
      <c r="A657" s="749">
        <v>21</v>
      </c>
      <c r="B657" s="749">
        <v>12</v>
      </c>
      <c r="C657" s="290" t="s">
        <v>2394</v>
      </c>
      <c r="D657" s="118" t="s">
        <v>2395</v>
      </c>
      <c r="E657" s="1039" t="s">
        <v>2410</v>
      </c>
      <c r="F657" s="126" t="s">
        <v>290</v>
      </c>
      <c r="G657" s="118"/>
      <c r="H657" s="68">
        <f t="shared" si="378"/>
        <v>850</v>
      </c>
      <c r="I657" s="68">
        <v>850</v>
      </c>
      <c r="J657" s="5"/>
      <c r="K657" s="5"/>
      <c r="L657" s="5"/>
      <c r="M657" s="5"/>
      <c r="N657" s="68"/>
      <c r="O657" s="68"/>
      <c r="P657" s="299"/>
      <c r="Q657" s="299"/>
      <c r="R657" s="54"/>
      <c r="S657" s="54"/>
      <c r="T657" s="462"/>
      <c r="U657" s="462"/>
      <c r="V657" s="54">
        <v>750</v>
      </c>
      <c r="W657" s="54"/>
      <c r="X657" s="462">
        <f t="shared" si="379"/>
        <v>750</v>
      </c>
      <c r="Y657" s="462">
        <f t="shared" si="380"/>
        <v>750</v>
      </c>
      <c r="Z657" s="5"/>
      <c r="AA657" s="5"/>
      <c r="AB657" s="5"/>
      <c r="AC657" s="5"/>
      <c r="AD657" s="5"/>
      <c r="AE657" s="5"/>
      <c r="AF657" s="5"/>
      <c r="AG657" s="5"/>
      <c r="AH657" s="5"/>
      <c r="AI657" s="5"/>
      <c r="AJ657" s="5"/>
      <c r="AK657" s="5"/>
      <c r="AL657" s="25" t="s">
        <v>980</v>
      </c>
      <c r="AM657" s="1009">
        <f t="shared" si="381"/>
        <v>1</v>
      </c>
      <c r="AN657" s="1009">
        <f t="shared" si="382"/>
        <v>1</v>
      </c>
      <c r="AO657" s="144">
        <f t="shared" si="347"/>
        <v>1</v>
      </c>
    </row>
    <row r="658" spans="1:42" ht="51.75" hidden="1" x14ac:dyDescent="0.25">
      <c r="A658" s="50" t="s">
        <v>47</v>
      </c>
      <c r="B658" s="50"/>
      <c r="C658" s="51" t="s">
        <v>2074</v>
      </c>
      <c r="D658" s="57"/>
      <c r="E658" s="57"/>
      <c r="F658" s="57"/>
      <c r="G658" s="57"/>
      <c r="H658" s="1017">
        <f>SUM(H659:H660)</f>
        <v>61567</v>
      </c>
      <c r="I658" s="1017">
        <f>SUM(I659:I660)</f>
        <v>61567</v>
      </c>
      <c r="J658" s="1017">
        <f t="shared" ref="J658:U658" si="386">SUM(J661:J687)</f>
        <v>0</v>
      </c>
      <c r="K658" s="1017">
        <f t="shared" si="386"/>
        <v>0</v>
      </c>
      <c r="L658" s="1017">
        <f t="shared" si="386"/>
        <v>0</v>
      </c>
      <c r="M658" s="1017">
        <f t="shared" si="386"/>
        <v>0</v>
      </c>
      <c r="N658" s="1017">
        <f t="shared" si="386"/>
        <v>0</v>
      </c>
      <c r="O658" s="1017">
        <f t="shared" si="386"/>
        <v>0</v>
      </c>
      <c r="P658" s="1017">
        <f t="shared" si="386"/>
        <v>0</v>
      </c>
      <c r="Q658" s="1017">
        <f t="shared" si="386"/>
        <v>0</v>
      </c>
      <c r="R658" s="1017">
        <f t="shared" si="386"/>
        <v>0</v>
      </c>
      <c r="S658" s="1017">
        <f t="shared" si="386"/>
        <v>0</v>
      </c>
      <c r="T658" s="1017">
        <f t="shared" si="386"/>
        <v>0</v>
      </c>
      <c r="U658" s="1017">
        <f t="shared" si="386"/>
        <v>0</v>
      </c>
      <c r="V658" s="1017">
        <f>SUM(V659:V660)</f>
        <v>20000</v>
      </c>
      <c r="W658" s="1017">
        <f>SUM(W659:W660)</f>
        <v>0</v>
      </c>
      <c r="X658" s="1017">
        <f>SUM(X659:X660)</f>
        <v>20000</v>
      </c>
      <c r="Y658" s="1017">
        <f>SUM(Y659:Y660)</f>
        <v>20000</v>
      </c>
      <c r="Z658" s="1017">
        <f t="shared" ref="Z658:AC658" si="387">SUM(Z662:Z664)+SUM(Z666:Z672)</f>
        <v>0</v>
      </c>
      <c r="AA658" s="1017">
        <f t="shared" si="387"/>
        <v>0</v>
      </c>
      <c r="AB658" s="1017">
        <f t="shared" si="387"/>
        <v>0</v>
      </c>
      <c r="AC658" s="1017">
        <f t="shared" si="387"/>
        <v>0</v>
      </c>
      <c r="AD658" s="1016">
        <f t="shared" ref="AD658:AK658" si="388">SUM(AD661:AD672)</f>
        <v>0</v>
      </c>
      <c r="AE658" s="1016">
        <f t="shared" si="388"/>
        <v>0</v>
      </c>
      <c r="AF658" s="1016">
        <f t="shared" si="388"/>
        <v>0</v>
      </c>
      <c r="AG658" s="1016">
        <f t="shared" si="388"/>
        <v>0</v>
      </c>
      <c r="AH658" s="1016">
        <f t="shared" si="388"/>
        <v>0</v>
      </c>
      <c r="AI658" s="1016">
        <f t="shared" si="388"/>
        <v>0</v>
      </c>
      <c r="AJ658" s="1016">
        <f t="shared" si="388"/>
        <v>0</v>
      </c>
      <c r="AK658" s="1016">
        <f t="shared" si="388"/>
        <v>0</v>
      </c>
      <c r="AL658" s="59"/>
      <c r="AM658" s="1009">
        <f t="shared" si="381"/>
        <v>1</v>
      </c>
      <c r="AN658" s="1009">
        <f t="shared" si="382"/>
        <v>1</v>
      </c>
      <c r="AO658" s="144">
        <f t="shared" si="347"/>
        <v>1</v>
      </c>
      <c r="AP658" s="1334"/>
    </row>
    <row r="659" spans="1:42" s="1323" customFormat="1" ht="49.5" hidden="1" x14ac:dyDescent="0.25">
      <c r="A659" s="1280">
        <v>22</v>
      </c>
      <c r="B659" s="1280">
        <v>13</v>
      </c>
      <c r="C659" s="1244" t="s">
        <v>2383</v>
      </c>
      <c r="D659" s="350" t="s">
        <v>2196</v>
      </c>
      <c r="E659" s="335" t="s">
        <v>2384</v>
      </c>
      <c r="F659" s="1245" t="s">
        <v>168</v>
      </c>
      <c r="G659" s="424" t="s">
        <v>2589</v>
      </c>
      <c r="H659" s="4">
        <f t="shared" ref="H659:H660" si="389">I659</f>
        <v>30000</v>
      </c>
      <c r="I659" s="4">
        <v>30000</v>
      </c>
      <c r="J659" s="150"/>
      <c r="K659" s="150"/>
      <c r="L659" s="150"/>
      <c r="M659" s="150"/>
      <c r="N659" s="4"/>
      <c r="O659" s="4"/>
      <c r="P659" s="243"/>
      <c r="Q659" s="243"/>
      <c r="R659" s="8"/>
      <c r="S659" s="8"/>
      <c r="T659" s="457"/>
      <c r="U659" s="457"/>
      <c r="V659" s="8">
        <v>10000</v>
      </c>
      <c r="W659" s="8"/>
      <c r="X659" s="457">
        <f t="shared" ref="X659:X660" si="390">Y659</f>
        <v>10000</v>
      </c>
      <c r="Y659" s="457">
        <f t="shared" ref="Y659:Y660" si="391">V659+U659</f>
        <v>10000</v>
      </c>
      <c r="Z659" s="150"/>
      <c r="AA659" s="150"/>
      <c r="AB659" s="150"/>
      <c r="AC659" s="150"/>
      <c r="AD659" s="150"/>
      <c r="AE659" s="150"/>
      <c r="AF659" s="150"/>
      <c r="AG659" s="150"/>
      <c r="AH659" s="150"/>
      <c r="AI659" s="150"/>
      <c r="AJ659" s="150"/>
      <c r="AK659" s="150"/>
      <c r="AL659" s="334" t="s">
        <v>980</v>
      </c>
      <c r="AM659" s="933">
        <f t="shared" ref="AM659:AM660" si="392">IF(Y659-U659=0,0,1)</f>
        <v>1</v>
      </c>
      <c r="AN659" s="933">
        <f t="shared" ref="AN659:AN660" si="393">IF(Y659=0,0,1)</f>
        <v>1</v>
      </c>
      <c r="AO659" s="1333">
        <f t="shared" si="347"/>
        <v>1</v>
      </c>
    </row>
    <row r="660" spans="1:42" s="1323" customFormat="1" ht="49.5" hidden="1" x14ac:dyDescent="0.25">
      <c r="A660" s="1280">
        <v>23</v>
      </c>
      <c r="B660" s="1280">
        <v>15</v>
      </c>
      <c r="C660" s="1244" t="s">
        <v>2387</v>
      </c>
      <c r="D660" s="350" t="s">
        <v>2196</v>
      </c>
      <c r="E660" s="335" t="s">
        <v>2397</v>
      </c>
      <c r="F660" s="1245" t="s">
        <v>168</v>
      </c>
      <c r="G660" s="424" t="s">
        <v>2588</v>
      </c>
      <c r="H660" s="4">
        <f t="shared" si="389"/>
        <v>31567</v>
      </c>
      <c r="I660" s="4">
        <v>31567</v>
      </c>
      <c r="J660" s="150"/>
      <c r="K660" s="150"/>
      <c r="L660" s="150"/>
      <c r="M660" s="150"/>
      <c r="N660" s="4"/>
      <c r="O660" s="4"/>
      <c r="P660" s="243"/>
      <c r="Q660" s="243"/>
      <c r="R660" s="8"/>
      <c r="S660" s="8"/>
      <c r="T660" s="457"/>
      <c r="U660" s="457"/>
      <c r="V660" s="8">
        <v>10000</v>
      </c>
      <c r="W660" s="8"/>
      <c r="X660" s="457">
        <f t="shared" si="390"/>
        <v>10000</v>
      </c>
      <c r="Y660" s="457">
        <f t="shared" si="391"/>
        <v>10000</v>
      </c>
      <c r="Z660" s="150"/>
      <c r="AA660" s="150"/>
      <c r="AB660" s="150"/>
      <c r="AC660" s="150"/>
      <c r="AD660" s="150"/>
      <c r="AE660" s="150"/>
      <c r="AF660" s="150"/>
      <c r="AG660" s="150"/>
      <c r="AH660" s="150"/>
      <c r="AI660" s="150"/>
      <c r="AJ660" s="150"/>
      <c r="AK660" s="150"/>
      <c r="AL660" s="334" t="s">
        <v>980</v>
      </c>
      <c r="AM660" s="933">
        <f t="shared" si="392"/>
        <v>1</v>
      </c>
      <c r="AN660" s="933">
        <f t="shared" si="393"/>
        <v>1</v>
      </c>
      <c r="AO660" s="1333">
        <f t="shared" si="347"/>
        <v>1</v>
      </c>
    </row>
    <row r="661" spans="1:42" ht="16.5" x14ac:dyDescent="0.25">
      <c r="A661" s="133"/>
      <c r="B661" s="133"/>
      <c r="C661" s="140"/>
      <c r="D661" s="135"/>
      <c r="E661" s="140"/>
      <c r="F661" s="133"/>
      <c r="G661" s="140"/>
      <c r="H661" s="140"/>
      <c r="I661" s="140"/>
      <c r="J661" s="140"/>
      <c r="K661" s="140"/>
      <c r="L661" s="140"/>
      <c r="M661" s="140"/>
      <c r="N661" s="140"/>
      <c r="O661" s="140"/>
      <c r="P661" s="139"/>
      <c r="Q661" s="139"/>
      <c r="R661" s="1071"/>
      <c r="S661" s="1071"/>
      <c r="T661" s="1146"/>
      <c r="U661" s="1146"/>
      <c r="V661" s="1071"/>
      <c r="W661" s="1071"/>
      <c r="X661" s="1146"/>
      <c r="Y661" s="1146"/>
      <c r="Z661" s="1071"/>
      <c r="AA661" s="1071"/>
      <c r="AB661" s="1071"/>
      <c r="AC661" s="1071"/>
      <c r="AD661" s="1071"/>
      <c r="AE661" s="1071"/>
      <c r="AF661" s="1071"/>
      <c r="AG661" s="1071"/>
      <c r="AH661" s="1071"/>
      <c r="AI661" s="1071"/>
      <c r="AJ661" s="1071"/>
      <c r="AK661" s="1071"/>
      <c r="AL661" s="140"/>
      <c r="AM661" s="89">
        <v>1</v>
      </c>
      <c r="AN661" s="89">
        <v>1</v>
      </c>
      <c r="AO661" s="89">
        <v>1</v>
      </c>
    </row>
  </sheetData>
  <autoFilter ref="AM15:AO661"/>
  <mergeCells count="62">
    <mergeCell ref="AO10:AO14"/>
    <mergeCell ref="AL10:AL14"/>
    <mergeCell ref="A6:AL6"/>
    <mergeCell ref="A1:AL1"/>
    <mergeCell ref="A2:AL2"/>
    <mergeCell ref="A3:AL3"/>
    <mergeCell ref="A4:AL4"/>
    <mergeCell ref="A5:AL5"/>
    <mergeCell ref="AB10:AC11"/>
    <mergeCell ref="AD10:AE11"/>
    <mergeCell ref="Z10:AA11"/>
    <mergeCell ref="A7:AL7"/>
    <mergeCell ref="A9:AL9"/>
    <mergeCell ref="A10:A14"/>
    <mergeCell ref="C10:C14"/>
    <mergeCell ref="D10:D14"/>
    <mergeCell ref="E10:E14"/>
    <mergeCell ref="F10:F14"/>
    <mergeCell ref="G10:I11"/>
    <mergeCell ref="J10:K11"/>
    <mergeCell ref="L10:M11"/>
    <mergeCell ref="N10:O11"/>
    <mergeCell ref="S12:S14"/>
    <mergeCell ref="P10:Q11"/>
    <mergeCell ref="R10:S11"/>
    <mergeCell ref="AF10:AG11"/>
    <mergeCell ref="AH10:AI11"/>
    <mergeCell ref="T10:U11"/>
    <mergeCell ref="V10:W11"/>
    <mergeCell ref="X10:Y11"/>
    <mergeCell ref="X12:X14"/>
    <mergeCell ref="T12:T14"/>
    <mergeCell ref="U12:U14"/>
    <mergeCell ref="Z12:Z14"/>
    <mergeCell ref="V12:V14"/>
    <mergeCell ref="W12:W14"/>
    <mergeCell ref="AJ10:AK11"/>
    <mergeCell ref="G12:G14"/>
    <mergeCell ref="H12:I12"/>
    <mergeCell ref="J12:J14"/>
    <mergeCell ref="K12:K14"/>
    <mergeCell ref="L12:L14"/>
    <mergeCell ref="M12:M14"/>
    <mergeCell ref="H13:H14"/>
    <mergeCell ref="I13:I14"/>
    <mergeCell ref="N12:N14"/>
    <mergeCell ref="O12:O14"/>
    <mergeCell ref="P12:P14"/>
    <mergeCell ref="Q12:Q14"/>
    <mergeCell ref="AK12:AK14"/>
    <mergeCell ref="R12:R14"/>
    <mergeCell ref="Y12:Y14"/>
    <mergeCell ref="AJ12:AJ14"/>
    <mergeCell ref="AA12:AA14"/>
    <mergeCell ref="AF12:AF14"/>
    <mergeCell ref="AG12:AG14"/>
    <mergeCell ref="AH12:AH14"/>
    <mergeCell ref="AI12:AI14"/>
    <mergeCell ref="AB12:AB14"/>
    <mergeCell ref="AC12:AC14"/>
    <mergeCell ref="AD12:AD14"/>
    <mergeCell ref="AE12:AE14"/>
  </mergeCells>
  <pageMargins left="0.31496062992125984" right="0.19685039370078741" top="0.76" bottom="0.31496062992125984" header="0.31496062992125984" footer="0.19685039370078741"/>
  <pageSetup paperSize="9" scale="48" fitToHeight="0" orientation="landscape" r:id="rId1"/>
  <headerFooter differentFirst="1">
    <oddHeader>&amp;C&amp;"Times New Roman,Regular"&amp;14&amp;P</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6"/>
  <sheetViews>
    <sheetView topLeftCell="A17" zoomScale="85" zoomScaleNormal="85" workbookViewId="0">
      <selection activeCell="I72" sqref="I72"/>
    </sheetView>
  </sheetViews>
  <sheetFormatPr defaultColWidth="8.85546875" defaultRowHeight="16.5" x14ac:dyDescent="0.25"/>
  <cols>
    <col min="1" max="1" width="8" style="796" customWidth="1"/>
    <col min="2" max="2" width="28.7109375" style="796" customWidth="1"/>
    <col min="3" max="3" width="13.85546875" style="796" customWidth="1"/>
    <col min="4" max="4" width="21.28515625" style="796" customWidth="1"/>
    <col min="5" max="5" width="12.42578125" style="796" customWidth="1"/>
    <col min="6" max="6" width="14.85546875" style="796" customWidth="1"/>
    <col min="7" max="7" width="13.7109375" style="796" customWidth="1"/>
    <col min="8" max="8" width="13.28515625" style="796" customWidth="1"/>
    <col min="9" max="9" width="13.85546875" style="796" customWidth="1"/>
    <col min="10" max="10" width="13.28515625" style="796" customWidth="1"/>
    <col min="11" max="11" width="13.140625" style="796" customWidth="1"/>
    <col min="12" max="12" width="12.5703125" style="796" customWidth="1"/>
    <col min="13" max="13" width="12.7109375" style="796" hidden="1" customWidth="1"/>
    <col min="14" max="16" width="12.5703125" style="796" hidden="1" customWidth="1"/>
    <col min="17" max="17" width="12.7109375" style="796" customWidth="1"/>
    <col min="18" max="20" width="12.5703125" style="796" customWidth="1"/>
    <col min="21" max="21" width="12.7109375" style="796" customWidth="1"/>
    <col min="22" max="22" width="12.5703125" style="796" customWidth="1"/>
    <col min="23" max="23" width="12.28515625" style="796" hidden="1" customWidth="1"/>
    <col min="24" max="24" width="12.85546875" style="796" hidden="1" customWidth="1"/>
    <col min="25" max="26" width="11.140625" style="796" hidden="1" customWidth="1"/>
    <col min="27" max="27" width="12.7109375" style="796" hidden="1" customWidth="1"/>
    <col min="28" max="28" width="12.5703125" style="796" hidden="1" customWidth="1"/>
    <col min="29" max="29" width="12.7109375" style="796" hidden="1" customWidth="1"/>
    <col min="30" max="30" width="12.5703125" style="796" hidden="1" customWidth="1"/>
    <col min="31" max="31" width="12.7109375" style="796" hidden="1" customWidth="1"/>
    <col min="32" max="32" width="12.5703125" style="796" hidden="1" customWidth="1"/>
    <col min="33" max="33" width="10.5703125" style="796" customWidth="1"/>
    <col min="34" max="39" width="0" style="796" hidden="1" customWidth="1"/>
    <col min="40" max="41" width="10.85546875" style="796" bestFit="1" customWidth="1"/>
    <col min="42" max="16384" width="8.85546875" style="796"/>
  </cols>
  <sheetData>
    <row r="1" spans="1:40" x14ac:dyDescent="0.25">
      <c r="A1" s="2079" t="s">
        <v>1964</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row>
    <row r="2" spans="1:40" s="772" customFormat="1" ht="45" customHeight="1" x14ac:dyDescent="0.25">
      <c r="A2" s="1979" t="s">
        <v>2543</v>
      </c>
      <c r="B2" s="1979"/>
      <c r="C2" s="1979"/>
      <c r="D2" s="1979"/>
      <c r="E2" s="1979"/>
      <c r="F2" s="1979"/>
      <c r="G2" s="1979"/>
      <c r="H2" s="1979"/>
      <c r="I2" s="1979"/>
      <c r="J2" s="1979"/>
      <c r="K2" s="1979"/>
      <c r="L2" s="1979"/>
      <c r="M2" s="1979"/>
      <c r="N2" s="1979"/>
      <c r="O2" s="1979"/>
      <c r="P2" s="1979"/>
      <c r="Q2" s="1979"/>
      <c r="R2" s="1979"/>
      <c r="S2" s="1979"/>
      <c r="T2" s="1979"/>
      <c r="U2" s="1979"/>
      <c r="V2" s="1979"/>
      <c r="W2" s="1979"/>
      <c r="X2" s="1979"/>
      <c r="Y2" s="1979"/>
      <c r="Z2" s="1979"/>
      <c r="AA2" s="1979"/>
      <c r="AB2" s="1979"/>
      <c r="AC2" s="1979"/>
      <c r="AD2" s="1979"/>
      <c r="AE2" s="1979"/>
      <c r="AF2" s="1979"/>
      <c r="AG2" s="1979"/>
      <c r="AH2" s="771"/>
      <c r="AI2" s="771"/>
      <c r="AJ2" s="771"/>
    </row>
    <row r="3" spans="1:40" s="772" customFormat="1" ht="27" hidden="1" customHeight="1" x14ac:dyDescent="0.25">
      <c r="A3" s="1961" t="s">
        <v>2423</v>
      </c>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A3" s="1961"/>
      <c r="AB3" s="1961"/>
      <c r="AC3" s="1961"/>
      <c r="AD3" s="1961"/>
      <c r="AE3" s="1961"/>
      <c r="AF3" s="1961"/>
      <c r="AG3" s="1961"/>
      <c r="AH3" s="773"/>
      <c r="AI3" s="773"/>
      <c r="AJ3" s="773"/>
    </row>
    <row r="4" spans="1:40" s="772" customFormat="1" ht="22.5" hidden="1" customHeight="1" x14ac:dyDescent="0.25">
      <c r="A4" s="1961" t="s">
        <v>2619</v>
      </c>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773"/>
      <c r="AI4" s="773"/>
      <c r="AJ4" s="773"/>
    </row>
    <row r="5" spans="1:40" s="772" customFormat="1" ht="33" customHeight="1" x14ac:dyDescent="0.25">
      <c r="A5" s="1961" t="s">
        <v>2535</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c r="AF5" s="1961"/>
      <c r="AG5" s="1961"/>
      <c r="AH5" s="773"/>
      <c r="AI5" s="773"/>
      <c r="AJ5" s="773"/>
    </row>
    <row r="6" spans="1:40" s="772" customFormat="1" ht="27" hidden="1" customHeight="1" x14ac:dyDescent="0.25">
      <c r="A6" s="1961" t="s">
        <v>2534</v>
      </c>
      <c r="B6" s="1961"/>
      <c r="C6" s="1961"/>
      <c r="D6" s="1961"/>
      <c r="E6" s="1961"/>
      <c r="F6" s="1961"/>
      <c r="G6" s="1961"/>
      <c r="H6" s="1961"/>
      <c r="I6" s="1961"/>
      <c r="J6" s="1961"/>
      <c r="K6" s="1961"/>
      <c r="L6" s="1961"/>
      <c r="M6" s="1961"/>
      <c r="N6" s="1961"/>
      <c r="O6" s="1961"/>
      <c r="P6" s="1961"/>
      <c r="Q6" s="1961"/>
      <c r="R6" s="1961"/>
      <c r="S6" s="1961"/>
      <c r="T6" s="1961"/>
      <c r="U6" s="1961"/>
      <c r="V6" s="1961"/>
      <c r="W6" s="1961"/>
      <c r="X6" s="1961"/>
      <c r="Y6" s="1961"/>
      <c r="Z6" s="1961"/>
      <c r="AA6" s="1961"/>
      <c r="AB6" s="1961"/>
      <c r="AC6" s="1961"/>
      <c r="AD6" s="1961"/>
      <c r="AE6" s="1961"/>
      <c r="AF6" s="1961"/>
      <c r="AG6" s="1961"/>
      <c r="AH6" s="773"/>
      <c r="AI6" s="773"/>
      <c r="AJ6" s="773"/>
    </row>
    <row r="7" spans="1:40" s="772" customFormat="1" ht="24.75" hidden="1" customHeight="1" x14ac:dyDescent="0.25">
      <c r="A7" s="1961" t="s">
        <v>1876</v>
      </c>
      <c r="B7" s="1961"/>
      <c r="C7" s="1961"/>
      <c r="D7" s="1961"/>
      <c r="E7" s="1961"/>
      <c r="F7" s="1961"/>
      <c r="G7" s="1961"/>
      <c r="H7" s="1961"/>
      <c r="I7" s="1961"/>
      <c r="J7" s="1961"/>
      <c r="K7" s="1961"/>
      <c r="L7" s="1961"/>
      <c r="M7" s="1961"/>
      <c r="N7" s="1961"/>
      <c r="O7" s="1961"/>
      <c r="P7" s="1961"/>
      <c r="Q7" s="1961"/>
      <c r="R7" s="1961"/>
      <c r="S7" s="1961"/>
      <c r="T7" s="1961"/>
      <c r="U7" s="1961"/>
      <c r="V7" s="1961"/>
      <c r="W7" s="1961"/>
      <c r="X7" s="1961"/>
      <c r="Y7" s="1961"/>
      <c r="Z7" s="1961"/>
      <c r="AA7" s="1961"/>
      <c r="AB7" s="1961"/>
      <c r="AC7" s="1961"/>
      <c r="AD7" s="1961"/>
      <c r="AE7" s="1961"/>
      <c r="AF7" s="1961"/>
      <c r="AG7" s="1961"/>
      <c r="AH7" s="773"/>
      <c r="AI7" s="773"/>
      <c r="AJ7" s="773"/>
    </row>
    <row r="8" spans="1:40" s="772" customFormat="1" x14ac:dyDescent="0.25">
      <c r="A8" s="1320"/>
      <c r="B8" s="1320"/>
      <c r="C8" s="1320"/>
      <c r="D8" s="1320"/>
      <c r="E8" s="1320"/>
      <c r="F8" s="1320"/>
      <c r="G8" s="1320"/>
      <c r="H8" s="1320"/>
      <c r="I8" s="1320"/>
      <c r="J8" s="1320"/>
      <c r="K8" s="1320"/>
      <c r="L8" s="1320"/>
      <c r="M8" s="1320"/>
      <c r="N8" s="1320"/>
      <c r="O8" s="1320"/>
      <c r="P8" s="1320"/>
      <c r="Q8" s="1320"/>
      <c r="R8" s="1320"/>
      <c r="S8" s="1320"/>
      <c r="T8" s="1320"/>
      <c r="U8" s="1320"/>
      <c r="V8" s="1320"/>
      <c r="W8" s="1320"/>
      <c r="X8" s="1320"/>
      <c r="Y8" s="1320"/>
      <c r="Z8" s="1320"/>
      <c r="AA8" s="1320"/>
      <c r="AB8" s="1320"/>
      <c r="AC8" s="1320"/>
      <c r="AD8" s="1320"/>
      <c r="AE8" s="1320"/>
      <c r="AF8" s="1320"/>
      <c r="AG8" s="1320"/>
      <c r="AH8" s="773"/>
      <c r="AI8" s="773"/>
      <c r="AJ8" s="773"/>
    </row>
    <row r="9" spans="1:40" s="772" customFormat="1" x14ac:dyDescent="0.25">
      <c r="A9" s="1962" t="s">
        <v>6</v>
      </c>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c r="AF9" s="1962"/>
      <c r="AG9" s="1962"/>
      <c r="AH9" s="774"/>
      <c r="AI9" s="774"/>
      <c r="AJ9" s="774"/>
    </row>
    <row r="10" spans="1:40" s="772" customFormat="1" ht="53.25" customHeight="1" x14ac:dyDescent="0.25">
      <c r="A10" s="2003" t="s">
        <v>7</v>
      </c>
      <c r="B10" s="2003" t="s">
        <v>8</v>
      </c>
      <c r="C10" s="2003" t="s">
        <v>9</v>
      </c>
      <c r="D10" s="2003" t="s">
        <v>10</v>
      </c>
      <c r="E10" s="2003" t="s">
        <v>1975</v>
      </c>
      <c r="F10" s="2003" t="s">
        <v>12</v>
      </c>
      <c r="G10" s="2003"/>
      <c r="H10" s="2003"/>
      <c r="I10" s="2003" t="s">
        <v>1874</v>
      </c>
      <c r="J10" s="2003"/>
      <c r="K10" s="2003" t="s">
        <v>13</v>
      </c>
      <c r="L10" s="2003"/>
      <c r="M10" s="2003" t="s">
        <v>14</v>
      </c>
      <c r="N10" s="2003"/>
      <c r="O10" s="1969" t="s">
        <v>2152</v>
      </c>
      <c r="P10" s="1970"/>
      <c r="Q10" s="1934" t="s">
        <v>2539</v>
      </c>
      <c r="R10" s="1934"/>
      <c r="S10" s="1931" t="s">
        <v>2538</v>
      </c>
      <c r="T10" s="1931"/>
      <c r="U10" s="1934" t="s">
        <v>2540</v>
      </c>
      <c r="V10" s="1934"/>
      <c r="W10" s="2003" t="s">
        <v>15</v>
      </c>
      <c r="X10" s="2003"/>
      <c r="Y10" s="2003" t="s">
        <v>16</v>
      </c>
      <c r="Z10" s="2003"/>
      <c r="AA10" s="2003" t="s">
        <v>1872</v>
      </c>
      <c r="AB10" s="2003"/>
      <c r="AC10" s="2003" t="s">
        <v>1976</v>
      </c>
      <c r="AD10" s="2003"/>
      <c r="AE10" s="2003" t="s">
        <v>1976</v>
      </c>
      <c r="AF10" s="2003"/>
      <c r="AG10" s="2003" t="s">
        <v>1870</v>
      </c>
      <c r="AH10" s="775"/>
      <c r="AI10" s="775"/>
      <c r="AJ10" s="775"/>
    </row>
    <row r="11" spans="1:40" s="772" customFormat="1" ht="42" customHeight="1" x14ac:dyDescent="0.25">
      <c r="A11" s="2001"/>
      <c r="B11" s="2001"/>
      <c r="C11" s="2001"/>
      <c r="D11" s="2001"/>
      <c r="E11" s="2001"/>
      <c r="F11" s="2001"/>
      <c r="G11" s="2001"/>
      <c r="H11" s="2001"/>
      <c r="I11" s="2001"/>
      <c r="J11" s="2001"/>
      <c r="K11" s="2001"/>
      <c r="L11" s="2001"/>
      <c r="M11" s="2001"/>
      <c r="N11" s="2001"/>
      <c r="O11" s="1971"/>
      <c r="P11" s="1972"/>
      <c r="Q11" s="1935"/>
      <c r="R11" s="1935"/>
      <c r="S11" s="1932"/>
      <c r="T11" s="1932"/>
      <c r="U11" s="1935"/>
      <c r="V11" s="1935"/>
      <c r="W11" s="2001"/>
      <c r="X11" s="2001"/>
      <c r="Y11" s="2001"/>
      <c r="Z11" s="2001"/>
      <c r="AA11" s="2001"/>
      <c r="AB11" s="2001"/>
      <c r="AC11" s="2001"/>
      <c r="AD11" s="2001"/>
      <c r="AE11" s="2001"/>
      <c r="AF11" s="2001"/>
      <c r="AG11" s="2001"/>
      <c r="AH11" s="775"/>
      <c r="AI11" s="775"/>
      <c r="AJ11" s="775"/>
    </row>
    <row r="12" spans="1:40" s="770" customFormat="1" ht="33" customHeight="1" x14ac:dyDescent="0.25">
      <c r="A12" s="2001"/>
      <c r="B12" s="2001"/>
      <c r="C12" s="2001"/>
      <c r="D12" s="2001"/>
      <c r="E12" s="2001"/>
      <c r="F12" s="2001" t="s">
        <v>32</v>
      </c>
      <c r="G12" s="2001" t="s">
        <v>33</v>
      </c>
      <c r="H12" s="2001"/>
      <c r="I12" s="2001" t="s">
        <v>34</v>
      </c>
      <c r="J12" s="2001" t="s">
        <v>1977</v>
      </c>
      <c r="K12" s="2001" t="s">
        <v>34</v>
      </c>
      <c r="L12" s="2001" t="s">
        <v>35</v>
      </c>
      <c r="M12" s="2001" t="s">
        <v>34</v>
      </c>
      <c r="N12" s="2001" t="s">
        <v>35</v>
      </c>
      <c r="O12" s="1947" t="s">
        <v>36</v>
      </c>
      <c r="P12" s="1947" t="s">
        <v>37</v>
      </c>
      <c r="Q12" s="2001" t="s">
        <v>34</v>
      </c>
      <c r="R12" s="2001" t="s">
        <v>1977</v>
      </c>
      <c r="S12" s="1947" t="s">
        <v>36</v>
      </c>
      <c r="T12" s="1947" t="s">
        <v>37</v>
      </c>
      <c r="U12" s="2001" t="s">
        <v>34</v>
      </c>
      <c r="V12" s="2001" t="s">
        <v>1977</v>
      </c>
      <c r="W12" s="2001" t="s">
        <v>34</v>
      </c>
      <c r="X12" s="2001" t="s">
        <v>35</v>
      </c>
      <c r="Y12" s="2001" t="s">
        <v>34</v>
      </c>
      <c r="Z12" s="2001" t="s">
        <v>35</v>
      </c>
      <c r="AA12" s="2001" t="s">
        <v>34</v>
      </c>
      <c r="AB12" s="2001" t="s">
        <v>1977</v>
      </c>
      <c r="AC12" s="2001" t="s">
        <v>34</v>
      </c>
      <c r="AD12" s="2001" t="s">
        <v>1977</v>
      </c>
      <c r="AE12" s="2001" t="s">
        <v>1978</v>
      </c>
      <c r="AF12" s="2001" t="s">
        <v>1979</v>
      </c>
      <c r="AG12" s="2001"/>
    </row>
    <row r="13" spans="1:40" s="770" customFormat="1" ht="58.15" customHeight="1" x14ac:dyDescent="0.25">
      <c r="A13" s="2001"/>
      <c r="B13" s="2001"/>
      <c r="C13" s="2001"/>
      <c r="D13" s="2001"/>
      <c r="E13" s="2001"/>
      <c r="F13" s="2001"/>
      <c r="G13" s="2001" t="s">
        <v>34</v>
      </c>
      <c r="H13" s="2001" t="s">
        <v>35</v>
      </c>
      <c r="I13" s="2001"/>
      <c r="J13" s="2001"/>
      <c r="K13" s="2001"/>
      <c r="L13" s="2001"/>
      <c r="M13" s="2001"/>
      <c r="N13" s="2001"/>
      <c r="O13" s="1948"/>
      <c r="P13" s="1948"/>
      <c r="Q13" s="2001"/>
      <c r="R13" s="2001"/>
      <c r="S13" s="1948"/>
      <c r="T13" s="1948"/>
      <c r="U13" s="2001"/>
      <c r="V13" s="2001"/>
      <c r="W13" s="2001"/>
      <c r="X13" s="2001"/>
      <c r="Y13" s="2001"/>
      <c r="Z13" s="2001"/>
      <c r="AA13" s="2001"/>
      <c r="AB13" s="2001"/>
      <c r="AC13" s="2001"/>
      <c r="AD13" s="2001"/>
      <c r="AE13" s="2001"/>
      <c r="AF13" s="2001"/>
      <c r="AG13" s="2001"/>
    </row>
    <row r="14" spans="1:40" s="770" customFormat="1" ht="38.450000000000003" customHeight="1" x14ac:dyDescent="0.25">
      <c r="A14" s="2001"/>
      <c r="B14" s="2001"/>
      <c r="C14" s="2001"/>
      <c r="D14" s="2001"/>
      <c r="E14" s="2001"/>
      <c r="F14" s="2001"/>
      <c r="G14" s="2001"/>
      <c r="H14" s="2001"/>
      <c r="I14" s="2001"/>
      <c r="J14" s="2001"/>
      <c r="K14" s="2001"/>
      <c r="L14" s="2001"/>
      <c r="M14" s="2001"/>
      <c r="N14" s="2001"/>
      <c r="O14" s="1949"/>
      <c r="P14" s="1949"/>
      <c r="Q14" s="2001"/>
      <c r="R14" s="2001"/>
      <c r="S14" s="1949"/>
      <c r="T14" s="1949"/>
      <c r="U14" s="2001"/>
      <c r="V14" s="2001"/>
      <c r="W14" s="2001"/>
      <c r="X14" s="2001"/>
      <c r="Y14" s="2001"/>
      <c r="Z14" s="2001"/>
      <c r="AA14" s="2001"/>
      <c r="AB14" s="2001"/>
      <c r="AC14" s="2001"/>
      <c r="AD14" s="2001"/>
      <c r="AE14" s="2001"/>
      <c r="AF14" s="2001"/>
      <c r="AG14" s="2001"/>
    </row>
    <row r="15" spans="1:40" s="173" customFormat="1" x14ac:dyDescent="0.25">
      <c r="A15" s="435">
        <v>1</v>
      </c>
      <c r="B15" s="435">
        <v>2</v>
      </c>
      <c r="C15" s="435">
        <v>3</v>
      </c>
      <c r="D15" s="435">
        <v>4</v>
      </c>
      <c r="E15" s="435">
        <v>5</v>
      </c>
      <c r="F15" s="435">
        <v>6</v>
      </c>
      <c r="G15" s="435">
        <v>7</v>
      </c>
      <c r="H15" s="435">
        <v>8</v>
      </c>
      <c r="I15" s="435">
        <v>9</v>
      </c>
      <c r="J15" s="435">
        <v>10</v>
      </c>
      <c r="K15" s="435">
        <v>11</v>
      </c>
      <c r="L15" s="435">
        <v>12</v>
      </c>
      <c r="M15" s="435">
        <v>17</v>
      </c>
      <c r="N15" s="435">
        <v>18</v>
      </c>
      <c r="O15" s="435"/>
      <c r="P15" s="435"/>
      <c r="Q15" s="435">
        <v>13</v>
      </c>
      <c r="R15" s="435">
        <v>14</v>
      </c>
      <c r="S15" s="435">
        <v>15</v>
      </c>
      <c r="T15" s="435">
        <v>16</v>
      </c>
      <c r="U15" s="435">
        <v>17</v>
      </c>
      <c r="V15" s="435">
        <v>18</v>
      </c>
      <c r="W15" s="435">
        <v>21</v>
      </c>
      <c r="X15" s="435">
        <v>22</v>
      </c>
      <c r="Y15" s="435">
        <v>25</v>
      </c>
      <c r="Z15" s="435">
        <v>26</v>
      </c>
      <c r="AA15" s="435">
        <v>17</v>
      </c>
      <c r="AB15" s="435">
        <v>18</v>
      </c>
      <c r="AC15" s="435">
        <v>17</v>
      </c>
      <c r="AD15" s="435">
        <v>18</v>
      </c>
      <c r="AE15" s="435">
        <v>17</v>
      </c>
      <c r="AF15" s="435">
        <v>18</v>
      </c>
      <c r="AG15" s="435">
        <v>19</v>
      </c>
      <c r="AH15" s="776">
        <v>36</v>
      </c>
      <c r="AI15" s="662">
        <v>37</v>
      </c>
      <c r="AJ15" s="662">
        <v>38</v>
      </c>
    </row>
    <row r="16" spans="1:40" s="781" customFormat="1" ht="17.25" x14ac:dyDescent="0.25">
      <c r="A16" s="777"/>
      <c r="B16" s="438" t="s">
        <v>1945</v>
      </c>
      <c r="C16" s="777"/>
      <c r="D16" s="777"/>
      <c r="E16" s="777"/>
      <c r="F16" s="777"/>
      <c r="G16" s="437">
        <f t="shared" ref="G16:U16" si="0">G17+G29</f>
        <v>2337388</v>
      </c>
      <c r="H16" s="437">
        <f t="shared" si="0"/>
        <v>1016790</v>
      </c>
      <c r="I16" s="437">
        <f t="shared" si="0"/>
        <v>233348</v>
      </c>
      <c r="J16" s="437">
        <f t="shared" si="0"/>
        <v>134348</v>
      </c>
      <c r="K16" s="437">
        <f t="shared" si="0"/>
        <v>164334</v>
      </c>
      <c r="L16" s="437">
        <f t="shared" si="0"/>
        <v>134348</v>
      </c>
      <c r="M16" s="437">
        <f t="shared" si="0"/>
        <v>1403212</v>
      </c>
      <c r="N16" s="437">
        <f t="shared" si="0"/>
        <v>530947</v>
      </c>
      <c r="O16" s="437">
        <f t="shared" si="0"/>
        <v>29000</v>
      </c>
      <c r="P16" s="437">
        <f t="shared" si="0"/>
        <v>30500</v>
      </c>
      <c r="Q16" s="437">
        <f t="shared" si="0"/>
        <v>1406912</v>
      </c>
      <c r="R16" s="437">
        <f t="shared" si="0"/>
        <v>530947</v>
      </c>
      <c r="S16" s="437">
        <f t="shared" si="0"/>
        <v>2300</v>
      </c>
      <c r="T16" s="778">
        <f t="shared" si="0"/>
        <v>0</v>
      </c>
      <c r="U16" s="437">
        <f t="shared" si="0"/>
        <v>1409212</v>
      </c>
      <c r="V16" s="437">
        <f>V17+V29</f>
        <v>533247</v>
      </c>
      <c r="W16" s="437">
        <f t="shared" ref="W16:AF16" si="1">W29</f>
        <v>133766</v>
      </c>
      <c r="X16" s="437">
        <f t="shared" si="1"/>
        <v>133766</v>
      </c>
      <c r="Y16" s="778">
        <f t="shared" si="1"/>
        <v>0</v>
      </c>
      <c r="Z16" s="778">
        <f t="shared" si="1"/>
        <v>0</v>
      </c>
      <c r="AA16" s="437">
        <f t="shared" si="1"/>
        <v>6000</v>
      </c>
      <c r="AB16" s="437">
        <f t="shared" si="1"/>
        <v>2300</v>
      </c>
      <c r="AC16" s="437">
        <f t="shared" si="1"/>
        <v>6000</v>
      </c>
      <c r="AD16" s="437">
        <f t="shared" si="1"/>
        <v>2300</v>
      </c>
      <c r="AE16" s="437">
        <f t="shared" si="1"/>
        <v>13720</v>
      </c>
      <c r="AF16" s="437">
        <f t="shared" si="1"/>
        <v>11420</v>
      </c>
      <c r="AG16" s="779"/>
      <c r="AH16" s="780"/>
      <c r="AI16" s="780"/>
      <c r="AJ16" s="780"/>
      <c r="AK16" s="781">
        <f>Y16+W16</f>
        <v>133766</v>
      </c>
      <c r="AL16" s="781">
        <f>50000*3</f>
        <v>150000</v>
      </c>
      <c r="AM16" s="781">
        <f>AL16+AK16</f>
        <v>283766</v>
      </c>
      <c r="AN16" s="1009">
        <f>IF(V16-R16=0,0,1)</f>
        <v>1</v>
      </c>
    </row>
    <row r="17" spans="1:40" s="782" customFormat="1" ht="51.75" x14ac:dyDescent="0.25">
      <c r="A17" s="195" t="s">
        <v>45</v>
      </c>
      <c r="B17" s="193" t="s">
        <v>46</v>
      </c>
      <c r="C17" s="192"/>
      <c r="D17" s="192"/>
      <c r="E17" s="192"/>
      <c r="F17" s="192"/>
      <c r="G17" s="190">
        <f>G18</f>
        <v>1854310</v>
      </c>
      <c r="H17" s="190">
        <f>H18</f>
        <v>533712</v>
      </c>
      <c r="I17" s="190">
        <f t="shared" ref="I17:AF17" si="2">I18</f>
        <v>233348</v>
      </c>
      <c r="J17" s="190">
        <f t="shared" si="2"/>
        <v>134348</v>
      </c>
      <c r="K17" s="190">
        <f t="shared" si="2"/>
        <v>164334</v>
      </c>
      <c r="L17" s="190">
        <f t="shared" si="2"/>
        <v>134348</v>
      </c>
      <c r="M17" s="190">
        <f t="shared" si="2"/>
        <v>1095580</v>
      </c>
      <c r="N17" s="190">
        <f t="shared" si="2"/>
        <v>232210</v>
      </c>
      <c r="O17" s="190"/>
      <c r="P17" s="190"/>
      <c r="Q17" s="190">
        <f t="shared" si="2"/>
        <v>1095580</v>
      </c>
      <c r="R17" s="190">
        <f t="shared" si="2"/>
        <v>232210</v>
      </c>
      <c r="S17" s="190"/>
      <c r="T17" s="190"/>
      <c r="U17" s="190">
        <f t="shared" si="2"/>
        <v>1095580</v>
      </c>
      <c r="V17" s="190">
        <f t="shared" si="2"/>
        <v>232210</v>
      </c>
      <c r="W17" s="190">
        <f t="shared" si="2"/>
        <v>176946</v>
      </c>
      <c r="X17" s="190">
        <f t="shared" si="2"/>
        <v>176946</v>
      </c>
      <c r="Y17" s="190">
        <f t="shared" si="2"/>
        <v>6580</v>
      </c>
      <c r="Z17" s="190">
        <f t="shared" si="2"/>
        <v>6580</v>
      </c>
      <c r="AA17" s="779">
        <f t="shared" si="2"/>
        <v>0</v>
      </c>
      <c r="AB17" s="779">
        <f t="shared" si="2"/>
        <v>0</v>
      </c>
      <c r="AC17" s="190">
        <f t="shared" si="2"/>
        <v>0</v>
      </c>
      <c r="AD17" s="190">
        <f t="shared" si="2"/>
        <v>0</v>
      </c>
      <c r="AE17" s="190">
        <f t="shared" si="2"/>
        <v>0</v>
      </c>
      <c r="AF17" s="190">
        <f t="shared" si="2"/>
        <v>0</v>
      </c>
      <c r="AG17" s="189"/>
      <c r="AN17" s="1009">
        <f t="shared" ref="AN17:AN60" si="3">IF(V17-R17=0,0,1)</f>
        <v>0</v>
      </c>
    </row>
    <row r="18" spans="1:40" s="782" customFormat="1" ht="34.5" x14ac:dyDescent="0.25">
      <c r="A18" s="194" t="s">
        <v>47</v>
      </c>
      <c r="B18" s="193" t="s">
        <v>48</v>
      </c>
      <c r="C18" s="192"/>
      <c r="D18" s="192"/>
      <c r="E18" s="192"/>
      <c r="F18" s="192"/>
      <c r="G18" s="190">
        <f t="shared" ref="G18:Q18" si="4">SUM(G21:G28)</f>
        <v>1854310</v>
      </c>
      <c r="H18" s="190">
        <f t="shared" si="4"/>
        <v>533712</v>
      </c>
      <c r="I18" s="190">
        <f t="shared" si="4"/>
        <v>233348</v>
      </c>
      <c r="J18" s="190">
        <f t="shared" si="4"/>
        <v>134348</v>
      </c>
      <c r="K18" s="190">
        <f t="shared" si="4"/>
        <v>164334</v>
      </c>
      <c r="L18" s="190">
        <f t="shared" si="4"/>
        <v>134348</v>
      </c>
      <c r="M18" s="190">
        <f t="shared" si="4"/>
        <v>1095580</v>
      </c>
      <c r="N18" s="190">
        <f t="shared" si="4"/>
        <v>232210</v>
      </c>
      <c r="O18" s="190">
        <f t="shared" si="4"/>
        <v>0</v>
      </c>
      <c r="P18" s="190">
        <f t="shared" si="4"/>
        <v>0</v>
      </c>
      <c r="Q18" s="190">
        <f t="shared" si="4"/>
        <v>1095580</v>
      </c>
      <c r="R18" s="190">
        <f>SUM(R21:R28)</f>
        <v>232210</v>
      </c>
      <c r="S18" s="778">
        <f t="shared" ref="S18:V18" si="5">SUM(S21:S28)</f>
        <v>0</v>
      </c>
      <c r="T18" s="778">
        <f t="shared" si="5"/>
        <v>0</v>
      </c>
      <c r="U18" s="190">
        <f t="shared" si="5"/>
        <v>1095580</v>
      </c>
      <c r="V18" s="190">
        <f t="shared" si="5"/>
        <v>232210</v>
      </c>
      <c r="W18" s="190">
        <f t="shared" ref="W18:AF18" si="6">SUM(W21:W28)</f>
        <v>176946</v>
      </c>
      <c r="X18" s="190">
        <f t="shared" si="6"/>
        <v>176946</v>
      </c>
      <c r="Y18" s="190">
        <f t="shared" si="6"/>
        <v>6580</v>
      </c>
      <c r="Z18" s="190">
        <f t="shared" si="6"/>
        <v>6580</v>
      </c>
      <c r="AA18" s="779">
        <f t="shared" si="6"/>
        <v>0</v>
      </c>
      <c r="AB18" s="779">
        <f t="shared" si="6"/>
        <v>0</v>
      </c>
      <c r="AC18" s="190">
        <f t="shared" si="6"/>
        <v>0</v>
      </c>
      <c r="AD18" s="190">
        <f t="shared" si="6"/>
        <v>0</v>
      </c>
      <c r="AE18" s="190">
        <f t="shared" si="6"/>
        <v>0</v>
      </c>
      <c r="AF18" s="190">
        <f t="shared" si="6"/>
        <v>0</v>
      </c>
      <c r="AG18" s="189"/>
      <c r="AN18" s="1009">
        <f t="shared" si="3"/>
        <v>0</v>
      </c>
    </row>
    <row r="19" spans="1:40" s="783" customFormat="1" ht="17.25" x14ac:dyDescent="0.25">
      <c r="A19" s="194"/>
      <c r="B19" s="193" t="s">
        <v>49</v>
      </c>
      <c r="C19" s="202"/>
      <c r="D19" s="202"/>
      <c r="E19" s="202"/>
      <c r="F19" s="202"/>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N19" s="1009">
        <f t="shared" si="3"/>
        <v>0</v>
      </c>
    </row>
    <row r="20" spans="1:40" s="782" customFormat="1" ht="69" x14ac:dyDescent="0.25">
      <c r="A20" s="194"/>
      <c r="B20" s="199" t="s">
        <v>50</v>
      </c>
      <c r="C20" s="192"/>
      <c r="D20" s="192"/>
      <c r="E20" s="192"/>
      <c r="F20" s="192"/>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N20" s="1009">
        <f t="shared" si="3"/>
        <v>0</v>
      </c>
    </row>
    <row r="21" spans="1:40" s="787" customFormat="1" ht="49.5" x14ac:dyDescent="0.25">
      <c r="A21" s="221">
        <v>1</v>
      </c>
      <c r="B21" s="211" t="s">
        <v>1980</v>
      </c>
      <c r="C21" s="188" t="s">
        <v>64</v>
      </c>
      <c r="D21" s="188" t="s">
        <v>65</v>
      </c>
      <c r="E21" s="188" t="s">
        <v>72</v>
      </c>
      <c r="F21" s="784" t="s">
        <v>67</v>
      </c>
      <c r="G21" s="180">
        <v>311027</v>
      </c>
      <c r="H21" s="180">
        <v>311027</v>
      </c>
      <c r="I21" s="183">
        <v>106000</v>
      </c>
      <c r="J21" s="183">
        <v>106000</v>
      </c>
      <c r="K21" s="183">
        <v>106000</v>
      </c>
      <c r="L21" s="183">
        <v>106000</v>
      </c>
      <c r="M21" s="785">
        <v>100000</v>
      </c>
      <c r="N21" s="785">
        <v>100000</v>
      </c>
      <c r="O21" s="785"/>
      <c r="P21" s="785"/>
      <c r="Q21" s="785">
        <v>100000</v>
      </c>
      <c r="R21" s="785">
        <v>100000</v>
      </c>
      <c r="S21" s="785"/>
      <c r="T21" s="785"/>
      <c r="U21" s="785">
        <v>100000</v>
      </c>
      <c r="V21" s="785">
        <v>100000</v>
      </c>
      <c r="W21" s="786">
        <f>X21</f>
        <v>100000</v>
      </c>
      <c r="X21" s="786">
        <v>100000</v>
      </c>
      <c r="Y21" s="786"/>
      <c r="Z21" s="786"/>
      <c r="AA21" s="785">
        <f t="shared" ref="AA21:AA28" si="7">AB21</f>
        <v>0</v>
      </c>
      <c r="AB21" s="779">
        <f t="shared" ref="AB21:AB28" si="8">V21-N21</f>
        <v>0</v>
      </c>
      <c r="AC21" s="176">
        <f t="shared" ref="AC21:AC25" si="9">IF(AB21&gt;0,AB21,0)</f>
        <v>0</v>
      </c>
      <c r="AD21" s="176">
        <f t="shared" ref="AD21:AD25" si="10">IF(AB21&lt;0,-AB21,0)</f>
        <v>0</v>
      </c>
      <c r="AE21" s="176">
        <f t="shared" ref="AE21:AE28" si="11">IF(AD21&gt;0,AD21,0)</f>
        <v>0</v>
      </c>
      <c r="AF21" s="176">
        <f t="shared" ref="AF21:AF28" si="12">IF(AD21&lt;0,-AD21,0)</f>
        <v>0</v>
      </c>
      <c r="AG21" s="188" t="s">
        <v>1981</v>
      </c>
      <c r="AN21" s="1009">
        <f t="shared" si="3"/>
        <v>0</v>
      </c>
    </row>
    <row r="22" spans="1:40" s="787" customFormat="1" ht="49.5" x14ac:dyDescent="0.25">
      <c r="A22" s="221">
        <v>2</v>
      </c>
      <c r="B22" s="211" t="s">
        <v>1982</v>
      </c>
      <c r="C22" s="188" t="s">
        <v>205</v>
      </c>
      <c r="D22" s="188" t="s">
        <v>1983</v>
      </c>
      <c r="E22" s="188" t="s">
        <v>199</v>
      </c>
      <c r="F22" s="784" t="s">
        <v>1984</v>
      </c>
      <c r="G22" s="180" t="s">
        <v>1985</v>
      </c>
      <c r="H22" s="788">
        <v>6290</v>
      </c>
      <c r="I22" s="183">
        <v>3000</v>
      </c>
      <c r="J22" s="183">
        <v>3000</v>
      </c>
      <c r="K22" s="183">
        <v>3000</v>
      </c>
      <c r="L22" s="183">
        <v>3000</v>
      </c>
      <c r="M22" s="785">
        <v>1500</v>
      </c>
      <c r="N22" s="785">
        <v>1500</v>
      </c>
      <c r="O22" s="785"/>
      <c r="P22" s="785"/>
      <c r="Q22" s="785">
        <v>1500</v>
      </c>
      <c r="R22" s="785">
        <v>1500</v>
      </c>
      <c r="S22" s="785"/>
      <c r="T22" s="785"/>
      <c r="U22" s="785">
        <v>1500</v>
      </c>
      <c r="V22" s="785">
        <v>1500</v>
      </c>
      <c r="W22" s="785">
        <v>1500</v>
      </c>
      <c r="X22" s="785">
        <v>1500</v>
      </c>
      <c r="Y22" s="786"/>
      <c r="Z22" s="786"/>
      <c r="AA22" s="785">
        <f t="shared" si="7"/>
        <v>0</v>
      </c>
      <c r="AB22" s="779">
        <f t="shared" si="8"/>
        <v>0</v>
      </c>
      <c r="AC22" s="176">
        <f t="shared" si="9"/>
        <v>0</v>
      </c>
      <c r="AD22" s="176">
        <f t="shared" si="10"/>
        <v>0</v>
      </c>
      <c r="AE22" s="176">
        <f t="shared" si="11"/>
        <v>0</v>
      </c>
      <c r="AF22" s="176">
        <f t="shared" si="12"/>
        <v>0</v>
      </c>
      <c r="AG22" s="185"/>
      <c r="AN22" s="1009">
        <f t="shared" si="3"/>
        <v>0</v>
      </c>
    </row>
    <row r="23" spans="1:40" s="787" customFormat="1" ht="49.5" x14ac:dyDescent="0.25">
      <c r="A23" s="221">
        <v>3</v>
      </c>
      <c r="B23" s="211" t="s">
        <v>57</v>
      </c>
      <c r="C23" s="188" t="s">
        <v>58</v>
      </c>
      <c r="D23" s="188" t="s">
        <v>59</v>
      </c>
      <c r="E23" s="188" t="s">
        <v>60</v>
      </c>
      <c r="F23" s="188" t="s">
        <v>61</v>
      </c>
      <c r="G23" s="183">
        <v>528848</v>
      </c>
      <c r="H23" s="788">
        <v>40000</v>
      </c>
      <c r="I23" s="183"/>
      <c r="J23" s="183"/>
      <c r="K23" s="183"/>
      <c r="L23" s="183"/>
      <c r="M23" s="785">
        <v>40000</v>
      </c>
      <c r="N23" s="785">
        <v>40000</v>
      </c>
      <c r="O23" s="785"/>
      <c r="P23" s="785"/>
      <c r="Q23" s="785">
        <v>40000</v>
      </c>
      <c r="R23" s="785">
        <v>40000</v>
      </c>
      <c r="S23" s="785"/>
      <c r="T23" s="785"/>
      <c r="U23" s="785">
        <v>40000</v>
      </c>
      <c r="V23" s="785">
        <v>40000</v>
      </c>
      <c r="W23" s="785">
        <v>40000</v>
      </c>
      <c r="X23" s="785">
        <v>40000</v>
      </c>
      <c r="Y23" s="786"/>
      <c r="Z23" s="786"/>
      <c r="AA23" s="785">
        <f t="shared" si="7"/>
        <v>0</v>
      </c>
      <c r="AB23" s="779">
        <f t="shared" si="8"/>
        <v>0</v>
      </c>
      <c r="AC23" s="176">
        <f t="shared" si="9"/>
        <v>0</v>
      </c>
      <c r="AD23" s="176">
        <f t="shared" si="10"/>
        <v>0</v>
      </c>
      <c r="AE23" s="176">
        <f t="shared" si="11"/>
        <v>0</v>
      </c>
      <c r="AF23" s="176">
        <f t="shared" si="12"/>
        <v>0</v>
      </c>
      <c r="AG23" s="185"/>
      <c r="AN23" s="1009">
        <f t="shared" si="3"/>
        <v>0</v>
      </c>
    </row>
    <row r="24" spans="1:40" s="787" customFormat="1" ht="49.5" x14ac:dyDescent="0.25">
      <c r="A24" s="221">
        <v>4</v>
      </c>
      <c r="B24" s="211" t="s">
        <v>1986</v>
      </c>
      <c r="C24" s="188" t="s">
        <v>1987</v>
      </c>
      <c r="D24" s="188" t="s">
        <v>1988</v>
      </c>
      <c r="E24" s="181" t="s">
        <v>199</v>
      </c>
      <c r="F24" s="784" t="s">
        <v>1989</v>
      </c>
      <c r="G24" s="789">
        <v>47729</v>
      </c>
      <c r="H24" s="789">
        <v>47729</v>
      </c>
      <c r="I24" s="789">
        <v>10000</v>
      </c>
      <c r="J24" s="789">
        <v>10000</v>
      </c>
      <c r="K24" s="789">
        <v>10000</v>
      </c>
      <c r="L24" s="789">
        <v>10000</v>
      </c>
      <c r="M24" s="785">
        <f>N24</f>
        <v>36650</v>
      </c>
      <c r="N24" s="785">
        <v>36650</v>
      </c>
      <c r="O24" s="785"/>
      <c r="P24" s="785"/>
      <c r="Q24" s="785">
        <f>R24</f>
        <v>36650</v>
      </c>
      <c r="R24" s="785">
        <v>36650</v>
      </c>
      <c r="S24" s="785"/>
      <c r="T24" s="785"/>
      <c r="U24" s="785">
        <f>V24</f>
        <v>36650</v>
      </c>
      <c r="V24" s="785">
        <v>36650</v>
      </c>
      <c r="W24" s="785">
        <f>20000+10646</f>
        <v>30646</v>
      </c>
      <c r="X24" s="785">
        <f>20000+10646</f>
        <v>30646</v>
      </c>
      <c r="Y24" s="786">
        <f>Z24</f>
        <v>6000</v>
      </c>
      <c r="Z24" s="786">
        <v>6000</v>
      </c>
      <c r="AA24" s="785">
        <f t="shared" si="7"/>
        <v>0</v>
      </c>
      <c r="AB24" s="779">
        <f t="shared" si="8"/>
        <v>0</v>
      </c>
      <c r="AC24" s="176">
        <f t="shared" si="9"/>
        <v>0</v>
      </c>
      <c r="AD24" s="176">
        <f t="shared" si="10"/>
        <v>0</v>
      </c>
      <c r="AE24" s="176">
        <f t="shared" si="11"/>
        <v>0</v>
      </c>
      <c r="AF24" s="176">
        <f t="shared" si="12"/>
        <v>0</v>
      </c>
      <c r="AG24" s="185"/>
      <c r="AN24" s="1009">
        <f t="shared" si="3"/>
        <v>0</v>
      </c>
    </row>
    <row r="25" spans="1:40" s="787" customFormat="1" ht="99" x14ac:dyDescent="0.25">
      <c r="A25" s="221">
        <v>5</v>
      </c>
      <c r="B25" s="263" t="s">
        <v>74</v>
      </c>
      <c r="C25" s="188" t="s">
        <v>75</v>
      </c>
      <c r="D25" s="188" t="s">
        <v>76</v>
      </c>
      <c r="E25" s="197" t="s">
        <v>77</v>
      </c>
      <c r="F25" s="188" t="s">
        <v>78</v>
      </c>
      <c r="G25" s="790">
        <v>945665</v>
      </c>
      <c r="H25" s="790">
        <v>107625</v>
      </c>
      <c r="I25" s="426">
        <v>102348</v>
      </c>
      <c r="J25" s="220">
        <v>3348</v>
      </c>
      <c r="K25" s="220">
        <v>33334</v>
      </c>
      <c r="L25" s="220">
        <v>3348</v>
      </c>
      <c r="M25" s="220">
        <v>912330</v>
      </c>
      <c r="N25" s="786">
        <v>48960</v>
      </c>
      <c r="O25" s="786"/>
      <c r="P25" s="786"/>
      <c r="Q25" s="220">
        <v>912330</v>
      </c>
      <c r="R25" s="786">
        <v>48960</v>
      </c>
      <c r="S25" s="786"/>
      <c r="T25" s="786"/>
      <c r="U25" s="220">
        <v>912330</v>
      </c>
      <c r="V25" s="786">
        <v>48960</v>
      </c>
      <c r="W25" s="786"/>
      <c r="X25" s="786"/>
      <c r="Y25" s="786"/>
      <c r="Z25" s="786"/>
      <c r="AA25" s="785">
        <f t="shared" si="7"/>
        <v>0</v>
      </c>
      <c r="AB25" s="779">
        <f t="shared" si="8"/>
        <v>0</v>
      </c>
      <c r="AC25" s="176">
        <f t="shared" si="9"/>
        <v>0</v>
      </c>
      <c r="AD25" s="176">
        <f t="shared" si="10"/>
        <v>0</v>
      </c>
      <c r="AE25" s="176">
        <f t="shared" si="11"/>
        <v>0</v>
      </c>
      <c r="AF25" s="176">
        <f t="shared" si="12"/>
        <v>0</v>
      </c>
      <c r="AG25" s="185" t="s">
        <v>1990</v>
      </c>
      <c r="AN25" s="1009">
        <f t="shared" si="3"/>
        <v>0</v>
      </c>
    </row>
    <row r="26" spans="1:40" ht="17.25" x14ac:dyDescent="0.25">
      <c r="A26" s="792"/>
      <c r="B26" s="791" t="s">
        <v>1991</v>
      </c>
      <c r="C26" s="447"/>
      <c r="D26" s="449"/>
      <c r="E26" s="449"/>
      <c r="F26" s="449"/>
      <c r="G26" s="228"/>
      <c r="H26" s="779">
        <f>G26</f>
        <v>0</v>
      </c>
      <c r="I26" s="228"/>
      <c r="J26" s="779"/>
      <c r="K26" s="228"/>
      <c r="L26" s="779"/>
      <c r="M26" s="228"/>
      <c r="N26" s="779"/>
      <c r="O26" s="779"/>
      <c r="P26" s="779"/>
      <c r="Q26" s="228"/>
      <c r="R26" s="779"/>
      <c r="S26" s="779"/>
      <c r="T26" s="779"/>
      <c r="U26" s="228"/>
      <c r="V26" s="779"/>
      <c r="W26" s="792"/>
      <c r="X26" s="792"/>
      <c r="Y26" s="792"/>
      <c r="Z26" s="792"/>
      <c r="AA26" s="785">
        <f t="shared" si="7"/>
        <v>0</v>
      </c>
      <c r="AB26" s="779">
        <f t="shared" si="8"/>
        <v>0</v>
      </c>
      <c r="AC26" s="785">
        <f t="shared" ref="AC26" si="13">AD26</f>
        <v>0</v>
      </c>
      <c r="AD26" s="779">
        <f t="shared" ref="AD26" si="14">X26-V26</f>
        <v>0</v>
      </c>
      <c r="AE26" s="176">
        <f t="shared" si="11"/>
        <v>0</v>
      </c>
      <c r="AF26" s="176">
        <f t="shared" si="12"/>
        <v>0</v>
      </c>
      <c r="AG26" s="792"/>
      <c r="AN26" s="1009">
        <f t="shared" si="3"/>
        <v>0</v>
      </c>
    </row>
    <row r="27" spans="1:40" ht="115.5" x14ac:dyDescent="0.25">
      <c r="A27" s="221">
        <v>6</v>
      </c>
      <c r="B27" s="183" t="s">
        <v>1992</v>
      </c>
      <c r="C27" s="188" t="s">
        <v>205</v>
      </c>
      <c r="D27" s="180" t="s">
        <v>1993</v>
      </c>
      <c r="E27" s="197" t="s">
        <v>199</v>
      </c>
      <c r="F27" s="188" t="s">
        <v>1994</v>
      </c>
      <c r="G27" s="790">
        <v>6764</v>
      </c>
      <c r="H27" s="779">
        <f>G27</f>
        <v>6764</v>
      </c>
      <c r="I27" s="789">
        <v>3000</v>
      </c>
      <c r="J27" s="779">
        <f>I27</f>
        <v>3000</v>
      </c>
      <c r="K27" s="789">
        <v>3000</v>
      </c>
      <c r="L27" s="779">
        <f>K27</f>
        <v>3000</v>
      </c>
      <c r="M27" s="779">
        <v>3100</v>
      </c>
      <c r="N27" s="779">
        <f>M27</f>
        <v>3100</v>
      </c>
      <c r="O27" s="779"/>
      <c r="P27" s="779"/>
      <c r="Q27" s="779">
        <v>3100</v>
      </c>
      <c r="R27" s="779">
        <f>Q27</f>
        <v>3100</v>
      </c>
      <c r="S27" s="779"/>
      <c r="T27" s="779"/>
      <c r="U27" s="779">
        <v>3100</v>
      </c>
      <c r="V27" s="779">
        <f>U27</f>
        <v>3100</v>
      </c>
      <c r="W27" s="779">
        <f>X27</f>
        <v>2800</v>
      </c>
      <c r="X27" s="785">
        <v>2800</v>
      </c>
      <c r="Y27" s="792">
        <v>580</v>
      </c>
      <c r="Z27" s="792">
        <v>580</v>
      </c>
      <c r="AA27" s="785">
        <f t="shared" si="7"/>
        <v>0</v>
      </c>
      <c r="AB27" s="779">
        <f t="shared" si="8"/>
        <v>0</v>
      </c>
      <c r="AC27" s="176">
        <f t="shared" ref="AC27:AC28" si="15">IF(AB27&gt;0,AB27,0)</f>
        <v>0</v>
      </c>
      <c r="AD27" s="176">
        <f t="shared" ref="AD27:AD28" si="16">IF(AB27&lt;0,-AB27,0)</f>
        <v>0</v>
      </c>
      <c r="AE27" s="176">
        <f t="shared" si="11"/>
        <v>0</v>
      </c>
      <c r="AF27" s="176">
        <f t="shared" si="12"/>
        <v>0</v>
      </c>
      <c r="AG27" s="792"/>
      <c r="AN27" s="1009">
        <f t="shared" si="3"/>
        <v>0</v>
      </c>
    </row>
    <row r="28" spans="1:40" ht="49.5" x14ac:dyDescent="0.25">
      <c r="A28" s="221">
        <v>7</v>
      </c>
      <c r="B28" s="263" t="s">
        <v>1995</v>
      </c>
      <c r="C28" s="188" t="s">
        <v>52</v>
      </c>
      <c r="D28" s="197"/>
      <c r="E28" s="197" t="s">
        <v>199</v>
      </c>
      <c r="F28" s="180" t="s">
        <v>1996</v>
      </c>
      <c r="G28" s="178">
        <v>14277</v>
      </c>
      <c r="H28" s="779">
        <f>G28</f>
        <v>14277</v>
      </c>
      <c r="I28" s="789">
        <v>9000</v>
      </c>
      <c r="J28" s="779">
        <f>I28</f>
        <v>9000</v>
      </c>
      <c r="K28" s="789">
        <v>9000</v>
      </c>
      <c r="L28" s="779">
        <f>K28</f>
        <v>9000</v>
      </c>
      <c r="M28" s="779">
        <v>2000</v>
      </c>
      <c r="N28" s="779">
        <f>M28</f>
        <v>2000</v>
      </c>
      <c r="O28" s="779"/>
      <c r="P28" s="779"/>
      <c r="Q28" s="779">
        <v>2000</v>
      </c>
      <c r="R28" s="779">
        <f>Q28</f>
        <v>2000</v>
      </c>
      <c r="S28" s="779"/>
      <c r="T28" s="779"/>
      <c r="U28" s="779">
        <v>2000</v>
      </c>
      <c r="V28" s="779">
        <f>U28</f>
        <v>2000</v>
      </c>
      <c r="W28" s="792">
        <v>2000</v>
      </c>
      <c r="X28" s="785">
        <v>2000</v>
      </c>
      <c r="Y28" s="792"/>
      <c r="Z28" s="792"/>
      <c r="AA28" s="785">
        <f t="shared" si="7"/>
        <v>0</v>
      </c>
      <c r="AB28" s="779">
        <f t="shared" si="8"/>
        <v>0</v>
      </c>
      <c r="AC28" s="176">
        <f t="shared" si="15"/>
        <v>0</v>
      </c>
      <c r="AD28" s="176">
        <f t="shared" si="16"/>
        <v>0</v>
      </c>
      <c r="AE28" s="176">
        <f t="shared" si="11"/>
        <v>0</v>
      </c>
      <c r="AF28" s="176">
        <f t="shared" si="12"/>
        <v>0</v>
      </c>
      <c r="AG28" s="792"/>
      <c r="AN28" s="1009">
        <f t="shared" si="3"/>
        <v>0</v>
      </c>
    </row>
    <row r="29" spans="1:40" s="782" customFormat="1" ht="51.75" x14ac:dyDescent="0.25">
      <c r="A29" s="195" t="s">
        <v>85</v>
      </c>
      <c r="B29" s="193" t="s">
        <v>86</v>
      </c>
      <c r="C29" s="192"/>
      <c r="D29" s="192"/>
      <c r="E29" s="192"/>
      <c r="F29" s="192"/>
      <c r="G29" s="190">
        <f t="shared" ref="G29:H29" si="17">G30+G58</f>
        <v>483078</v>
      </c>
      <c r="H29" s="190">
        <f t="shared" si="17"/>
        <v>483078</v>
      </c>
      <c r="I29" s="190"/>
      <c r="J29" s="190"/>
      <c r="K29" s="190"/>
      <c r="L29" s="190"/>
      <c r="M29" s="190">
        <f t="shared" ref="M29:AE29" si="18">M30+M58</f>
        <v>307632</v>
      </c>
      <c r="N29" s="190">
        <f t="shared" si="18"/>
        <v>298737</v>
      </c>
      <c r="O29" s="190">
        <f t="shared" ref="O29:R29" si="19">O30+O58</f>
        <v>29000</v>
      </c>
      <c r="P29" s="190">
        <f t="shared" si="19"/>
        <v>30500</v>
      </c>
      <c r="Q29" s="190">
        <f t="shared" si="19"/>
        <v>311332</v>
      </c>
      <c r="R29" s="190">
        <f t="shared" si="19"/>
        <v>298737</v>
      </c>
      <c r="S29" s="190">
        <f t="shared" si="18"/>
        <v>2300</v>
      </c>
      <c r="T29" s="190"/>
      <c r="U29" s="190">
        <f t="shared" si="18"/>
        <v>313632</v>
      </c>
      <c r="V29" s="190">
        <f t="shared" si="18"/>
        <v>301037</v>
      </c>
      <c r="W29" s="190">
        <f t="shared" si="18"/>
        <v>133766</v>
      </c>
      <c r="X29" s="190">
        <f t="shared" si="18"/>
        <v>133766</v>
      </c>
      <c r="Y29" s="190"/>
      <c r="Z29" s="190"/>
      <c r="AA29" s="190">
        <f t="shared" si="18"/>
        <v>6000</v>
      </c>
      <c r="AB29" s="190">
        <f t="shared" si="18"/>
        <v>2300</v>
      </c>
      <c r="AC29" s="190">
        <f t="shared" si="18"/>
        <v>6000</v>
      </c>
      <c r="AD29" s="190">
        <f t="shared" si="18"/>
        <v>2300</v>
      </c>
      <c r="AE29" s="190">
        <f t="shared" si="18"/>
        <v>13720</v>
      </c>
      <c r="AF29" s="190">
        <f>AF30+AF58</f>
        <v>11420</v>
      </c>
      <c r="AG29" s="189"/>
      <c r="AN29" s="1009">
        <f t="shared" si="3"/>
        <v>1</v>
      </c>
    </row>
    <row r="30" spans="1:40" s="782" customFormat="1" ht="69" x14ac:dyDescent="0.25">
      <c r="A30" s="194" t="s">
        <v>87</v>
      </c>
      <c r="B30" s="193" t="s">
        <v>88</v>
      </c>
      <c r="C30" s="192"/>
      <c r="D30" s="192"/>
      <c r="E30" s="192"/>
      <c r="F30" s="192"/>
      <c r="G30" s="190">
        <f t="shared" ref="G30:P30" si="20">SUM(G31:G57)</f>
        <v>413078</v>
      </c>
      <c r="H30" s="190">
        <f t="shared" si="20"/>
        <v>413078</v>
      </c>
      <c r="I30" s="190"/>
      <c r="J30" s="190"/>
      <c r="K30" s="190"/>
      <c r="L30" s="190"/>
      <c r="M30" s="190">
        <f t="shared" si="20"/>
        <v>272472</v>
      </c>
      <c r="N30" s="190">
        <f t="shared" si="20"/>
        <v>263577</v>
      </c>
      <c r="O30" s="190">
        <f t="shared" si="20"/>
        <v>29000</v>
      </c>
      <c r="P30" s="190">
        <f t="shared" si="20"/>
        <v>3400</v>
      </c>
      <c r="Q30" s="190">
        <f>SUM(Q31:Q57)</f>
        <v>284192</v>
      </c>
      <c r="R30" s="190">
        <f t="shared" ref="R30:AF30" si="21">SUM(R31:R57)</f>
        <v>271597</v>
      </c>
      <c r="S30" s="190">
        <f t="shared" si="21"/>
        <v>2300</v>
      </c>
      <c r="T30" s="190"/>
      <c r="U30" s="190">
        <f t="shared" si="21"/>
        <v>286492</v>
      </c>
      <c r="V30" s="190">
        <f t="shared" si="21"/>
        <v>273897</v>
      </c>
      <c r="W30" s="190">
        <f t="shared" si="21"/>
        <v>133766</v>
      </c>
      <c r="X30" s="190">
        <f t="shared" si="21"/>
        <v>133766</v>
      </c>
      <c r="Y30" s="190">
        <f t="shared" si="21"/>
        <v>58867</v>
      </c>
      <c r="Z30" s="190">
        <f t="shared" si="21"/>
        <v>58867</v>
      </c>
      <c r="AA30" s="190">
        <f t="shared" si="21"/>
        <v>14020</v>
      </c>
      <c r="AB30" s="190">
        <f t="shared" si="21"/>
        <v>10320</v>
      </c>
      <c r="AC30" s="190">
        <f t="shared" si="21"/>
        <v>14020</v>
      </c>
      <c r="AD30" s="190">
        <f t="shared" si="21"/>
        <v>10320</v>
      </c>
      <c r="AE30" s="190">
        <f t="shared" si="21"/>
        <v>13720</v>
      </c>
      <c r="AF30" s="190">
        <f t="shared" si="21"/>
        <v>3400</v>
      </c>
      <c r="AG30" s="189"/>
      <c r="AN30" s="1009">
        <f t="shared" si="3"/>
        <v>1</v>
      </c>
    </row>
    <row r="31" spans="1:40" ht="49.5" x14ac:dyDescent="0.25">
      <c r="A31" s="221">
        <v>8</v>
      </c>
      <c r="B31" s="211" t="s">
        <v>89</v>
      </c>
      <c r="C31" s="188" t="s">
        <v>58</v>
      </c>
      <c r="D31" s="197" t="s">
        <v>90</v>
      </c>
      <c r="E31" s="197" t="s">
        <v>91</v>
      </c>
      <c r="F31" s="188" t="s">
        <v>92</v>
      </c>
      <c r="G31" s="789">
        <v>120000</v>
      </c>
      <c r="H31" s="779">
        <f>G31</f>
        <v>120000</v>
      </c>
      <c r="I31" s="792"/>
      <c r="J31" s="792"/>
      <c r="K31" s="792"/>
      <c r="L31" s="792"/>
      <c r="M31" s="785">
        <v>25000</v>
      </c>
      <c r="N31" s="779">
        <f>M31</f>
        <v>25000</v>
      </c>
      <c r="O31" s="779"/>
      <c r="P31" s="779"/>
      <c r="Q31" s="785">
        <v>25000</v>
      </c>
      <c r="R31" s="779">
        <f>Q31</f>
        <v>25000</v>
      </c>
      <c r="S31" s="779"/>
      <c r="T31" s="779"/>
      <c r="U31" s="785">
        <v>25000</v>
      </c>
      <c r="V31" s="779">
        <f>U31</f>
        <v>25000</v>
      </c>
      <c r="W31" s="785">
        <v>25000</v>
      </c>
      <c r="X31" s="785">
        <v>25000</v>
      </c>
      <c r="Y31" s="792"/>
      <c r="Z31" s="792"/>
      <c r="AA31" s="785">
        <f t="shared" ref="AA31:AA55" si="22">AB31</f>
        <v>0</v>
      </c>
      <c r="AB31" s="779">
        <f t="shared" ref="AB31:AB55" si="23">V31-N31</f>
        <v>0</v>
      </c>
      <c r="AC31" s="176">
        <f t="shared" ref="AC31" si="24">IF(AB31&gt;0,AB31,0)</f>
        <v>0</v>
      </c>
      <c r="AD31" s="176">
        <f t="shared" ref="AD31" si="25">IF(AB31&lt;0,-AB31,0)</f>
        <v>0</v>
      </c>
      <c r="AE31" s="176">
        <f t="shared" ref="AE31:AE57" si="26">IF(AD31&gt;0,AD31,0)</f>
        <v>0</v>
      </c>
      <c r="AF31" s="176">
        <f t="shared" ref="AF31:AF57" si="27">IF(AD31&lt;0,-AD31,0)</f>
        <v>0</v>
      </c>
      <c r="AG31" s="792"/>
      <c r="AN31" s="1009">
        <f t="shared" si="3"/>
        <v>0</v>
      </c>
    </row>
    <row r="32" spans="1:40" ht="72" customHeight="1" x14ac:dyDescent="0.25">
      <c r="A32" s="221">
        <v>9</v>
      </c>
      <c r="B32" s="233" t="s">
        <v>678</v>
      </c>
      <c r="C32" s="188" t="s">
        <v>679</v>
      </c>
      <c r="D32" s="188" t="s">
        <v>1997</v>
      </c>
      <c r="E32" s="181" t="s">
        <v>199</v>
      </c>
      <c r="F32" s="784" t="s">
        <v>681</v>
      </c>
      <c r="G32" s="790">
        <v>14893</v>
      </c>
      <c r="H32" s="779">
        <f t="shared" ref="H32:H59" si="28">G32</f>
        <v>14893</v>
      </c>
      <c r="I32" s="792"/>
      <c r="J32" s="792"/>
      <c r="K32" s="792"/>
      <c r="L32" s="792"/>
      <c r="M32" s="785">
        <v>13400</v>
      </c>
      <c r="N32" s="779">
        <f t="shared" ref="N32:N60" si="29">M32</f>
        <v>13400</v>
      </c>
      <c r="O32" s="779"/>
      <c r="P32" s="779">
        <v>3400</v>
      </c>
      <c r="Q32" s="785">
        <f>R32+3700</f>
        <v>13700</v>
      </c>
      <c r="R32" s="779">
        <v>10000</v>
      </c>
      <c r="S32" s="779"/>
      <c r="T32" s="779"/>
      <c r="U32" s="785">
        <f>V32+3700</f>
        <v>13700</v>
      </c>
      <c r="V32" s="779">
        <v>10000</v>
      </c>
      <c r="W32" s="785">
        <v>10000</v>
      </c>
      <c r="X32" s="785">
        <v>10000</v>
      </c>
      <c r="Y32" s="792"/>
      <c r="Z32" s="792"/>
      <c r="AA32" s="785">
        <f>U32-M32</f>
        <v>300</v>
      </c>
      <c r="AB32" s="779">
        <f t="shared" si="23"/>
        <v>-3400</v>
      </c>
      <c r="AC32" s="176">
        <f t="shared" ref="AC32:AC55" si="30">U32-M32</f>
        <v>300</v>
      </c>
      <c r="AD32" s="176">
        <f t="shared" ref="AD32:AD55" si="31">V32-N32</f>
        <v>-3400</v>
      </c>
      <c r="AE32" s="176">
        <f t="shared" si="26"/>
        <v>0</v>
      </c>
      <c r="AF32" s="176">
        <f t="shared" si="27"/>
        <v>3400</v>
      </c>
      <c r="AG32" s="211" t="s">
        <v>1998</v>
      </c>
      <c r="AN32" s="1009">
        <f t="shared" si="3"/>
        <v>0</v>
      </c>
    </row>
    <row r="33" spans="1:40" ht="115.5" x14ac:dyDescent="0.25">
      <c r="A33" s="221">
        <v>10</v>
      </c>
      <c r="B33" s="233" t="s">
        <v>1999</v>
      </c>
      <c r="C33" s="188" t="s">
        <v>52</v>
      </c>
      <c r="D33" s="188" t="s">
        <v>2000</v>
      </c>
      <c r="E33" s="197">
        <v>2016</v>
      </c>
      <c r="F33" s="784" t="s">
        <v>2001</v>
      </c>
      <c r="G33" s="178">
        <v>11720</v>
      </c>
      <c r="H33" s="779">
        <f t="shared" si="28"/>
        <v>11720</v>
      </c>
      <c r="I33" s="792"/>
      <c r="J33" s="792"/>
      <c r="K33" s="792"/>
      <c r="L33" s="792"/>
      <c r="M33" s="785">
        <v>10500</v>
      </c>
      <c r="N33" s="779">
        <f t="shared" si="29"/>
        <v>10500</v>
      </c>
      <c r="O33" s="779"/>
      <c r="P33" s="779"/>
      <c r="Q33" s="785">
        <v>10500</v>
      </c>
      <c r="R33" s="779">
        <f t="shared" ref="R33:R39" si="32">Q33</f>
        <v>10500</v>
      </c>
      <c r="S33" s="779"/>
      <c r="T33" s="779"/>
      <c r="U33" s="785">
        <v>10500</v>
      </c>
      <c r="V33" s="779">
        <f t="shared" ref="V33:V39" si="33">U33</f>
        <v>10500</v>
      </c>
      <c r="W33" s="785">
        <v>5000</v>
      </c>
      <c r="X33" s="785">
        <v>5000</v>
      </c>
      <c r="Y33" s="792"/>
      <c r="Z33" s="792"/>
      <c r="AA33" s="785">
        <f t="shared" si="22"/>
        <v>0</v>
      </c>
      <c r="AB33" s="779">
        <f t="shared" si="23"/>
        <v>0</v>
      </c>
      <c r="AC33" s="176">
        <f t="shared" si="30"/>
        <v>0</v>
      </c>
      <c r="AD33" s="176">
        <f t="shared" si="31"/>
        <v>0</v>
      </c>
      <c r="AE33" s="176">
        <f t="shared" si="26"/>
        <v>0</v>
      </c>
      <c r="AF33" s="176">
        <f t="shared" si="27"/>
        <v>0</v>
      </c>
      <c r="AG33" s="792"/>
      <c r="AN33" s="1009">
        <f t="shared" si="3"/>
        <v>0</v>
      </c>
    </row>
    <row r="34" spans="1:40" ht="82.5" x14ac:dyDescent="0.25">
      <c r="A34" s="221">
        <v>11</v>
      </c>
      <c r="B34" s="233" t="s">
        <v>2002</v>
      </c>
      <c r="C34" s="188" t="s">
        <v>1987</v>
      </c>
      <c r="D34" s="188" t="s">
        <v>2003</v>
      </c>
      <c r="E34" s="197">
        <v>2016</v>
      </c>
      <c r="F34" s="188" t="s">
        <v>2004</v>
      </c>
      <c r="G34" s="178">
        <v>1494</v>
      </c>
      <c r="H34" s="779">
        <f t="shared" si="28"/>
        <v>1494</v>
      </c>
      <c r="I34" s="792"/>
      <c r="J34" s="792"/>
      <c r="K34" s="792"/>
      <c r="L34" s="792"/>
      <c r="M34" s="785">
        <v>1350</v>
      </c>
      <c r="N34" s="779">
        <f t="shared" si="29"/>
        <v>1350</v>
      </c>
      <c r="O34" s="779"/>
      <c r="P34" s="779"/>
      <c r="Q34" s="785">
        <v>1350</v>
      </c>
      <c r="R34" s="779">
        <f t="shared" si="32"/>
        <v>1350</v>
      </c>
      <c r="S34" s="779"/>
      <c r="T34" s="779"/>
      <c r="U34" s="785">
        <v>1350</v>
      </c>
      <c r="V34" s="779">
        <f t="shared" si="33"/>
        <v>1350</v>
      </c>
      <c r="W34" s="785">
        <v>1013</v>
      </c>
      <c r="X34" s="785">
        <v>1013</v>
      </c>
      <c r="Y34" s="792"/>
      <c r="Z34" s="792"/>
      <c r="AA34" s="785">
        <f t="shared" si="22"/>
        <v>0</v>
      </c>
      <c r="AB34" s="779">
        <f t="shared" si="23"/>
        <v>0</v>
      </c>
      <c r="AC34" s="176">
        <f t="shared" si="30"/>
        <v>0</v>
      </c>
      <c r="AD34" s="176">
        <f t="shared" si="31"/>
        <v>0</v>
      </c>
      <c r="AE34" s="176">
        <f t="shared" si="26"/>
        <v>0</v>
      </c>
      <c r="AF34" s="176">
        <f t="shared" si="27"/>
        <v>0</v>
      </c>
      <c r="AG34" s="792"/>
      <c r="AN34" s="1009">
        <f t="shared" si="3"/>
        <v>0</v>
      </c>
    </row>
    <row r="35" spans="1:40" ht="66" x14ac:dyDescent="0.25">
      <c r="A35" s="221">
        <v>12</v>
      </c>
      <c r="B35" s="211" t="s">
        <v>2005</v>
      </c>
      <c r="C35" s="180" t="s">
        <v>2006</v>
      </c>
      <c r="D35" s="188" t="s">
        <v>2007</v>
      </c>
      <c r="E35" s="197" t="s">
        <v>252</v>
      </c>
      <c r="F35" s="180" t="s">
        <v>2008</v>
      </c>
      <c r="G35" s="220">
        <v>44926</v>
      </c>
      <c r="H35" s="779">
        <f t="shared" si="28"/>
        <v>44926</v>
      </c>
      <c r="I35" s="792"/>
      <c r="J35" s="792"/>
      <c r="K35" s="792"/>
      <c r="L35" s="792"/>
      <c r="M35" s="178">
        <v>39240</v>
      </c>
      <c r="N35" s="779">
        <f t="shared" si="29"/>
        <v>39240</v>
      </c>
      <c r="O35" s="779"/>
      <c r="P35" s="779"/>
      <c r="Q35" s="178">
        <v>39240</v>
      </c>
      <c r="R35" s="779">
        <f t="shared" si="32"/>
        <v>39240</v>
      </c>
      <c r="S35" s="779"/>
      <c r="T35" s="779"/>
      <c r="U35" s="178">
        <v>39240</v>
      </c>
      <c r="V35" s="779">
        <f t="shared" si="33"/>
        <v>39240</v>
      </c>
      <c r="W35" s="178">
        <v>15000</v>
      </c>
      <c r="X35" s="178">
        <v>15000</v>
      </c>
      <c r="Y35" s="792"/>
      <c r="Z35" s="792"/>
      <c r="AA35" s="785">
        <f t="shared" si="22"/>
        <v>0</v>
      </c>
      <c r="AB35" s="779">
        <f t="shared" si="23"/>
        <v>0</v>
      </c>
      <c r="AC35" s="176">
        <f t="shared" si="30"/>
        <v>0</v>
      </c>
      <c r="AD35" s="176">
        <f t="shared" si="31"/>
        <v>0</v>
      </c>
      <c r="AE35" s="176">
        <f t="shared" si="26"/>
        <v>0</v>
      </c>
      <c r="AF35" s="176">
        <f t="shared" si="27"/>
        <v>0</v>
      </c>
      <c r="AG35" s="792"/>
      <c r="AN35" s="1009">
        <f t="shared" si="3"/>
        <v>0</v>
      </c>
    </row>
    <row r="36" spans="1:40" ht="49.5" x14ac:dyDescent="0.25">
      <c r="A36" s="221">
        <v>13</v>
      </c>
      <c r="B36" s="211" t="s">
        <v>2009</v>
      </c>
      <c r="C36" s="180" t="s">
        <v>2010</v>
      </c>
      <c r="D36" s="188" t="s">
        <v>2011</v>
      </c>
      <c r="E36" s="197">
        <v>2016</v>
      </c>
      <c r="F36" s="180" t="s">
        <v>2012</v>
      </c>
      <c r="G36" s="220">
        <v>221</v>
      </c>
      <c r="H36" s="779">
        <f t="shared" si="28"/>
        <v>221</v>
      </c>
      <c r="I36" s="792"/>
      <c r="J36" s="792"/>
      <c r="K36" s="792"/>
      <c r="L36" s="792"/>
      <c r="M36" s="178">
        <v>200</v>
      </c>
      <c r="N36" s="779">
        <f t="shared" si="29"/>
        <v>200</v>
      </c>
      <c r="O36" s="779"/>
      <c r="P36" s="779"/>
      <c r="Q36" s="178">
        <v>200</v>
      </c>
      <c r="R36" s="779">
        <f t="shared" si="32"/>
        <v>200</v>
      </c>
      <c r="S36" s="779"/>
      <c r="T36" s="779"/>
      <c r="U36" s="178">
        <v>200</v>
      </c>
      <c r="V36" s="779">
        <f t="shared" si="33"/>
        <v>200</v>
      </c>
      <c r="W36" s="178">
        <v>190</v>
      </c>
      <c r="X36" s="178">
        <v>190</v>
      </c>
      <c r="Y36" s="792"/>
      <c r="Z36" s="792"/>
      <c r="AA36" s="785">
        <f t="shared" si="22"/>
        <v>0</v>
      </c>
      <c r="AB36" s="779">
        <f t="shared" si="23"/>
        <v>0</v>
      </c>
      <c r="AC36" s="176">
        <f t="shared" si="30"/>
        <v>0</v>
      </c>
      <c r="AD36" s="176">
        <f t="shared" si="31"/>
        <v>0</v>
      </c>
      <c r="AE36" s="176">
        <f t="shared" si="26"/>
        <v>0</v>
      </c>
      <c r="AF36" s="176">
        <f t="shared" si="27"/>
        <v>0</v>
      </c>
      <c r="AG36" s="792"/>
      <c r="AN36" s="1009">
        <f t="shared" si="3"/>
        <v>0</v>
      </c>
    </row>
    <row r="37" spans="1:40" ht="82.5" x14ac:dyDescent="0.25">
      <c r="A37" s="221">
        <v>14</v>
      </c>
      <c r="B37" s="233" t="s">
        <v>2013</v>
      </c>
      <c r="C37" s="188" t="s">
        <v>205</v>
      </c>
      <c r="D37" s="188" t="s">
        <v>2014</v>
      </c>
      <c r="E37" s="197">
        <v>2016</v>
      </c>
      <c r="F37" s="784" t="s">
        <v>2015</v>
      </c>
      <c r="G37" s="178">
        <v>782</v>
      </c>
      <c r="H37" s="779">
        <f t="shared" si="28"/>
        <v>782</v>
      </c>
      <c r="I37" s="792"/>
      <c r="J37" s="792"/>
      <c r="K37" s="792"/>
      <c r="L37" s="792"/>
      <c r="M37" s="785">
        <v>740</v>
      </c>
      <c r="N37" s="779">
        <f t="shared" si="29"/>
        <v>740</v>
      </c>
      <c r="O37" s="779"/>
      <c r="P37" s="779"/>
      <c r="Q37" s="785">
        <v>740</v>
      </c>
      <c r="R37" s="779">
        <f t="shared" si="32"/>
        <v>740</v>
      </c>
      <c r="S37" s="779"/>
      <c r="T37" s="779"/>
      <c r="U37" s="785">
        <v>740</v>
      </c>
      <c r="V37" s="779">
        <f t="shared" si="33"/>
        <v>740</v>
      </c>
      <c r="W37" s="785">
        <v>500</v>
      </c>
      <c r="X37" s="785">
        <v>500</v>
      </c>
      <c r="Y37" s="792"/>
      <c r="Z37" s="792"/>
      <c r="AA37" s="785">
        <f t="shared" si="22"/>
        <v>0</v>
      </c>
      <c r="AB37" s="779">
        <f t="shared" si="23"/>
        <v>0</v>
      </c>
      <c r="AC37" s="176">
        <f t="shared" si="30"/>
        <v>0</v>
      </c>
      <c r="AD37" s="176">
        <f t="shared" si="31"/>
        <v>0</v>
      </c>
      <c r="AE37" s="176">
        <f t="shared" si="26"/>
        <v>0</v>
      </c>
      <c r="AF37" s="176">
        <f t="shared" si="27"/>
        <v>0</v>
      </c>
      <c r="AG37" s="792"/>
      <c r="AN37" s="1009">
        <f t="shared" si="3"/>
        <v>0</v>
      </c>
    </row>
    <row r="38" spans="1:40" ht="49.5" x14ac:dyDescent="0.25">
      <c r="A38" s="221">
        <v>15</v>
      </c>
      <c r="B38" s="233" t="s">
        <v>2016</v>
      </c>
      <c r="C38" s="188" t="s">
        <v>2017</v>
      </c>
      <c r="D38" s="188"/>
      <c r="E38" s="197">
        <v>2016</v>
      </c>
      <c r="F38" s="784" t="s">
        <v>2018</v>
      </c>
      <c r="G38" s="178">
        <v>537</v>
      </c>
      <c r="H38" s="779">
        <f t="shared" si="28"/>
        <v>537</v>
      </c>
      <c r="I38" s="792"/>
      <c r="J38" s="792"/>
      <c r="K38" s="792"/>
      <c r="L38" s="792"/>
      <c r="M38" s="785">
        <v>500</v>
      </c>
      <c r="N38" s="779">
        <f t="shared" si="29"/>
        <v>500</v>
      </c>
      <c r="O38" s="779"/>
      <c r="P38" s="779"/>
      <c r="Q38" s="785">
        <v>500</v>
      </c>
      <c r="R38" s="779">
        <f t="shared" si="32"/>
        <v>500</v>
      </c>
      <c r="S38" s="779"/>
      <c r="T38" s="779"/>
      <c r="U38" s="785">
        <v>500</v>
      </c>
      <c r="V38" s="779">
        <f t="shared" si="33"/>
        <v>500</v>
      </c>
      <c r="W38" s="785">
        <v>37</v>
      </c>
      <c r="X38" s="785">
        <v>37</v>
      </c>
      <c r="Y38" s="792"/>
      <c r="Z38" s="792"/>
      <c r="AA38" s="785">
        <f t="shared" si="22"/>
        <v>0</v>
      </c>
      <c r="AB38" s="779">
        <f t="shared" si="23"/>
        <v>0</v>
      </c>
      <c r="AC38" s="176">
        <f t="shared" si="30"/>
        <v>0</v>
      </c>
      <c r="AD38" s="176">
        <f t="shared" si="31"/>
        <v>0</v>
      </c>
      <c r="AE38" s="176">
        <f t="shared" si="26"/>
        <v>0</v>
      </c>
      <c r="AF38" s="176">
        <f t="shared" si="27"/>
        <v>0</v>
      </c>
      <c r="AG38" s="792"/>
      <c r="AN38" s="1009">
        <f t="shared" si="3"/>
        <v>0</v>
      </c>
    </row>
    <row r="39" spans="1:40" ht="82.5" x14ac:dyDescent="0.25">
      <c r="A39" s="221">
        <v>16</v>
      </c>
      <c r="B39" s="233" t="s">
        <v>2019</v>
      </c>
      <c r="C39" s="188" t="s">
        <v>1987</v>
      </c>
      <c r="D39" s="188" t="s">
        <v>2020</v>
      </c>
      <c r="E39" s="197">
        <v>2014</v>
      </c>
      <c r="F39" s="784" t="s">
        <v>2021</v>
      </c>
      <c r="G39" s="178">
        <v>20534</v>
      </c>
      <c r="H39" s="779">
        <f t="shared" si="28"/>
        <v>20534</v>
      </c>
      <c r="I39" s="792"/>
      <c r="J39" s="792"/>
      <c r="K39" s="792"/>
      <c r="L39" s="792"/>
      <c r="M39" s="785">
        <v>20530</v>
      </c>
      <c r="N39" s="779">
        <f t="shared" si="29"/>
        <v>20530</v>
      </c>
      <c r="O39" s="779"/>
      <c r="P39" s="779"/>
      <c r="Q39" s="785">
        <v>20530</v>
      </c>
      <c r="R39" s="779">
        <f t="shared" si="32"/>
        <v>20530</v>
      </c>
      <c r="S39" s="779"/>
      <c r="T39" s="779"/>
      <c r="U39" s="785">
        <v>20530</v>
      </c>
      <c r="V39" s="779">
        <f t="shared" si="33"/>
        <v>20530</v>
      </c>
      <c r="W39" s="785">
        <v>20534</v>
      </c>
      <c r="X39" s="785">
        <v>20534</v>
      </c>
      <c r="Y39" s="792"/>
      <c r="Z39" s="792"/>
      <c r="AA39" s="785">
        <f t="shared" si="22"/>
        <v>0</v>
      </c>
      <c r="AB39" s="779">
        <f t="shared" si="23"/>
        <v>0</v>
      </c>
      <c r="AC39" s="176">
        <f t="shared" si="30"/>
        <v>0</v>
      </c>
      <c r="AD39" s="176">
        <f t="shared" si="31"/>
        <v>0</v>
      </c>
      <c r="AE39" s="176">
        <f t="shared" si="26"/>
        <v>0</v>
      </c>
      <c r="AF39" s="176">
        <f t="shared" si="27"/>
        <v>0</v>
      </c>
      <c r="AG39" s="792"/>
      <c r="AN39" s="1009">
        <f t="shared" si="3"/>
        <v>0</v>
      </c>
    </row>
    <row r="40" spans="1:40" ht="17.25" x14ac:dyDescent="0.25">
      <c r="A40" s="792"/>
      <c r="B40" s="791" t="s">
        <v>1991</v>
      </c>
      <c r="C40" s="447"/>
      <c r="D40" s="449"/>
      <c r="E40" s="449"/>
      <c r="F40" s="449"/>
      <c r="G40" s="228"/>
      <c r="H40" s="779">
        <f t="shared" si="28"/>
        <v>0</v>
      </c>
      <c r="I40" s="228"/>
      <c r="J40" s="779"/>
      <c r="K40" s="792"/>
      <c r="L40" s="792"/>
      <c r="M40" s="228"/>
      <c r="N40" s="779"/>
      <c r="O40" s="779"/>
      <c r="P40" s="779"/>
      <c r="Q40" s="228"/>
      <c r="R40" s="779"/>
      <c r="S40" s="779"/>
      <c r="T40" s="779"/>
      <c r="U40" s="228"/>
      <c r="V40" s="779"/>
      <c r="W40" s="792"/>
      <c r="X40" s="792"/>
      <c r="Y40" s="792"/>
      <c r="Z40" s="792"/>
      <c r="AA40" s="785">
        <f t="shared" si="22"/>
        <v>0</v>
      </c>
      <c r="AB40" s="779">
        <f t="shared" si="23"/>
        <v>0</v>
      </c>
      <c r="AC40" s="176">
        <f t="shared" si="30"/>
        <v>0</v>
      </c>
      <c r="AD40" s="176">
        <f t="shared" si="31"/>
        <v>0</v>
      </c>
      <c r="AE40" s="176">
        <f t="shared" si="26"/>
        <v>0</v>
      </c>
      <c r="AF40" s="176">
        <f t="shared" si="27"/>
        <v>0</v>
      </c>
      <c r="AG40" s="792"/>
      <c r="AN40" s="1009">
        <f t="shared" si="3"/>
        <v>0</v>
      </c>
    </row>
    <row r="41" spans="1:40" ht="49.5" x14ac:dyDescent="0.25">
      <c r="A41" s="221">
        <v>17</v>
      </c>
      <c r="B41" s="183" t="s">
        <v>2022</v>
      </c>
      <c r="C41" s="188" t="s">
        <v>205</v>
      </c>
      <c r="D41" s="197" t="s">
        <v>2023</v>
      </c>
      <c r="E41" s="197" t="s">
        <v>97</v>
      </c>
      <c r="F41" s="180" t="s">
        <v>2024</v>
      </c>
      <c r="G41" s="790">
        <v>11423</v>
      </c>
      <c r="H41" s="779">
        <f t="shared" si="28"/>
        <v>11423</v>
      </c>
      <c r="I41" s="789"/>
      <c r="J41" s="792"/>
      <c r="K41" s="792"/>
      <c r="L41" s="792"/>
      <c r="M41" s="779">
        <v>10300</v>
      </c>
      <c r="N41" s="779">
        <f t="shared" si="29"/>
        <v>10300</v>
      </c>
      <c r="O41" s="779"/>
      <c r="P41" s="779"/>
      <c r="Q41" s="779">
        <v>10300</v>
      </c>
      <c r="R41" s="779">
        <f t="shared" ref="R41:R53" si="34">Q41</f>
        <v>10300</v>
      </c>
      <c r="S41" s="779"/>
      <c r="T41" s="779"/>
      <c r="U41" s="779">
        <v>10300</v>
      </c>
      <c r="V41" s="779">
        <f t="shared" ref="V41:V53" si="35">U41</f>
        <v>10300</v>
      </c>
      <c r="W41" s="779">
        <v>7000</v>
      </c>
      <c r="X41" s="779">
        <v>7000</v>
      </c>
      <c r="Y41" s="779">
        <v>3900</v>
      </c>
      <c r="Z41" s="779">
        <v>3900</v>
      </c>
      <c r="AA41" s="785">
        <f t="shared" si="22"/>
        <v>0</v>
      </c>
      <c r="AB41" s="779">
        <f t="shared" si="23"/>
        <v>0</v>
      </c>
      <c r="AC41" s="176">
        <f t="shared" si="30"/>
        <v>0</v>
      </c>
      <c r="AD41" s="176">
        <f t="shared" si="31"/>
        <v>0</v>
      </c>
      <c r="AE41" s="176">
        <f t="shared" si="26"/>
        <v>0</v>
      </c>
      <c r="AF41" s="176">
        <f t="shared" si="27"/>
        <v>0</v>
      </c>
      <c r="AG41" s="792"/>
      <c r="AN41" s="1009">
        <f t="shared" si="3"/>
        <v>0</v>
      </c>
    </row>
    <row r="42" spans="1:40" ht="49.5" x14ac:dyDescent="0.25">
      <c r="A42" s="221">
        <v>18</v>
      </c>
      <c r="B42" s="183" t="s">
        <v>2025</v>
      </c>
      <c r="C42" s="188" t="s">
        <v>205</v>
      </c>
      <c r="D42" s="197" t="s">
        <v>2026</v>
      </c>
      <c r="E42" s="197" t="s">
        <v>97</v>
      </c>
      <c r="F42" s="180" t="s">
        <v>2027</v>
      </c>
      <c r="G42" s="790">
        <v>13698</v>
      </c>
      <c r="H42" s="779">
        <f t="shared" si="28"/>
        <v>13698</v>
      </c>
      <c r="I42" s="789"/>
      <c r="J42" s="792"/>
      <c r="K42" s="792"/>
      <c r="L42" s="792"/>
      <c r="M42" s="779">
        <v>10790</v>
      </c>
      <c r="N42" s="779">
        <f t="shared" si="29"/>
        <v>10790</v>
      </c>
      <c r="O42" s="779"/>
      <c r="P42" s="779"/>
      <c r="Q42" s="779">
        <v>10790</v>
      </c>
      <c r="R42" s="779">
        <f t="shared" si="34"/>
        <v>10790</v>
      </c>
      <c r="S42" s="779"/>
      <c r="T42" s="779"/>
      <c r="U42" s="779">
        <v>10790</v>
      </c>
      <c r="V42" s="779">
        <f t="shared" si="35"/>
        <v>10790</v>
      </c>
      <c r="W42" s="779">
        <v>9000</v>
      </c>
      <c r="X42" s="779">
        <v>9000</v>
      </c>
      <c r="Y42" s="779">
        <v>1790</v>
      </c>
      <c r="Z42" s="779">
        <v>1790</v>
      </c>
      <c r="AA42" s="785">
        <f t="shared" si="22"/>
        <v>0</v>
      </c>
      <c r="AB42" s="779">
        <f t="shared" si="23"/>
        <v>0</v>
      </c>
      <c r="AC42" s="176">
        <f t="shared" si="30"/>
        <v>0</v>
      </c>
      <c r="AD42" s="176">
        <f t="shared" si="31"/>
        <v>0</v>
      </c>
      <c r="AE42" s="176">
        <f t="shared" si="26"/>
        <v>0</v>
      </c>
      <c r="AF42" s="176">
        <f t="shared" si="27"/>
        <v>0</v>
      </c>
      <c r="AG42" s="792"/>
      <c r="AN42" s="1009">
        <f t="shared" si="3"/>
        <v>0</v>
      </c>
    </row>
    <row r="43" spans="1:40" ht="66" x14ac:dyDescent="0.25">
      <c r="A43" s="221">
        <v>19</v>
      </c>
      <c r="B43" s="183" t="s">
        <v>2028</v>
      </c>
      <c r="C43" s="188" t="s">
        <v>2029</v>
      </c>
      <c r="D43" s="188" t="s">
        <v>2030</v>
      </c>
      <c r="E43" s="197" t="s">
        <v>199</v>
      </c>
      <c r="F43" s="180" t="s">
        <v>2031</v>
      </c>
      <c r="G43" s="789">
        <v>5658</v>
      </c>
      <c r="H43" s="779">
        <f t="shared" si="28"/>
        <v>5658</v>
      </c>
      <c r="I43" s="792"/>
      <c r="J43" s="792"/>
      <c r="K43" s="792"/>
      <c r="L43" s="792"/>
      <c r="M43" s="779">
        <v>800</v>
      </c>
      <c r="N43" s="779">
        <f t="shared" si="29"/>
        <v>800</v>
      </c>
      <c r="O43" s="779"/>
      <c r="P43" s="779"/>
      <c r="Q43" s="779">
        <v>800</v>
      </c>
      <c r="R43" s="779">
        <f t="shared" si="34"/>
        <v>800</v>
      </c>
      <c r="S43" s="779"/>
      <c r="T43" s="779"/>
      <c r="U43" s="779">
        <v>800</v>
      </c>
      <c r="V43" s="779">
        <f t="shared" si="35"/>
        <v>800</v>
      </c>
      <c r="W43" s="779">
        <v>800</v>
      </c>
      <c r="X43" s="779">
        <v>800</v>
      </c>
      <c r="Y43" s="792"/>
      <c r="Z43" s="792"/>
      <c r="AA43" s="785">
        <f t="shared" si="22"/>
        <v>0</v>
      </c>
      <c r="AB43" s="779">
        <f t="shared" si="23"/>
        <v>0</v>
      </c>
      <c r="AC43" s="176">
        <f t="shared" si="30"/>
        <v>0</v>
      </c>
      <c r="AD43" s="176">
        <f t="shared" si="31"/>
        <v>0</v>
      </c>
      <c r="AE43" s="176">
        <f t="shared" si="26"/>
        <v>0</v>
      </c>
      <c r="AF43" s="176">
        <f t="shared" si="27"/>
        <v>0</v>
      </c>
      <c r="AG43" s="792"/>
      <c r="AN43" s="1009">
        <f t="shared" si="3"/>
        <v>0</v>
      </c>
    </row>
    <row r="44" spans="1:40" ht="49.5" x14ac:dyDescent="0.25">
      <c r="A44" s="221">
        <v>20</v>
      </c>
      <c r="B44" s="263" t="s">
        <v>2032</v>
      </c>
      <c r="C44" s="188" t="s">
        <v>52</v>
      </c>
      <c r="D44" s="188" t="s">
        <v>2033</v>
      </c>
      <c r="E44" s="197" t="s">
        <v>97</v>
      </c>
      <c r="F44" s="180" t="s">
        <v>2034</v>
      </c>
      <c r="G44" s="789">
        <v>8205</v>
      </c>
      <c r="H44" s="779">
        <f t="shared" si="28"/>
        <v>8205</v>
      </c>
      <c r="I44" s="792"/>
      <c r="J44" s="792"/>
      <c r="K44" s="792"/>
      <c r="L44" s="792"/>
      <c r="M44" s="779">
        <v>7180</v>
      </c>
      <c r="N44" s="779">
        <f t="shared" si="29"/>
        <v>7180</v>
      </c>
      <c r="O44" s="779"/>
      <c r="P44" s="779"/>
      <c r="Q44" s="779">
        <v>7180</v>
      </c>
      <c r="R44" s="779">
        <f t="shared" si="34"/>
        <v>7180</v>
      </c>
      <c r="S44" s="779"/>
      <c r="T44" s="779"/>
      <c r="U44" s="779">
        <v>7180</v>
      </c>
      <c r="V44" s="779">
        <f t="shared" si="35"/>
        <v>7180</v>
      </c>
      <c r="W44" s="779">
        <v>5000</v>
      </c>
      <c r="X44" s="779">
        <v>5000</v>
      </c>
      <c r="Y44" s="779">
        <v>2180</v>
      </c>
      <c r="Z44" s="779">
        <v>2180</v>
      </c>
      <c r="AA44" s="785">
        <f t="shared" si="22"/>
        <v>0</v>
      </c>
      <c r="AB44" s="779">
        <f t="shared" si="23"/>
        <v>0</v>
      </c>
      <c r="AC44" s="176">
        <f t="shared" si="30"/>
        <v>0</v>
      </c>
      <c r="AD44" s="176">
        <f t="shared" si="31"/>
        <v>0</v>
      </c>
      <c r="AE44" s="176">
        <f t="shared" si="26"/>
        <v>0</v>
      </c>
      <c r="AF44" s="176">
        <f t="shared" si="27"/>
        <v>0</v>
      </c>
      <c r="AG44" s="792"/>
      <c r="AN44" s="1009">
        <f t="shared" si="3"/>
        <v>0</v>
      </c>
    </row>
    <row r="45" spans="1:40" ht="66" x14ac:dyDescent="0.25">
      <c r="A45" s="221">
        <v>21</v>
      </c>
      <c r="B45" s="263" t="s">
        <v>2035</v>
      </c>
      <c r="C45" s="188" t="s">
        <v>52</v>
      </c>
      <c r="D45" s="188"/>
      <c r="E45" s="197" t="s">
        <v>97</v>
      </c>
      <c r="F45" s="180" t="s">
        <v>2036</v>
      </c>
      <c r="G45" s="789">
        <v>12718</v>
      </c>
      <c r="H45" s="779">
        <f t="shared" si="28"/>
        <v>12718</v>
      </c>
      <c r="I45" s="792"/>
      <c r="J45" s="792"/>
      <c r="K45" s="792"/>
      <c r="L45" s="792"/>
      <c r="M45" s="779">
        <v>8900</v>
      </c>
      <c r="N45" s="779">
        <f t="shared" si="29"/>
        <v>8900</v>
      </c>
      <c r="O45" s="779"/>
      <c r="P45" s="779"/>
      <c r="Q45" s="779">
        <v>8900</v>
      </c>
      <c r="R45" s="779">
        <f t="shared" si="34"/>
        <v>8900</v>
      </c>
      <c r="S45" s="779"/>
      <c r="T45" s="779"/>
      <c r="U45" s="779">
        <v>8900</v>
      </c>
      <c r="V45" s="779">
        <f t="shared" si="35"/>
        <v>8900</v>
      </c>
      <c r="W45" s="779">
        <v>7000</v>
      </c>
      <c r="X45" s="779">
        <v>7000</v>
      </c>
      <c r="Y45" s="779">
        <v>1900</v>
      </c>
      <c r="Z45" s="779">
        <v>1900</v>
      </c>
      <c r="AA45" s="785">
        <f t="shared" si="22"/>
        <v>0</v>
      </c>
      <c r="AB45" s="779">
        <f t="shared" si="23"/>
        <v>0</v>
      </c>
      <c r="AC45" s="176">
        <f t="shared" si="30"/>
        <v>0</v>
      </c>
      <c r="AD45" s="176">
        <f t="shared" si="31"/>
        <v>0</v>
      </c>
      <c r="AE45" s="176">
        <f t="shared" si="26"/>
        <v>0</v>
      </c>
      <c r="AF45" s="176">
        <f t="shared" si="27"/>
        <v>0</v>
      </c>
      <c r="AG45" s="188" t="s">
        <v>2037</v>
      </c>
      <c r="AN45" s="1009">
        <f t="shared" si="3"/>
        <v>0</v>
      </c>
    </row>
    <row r="46" spans="1:40" ht="49.5" x14ac:dyDescent="0.25">
      <c r="A46" s="221">
        <v>22</v>
      </c>
      <c r="B46" s="263" t="s">
        <v>2038</v>
      </c>
      <c r="C46" s="188" t="s">
        <v>52</v>
      </c>
      <c r="D46" s="188" t="s">
        <v>2039</v>
      </c>
      <c r="E46" s="197" t="s">
        <v>97</v>
      </c>
      <c r="F46" s="180" t="s">
        <v>2040</v>
      </c>
      <c r="G46" s="789">
        <v>3650</v>
      </c>
      <c r="H46" s="779">
        <f t="shared" si="28"/>
        <v>3650</v>
      </c>
      <c r="I46" s="792"/>
      <c r="J46" s="792"/>
      <c r="K46" s="792"/>
      <c r="L46" s="792"/>
      <c r="M46" s="779">
        <v>3470</v>
      </c>
      <c r="N46" s="779">
        <f t="shared" si="29"/>
        <v>3470</v>
      </c>
      <c r="O46" s="779"/>
      <c r="P46" s="779"/>
      <c r="Q46" s="779">
        <v>3470</v>
      </c>
      <c r="R46" s="779">
        <f t="shared" si="34"/>
        <v>3470</v>
      </c>
      <c r="S46" s="779"/>
      <c r="T46" s="779"/>
      <c r="U46" s="779">
        <v>3470</v>
      </c>
      <c r="V46" s="779">
        <f t="shared" si="35"/>
        <v>3470</v>
      </c>
      <c r="W46" s="779">
        <v>2500</v>
      </c>
      <c r="X46" s="779">
        <v>2500</v>
      </c>
      <c r="Y46" s="779">
        <v>970</v>
      </c>
      <c r="Z46" s="779">
        <v>970</v>
      </c>
      <c r="AA46" s="785">
        <f t="shared" si="22"/>
        <v>0</v>
      </c>
      <c r="AB46" s="779">
        <f t="shared" si="23"/>
        <v>0</v>
      </c>
      <c r="AC46" s="176">
        <f t="shared" si="30"/>
        <v>0</v>
      </c>
      <c r="AD46" s="176">
        <f t="shared" si="31"/>
        <v>0</v>
      </c>
      <c r="AE46" s="176">
        <f t="shared" si="26"/>
        <v>0</v>
      </c>
      <c r="AF46" s="176">
        <f t="shared" si="27"/>
        <v>0</v>
      </c>
      <c r="AG46" s="792"/>
      <c r="AN46" s="1009">
        <f t="shared" si="3"/>
        <v>0</v>
      </c>
    </row>
    <row r="47" spans="1:40" ht="49.5" x14ac:dyDescent="0.25">
      <c r="A47" s="221">
        <v>23</v>
      </c>
      <c r="B47" s="263" t="s">
        <v>2041</v>
      </c>
      <c r="C47" s="188" t="s">
        <v>99</v>
      </c>
      <c r="D47" s="180" t="s">
        <v>2042</v>
      </c>
      <c r="E47" s="197" t="s">
        <v>97</v>
      </c>
      <c r="F47" s="180" t="s">
        <v>2043</v>
      </c>
      <c r="G47" s="789">
        <v>2849</v>
      </c>
      <c r="H47" s="779">
        <f t="shared" si="28"/>
        <v>2849</v>
      </c>
      <c r="I47" s="792"/>
      <c r="J47" s="792"/>
      <c r="K47" s="792"/>
      <c r="L47" s="792"/>
      <c r="M47" s="779">
        <v>2700</v>
      </c>
      <c r="N47" s="779">
        <f t="shared" si="29"/>
        <v>2700</v>
      </c>
      <c r="O47" s="779"/>
      <c r="P47" s="779"/>
      <c r="Q47" s="779">
        <v>2700</v>
      </c>
      <c r="R47" s="779">
        <f t="shared" si="34"/>
        <v>2700</v>
      </c>
      <c r="S47" s="779"/>
      <c r="T47" s="779"/>
      <c r="U47" s="779">
        <v>2700</v>
      </c>
      <c r="V47" s="779">
        <f t="shared" si="35"/>
        <v>2700</v>
      </c>
      <c r="W47" s="779">
        <v>2140</v>
      </c>
      <c r="X47" s="779">
        <v>2140</v>
      </c>
      <c r="Y47" s="792"/>
      <c r="Z47" s="792"/>
      <c r="AA47" s="785">
        <f t="shared" si="22"/>
        <v>0</v>
      </c>
      <c r="AB47" s="779">
        <f t="shared" si="23"/>
        <v>0</v>
      </c>
      <c r="AC47" s="176">
        <f t="shared" si="30"/>
        <v>0</v>
      </c>
      <c r="AD47" s="176">
        <f t="shared" si="31"/>
        <v>0</v>
      </c>
      <c r="AE47" s="176">
        <f t="shared" si="26"/>
        <v>0</v>
      </c>
      <c r="AF47" s="176">
        <f t="shared" si="27"/>
        <v>0</v>
      </c>
      <c r="AG47" s="792"/>
      <c r="AN47" s="1009">
        <f t="shared" si="3"/>
        <v>0</v>
      </c>
    </row>
    <row r="48" spans="1:40" ht="49.5" x14ac:dyDescent="0.25">
      <c r="A48" s="221">
        <v>24</v>
      </c>
      <c r="B48" s="263" t="s">
        <v>2044</v>
      </c>
      <c r="C48" s="188" t="s">
        <v>99</v>
      </c>
      <c r="D48" s="180" t="s">
        <v>2045</v>
      </c>
      <c r="E48" s="197" t="s">
        <v>97</v>
      </c>
      <c r="F48" s="180" t="s">
        <v>2046</v>
      </c>
      <c r="G48" s="789">
        <v>3586</v>
      </c>
      <c r="H48" s="779">
        <f t="shared" si="28"/>
        <v>3586</v>
      </c>
      <c r="I48" s="792"/>
      <c r="J48" s="792"/>
      <c r="K48" s="792"/>
      <c r="L48" s="792"/>
      <c r="M48" s="779">
        <v>3400</v>
      </c>
      <c r="N48" s="779">
        <f t="shared" si="29"/>
        <v>3400</v>
      </c>
      <c r="O48" s="779"/>
      <c r="P48" s="779"/>
      <c r="Q48" s="779">
        <v>3400</v>
      </c>
      <c r="R48" s="779">
        <f t="shared" si="34"/>
        <v>3400</v>
      </c>
      <c r="S48" s="779"/>
      <c r="T48" s="779"/>
      <c r="U48" s="779">
        <v>3400</v>
      </c>
      <c r="V48" s="779">
        <f t="shared" si="35"/>
        <v>3400</v>
      </c>
      <c r="W48" s="779">
        <v>2690</v>
      </c>
      <c r="X48" s="779">
        <v>2690</v>
      </c>
      <c r="Y48" s="792"/>
      <c r="Z48" s="792"/>
      <c r="AA48" s="785">
        <f t="shared" si="22"/>
        <v>0</v>
      </c>
      <c r="AB48" s="779">
        <f t="shared" si="23"/>
        <v>0</v>
      </c>
      <c r="AC48" s="176">
        <f t="shared" si="30"/>
        <v>0</v>
      </c>
      <c r="AD48" s="176">
        <f t="shared" si="31"/>
        <v>0</v>
      </c>
      <c r="AE48" s="176">
        <f t="shared" si="26"/>
        <v>0</v>
      </c>
      <c r="AF48" s="176">
        <f t="shared" si="27"/>
        <v>0</v>
      </c>
      <c r="AG48" s="792"/>
      <c r="AN48" s="1009">
        <f t="shared" si="3"/>
        <v>0</v>
      </c>
    </row>
    <row r="49" spans="1:41" ht="66" x14ac:dyDescent="0.25">
      <c r="A49" s="221">
        <v>25</v>
      </c>
      <c r="B49" s="263" t="s">
        <v>2047</v>
      </c>
      <c r="C49" s="188" t="s">
        <v>99</v>
      </c>
      <c r="D49" s="188" t="s">
        <v>2048</v>
      </c>
      <c r="E49" s="197" t="s">
        <v>97</v>
      </c>
      <c r="F49" s="180" t="s">
        <v>2049</v>
      </c>
      <c r="G49" s="183">
        <v>33738</v>
      </c>
      <c r="H49" s="779">
        <f t="shared" si="28"/>
        <v>33738</v>
      </c>
      <c r="I49" s="792"/>
      <c r="J49" s="792"/>
      <c r="K49" s="792"/>
      <c r="L49" s="792"/>
      <c r="M49" s="779">
        <v>30350</v>
      </c>
      <c r="N49" s="779">
        <f t="shared" si="29"/>
        <v>30350</v>
      </c>
      <c r="O49" s="779"/>
      <c r="P49" s="779"/>
      <c r="Q49" s="779">
        <v>30350</v>
      </c>
      <c r="R49" s="779">
        <f t="shared" si="34"/>
        <v>30350</v>
      </c>
      <c r="S49" s="779"/>
      <c r="T49" s="779"/>
      <c r="U49" s="779">
        <v>30350</v>
      </c>
      <c r="V49" s="779">
        <f t="shared" si="35"/>
        <v>30350</v>
      </c>
      <c r="W49" s="779">
        <v>19362</v>
      </c>
      <c r="X49" s="779">
        <v>19362</v>
      </c>
      <c r="Y49" s="779">
        <v>11000</v>
      </c>
      <c r="Z49" s="779">
        <v>11000</v>
      </c>
      <c r="AA49" s="785">
        <f t="shared" si="22"/>
        <v>0</v>
      </c>
      <c r="AB49" s="779">
        <f t="shared" si="23"/>
        <v>0</v>
      </c>
      <c r="AC49" s="176">
        <f t="shared" si="30"/>
        <v>0</v>
      </c>
      <c r="AD49" s="176">
        <f t="shared" si="31"/>
        <v>0</v>
      </c>
      <c r="AE49" s="176">
        <f t="shared" si="26"/>
        <v>0</v>
      </c>
      <c r="AF49" s="176">
        <f t="shared" si="27"/>
        <v>0</v>
      </c>
      <c r="AG49" s="792"/>
      <c r="AN49" s="1009">
        <f t="shared" si="3"/>
        <v>0</v>
      </c>
    </row>
    <row r="50" spans="1:41" ht="49.5" x14ac:dyDescent="0.25">
      <c r="A50" s="221">
        <v>26</v>
      </c>
      <c r="B50" s="263" t="s">
        <v>2050</v>
      </c>
      <c r="C50" s="188" t="s">
        <v>52</v>
      </c>
      <c r="D50" s="188" t="s">
        <v>2051</v>
      </c>
      <c r="E50" s="197" t="s">
        <v>97</v>
      </c>
      <c r="F50" s="180" t="s">
        <v>2052</v>
      </c>
      <c r="G50" s="183">
        <v>3828</v>
      </c>
      <c r="H50" s="779">
        <f t="shared" si="28"/>
        <v>3828</v>
      </c>
      <c r="I50" s="792"/>
      <c r="J50" s="792"/>
      <c r="K50" s="792"/>
      <c r="L50" s="792"/>
      <c r="M50" s="779">
        <v>3300</v>
      </c>
      <c r="N50" s="779">
        <f t="shared" si="29"/>
        <v>3300</v>
      </c>
      <c r="O50" s="779"/>
      <c r="P50" s="779"/>
      <c r="Q50" s="779">
        <v>3300</v>
      </c>
      <c r="R50" s="779">
        <f t="shared" si="34"/>
        <v>3300</v>
      </c>
      <c r="S50" s="779"/>
      <c r="T50" s="779"/>
      <c r="U50" s="779">
        <v>3300</v>
      </c>
      <c r="V50" s="779">
        <f t="shared" si="35"/>
        <v>3300</v>
      </c>
      <c r="W50" s="779">
        <v>1000</v>
      </c>
      <c r="X50" s="779">
        <v>1000</v>
      </c>
      <c r="Y50" s="779">
        <v>1200</v>
      </c>
      <c r="Z50" s="779">
        <v>1200</v>
      </c>
      <c r="AA50" s="785">
        <f t="shared" si="22"/>
        <v>0</v>
      </c>
      <c r="AB50" s="779">
        <f t="shared" si="23"/>
        <v>0</v>
      </c>
      <c r="AC50" s="176">
        <f t="shared" si="30"/>
        <v>0</v>
      </c>
      <c r="AD50" s="176">
        <f t="shared" si="31"/>
        <v>0</v>
      </c>
      <c r="AE50" s="176">
        <f t="shared" si="26"/>
        <v>0</v>
      </c>
      <c r="AF50" s="176">
        <f t="shared" si="27"/>
        <v>0</v>
      </c>
      <c r="AG50" s="792"/>
      <c r="AN50" s="1009">
        <f t="shared" si="3"/>
        <v>0</v>
      </c>
    </row>
    <row r="51" spans="1:41" ht="49.5" x14ac:dyDescent="0.25">
      <c r="A51" s="221">
        <v>27</v>
      </c>
      <c r="B51" s="263" t="s">
        <v>2053</v>
      </c>
      <c r="C51" s="188" t="s">
        <v>52</v>
      </c>
      <c r="D51" s="188" t="s">
        <v>2054</v>
      </c>
      <c r="E51" s="197" t="s">
        <v>109</v>
      </c>
      <c r="F51" s="180" t="s">
        <v>2055</v>
      </c>
      <c r="G51" s="183">
        <v>9397</v>
      </c>
      <c r="H51" s="779">
        <f t="shared" si="28"/>
        <v>9397</v>
      </c>
      <c r="I51" s="792"/>
      <c r="J51" s="792"/>
      <c r="K51" s="792"/>
      <c r="L51" s="792"/>
      <c r="M51" s="779">
        <v>8300</v>
      </c>
      <c r="N51" s="779">
        <f t="shared" si="29"/>
        <v>8300</v>
      </c>
      <c r="O51" s="779"/>
      <c r="P51" s="779"/>
      <c r="Q51" s="779">
        <v>8300</v>
      </c>
      <c r="R51" s="779">
        <f t="shared" si="34"/>
        <v>8300</v>
      </c>
      <c r="S51" s="779"/>
      <c r="T51" s="779"/>
      <c r="U51" s="779">
        <v>8300</v>
      </c>
      <c r="V51" s="779">
        <f t="shared" si="35"/>
        <v>8300</v>
      </c>
      <c r="W51" s="792"/>
      <c r="X51" s="792"/>
      <c r="Y51" s="779">
        <f>1200+550</f>
        <v>1750</v>
      </c>
      <c r="Z51" s="779">
        <f>1200+550</f>
        <v>1750</v>
      </c>
      <c r="AA51" s="785">
        <f t="shared" si="22"/>
        <v>0</v>
      </c>
      <c r="AB51" s="779">
        <f t="shared" si="23"/>
        <v>0</v>
      </c>
      <c r="AC51" s="176">
        <f t="shared" si="30"/>
        <v>0</v>
      </c>
      <c r="AD51" s="176">
        <f t="shared" si="31"/>
        <v>0</v>
      </c>
      <c r="AE51" s="176">
        <f t="shared" si="26"/>
        <v>0</v>
      </c>
      <c r="AF51" s="176">
        <f t="shared" si="27"/>
        <v>0</v>
      </c>
      <c r="AG51" s="792"/>
      <c r="AN51" s="1009">
        <f t="shared" si="3"/>
        <v>0</v>
      </c>
    </row>
    <row r="52" spans="1:41" ht="66" x14ac:dyDescent="0.25">
      <c r="A52" s="221">
        <v>28</v>
      </c>
      <c r="B52" s="263" t="s">
        <v>2056</v>
      </c>
      <c r="C52" s="188" t="s">
        <v>52</v>
      </c>
      <c r="D52" s="188" t="s">
        <v>2057</v>
      </c>
      <c r="E52" s="197" t="s">
        <v>109</v>
      </c>
      <c r="F52" s="180" t="s">
        <v>2058</v>
      </c>
      <c r="G52" s="183">
        <v>14904</v>
      </c>
      <c r="H52" s="779">
        <f t="shared" si="28"/>
        <v>14904</v>
      </c>
      <c r="I52" s="792"/>
      <c r="J52" s="792"/>
      <c r="K52" s="792"/>
      <c r="L52" s="792"/>
      <c r="M52" s="779">
        <v>13400</v>
      </c>
      <c r="N52" s="779">
        <f t="shared" si="29"/>
        <v>13400</v>
      </c>
      <c r="O52" s="779"/>
      <c r="P52" s="779"/>
      <c r="Q52" s="779">
        <v>13400</v>
      </c>
      <c r="R52" s="779">
        <f t="shared" si="34"/>
        <v>13400</v>
      </c>
      <c r="S52" s="779"/>
      <c r="T52" s="779"/>
      <c r="U52" s="779">
        <v>13400</v>
      </c>
      <c r="V52" s="779">
        <f t="shared" si="35"/>
        <v>13400</v>
      </c>
      <c r="W52" s="792"/>
      <c r="X52" s="792"/>
      <c r="Y52" s="779">
        <v>7000</v>
      </c>
      <c r="Z52" s="779">
        <v>7000</v>
      </c>
      <c r="AA52" s="785">
        <f t="shared" si="22"/>
        <v>0</v>
      </c>
      <c r="AB52" s="779">
        <f t="shared" si="23"/>
        <v>0</v>
      </c>
      <c r="AC52" s="176">
        <f t="shared" si="30"/>
        <v>0</v>
      </c>
      <c r="AD52" s="176">
        <f t="shared" si="31"/>
        <v>0</v>
      </c>
      <c r="AE52" s="176">
        <f t="shared" si="26"/>
        <v>0</v>
      </c>
      <c r="AF52" s="176">
        <f t="shared" si="27"/>
        <v>0</v>
      </c>
      <c r="AG52" s="792"/>
      <c r="AN52" s="1009">
        <f t="shared" si="3"/>
        <v>0</v>
      </c>
    </row>
    <row r="53" spans="1:41" x14ac:dyDescent="0.25">
      <c r="A53" s="221">
        <v>29</v>
      </c>
      <c r="B53" s="263" t="s">
        <v>2059</v>
      </c>
      <c r="C53" s="188" t="s">
        <v>205</v>
      </c>
      <c r="D53" s="188"/>
      <c r="E53" s="197" t="s">
        <v>109</v>
      </c>
      <c r="F53" s="792"/>
      <c r="G53" s="183">
        <v>14700</v>
      </c>
      <c r="H53" s="779">
        <f t="shared" si="28"/>
        <v>14700</v>
      </c>
      <c r="I53" s="792"/>
      <c r="J53" s="792"/>
      <c r="K53" s="792"/>
      <c r="L53" s="792"/>
      <c r="M53" s="779">
        <v>13200</v>
      </c>
      <c r="N53" s="779">
        <f t="shared" si="29"/>
        <v>13200</v>
      </c>
      <c r="O53" s="779"/>
      <c r="P53" s="779"/>
      <c r="Q53" s="779">
        <v>13200</v>
      </c>
      <c r="R53" s="779">
        <f t="shared" si="34"/>
        <v>13200</v>
      </c>
      <c r="S53" s="779"/>
      <c r="T53" s="779"/>
      <c r="U53" s="779">
        <v>13200</v>
      </c>
      <c r="V53" s="779">
        <f t="shared" si="35"/>
        <v>13200</v>
      </c>
      <c r="W53" s="792"/>
      <c r="X53" s="792"/>
      <c r="Y53" s="779">
        <v>8730</v>
      </c>
      <c r="Z53" s="779">
        <v>8730</v>
      </c>
      <c r="AA53" s="785">
        <f t="shared" si="22"/>
        <v>0</v>
      </c>
      <c r="AB53" s="779">
        <f t="shared" si="23"/>
        <v>0</v>
      </c>
      <c r="AC53" s="176">
        <f t="shared" si="30"/>
        <v>0</v>
      </c>
      <c r="AD53" s="176">
        <f t="shared" si="31"/>
        <v>0</v>
      </c>
      <c r="AE53" s="176">
        <f t="shared" si="26"/>
        <v>0</v>
      </c>
      <c r="AF53" s="176">
        <f t="shared" si="27"/>
        <v>0</v>
      </c>
      <c r="AG53" s="792"/>
      <c r="AN53" s="1009">
        <f t="shared" si="3"/>
        <v>0</v>
      </c>
    </row>
    <row r="54" spans="1:41" ht="186" customHeight="1" x14ac:dyDescent="0.25">
      <c r="A54" s="197">
        <v>30</v>
      </c>
      <c r="B54" s="793" t="s">
        <v>2060</v>
      </c>
      <c r="C54" s="188" t="s">
        <v>2061</v>
      </c>
      <c r="D54" s="197" t="s">
        <v>2062</v>
      </c>
      <c r="E54" s="197" t="s">
        <v>109</v>
      </c>
      <c r="F54" s="188" t="s">
        <v>2063</v>
      </c>
      <c r="G54" s="779">
        <v>13490</v>
      </c>
      <c r="H54" s="779">
        <v>13490</v>
      </c>
      <c r="I54" s="779"/>
      <c r="J54" s="779"/>
      <c r="K54" s="792"/>
      <c r="L54" s="792"/>
      <c r="M54" s="779">
        <v>13490</v>
      </c>
      <c r="N54" s="779">
        <v>9220</v>
      </c>
      <c r="O54" s="779"/>
      <c r="P54" s="779"/>
      <c r="Q54" s="779">
        <v>13490</v>
      </c>
      <c r="R54" s="779">
        <v>9220</v>
      </c>
      <c r="S54" s="779"/>
      <c r="T54" s="779"/>
      <c r="U54" s="779">
        <v>13490</v>
      </c>
      <c r="V54" s="779">
        <v>9220</v>
      </c>
      <c r="W54" s="792"/>
      <c r="X54" s="792"/>
      <c r="Y54" s="779">
        <f>Z54</f>
        <v>9220</v>
      </c>
      <c r="Z54" s="779">
        <v>9220</v>
      </c>
      <c r="AA54" s="785">
        <f t="shared" si="22"/>
        <v>0</v>
      </c>
      <c r="AB54" s="779">
        <f t="shared" si="23"/>
        <v>0</v>
      </c>
      <c r="AC54" s="176">
        <f t="shared" si="30"/>
        <v>0</v>
      </c>
      <c r="AD54" s="176">
        <f t="shared" si="31"/>
        <v>0</v>
      </c>
      <c r="AE54" s="176">
        <f t="shared" si="26"/>
        <v>0</v>
      </c>
      <c r="AF54" s="176">
        <f t="shared" si="27"/>
        <v>0</v>
      </c>
      <c r="AG54" s="2080" t="s">
        <v>2064</v>
      </c>
      <c r="AN54" s="1009">
        <f t="shared" si="3"/>
        <v>0</v>
      </c>
    </row>
    <row r="55" spans="1:41" ht="186" customHeight="1" x14ac:dyDescent="0.25">
      <c r="A55" s="197">
        <v>31</v>
      </c>
      <c r="B55" s="793" t="s">
        <v>2065</v>
      </c>
      <c r="C55" s="188" t="s">
        <v>2066</v>
      </c>
      <c r="D55" s="197" t="s">
        <v>2067</v>
      </c>
      <c r="E55" s="197" t="s">
        <v>109</v>
      </c>
      <c r="F55" s="188" t="s">
        <v>2068</v>
      </c>
      <c r="G55" s="779">
        <v>13852</v>
      </c>
      <c r="H55" s="779">
        <v>13852</v>
      </c>
      <c r="I55" s="779"/>
      <c r="J55" s="779"/>
      <c r="K55" s="792"/>
      <c r="L55" s="792"/>
      <c r="M55" s="779">
        <v>13852</v>
      </c>
      <c r="N55" s="779">
        <v>9227</v>
      </c>
      <c r="O55" s="779"/>
      <c r="P55" s="779"/>
      <c r="Q55" s="779">
        <v>13852</v>
      </c>
      <c r="R55" s="779">
        <v>9227</v>
      </c>
      <c r="S55" s="779"/>
      <c r="T55" s="779"/>
      <c r="U55" s="779">
        <v>13852</v>
      </c>
      <c r="V55" s="779">
        <v>9227</v>
      </c>
      <c r="W55" s="792"/>
      <c r="X55" s="792"/>
      <c r="Y55" s="779">
        <f>Z55</f>
        <v>9227</v>
      </c>
      <c r="Z55" s="779">
        <v>9227</v>
      </c>
      <c r="AA55" s="785">
        <f t="shared" si="22"/>
        <v>0</v>
      </c>
      <c r="AB55" s="779">
        <f t="shared" si="23"/>
        <v>0</v>
      </c>
      <c r="AC55" s="176">
        <f t="shared" si="30"/>
        <v>0</v>
      </c>
      <c r="AD55" s="176">
        <f t="shared" si="31"/>
        <v>0</v>
      </c>
      <c r="AE55" s="176">
        <f t="shared" si="26"/>
        <v>0</v>
      </c>
      <c r="AF55" s="176">
        <f t="shared" si="27"/>
        <v>0</v>
      </c>
      <c r="AG55" s="2080"/>
      <c r="AN55" s="1009">
        <f t="shared" si="3"/>
        <v>0</v>
      </c>
    </row>
    <row r="56" spans="1:41" ht="63.75" customHeight="1" x14ac:dyDescent="0.25">
      <c r="A56" s="792"/>
      <c r="B56" s="794" t="s">
        <v>2069</v>
      </c>
      <c r="C56" s="188"/>
      <c r="D56" s="188"/>
      <c r="E56" s="197"/>
      <c r="F56" s="792"/>
      <c r="G56" s="183"/>
      <c r="H56" s="779">
        <f t="shared" si="28"/>
        <v>0</v>
      </c>
      <c r="I56" s="792"/>
      <c r="J56" s="792"/>
      <c r="K56" s="792"/>
      <c r="L56" s="792"/>
      <c r="M56" s="795"/>
      <c r="N56" s="779"/>
      <c r="O56" s="779"/>
      <c r="P56" s="779"/>
      <c r="Q56" s="795"/>
      <c r="R56" s="779"/>
      <c r="S56" s="779"/>
      <c r="T56" s="779"/>
      <c r="U56" s="795"/>
      <c r="V56" s="779"/>
      <c r="W56" s="792"/>
      <c r="X56" s="792"/>
      <c r="Y56" s="792"/>
      <c r="Z56" s="792"/>
      <c r="AA56" s="795"/>
      <c r="AB56" s="779"/>
      <c r="AC56" s="176">
        <f t="shared" ref="AC56:AC57" si="36">IF(AB56&gt;0,AB56,0)</f>
        <v>0</v>
      </c>
      <c r="AD56" s="176">
        <f t="shared" ref="AD56" si="37">IF(AB56&lt;0,-AB56,0)</f>
        <v>0</v>
      </c>
      <c r="AE56" s="176">
        <f t="shared" si="26"/>
        <v>0</v>
      </c>
      <c r="AF56" s="176">
        <f t="shared" si="27"/>
        <v>0</v>
      </c>
      <c r="AG56" s="792"/>
      <c r="AN56" s="1009">
        <f t="shared" si="3"/>
        <v>0</v>
      </c>
    </row>
    <row r="57" spans="1:41" s="1328" customFormat="1" ht="75" customHeight="1" x14ac:dyDescent="0.25">
      <c r="A57" s="152">
        <v>32</v>
      </c>
      <c r="B57" s="337" t="s">
        <v>2070</v>
      </c>
      <c r="C57" s="1" t="s">
        <v>2071</v>
      </c>
      <c r="D57" s="1" t="s">
        <v>2072</v>
      </c>
      <c r="E57" s="246" t="s">
        <v>461</v>
      </c>
      <c r="F57" s="999" t="s">
        <v>2073</v>
      </c>
      <c r="G57" s="999">
        <f>H57</f>
        <v>32275</v>
      </c>
      <c r="H57" s="997">
        <v>32275</v>
      </c>
      <c r="I57" s="998"/>
      <c r="J57" s="998"/>
      <c r="K57" s="998"/>
      <c r="L57" s="998"/>
      <c r="M57" s="996">
        <f>17300+280</f>
        <v>17580</v>
      </c>
      <c r="N57" s="997">
        <f t="shared" si="29"/>
        <v>17580</v>
      </c>
      <c r="O57" s="997">
        <f>R57-J57</f>
        <v>29000</v>
      </c>
      <c r="P57" s="997"/>
      <c r="Q57" s="996">
        <f>R57</f>
        <v>29000</v>
      </c>
      <c r="R57" s="997">
        <v>29000</v>
      </c>
      <c r="S57" s="997">
        <v>2300</v>
      </c>
      <c r="T57" s="997"/>
      <c r="U57" s="996">
        <f>V57</f>
        <v>31300</v>
      </c>
      <c r="V57" s="997">
        <f>S57+R57</f>
        <v>31300</v>
      </c>
      <c r="W57" s="998"/>
      <c r="X57" s="998"/>
      <c r="Y57" s="998"/>
      <c r="Z57" s="998"/>
      <c r="AA57" s="996">
        <f>AB57</f>
        <v>13720</v>
      </c>
      <c r="AB57" s="997">
        <f>V57-N57</f>
        <v>13720</v>
      </c>
      <c r="AC57" s="150">
        <f t="shared" si="36"/>
        <v>13720</v>
      </c>
      <c r="AD57" s="150">
        <f>V57-N57</f>
        <v>13720</v>
      </c>
      <c r="AE57" s="150">
        <f t="shared" si="26"/>
        <v>13720</v>
      </c>
      <c r="AF57" s="150">
        <f t="shared" si="27"/>
        <v>0</v>
      </c>
      <c r="AG57" s="1" t="s">
        <v>2151</v>
      </c>
      <c r="AN57" s="1009">
        <f t="shared" si="3"/>
        <v>1</v>
      </c>
    </row>
    <row r="58" spans="1:41" ht="51.75" x14ac:dyDescent="0.25">
      <c r="A58" s="194" t="s">
        <v>47</v>
      </c>
      <c r="B58" s="193" t="s">
        <v>2074</v>
      </c>
      <c r="C58" s="188"/>
      <c r="D58" s="188"/>
      <c r="E58" s="197"/>
      <c r="F58" s="797"/>
      <c r="G58" s="778">
        <f t="shared" ref="G58:H58" si="38">SUM(G59:G60)</f>
        <v>70000</v>
      </c>
      <c r="H58" s="778">
        <f t="shared" si="38"/>
        <v>70000</v>
      </c>
      <c r="I58" s="792"/>
      <c r="J58" s="792"/>
      <c r="K58" s="792"/>
      <c r="L58" s="792"/>
      <c r="M58" s="778">
        <f>SUM(M59:M60)</f>
        <v>35160</v>
      </c>
      <c r="N58" s="778">
        <f t="shared" ref="N58:AF58" si="39">SUM(N59:N60)</f>
        <v>35160</v>
      </c>
      <c r="O58" s="778">
        <f t="shared" ref="O58:Q58" si="40">SUM(O59:O60)</f>
        <v>0</v>
      </c>
      <c r="P58" s="778">
        <f t="shared" si="40"/>
        <v>27100</v>
      </c>
      <c r="Q58" s="778">
        <f t="shared" si="40"/>
        <v>27140</v>
      </c>
      <c r="R58" s="778">
        <f>SUM(R59:R60)</f>
        <v>27140</v>
      </c>
      <c r="S58" s="778">
        <f t="shared" ref="S58:V58" si="41">SUM(S59:S60)</f>
        <v>0</v>
      </c>
      <c r="T58" s="778">
        <f t="shared" si="41"/>
        <v>0</v>
      </c>
      <c r="U58" s="778">
        <f t="shared" si="41"/>
        <v>27140</v>
      </c>
      <c r="V58" s="778">
        <f t="shared" si="41"/>
        <v>27140</v>
      </c>
      <c r="W58" s="778">
        <f t="shared" si="39"/>
        <v>0</v>
      </c>
      <c r="X58" s="778">
        <f t="shared" si="39"/>
        <v>0</v>
      </c>
      <c r="Y58" s="778">
        <f t="shared" si="39"/>
        <v>0</v>
      </c>
      <c r="Z58" s="778">
        <f t="shared" si="39"/>
        <v>0</v>
      </c>
      <c r="AA58" s="778">
        <f t="shared" si="39"/>
        <v>-8020</v>
      </c>
      <c r="AB58" s="778">
        <f t="shared" si="39"/>
        <v>-8020</v>
      </c>
      <c r="AC58" s="778">
        <f t="shared" si="39"/>
        <v>-8020</v>
      </c>
      <c r="AD58" s="778">
        <f t="shared" si="39"/>
        <v>-8020</v>
      </c>
      <c r="AE58" s="778">
        <f t="shared" si="39"/>
        <v>0</v>
      </c>
      <c r="AF58" s="778">
        <f t="shared" si="39"/>
        <v>8020</v>
      </c>
      <c r="AG58" s="792"/>
      <c r="AN58" s="1009">
        <f t="shared" si="3"/>
        <v>0</v>
      </c>
    </row>
    <row r="59" spans="1:41" ht="120" customHeight="1" x14ac:dyDescent="0.25">
      <c r="A59" s="221">
        <v>33</v>
      </c>
      <c r="B59" s="233" t="s">
        <v>2075</v>
      </c>
      <c r="C59" s="188" t="s">
        <v>2076</v>
      </c>
      <c r="D59" s="188" t="s">
        <v>2072</v>
      </c>
      <c r="E59" s="197" t="s">
        <v>168</v>
      </c>
      <c r="F59" s="999" t="s">
        <v>2573</v>
      </c>
      <c r="G59" s="798">
        <v>30000</v>
      </c>
      <c r="H59" s="779">
        <f t="shared" si="28"/>
        <v>30000</v>
      </c>
      <c r="I59" s="792"/>
      <c r="J59" s="792"/>
      <c r="K59" s="792"/>
      <c r="L59" s="792"/>
      <c r="M59" s="785">
        <f>17300+280</f>
        <v>17580</v>
      </c>
      <c r="N59" s="779">
        <f t="shared" si="29"/>
        <v>17580</v>
      </c>
      <c r="O59" s="779"/>
      <c r="P59" s="779">
        <v>13400</v>
      </c>
      <c r="Q59" s="785">
        <f>R59</f>
        <v>13400</v>
      </c>
      <c r="R59" s="779">
        <v>13400</v>
      </c>
      <c r="S59" s="779"/>
      <c r="T59" s="779"/>
      <c r="U59" s="785">
        <f>V59</f>
        <v>13400</v>
      </c>
      <c r="V59" s="779">
        <v>13400</v>
      </c>
      <c r="W59" s="792"/>
      <c r="X59" s="792"/>
      <c r="Y59" s="792"/>
      <c r="Z59" s="792"/>
      <c r="AA59" s="785">
        <f t="shared" ref="AA59:AA60" si="42">AB59</f>
        <v>-4180</v>
      </c>
      <c r="AB59" s="779">
        <f t="shared" ref="AB59:AB60" si="43">V59-N59</f>
        <v>-4180</v>
      </c>
      <c r="AC59" s="176">
        <f>U59-M59</f>
        <v>-4180</v>
      </c>
      <c r="AD59" s="176">
        <f>V59-N59</f>
        <v>-4180</v>
      </c>
      <c r="AE59" s="176">
        <f t="shared" ref="AE59:AE60" si="44">IF(AD59&gt;0,AD59,0)</f>
        <v>0</v>
      </c>
      <c r="AF59" s="176">
        <f t="shared" ref="AF59:AF60" si="45">IF(AD59&lt;0,-AD59,0)</f>
        <v>4180</v>
      </c>
      <c r="AG59" s="792"/>
      <c r="AN59" s="1009">
        <f t="shared" si="3"/>
        <v>0</v>
      </c>
    </row>
    <row r="60" spans="1:41" s="1328" customFormat="1" ht="66" x14ac:dyDescent="0.25">
      <c r="A60" s="152">
        <v>34</v>
      </c>
      <c r="B60" s="337" t="s">
        <v>2581</v>
      </c>
      <c r="C60" s="1" t="s">
        <v>2077</v>
      </c>
      <c r="D60" s="1" t="s">
        <v>2072</v>
      </c>
      <c r="E60" s="246" t="s">
        <v>168</v>
      </c>
      <c r="F60" s="999" t="s">
        <v>2571</v>
      </c>
      <c r="G60" s="1384">
        <f>H60</f>
        <v>40000</v>
      </c>
      <c r="H60" s="997">
        <v>40000</v>
      </c>
      <c r="I60" s="998"/>
      <c r="J60" s="998"/>
      <c r="K60" s="998"/>
      <c r="L60" s="998"/>
      <c r="M60" s="996">
        <f>17300+280</f>
        <v>17580</v>
      </c>
      <c r="N60" s="997">
        <f t="shared" si="29"/>
        <v>17580</v>
      </c>
      <c r="O60" s="997"/>
      <c r="P60" s="997">
        <v>13700</v>
      </c>
      <c r="Q60" s="996">
        <f>R60</f>
        <v>13740</v>
      </c>
      <c r="R60" s="997">
        <v>13740</v>
      </c>
      <c r="S60" s="997"/>
      <c r="T60" s="997"/>
      <c r="U60" s="996">
        <f>V60</f>
        <v>13740</v>
      </c>
      <c r="V60" s="997">
        <v>13740</v>
      </c>
      <c r="W60" s="998"/>
      <c r="X60" s="998"/>
      <c r="Y60" s="998"/>
      <c r="Z60" s="998"/>
      <c r="AA60" s="996">
        <f t="shared" si="42"/>
        <v>-3840</v>
      </c>
      <c r="AB60" s="997">
        <f t="shared" si="43"/>
        <v>-3840</v>
      </c>
      <c r="AC60" s="150">
        <f>U60-M60</f>
        <v>-3840</v>
      </c>
      <c r="AD60" s="150">
        <f>V60-N60</f>
        <v>-3840</v>
      </c>
      <c r="AE60" s="150">
        <f t="shared" si="44"/>
        <v>0</v>
      </c>
      <c r="AF60" s="150">
        <f t="shared" si="45"/>
        <v>3840</v>
      </c>
      <c r="AG60" s="1" t="s">
        <v>926</v>
      </c>
      <c r="AN60" s="1009">
        <f t="shared" si="3"/>
        <v>0</v>
      </c>
      <c r="AO60" s="1329"/>
    </row>
    <row r="61" spans="1:41" x14ac:dyDescent="0.25">
      <c r="A61" s="799"/>
      <c r="B61" s="799"/>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N61" s="1009">
        <v>1</v>
      </c>
    </row>
    <row r="65" spans="13:31" x14ac:dyDescent="0.25">
      <c r="M65" s="800"/>
      <c r="Q65" s="800"/>
      <c r="U65" s="800"/>
      <c r="AA65" s="800"/>
      <c r="AC65" s="800"/>
      <c r="AE65" s="800"/>
    </row>
    <row r="66" spans="13:31" x14ac:dyDescent="0.25">
      <c r="M66" s="800"/>
      <c r="Q66" s="800"/>
      <c r="U66" s="800"/>
      <c r="AA66" s="800"/>
      <c r="AC66" s="800"/>
      <c r="AE66" s="800"/>
    </row>
  </sheetData>
  <autoFilter ref="AN15:AN61"/>
  <mergeCells count="56">
    <mergeCell ref="G13:G14"/>
    <mergeCell ref="H13:H14"/>
    <mergeCell ref="L12:L14"/>
    <mergeCell ref="M12:M14"/>
    <mergeCell ref="N12:N14"/>
    <mergeCell ref="I12:I14"/>
    <mergeCell ref="J12:J14"/>
    <mergeCell ref="K12:K14"/>
    <mergeCell ref="AG10:AG14"/>
    <mergeCell ref="F12:F14"/>
    <mergeCell ref="G12:H12"/>
    <mergeCell ref="AG54:AG55"/>
    <mergeCell ref="S10:T11"/>
    <mergeCell ref="S12:S14"/>
    <mergeCell ref="T12:T14"/>
    <mergeCell ref="AA12:AA14"/>
    <mergeCell ref="AB12:AB14"/>
    <mergeCell ref="AC12:AC14"/>
    <mergeCell ref="AD12:AD14"/>
    <mergeCell ref="AE12:AE14"/>
    <mergeCell ref="AF12:AF14"/>
    <mergeCell ref="U12:U14"/>
    <mergeCell ref="V12:V14"/>
    <mergeCell ref="U10:V11"/>
    <mergeCell ref="I10:J11"/>
    <mergeCell ref="K10:L11"/>
    <mergeCell ref="Y12:Y14"/>
    <mergeCell ref="Z12:Z14"/>
    <mergeCell ref="AE10:AF11"/>
    <mergeCell ref="AA10:AB11"/>
    <mergeCell ref="AC10:AD11"/>
    <mergeCell ref="W12:W14"/>
    <mergeCell ref="X12:X14"/>
    <mergeCell ref="W10:X11"/>
    <mergeCell ref="Y10:Z11"/>
    <mergeCell ref="M10:N11"/>
    <mergeCell ref="O10:P11"/>
    <mergeCell ref="Q10:R11"/>
    <mergeCell ref="O12:O14"/>
    <mergeCell ref="P12:P14"/>
    <mergeCell ref="Q12:Q14"/>
    <mergeCell ref="R12:R14"/>
    <mergeCell ref="A6:AG6"/>
    <mergeCell ref="A1:AG1"/>
    <mergeCell ref="A2:AG2"/>
    <mergeCell ref="A3:AG3"/>
    <mergeCell ref="A4:AG4"/>
    <mergeCell ref="A5:AG5"/>
    <mergeCell ref="A7:AG7"/>
    <mergeCell ref="A9:AG9"/>
    <mergeCell ref="A10:A14"/>
    <mergeCell ref="B10:B14"/>
    <mergeCell ref="C10:C14"/>
    <mergeCell ref="D10:D14"/>
    <mergeCell ref="E10:E14"/>
    <mergeCell ref="F10:H11"/>
  </mergeCells>
  <pageMargins left="0.39370078740157499" right="0.196850393700787" top="0.47244094488188998" bottom="0.43307086614173201" header="0.31496062992126" footer="0.31496062992126"/>
  <pageSetup paperSize="9" scale="52" fitToHeight="0" orientation="landscape" r:id="rId1"/>
  <headerFooter differentFirst="1" scaleWithDoc="0" alignWithMargins="0">
    <oddHeader>&amp;C&amp;P</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C40"/>
  <sheetViews>
    <sheetView topLeftCell="A14" workbookViewId="0">
      <selection activeCell="C23" sqref="C23"/>
    </sheetView>
  </sheetViews>
  <sheetFormatPr defaultColWidth="9.140625" defaultRowHeight="17.25" x14ac:dyDescent="0.3"/>
  <cols>
    <col min="1" max="1" width="5.5703125" style="1296" customWidth="1"/>
    <col min="2" max="2" width="7.5703125" style="1296" customWidth="1"/>
    <col min="3" max="3" width="31.7109375" style="1296" customWidth="1"/>
    <col min="4" max="4" width="13" style="1296" customWidth="1"/>
    <col min="5" max="5" width="24.28515625" style="1296" customWidth="1"/>
    <col min="6" max="6" width="12.5703125" style="1296" customWidth="1"/>
    <col min="7" max="7" width="14.140625" style="1296" customWidth="1"/>
    <col min="8" max="8" width="15.42578125" style="1296" customWidth="1"/>
    <col min="9" max="9" width="14.5703125" style="1296" customWidth="1"/>
    <col min="10" max="10" width="14" style="1296" customWidth="1"/>
    <col min="11" max="11" width="12.28515625" style="1296" customWidth="1"/>
    <col min="12" max="12" width="14" style="1296" customWidth="1"/>
    <col min="13" max="13" width="12.28515625" style="1296" customWidth="1"/>
    <col min="14" max="14" width="13.7109375" style="13" hidden="1" customWidth="1"/>
    <col min="15" max="15" width="14" style="13" hidden="1" customWidth="1"/>
    <col min="16" max="17" width="14.140625" style="13" hidden="1" customWidth="1"/>
    <col min="18" max="18" width="14.28515625" style="89" hidden="1" customWidth="1"/>
    <col min="19" max="19" width="12.7109375" style="89" hidden="1" customWidth="1"/>
    <col min="20" max="20" width="14.140625" style="1296" customWidth="1"/>
    <col min="21" max="21" width="15.42578125" style="1296" customWidth="1"/>
    <col min="22" max="22" width="14.28515625" style="1300" customWidth="1"/>
    <col min="23" max="23" width="12.7109375" style="1300" customWidth="1"/>
    <col min="24" max="24" width="14.140625" style="1296" customWidth="1"/>
    <col min="25" max="25" width="14.85546875" style="1296" customWidth="1"/>
    <col min="26" max="26" width="17.42578125" style="141" hidden="1" customWidth="1"/>
    <col min="27" max="33" width="12.7109375" style="13" hidden="1" customWidth="1"/>
    <col min="34" max="34" width="13.7109375" style="13" hidden="1" customWidth="1"/>
    <col min="35" max="35" width="13.28515625" style="13" hidden="1" customWidth="1"/>
    <col min="36" max="36" width="13.7109375" style="13" hidden="1" customWidth="1"/>
    <col min="37" max="37" width="13.28515625" style="13" hidden="1" customWidth="1"/>
    <col min="38" max="39" width="14.140625" style="13" hidden="1" customWidth="1"/>
    <col min="40" max="40" width="22.7109375" style="1296" customWidth="1"/>
    <col min="41" max="41" width="11.140625" style="1294" bestFit="1" customWidth="1"/>
    <col min="42" max="42" width="11.140625" style="12" hidden="1" customWidth="1"/>
    <col min="43" max="43" width="10.7109375" style="12" hidden="1" customWidth="1"/>
    <col min="44" max="44" width="14.28515625" style="12" hidden="1" customWidth="1"/>
    <col min="45" max="45" width="13.42578125" style="12" hidden="1" customWidth="1"/>
    <col min="46" max="46" width="10.5703125" style="12" hidden="1" customWidth="1"/>
    <col min="47" max="47" width="9.28515625" style="12" hidden="1" customWidth="1"/>
    <col min="48" max="48" width="11" style="12" hidden="1" customWidth="1"/>
    <col min="49" max="51" width="9.28515625" style="12" hidden="1" customWidth="1"/>
    <col min="52" max="52" width="9.7109375" style="12" hidden="1" customWidth="1"/>
    <col min="53" max="53" width="10.7109375" style="12" hidden="1" customWidth="1"/>
    <col min="54" max="54" width="9.7109375" style="12" hidden="1" customWidth="1"/>
    <col min="55" max="55" width="13.7109375" style="1296" customWidth="1"/>
    <col min="56" max="16384" width="9.140625" style="1296"/>
  </cols>
  <sheetData>
    <row r="1" spans="1:54" ht="18.75" x14ac:dyDescent="0.3">
      <c r="A1" s="2086" t="s">
        <v>0</v>
      </c>
      <c r="B1" s="2086"/>
      <c r="C1" s="2086"/>
      <c r="D1" s="2086"/>
      <c r="E1" s="2086"/>
      <c r="F1" s="2086"/>
      <c r="G1" s="2086"/>
      <c r="H1" s="2086"/>
      <c r="I1" s="2086"/>
      <c r="J1" s="2086"/>
      <c r="K1" s="2086"/>
      <c r="L1" s="2086"/>
      <c r="M1" s="2086"/>
      <c r="N1" s="1928"/>
      <c r="O1" s="1928"/>
      <c r="P1" s="1928"/>
      <c r="Q1" s="1928"/>
      <c r="R1" s="1928"/>
      <c r="S1" s="1928"/>
      <c r="T1" s="2086"/>
      <c r="U1" s="2086"/>
      <c r="V1" s="2086"/>
      <c r="W1" s="2086"/>
      <c r="X1" s="2086"/>
      <c r="Y1" s="2086"/>
      <c r="Z1" s="1928"/>
      <c r="AA1" s="1928"/>
      <c r="AB1" s="1928"/>
      <c r="AC1" s="1928"/>
      <c r="AD1" s="1928"/>
      <c r="AE1" s="1928"/>
      <c r="AF1" s="1928"/>
      <c r="AG1" s="1928"/>
      <c r="AH1" s="1928"/>
      <c r="AI1" s="1928"/>
      <c r="AJ1" s="1928"/>
      <c r="AK1" s="1928"/>
      <c r="AL1" s="1928"/>
      <c r="AM1" s="1928"/>
      <c r="AN1" s="2086"/>
      <c r="AO1" s="11"/>
      <c r="AP1" s="11"/>
    </row>
    <row r="2" spans="1:54" ht="20.25" x14ac:dyDescent="0.3">
      <c r="A2" s="2052" t="s">
        <v>2219</v>
      </c>
      <c r="B2" s="2052"/>
      <c r="C2" s="2052"/>
      <c r="D2" s="2052"/>
      <c r="E2" s="2052"/>
      <c r="F2" s="2052"/>
      <c r="G2" s="2052"/>
      <c r="H2" s="2052"/>
      <c r="I2" s="2052"/>
      <c r="J2" s="2052"/>
      <c r="K2" s="2052"/>
      <c r="L2" s="2052"/>
      <c r="M2" s="2052"/>
      <c r="N2" s="1929"/>
      <c r="O2" s="1929"/>
      <c r="P2" s="1929"/>
      <c r="Q2" s="1929"/>
      <c r="R2" s="1929"/>
      <c r="S2" s="1929"/>
      <c r="T2" s="2052"/>
      <c r="U2" s="2052"/>
      <c r="V2" s="2052"/>
      <c r="W2" s="2052"/>
      <c r="X2" s="2052"/>
      <c r="Y2" s="2052"/>
      <c r="Z2" s="1929"/>
      <c r="AA2" s="1929"/>
      <c r="AB2" s="1929"/>
      <c r="AC2" s="1929"/>
      <c r="AD2" s="1929"/>
      <c r="AE2" s="1929"/>
      <c r="AF2" s="1929"/>
      <c r="AG2" s="1929"/>
      <c r="AH2" s="1929"/>
      <c r="AI2" s="1929"/>
      <c r="AJ2" s="1929"/>
      <c r="AK2" s="1929"/>
      <c r="AL2" s="1929"/>
      <c r="AM2" s="1929"/>
      <c r="AN2" s="2052"/>
      <c r="AO2" s="15"/>
      <c r="AP2" s="14"/>
    </row>
    <row r="3" spans="1:54" ht="18.75" x14ac:dyDescent="0.3">
      <c r="A3" s="1927" t="s">
        <v>2423</v>
      </c>
      <c r="B3" s="1927"/>
      <c r="C3" s="1927"/>
      <c r="D3" s="1927"/>
      <c r="E3" s="1927"/>
      <c r="F3" s="1927"/>
      <c r="G3" s="1927"/>
      <c r="H3" s="1927"/>
      <c r="I3" s="1927"/>
      <c r="J3" s="1927"/>
      <c r="K3" s="1927"/>
      <c r="L3" s="1927"/>
      <c r="M3" s="1927"/>
      <c r="N3" s="1930"/>
      <c r="O3" s="1930"/>
      <c r="P3" s="1930"/>
      <c r="Q3" s="1930"/>
      <c r="R3" s="1930"/>
      <c r="S3" s="1930"/>
      <c r="T3" s="1927"/>
      <c r="U3" s="1927"/>
      <c r="V3" s="1927"/>
      <c r="W3" s="1927"/>
      <c r="X3" s="1927"/>
      <c r="Y3" s="1927"/>
      <c r="Z3" s="1927"/>
      <c r="AA3" s="1927"/>
      <c r="AB3" s="1927"/>
      <c r="AC3" s="1927"/>
      <c r="AD3" s="1927"/>
      <c r="AE3" s="1927"/>
      <c r="AF3" s="1927"/>
      <c r="AG3" s="1927"/>
      <c r="AH3" s="1927"/>
      <c r="AI3" s="1927"/>
      <c r="AJ3" s="1927"/>
      <c r="AK3" s="1927"/>
      <c r="AL3" s="1927"/>
      <c r="AM3" s="1927"/>
      <c r="AN3" s="1927"/>
      <c r="AO3" s="15"/>
      <c r="AP3" s="15"/>
    </row>
    <row r="4" spans="1:54" s="13" customFormat="1" ht="16.5" hidden="1" x14ac:dyDescent="0.25">
      <c r="A4" s="1927" t="s">
        <v>2</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927"/>
      <c r="AI4" s="1927"/>
      <c r="AJ4" s="1927"/>
      <c r="AK4" s="1927"/>
      <c r="AL4" s="1927"/>
      <c r="AM4" s="1927"/>
      <c r="AN4" s="1927"/>
      <c r="AO4" s="15"/>
      <c r="AP4" s="15"/>
      <c r="AQ4" s="12"/>
      <c r="AR4" s="12"/>
      <c r="AS4" s="12"/>
      <c r="AT4" s="12"/>
      <c r="AU4" s="12"/>
      <c r="AV4" s="12"/>
      <c r="AW4" s="12"/>
      <c r="AX4" s="12"/>
      <c r="AY4" s="12"/>
      <c r="AZ4" s="12"/>
      <c r="BA4" s="12"/>
      <c r="BB4" s="12"/>
    </row>
    <row r="5" spans="1:54" s="13" customFormat="1" ht="16.5" hidden="1" x14ac:dyDescent="0.25">
      <c r="A5" s="1927" t="s">
        <v>2424</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c r="AM5" s="1927"/>
      <c r="AN5" s="1927"/>
      <c r="AO5" s="15"/>
      <c r="AP5" s="15"/>
      <c r="AQ5" s="12"/>
      <c r="AR5" s="12"/>
      <c r="AS5" s="12"/>
      <c r="AT5" s="12"/>
      <c r="AU5" s="12"/>
      <c r="AV5" s="12"/>
      <c r="AW5" s="12"/>
      <c r="AX5" s="12"/>
      <c r="AY5" s="12"/>
      <c r="AZ5" s="12"/>
      <c r="BA5" s="12"/>
      <c r="BB5" s="12"/>
    </row>
    <row r="6" spans="1:54" s="13" customFormat="1" ht="16.5" hidden="1" x14ac:dyDescent="0.25">
      <c r="A6" s="1927" t="s">
        <v>2525</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927"/>
      <c r="AK6" s="1927"/>
      <c r="AL6" s="1927"/>
      <c r="AM6" s="1927"/>
      <c r="AN6" s="1927"/>
      <c r="AO6" s="15"/>
      <c r="AP6" s="15"/>
      <c r="AQ6" s="12"/>
      <c r="AR6" s="12"/>
      <c r="AS6" s="12"/>
      <c r="AT6" s="12"/>
      <c r="AU6" s="12"/>
      <c r="AV6" s="12"/>
      <c r="AW6" s="12"/>
      <c r="AX6" s="12"/>
      <c r="AY6" s="12"/>
      <c r="AZ6" s="12"/>
      <c r="BA6" s="12"/>
      <c r="BB6" s="12"/>
    </row>
    <row r="7" spans="1:54" s="13" customFormat="1" ht="16.5" hidden="1" x14ac:dyDescent="0.25">
      <c r="A7" s="1927" t="s">
        <v>5</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927"/>
      <c r="AK7" s="1927"/>
      <c r="AL7" s="1927"/>
      <c r="AM7" s="1927"/>
      <c r="AN7" s="1927"/>
      <c r="AO7" s="15"/>
      <c r="AP7" s="15"/>
      <c r="AQ7" s="12"/>
      <c r="AR7" s="12"/>
      <c r="AS7" s="12"/>
      <c r="AT7" s="12"/>
      <c r="AU7" s="12"/>
      <c r="AV7" s="12"/>
      <c r="AW7" s="12"/>
      <c r="AX7" s="12"/>
      <c r="AY7" s="12"/>
      <c r="AZ7" s="12"/>
      <c r="BA7" s="12"/>
      <c r="BB7" s="12"/>
    </row>
    <row r="8" spans="1:54" x14ac:dyDescent="0.3">
      <c r="A8" s="1309"/>
      <c r="B8" s="1309"/>
      <c r="C8" s="1309"/>
      <c r="D8" s="1309"/>
      <c r="E8" s="1309"/>
      <c r="F8" s="1309"/>
      <c r="G8" s="1309"/>
      <c r="H8" s="1309"/>
      <c r="I8" s="1309"/>
      <c r="J8" s="1309"/>
      <c r="K8" s="1309"/>
      <c r="L8" s="1309"/>
      <c r="M8" s="1309"/>
      <c r="N8" s="1309"/>
      <c r="O8" s="1309"/>
      <c r="P8" s="1309"/>
      <c r="Q8" s="1309"/>
      <c r="R8" s="16"/>
      <c r="S8" s="16"/>
      <c r="T8" s="1309"/>
      <c r="U8" s="1309"/>
      <c r="V8" s="1309"/>
      <c r="W8" s="1309"/>
      <c r="X8" s="1309"/>
      <c r="Y8" s="1309"/>
      <c r="Z8" s="17"/>
      <c r="AA8" s="16"/>
      <c r="AB8" s="16"/>
      <c r="AC8" s="16"/>
      <c r="AD8" s="16"/>
      <c r="AE8" s="16"/>
      <c r="AF8" s="16"/>
      <c r="AG8" s="16"/>
      <c r="AH8" s="16"/>
      <c r="AI8" s="16"/>
      <c r="AJ8" s="16"/>
      <c r="AK8" s="16"/>
      <c r="AL8" s="16"/>
      <c r="AM8" s="16"/>
      <c r="AN8" s="1309"/>
      <c r="AO8" s="15"/>
      <c r="AP8" s="15"/>
    </row>
    <row r="9" spans="1:54" s="13" customFormat="1" ht="16.5" x14ac:dyDescent="0.25">
      <c r="A9" s="1309"/>
      <c r="B9" s="1309"/>
      <c r="C9" s="1309"/>
      <c r="D9" s="1309"/>
      <c r="E9" s="1309"/>
      <c r="F9" s="1309"/>
      <c r="G9" s="1309"/>
      <c r="H9" s="1309"/>
      <c r="I9" s="1309"/>
      <c r="J9" s="1309"/>
      <c r="K9" s="1309"/>
      <c r="L9" s="1309"/>
      <c r="M9" s="1309"/>
      <c r="N9" s="1309"/>
      <c r="O9" s="1309"/>
      <c r="P9" s="1309"/>
      <c r="Q9" s="1309"/>
      <c r="R9" s="16"/>
      <c r="S9" s="16"/>
      <c r="T9" s="1309"/>
      <c r="U9" s="1309"/>
      <c r="V9" s="16"/>
      <c r="W9" s="16"/>
      <c r="X9" s="1309"/>
      <c r="Y9" s="1309"/>
      <c r="Z9" s="17"/>
      <c r="AA9" s="16"/>
      <c r="AB9" s="16"/>
      <c r="AC9" s="16"/>
      <c r="AD9" s="16"/>
      <c r="AE9" s="16"/>
      <c r="AF9" s="16"/>
      <c r="AG9" s="16"/>
      <c r="AH9" s="16"/>
      <c r="AI9" s="16"/>
      <c r="AJ9" s="16"/>
      <c r="AK9" s="16"/>
      <c r="AL9" s="16"/>
      <c r="AM9" s="16"/>
      <c r="AN9" s="1309"/>
      <c r="AO9" s="15"/>
      <c r="AP9" s="15"/>
      <c r="AQ9" s="12"/>
      <c r="AR9" s="12"/>
      <c r="AS9" s="12"/>
      <c r="AT9" s="12"/>
      <c r="AU9" s="12"/>
      <c r="AV9" s="12"/>
      <c r="AW9" s="12"/>
      <c r="AX9" s="12"/>
      <c r="AY9" s="12"/>
      <c r="AZ9" s="12"/>
      <c r="BA9" s="12"/>
      <c r="BB9" s="12"/>
    </row>
    <row r="10" spans="1:54" s="13" customFormat="1" ht="16.5" x14ac:dyDescent="0.25">
      <c r="A10" s="1309"/>
      <c r="B10" s="1309"/>
      <c r="C10" s="1309"/>
      <c r="D10" s="1309"/>
      <c r="E10" s="1309"/>
      <c r="F10" s="1309"/>
      <c r="G10" s="1309"/>
      <c r="H10" s="1309"/>
      <c r="I10" s="1309"/>
      <c r="J10" s="1309"/>
      <c r="K10" s="1309"/>
      <c r="L10" s="1309"/>
      <c r="M10" s="1309"/>
      <c r="N10" s="1309"/>
      <c r="O10" s="1309"/>
      <c r="P10" s="1309"/>
      <c r="Q10" s="1309"/>
      <c r="R10" s="16"/>
      <c r="S10" s="16"/>
      <c r="T10" s="1309"/>
      <c r="U10" s="1309"/>
      <c r="V10" s="16"/>
      <c r="W10" s="16"/>
      <c r="X10" s="1309"/>
      <c r="Y10" s="1309"/>
      <c r="Z10" s="17"/>
      <c r="AA10" s="16"/>
      <c r="AB10" s="16"/>
      <c r="AC10" s="16"/>
      <c r="AD10" s="16"/>
      <c r="AE10" s="16"/>
      <c r="AF10" s="16"/>
      <c r="AG10" s="16"/>
      <c r="AH10" s="16"/>
      <c r="AI10" s="16"/>
      <c r="AJ10" s="16"/>
      <c r="AK10" s="16"/>
      <c r="AL10" s="16"/>
      <c r="AM10" s="16"/>
      <c r="AN10" s="1309"/>
      <c r="AO10" s="15"/>
      <c r="AP10" s="15"/>
      <c r="AQ10" s="12"/>
      <c r="AR10" s="12"/>
      <c r="AS10" s="12"/>
      <c r="AT10" s="12"/>
      <c r="AU10" s="12"/>
      <c r="AV10" s="12"/>
      <c r="AW10" s="12"/>
      <c r="AX10" s="12"/>
      <c r="AY10" s="12"/>
      <c r="AZ10" s="12"/>
      <c r="BA10" s="12"/>
      <c r="BB10" s="12"/>
    </row>
    <row r="11" spans="1:54" x14ac:dyDescent="0.3">
      <c r="A11" s="2042" t="s">
        <v>6</v>
      </c>
      <c r="B11" s="2042"/>
      <c r="C11" s="2042"/>
      <c r="D11" s="2042"/>
      <c r="E11" s="2042"/>
      <c r="F11" s="2042"/>
      <c r="G11" s="2042"/>
      <c r="H11" s="2042"/>
      <c r="I11" s="2042"/>
      <c r="J11" s="2042"/>
      <c r="K11" s="2042"/>
      <c r="L11" s="2042"/>
      <c r="M11" s="2042"/>
      <c r="N11" s="1933"/>
      <c r="O11" s="1933"/>
      <c r="P11" s="1933"/>
      <c r="Q11" s="1933"/>
      <c r="R11" s="1933"/>
      <c r="S11" s="1933"/>
      <c r="T11" s="2042"/>
      <c r="U11" s="2042"/>
      <c r="V11" s="2042"/>
      <c r="W11" s="2042"/>
      <c r="X11" s="2042"/>
      <c r="Y11" s="2042"/>
      <c r="Z11" s="1933"/>
      <c r="AA11" s="1933"/>
      <c r="AB11" s="1933"/>
      <c r="AC11" s="1933"/>
      <c r="AD11" s="1933"/>
      <c r="AE11" s="1933"/>
      <c r="AF11" s="1933"/>
      <c r="AG11" s="1933"/>
      <c r="AH11" s="1933"/>
      <c r="AI11" s="1933"/>
      <c r="AJ11" s="1933"/>
      <c r="AK11" s="1933"/>
      <c r="AL11" s="1933"/>
      <c r="AM11" s="1933"/>
      <c r="AN11" s="2042"/>
      <c r="AO11" s="15"/>
      <c r="AP11" s="15"/>
    </row>
    <row r="12" spans="1:54" x14ac:dyDescent="0.3">
      <c r="A12" s="1934" t="s">
        <v>7</v>
      </c>
      <c r="B12" s="1934" t="s">
        <v>2490</v>
      </c>
      <c r="C12" s="1934" t="s">
        <v>8</v>
      </c>
      <c r="D12" s="1934" t="s">
        <v>9</v>
      </c>
      <c r="E12" s="1934" t="s">
        <v>10</v>
      </c>
      <c r="F12" s="1934" t="s">
        <v>11</v>
      </c>
      <c r="G12" s="1934" t="s">
        <v>12</v>
      </c>
      <c r="H12" s="1934"/>
      <c r="I12" s="1934"/>
      <c r="J12" s="1934" t="s">
        <v>891</v>
      </c>
      <c r="K12" s="1934"/>
      <c r="L12" s="1934" t="s">
        <v>13</v>
      </c>
      <c r="M12" s="1934"/>
      <c r="N12" s="1937" t="s">
        <v>14</v>
      </c>
      <c r="O12" s="1934"/>
      <c r="P12" s="1934" t="s">
        <v>907</v>
      </c>
      <c r="Q12" s="1934"/>
      <c r="R12" s="1931" t="s">
        <v>894</v>
      </c>
      <c r="S12" s="1931"/>
      <c r="T12" s="1934" t="s">
        <v>2324</v>
      </c>
      <c r="U12" s="1934"/>
      <c r="V12" s="1931" t="s">
        <v>2148</v>
      </c>
      <c r="W12" s="1931"/>
      <c r="X12" s="1934" t="s">
        <v>2149</v>
      </c>
      <c r="Y12" s="1934"/>
      <c r="Z12" s="2084" t="s">
        <v>15</v>
      </c>
      <c r="AA12" s="1931"/>
      <c r="AB12" s="1931" t="s">
        <v>16</v>
      </c>
      <c r="AC12" s="1931"/>
      <c r="AD12" s="1931" t="s">
        <v>17</v>
      </c>
      <c r="AE12" s="1931"/>
      <c r="AF12" s="1931" t="s">
        <v>18</v>
      </c>
      <c r="AG12" s="1931"/>
      <c r="AH12" s="1931" t="s">
        <v>19</v>
      </c>
      <c r="AI12" s="1931"/>
      <c r="AJ12" s="1931" t="s">
        <v>20</v>
      </c>
      <c r="AK12" s="1931"/>
      <c r="AL12" s="1931" t="s">
        <v>21</v>
      </c>
      <c r="AM12" s="1931"/>
      <c r="AN12" s="1934" t="s">
        <v>904</v>
      </c>
      <c r="AO12" s="1937" t="s">
        <v>22</v>
      </c>
      <c r="AP12" s="1934" t="s">
        <v>2218</v>
      </c>
      <c r="AQ12" s="1934" t="s">
        <v>23</v>
      </c>
      <c r="AR12" s="1310"/>
      <c r="AS12" s="1934" t="s">
        <v>24</v>
      </c>
      <c r="AT12" s="1310"/>
      <c r="AU12" s="1936" t="s">
        <v>25</v>
      </c>
      <c r="AV12" s="1937"/>
      <c r="AW12" s="1936" t="s">
        <v>26</v>
      </c>
      <c r="AX12" s="1937"/>
      <c r="AY12" s="1936" t="s">
        <v>27</v>
      </c>
      <c r="AZ12" s="1937"/>
      <c r="BA12" s="1936" t="s">
        <v>28</v>
      </c>
      <c r="BB12" s="1937"/>
    </row>
    <row r="13" spans="1:54" x14ac:dyDescent="0.3">
      <c r="A13" s="1935"/>
      <c r="B13" s="1935"/>
      <c r="C13" s="1935"/>
      <c r="D13" s="1935"/>
      <c r="E13" s="1935"/>
      <c r="F13" s="1935"/>
      <c r="G13" s="1935"/>
      <c r="H13" s="1935"/>
      <c r="I13" s="1935"/>
      <c r="J13" s="1935"/>
      <c r="K13" s="1935"/>
      <c r="L13" s="1935"/>
      <c r="M13" s="1935"/>
      <c r="N13" s="2083"/>
      <c r="O13" s="1935"/>
      <c r="P13" s="1935"/>
      <c r="Q13" s="1935"/>
      <c r="R13" s="1932"/>
      <c r="S13" s="1932"/>
      <c r="T13" s="1935"/>
      <c r="U13" s="1935"/>
      <c r="V13" s="1932"/>
      <c r="W13" s="1932"/>
      <c r="X13" s="1935"/>
      <c r="Y13" s="1935"/>
      <c r="Z13" s="2085"/>
      <c r="AA13" s="1932"/>
      <c r="AB13" s="1932"/>
      <c r="AC13" s="1932"/>
      <c r="AD13" s="1932"/>
      <c r="AE13" s="1932"/>
      <c r="AF13" s="1932"/>
      <c r="AG13" s="1932"/>
      <c r="AH13" s="1932"/>
      <c r="AI13" s="1932"/>
      <c r="AJ13" s="1932"/>
      <c r="AK13" s="1932"/>
      <c r="AL13" s="1932"/>
      <c r="AM13" s="1932"/>
      <c r="AN13" s="1935"/>
      <c r="AO13" s="2083"/>
      <c r="AP13" s="1935"/>
      <c r="AQ13" s="1935"/>
      <c r="AR13" s="1311"/>
      <c r="AS13" s="1935"/>
      <c r="AT13" s="1311"/>
      <c r="AU13" s="1938" t="s">
        <v>29</v>
      </c>
      <c r="AV13" s="1938" t="s">
        <v>30</v>
      </c>
      <c r="AW13" s="1938" t="s">
        <v>29</v>
      </c>
      <c r="AX13" s="1938" t="s">
        <v>31</v>
      </c>
      <c r="AY13" s="1938" t="s">
        <v>29</v>
      </c>
      <c r="AZ13" s="1938" t="s">
        <v>31</v>
      </c>
      <c r="BA13" s="1938" t="s">
        <v>29</v>
      </c>
      <c r="BB13" s="1938" t="s">
        <v>30</v>
      </c>
    </row>
    <row r="14" spans="1:54" x14ac:dyDescent="0.3">
      <c r="A14" s="1935"/>
      <c r="B14" s="1935"/>
      <c r="C14" s="1935"/>
      <c r="D14" s="1935"/>
      <c r="E14" s="1935"/>
      <c r="F14" s="1935"/>
      <c r="G14" s="1935" t="s">
        <v>32</v>
      </c>
      <c r="H14" s="1935" t="s">
        <v>33</v>
      </c>
      <c r="I14" s="1935"/>
      <c r="J14" s="1935" t="s">
        <v>34</v>
      </c>
      <c r="K14" s="1935" t="s">
        <v>35</v>
      </c>
      <c r="L14" s="1935" t="s">
        <v>34</v>
      </c>
      <c r="M14" s="1935" t="s">
        <v>35</v>
      </c>
      <c r="N14" s="2083" t="s">
        <v>34</v>
      </c>
      <c r="O14" s="1935" t="s">
        <v>35</v>
      </c>
      <c r="P14" s="1935" t="s">
        <v>34</v>
      </c>
      <c r="Q14" s="1935" t="s">
        <v>35</v>
      </c>
      <c r="R14" s="1932" t="s">
        <v>36</v>
      </c>
      <c r="S14" s="1932" t="s">
        <v>37</v>
      </c>
      <c r="T14" s="1935" t="s">
        <v>34</v>
      </c>
      <c r="U14" s="1935" t="s">
        <v>35</v>
      </c>
      <c r="V14" s="1932" t="s">
        <v>36</v>
      </c>
      <c r="W14" s="1932" t="s">
        <v>37</v>
      </c>
      <c r="X14" s="1935" t="s">
        <v>34</v>
      </c>
      <c r="Y14" s="1935" t="s">
        <v>35</v>
      </c>
      <c r="Z14" s="2082" t="s">
        <v>34</v>
      </c>
      <c r="AA14" s="1932" t="s">
        <v>35</v>
      </c>
      <c r="AB14" s="1932" t="s">
        <v>34</v>
      </c>
      <c r="AC14" s="1932" t="s">
        <v>35</v>
      </c>
      <c r="AD14" s="1932" t="s">
        <v>34</v>
      </c>
      <c r="AE14" s="1932" t="s">
        <v>35</v>
      </c>
      <c r="AF14" s="1932" t="s">
        <v>34</v>
      </c>
      <c r="AG14" s="1932" t="s">
        <v>35</v>
      </c>
      <c r="AH14" s="1932" t="s">
        <v>34</v>
      </c>
      <c r="AI14" s="1932" t="s">
        <v>35</v>
      </c>
      <c r="AJ14" s="1932" t="s">
        <v>34</v>
      </c>
      <c r="AK14" s="1932" t="s">
        <v>35</v>
      </c>
      <c r="AL14" s="1932" t="s">
        <v>34</v>
      </c>
      <c r="AM14" s="1932" t="s">
        <v>35</v>
      </c>
      <c r="AN14" s="1935"/>
      <c r="AO14" s="2083"/>
      <c r="AP14" s="1935"/>
      <c r="AQ14" s="1935"/>
      <c r="AR14" s="1311"/>
      <c r="AS14" s="1935"/>
      <c r="AT14" s="1311"/>
      <c r="AU14" s="1939"/>
      <c r="AV14" s="1939"/>
      <c r="AW14" s="1939"/>
      <c r="AX14" s="1939"/>
      <c r="AY14" s="1939"/>
      <c r="AZ14" s="1939"/>
      <c r="BA14" s="1939"/>
      <c r="BB14" s="1939"/>
    </row>
    <row r="15" spans="1:54" x14ac:dyDescent="0.3">
      <c r="A15" s="1935"/>
      <c r="B15" s="1935"/>
      <c r="C15" s="1935"/>
      <c r="D15" s="1935"/>
      <c r="E15" s="1935"/>
      <c r="F15" s="1935"/>
      <c r="G15" s="1935"/>
      <c r="H15" s="1935" t="s">
        <v>34</v>
      </c>
      <c r="I15" s="1935" t="s">
        <v>35</v>
      </c>
      <c r="J15" s="1935"/>
      <c r="K15" s="1935"/>
      <c r="L15" s="1935"/>
      <c r="M15" s="1935"/>
      <c r="N15" s="2083"/>
      <c r="O15" s="1935"/>
      <c r="P15" s="1935"/>
      <c r="Q15" s="1935"/>
      <c r="R15" s="1932"/>
      <c r="S15" s="1932"/>
      <c r="T15" s="1935"/>
      <c r="U15" s="1935"/>
      <c r="V15" s="1932"/>
      <c r="W15" s="1932"/>
      <c r="X15" s="1935"/>
      <c r="Y15" s="1935"/>
      <c r="Z15" s="2082"/>
      <c r="AA15" s="1932"/>
      <c r="AB15" s="1932"/>
      <c r="AC15" s="1932"/>
      <c r="AD15" s="1932"/>
      <c r="AE15" s="1932"/>
      <c r="AF15" s="1932"/>
      <c r="AG15" s="1932"/>
      <c r="AH15" s="1932"/>
      <c r="AI15" s="1932"/>
      <c r="AJ15" s="1932"/>
      <c r="AK15" s="1932"/>
      <c r="AL15" s="1932"/>
      <c r="AM15" s="1932"/>
      <c r="AN15" s="1935"/>
      <c r="AO15" s="2083"/>
      <c r="AP15" s="1935"/>
      <c r="AQ15" s="1935"/>
      <c r="AR15" s="1311"/>
      <c r="AS15" s="1935"/>
      <c r="AT15" s="1311"/>
      <c r="AU15" s="1939"/>
      <c r="AV15" s="1939"/>
      <c r="AW15" s="1939"/>
      <c r="AX15" s="1939"/>
      <c r="AY15" s="1939"/>
      <c r="AZ15" s="1939"/>
      <c r="BA15" s="1939"/>
      <c r="BB15" s="1939"/>
    </row>
    <row r="16" spans="1:54" x14ac:dyDescent="0.3">
      <c r="A16" s="1935"/>
      <c r="B16" s="1935"/>
      <c r="C16" s="1935"/>
      <c r="D16" s="1935"/>
      <c r="E16" s="1935"/>
      <c r="F16" s="1935"/>
      <c r="G16" s="1935"/>
      <c r="H16" s="1935"/>
      <c r="I16" s="1935"/>
      <c r="J16" s="1935"/>
      <c r="K16" s="1935"/>
      <c r="L16" s="1935"/>
      <c r="M16" s="1935"/>
      <c r="N16" s="2083"/>
      <c r="O16" s="1935"/>
      <c r="P16" s="1935"/>
      <c r="Q16" s="1935"/>
      <c r="R16" s="1932"/>
      <c r="S16" s="1932"/>
      <c r="T16" s="1935"/>
      <c r="U16" s="1935"/>
      <c r="V16" s="1932"/>
      <c r="W16" s="1932"/>
      <c r="X16" s="1935"/>
      <c r="Y16" s="1935"/>
      <c r="Z16" s="2082"/>
      <c r="AA16" s="1932"/>
      <c r="AB16" s="1932"/>
      <c r="AC16" s="1932"/>
      <c r="AD16" s="1932"/>
      <c r="AE16" s="1932"/>
      <c r="AF16" s="1932"/>
      <c r="AG16" s="1932"/>
      <c r="AH16" s="1932"/>
      <c r="AI16" s="1932"/>
      <c r="AJ16" s="1932"/>
      <c r="AK16" s="1932"/>
      <c r="AL16" s="1932"/>
      <c r="AM16" s="1932"/>
      <c r="AN16" s="1935"/>
      <c r="AO16" s="2083"/>
      <c r="AP16" s="1935"/>
      <c r="AQ16" s="1935"/>
      <c r="AR16" s="1311"/>
      <c r="AS16" s="1935"/>
      <c r="AT16" s="1311"/>
      <c r="AU16" s="1940"/>
      <c r="AV16" s="1940"/>
      <c r="AW16" s="1940"/>
      <c r="AX16" s="1940"/>
      <c r="AY16" s="1940"/>
      <c r="AZ16" s="1940"/>
      <c r="BA16" s="1940"/>
      <c r="BB16" s="1940"/>
    </row>
    <row r="17" spans="1:55" x14ac:dyDescent="0.3">
      <c r="A17" s="18">
        <v>1</v>
      </c>
      <c r="B17" s="18"/>
      <c r="C17" s="18">
        <v>2</v>
      </c>
      <c r="D17" s="18">
        <v>3</v>
      </c>
      <c r="E17" s="18">
        <v>4</v>
      </c>
      <c r="F17" s="18">
        <v>5</v>
      </c>
      <c r="G17" s="18">
        <v>6</v>
      </c>
      <c r="H17" s="18">
        <v>7</v>
      </c>
      <c r="I17" s="18">
        <v>8</v>
      </c>
      <c r="J17" s="18">
        <v>9</v>
      </c>
      <c r="K17" s="18">
        <v>10</v>
      </c>
      <c r="L17" s="18">
        <v>11</v>
      </c>
      <c r="M17" s="18">
        <v>12</v>
      </c>
      <c r="N17" s="1258">
        <v>13</v>
      </c>
      <c r="O17" s="18">
        <v>14</v>
      </c>
      <c r="P17" s="18">
        <v>11</v>
      </c>
      <c r="Q17" s="18">
        <v>12</v>
      </c>
      <c r="R17" s="18">
        <v>15</v>
      </c>
      <c r="S17" s="18">
        <v>16</v>
      </c>
      <c r="T17" s="18">
        <v>13</v>
      </c>
      <c r="U17" s="18">
        <v>14</v>
      </c>
      <c r="V17" s="18">
        <v>15</v>
      </c>
      <c r="W17" s="18">
        <v>16</v>
      </c>
      <c r="X17" s="18">
        <v>17</v>
      </c>
      <c r="Y17" s="18">
        <v>18</v>
      </c>
      <c r="Z17" s="1258">
        <v>15</v>
      </c>
      <c r="AA17" s="18">
        <v>16</v>
      </c>
      <c r="AB17" s="18">
        <v>17</v>
      </c>
      <c r="AC17" s="18">
        <v>18</v>
      </c>
      <c r="AD17" s="18">
        <v>25</v>
      </c>
      <c r="AE17" s="18">
        <v>26</v>
      </c>
      <c r="AF17" s="18">
        <v>25</v>
      </c>
      <c r="AG17" s="18">
        <v>26</v>
      </c>
      <c r="AH17" s="18">
        <v>25</v>
      </c>
      <c r="AI17" s="18">
        <v>26</v>
      </c>
      <c r="AJ17" s="18">
        <v>25</v>
      </c>
      <c r="AK17" s="18">
        <v>26</v>
      </c>
      <c r="AL17" s="18">
        <v>25</v>
      </c>
      <c r="AM17" s="18">
        <v>26</v>
      </c>
      <c r="AN17" s="18">
        <v>19</v>
      </c>
      <c r="AO17" s="19"/>
      <c r="AP17" s="19"/>
    </row>
    <row r="18" spans="1:55" x14ac:dyDescent="0.3">
      <c r="A18" s="18"/>
      <c r="B18" s="18"/>
      <c r="C18" s="20" t="s">
        <v>38</v>
      </c>
      <c r="D18" s="18"/>
      <c r="E18" s="18"/>
      <c r="F18" s="18"/>
      <c r="G18" s="18"/>
      <c r="H18" s="21">
        <f>H19</f>
        <v>691800</v>
      </c>
      <c r="I18" s="21">
        <f>I19</f>
        <v>691800</v>
      </c>
      <c r="J18" s="21"/>
      <c r="K18" s="21"/>
      <c r="L18" s="21"/>
      <c r="M18" s="21"/>
      <c r="N18" s="1259"/>
      <c r="O18" s="21"/>
      <c r="P18" s="21"/>
      <c r="Q18" s="21"/>
      <c r="R18" s="21"/>
      <c r="S18" s="21"/>
      <c r="T18" s="21"/>
      <c r="U18" s="21"/>
      <c r="V18" s="21">
        <f>V19</f>
        <v>109200</v>
      </c>
      <c r="W18" s="21">
        <f t="shared" ref="W18:Y18" si="0">W19</f>
        <v>0</v>
      </c>
      <c r="X18" s="21">
        <f t="shared" si="0"/>
        <v>109200</v>
      </c>
      <c r="Y18" s="21">
        <f t="shared" si="0"/>
        <v>109200</v>
      </c>
      <c r="Z18" s="1259" t="e">
        <f>Z19+#REF!</f>
        <v>#REF!</v>
      </c>
      <c r="AA18" s="21" t="e">
        <f>AA19+#REF!</f>
        <v>#REF!</v>
      </c>
      <c r="AB18" s="21" t="e">
        <f>AB19+#REF!</f>
        <v>#REF!</v>
      </c>
      <c r="AC18" s="21" t="e">
        <f>AC19+#REF!</f>
        <v>#REF!</v>
      </c>
      <c r="AD18" s="21" t="e">
        <f>AD19+#REF!</f>
        <v>#REF!</v>
      </c>
      <c r="AE18" s="21" t="e">
        <f>AE19+#REF!</f>
        <v>#REF!</v>
      </c>
      <c r="AF18" s="21" t="e">
        <f>AF19+#REF!</f>
        <v>#REF!</v>
      </c>
      <c r="AG18" s="21" t="e">
        <f>AG19+#REF!</f>
        <v>#REF!</v>
      </c>
      <c r="AH18" s="21" t="e">
        <f>AH19+#REF!</f>
        <v>#REF!</v>
      </c>
      <c r="AI18" s="21" t="e">
        <f>AI19+#REF!</f>
        <v>#REF!</v>
      </c>
      <c r="AJ18" s="21" t="e">
        <f>AJ19+#REF!</f>
        <v>#REF!</v>
      </c>
      <c r="AK18" s="21" t="e">
        <f>AK19+#REF!</f>
        <v>#REF!</v>
      </c>
      <c r="AL18" s="21" t="e">
        <f>AL19+#REF!</f>
        <v>#REF!</v>
      </c>
      <c r="AM18" s="21" t="e">
        <f>AM19+#REF!</f>
        <v>#REF!</v>
      </c>
      <c r="AN18" s="18"/>
      <c r="AO18" s="19">
        <f>IF(Y18-U18=0,0,1)</f>
        <v>1</v>
      </c>
      <c r="AP18" s="19">
        <f>IF(Y18=0,0,1)</f>
        <v>1</v>
      </c>
      <c r="AQ18" s="22"/>
      <c r="AR18" s="22"/>
      <c r="AS18" s="92">
        <f>U18+V18-W18</f>
        <v>109200</v>
      </c>
      <c r="AT18" s="92"/>
    </row>
    <row r="19" spans="1:55" x14ac:dyDescent="0.3">
      <c r="A19" s="23" t="s">
        <v>41</v>
      </c>
      <c r="B19" s="23"/>
      <c r="C19" s="24" t="s">
        <v>42</v>
      </c>
      <c r="D19" s="25"/>
      <c r="E19" s="25"/>
      <c r="F19" s="25"/>
      <c r="G19" s="25"/>
      <c r="H19" s="26">
        <f>H20+H22</f>
        <v>691800</v>
      </c>
      <c r="I19" s="26">
        <f>I20+I22</f>
        <v>691800</v>
      </c>
      <c r="J19" s="26"/>
      <c r="K19" s="26"/>
      <c r="L19" s="26"/>
      <c r="M19" s="26"/>
      <c r="N19" s="1260"/>
      <c r="O19" s="26"/>
      <c r="P19" s="26"/>
      <c r="Q19" s="26"/>
      <c r="R19" s="26"/>
      <c r="S19" s="26"/>
      <c r="T19" s="26"/>
      <c r="U19" s="26"/>
      <c r="V19" s="26">
        <f>V20+V22</f>
        <v>109200</v>
      </c>
      <c r="W19" s="26">
        <f t="shared" ref="W19:Y19" si="1">W20+W22</f>
        <v>0</v>
      </c>
      <c r="X19" s="26">
        <f t="shared" si="1"/>
        <v>109200</v>
      </c>
      <c r="Y19" s="26">
        <f t="shared" si="1"/>
        <v>109200</v>
      </c>
      <c r="Z19" s="1260" t="e">
        <f>Z20+#REF!+#REF!+#REF!+#REF!+#REF!+#REF!+#REF!+Z22</f>
        <v>#REF!</v>
      </c>
      <c r="AA19" s="26" t="e">
        <f>AA20+#REF!+#REF!+#REF!+#REF!+#REF!+#REF!+#REF!+AA22</f>
        <v>#REF!</v>
      </c>
      <c r="AB19" s="26" t="e">
        <f>AB20+#REF!+#REF!+#REF!+#REF!+#REF!+#REF!+#REF!+AB22</f>
        <v>#REF!</v>
      </c>
      <c r="AC19" s="26" t="e">
        <f>AC20+#REF!+#REF!+#REF!+#REF!+#REF!+#REF!+#REF!+AC22</f>
        <v>#REF!</v>
      </c>
      <c r="AD19" s="26" t="e">
        <f>AD20+#REF!+#REF!+#REF!+#REF!+#REF!+#REF!+#REF!+AD22</f>
        <v>#REF!</v>
      </c>
      <c r="AE19" s="26" t="e">
        <f>AE20+#REF!+#REF!+#REF!+#REF!+#REF!+#REF!+#REF!+AE22</f>
        <v>#REF!</v>
      </c>
      <c r="AF19" s="26" t="e">
        <f>AF20+#REF!+#REF!+#REF!+#REF!+#REF!+#REF!+#REF!+AF22</f>
        <v>#REF!</v>
      </c>
      <c r="AG19" s="26" t="e">
        <f>AG20+#REF!+#REF!+#REF!+#REF!+#REF!+#REF!+#REF!+AG22</f>
        <v>#REF!</v>
      </c>
      <c r="AH19" s="26" t="e">
        <f>AH20+#REF!+#REF!+#REF!+#REF!+#REF!+#REF!+#REF!+AH22</f>
        <v>#REF!</v>
      </c>
      <c r="AI19" s="26" t="e">
        <f>AI20+#REF!+#REF!+#REF!+#REF!+#REF!+#REF!+#REF!+AI22</f>
        <v>#REF!</v>
      </c>
      <c r="AJ19" s="26" t="e">
        <f>AJ20+#REF!+#REF!+#REF!+#REF!+#REF!+#REF!+#REF!+AJ22</f>
        <v>#REF!</v>
      </c>
      <c r="AK19" s="26" t="e">
        <f>AK20+#REF!+#REF!+#REF!+#REF!+#REF!+#REF!+#REF!+AK22</f>
        <v>#REF!</v>
      </c>
      <c r="AL19" s="26" t="e">
        <f>AL20+#REF!+#REF!+#REF!+#REF!+#REF!+#REF!+#REF!+AL22</f>
        <v>#REF!</v>
      </c>
      <c r="AM19" s="26" t="e">
        <f>AM20+#REF!+#REF!+#REF!+#REF!+#REF!+#REF!+#REF!+AM22</f>
        <v>#REF!</v>
      </c>
      <c r="AN19" s="27"/>
      <c r="AO19" s="19">
        <f t="shared" ref="AO19:AO21" si="2">IF(Y19-U19=0,0,1)</f>
        <v>1</v>
      </c>
      <c r="AP19" s="19">
        <f t="shared" ref="AP19:AP21" si="3">IF(Y19=0,0,1)</f>
        <v>1</v>
      </c>
      <c r="AQ19" s="22"/>
      <c r="AR19" s="22"/>
      <c r="AS19" s="92">
        <f t="shared" ref="AS19:AS20" si="4">U19+V19-W19</f>
        <v>109200</v>
      </c>
    </row>
    <row r="20" spans="1:55" s="1298" customFormat="1" x14ac:dyDescent="0.3">
      <c r="A20" s="1271" t="s">
        <v>43</v>
      </c>
      <c r="B20" s="1271"/>
      <c r="C20" s="1272" t="s">
        <v>44</v>
      </c>
      <c r="D20" s="1273"/>
      <c r="E20" s="1273"/>
      <c r="F20" s="1273"/>
      <c r="G20" s="1273"/>
      <c r="H20" s="1274">
        <f t="shared" ref="H20:I20" si="5">H21</f>
        <v>105000</v>
      </c>
      <c r="I20" s="1274">
        <f t="shared" si="5"/>
        <v>105000</v>
      </c>
      <c r="J20" s="1274"/>
      <c r="K20" s="1274"/>
      <c r="L20" s="1274"/>
      <c r="M20" s="1274"/>
      <c r="N20" s="1261"/>
      <c r="O20" s="31"/>
      <c r="P20" s="31"/>
      <c r="Q20" s="31"/>
      <c r="R20" s="31"/>
      <c r="S20" s="31"/>
      <c r="T20" s="1274"/>
      <c r="U20" s="1274"/>
      <c r="V20" s="1274">
        <f>V21</f>
        <v>30000</v>
      </c>
      <c r="W20" s="1274">
        <f t="shared" ref="W20:Y20" si="6">W21</f>
        <v>0</v>
      </c>
      <c r="X20" s="1274">
        <f t="shared" si="6"/>
        <v>30000</v>
      </c>
      <c r="Y20" s="1274">
        <f t="shared" si="6"/>
        <v>30000</v>
      </c>
      <c r="Z20" s="1261" t="e">
        <f>ROUND(#REF!+#REF!,0)</f>
        <v>#REF!</v>
      </c>
      <c r="AA20" s="31" t="e">
        <f>ROUND(#REF!+#REF!,0)</f>
        <v>#REF!</v>
      </c>
      <c r="AB20" s="31" t="e">
        <f>ROUND(#REF!+#REF!,0)</f>
        <v>#REF!</v>
      </c>
      <c r="AC20" s="31" t="e">
        <f>ROUND(#REF!+#REF!,0)</f>
        <v>#REF!</v>
      </c>
      <c r="AD20" s="31" t="e">
        <f>ROUND(#REF!+#REF!,0)</f>
        <v>#REF!</v>
      </c>
      <c r="AE20" s="31" t="e">
        <f>ROUND(#REF!+#REF!,0)</f>
        <v>#REF!</v>
      </c>
      <c r="AF20" s="31" t="e">
        <f>ROUND(#REF!+#REF!,0)</f>
        <v>#REF!</v>
      </c>
      <c r="AG20" s="31" t="e">
        <f>ROUND(#REF!+#REF!,0)</f>
        <v>#REF!</v>
      </c>
      <c r="AH20" s="31" t="e">
        <f>ROUND(#REF!+#REF!,0)</f>
        <v>#REF!</v>
      </c>
      <c r="AI20" s="31" t="e">
        <f>ROUND(#REF!+#REF!,0)</f>
        <v>#REF!</v>
      </c>
      <c r="AJ20" s="31" t="e">
        <f>ROUND(#REF!+#REF!,0)</f>
        <v>#REF!</v>
      </c>
      <c r="AK20" s="31" t="e">
        <f>ROUND(#REF!+#REF!,0)</f>
        <v>#REF!</v>
      </c>
      <c r="AL20" s="31" t="e">
        <f>ROUND(#REF!+#REF!,0)</f>
        <v>#REF!</v>
      </c>
      <c r="AM20" s="31" t="e">
        <f>ROUND(#REF!+#REF!,0)</f>
        <v>#REF!</v>
      </c>
      <c r="AN20" s="1275"/>
      <c r="AO20" s="19">
        <f t="shared" si="2"/>
        <v>1</v>
      </c>
      <c r="AP20" s="19">
        <f t="shared" si="3"/>
        <v>1</v>
      </c>
      <c r="AQ20" s="22"/>
      <c r="AR20" s="22"/>
      <c r="AS20" s="92">
        <f t="shared" si="4"/>
        <v>30000</v>
      </c>
      <c r="AT20" s="12"/>
      <c r="AU20" s="12"/>
      <c r="AV20" s="12"/>
      <c r="AW20" s="12"/>
      <c r="AX20" s="12"/>
      <c r="AY20" s="12"/>
      <c r="AZ20" s="12"/>
      <c r="BA20" s="12"/>
      <c r="BB20" s="33"/>
    </row>
    <row r="21" spans="1:55" ht="66" x14ac:dyDescent="0.3">
      <c r="A21" s="60">
        <v>36</v>
      </c>
      <c r="B21" s="60">
        <v>14</v>
      </c>
      <c r="C21" s="9" t="s">
        <v>2109</v>
      </c>
      <c r="D21" s="61" t="s">
        <v>205</v>
      </c>
      <c r="E21" s="61"/>
      <c r="F21" s="61" t="s">
        <v>172</v>
      </c>
      <c r="G21" s="61"/>
      <c r="H21" s="5">
        <f>I21</f>
        <v>105000</v>
      </c>
      <c r="I21" s="74">
        <v>105000</v>
      </c>
      <c r="J21" s="63"/>
      <c r="K21" s="63"/>
      <c r="L21" s="63"/>
      <c r="M21" s="63"/>
      <c r="N21" s="1264"/>
      <c r="O21" s="68"/>
      <c r="P21" s="68"/>
      <c r="Q21" s="68"/>
      <c r="R21" s="68"/>
      <c r="S21" s="54"/>
      <c r="T21" s="68"/>
      <c r="U21" s="68"/>
      <c r="V21" s="68">
        <v>30000</v>
      </c>
      <c r="W21" s="54"/>
      <c r="X21" s="68">
        <v>30000</v>
      </c>
      <c r="Y21" s="68">
        <v>30000</v>
      </c>
      <c r="Z21" s="1266" t="s">
        <v>980</v>
      </c>
      <c r="AA21" s="58"/>
      <c r="AB21" s="58"/>
      <c r="AC21" s="58"/>
      <c r="AD21" s="58"/>
      <c r="AE21" s="58"/>
      <c r="AF21" s="63"/>
      <c r="AG21" s="63"/>
      <c r="AH21" s="63"/>
      <c r="AI21" s="63"/>
      <c r="AJ21" s="63"/>
      <c r="AK21" s="63"/>
      <c r="AL21" s="63"/>
      <c r="AM21" s="63"/>
      <c r="AN21" s="1169" t="s">
        <v>980</v>
      </c>
      <c r="AO21" s="19">
        <f t="shared" si="2"/>
        <v>1</v>
      </c>
      <c r="AP21" s="19">
        <f t="shared" si="3"/>
        <v>1</v>
      </c>
      <c r="AQ21" s="22">
        <f>SUM(V21:V21)</f>
        <v>30000</v>
      </c>
      <c r="AR21" s="22"/>
      <c r="BC21" s="1299">
        <f t="shared" ref="BC21" si="7">I21-Y21</f>
        <v>75000</v>
      </c>
    </row>
    <row r="22" spans="1:55" s="1298" customFormat="1" x14ac:dyDescent="0.3">
      <c r="A22" s="28" t="s">
        <v>730</v>
      </c>
      <c r="B22" s="28"/>
      <c r="C22" s="29" t="s">
        <v>2144</v>
      </c>
      <c r="D22" s="30"/>
      <c r="E22" s="30"/>
      <c r="F22" s="30"/>
      <c r="G22" s="30"/>
      <c r="H22" s="31">
        <f t="shared" ref="H22:I22" si="8">SUM(H23:H26)</f>
        <v>586800</v>
      </c>
      <c r="I22" s="31">
        <f t="shared" si="8"/>
        <v>586800</v>
      </c>
      <c r="J22" s="31">
        <f t="shared" ref="J22:U22" si="9">SUM(J25:J26)</f>
        <v>0</v>
      </c>
      <c r="K22" s="31">
        <f t="shared" si="9"/>
        <v>0</v>
      </c>
      <c r="L22" s="31">
        <f t="shared" si="9"/>
        <v>0</v>
      </c>
      <c r="M22" s="31">
        <f t="shared" si="9"/>
        <v>0</v>
      </c>
      <c r="N22" s="31">
        <f t="shared" si="9"/>
        <v>0</v>
      </c>
      <c r="O22" s="31">
        <f t="shared" si="9"/>
        <v>0</v>
      </c>
      <c r="P22" s="31">
        <f t="shared" si="9"/>
        <v>0</v>
      </c>
      <c r="Q22" s="31">
        <f t="shared" si="9"/>
        <v>0</v>
      </c>
      <c r="R22" s="31">
        <f t="shared" si="9"/>
        <v>0</v>
      </c>
      <c r="S22" s="31">
        <f t="shared" si="9"/>
        <v>0</v>
      </c>
      <c r="T22" s="31">
        <f t="shared" si="9"/>
        <v>0</v>
      </c>
      <c r="U22" s="31">
        <f t="shared" si="9"/>
        <v>0</v>
      </c>
      <c r="V22" s="31">
        <f>SUM(V23:V26)</f>
        <v>79200</v>
      </c>
      <c r="W22" s="31">
        <f>SUM(W25:W26)</f>
        <v>0</v>
      </c>
      <c r="X22" s="31">
        <f t="shared" ref="X22:Y22" si="10">SUM(X23:X26)</f>
        <v>79200</v>
      </c>
      <c r="Y22" s="31">
        <f t="shared" si="10"/>
        <v>79200</v>
      </c>
      <c r="Z22" s="1261" t="e">
        <f>#REF!+#REF!</f>
        <v>#REF!</v>
      </c>
      <c r="AA22" s="31" t="e">
        <f>#REF!+#REF!</f>
        <v>#REF!</v>
      </c>
      <c r="AB22" s="31" t="e">
        <f>#REF!+#REF!</f>
        <v>#REF!</v>
      </c>
      <c r="AC22" s="31" t="e">
        <f>#REF!+#REF!</f>
        <v>#REF!</v>
      </c>
      <c r="AD22" s="31" t="e">
        <f>#REF!+#REF!</f>
        <v>#REF!</v>
      </c>
      <c r="AE22" s="31" t="e">
        <f>#REF!+#REF!</f>
        <v>#REF!</v>
      </c>
      <c r="AF22" s="31" t="e">
        <f>#REF!+#REF!</f>
        <v>#REF!</v>
      </c>
      <c r="AG22" s="31" t="e">
        <f>#REF!+#REF!</f>
        <v>#REF!</v>
      </c>
      <c r="AH22" s="31" t="e">
        <f>#REF!+#REF!</f>
        <v>#REF!</v>
      </c>
      <c r="AI22" s="31" t="e">
        <f>#REF!+#REF!</f>
        <v>#REF!</v>
      </c>
      <c r="AJ22" s="31" t="e">
        <f>#REF!+#REF!</f>
        <v>#REF!</v>
      </c>
      <c r="AK22" s="31" t="e">
        <f>#REF!+#REF!</f>
        <v>#REF!</v>
      </c>
      <c r="AL22" s="31" t="e">
        <f>#REF!+#REF!</f>
        <v>#REF!</v>
      </c>
      <c r="AM22" s="31" t="e">
        <f>#REF!+#REF!</f>
        <v>#REF!</v>
      </c>
      <c r="AN22" s="32"/>
      <c r="AO22" s="19">
        <f t="shared" ref="AO22:AO24" si="11">IF(Y22-U22=0,0,1)</f>
        <v>1</v>
      </c>
      <c r="AP22" s="19">
        <f t="shared" ref="AP22:AP24" si="12">IF(Y22=0,0,1)</f>
        <v>1</v>
      </c>
      <c r="AQ22" s="22"/>
      <c r="AR22" s="22"/>
      <c r="AS22" s="12"/>
      <c r="AT22" s="12"/>
      <c r="AU22" s="12"/>
      <c r="AV22" s="12">
        <f t="shared" ref="AV22" si="13">IF(AU22=1,O22,0)</f>
        <v>0</v>
      </c>
      <c r="AW22" s="12"/>
      <c r="AX22" s="12">
        <f t="shared" ref="AX22" si="14">IF(AW22=1,Q22,0)</f>
        <v>0</v>
      </c>
      <c r="AY22" s="12"/>
      <c r="AZ22" s="12">
        <f t="shared" ref="AZ22" si="15">IF(AY22=1,R22,0)</f>
        <v>0</v>
      </c>
      <c r="BA22" s="12"/>
      <c r="BB22" s="12">
        <f t="shared" ref="BB22" si="16">IF(BA22=1,S22,0)</f>
        <v>0</v>
      </c>
    </row>
    <row r="23" spans="1:55" ht="49.5" x14ac:dyDescent="0.3">
      <c r="A23" s="60">
        <v>59</v>
      </c>
      <c r="B23" s="60">
        <v>5</v>
      </c>
      <c r="C23" s="1295" t="s">
        <v>2147</v>
      </c>
      <c r="D23" s="61" t="s">
        <v>146</v>
      </c>
      <c r="E23" s="61" t="s">
        <v>398</v>
      </c>
      <c r="F23" s="61" t="s">
        <v>290</v>
      </c>
      <c r="G23" s="61"/>
      <c r="H23" s="74">
        <f t="shared" ref="H23:H24" si="17">I23</f>
        <v>7000</v>
      </c>
      <c r="I23" s="1301">
        <v>7000</v>
      </c>
      <c r="J23" s="63"/>
      <c r="K23" s="63"/>
      <c r="L23" s="63"/>
      <c r="M23" s="63"/>
      <c r="N23" s="1265"/>
      <c r="O23" s="1001"/>
      <c r="P23" s="1002"/>
      <c r="Q23" s="1001"/>
      <c r="R23" s="1003"/>
      <c r="S23" s="1003"/>
      <c r="T23" s="68"/>
      <c r="U23" s="63"/>
      <c r="V23" s="54">
        <v>6300</v>
      </c>
      <c r="W23" s="54"/>
      <c r="X23" s="68">
        <f t="shared" ref="X23:X24" si="18">Y23</f>
        <v>6300</v>
      </c>
      <c r="Y23" s="63">
        <f t="shared" ref="Y23:Y24" si="19">V23+U23</f>
        <v>6300</v>
      </c>
      <c r="Z23" s="1269"/>
      <c r="AA23" s="1000"/>
      <c r="AB23" s="1000"/>
      <c r="AC23" s="1000"/>
      <c r="AD23" s="1000"/>
      <c r="AE23" s="1000"/>
      <c r="AF23" s="1001"/>
      <c r="AG23" s="1001"/>
      <c r="AH23" s="1001"/>
      <c r="AI23" s="1001"/>
      <c r="AJ23" s="1001"/>
      <c r="AK23" s="1001"/>
      <c r="AL23" s="1000"/>
      <c r="AM23" s="1000"/>
      <c r="AN23" s="1169" t="s">
        <v>980</v>
      </c>
      <c r="AO23" s="19">
        <f t="shared" si="11"/>
        <v>1</v>
      </c>
      <c r="AP23" s="19">
        <f t="shared" si="12"/>
        <v>1</v>
      </c>
      <c r="AQ23" s="22">
        <f>SUM(V23:V28)</f>
        <v>79200</v>
      </c>
      <c r="AR23" s="22"/>
    </row>
    <row r="24" spans="1:55" ht="79.5" customHeight="1" x14ac:dyDescent="0.3">
      <c r="A24" s="60">
        <v>60</v>
      </c>
      <c r="B24" s="60">
        <v>6</v>
      </c>
      <c r="C24" s="1295" t="s">
        <v>2145</v>
      </c>
      <c r="D24" s="61" t="s">
        <v>194</v>
      </c>
      <c r="E24" s="61" t="s">
        <v>2153</v>
      </c>
      <c r="F24" s="61" t="s">
        <v>290</v>
      </c>
      <c r="G24" s="61"/>
      <c r="H24" s="74">
        <f t="shared" si="17"/>
        <v>1000</v>
      </c>
      <c r="I24" s="1301">
        <v>1000</v>
      </c>
      <c r="J24" s="63"/>
      <c r="K24" s="63"/>
      <c r="L24" s="63"/>
      <c r="M24" s="63"/>
      <c r="N24" s="1265"/>
      <c r="O24" s="1001"/>
      <c r="P24" s="1002"/>
      <c r="Q24" s="1001"/>
      <c r="R24" s="1003"/>
      <c r="S24" s="1003"/>
      <c r="T24" s="68"/>
      <c r="U24" s="63"/>
      <c r="V24" s="54">
        <v>900</v>
      </c>
      <c r="W24" s="54"/>
      <c r="X24" s="68">
        <f t="shared" si="18"/>
        <v>900</v>
      </c>
      <c r="Y24" s="63">
        <f t="shared" si="19"/>
        <v>900</v>
      </c>
      <c r="Z24" s="1269"/>
      <c r="AA24" s="1000"/>
      <c r="AB24" s="1000"/>
      <c r="AC24" s="1000"/>
      <c r="AD24" s="1000"/>
      <c r="AE24" s="1000"/>
      <c r="AF24" s="1001"/>
      <c r="AG24" s="1001"/>
      <c r="AH24" s="1001"/>
      <c r="AI24" s="1001"/>
      <c r="AJ24" s="1001"/>
      <c r="AK24" s="1001"/>
      <c r="AL24" s="1000"/>
      <c r="AM24" s="1000"/>
      <c r="AN24" s="1169" t="s">
        <v>980</v>
      </c>
      <c r="AO24" s="19">
        <f t="shared" si="11"/>
        <v>1</v>
      </c>
      <c r="AP24" s="19">
        <f t="shared" si="12"/>
        <v>1</v>
      </c>
      <c r="AQ24" s="22"/>
      <c r="AR24" s="22"/>
    </row>
    <row r="25" spans="1:55" ht="49.5" x14ac:dyDescent="0.3">
      <c r="A25" s="1297" t="s">
        <v>2511</v>
      </c>
      <c r="B25" s="60">
        <v>12</v>
      </c>
      <c r="C25" s="9" t="s">
        <v>2493</v>
      </c>
      <c r="D25" s="61" t="s">
        <v>95</v>
      </c>
      <c r="E25" s="61" t="s">
        <v>2412</v>
      </c>
      <c r="F25" s="61" t="s">
        <v>165</v>
      </c>
      <c r="G25" s="61"/>
      <c r="H25" s="74">
        <f t="shared" ref="H25:H26" si="20">I25</f>
        <v>518800</v>
      </c>
      <c r="I25" s="80">
        <v>518800</v>
      </c>
      <c r="J25" s="1278"/>
      <c r="K25" s="1278"/>
      <c r="L25" s="1278"/>
      <c r="M25" s="1278"/>
      <c r="N25" s="1267"/>
      <c r="O25" s="1187"/>
      <c r="P25" s="1188"/>
      <c r="Q25" s="1187"/>
      <c r="R25" s="1185"/>
      <c r="S25" s="1185"/>
      <c r="T25" s="1058"/>
      <c r="U25" s="1278"/>
      <c r="V25" s="54">
        <v>35000</v>
      </c>
      <c r="W25" s="54"/>
      <c r="X25" s="68">
        <f t="shared" ref="X25:X26" si="21">Y25</f>
        <v>35000</v>
      </c>
      <c r="Y25" s="63">
        <f t="shared" ref="Y25:Y26" si="22">V25</f>
        <v>35000</v>
      </c>
      <c r="Z25" s="1169" t="s">
        <v>980</v>
      </c>
      <c r="AA25" s="19">
        <v>1</v>
      </c>
      <c r="AB25" s="19">
        <v>1</v>
      </c>
      <c r="AC25" s="1276"/>
      <c r="AD25" s="1276"/>
      <c r="AE25" s="1276"/>
      <c r="AF25" s="1277"/>
      <c r="AG25" s="1277"/>
      <c r="AH25" s="1277"/>
      <c r="AI25" s="1277"/>
      <c r="AJ25" s="1277"/>
      <c r="AK25" s="1277"/>
      <c r="AL25" s="1276"/>
      <c r="AM25" s="1276"/>
      <c r="AN25" s="1169" t="s">
        <v>980</v>
      </c>
      <c r="AO25" s="19">
        <f t="shared" ref="AO25:AO26" si="23">IF(Y25-U25=0,0,1)</f>
        <v>1</v>
      </c>
      <c r="AP25" s="19">
        <f t="shared" ref="AP25:AP26" si="24">IF(Y25=0,0,1)</f>
        <v>1</v>
      </c>
      <c r="AQ25" s="22"/>
      <c r="AR25" s="22"/>
    </row>
    <row r="26" spans="1:55" ht="33" x14ac:dyDescent="0.3">
      <c r="A26" s="1297" t="s">
        <v>2512</v>
      </c>
      <c r="B26" s="60">
        <v>13</v>
      </c>
      <c r="C26" s="9" t="s">
        <v>2494</v>
      </c>
      <c r="D26" s="61" t="s">
        <v>99</v>
      </c>
      <c r="E26" s="61" t="s">
        <v>2413</v>
      </c>
      <c r="F26" s="61" t="s">
        <v>162</v>
      </c>
      <c r="G26" s="61"/>
      <c r="H26" s="74">
        <f t="shared" si="20"/>
        <v>60000</v>
      </c>
      <c r="I26" s="80">
        <v>60000</v>
      </c>
      <c r="J26" s="1278"/>
      <c r="K26" s="1278"/>
      <c r="L26" s="1278"/>
      <c r="M26" s="1278"/>
      <c r="N26" s="1267"/>
      <c r="O26" s="1187"/>
      <c r="P26" s="1188"/>
      <c r="Q26" s="1187"/>
      <c r="R26" s="1185"/>
      <c r="S26" s="1185"/>
      <c r="T26" s="1058"/>
      <c r="U26" s="1278"/>
      <c r="V26" s="54">
        <v>37000</v>
      </c>
      <c r="W26" s="54"/>
      <c r="X26" s="68">
        <f t="shared" si="21"/>
        <v>37000</v>
      </c>
      <c r="Y26" s="63">
        <f t="shared" si="22"/>
        <v>37000</v>
      </c>
      <c r="Z26" s="1169" t="s">
        <v>980</v>
      </c>
      <c r="AA26" s="19">
        <v>1</v>
      </c>
      <c r="AB26" s="19">
        <v>1</v>
      </c>
      <c r="AC26" s="1276"/>
      <c r="AD26" s="1276"/>
      <c r="AE26" s="1276"/>
      <c r="AF26" s="1277"/>
      <c r="AG26" s="1277"/>
      <c r="AH26" s="1277"/>
      <c r="AI26" s="1277"/>
      <c r="AJ26" s="1277"/>
      <c r="AK26" s="1277"/>
      <c r="AL26" s="1276"/>
      <c r="AM26" s="1276"/>
      <c r="AN26" s="1169" t="s">
        <v>980</v>
      </c>
      <c r="AO26" s="19">
        <f t="shared" si="23"/>
        <v>1</v>
      </c>
      <c r="AP26" s="19">
        <f t="shared" si="24"/>
        <v>1</v>
      </c>
      <c r="AQ26" s="22"/>
      <c r="AR26" s="22"/>
    </row>
    <row r="27" spans="1:55" x14ac:dyDescent="0.3">
      <c r="A27" s="133"/>
      <c r="B27" s="133"/>
      <c r="C27" s="134"/>
      <c r="D27" s="135"/>
      <c r="E27" s="135"/>
      <c r="F27" s="135"/>
      <c r="G27" s="135"/>
      <c r="H27" s="136"/>
      <c r="I27" s="136"/>
      <c r="J27" s="137"/>
      <c r="K27" s="137"/>
      <c r="L27" s="137"/>
      <c r="M27" s="137"/>
      <c r="N27" s="1268"/>
      <c r="O27" s="137"/>
      <c r="P27" s="137"/>
      <c r="Q27" s="137"/>
      <c r="R27" s="138"/>
      <c r="S27" s="138"/>
      <c r="T27" s="137"/>
      <c r="U27" s="137"/>
      <c r="V27" s="138"/>
      <c r="W27" s="138"/>
      <c r="X27" s="137"/>
      <c r="Y27" s="137"/>
      <c r="Z27" s="1270"/>
      <c r="AA27" s="140"/>
      <c r="AB27" s="140"/>
      <c r="AC27" s="140"/>
      <c r="AD27" s="140"/>
      <c r="AE27" s="140"/>
      <c r="AF27" s="140"/>
      <c r="AG27" s="140"/>
      <c r="AH27" s="140"/>
      <c r="AI27" s="140"/>
      <c r="AJ27" s="140"/>
      <c r="AK27" s="140"/>
      <c r="AL27" s="140"/>
      <c r="AM27" s="140"/>
      <c r="AN27" s="136"/>
      <c r="AO27" s="19">
        <v>1</v>
      </c>
      <c r="AP27" s="19">
        <v>1</v>
      </c>
    </row>
    <row r="28" spans="1:55" s="13" customFormat="1" ht="18.75" x14ac:dyDescent="0.25">
      <c r="R28" s="89"/>
      <c r="S28" s="89"/>
      <c r="V28" s="89"/>
      <c r="W28" s="89"/>
      <c r="Z28" s="141"/>
      <c r="AO28" s="12"/>
      <c r="AP28" s="12"/>
      <c r="AQ28" s="142">
        <f>SUM(AQ18:AQ27)</f>
        <v>109200</v>
      </c>
      <c r="AR28" s="142"/>
      <c r="AS28" s="142">
        <f>SUM(AS18:AS27)</f>
        <v>248400</v>
      </c>
      <c r="AT28" s="142"/>
      <c r="AU28" s="142">
        <f t="shared" ref="AU28:BB28" si="25">SUM(AU18:AU27)</f>
        <v>0</v>
      </c>
      <c r="AV28" s="142">
        <f t="shared" si="25"/>
        <v>0</v>
      </c>
      <c r="AW28" s="142">
        <f t="shared" si="25"/>
        <v>0</v>
      </c>
      <c r="AX28" s="142">
        <f t="shared" si="25"/>
        <v>0</v>
      </c>
      <c r="AY28" s="142">
        <f t="shared" si="25"/>
        <v>0</v>
      </c>
      <c r="AZ28" s="142">
        <f t="shared" si="25"/>
        <v>0</v>
      </c>
      <c r="BA28" s="142">
        <f t="shared" si="25"/>
        <v>0</v>
      </c>
      <c r="BB28" s="142">
        <f t="shared" si="25"/>
        <v>0</v>
      </c>
    </row>
    <row r="29" spans="1:55" x14ac:dyDescent="0.3">
      <c r="P29" s="143"/>
      <c r="Q29" s="143"/>
      <c r="R29" s="144"/>
      <c r="S29" s="144"/>
      <c r="T29" s="1299"/>
      <c r="U29" s="1299"/>
      <c r="V29" s="1302"/>
      <c r="W29" s="1302"/>
      <c r="X29" s="1299"/>
      <c r="Y29" s="1299"/>
      <c r="BA29" s="22"/>
    </row>
    <row r="30" spans="1:55" ht="18.75" x14ac:dyDescent="0.3">
      <c r="P30" s="143"/>
      <c r="T30" s="1299"/>
      <c r="X30" s="1299"/>
      <c r="AN30" s="2081" t="s">
        <v>882</v>
      </c>
      <c r="AO30" s="1303" t="s">
        <v>883</v>
      </c>
      <c r="AP30" s="10"/>
      <c r="AQ30" s="1312"/>
      <c r="AR30" s="1312"/>
      <c r="AS30" s="1312"/>
      <c r="AT30" s="1312"/>
      <c r="AU30" s="1312"/>
      <c r="AV30" s="145">
        <f>AV28+BB28</f>
        <v>0</v>
      </c>
      <c r="AW30" s="1312"/>
      <c r="AX30" s="145"/>
      <c r="AY30" s="1312" t="s">
        <v>884</v>
      </c>
      <c r="AZ30" s="1312"/>
      <c r="BA30" s="145">
        <v>155000</v>
      </c>
      <c r="BB30" s="1312" t="s">
        <v>885</v>
      </c>
    </row>
    <row r="31" spans="1:55" ht="18.75" x14ac:dyDescent="0.3">
      <c r="AN31" s="2081"/>
      <c r="AO31" s="1303" t="s">
        <v>886</v>
      </c>
      <c r="AP31" s="10"/>
      <c r="AQ31" s="1312"/>
      <c r="AR31" s="1312"/>
      <c r="AS31" s="1312"/>
      <c r="AT31" s="1312"/>
      <c r="AU31" s="1312"/>
      <c r="AV31" s="145">
        <f>AX28+AZ28</f>
        <v>0</v>
      </c>
      <c r="AW31" s="1312"/>
      <c r="AX31" s="1312"/>
      <c r="AY31" s="1312"/>
      <c r="AZ31" s="1312"/>
      <c r="BA31" s="145">
        <v>579440</v>
      </c>
      <c r="BB31" s="1312" t="s">
        <v>887</v>
      </c>
    </row>
    <row r="32" spans="1:55" ht="18.75" x14ac:dyDescent="0.3">
      <c r="V32" s="1300" t="e">
        <f>SUM(#REF!)+SUM(V25:V26)</f>
        <v>#REF!</v>
      </c>
      <c r="AN32" s="2081"/>
      <c r="AO32" s="1303" t="s">
        <v>888</v>
      </c>
      <c r="AP32" s="10"/>
      <c r="AQ32" s="1312"/>
      <c r="AR32" s="1312"/>
      <c r="AS32" s="1312"/>
      <c r="AT32" s="1312"/>
      <c r="AU32" s="1312"/>
      <c r="AV32" s="145">
        <f>AV31-AV30</f>
        <v>0</v>
      </c>
      <c r="AW32" s="1312"/>
      <c r="AX32" s="1312"/>
      <c r="AY32" s="1312"/>
      <c r="AZ32" s="1312"/>
      <c r="BA32" s="146">
        <f>SUM(BA30:BA31)</f>
        <v>734440</v>
      </c>
      <c r="BB32" s="145" t="s">
        <v>889</v>
      </c>
    </row>
    <row r="33" spans="18:54" ht="18.75" x14ac:dyDescent="0.3">
      <c r="AN33" s="1304" t="s">
        <v>890</v>
      </c>
      <c r="AO33" s="1313"/>
      <c r="AP33" s="1312"/>
      <c r="AQ33" s="1312"/>
      <c r="AR33" s="1312"/>
      <c r="AS33" s="1312"/>
      <c r="AT33" s="1312"/>
      <c r="AU33" s="1312"/>
      <c r="AV33" s="145">
        <v>5000</v>
      </c>
      <c r="AW33" s="1312"/>
      <c r="AX33" s="1312"/>
      <c r="AY33" s="1312"/>
      <c r="AZ33" s="1312"/>
      <c r="BA33" s="145"/>
      <c r="BB33" s="1312"/>
    </row>
    <row r="34" spans="18:54" ht="18.75" x14ac:dyDescent="0.3">
      <c r="AN34" s="1305"/>
      <c r="AO34" s="1313"/>
      <c r="AP34" s="1312"/>
      <c r="AQ34" s="1312"/>
      <c r="AR34" s="1312"/>
      <c r="AS34" s="1312"/>
      <c r="AT34" s="1312"/>
      <c r="AU34" s="145"/>
      <c r="AV34" s="146">
        <f>AV33+AV32</f>
        <v>5000</v>
      </c>
      <c r="AW34" s="1312"/>
      <c r="AX34" s="1312"/>
      <c r="AY34" s="1312"/>
      <c r="AZ34" s="1312"/>
      <c r="BA34" s="145"/>
      <c r="BB34" s="1312"/>
    </row>
    <row r="35" spans="18:54" ht="18.75" x14ac:dyDescent="0.3">
      <c r="R35" s="144"/>
      <c r="V35" s="1302"/>
      <c r="AN35" s="1305"/>
      <c r="AO35" s="1313"/>
      <c r="AP35" s="1312"/>
      <c r="AQ35" s="1312"/>
      <c r="AR35" s="1312"/>
      <c r="AS35" s="1312"/>
      <c r="AT35" s="1312"/>
      <c r="AU35" s="1312"/>
      <c r="AV35" s="1312"/>
      <c r="AW35" s="1312"/>
      <c r="AX35" s="1312"/>
      <c r="AY35" s="1312"/>
      <c r="AZ35" s="1312"/>
      <c r="BA35" s="1312"/>
      <c r="BB35" s="1312"/>
    </row>
    <row r="36" spans="18:54" ht="18.75" x14ac:dyDescent="0.3">
      <c r="R36" s="144"/>
      <c r="V36" s="1302"/>
      <c r="AN36" s="1305"/>
      <c r="AO36" s="1313"/>
      <c r="AP36" s="1312"/>
      <c r="AQ36" s="1312"/>
      <c r="AR36" s="1312"/>
      <c r="AS36" s="1312"/>
      <c r="AT36" s="1312"/>
      <c r="AU36" s="1312"/>
      <c r="AV36" s="145">
        <f>AV30+AV34</f>
        <v>5000</v>
      </c>
      <c r="AW36" s="1312"/>
      <c r="AX36" s="1312"/>
      <c r="AY36" s="1312"/>
      <c r="AZ36" s="1312"/>
      <c r="BA36" s="1312"/>
      <c r="BB36" s="1312"/>
    </row>
    <row r="39" spans="18:54" x14ac:dyDescent="0.3">
      <c r="AV39" s="22"/>
    </row>
    <row r="40" spans="18:54" x14ac:dyDescent="0.3">
      <c r="AV40" s="22"/>
    </row>
  </sheetData>
  <mergeCells count="82">
    <mergeCell ref="A6:AN6"/>
    <mergeCell ref="A1:AN1"/>
    <mergeCell ref="A2:AN2"/>
    <mergeCell ref="A3:AN3"/>
    <mergeCell ref="A4:AN4"/>
    <mergeCell ref="A5:AN5"/>
    <mergeCell ref="V12:W13"/>
    <mergeCell ref="A7:AN7"/>
    <mergeCell ref="A11:AN11"/>
    <mergeCell ref="A12:A16"/>
    <mergeCell ref="B12:B16"/>
    <mergeCell ref="C12:C16"/>
    <mergeCell ref="D12:D16"/>
    <mergeCell ref="E12:E16"/>
    <mergeCell ref="F12:F16"/>
    <mergeCell ref="G12:I13"/>
    <mergeCell ref="J12:K13"/>
    <mergeCell ref="L12:M13"/>
    <mergeCell ref="N12:O13"/>
    <mergeCell ref="P12:Q13"/>
    <mergeCell ref="R12:S13"/>
    <mergeCell ref="T12:U13"/>
    <mergeCell ref="AQ12:AQ16"/>
    <mergeCell ref="AM14:AM16"/>
    <mergeCell ref="X12:Y13"/>
    <mergeCell ref="Z12:AA13"/>
    <mergeCell ref="AB12:AC13"/>
    <mergeCell ref="AD12:AE13"/>
    <mergeCell ref="AF12:AG13"/>
    <mergeCell ref="AH12:AI13"/>
    <mergeCell ref="AJ12:AK13"/>
    <mergeCell ref="AL12:AM13"/>
    <mergeCell ref="AN12:AN16"/>
    <mergeCell ref="AO12:AO16"/>
    <mergeCell ref="AP12:AP16"/>
    <mergeCell ref="AU13:AU16"/>
    <mergeCell ref="AV13:AV16"/>
    <mergeCell ref="AW13:AW16"/>
    <mergeCell ref="AX13:AX16"/>
    <mergeCell ref="AY13:AY16"/>
    <mergeCell ref="T14:T16"/>
    <mergeCell ref="AZ13:AZ16"/>
    <mergeCell ref="BA13:BA16"/>
    <mergeCell ref="BB13:BB16"/>
    <mergeCell ref="G14:G16"/>
    <mergeCell ref="H14:I14"/>
    <mergeCell ref="J14:J16"/>
    <mergeCell ref="K14:K16"/>
    <mergeCell ref="L14:L16"/>
    <mergeCell ref="M14:M16"/>
    <mergeCell ref="N14:N16"/>
    <mergeCell ref="AS12:AS16"/>
    <mergeCell ref="AU12:AV12"/>
    <mergeCell ref="AW12:AX12"/>
    <mergeCell ref="AY12:AZ12"/>
    <mergeCell ref="BA12:BB12"/>
    <mergeCell ref="O14:O16"/>
    <mergeCell ref="P14:P16"/>
    <mergeCell ref="Q14:Q16"/>
    <mergeCell ref="R14:R16"/>
    <mergeCell ref="S14:S16"/>
    <mergeCell ref="V14:V16"/>
    <mergeCell ref="W14:W16"/>
    <mergeCell ref="X14:X16"/>
    <mergeCell ref="Y14:Y16"/>
    <mergeCell ref="Z14:Z16"/>
    <mergeCell ref="H15:H16"/>
    <mergeCell ref="I15:I16"/>
    <mergeCell ref="AN30:AN32"/>
    <mergeCell ref="AG14:AG16"/>
    <mergeCell ref="AH14:AH16"/>
    <mergeCell ref="AI14:AI16"/>
    <mergeCell ref="AJ14:AJ16"/>
    <mergeCell ref="AK14:AK16"/>
    <mergeCell ref="AL14:AL16"/>
    <mergeCell ref="AA14:AA16"/>
    <mergeCell ref="AB14:AB16"/>
    <mergeCell ref="AC14:AC16"/>
    <mergeCell ref="AD14:AD16"/>
    <mergeCell ref="AE14:AE16"/>
    <mergeCell ref="AF14:AF16"/>
    <mergeCell ref="U14:U16"/>
  </mergeCells>
  <pageMargins left="0.70866141732283472" right="0.70866141732283472" top="0.74803149606299213" bottom="0.74803149606299213" header="0.31496062992125984" footer="0.31496062992125984"/>
  <pageSetup paperSize="9" scale="43"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25"/>
  <sheetViews>
    <sheetView topLeftCell="A3" zoomScale="70" zoomScaleNormal="70" workbookViewId="0">
      <pane xSplit="3480" ySplit="1770" topLeftCell="H1" activePane="bottomLeft"/>
      <selection sqref="A1:C1048576"/>
      <selection pane="topRight" activeCell="A9" sqref="A9:AL9"/>
      <selection pane="bottomLeft" activeCell="A16" sqref="A16:XFD16"/>
      <selection pane="bottomRight" sqref="A1:AL25"/>
    </sheetView>
  </sheetViews>
  <sheetFormatPr defaultColWidth="9.140625" defaultRowHeight="15" x14ac:dyDescent="0.25"/>
  <cols>
    <col min="1" max="1" width="9.140625" style="13"/>
    <col min="2" max="2" width="0" style="13" hidden="1" customWidth="1"/>
    <col min="3" max="3" width="32.7109375" style="13" customWidth="1"/>
    <col min="4" max="4" width="11.42578125" style="1072" customWidth="1"/>
    <col min="5" max="5" width="26.7109375" style="13" customWidth="1"/>
    <col min="6" max="6" width="12.5703125" style="13" customWidth="1"/>
    <col min="7" max="13" width="13.7109375" style="13" customWidth="1"/>
    <col min="14" max="15" width="13.7109375" style="13" hidden="1" customWidth="1"/>
    <col min="16" max="17" width="13.7109375" style="141" hidden="1" customWidth="1"/>
    <col min="18" max="18" width="12.85546875" style="13" hidden="1" customWidth="1"/>
    <col min="19" max="19" width="13.140625" style="13" hidden="1" customWidth="1"/>
    <col min="20" max="20" width="16.5703125" style="1073" customWidth="1"/>
    <col min="21" max="21" width="16.140625" style="1073" customWidth="1"/>
    <col min="22" max="22" width="13.5703125" style="13" customWidth="1"/>
    <col min="23" max="23" width="15.140625" style="13" customWidth="1"/>
    <col min="24" max="24" width="16.5703125" style="1073" customWidth="1"/>
    <col min="25" max="25" width="16.140625" style="1073" customWidth="1"/>
    <col min="26" max="29" width="12.5703125" style="13" hidden="1" customWidth="1"/>
    <col min="30" max="37" width="9.140625" style="13" hidden="1" customWidth="1"/>
    <col min="38" max="38" width="12.85546875" style="13" customWidth="1"/>
    <col min="39" max="40" width="9.140625" style="13"/>
    <col min="41" max="41" width="10.5703125" style="13" bestFit="1" customWidth="1"/>
    <col min="42" max="42" width="11.140625" style="13" bestFit="1" customWidth="1"/>
    <col min="43" max="43" width="12" style="13" bestFit="1" customWidth="1"/>
    <col min="44" max="16384" width="9.140625" style="13"/>
  </cols>
  <sheetData>
    <row r="1" spans="1:42" ht="18.75" x14ac:dyDescent="0.25">
      <c r="A1" s="1928" t="s">
        <v>1880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row>
    <row r="2" spans="1:42" s="1004" customFormat="1" ht="21.75" customHeight="1" x14ac:dyDescent="0.35">
      <c r="A2" s="1929" t="s">
        <v>2220</v>
      </c>
      <c r="B2" s="1929"/>
      <c r="C2" s="1929"/>
      <c r="D2" s="1929"/>
      <c r="E2" s="1929"/>
      <c r="F2" s="1929"/>
      <c r="G2" s="1929"/>
      <c r="H2" s="1929"/>
      <c r="I2" s="1929"/>
      <c r="J2" s="2052"/>
      <c r="K2" s="2052"/>
      <c r="L2" s="2052"/>
      <c r="M2" s="2052"/>
      <c r="N2" s="1929"/>
      <c r="O2" s="1929"/>
      <c r="P2" s="1929"/>
      <c r="Q2" s="1929"/>
      <c r="R2" s="1929"/>
      <c r="S2" s="1929"/>
      <c r="T2" s="1929"/>
      <c r="U2" s="1929"/>
      <c r="V2" s="1929"/>
      <c r="W2" s="1929"/>
      <c r="X2" s="1929"/>
      <c r="Y2" s="1929"/>
      <c r="Z2" s="2052"/>
      <c r="AA2" s="2052"/>
      <c r="AB2" s="2052"/>
      <c r="AC2" s="2052"/>
      <c r="AD2" s="2052"/>
      <c r="AE2" s="2052"/>
      <c r="AF2" s="2052"/>
      <c r="AG2" s="2052"/>
      <c r="AH2" s="2052"/>
      <c r="AI2" s="2052"/>
      <c r="AJ2" s="2052"/>
      <c r="AK2" s="2052"/>
      <c r="AL2" s="1929"/>
    </row>
    <row r="3" spans="1:42" s="1005" customFormat="1" ht="18" customHeight="1" x14ac:dyDescent="0.3">
      <c r="A3" s="1930" t="s">
        <v>2423</v>
      </c>
      <c r="B3" s="1930"/>
      <c r="C3" s="1930"/>
      <c r="D3" s="1930"/>
      <c r="E3" s="1930"/>
      <c r="F3" s="1930"/>
      <c r="G3" s="1930"/>
      <c r="H3" s="1930"/>
      <c r="I3" s="1930"/>
      <c r="J3" s="1927"/>
      <c r="K3" s="1927"/>
      <c r="L3" s="1927"/>
      <c r="M3" s="1927"/>
      <c r="N3" s="1930"/>
      <c r="O3" s="1930"/>
      <c r="P3" s="1930"/>
      <c r="Q3" s="1930"/>
      <c r="R3" s="1930"/>
      <c r="S3" s="1930"/>
      <c r="T3" s="1930"/>
      <c r="U3" s="1930"/>
      <c r="V3" s="1930"/>
      <c r="W3" s="1930"/>
      <c r="X3" s="1930"/>
      <c r="Y3" s="1930"/>
      <c r="Z3" s="1927"/>
      <c r="AA3" s="1927"/>
      <c r="AB3" s="1927"/>
      <c r="AC3" s="1927"/>
      <c r="AD3" s="1927"/>
      <c r="AE3" s="1927"/>
      <c r="AF3" s="1927"/>
      <c r="AG3" s="1927"/>
      <c r="AH3" s="1927"/>
      <c r="AI3" s="1927"/>
      <c r="AJ3" s="1927"/>
      <c r="AK3" s="1927"/>
      <c r="AL3" s="1930"/>
    </row>
    <row r="4" spans="1:42" ht="17.25" hidden="1" customHeight="1" x14ac:dyDescent="0.25">
      <c r="A4" s="1927" t="s">
        <v>1878</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927"/>
      <c r="AI4" s="1927"/>
      <c r="AJ4" s="1927"/>
      <c r="AK4" s="1927"/>
      <c r="AL4" s="1927"/>
    </row>
    <row r="5" spans="1:42" ht="18.75" hidden="1" customHeight="1" x14ac:dyDescent="0.25">
      <c r="A5" s="1927" t="s">
        <v>1877</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row>
    <row r="6" spans="1:42" ht="15.75" hidden="1" customHeight="1" x14ac:dyDescent="0.25">
      <c r="A6" s="1927" t="s">
        <v>1876</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927"/>
      <c r="AK6" s="1927"/>
      <c r="AL6" s="1927"/>
    </row>
    <row r="7" spans="1:42" ht="19.5" hidden="1" customHeight="1" x14ac:dyDescent="0.25">
      <c r="A7" s="1927" t="s">
        <v>2</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927"/>
      <c r="AK7" s="1927"/>
      <c r="AL7" s="1927"/>
    </row>
    <row r="8" spans="1:42" ht="16.5" x14ac:dyDescent="0.25">
      <c r="A8" s="1309"/>
      <c r="B8" s="1309"/>
      <c r="C8" s="1309"/>
      <c r="D8" s="1309"/>
      <c r="E8" s="1309"/>
      <c r="F8" s="1309"/>
      <c r="G8" s="1309"/>
      <c r="H8" s="1309"/>
      <c r="I8" s="1309"/>
      <c r="J8" s="1309"/>
      <c r="K8" s="1309"/>
      <c r="L8" s="1309"/>
      <c r="M8" s="1309"/>
      <c r="N8" s="1309"/>
      <c r="O8" s="1309"/>
      <c r="P8" s="1006" t="s">
        <v>1875</v>
      </c>
      <c r="Q8" s="1006"/>
      <c r="R8" s="1007"/>
      <c r="S8" s="1007"/>
      <c r="T8" s="1008" t="s">
        <v>1875</v>
      </c>
      <c r="U8" s="1008"/>
      <c r="V8" s="1007"/>
      <c r="W8" s="1007"/>
      <c r="X8" s="1008" t="s">
        <v>1875</v>
      </c>
      <c r="Y8" s="1008"/>
      <c r="Z8" s="1007"/>
      <c r="AA8" s="1007"/>
      <c r="AB8" s="1007"/>
      <c r="AC8" s="1007"/>
      <c r="AD8" s="1007"/>
      <c r="AE8" s="1007"/>
      <c r="AF8" s="1007"/>
      <c r="AG8" s="1007"/>
      <c r="AH8" s="1007"/>
      <c r="AI8" s="1007"/>
      <c r="AJ8" s="1007"/>
      <c r="AK8" s="1007"/>
      <c r="AL8" s="1309"/>
    </row>
    <row r="9" spans="1:42" ht="16.5" x14ac:dyDescent="0.25">
      <c r="A9" s="2042" t="s">
        <v>6</v>
      </c>
      <c r="B9" s="2042"/>
      <c r="C9" s="2042"/>
      <c r="D9" s="2042"/>
      <c r="E9" s="2042"/>
      <c r="F9" s="2042"/>
      <c r="G9" s="2042"/>
      <c r="H9" s="2042"/>
      <c r="I9" s="2042"/>
      <c r="J9" s="2042"/>
      <c r="K9" s="2042"/>
      <c r="L9" s="2042"/>
      <c r="M9" s="2042"/>
      <c r="N9" s="2042"/>
      <c r="O9" s="2042"/>
      <c r="P9" s="2042"/>
      <c r="Q9" s="2042"/>
      <c r="R9" s="2042"/>
      <c r="S9" s="2042"/>
      <c r="T9" s="2042"/>
      <c r="U9" s="2042"/>
      <c r="V9" s="2042"/>
      <c r="W9" s="2042"/>
      <c r="X9" s="2042"/>
      <c r="Y9" s="2042"/>
      <c r="Z9" s="1933"/>
      <c r="AA9" s="1933"/>
      <c r="AB9" s="1933"/>
      <c r="AC9" s="1933"/>
      <c r="AD9" s="1933"/>
      <c r="AE9" s="1933"/>
      <c r="AF9" s="1933"/>
      <c r="AG9" s="1933"/>
      <c r="AH9" s="1933"/>
      <c r="AI9" s="1933"/>
      <c r="AJ9" s="1933"/>
      <c r="AK9" s="1933"/>
      <c r="AL9" s="2042"/>
    </row>
    <row r="10" spans="1:42" ht="32.25" customHeight="1" x14ac:dyDescent="0.25">
      <c r="A10" s="1934" t="s">
        <v>7</v>
      </c>
      <c r="B10" s="1310"/>
      <c r="C10" s="1934" t="s">
        <v>8</v>
      </c>
      <c r="D10" s="1934" t="s">
        <v>9</v>
      </c>
      <c r="E10" s="1934" t="s">
        <v>10</v>
      </c>
      <c r="F10" s="1934" t="s">
        <v>11</v>
      </c>
      <c r="G10" s="1934" t="s">
        <v>12</v>
      </c>
      <c r="H10" s="1934"/>
      <c r="I10" s="1934"/>
      <c r="J10" s="1934" t="s">
        <v>891</v>
      </c>
      <c r="K10" s="1934"/>
      <c r="L10" s="1934" t="s">
        <v>13</v>
      </c>
      <c r="M10" s="1934"/>
      <c r="N10" s="1934" t="s">
        <v>14</v>
      </c>
      <c r="O10" s="1934"/>
      <c r="P10" s="1934" t="s">
        <v>907</v>
      </c>
      <c r="Q10" s="1934"/>
      <c r="R10" s="2053" t="s">
        <v>2156</v>
      </c>
      <c r="S10" s="2053"/>
      <c r="T10" s="2087" t="s">
        <v>2324</v>
      </c>
      <c r="U10" s="2087"/>
      <c r="V10" s="2053" t="s">
        <v>2148</v>
      </c>
      <c r="W10" s="2053"/>
      <c r="X10" s="2087" t="s">
        <v>2149</v>
      </c>
      <c r="Y10" s="2087"/>
      <c r="Z10" s="1931" t="s">
        <v>15</v>
      </c>
      <c r="AA10" s="1931"/>
      <c r="AB10" s="1931" t="s">
        <v>16</v>
      </c>
      <c r="AC10" s="1931"/>
      <c r="AD10" s="1931" t="s">
        <v>17</v>
      </c>
      <c r="AE10" s="1931"/>
      <c r="AF10" s="1931" t="s">
        <v>18</v>
      </c>
      <c r="AG10" s="1931"/>
      <c r="AH10" s="1931" t="s">
        <v>19</v>
      </c>
      <c r="AI10" s="1931"/>
      <c r="AJ10" s="1931" t="s">
        <v>21</v>
      </c>
      <c r="AK10" s="1931"/>
      <c r="AL10" s="1934" t="s">
        <v>1870</v>
      </c>
    </row>
    <row r="11" spans="1:42" ht="39" customHeight="1" x14ac:dyDescent="0.25">
      <c r="A11" s="1935"/>
      <c r="B11" s="1311"/>
      <c r="C11" s="1935"/>
      <c r="D11" s="1935"/>
      <c r="E11" s="1935"/>
      <c r="F11" s="1935"/>
      <c r="G11" s="1935"/>
      <c r="H11" s="1935"/>
      <c r="I11" s="1935"/>
      <c r="J11" s="1935"/>
      <c r="K11" s="1935"/>
      <c r="L11" s="1935"/>
      <c r="M11" s="1935"/>
      <c r="N11" s="1935"/>
      <c r="O11" s="1935"/>
      <c r="P11" s="1935"/>
      <c r="Q11" s="1935"/>
      <c r="R11" s="2054"/>
      <c r="S11" s="2054"/>
      <c r="T11" s="2078"/>
      <c r="U11" s="2078"/>
      <c r="V11" s="2054"/>
      <c r="W11" s="2054"/>
      <c r="X11" s="2078"/>
      <c r="Y11" s="2078"/>
      <c r="Z11" s="1932"/>
      <c r="AA11" s="1932"/>
      <c r="AB11" s="1932"/>
      <c r="AC11" s="1932"/>
      <c r="AD11" s="1932"/>
      <c r="AE11" s="1932"/>
      <c r="AF11" s="1932"/>
      <c r="AG11" s="1932"/>
      <c r="AH11" s="1932"/>
      <c r="AI11" s="1932"/>
      <c r="AJ11" s="1932"/>
      <c r="AK11" s="1932"/>
      <c r="AL11" s="1935"/>
    </row>
    <row r="12" spans="1:42" ht="24" customHeight="1" x14ac:dyDescent="0.25">
      <c r="A12" s="1935"/>
      <c r="B12" s="1311"/>
      <c r="C12" s="1935"/>
      <c r="D12" s="1935"/>
      <c r="E12" s="1935"/>
      <c r="F12" s="1935"/>
      <c r="G12" s="1935" t="s">
        <v>32</v>
      </c>
      <c r="H12" s="1935" t="s">
        <v>1869</v>
      </c>
      <c r="I12" s="1935"/>
      <c r="J12" s="1935" t="s">
        <v>34</v>
      </c>
      <c r="K12" s="1935" t="s">
        <v>35</v>
      </c>
      <c r="L12" s="1935" t="s">
        <v>34</v>
      </c>
      <c r="M12" s="1935" t="s">
        <v>35</v>
      </c>
      <c r="N12" s="1935" t="s">
        <v>34</v>
      </c>
      <c r="O12" s="1935" t="s">
        <v>35</v>
      </c>
      <c r="P12" s="1935" t="s">
        <v>34</v>
      </c>
      <c r="Q12" s="1935" t="s">
        <v>35</v>
      </c>
      <c r="R12" s="2054" t="s">
        <v>36</v>
      </c>
      <c r="S12" s="2054" t="s">
        <v>37</v>
      </c>
      <c r="T12" s="2078" t="s">
        <v>34</v>
      </c>
      <c r="U12" s="2078" t="s">
        <v>35</v>
      </c>
      <c r="V12" s="2054" t="s">
        <v>36</v>
      </c>
      <c r="W12" s="2054" t="s">
        <v>37</v>
      </c>
      <c r="X12" s="2078" t="s">
        <v>34</v>
      </c>
      <c r="Y12" s="2078" t="s">
        <v>35</v>
      </c>
      <c r="Z12" s="1941" t="s">
        <v>34</v>
      </c>
      <c r="AA12" s="1932" t="s">
        <v>35</v>
      </c>
      <c r="AB12" s="1932" t="s">
        <v>34</v>
      </c>
      <c r="AC12" s="1932" t="s">
        <v>35</v>
      </c>
      <c r="AD12" s="1932" t="s">
        <v>34</v>
      </c>
      <c r="AE12" s="1932" t="s">
        <v>35</v>
      </c>
      <c r="AF12" s="1932" t="s">
        <v>34</v>
      </c>
      <c r="AG12" s="1932" t="s">
        <v>35</v>
      </c>
      <c r="AH12" s="1932" t="s">
        <v>34</v>
      </c>
      <c r="AI12" s="1932" t="s">
        <v>35</v>
      </c>
      <c r="AJ12" s="1932" t="s">
        <v>34</v>
      </c>
      <c r="AK12" s="1932" t="s">
        <v>35</v>
      </c>
      <c r="AL12" s="1935"/>
    </row>
    <row r="13" spans="1:42" ht="24.75" customHeight="1" x14ac:dyDescent="0.25">
      <c r="A13" s="1935"/>
      <c r="B13" s="1311"/>
      <c r="C13" s="1935"/>
      <c r="D13" s="1935"/>
      <c r="E13" s="1935"/>
      <c r="F13" s="1935"/>
      <c r="G13" s="1935"/>
      <c r="H13" s="1935" t="s">
        <v>34</v>
      </c>
      <c r="I13" s="1935" t="s">
        <v>2368</v>
      </c>
      <c r="J13" s="1935"/>
      <c r="K13" s="1935"/>
      <c r="L13" s="1935"/>
      <c r="M13" s="1935"/>
      <c r="N13" s="1935"/>
      <c r="O13" s="1935"/>
      <c r="P13" s="1935"/>
      <c r="Q13" s="1935"/>
      <c r="R13" s="2054"/>
      <c r="S13" s="2054"/>
      <c r="T13" s="2078"/>
      <c r="U13" s="2078"/>
      <c r="V13" s="2054"/>
      <c r="W13" s="2054"/>
      <c r="X13" s="2078"/>
      <c r="Y13" s="2078"/>
      <c r="Z13" s="1941"/>
      <c r="AA13" s="1932"/>
      <c r="AB13" s="1932"/>
      <c r="AC13" s="1932"/>
      <c r="AD13" s="1932"/>
      <c r="AE13" s="1932"/>
      <c r="AF13" s="1932"/>
      <c r="AG13" s="1932"/>
      <c r="AH13" s="1932"/>
      <c r="AI13" s="1932"/>
      <c r="AJ13" s="1932"/>
      <c r="AK13" s="1932"/>
      <c r="AL13" s="1935"/>
    </row>
    <row r="14" spans="1:42" ht="22.5" customHeight="1" x14ac:dyDescent="0.25">
      <c r="A14" s="1935"/>
      <c r="B14" s="1311"/>
      <c r="C14" s="1935"/>
      <c r="D14" s="1935"/>
      <c r="E14" s="1935"/>
      <c r="F14" s="1935"/>
      <c r="G14" s="1935"/>
      <c r="H14" s="1935"/>
      <c r="I14" s="1935"/>
      <c r="J14" s="1935"/>
      <c r="K14" s="1935"/>
      <c r="L14" s="1935"/>
      <c r="M14" s="1935"/>
      <c r="N14" s="1935"/>
      <c r="O14" s="1935"/>
      <c r="P14" s="1935"/>
      <c r="Q14" s="1935"/>
      <c r="R14" s="2054"/>
      <c r="S14" s="2054"/>
      <c r="T14" s="2078"/>
      <c r="U14" s="2078"/>
      <c r="V14" s="2054"/>
      <c r="W14" s="2054"/>
      <c r="X14" s="2078"/>
      <c r="Y14" s="2078"/>
      <c r="Z14" s="1941"/>
      <c r="AA14" s="1932"/>
      <c r="AB14" s="1932"/>
      <c r="AC14" s="1932"/>
      <c r="AD14" s="1932"/>
      <c r="AE14" s="1932"/>
      <c r="AF14" s="1932"/>
      <c r="AG14" s="1932"/>
      <c r="AH14" s="1932"/>
      <c r="AI14" s="1932"/>
      <c r="AJ14" s="1932"/>
      <c r="AK14" s="1932"/>
      <c r="AL14" s="1935"/>
    </row>
    <row r="15" spans="1:42" ht="16.5" x14ac:dyDescent="0.25">
      <c r="A15" s="18">
        <v>1</v>
      </c>
      <c r="B15" s="18"/>
      <c r="C15" s="18">
        <v>2</v>
      </c>
      <c r="D15" s="18">
        <v>3</v>
      </c>
      <c r="E15" s="18">
        <v>4</v>
      </c>
      <c r="F15" s="18">
        <v>5</v>
      </c>
      <c r="G15" s="18">
        <v>6</v>
      </c>
      <c r="H15" s="18">
        <v>7</v>
      </c>
      <c r="I15" s="18">
        <v>8</v>
      </c>
      <c r="J15" s="18">
        <v>9</v>
      </c>
      <c r="K15" s="18">
        <v>10</v>
      </c>
      <c r="L15" s="18">
        <v>11</v>
      </c>
      <c r="M15" s="18">
        <v>12</v>
      </c>
      <c r="N15" s="18">
        <v>9</v>
      </c>
      <c r="O15" s="18">
        <v>10</v>
      </c>
      <c r="P15" s="18">
        <v>13</v>
      </c>
      <c r="Q15" s="18">
        <v>14</v>
      </c>
      <c r="R15" s="18">
        <v>13</v>
      </c>
      <c r="S15" s="18">
        <v>14</v>
      </c>
      <c r="T15" s="18">
        <v>13</v>
      </c>
      <c r="U15" s="18">
        <v>14</v>
      </c>
      <c r="V15" s="18">
        <v>15</v>
      </c>
      <c r="W15" s="18">
        <v>16</v>
      </c>
      <c r="X15" s="18">
        <v>17</v>
      </c>
      <c r="Y15" s="18">
        <v>18</v>
      </c>
      <c r="Z15" s="18">
        <v>15</v>
      </c>
      <c r="AA15" s="18">
        <v>16</v>
      </c>
      <c r="AB15" s="18">
        <v>17</v>
      </c>
      <c r="AC15" s="18">
        <v>18</v>
      </c>
      <c r="AD15" s="18"/>
      <c r="AE15" s="18"/>
      <c r="AF15" s="18"/>
      <c r="AG15" s="18"/>
      <c r="AH15" s="18"/>
      <c r="AI15" s="18"/>
      <c r="AJ15" s="18"/>
      <c r="AK15" s="18"/>
      <c r="AL15" s="18">
        <v>19</v>
      </c>
      <c r="AM15" s="13">
        <v>1</v>
      </c>
    </row>
    <row r="16" spans="1:42" ht="16.5" x14ac:dyDescent="0.25">
      <c r="A16" s="18"/>
      <c r="B16" s="18"/>
      <c r="C16" s="20" t="s">
        <v>38</v>
      </c>
      <c r="D16" s="18"/>
      <c r="E16" s="18"/>
      <c r="F16" s="18"/>
      <c r="G16" s="18"/>
      <c r="H16" s="1229">
        <f>H17+H20</f>
        <v>228514</v>
      </c>
      <c r="I16" s="1229">
        <f>I17+I20</f>
        <v>228514</v>
      </c>
      <c r="J16" s="1229"/>
      <c r="K16" s="1229"/>
      <c r="L16" s="1229"/>
      <c r="M16" s="1229"/>
      <c r="N16" s="1229"/>
      <c r="O16" s="1229"/>
      <c r="P16" s="1229"/>
      <c r="Q16" s="1229"/>
      <c r="R16" s="1229"/>
      <c r="S16" s="1229"/>
      <c r="T16" s="1229"/>
      <c r="U16" s="1229"/>
      <c r="V16" s="1229">
        <f>V17+V20</f>
        <v>62800</v>
      </c>
      <c r="W16" s="1229" t="e">
        <f>#REF!+W17+#REF!+#REF!+#REF!+W20</f>
        <v>#REF!</v>
      </c>
      <c r="X16" s="1229">
        <f>X17+X20</f>
        <v>62800</v>
      </c>
      <c r="Y16" s="1229">
        <f>Y17+Y20</f>
        <v>62800</v>
      </c>
      <c r="Z16" s="1229" t="e">
        <f>Z17+#REF!+Z20</f>
        <v>#REF!</v>
      </c>
      <c r="AA16" s="1229" t="e">
        <f>AA17+#REF!+AA20</f>
        <v>#REF!</v>
      </c>
      <c r="AB16" s="1229" t="e">
        <f>AB17+#REF!+AB20</f>
        <v>#REF!</v>
      </c>
      <c r="AC16" s="1229" t="e">
        <f>AC17+#REF!+AC20</f>
        <v>#REF!</v>
      </c>
      <c r="AD16" s="1229"/>
      <c r="AE16" s="1229"/>
      <c r="AF16" s="1229"/>
      <c r="AG16" s="1229"/>
      <c r="AH16" s="1229"/>
      <c r="AI16" s="1229"/>
      <c r="AJ16" s="1229"/>
      <c r="AK16" s="1229"/>
      <c r="AL16" s="18"/>
      <c r="AM16" s="1009">
        <f>IF(Y16-U16=0,0,1)</f>
        <v>1</v>
      </c>
      <c r="AN16" s="1009">
        <f>IF(Y16=0,0,1)</f>
        <v>1</v>
      </c>
      <c r="AO16" s="143" t="e">
        <f>U16+V16-W16</f>
        <v>#REF!</v>
      </c>
      <c r="AP16" s="143" t="e">
        <f>O16+V16-W16</f>
        <v>#REF!</v>
      </c>
    </row>
    <row r="17" spans="1:43" s="1012" customFormat="1" ht="33" x14ac:dyDescent="0.25">
      <c r="A17" s="1083" t="s">
        <v>41</v>
      </c>
      <c r="B17" s="1083"/>
      <c r="C17" s="1084" t="s">
        <v>1867</v>
      </c>
      <c r="D17" s="1085"/>
      <c r="E17" s="1085"/>
      <c r="F17" s="1085"/>
      <c r="G17" s="1085"/>
      <c r="H17" s="1011">
        <f>H19</f>
        <v>149000</v>
      </c>
      <c r="I17" s="1011">
        <f>I19</f>
        <v>149000</v>
      </c>
      <c r="J17" s="1011"/>
      <c r="K17" s="1011"/>
      <c r="L17" s="1010"/>
      <c r="M17" s="1010"/>
      <c r="N17" s="1010"/>
      <c r="O17" s="1010"/>
      <c r="P17" s="1010"/>
      <c r="Q17" s="1010"/>
      <c r="R17" s="1010"/>
      <c r="S17" s="1010"/>
      <c r="T17" s="1010"/>
      <c r="U17" s="1010"/>
      <c r="V17" s="1011">
        <f>V19</f>
        <v>35000</v>
      </c>
      <c r="W17" s="1010"/>
      <c r="X17" s="1011">
        <f>X19</f>
        <v>35000</v>
      </c>
      <c r="Y17" s="1011">
        <f>Y19</f>
        <v>35000</v>
      </c>
      <c r="Z17" s="1010" t="e">
        <f>Z18+#REF!+#REF!+#REF!</f>
        <v>#REF!</v>
      </c>
      <c r="AA17" s="1010" t="e">
        <f>AA18+#REF!+#REF!+#REF!</f>
        <v>#REF!</v>
      </c>
      <c r="AB17" s="1010" t="e">
        <f>AB18+#REF!+#REF!+#REF!</f>
        <v>#REF!</v>
      </c>
      <c r="AC17" s="1010" t="e">
        <f>AC18+#REF!+#REF!+#REF!</f>
        <v>#REF!</v>
      </c>
      <c r="AD17" s="1013" t="e">
        <f>AD18+#REF!+#REF!+#REF!</f>
        <v>#REF!</v>
      </c>
      <c r="AE17" s="1013" t="e">
        <f>AE18+#REF!+#REF!+#REF!</f>
        <v>#REF!</v>
      </c>
      <c r="AF17" s="1013" t="e">
        <f>AF18+#REF!+#REF!+#REF!</f>
        <v>#REF!</v>
      </c>
      <c r="AG17" s="1013" t="e">
        <f>AG18+#REF!+#REF!+#REF!</f>
        <v>#REF!</v>
      </c>
      <c r="AH17" s="1013" t="e">
        <f>AH18+#REF!+#REF!+#REF!</f>
        <v>#REF!</v>
      </c>
      <c r="AI17" s="1013" t="e">
        <f>AI18+#REF!+#REF!+#REF!</f>
        <v>#REF!</v>
      </c>
      <c r="AJ17" s="1013" t="e">
        <f>AJ18+#REF!+#REF!+#REF!</f>
        <v>#REF!</v>
      </c>
      <c r="AK17" s="1013" t="e">
        <f>AK18+#REF!+#REF!+#REF!</f>
        <v>#REF!</v>
      </c>
      <c r="AL17" s="1086"/>
      <c r="AM17" s="1009">
        <f t="shared" ref="AM17:AM18" si="0">IF(Y17-U17=0,0,1)</f>
        <v>1</v>
      </c>
      <c r="AN17" s="1009">
        <f t="shared" ref="AN17:AN18" si="1">IF(Y17=0,0,1)</f>
        <v>1</v>
      </c>
      <c r="AO17" s="143">
        <f>U17+V17-W17</f>
        <v>35000</v>
      </c>
      <c r="AP17" s="143">
        <f>O17+V17-W17</f>
        <v>35000</v>
      </c>
      <c r="AQ17" s="1308">
        <f>V17-W17</f>
        <v>35000</v>
      </c>
    </row>
    <row r="18" spans="1:43" s="34" customFormat="1" ht="16.5" x14ac:dyDescent="0.25">
      <c r="A18" s="28" t="s">
        <v>43</v>
      </c>
      <c r="B18" s="28"/>
      <c r="C18" s="29" t="s">
        <v>1263</v>
      </c>
      <c r="D18" s="30"/>
      <c r="E18" s="30"/>
      <c r="F18" s="30"/>
      <c r="G18" s="30"/>
      <c r="H18" s="1014">
        <f>H19</f>
        <v>149000</v>
      </c>
      <c r="I18" s="1014">
        <f>I19</f>
        <v>149000</v>
      </c>
      <c r="J18" s="1014"/>
      <c r="K18" s="1014"/>
      <c r="L18" s="1014"/>
      <c r="M18" s="1014"/>
      <c r="N18" s="1014"/>
      <c r="O18" s="1014"/>
      <c r="P18" s="1014"/>
      <c r="Q18" s="1014"/>
      <c r="R18" s="1014"/>
      <c r="S18" s="1014"/>
      <c r="T18" s="1014"/>
      <c r="U18" s="1014"/>
      <c r="V18" s="1014">
        <f>V19</f>
        <v>35000</v>
      </c>
      <c r="W18" s="1014"/>
      <c r="X18" s="1014">
        <f>X19</f>
        <v>35000</v>
      </c>
      <c r="Y18" s="1014">
        <f>Y19</f>
        <v>35000</v>
      </c>
      <c r="Z18" s="1014" t="e">
        <f>#REF!</f>
        <v>#REF!</v>
      </c>
      <c r="AA18" s="1014" t="e">
        <f>#REF!</f>
        <v>#REF!</v>
      </c>
      <c r="AB18" s="1014" t="e">
        <f>#REF!</f>
        <v>#REF!</v>
      </c>
      <c r="AC18" s="1014" t="e">
        <f>#REF!</f>
        <v>#REF!</v>
      </c>
      <c r="AD18" s="1015" t="e">
        <f>#REF!+#REF!</f>
        <v>#REF!</v>
      </c>
      <c r="AE18" s="1015" t="e">
        <f>#REF!+#REF!</f>
        <v>#REF!</v>
      </c>
      <c r="AF18" s="1015" t="e">
        <f>#REF!+#REF!</f>
        <v>#REF!</v>
      </c>
      <c r="AG18" s="1015" t="e">
        <f>#REF!+#REF!</f>
        <v>#REF!</v>
      </c>
      <c r="AH18" s="1015" t="e">
        <f>#REF!+#REF!</f>
        <v>#REF!</v>
      </c>
      <c r="AI18" s="1015" t="e">
        <f>#REF!+#REF!</f>
        <v>#REF!</v>
      </c>
      <c r="AJ18" s="1015" t="e">
        <f>#REF!+#REF!</f>
        <v>#REF!</v>
      </c>
      <c r="AK18" s="1015" t="e">
        <f>#REF!+#REF!</f>
        <v>#REF!</v>
      </c>
      <c r="AL18" s="32"/>
      <c r="AM18" s="1009">
        <f t="shared" si="0"/>
        <v>1</v>
      </c>
      <c r="AN18" s="1009">
        <f t="shared" si="1"/>
        <v>1</v>
      </c>
      <c r="AO18" s="143">
        <f>U18+V18-W18</f>
        <v>35000</v>
      </c>
      <c r="AP18" s="143">
        <f>O18+V18-W18</f>
        <v>35000</v>
      </c>
    </row>
    <row r="19" spans="1:43" s="89" customFormat="1" ht="99" x14ac:dyDescent="0.25">
      <c r="A19" s="60">
        <v>81</v>
      </c>
      <c r="B19" s="60">
        <v>2</v>
      </c>
      <c r="C19" s="67" t="s">
        <v>2227</v>
      </c>
      <c r="D19" s="61" t="s">
        <v>1737</v>
      </c>
      <c r="E19" s="118"/>
      <c r="F19" s="118" t="s">
        <v>165</v>
      </c>
      <c r="G19" s="1025"/>
      <c r="H19" s="1027">
        <f>I19</f>
        <v>149000</v>
      </c>
      <c r="I19" s="1026">
        <v>149000</v>
      </c>
      <c r="J19" s="282"/>
      <c r="K19" s="282"/>
      <c r="L19" s="282"/>
      <c r="M19" s="282"/>
      <c r="N19" s="1077"/>
      <c r="O19" s="1075"/>
      <c r="P19" s="1080"/>
      <c r="Q19" s="1079"/>
      <c r="R19" s="1075"/>
      <c r="S19" s="1075"/>
      <c r="T19" s="462"/>
      <c r="U19" s="488"/>
      <c r="V19" s="282">
        <v>35000</v>
      </c>
      <c r="W19" s="282"/>
      <c r="X19" s="462">
        <f t="shared" ref="X19" si="2">Y19</f>
        <v>35000</v>
      </c>
      <c r="Y19" s="488">
        <f t="shared" ref="Y19" si="3">V19</f>
        <v>35000</v>
      </c>
      <c r="Z19" s="1075"/>
      <c r="AA19" s="1075"/>
      <c r="AB19" s="1075"/>
      <c r="AC19" s="1075"/>
      <c r="AD19" s="1075"/>
      <c r="AE19" s="1075"/>
      <c r="AF19" s="1075"/>
      <c r="AG19" s="1075"/>
      <c r="AH19" s="1075"/>
      <c r="AI19" s="1075"/>
      <c r="AJ19" s="1075"/>
      <c r="AK19" s="1075"/>
      <c r="AL19" s="25" t="s">
        <v>2297</v>
      </c>
      <c r="AM19" s="1009">
        <f t="shared" ref="AM19" si="4">IF(Y19-U19=0,0,1)</f>
        <v>1</v>
      </c>
      <c r="AN19" s="1009">
        <f t="shared" ref="AN19" si="5">IF(Y19=0,0,1)</f>
        <v>1</v>
      </c>
    </row>
    <row r="20" spans="1:43" s="1012" customFormat="1" ht="27" customHeight="1" x14ac:dyDescent="0.25">
      <c r="A20" s="1083" t="s">
        <v>1265</v>
      </c>
      <c r="B20" s="1083"/>
      <c r="C20" s="1084" t="s">
        <v>1264</v>
      </c>
      <c r="D20" s="1085"/>
      <c r="E20" s="1085"/>
      <c r="F20" s="1085"/>
      <c r="G20" s="1085"/>
      <c r="H20" s="1010">
        <f>H21+H23</f>
        <v>79514</v>
      </c>
      <c r="I20" s="1010">
        <f>I21+I23</f>
        <v>79514</v>
      </c>
      <c r="J20" s="1010"/>
      <c r="K20" s="1010"/>
      <c r="L20" s="1010"/>
      <c r="M20" s="1010"/>
      <c r="N20" s="1010"/>
      <c r="O20" s="1010"/>
      <c r="P20" s="1010"/>
      <c r="Q20" s="1010"/>
      <c r="R20" s="1010"/>
      <c r="S20" s="1010"/>
      <c r="T20" s="1010"/>
      <c r="U20" s="1010"/>
      <c r="V20" s="1010">
        <f>V21+V23</f>
        <v>27800</v>
      </c>
      <c r="W20" s="1010">
        <f>W21+W23</f>
        <v>0</v>
      </c>
      <c r="X20" s="1010">
        <f>X21+X23</f>
        <v>27800</v>
      </c>
      <c r="Y20" s="1010">
        <f>Y21+Y23</f>
        <v>27800</v>
      </c>
      <c r="Z20" s="1053" t="e">
        <f>Z21+#REF!+#REF!+#REF!+#REF!+#REF!+#REF!+Z23</f>
        <v>#REF!</v>
      </c>
      <c r="AA20" s="1053" t="e">
        <f>AA21+#REF!+#REF!+#REF!+#REF!+#REF!+#REF!+AA23</f>
        <v>#REF!</v>
      </c>
      <c r="AB20" s="1053" t="e">
        <f>AB21+#REF!+#REF!+#REF!+#REF!+#REF!+#REF!+AB23</f>
        <v>#REF!</v>
      </c>
      <c r="AC20" s="1053" t="e">
        <f>AC21+#REF!+#REF!+#REF!+#REF!+#REF!+#REF!+AC23</f>
        <v>#REF!</v>
      </c>
      <c r="AD20" s="1013" t="e">
        <f>AD21+#REF!+#REF!+#REF!+#REF!+#REF!+#REF!+#REF!+AD23</f>
        <v>#REF!</v>
      </c>
      <c r="AE20" s="1013" t="e">
        <f>AE21+#REF!+#REF!+#REF!+#REF!+#REF!+#REF!+#REF!+AE23</f>
        <v>#REF!</v>
      </c>
      <c r="AF20" s="1013" t="e">
        <f>AF21+#REF!+#REF!+#REF!+#REF!+#REF!+#REF!+#REF!+AF23</f>
        <v>#REF!</v>
      </c>
      <c r="AG20" s="1013" t="e">
        <f>AG21+#REF!+#REF!+#REF!+#REF!+#REF!+#REF!+#REF!+AG23</f>
        <v>#REF!</v>
      </c>
      <c r="AH20" s="1013" t="e">
        <f>AH21+#REF!+#REF!+#REF!+#REF!+#REF!+#REF!+#REF!+AH23</f>
        <v>#REF!</v>
      </c>
      <c r="AI20" s="1013" t="e">
        <f>AI21+#REF!+#REF!+#REF!+#REF!+#REF!+#REF!+#REF!+AI23</f>
        <v>#REF!</v>
      </c>
      <c r="AJ20" s="1013" t="e">
        <f>AJ21+#REF!+#REF!+#REF!+#REF!+#REF!+#REF!+#REF!+AJ23</f>
        <v>#REF!</v>
      </c>
      <c r="AK20" s="1013" t="e">
        <f>AK21+#REF!+#REF!+#REF!+#REF!+#REF!+#REF!+#REF!+AK23</f>
        <v>#REF!</v>
      </c>
      <c r="AL20" s="1086"/>
      <c r="AM20" s="1009">
        <f t="shared" ref="AM20:AM22" si="6">IF(Y20-U20=0,0,1)</f>
        <v>1</v>
      </c>
      <c r="AN20" s="1009">
        <f t="shared" ref="AN20:AN22" si="7">IF(Y20=0,0,1)</f>
        <v>1</v>
      </c>
      <c r="AO20" s="143">
        <f>U20+V20-W20</f>
        <v>27800</v>
      </c>
    </row>
    <row r="21" spans="1:43" s="34" customFormat="1" ht="28.5" customHeight="1" x14ac:dyDescent="0.25">
      <c r="A21" s="28" t="s">
        <v>43</v>
      </c>
      <c r="B21" s="28"/>
      <c r="C21" s="1240" t="s">
        <v>1263</v>
      </c>
      <c r="D21" s="1110"/>
      <c r="E21" s="1122"/>
      <c r="F21" s="1122"/>
      <c r="G21" s="1122"/>
      <c r="H21" s="1054">
        <f>H22</f>
        <v>25600</v>
      </c>
      <c r="I21" s="1054">
        <f>I22</f>
        <v>25600</v>
      </c>
      <c r="J21" s="1054"/>
      <c r="K21" s="1054"/>
      <c r="L21" s="1054"/>
      <c r="M21" s="1054"/>
      <c r="N21" s="1054"/>
      <c r="O21" s="1054"/>
      <c r="P21" s="1054"/>
      <c r="Q21" s="1054"/>
      <c r="R21" s="1054"/>
      <c r="S21" s="1054"/>
      <c r="T21" s="1054"/>
      <c r="U21" s="1054"/>
      <c r="V21" s="1054">
        <f>V22</f>
        <v>12800</v>
      </c>
      <c r="W21" s="1054">
        <f>W22</f>
        <v>0</v>
      </c>
      <c r="X21" s="1054">
        <f>X22</f>
        <v>12800</v>
      </c>
      <c r="Y21" s="1054">
        <f>Y22</f>
        <v>12800</v>
      </c>
      <c r="Z21" s="1054" t="e">
        <f>#REF!+#REF!</f>
        <v>#REF!</v>
      </c>
      <c r="AA21" s="1054" t="e">
        <f>#REF!+#REF!</f>
        <v>#REF!</v>
      </c>
      <c r="AB21" s="1054" t="e">
        <f>#REF!+#REF!</f>
        <v>#REF!</v>
      </c>
      <c r="AC21" s="1054" t="e">
        <f>#REF!+#REF!</f>
        <v>#REF!</v>
      </c>
      <c r="AD21" s="1055" t="e">
        <f>#REF!+#REF!</f>
        <v>#REF!</v>
      </c>
      <c r="AE21" s="1055" t="e">
        <f>#REF!+#REF!</f>
        <v>#REF!</v>
      </c>
      <c r="AF21" s="1055" t="e">
        <f>#REF!+#REF!</f>
        <v>#REF!</v>
      </c>
      <c r="AG21" s="1055" t="e">
        <f>#REF!+#REF!</f>
        <v>#REF!</v>
      </c>
      <c r="AH21" s="1055" t="e">
        <f>#REF!+#REF!</f>
        <v>#REF!</v>
      </c>
      <c r="AI21" s="1055" t="e">
        <f>#REF!+#REF!</f>
        <v>#REF!</v>
      </c>
      <c r="AJ21" s="1055" t="e">
        <f>#REF!+#REF!</f>
        <v>#REF!</v>
      </c>
      <c r="AK21" s="1055" t="e">
        <f>#REF!+#REF!</f>
        <v>#REF!</v>
      </c>
      <c r="AL21" s="1241"/>
      <c r="AM21" s="1009">
        <f t="shared" si="6"/>
        <v>1</v>
      </c>
      <c r="AN21" s="1009">
        <f t="shared" si="7"/>
        <v>1</v>
      </c>
      <c r="AO21" s="143">
        <f>U21+V21-W21</f>
        <v>12800</v>
      </c>
    </row>
    <row r="22" spans="1:43" s="89" customFormat="1" ht="46.5" customHeight="1" x14ac:dyDescent="0.25">
      <c r="A22" s="64" t="s">
        <v>445</v>
      </c>
      <c r="B22" s="64" t="s">
        <v>1196</v>
      </c>
      <c r="C22" s="67" t="s">
        <v>2300</v>
      </c>
      <c r="D22" s="118" t="s">
        <v>1737</v>
      </c>
      <c r="E22" s="118" t="s">
        <v>398</v>
      </c>
      <c r="F22" s="118" t="s">
        <v>1354</v>
      </c>
      <c r="G22" s="61"/>
      <c r="H22" s="290">
        <v>25600</v>
      </c>
      <c r="I22" s="1056">
        <f t="shared" ref="I22" si="8">H22</f>
        <v>25600</v>
      </c>
      <c r="J22" s="282"/>
      <c r="K22" s="282"/>
      <c r="L22" s="282"/>
      <c r="M22" s="282"/>
      <c r="N22" s="68"/>
      <c r="O22" s="75"/>
      <c r="P22" s="284"/>
      <c r="Q22" s="284"/>
      <c r="R22" s="54"/>
      <c r="S22" s="54"/>
      <c r="T22" s="488"/>
      <c r="U22" s="488"/>
      <c r="V22" s="54">
        <v>12800</v>
      </c>
      <c r="W22" s="54"/>
      <c r="X22" s="488">
        <f t="shared" ref="X22" si="9">Y22</f>
        <v>12800</v>
      </c>
      <c r="Y22" s="488">
        <f t="shared" ref="Y22" si="10">V22</f>
        <v>12800</v>
      </c>
      <c r="Z22" s="75"/>
      <c r="AA22" s="75"/>
      <c r="AB22" s="75"/>
      <c r="AC22" s="75"/>
      <c r="AD22" s="75"/>
      <c r="AE22" s="75"/>
      <c r="AF22" s="75"/>
      <c r="AG22" s="75"/>
      <c r="AH22" s="75"/>
      <c r="AI22" s="75"/>
      <c r="AJ22" s="75"/>
      <c r="AK22" s="75"/>
      <c r="AL22" s="25" t="s">
        <v>980</v>
      </c>
      <c r="AM22" s="1009">
        <f t="shared" si="6"/>
        <v>1</v>
      </c>
      <c r="AN22" s="1009">
        <f t="shared" si="7"/>
        <v>1</v>
      </c>
    </row>
    <row r="23" spans="1:43" s="34" customFormat="1" ht="24.75" customHeight="1" x14ac:dyDescent="0.25">
      <c r="A23" s="28" t="s">
        <v>730</v>
      </c>
      <c r="B23" s="28"/>
      <c r="C23" s="1124" t="s">
        <v>979</v>
      </c>
      <c r="D23" s="1110"/>
      <c r="E23" s="1122"/>
      <c r="F23" s="1122"/>
      <c r="G23" s="1122"/>
      <c r="H23" s="1062">
        <f>H24</f>
        <v>53914</v>
      </c>
      <c r="I23" s="1062">
        <f>I24</f>
        <v>53914</v>
      </c>
      <c r="J23" s="1062"/>
      <c r="K23" s="1062"/>
      <c r="L23" s="1062"/>
      <c r="M23" s="1062"/>
      <c r="N23" s="1062"/>
      <c r="O23" s="1062"/>
      <c r="P23" s="1062"/>
      <c r="Q23" s="1062"/>
      <c r="R23" s="1062"/>
      <c r="S23" s="1062"/>
      <c r="T23" s="1062"/>
      <c r="U23" s="1062"/>
      <c r="V23" s="1062">
        <f>V24</f>
        <v>15000</v>
      </c>
      <c r="W23" s="1062"/>
      <c r="X23" s="1062">
        <f t="shared" ref="X23:Y23" si="11">X24</f>
        <v>15000</v>
      </c>
      <c r="Y23" s="1062">
        <f t="shared" si="11"/>
        <v>15000</v>
      </c>
      <c r="Z23" s="1062" t="e">
        <f>#REF!+#REF!</f>
        <v>#REF!</v>
      </c>
      <c r="AA23" s="1062" t="e">
        <f>#REF!+#REF!</f>
        <v>#REF!</v>
      </c>
      <c r="AB23" s="1062" t="e">
        <f>#REF!+#REF!</f>
        <v>#REF!</v>
      </c>
      <c r="AC23" s="1062" t="e">
        <f>#REF!+#REF!</f>
        <v>#REF!</v>
      </c>
      <c r="AD23" s="1063" t="e">
        <f>#REF!+#REF!</f>
        <v>#REF!</v>
      </c>
      <c r="AE23" s="1063" t="e">
        <f>#REF!+#REF!</f>
        <v>#REF!</v>
      </c>
      <c r="AF23" s="1063" t="e">
        <f>#REF!+#REF!</f>
        <v>#REF!</v>
      </c>
      <c r="AG23" s="1063" t="e">
        <f>#REF!+#REF!</f>
        <v>#REF!</v>
      </c>
      <c r="AH23" s="1063" t="e">
        <f>#REF!+#REF!</f>
        <v>#REF!</v>
      </c>
      <c r="AI23" s="1063" t="e">
        <f>#REF!+#REF!</f>
        <v>#REF!</v>
      </c>
      <c r="AJ23" s="1063" t="e">
        <f>#REF!+#REF!</f>
        <v>#REF!</v>
      </c>
      <c r="AK23" s="1063" t="e">
        <f>#REF!+#REF!</f>
        <v>#REF!</v>
      </c>
      <c r="AL23" s="1094"/>
      <c r="AM23" s="1009">
        <f t="shared" ref="AM23" si="12">IF(Y23-U23=0,0,1)</f>
        <v>1</v>
      </c>
      <c r="AN23" s="1009">
        <f t="shared" ref="AN23" si="13">IF(Y23=0,0,1)</f>
        <v>1</v>
      </c>
      <c r="AO23" s="1050"/>
      <c r="AP23" s="1070">
        <f>V23-W23</f>
        <v>15000</v>
      </c>
    </row>
    <row r="24" spans="1:43" s="1316" customFormat="1" ht="33" x14ac:dyDescent="0.25">
      <c r="A24" s="1222">
        <v>23</v>
      </c>
      <c r="B24" s="1222">
        <v>14</v>
      </c>
      <c r="C24" s="1201" t="s">
        <v>2385</v>
      </c>
      <c r="D24" s="1206"/>
      <c r="E24" s="1192" t="s">
        <v>2386</v>
      </c>
      <c r="F24" s="1223" t="s">
        <v>162</v>
      </c>
      <c r="G24" s="1206"/>
      <c r="H24" s="1188">
        <f t="shared" ref="H24" si="14">I24</f>
        <v>53914</v>
      </c>
      <c r="I24" s="1188">
        <v>53914</v>
      </c>
      <c r="J24" s="1189"/>
      <c r="K24" s="1189"/>
      <c r="L24" s="1189"/>
      <c r="M24" s="1189"/>
      <c r="N24" s="1188"/>
      <c r="O24" s="1188"/>
      <c r="P24" s="1221"/>
      <c r="Q24" s="1221"/>
      <c r="R24" s="1185"/>
      <c r="S24" s="1185"/>
      <c r="T24" s="1180"/>
      <c r="U24" s="1180"/>
      <c r="V24" s="1185">
        <v>15000</v>
      </c>
      <c r="W24" s="1185"/>
      <c r="X24" s="1180">
        <f t="shared" ref="X24" si="15">Y24</f>
        <v>15000</v>
      </c>
      <c r="Y24" s="1180">
        <f t="shared" ref="Y24" si="16">V24+U24</f>
        <v>15000</v>
      </c>
      <c r="Z24" s="1189"/>
      <c r="AA24" s="1189"/>
      <c r="AB24" s="1189"/>
      <c r="AC24" s="1189"/>
      <c r="AD24" s="1189"/>
      <c r="AE24" s="1189"/>
      <c r="AF24" s="1189"/>
      <c r="AG24" s="1189"/>
      <c r="AH24" s="1189"/>
      <c r="AI24" s="1189"/>
      <c r="AJ24" s="1189"/>
      <c r="AK24" s="1189"/>
      <c r="AL24" s="1198" t="s">
        <v>980</v>
      </c>
      <c r="AM24" s="1182">
        <f t="shared" ref="AM24" si="17">IF(Y24-U24=0,0,1)</f>
        <v>1</v>
      </c>
      <c r="AN24" s="1182">
        <f t="shared" ref="AN24" si="18">IF(Y24=0,0,1)</f>
        <v>1</v>
      </c>
    </row>
    <row r="25" spans="1:43" ht="16.5" x14ac:dyDescent="0.25">
      <c r="A25" s="133"/>
      <c r="B25" s="133"/>
      <c r="C25" s="140"/>
      <c r="D25" s="135"/>
      <c r="E25" s="140"/>
      <c r="F25" s="133"/>
      <c r="G25" s="140"/>
      <c r="H25" s="140"/>
      <c r="I25" s="140"/>
      <c r="J25" s="140"/>
      <c r="K25" s="140"/>
      <c r="L25" s="140"/>
      <c r="M25" s="140"/>
      <c r="N25" s="140"/>
      <c r="O25" s="140"/>
      <c r="P25" s="139"/>
      <c r="Q25" s="139"/>
      <c r="R25" s="1071"/>
      <c r="S25" s="1071"/>
      <c r="T25" s="1146"/>
      <c r="U25" s="1146"/>
      <c r="V25" s="1071"/>
      <c r="W25" s="1071"/>
      <c r="X25" s="1146"/>
      <c r="Y25" s="1146"/>
      <c r="Z25" s="1071"/>
      <c r="AA25" s="1071"/>
      <c r="AB25" s="1071"/>
      <c r="AC25" s="1071"/>
      <c r="AD25" s="1071"/>
      <c r="AE25" s="1071"/>
      <c r="AF25" s="1071"/>
      <c r="AG25" s="1071"/>
      <c r="AH25" s="1071"/>
      <c r="AI25" s="1071"/>
      <c r="AJ25" s="1071"/>
      <c r="AK25" s="1071"/>
      <c r="AL25" s="140"/>
      <c r="AM25" s="13">
        <v>1</v>
      </c>
      <c r="AN25" s="13">
        <v>1</v>
      </c>
    </row>
  </sheetData>
  <autoFilter ref="AM15:AN25"/>
  <mergeCells count="61">
    <mergeCell ref="A6:AL6"/>
    <mergeCell ref="A1:AL1"/>
    <mergeCell ref="A2:AL2"/>
    <mergeCell ref="A3:AL3"/>
    <mergeCell ref="A4:AL4"/>
    <mergeCell ref="A5:AL5"/>
    <mergeCell ref="X10:Y11"/>
    <mergeCell ref="A7:AL7"/>
    <mergeCell ref="A9:AL9"/>
    <mergeCell ref="A10:A14"/>
    <mergeCell ref="C10:C14"/>
    <mergeCell ref="D10:D14"/>
    <mergeCell ref="E10:E14"/>
    <mergeCell ref="F10:F14"/>
    <mergeCell ref="G10:I11"/>
    <mergeCell ref="J10:K11"/>
    <mergeCell ref="L10:M11"/>
    <mergeCell ref="N10:O11"/>
    <mergeCell ref="P10:Q11"/>
    <mergeCell ref="R10:S11"/>
    <mergeCell ref="T10:U11"/>
    <mergeCell ref="V10:W11"/>
    <mergeCell ref="AL10:AL14"/>
    <mergeCell ref="G12:G14"/>
    <mergeCell ref="H12:I12"/>
    <mergeCell ref="J12:J14"/>
    <mergeCell ref="K12:K14"/>
    <mergeCell ref="L12:L14"/>
    <mergeCell ref="M12:M14"/>
    <mergeCell ref="N12:N14"/>
    <mergeCell ref="O12:O14"/>
    <mergeCell ref="P12:P14"/>
    <mergeCell ref="Z10:AA11"/>
    <mergeCell ref="AB10:AC11"/>
    <mergeCell ref="AD10:AE11"/>
    <mergeCell ref="AF10:AG11"/>
    <mergeCell ref="AH10:AI11"/>
    <mergeCell ref="AJ10:AK11"/>
    <mergeCell ref="AB12:AB14"/>
    <mergeCell ref="Q12:Q14"/>
    <mergeCell ref="R12:R14"/>
    <mergeCell ref="S12:S14"/>
    <mergeCell ref="T12:T14"/>
    <mergeCell ref="U12:U14"/>
    <mergeCell ref="V12:V14"/>
    <mergeCell ref="AI12:AI14"/>
    <mergeCell ref="AJ12:AJ14"/>
    <mergeCell ref="AK12:AK14"/>
    <mergeCell ref="H13:H14"/>
    <mergeCell ref="I13:I14"/>
    <mergeCell ref="AC12:AC14"/>
    <mergeCell ref="AD12:AD14"/>
    <mergeCell ref="AE12:AE14"/>
    <mergeCell ref="AF12:AF14"/>
    <mergeCell ref="AG12:AG14"/>
    <mergeCell ref="AH12:AH14"/>
    <mergeCell ref="W12:W14"/>
    <mergeCell ref="X12:X14"/>
    <mergeCell ref="Y12:Y14"/>
    <mergeCell ref="Z12:Z14"/>
    <mergeCell ref="AA12:AA14"/>
  </mergeCells>
  <pageMargins left="0.31496062992125984" right="0.19685039370078741" top="0.51181102362204722" bottom="0.3" header="0.31496062992125984" footer="0.2"/>
  <pageSetup paperSize="9" scale="48" fitToHeight="0" orientation="landscape" r:id="rId1"/>
  <headerFooter differentFirst="1">
    <oddHeader>&amp;C&amp;"Times New Roman,Regular"&amp;14&amp;P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topLeftCell="A25" zoomScale="70" zoomScaleNormal="70" workbookViewId="0">
      <selection activeCell="G9" sqref="G9"/>
    </sheetView>
  </sheetViews>
  <sheetFormatPr defaultColWidth="27.42578125" defaultRowHeight="18.75" x14ac:dyDescent="0.3"/>
  <cols>
    <col min="1" max="1" width="7.5703125" style="803" customWidth="1"/>
    <col min="2" max="2" width="45" style="803" customWidth="1"/>
    <col min="3" max="3" width="18.85546875" style="804" customWidth="1"/>
    <col min="4" max="4" width="16.85546875" style="803" customWidth="1"/>
    <col min="5" max="5" width="12" style="804" customWidth="1"/>
    <col min="6" max="6" width="13.7109375" style="804" customWidth="1"/>
    <col min="7" max="7" width="16.28515625" style="804" customWidth="1"/>
    <col min="8" max="8" width="16.5703125" style="804" hidden="1" customWidth="1"/>
    <col min="9" max="9" width="16.5703125" style="804" customWidth="1"/>
    <col min="10" max="10" width="41.7109375" style="804" hidden="1" customWidth="1"/>
    <col min="11" max="16384" width="27.42578125" style="803"/>
  </cols>
  <sheetData>
    <row r="1" spans="1:12" x14ac:dyDescent="0.3">
      <c r="A1" s="2092" t="s">
        <v>2125</v>
      </c>
      <c r="B1" s="2092"/>
      <c r="C1" s="2092"/>
      <c r="D1" s="2092"/>
      <c r="E1" s="2092"/>
      <c r="F1" s="2092"/>
      <c r="G1" s="2092"/>
      <c r="H1" s="2092"/>
      <c r="I1" s="2092"/>
      <c r="J1" s="2092"/>
    </row>
    <row r="2" spans="1:12" x14ac:dyDescent="0.3">
      <c r="A2" s="2091" t="s">
        <v>1</v>
      </c>
      <c r="B2" s="2091"/>
      <c r="C2" s="2091"/>
      <c r="D2" s="2091"/>
      <c r="E2" s="2091"/>
      <c r="F2" s="2091"/>
      <c r="G2" s="2091"/>
      <c r="H2" s="2091"/>
      <c r="I2" s="2091"/>
      <c r="J2" s="904"/>
    </row>
    <row r="3" spans="1:12" x14ac:dyDescent="0.3">
      <c r="A3" s="913"/>
      <c r="B3" s="913"/>
      <c r="C3" s="913"/>
      <c r="D3" s="913"/>
      <c r="E3" s="913"/>
      <c r="F3" s="913"/>
      <c r="G3" s="913"/>
      <c r="H3" s="913"/>
      <c r="I3" s="913"/>
      <c r="J3" s="904"/>
    </row>
    <row r="4" spans="1:12" ht="27.75" customHeight="1" x14ac:dyDescent="0.3">
      <c r="I4" s="907" t="s">
        <v>6</v>
      </c>
    </row>
    <row r="5" spans="1:12" s="805" customFormat="1" ht="45" customHeight="1" x14ac:dyDescent="0.25">
      <c r="A5" s="914" t="s">
        <v>7</v>
      </c>
      <c r="B5" s="914" t="s">
        <v>2085</v>
      </c>
      <c r="C5" s="905" t="s">
        <v>2100</v>
      </c>
      <c r="D5" s="914" t="s">
        <v>9</v>
      </c>
      <c r="E5" s="905" t="s">
        <v>2089</v>
      </c>
      <c r="F5" s="905" t="s">
        <v>1975</v>
      </c>
      <c r="G5" s="905" t="s">
        <v>2124</v>
      </c>
      <c r="H5" s="905" t="s">
        <v>2101</v>
      </c>
      <c r="I5" s="905" t="s">
        <v>1937</v>
      </c>
      <c r="J5" s="905" t="s">
        <v>1937</v>
      </c>
    </row>
    <row r="6" spans="1:12" s="929" customFormat="1" x14ac:dyDescent="0.3">
      <c r="A6" s="915"/>
      <c r="B6" s="916" t="s">
        <v>1945</v>
      </c>
      <c r="C6" s="807"/>
      <c r="D6" s="915"/>
      <c r="E6" s="807">
        <f>E7+E8+E9+E10+E11+E12+E14+E15+E16+E17+E18+E19+E20+E21+E22+E23+E24+E25+E26+E27+E28</f>
        <v>478818</v>
      </c>
      <c r="F6" s="807"/>
      <c r="G6" s="807">
        <f>G7+G8+G9+G10+G11+G12+G14+G15+G16+G17+G18+G19+G20+G21+G22+G23+G24+G25+G26+G27+G28</f>
        <v>455947</v>
      </c>
      <c r="H6" s="807">
        <f>SUM(H7:H26)</f>
        <v>128100</v>
      </c>
      <c r="I6" s="807"/>
      <c r="J6" s="930"/>
      <c r="L6" s="930"/>
    </row>
    <row r="7" spans="1:12" s="1152" customFormat="1" ht="59.25" customHeight="1" x14ac:dyDescent="0.25">
      <c r="A7" s="1147">
        <v>1</v>
      </c>
      <c r="B7" s="1148" t="s">
        <v>2090</v>
      </c>
      <c r="C7" s="2094" t="s">
        <v>2106</v>
      </c>
      <c r="D7" s="1147" t="s">
        <v>52</v>
      </c>
      <c r="E7" s="1149">
        <v>14661</v>
      </c>
      <c r="F7" s="1150" t="s">
        <v>290</v>
      </c>
      <c r="G7" s="1149">
        <v>13334</v>
      </c>
      <c r="H7" s="1149">
        <v>10000</v>
      </c>
      <c r="I7" s="1149"/>
      <c r="J7" s="1151" t="s">
        <v>2091</v>
      </c>
    </row>
    <row r="8" spans="1:12" s="1152" customFormat="1" ht="44.25" customHeight="1" x14ac:dyDescent="0.25">
      <c r="A8" s="1153">
        <v>2</v>
      </c>
      <c r="B8" s="1154" t="s">
        <v>2102</v>
      </c>
      <c r="C8" s="2095"/>
      <c r="D8" s="1153" t="s">
        <v>52</v>
      </c>
      <c r="E8" s="1155">
        <v>13899</v>
      </c>
      <c r="F8" s="1156" t="s">
        <v>290</v>
      </c>
      <c r="G8" s="1155">
        <v>12385</v>
      </c>
      <c r="H8" s="1155"/>
      <c r="I8" s="1155"/>
      <c r="J8" s="1157"/>
    </row>
    <row r="9" spans="1:12" s="1152" customFormat="1" ht="45" customHeight="1" x14ac:dyDescent="0.25">
      <c r="A9" s="1153">
        <v>3</v>
      </c>
      <c r="B9" s="1154" t="s">
        <v>2103</v>
      </c>
      <c r="C9" s="2095"/>
      <c r="D9" s="1153" t="s">
        <v>52</v>
      </c>
      <c r="E9" s="1155">
        <v>12654</v>
      </c>
      <c r="F9" s="1156" t="s">
        <v>290</v>
      </c>
      <c r="G9" s="1155">
        <v>12209</v>
      </c>
      <c r="H9" s="1155"/>
      <c r="I9" s="1155"/>
      <c r="J9" s="1157"/>
    </row>
    <row r="10" spans="1:12" s="1152" customFormat="1" ht="28.5" customHeight="1" x14ac:dyDescent="0.25">
      <c r="A10" s="1153">
        <v>4</v>
      </c>
      <c r="B10" s="1154" t="s">
        <v>2104</v>
      </c>
      <c r="C10" s="2095"/>
      <c r="D10" s="1153" t="s">
        <v>52</v>
      </c>
      <c r="E10" s="1155">
        <v>9906</v>
      </c>
      <c r="F10" s="1156" t="s">
        <v>290</v>
      </c>
      <c r="G10" s="1155">
        <v>8775</v>
      </c>
      <c r="H10" s="1155"/>
      <c r="I10" s="1155"/>
      <c r="J10" s="1157"/>
    </row>
    <row r="11" spans="1:12" s="1152" customFormat="1" ht="50.25" customHeight="1" x14ac:dyDescent="0.25">
      <c r="A11" s="1153">
        <v>5</v>
      </c>
      <c r="B11" s="1154" t="s">
        <v>2105</v>
      </c>
      <c r="C11" s="2095"/>
      <c r="D11" s="1153" t="s">
        <v>52</v>
      </c>
      <c r="E11" s="1155">
        <v>8333</v>
      </c>
      <c r="F11" s="1156" t="s">
        <v>290</v>
      </c>
      <c r="G11" s="1155">
        <v>7263</v>
      </c>
      <c r="H11" s="1155"/>
      <c r="I11" s="1155"/>
      <c r="J11" s="1157"/>
    </row>
    <row r="12" spans="1:12" s="1152" customFormat="1" ht="59.25" customHeight="1" x14ac:dyDescent="0.25">
      <c r="A12" s="1153">
        <v>6</v>
      </c>
      <c r="B12" s="1154" t="s">
        <v>2107</v>
      </c>
      <c r="C12" s="2096" t="s">
        <v>2111</v>
      </c>
      <c r="D12" s="1153" t="s">
        <v>205</v>
      </c>
      <c r="E12" s="1155">
        <v>102000</v>
      </c>
      <c r="F12" s="1156" t="s">
        <v>290</v>
      </c>
      <c r="G12" s="1155">
        <v>102000</v>
      </c>
      <c r="H12" s="1155">
        <v>10000</v>
      </c>
      <c r="I12" s="1155"/>
      <c r="J12" s="1157" t="s">
        <v>2092</v>
      </c>
    </row>
    <row r="13" spans="1:12" s="1162" customFormat="1" ht="117" customHeight="1" x14ac:dyDescent="0.25">
      <c r="A13" s="1158"/>
      <c r="B13" s="1159" t="s">
        <v>2108</v>
      </c>
      <c r="C13" s="2096"/>
      <c r="D13" s="1158" t="s">
        <v>205</v>
      </c>
      <c r="E13" s="1160">
        <v>22359</v>
      </c>
      <c r="F13" s="1160"/>
      <c r="G13" s="1160"/>
      <c r="H13" s="1160">
        <v>10000</v>
      </c>
      <c r="I13" s="1160"/>
      <c r="J13" s="1161" t="s">
        <v>2092</v>
      </c>
    </row>
    <row r="14" spans="1:12" s="1152" customFormat="1" ht="68.25" customHeight="1" x14ac:dyDescent="0.25">
      <c r="A14" s="1153">
        <v>7</v>
      </c>
      <c r="B14" s="1154" t="s">
        <v>2109</v>
      </c>
      <c r="C14" s="2096"/>
      <c r="D14" s="1153" t="s">
        <v>205</v>
      </c>
      <c r="E14" s="1155">
        <v>105000</v>
      </c>
      <c r="F14" s="1156" t="s">
        <v>290</v>
      </c>
      <c r="G14" s="1155">
        <v>102000</v>
      </c>
      <c r="H14" s="1155"/>
      <c r="I14" s="1155"/>
      <c r="J14" s="1157"/>
    </row>
    <row r="15" spans="1:12" s="1152" customFormat="1" ht="45.75" customHeight="1" x14ac:dyDescent="0.25">
      <c r="A15" s="1153">
        <v>8</v>
      </c>
      <c r="B15" s="1154" t="s">
        <v>2110</v>
      </c>
      <c r="C15" s="2096"/>
      <c r="D15" s="1153" t="s">
        <v>205</v>
      </c>
      <c r="E15" s="1155">
        <v>27000</v>
      </c>
      <c r="F15" s="1156" t="s">
        <v>290</v>
      </c>
      <c r="G15" s="1155">
        <v>27000</v>
      </c>
      <c r="H15" s="1155"/>
      <c r="I15" s="1155"/>
      <c r="J15" s="1157"/>
    </row>
    <row r="16" spans="1:12" s="805" customFormat="1" ht="114.75" customHeight="1" x14ac:dyDescent="0.25">
      <c r="A16" s="908">
        <v>9</v>
      </c>
      <c r="B16" s="909" t="s">
        <v>2112</v>
      </c>
      <c r="C16" s="911" t="s">
        <v>2113</v>
      </c>
      <c r="D16" s="908" t="s">
        <v>194</v>
      </c>
      <c r="E16" s="910">
        <v>8352</v>
      </c>
      <c r="F16" s="911" t="s">
        <v>290</v>
      </c>
      <c r="G16" s="910">
        <v>4039</v>
      </c>
      <c r="H16" s="910"/>
      <c r="I16" s="911" t="s">
        <v>2114</v>
      </c>
      <c r="J16" s="806"/>
    </row>
    <row r="17" spans="1:10" s="805" customFormat="1" ht="41.25" customHeight="1" x14ac:dyDescent="0.25">
      <c r="A17" s="908">
        <v>10</v>
      </c>
      <c r="B17" s="1163" t="s">
        <v>2086</v>
      </c>
      <c r="C17" s="2096" t="s">
        <v>2116</v>
      </c>
      <c r="D17" s="908" t="s">
        <v>416</v>
      </c>
      <c r="E17" s="910">
        <v>7342</v>
      </c>
      <c r="F17" s="911" t="s">
        <v>290</v>
      </c>
      <c r="G17" s="910">
        <v>7342</v>
      </c>
      <c r="H17" s="910">
        <v>6000</v>
      </c>
      <c r="I17" s="910"/>
      <c r="J17" s="806" t="s">
        <v>2093</v>
      </c>
    </row>
    <row r="18" spans="1:10" s="805" customFormat="1" ht="54" customHeight="1" x14ac:dyDescent="0.25">
      <c r="A18" s="908">
        <v>11</v>
      </c>
      <c r="B18" s="1163" t="s">
        <v>2115</v>
      </c>
      <c r="C18" s="2096"/>
      <c r="D18" s="908" t="s">
        <v>146</v>
      </c>
      <c r="E18" s="910">
        <v>19000</v>
      </c>
      <c r="F18" s="911" t="s">
        <v>290</v>
      </c>
      <c r="G18" s="910">
        <v>19000</v>
      </c>
      <c r="H18" s="910"/>
      <c r="I18" s="910"/>
      <c r="J18" s="808"/>
    </row>
    <row r="19" spans="1:10" s="805" customFormat="1" ht="59.25" customHeight="1" x14ac:dyDescent="0.25">
      <c r="A19" s="908">
        <v>12</v>
      </c>
      <c r="B19" s="909" t="s">
        <v>2087</v>
      </c>
      <c r="C19" s="2088" t="s">
        <v>2117</v>
      </c>
      <c r="D19" s="908" t="s">
        <v>52</v>
      </c>
      <c r="E19" s="910">
        <v>5000</v>
      </c>
      <c r="F19" s="911" t="s">
        <v>290</v>
      </c>
      <c r="G19" s="910">
        <f>E19</f>
        <v>5000</v>
      </c>
      <c r="H19" s="910">
        <v>4500</v>
      </c>
      <c r="I19" s="910"/>
      <c r="J19" s="2090" t="s">
        <v>2094</v>
      </c>
    </row>
    <row r="20" spans="1:10" s="1152" customFormat="1" ht="59.25" customHeight="1" x14ac:dyDescent="0.25">
      <c r="A20" s="1153">
        <v>13</v>
      </c>
      <c r="B20" s="1154" t="s">
        <v>2088</v>
      </c>
      <c r="C20" s="2097"/>
      <c r="D20" s="1153" t="s">
        <v>146</v>
      </c>
      <c r="E20" s="1155">
        <v>5000</v>
      </c>
      <c r="F20" s="1156" t="s">
        <v>290</v>
      </c>
      <c r="G20" s="1155">
        <f t="shared" ref="G20:G25" si="0">E20</f>
        <v>5000</v>
      </c>
      <c r="H20" s="1155">
        <v>4500</v>
      </c>
      <c r="I20" s="1155"/>
      <c r="J20" s="2093"/>
    </row>
    <row r="21" spans="1:10" s="805" customFormat="1" ht="59.25" customHeight="1" x14ac:dyDescent="0.25">
      <c r="A21" s="908">
        <v>14</v>
      </c>
      <c r="B21" s="909" t="s">
        <v>2119</v>
      </c>
      <c r="C21" s="2097"/>
      <c r="D21" s="908" t="s">
        <v>526</v>
      </c>
      <c r="E21" s="910">
        <v>20000</v>
      </c>
      <c r="F21" s="911" t="s">
        <v>290</v>
      </c>
      <c r="G21" s="910">
        <f t="shared" si="0"/>
        <v>20000</v>
      </c>
      <c r="H21" s="910">
        <v>4500</v>
      </c>
      <c r="I21" s="910"/>
      <c r="J21" s="809"/>
    </row>
    <row r="22" spans="1:10" s="805" customFormat="1" ht="59.25" customHeight="1" x14ac:dyDescent="0.25">
      <c r="A22" s="908">
        <v>15</v>
      </c>
      <c r="B22" s="909" t="s">
        <v>2120</v>
      </c>
      <c r="C22" s="2097"/>
      <c r="D22" s="908" t="s">
        <v>230</v>
      </c>
      <c r="E22" s="910">
        <v>5000</v>
      </c>
      <c r="F22" s="911" t="s">
        <v>290</v>
      </c>
      <c r="G22" s="910">
        <f t="shared" si="0"/>
        <v>5000</v>
      </c>
      <c r="H22" s="910">
        <v>4500</v>
      </c>
      <c r="I22" s="910"/>
      <c r="J22" s="809"/>
    </row>
    <row r="23" spans="1:10" s="1152" customFormat="1" ht="59.25" customHeight="1" x14ac:dyDescent="0.25">
      <c r="A23" s="1164">
        <v>16</v>
      </c>
      <c r="B23" s="1167" t="s">
        <v>2121</v>
      </c>
      <c r="C23" s="2097"/>
      <c r="D23" s="1164" t="s">
        <v>194</v>
      </c>
      <c r="E23" s="1165">
        <v>5000</v>
      </c>
      <c r="F23" s="1166" t="s">
        <v>290</v>
      </c>
      <c r="G23" s="1165">
        <f t="shared" si="0"/>
        <v>5000</v>
      </c>
      <c r="H23" s="1165">
        <v>4500</v>
      </c>
      <c r="I23" s="1165"/>
      <c r="J23" s="1151"/>
    </row>
    <row r="24" spans="1:10" s="805" customFormat="1" ht="79.5" customHeight="1" x14ac:dyDescent="0.25">
      <c r="A24" s="923">
        <v>17</v>
      </c>
      <c r="B24" s="924" t="s">
        <v>2122</v>
      </c>
      <c r="C24" s="2090" t="s">
        <v>2117</v>
      </c>
      <c r="D24" s="923" t="s">
        <v>99</v>
      </c>
      <c r="E24" s="925">
        <v>5000</v>
      </c>
      <c r="F24" s="926" t="s">
        <v>290</v>
      </c>
      <c r="G24" s="925">
        <f t="shared" si="0"/>
        <v>5000</v>
      </c>
      <c r="H24" s="925">
        <v>4500</v>
      </c>
      <c r="I24" s="925"/>
      <c r="J24" s="809"/>
    </row>
    <row r="25" spans="1:10" s="805" customFormat="1" ht="79.5" customHeight="1" x14ac:dyDescent="0.25">
      <c r="A25" s="908">
        <v>18</v>
      </c>
      <c r="B25" s="909" t="s">
        <v>2123</v>
      </c>
      <c r="C25" s="1988"/>
      <c r="D25" s="908" t="s">
        <v>205</v>
      </c>
      <c r="E25" s="910">
        <v>5000</v>
      </c>
      <c r="F25" s="912" t="s">
        <v>290</v>
      </c>
      <c r="G25" s="910">
        <f t="shared" si="0"/>
        <v>5000</v>
      </c>
      <c r="H25" s="910">
        <v>4500</v>
      </c>
      <c r="I25" s="910"/>
      <c r="J25" s="809"/>
    </row>
    <row r="26" spans="1:10" s="805" customFormat="1" ht="136.5" customHeight="1" x14ac:dyDescent="0.25">
      <c r="A26" s="908">
        <v>19</v>
      </c>
      <c r="B26" s="909" t="s">
        <v>2097</v>
      </c>
      <c r="C26" s="911" t="s">
        <v>2118</v>
      </c>
      <c r="D26" s="908" t="s">
        <v>2098</v>
      </c>
      <c r="E26" s="910">
        <v>66671</v>
      </c>
      <c r="F26" s="911" t="s">
        <v>290</v>
      </c>
      <c r="G26" s="910">
        <v>60600</v>
      </c>
      <c r="H26" s="910">
        <v>60600</v>
      </c>
      <c r="I26" s="910"/>
      <c r="J26" s="809" t="s">
        <v>2099</v>
      </c>
    </row>
    <row r="27" spans="1:10" s="805" customFormat="1" ht="57" customHeight="1" x14ac:dyDescent="0.25">
      <c r="A27" s="921">
        <v>20</v>
      </c>
      <c r="B27" s="909" t="s">
        <v>2133</v>
      </c>
      <c r="C27" s="2088" t="s">
        <v>2135</v>
      </c>
      <c r="D27" s="921"/>
      <c r="E27" s="922">
        <v>24000</v>
      </c>
      <c r="F27" s="928" t="s">
        <v>290</v>
      </c>
      <c r="G27" s="922">
        <v>20000</v>
      </c>
      <c r="H27" s="922"/>
      <c r="I27" s="922"/>
      <c r="J27" s="927"/>
    </row>
    <row r="28" spans="1:10" s="1152" customFormat="1" ht="54.75" customHeight="1" x14ac:dyDescent="0.25">
      <c r="A28" s="1164">
        <v>21</v>
      </c>
      <c r="B28" s="1154" t="s">
        <v>2134</v>
      </c>
      <c r="C28" s="2089"/>
      <c r="D28" s="1164"/>
      <c r="E28" s="1165">
        <v>10000</v>
      </c>
      <c r="F28" s="1166" t="s">
        <v>290</v>
      </c>
      <c r="G28" s="1165">
        <v>10000</v>
      </c>
      <c r="H28" s="1165"/>
      <c r="I28" s="1165"/>
      <c r="J28" s="1151"/>
    </row>
    <row r="29" spans="1:10" s="805" customFormat="1" ht="17.25" customHeight="1" x14ac:dyDescent="0.25">
      <c r="A29" s="917"/>
      <c r="B29" s="918"/>
      <c r="C29" s="919"/>
      <c r="D29" s="917"/>
      <c r="E29" s="920"/>
      <c r="F29" s="919"/>
      <c r="G29" s="920"/>
      <c r="H29" s="920"/>
      <c r="I29" s="920"/>
      <c r="J29" s="906"/>
    </row>
  </sheetData>
  <mergeCells count="9">
    <mergeCell ref="C27:C28"/>
    <mergeCell ref="C24:C25"/>
    <mergeCell ref="A2:I2"/>
    <mergeCell ref="A1:J1"/>
    <mergeCell ref="J19:J20"/>
    <mergeCell ref="C7:C11"/>
    <mergeCell ref="C12:C15"/>
    <mergeCell ref="C17:C18"/>
    <mergeCell ref="C19:C23"/>
  </mergeCells>
  <pageMargins left="0.43307086614173229" right="0.31496062992125984" top="0.62992125984251968" bottom="0.47244094488188981" header="0.31496062992125984" footer="0.19685039370078741"/>
  <pageSetup paperSize="9" scale="95" orientation="landscape" r:id="rId1"/>
  <headerFooter>
    <oddFooter>&amp;RTrang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0"/>
  <sheetViews>
    <sheetView topLeftCell="B1" zoomScale="59" zoomScaleNormal="59" workbookViewId="0">
      <selection activeCell="L13" sqref="L13:L17"/>
    </sheetView>
  </sheetViews>
  <sheetFormatPr defaultColWidth="9.140625" defaultRowHeight="18.75" x14ac:dyDescent="0.25"/>
  <cols>
    <col min="1" max="1" width="7.85546875" style="1395" customWidth="1"/>
    <col min="2" max="2" width="29.7109375" style="1396" customWidth="1"/>
    <col min="3" max="3" width="18.7109375" style="1396" customWidth="1"/>
    <col min="4" max="4" width="12.28515625" style="1396" customWidth="1"/>
    <col min="5" max="5" width="12" style="1396" customWidth="1"/>
    <col min="6" max="6" width="12.85546875" style="1396" customWidth="1"/>
    <col min="7" max="7" width="11.140625" style="1396" customWidth="1"/>
    <col min="8" max="8" width="25.140625" style="1396" customWidth="1"/>
    <col min="9" max="9" width="14.85546875" style="1397" customWidth="1"/>
    <col min="10" max="10" width="11" style="1397" customWidth="1"/>
    <col min="11" max="11" width="14.85546875" style="1397" customWidth="1"/>
    <col min="12" max="12" width="19.5703125" style="1397" customWidth="1"/>
    <col min="13" max="13" width="14.42578125" style="1398" customWidth="1"/>
    <col min="14" max="14" width="13.42578125" style="1398" customWidth="1"/>
    <col min="15" max="15" width="12.5703125" style="1398" customWidth="1"/>
    <col min="16" max="16" width="13.28515625" style="1398" customWidth="1"/>
    <col min="17" max="17" width="14.85546875" style="1398" customWidth="1"/>
    <col min="18" max="18" width="15.42578125" style="1398" customWidth="1"/>
    <col min="19" max="19" width="13.140625" style="1398" customWidth="1"/>
    <col min="20" max="20" width="13.5703125" style="1398" hidden="1" customWidth="1"/>
    <col min="21" max="21" width="13.5703125" style="1398" customWidth="1"/>
    <col min="22" max="22" width="18.7109375" style="1398" customWidth="1"/>
    <col min="23" max="16384" width="9.140625" style="1389"/>
  </cols>
  <sheetData>
    <row r="1" spans="1:22" s="1537" customFormat="1" ht="30.75" customHeight="1" x14ac:dyDescent="0.25">
      <c r="A1" s="2063" t="s">
        <v>1964</v>
      </c>
      <c r="B1" s="2063"/>
      <c r="C1" s="2063"/>
      <c r="D1" s="2063"/>
      <c r="E1" s="2063"/>
      <c r="F1" s="2063"/>
      <c r="G1" s="2063"/>
      <c r="H1" s="2063"/>
      <c r="I1" s="2063"/>
      <c r="J1" s="2063"/>
      <c r="K1" s="2063"/>
      <c r="L1" s="2063"/>
      <c r="M1" s="2063"/>
      <c r="N1" s="2063"/>
      <c r="O1" s="2063"/>
      <c r="P1" s="2063"/>
      <c r="Q1" s="2063"/>
      <c r="R1" s="2063"/>
      <c r="S1" s="2063"/>
      <c r="T1" s="2063"/>
      <c r="U1" s="2063"/>
      <c r="V1" s="2063"/>
    </row>
    <row r="2" spans="1:22" s="1537" customFormat="1" ht="45.75" customHeight="1" x14ac:dyDescent="0.25">
      <c r="A2" s="2076" t="s">
        <v>3142</v>
      </c>
      <c r="B2" s="2076"/>
      <c r="C2" s="2076"/>
      <c r="D2" s="2076"/>
      <c r="E2" s="2076"/>
      <c r="F2" s="2076"/>
      <c r="G2" s="2076"/>
      <c r="H2" s="2076"/>
      <c r="I2" s="2076"/>
      <c r="J2" s="2076"/>
      <c r="K2" s="2076"/>
      <c r="L2" s="2076"/>
      <c r="M2" s="2076"/>
      <c r="N2" s="2076"/>
      <c r="O2" s="2076"/>
      <c r="P2" s="2076"/>
      <c r="Q2" s="2076"/>
      <c r="R2" s="2076"/>
      <c r="S2" s="2076"/>
      <c r="T2" s="2076"/>
      <c r="U2" s="2076"/>
      <c r="V2" s="2076"/>
    </row>
    <row r="3" spans="1:22" ht="26.25" hidden="1" customHeight="1" x14ac:dyDescent="0.25">
      <c r="A3" s="2074" t="s">
        <v>2647</v>
      </c>
      <c r="B3" s="2074"/>
      <c r="C3" s="2074"/>
      <c r="D3" s="2074"/>
      <c r="E3" s="2074"/>
      <c r="F3" s="2074"/>
      <c r="G3" s="2074"/>
      <c r="H3" s="2074"/>
      <c r="I3" s="2074"/>
      <c r="J3" s="2074"/>
      <c r="K3" s="2074"/>
      <c r="L3" s="2074"/>
      <c r="M3" s="2074"/>
      <c r="N3" s="2074"/>
      <c r="O3" s="2074"/>
      <c r="P3" s="2074"/>
      <c r="Q3" s="2074"/>
      <c r="R3" s="2074"/>
      <c r="S3" s="2074"/>
      <c r="T3" s="2074"/>
      <c r="U3" s="2074"/>
      <c r="V3" s="2074"/>
    </row>
    <row r="4" spans="1:22" ht="25.5" hidden="1" customHeight="1" x14ac:dyDescent="0.25">
      <c r="A4" s="2074" t="s">
        <v>2648</v>
      </c>
      <c r="B4" s="2074"/>
      <c r="C4" s="2074"/>
      <c r="D4" s="2074"/>
      <c r="E4" s="2074"/>
      <c r="F4" s="2074"/>
      <c r="G4" s="2074"/>
      <c r="H4" s="2074"/>
      <c r="I4" s="2074"/>
      <c r="J4" s="2074"/>
      <c r="K4" s="2074"/>
      <c r="L4" s="2074"/>
      <c r="M4" s="2074"/>
      <c r="N4" s="2074"/>
      <c r="O4" s="2074"/>
      <c r="P4" s="2074"/>
      <c r="Q4" s="2074"/>
      <c r="R4" s="2074"/>
      <c r="S4" s="2074"/>
      <c r="T4" s="2074"/>
      <c r="U4" s="2074"/>
      <c r="V4" s="2074"/>
    </row>
    <row r="5" spans="1:22" ht="24" hidden="1" customHeight="1" x14ac:dyDescent="0.25">
      <c r="A5" s="2074" t="s">
        <v>2649</v>
      </c>
      <c r="B5" s="2074"/>
      <c r="C5" s="2074"/>
      <c r="D5" s="2074"/>
      <c r="E5" s="2074"/>
      <c r="F5" s="2074"/>
      <c r="G5" s="2074"/>
      <c r="H5" s="2074"/>
      <c r="I5" s="2074"/>
      <c r="J5" s="2074"/>
      <c r="K5" s="2074"/>
      <c r="L5" s="2074"/>
      <c r="M5" s="2074"/>
      <c r="N5" s="2074"/>
      <c r="O5" s="2074"/>
      <c r="P5" s="2074"/>
      <c r="Q5" s="2074"/>
      <c r="R5" s="2074"/>
      <c r="S5" s="2074"/>
      <c r="T5" s="2074"/>
      <c r="U5" s="2074"/>
      <c r="V5" s="2074"/>
    </row>
    <row r="6" spans="1:22" ht="36" hidden="1" customHeight="1" x14ac:dyDescent="0.25">
      <c r="A6" s="2077" t="s">
        <v>2740</v>
      </c>
      <c r="B6" s="2077"/>
      <c r="C6" s="2077"/>
      <c r="D6" s="2077"/>
      <c r="E6" s="2077"/>
      <c r="F6" s="2077"/>
      <c r="G6" s="2077"/>
      <c r="H6" s="2077"/>
      <c r="I6" s="2077"/>
      <c r="J6" s="2077"/>
      <c r="K6" s="2077"/>
      <c r="L6" s="2077"/>
      <c r="M6" s="2077"/>
      <c r="N6" s="2077"/>
      <c r="O6" s="2077"/>
      <c r="P6" s="2077"/>
      <c r="Q6" s="2077"/>
      <c r="R6" s="2077"/>
      <c r="S6" s="2077"/>
      <c r="T6" s="2077"/>
      <c r="U6" s="2077"/>
      <c r="V6" s="2077"/>
    </row>
    <row r="7" spans="1:22" ht="27.75" hidden="1" customHeight="1" x14ac:dyDescent="0.25">
      <c r="A7" s="2074" t="s">
        <v>3143</v>
      </c>
      <c r="B7" s="2074"/>
      <c r="C7" s="2074"/>
      <c r="D7" s="2074"/>
      <c r="E7" s="2074"/>
      <c r="F7" s="2074"/>
      <c r="G7" s="2074"/>
      <c r="H7" s="2074"/>
      <c r="I7" s="2074"/>
      <c r="J7" s="2074"/>
      <c r="K7" s="2074"/>
      <c r="L7" s="2074"/>
      <c r="M7" s="2074"/>
      <c r="N7" s="2074"/>
      <c r="O7" s="2074"/>
      <c r="P7" s="2074"/>
      <c r="Q7" s="2074"/>
      <c r="R7" s="2074"/>
      <c r="S7" s="2074"/>
      <c r="T7" s="2074"/>
      <c r="U7" s="2074"/>
      <c r="V7" s="2074"/>
    </row>
    <row r="8" spans="1:22" s="1390" customFormat="1" ht="28.5" hidden="1" customHeight="1" x14ac:dyDescent="0.25">
      <c r="A8" s="2074" t="s">
        <v>2650</v>
      </c>
      <c r="B8" s="2074"/>
      <c r="C8" s="2074"/>
      <c r="D8" s="2074"/>
      <c r="E8" s="2074"/>
      <c r="F8" s="2074"/>
      <c r="G8" s="2074"/>
      <c r="H8" s="2074"/>
      <c r="I8" s="2074"/>
      <c r="J8" s="2074"/>
      <c r="K8" s="2074"/>
      <c r="L8" s="2074"/>
      <c r="M8" s="2074"/>
      <c r="N8" s="2074"/>
      <c r="O8" s="2074"/>
      <c r="P8" s="2074"/>
      <c r="Q8" s="2074"/>
      <c r="R8" s="2074"/>
      <c r="S8" s="2074"/>
      <c r="T8" s="2074"/>
      <c r="U8" s="2074"/>
      <c r="V8" s="2074"/>
    </row>
    <row r="9" spans="1:22" s="1390" customFormat="1" ht="36" customHeight="1" x14ac:dyDescent="0.25">
      <c r="A9" s="2075" t="s">
        <v>3474</v>
      </c>
      <c r="B9" s="2075"/>
      <c r="C9" s="2075"/>
      <c r="D9" s="2075"/>
      <c r="E9" s="2075"/>
      <c r="F9" s="2075"/>
      <c r="G9" s="2075"/>
      <c r="H9" s="2075"/>
      <c r="I9" s="2075"/>
      <c r="J9" s="2075"/>
      <c r="K9" s="2075"/>
      <c r="L9" s="2075"/>
      <c r="M9" s="2075"/>
      <c r="N9" s="2075"/>
      <c r="O9" s="2075"/>
      <c r="P9" s="2075"/>
      <c r="Q9" s="2075"/>
      <c r="R9" s="2075"/>
      <c r="S9" s="2075"/>
      <c r="T9" s="2075"/>
      <c r="U9" s="2075"/>
      <c r="V9" s="2075"/>
    </row>
    <row r="10" spans="1:22" s="1390" customFormat="1" ht="36" customHeight="1" x14ac:dyDescent="0.25">
      <c r="A10" s="1877"/>
      <c r="B10" s="1877"/>
      <c r="C10" s="1877"/>
      <c r="D10" s="1877"/>
      <c r="E10" s="1877"/>
      <c r="F10" s="1877"/>
      <c r="G10" s="1877"/>
      <c r="H10" s="1877"/>
      <c r="I10" s="1877"/>
      <c r="J10" s="1877"/>
      <c r="K10" s="1877"/>
      <c r="L10" s="1877"/>
      <c r="M10" s="1877"/>
      <c r="N10" s="1877"/>
      <c r="O10" s="1877"/>
      <c r="P10" s="1877"/>
      <c r="Q10" s="1877"/>
      <c r="R10" s="1877"/>
      <c r="S10" s="1877"/>
      <c r="T10" s="1877"/>
      <c r="U10" s="1877"/>
      <c r="V10" s="1877"/>
    </row>
    <row r="11" spans="1:22" s="1567" customFormat="1" ht="25.5" customHeight="1" x14ac:dyDescent="0.25">
      <c r="A11" s="1390"/>
      <c r="B11" s="1391"/>
      <c r="C11" s="1391"/>
      <c r="D11" s="1391"/>
      <c r="E11" s="1391"/>
      <c r="F11" s="1391"/>
      <c r="G11" s="1391"/>
      <c r="H11" s="1391"/>
      <c r="I11" s="1391"/>
      <c r="J11" s="1391"/>
      <c r="K11" s="1391"/>
      <c r="L11" s="1391"/>
      <c r="M11" s="1391"/>
      <c r="N11" s="1391"/>
      <c r="O11" s="1391"/>
      <c r="P11" s="1391"/>
      <c r="Q11" s="1391"/>
      <c r="R11" s="1391"/>
      <c r="S11" s="1391"/>
      <c r="T11" s="1391"/>
      <c r="U11" s="1391"/>
      <c r="V11" s="1392" t="s">
        <v>6</v>
      </c>
    </row>
    <row r="12" spans="1:22" s="1567" customFormat="1" ht="38.25" customHeight="1" x14ac:dyDescent="0.25">
      <c r="A12" s="2067" t="s">
        <v>2651</v>
      </c>
      <c r="B12" s="2067" t="s">
        <v>2652</v>
      </c>
      <c r="C12" s="2067" t="s">
        <v>2653</v>
      </c>
      <c r="D12" s="2067" t="s">
        <v>9</v>
      </c>
      <c r="E12" s="2067" t="s">
        <v>2654</v>
      </c>
      <c r="F12" s="2030" t="s">
        <v>2655</v>
      </c>
      <c r="G12" s="2030" t="s">
        <v>2656</v>
      </c>
      <c r="H12" s="2067" t="s">
        <v>2657</v>
      </c>
      <c r="I12" s="2067" t="s">
        <v>11</v>
      </c>
      <c r="J12" s="2067" t="s">
        <v>2658</v>
      </c>
      <c r="K12" s="2067" t="s">
        <v>2659</v>
      </c>
      <c r="L12" s="2067" t="s">
        <v>2660</v>
      </c>
      <c r="M12" s="2067"/>
      <c r="N12" s="2067"/>
      <c r="O12" s="2067"/>
      <c r="P12" s="2067"/>
      <c r="Q12" s="2067"/>
      <c r="R12" s="2067"/>
      <c r="S12" s="2067"/>
      <c r="T12" s="2067" t="s">
        <v>2661</v>
      </c>
      <c r="U12" s="2064" t="s">
        <v>2662</v>
      </c>
      <c r="V12" s="2064" t="s">
        <v>1870</v>
      </c>
    </row>
    <row r="13" spans="1:22" s="1567" customFormat="1" ht="32.25" customHeight="1" x14ac:dyDescent="0.25">
      <c r="A13" s="2067"/>
      <c r="B13" s="2067"/>
      <c r="C13" s="2067"/>
      <c r="D13" s="2067"/>
      <c r="E13" s="2067"/>
      <c r="F13" s="2030"/>
      <c r="G13" s="2030"/>
      <c r="H13" s="2067"/>
      <c r="I13" s="2067"/>
      <c r="J13" s="2067"/>
      <c r="K13" s="2067"/>
      <c r="L13" s="2067" t="s">
        <v>2663</v>
      </c>
      <c r="M13" s="2067" t="s">
        <v>33</v>
      </c>
      <c r="N13" s="2067"/>
      <c r="O13" s="2067"/>
      <c r="P13" s="2067"/>
      <c r="Q13" s="2067"/>
      <c r="R13" s="2067"/>
      <c r="S13" s="2067"/>
      <c r="T13" s="2067"/>
      <c r="U13" s="2065"/>
      <c r="V13" s="2065"/>
    </row>
    <row r="14" spans="1:22" s="1567" customFormat="1" ht="30.75" customHeight="1" x14ac:dyDescent="0.25">
      <c r="A14" s="2067"/>
      <c r="B14" s="2067"/>
      <c r="C14" s="2067"/>
      <c r="D14" s="2067"/>
      <c r="E14" s="2067"/>
      <c r="F14" s="2030"/>
      <c r="G14" s="2030"/>
      <c r="H14" s="2067"/>
      <c r="I14" s="2067"/>
      <c r="J14" s="2067"/>
      <c r="K14" s="2067"/>
      <c r="L14" s="2067"/>
      <c r="M14" s="2067" t="s">
        <v>34</v>
      </c>
      <c r="N14" s="2068" t="s">
        <v>2664</v>
      </c>
      <c r="O14" s="2068"/>
      <c r="P14" s="2068"/>
      <c r="Q14" s="2068"/>
      <c r="R14" s="2068"/>
      <c r="S14" s="2068"/>
      <c r="T14" s="2067"/>
      <c r="U14" s="2065"/>
      <c r="V14" s="2065"/>
    </row>
    <row r="15" spans="1:22" s="1567" customFormat="1" ht="33" customHeight="1" x14ac:dyDescent="0.25">
      <c r="A15" s="2067"/>
      <c r="B15" s="2067"/>
      <c r="C15" s="2067"/>
      <c r="D15" s="2067"/>
      <c r="E15" s="2067"/>
      <c r="F15" s="2030"/>
      <c r="G15" s="2030"/>
      <c r="H15" s="2067"/>
      <c r="I15" s="2067"/>
      <c r="J15" s="2067"/>
      <c r="K15" s="2067"/>
      <c r="L15" s="2067"/>
      <c r="M15" s="2067"/>
      <c r="N15" s="2067" t="s">
        <v>2665</v>
      </c>
      <c r="O15" s="2067"/>
      <c r="P15" s="2069" t="s">
        <v>2666</v>
      </c>
      <c r="Q15" s="2070"/>
      <c r="R15" s="2071"/>
      <c r="S15" s="2064" t="s">
        <v>2667</v>
      </c>
      <c r="T15" s="2067"/>
      <c r="U15" s="2065"/>
      <c r="V15" s="2065"/>
    </row>
    <row r="16" spans="1:22" s="1567" customFormat="1" ht="34.5" customHeight="1" x14ac:dyDescent="0.25">
      <c r="A16" s="2067"/>
      <c r="B16" s="2067"/>
      <c r="C16" s="2067"/>
      <c r="D16" s="2067"/>
      <c r="E16" s="2067"/>
      <c r="F16" s="2030"/>
      <c r="G16" s="2030"/>
      <c r="H16" s="2067"/>
      <c r="I16" s="2067"/>
      <c r="J16" s="2067"/>
      <c r="K16" s="2067"/>
      <c r="L16" s="2067"/>
      <c r="M16" s="2067"/>
      <c r="N16" s="2067" t="s">
        <v>2668</v>
      </c>
      <c r="O16" s="2067" t="s">
        <v>2669</v>
      </c>
      <c r="P16" s="2067" t="s">
        <v>2670</v>
      </c>
      <c r="Q16" s="2069" t="s">
        <v>2671</v>
      </c>
      <c r="R16" s="2071"/>
      <c r="S16" s="2072"/>
      <c r="T16" s="2067"/>
      <c r="U16" s="2065"/>
      <c r="V16" s="2065"/>
    </row>
    <row r="17" spans="1:22" s="1399" customFormat="1" ht="66.75" customHeight="1" x14ac:dyDescent="0.25">
      <c r="A17" s="2067"/>
      <c r="B17" s="2067"/>
      <c r="C17" s="2067"/>
      <c r="D17" s="2067"/>
      <c r="E17" s="2067"/>
      <c r="F17" s="2030"/>
      <c r="G17" s="2030"/>
      <c r="H17" s="2067"/>
      <c r="I17" s="2067"/>
      <c r="J17" s="2067"/>
      <c r="K17" s="2067"/>
      <c r="L17" s="2067"/>
      <c r="M17" s="2067"/>
      <c r="N17" s="2067"/>
      <c r="O17" s="2067"/>
      <c r="P17" s="2067"/>
      <c r="Q17" s="1875" t="s">
        <v>2668</v>
      </c>
      <c r="R17" s="1875" t="s">
        <v>2672</v>
      </c>
      <c r="S17" s="2073"/>
      <c r="T17" s="2067"/>
      <c r="U17" s="2066"/>
      <c r="V17" s="2066"/>
    </row>
    <row r="18" spans="1:22" s="1849" customFormat="1" ht="33" customHeight="1" x14ac:dyDescent="0.25">
      <c r="A18" s="1874">
        <v>1</v>
      </c>
      <c r="B18" s="1874">
        <v>2</v>
      </c>
      <c r="C18" s="1874">
        <v>3</v>
      </c>
      <c r="D18" s="1874">
        <v>4</v>
      </c>
      <c r="E18" s="1874">
        <v>5</v>
      </c>
      <c r="F18" s="1874">
        <v>6</v>
      </c>
      <c r="G18" s="1874">
        <v>7</v>
      </c>
      <c r="H18" s="1874">
        <v>8</v>
      </c>
      <c r="I18" s="1874">
        <v>9</v>
      </c>
      <c r="J18" s="1874">
        <v>10</v>
      </c>
      <c r="K18" s="1874">
        <v>11</v>
      </c>
      <c r="L18" s="1874">
        <v>12</v>
      </c>
      <c r="M18" s="1874">
        <v>13</v>
      </c>
      <c r="N18" s="1874">
        <v>14</v>
      </c>
      <c r="O18" s="1874">
        <v>15</v>
      </c>
      <c r="P18" s="1874">
        <v>16</v>
      </c>
      <c r="Q18" s="1874">
        <v>17</v>
      </c>
      <c r="R18" s="1874">
        <v>18</v>
      </c>
      <c r="S18" s="1874">
        <v>19</v>
      </c>
      <c r="T18" s="1874"/>
      <c r="U18" s="1873">
        <v>20</v>
      </c>
      <c r="V18" s="1873">
        <v>21</v>
      </c>
    </row>
    <row r="19" spans="1:22" s="1404" customFormat="1" ht="43.5" customHeight="1" x14ac:dyDescent="0.25">
      <c r="A19" s="1400"/>
      <c r="B19" s="1401" t="s">
        <v>2673</v>
      </c>
      <c r="C19" s="1402"/>
      <c r="D19" s="1402"/>
      <c r="E19" s="1402"/>
      <c r="F19" s="1402"/>
      <c r="G19" s="1402"/>
      <c r="H19" s="1402"/>
      <c r="I19" s="1400"/>
      <c r="J19" s="1400"/>
      <c r="K19" s="1400"/>
      <c r="L19" s="1400"/>
      <c r="M19" s="1403">
        <f>M20+M29</f>
        <v>621653</v>
      </c>
      <c r="N19" s="1403">
        <f t="shared" ref="N19:U19" si="0">N20+N29</f>
        <v>215089</v>
      </c>
      <c r="O19" s="1403">
        <f t="shared" si="0"/>
        <v>53813</v>
      </c>
      <c r="P19" s="1403">
        <f t="shared" si="0"/>
        <v>0</v>
      </c>
      <c r="Q19" s="1403">
        <f t="shared" si="0"/>
        <v>1269791.52</v>
      </c>
      <c r="R19" s="1403">
        <f t="shared" si="0"/>
        <v>1105433.52</v>
      </c>
      <c r="S19" s="1403">
        <f t="shared" si="0"/>
        <v>164358</v>
      </c>
      <c r="T19" s="1403">
        <f t="shared" si="0"/>
        <v>0</v>
      </c>
      <c r="U19" s="1403">
        <f t="shared" si="0"/>
        <v>146300</v>
      </c>
      <c r="V19" s="1403"/>
    </row>
    <row r="20" spans="1:22" s="1409" customFormat="1" ht="46.5" customHeight="1" x14ac:dyDescent="0.25">
      <c r="A20" s="1568" t="s">
        <v>39</v>
      </c>
      <c r="B20" s="1569" t="s">
        <v>3144</v>
      </c>
      <c r="C20" s="1402"/>
      <c r="D20" s="1402"/>
      <c r="E20" s="1402"/>
      <c r="F20" s="1402"/>
      <c r="G20" s="1402"/>
      <c r="H20" s="1402"/>
      <c r="I20" s="1568"/>
      <c r="J20" s="1568"/>
      <c r="K20" s="1568"/>
      <c r="L20" s="1568"/>
      <c r="M20" s="1403">
        <f>M21+M25</f>
        <v>277529</v>
      </c>
      <c r="N20" s="1403">
        <f t="shared" ref="N20:U20" si="1">N21+N25</f>
        <v>124420</v>
      </c>
      <c r="O20" s="1403">
        <f t="shared" si="1"/>
        <v>53813</v>
      </c>
      <c r="P20" s="1403">
        <f t="shared" si="1"/>
        <v>0</v>
      </c>
      <c r="Q20" s="1403">
        <f t="shared" si="1"/>
        <v>1016336.5199999999</v>
      </c>
      <c r="R20" s="1403">
        <f t="shared" si="1"/>
        <v>922103.5199999999</v>
      </c>
      <c r="S20" s="1403">
        <f t="shared" si="1"/>
        <v>94233</v>
      </c>
      <c r="T20" s="1403">
        <f t="shared" si="1"/>
        <v>0</v>
      </c>
      <c r="U20" s="1403">
        <f t="shared" si="1"/>
        <v>84511</v>
      </c>
      <c r="V20" s="1403"/>
    </row>
    <row r="21" spans="1:22" s="1409" customFormat="1" ht="49.5" customHeight="1" x14ac:dyDescent="0.25">
      <c r="A21" s="1568">
        <v>1</v>
      </c>
      <c r="B21" s="1438" t="s">
        <v>44</v>
      </c>
      <c r="C21" s="1402"/>
      <c r="D21" s="1402"/>
      <c r="E21" s="1402"/>
      <c r="F21" s="1402"/>
      <c r="G21" s="1402"/>
      <c r="H21" s="1402"/>
      <c r="I21" s="1568"/>
      <c r="J21" s="1568"/>
      <c r="K21" s="1568"/>
      <c r="L21" s="1568"/>
      <c r="M21" s="1403">
        <f>M22</f>
        <v>176625</v>
      </c>
      <c r="N21" s="1403">
        <f t="shared" ref="N21:U21" si="2">N22</f>
        <v>107625</v>
      </c>
      <c r="O21" s="1403">
        <f t="shared" si="2"/>
        <v>53813</v>
      </c>
      <c r="P21" s="1403">
        <f t="shared" si="2"/>
        <v>0</v>
      </c>
      <c r="Q21" s="1403">
        <f t="shared" si="2"/>
        <v>932227.5199999999</v>
      </c>
      <c r="R21" s="1403">
        <f t="shared" si="2"/>
        <v>863227.5199999999</v>
      </c>
      <c r="S21" s="1403">
        <f t="shared" si="2"/>
        <v>69000</v>
      </c>
      <c r="T21" s="1403">
        <f t="shared" si="2"/>
        <v>0</v>
      </c>
      <c r="U21" s="1403">
        <f t="shared" si="2"/>
        <v>69000</v>
      </c>
      <c r="V21" s="1403"/>
    </row>
    <row r="22" spans="1:22" s="1409" customFormat="1" ht="58.5" customHeight="1" x14ac:dyDescent="0.25">
      <c r="A22" s="1405"/>
      <c r="B22" s="1406" t="s">
        <v>2675</v>
      </c>
      <c r="C22" s="1407"/>
      <c r="D22" s="1406"/>
      <c r="E22" s="1406"/>
      <c r="F22" s="1406"/>
      <c r="G22" s="1406"/>
      <c r="H22" s="1406"/>
      <c r="I22" s="1876"/>
      <c r="J22" s="1876"/>
      <c r="K22" s="1876"/>
      <c r="L22" s="1876"/>
      <c r="M22" s="1408">
        <f>M24</f>
        <v>176625</v>
      </c>
      <c r="N22" s="1408">
        <f>N24</f>
        <v>107625</v>
      </c>
      <c r="O22" s="1408">
        <f>O24</f>
        <v>53813</v>
      </c>
      <c r="P22" s="1408"/>
      <c r="Q22" s="1408">
        <f t="shared" ref="Q22:S22" si="3">Q24</f>
        <v>932227.5199999999</v>
      </c>
      <c r="R22" s="1408">
        <f t="shared" si="3"/>
        <v>863227.5199999999</v>
      </c>
      <c r="S22" s="1408">
        <f t="shared" si="3"/>
        <v>69000</v>
      </c>
      <c r="T22" s="1408"/>
      <c r="U22" s="1408">
        <f t="shared" ref="U22" si="4">U24</f>
        <v>69000</v>
      </c>
      <c r="V22" s="1408"/>
    </row>
    <row r="23" spans="1:22" ht="43.5" customHeight="1" x14ac:dyDescent="0.25">
      <c r="A23" s="1410"/>
      <c r="B23" s="1406" t="s">
        <v>2676</v>
      </c>
      <c r="C23" s="1407"/>
      <c r="D23" s="1406"/>
      <c r="E23" s="1406"/>
      <c r="F23" s="1406"/>
      <c r="G23" s="1406"/>
      <c r="H23" s="1406"/>
      <c r="I23" s="1876"/>
      <c r="J23" s="1876"/>
      <c r="K23" s="1876"/>
      <c r="L23" s="1876"/>
      <c r="M23" s="1408"/>
      <c r="N23" s="1408"/>
      <c r="O23" s="1408"/>
      <c r="P23" s="1408"/>
      <c r="Q23" s="1411"/>
      <c r="R23" s="1408"/>
      <c r="S23" s="1408"/>
      <c r="T23" s="1408"/>
      <c r="U23" s="1408"/>
      <c r="V23" s="1408"/>
    </row>
    <row r="24" spans="1:22" s="1409" customFormat="1" ht="279" customHeight="1" x14ac:dyDescent="0.25">
      <c r="A24" s="1412" t="s">
        <v>2781</v>
      </c>
      <c r="B24" s="1413" t="s">
        <v>2677</v>
      </c>
      <c r="C24" s="1414" t="s">
        <v>2678</v>
      </c>
      <c r="D24" s="1414" t="s">
        <v>2679</v>
      </c>
      <c r="E24" s="1414" t="s">
        <v>2680</v>
      </c>
      <c r="F24" s="1415">
        <v>7388314</v>
      </c>
      <c r="G24" s="1414">
        <v>278</v>
      </c>
      <c r="H24" s="1414" t="s">
        <v>2681</v>
      </c>
      <c r="I24" s="1414" t="s">
        <v>698</v>
      </c>
      <c r="J24" s="1414" t="s">
        <v>2682</v>
      </c>
      <c r="K24" s="1414" t="s">
        <v>2683</v>
      </c>
      <c r="L24" s="1414" t="s">
        <v>2684</v>
      </c>
      <c r="M24" s="1416">
        <f>N24+S24</f>
        <v>176625</v>
      </c>
      <c r="N24" s="1416">
        <v>107625</v>
      </c>
      <c r="O24" s="1416">
        <v>53813</v>
      </c>
      <c r="P24" s="1417" t="s">
        <v>2685</v>
      </c>
      <c r="Q24" s="1416">
        <f>40880*22.804</f>
        <v>932227.5199999999</v>
      </c>
      <c r="R24" s="1416">
        <f>Q24-S24</f>
        <v>863227.5199999999</v>
      </c>
      <c r="S24" s="1416">
        <v>69000</v>
      </c>
      <c r="T24" s="1570"/>
      <c r="U24" s="1418">
        <v>69000</v>
      </c>
      <c r="V24" s="1419" t="s">
        <v>2686</v>
      </c>
    </row>
    <row r="25" spans="1:22" s="1855" customFormat="1" ht="119.25" customHeight="1" x14ac:dyDescent="0.25">
      <c r="A25" s="1848" t="s">
        <v>56</v>
      </c>
      <c r="B25" s="1850" t="s">
        <v>731</v>
      </c>
      <c r="C25" s="1851"/>
      <c r="D25" s="1851"/>
      <c r="E25" s="1851"/>
      <c r="F25" s="1852"/>
      <c r="G25" s="1851"/>
      <c r="H25" s="1851"/>
      <c r="I25" s="1851"/>
      <c r="J25" s="1851"/>
      <c r="K25" s="1851"/>
      <c r="L25" s="1851"/>
      <c r="M25" s="1853">
        <f>M26</f>
        <v>100904</v>
      </c>
      <c r="N25" s="1853">
        <f t="shared" ref="N25:U25" si="5">N26</f>
        <v>16795</v>
      </c>
      <c r="O25" s="1853">
        <f t="shared" si="5"/>
        <v>0</v>
      </c>
      <c r="P25" s="1853">
        <f t="shared" si="5"/>
        <v>0</v>
      </c>
      <c r="Q25" s="1853">
        <f t="shared" si="5"/>
        <v>84109</v>
      </c>
      <c r="R25" s="1853">
        <f t="shared" si="5"/>
        <v>58876</v>
      </c>
      <c r="S25" s="1853">
        <f t="shared" si="5"/>
        <v>25233</v>
      </c>
      <c r="T25" s="1853">
        <f t="shared" si="5"/>
        <v>0</v>
      </c>
      <c r="U25" s="1853">
        <f t="shared" si="5"/>
        <v>15511</v>
      </c>
      <c r="V25" s="1854"/>
    </row>
    <row r="26" spans="1:22" s="1409" customFormat="1" ht="68.25" customHeight="1" x14ac:dyDescent="0.25">
      <c r="A26" s="1405"/>
      <c r="B26" s="1406" t="s">
        <v>2687</v>
      </c>
      <c r="C26" s="1407"/>
      <c r="D26" s="1406"/>
      <c r="E26" s="1406"/>
      <c r="F26" s="1406"/>
      <c r="G26" s="1406"/>
      <c r="H26" s="1406"/>
      <c r="I26" s="1876"/>
      <c r="J26" s="1876"/>
      <c r="K26" s="1876"/>
      <c r="L26" s="1876"/>
      <c r="M26" s="1408">
        <f>M28</f>
        <v>100904</v>
      </c>
      <c r="N26" s="1408">
        <f t="shared" ref="N26:S26" si="6">N28</f>
        <v>16795</v>
      </c>
      <c r="O26" s="1408"/>
      <c r="P26" s="1408"/>
      <c r="Q26" s="1408">
        <f t="shared" si="6"/>
        <v>84109</v>
      </c>
      <c r="R26" s="1408">
        <f t="shared" si="6"/>
        <v>58876</v>
      </c>
      <c r="S26" s="1408">
        <f t="shared" si="6"/>
        <v>25233</v>
      </c>
      <c r="T26" s="1408"/>
      <c r="U26" s="1408">
        <f t="shared" ref="U26" si="7">U28</f>
        <v>15511</v>
      </c>
      <c r="V26" s="1408"/>
    </row>
    <row r="27" spans="1:22" ht="36" customHeight="1" x14ac:dyDescent="0.25">
      <c r="A27" s="1410"/>
      <c r="B27" s="1406" t="s">
        <v>2676</v>
      </c>
      <c r="C27" s="1407"/>
      <c r="D27" s="1406"/>
      <c r="E27" s="1406"/>
      <c r="F27" s="1406"/>
      <c r="G27" s="1406"/>
      <c r="H27" s="1406"/>
      <c r="I27" s="1876"/>
      <c r="J27" s="1876"/>
      <c r="K27" s="1876"/>
      <c r="L27" s="1876"/>
      <c r="M27" s="1408"/>
      <c r="N27" s="1408"/>
      <c r="O27" s="1408"/>
      <c r="P27" s="1408"/>
      <c r="Q27" s="1411"/>
      <c r="R27" s="1408"/>
      <c r="S27" s="1408"/>
      <c r="T27" s="1408"/>
      <c r="U27" s="1408"/>
      <c r="V27" s="1408"/>
    </row>
    <row r="28" spans="1:22" s="1404" customFormat="1" ht="152.25" customHeight="1" x14ac:dyDescent="0.25">
      <c r="A28" s="1412" t="s">
        <v>2825</v>
      </c>
      <c r="B28" s="1413" t="s">
        <v>2688</v>
      </c>
      <c r="C28" s="1414" t="s">
        <v>2689</v>
      </c>
      <c r="D28" s="1420" t="s">
        <v>176</v>
      </c>
      <c r="E28" s="1414" t="s">
        <v>2680</v>
      </c>
      <c r="F28" s="1415">
        <v>7686806</v>
      </c>
      <c r="G28" s="1420">
        <v>332</v>
      </c>
      <c r="H28" s="1414" t="s">
        <v>2690</v>
      </c>
      <c r="I28" s="1875" t="s">
        <v>332</v>
      </c>
      <c r="J28" s="1414" t="s">
        <v>2691</v>
      </c>
      <c r="K28" s="1414" t="s">
        <v>2692</v>
      </c>
      <c r="L28" s="1421" t="s">
        <v>2693</v>
      </c>
      <c r="M28" s="1422">
        <v>100904</v>
      </c>
      <c r="N28" s="1423">
        <v>16795</v>
      </c>
      <c r="O28" s="1424"/>
      <c r="P28" s="1400" t="s">
        <v>2694</v>
      </c>
      <c r="Q28" s="1425">
        <v>84109</v>
      </c>
      <c r="R28" s="1416">
        <v>58876</v>
      </c>
      <c r="S28" s="1416">
        <f>Q28-R28</f>
        <v>25233</v>
      </c>
      <c r="T28" s="1571"/>
      <c r="U28" s="1418">
        <v>15511</v>
      </c>
      <c r="V28" s="1418"/>
    </row>
    <row r="29" spans="1:22" ht="54" customHeight="1" x14ac:dyDescent="0.25">
      <c r="A29" s="1568" t="s">
        <v>41</v>
      </c>
      <c r="B29" s="1569" t="s">
        <v>3145</v>
      </c>
      <c r="C29" s="1402"/>
      <c r="D29" s="1402"/>
      <c r="E29" s="1402"/>
      <c r="F29" s="1402"/>
      <c r="G29" s="1402"/>
      <c r="H29" s="1402"/>
      <c r="I29" s="1568"/>
      <c r="J29" s="1568"/>
      <c r="K29" s="1568"/>
      <c r="L29" s="1568"/>
      <c r="M29" s="1403">
        <f>M30</f>
        <v>344124</v>
      </c>
      <c r="N29" s="1403">
        <f>N30</f>
        <v>90669</v>
      </c>
      <c r="O29" s="1403">
        <f>O32+O35</f>
        <v>0</v>
      </c>
      <c r="P29" s="1403"/>
      <c r="Q29" s="1403">
        <f t="shared" ref="Q29:U30" si="8">Q30</f>
        <v>253455</v>
      </c>
      <c r="R29" s="1403">
        <f t="shared" si="8"/>
        <v>183330</v>
      </c>
      <c r="S29" s="1403">
        <f t="shared" si="8"/>
        <v>70125</v>
      </c>
      <c r="T29" s="1403">
        <f t="shared" si="8"/>
        <v>0</v>
      </c>
      <c r="U29" s="1403">
        <f t="shared" si="8"/>
        <v>61789</v>
      </c>
      <c r="V29" s="1403"/>
    </row>
    <row r="30" spans="1:22" ht="70.5" customHeight="1" x14ac:dyDescent="0.25">
      <c r="A30" s="1568">
        <v>1</v>
      </c>
      <c r="B30" s="1850" t="s">
        <v>731</v>
      </c>
      <c r="C30" s="1402"/>
      <c r="D30" s="1402"/>
      <c r="E30" s="1402"/>
      <c r="F30" s="1402"/>
      <c r="G30" s="1402"/>
      <c r="H30" s="1402"/>
      <c r="I30" s="1568"/>
      <c r="J30" s="1568"/>
      <c r="K30" s="1568"/>
      <c r="L30" s="1568"/>
      <c r="M30" s="1403">
        <f>M31</f>
        <v>344124</v>
      </c>
      <c r="N30" s="1403">
        <f>N31</f>
        <v>90669</v>
      </c>
      <c r="O30" s="1403"/>
      <c r="P30" s="1403"/>
      <c r="Q30" s="1403">
        <f t="shared" si="8"/>
        <v>253455</v>
      </c>
      <c r="R30" s="1403">
        <f t="shared" si="8"/>
        <v>183330</v>
      </c>
      <c r="S30" s="1403">
        <f t="shared" si="8"/>
        <v>70125</v>
      </c>
      <c r="T30" s="1403">
        <f t="shared" si="8"/>
        <v>0</v>
      </c>
      <c r="U30" s="1403">
        <f t="shared" si="8"/>
        <v>61789</v>
      </c>
      <c r="V30" s="1403"/>
    </row>
    <row r="31" spans="1:22" ht="278.25" customHeight="1" x14ac:dyDescent="0.25">
      <c r="A31" s="1412" t="s">
        <v>2781</v>
      </c>
      <c r="B31" s="1413" t="s">
        <v>872</v>
      </c>
      <c r="C31" s="1414" t="s">
        <v>2696</v>
      </c>
      <c r="D31" s="1420" t="s">
        <v>2697</v>
      </c>
      <c r="E31" s="1414" t="s">
        <v>2680</v>
      </c>
      <c r="F31" s="1415">
        <v>7232858</v>
      </c>
      <c r="G31" s="1420">
        <v>262</v>
      </c>
      <c r="H31" s="1414" t="s">
        <v>873</v>
      </c>
      <c r="I31" s="1875" t="s">
        <v>290</v>
      </c>
      <c r="J31" s="1414" t="s">
        <v>2698</v>
      </c>
      <c r="K31" s="1414" t="s">
        <v>2699</v>
      </c>
      <c r="L31" s="1421" t="s">
        <v>2700</v>
      </c>
      <c r="M31" s="1422">
        <v>344124</v>
      </c>
      <c r="N31" s="1423">
        <v>90669</v>
      </c>
      <c r="O31" s="1424"/>
      <c r="P31" s="1400" t="s">
        <v>2701</v>
      </c>
      <c r="Q31" s="1425">
        <v>253455</v>
      </c>
      <c r="R31" s="1416">
        <v>183330</v>
      </c>
      <c r="S31" s="1416">
        <f>Q31-R31</f>
        <v>70125</v>
      </c>
      <c r="T31" s="1571"/>
      <c r="U31" s="1418">
        <v>61789</v>
      </c>
      <c r="V31" s="1418"/>
    </row>
    <row r="32" spans="1:22" s="1393" customFormat="1" ht="14.25" customHeight="1" x14ac:dyDescent="0.25">
      <c r="A32" s="1426"/>
      <c r="B32" s="1426"/>
      <c r="C32" s="1426"/>
      <c r="D32" s="1426"/>
      <c r="E32" s="1426"/>
      <c r="F32" s="1426"/>
      <c r="G32" s="1426"/>
      <c r="H32" s="1426"/>
      <c r="I32" s="1426"/>
      <c r="J32" s="1426"/>
      <c r="K32" s="1426"/>
      <c r="L32" s="1426"/>
      <c r="M32" s="1426"/>
      <c r="N32" s="1426"/>
      <c r="O32" s="1426"/>
      <c r="P32" s="1426"/>
      <c r="Q32" s="1426"/>
      <c r="R32" s="1426"/>
      <c r="S32" s="1426"/>
      <c r="T32" s="1426"/>
      <c r="U32" s="1426"/>
      <c r="V32" s="1426"/>
    </row>
    <row r="33" spans="1:22" x14ac:dyDescent="0.25">
      <c r="A33" s="1394"/>
      <c r="B33" s="1394"/>
      <c r="C33" s="1394"/>
      <c r="D33" s="1394"/>
      <c r="E33" s="1394"/>
      <c r="F33" s="1394"/>
      <c r="G33" s="1394"/>
      <c r="H33" s="1394"/>
      <c r="I33" s="1394"/>
      <c r="J33" s="1394"/>
      <c r="K33" s="1394"/>
      <c r="L33" s="1394"/>
      <c r="M33" s="1394"/>
      <c r="N33" s="1394"/>
      <c r="O33" s="1394"/>
      <c r="P33" s="1394"/>
      <c r="Q33" s="1394"/>
      <c r="R33" s="1394"/>
      <c r="S33" s="1394"/>
      <c r="T33" s="1394"/>
      <c r="U33" s="1394"/>
      <c r="V33" s="1394"/>
    </row>
    <row r="34" spans="1:22" x14ac:dyDescent="0.25">
      <c r="A34" s="1389"/>
      <c r="B34" s="1389"/>
      <c r="C34" s="1389"/>
      <c r="D34" s="1389"/>
      <c r="E34" s="1389"/>
      <c r="F34" s="1389"/>
      <c r="G34" s="1389"/>
      <c r="H34" s="1389"/>
      <c r="I34" s="1389"/>
      <c r="J34" s="1389"/>
      <c r="K34" s="1389"/>
      <c r="L34" s="1389"/>
      <c r="M34" s="1389"/>
      <c r="N34" s="1389"/>
      <c r="O34" s="1389"/>
      <c r="P34" s="1389"/>
      <c r="Q34" s="1389"/>
      <c r="R34" s="1389"/>
      <c r="S34" s="1389"/>
      <c r="T34" s="1389"/>
      <c r="U34" s="1389"/>
      <c r="V34" s="1389"/>
    </row>
    <row r="35" spans="1:22" x14ac:dyDescent="0.25">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row>
    <row r="36" spans="1:22" x14ac:dyDescent="0.25">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row>
    <row r="37" spans="1:22" x14ac:dyDescent="0.25">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row>
    <row r="38" spans="1:22" x14ac:dyDescent="0.25">
      <c r="A38" s="1389"/>
      <c r="B38" s="1389"/>
      <c r="C38" s="1389"/>
      <c r="D38" s="1389"/>
      <c r="E38" s="1389"/>
      <c r="F38" s="1389"/>
      <c r="G38" s="1389"/>
      <c r="H38" s="1389"/>
      <c r="I38" s="1389"/>
      <c r="J38" s="1389"/>
      <c r="K38" s="1389"/>
      <c r="L38" s="1389"/>
      <c r="M38" s="1389"/>
      <c r="N38" s="1389"/>
      <c r="O38" s="1389"/>
      <c r="P38" s="1389"/>
      <c r="Q38" s="1389"/>
      <c r="R38" s="1389"/>
      <c r="S38" s="1389"/>
      <c r="T38" s="1389"/>
      <c r="U38" s="1389"/>
      <c r="V38" s="1389"/>
    </row>
    <row r="39" spans="1:22" x14ac:dyDescent="0.25">
      <c r="A39" s="1389"/>
      <c r="B39" s="1389"/>
      <c r="C39" s="1389"/>
      <c r="D39" s="1389"/>
      <c r="E39" s="1389"/>
      <c r="F39" s="1389"/>
      <c r="G39" s="1389"/>
      <c r="H39" s="1389"/>
      <c r="I39" s="1389"/>
      <c r="J39" s="1389"/>
      <c r="K39" s="1389"/>
      <c r="L39" s="1389"/>
      <c r="M39" s="1389"/>
      <c r="N39" s="1389"/>
      <c r="O39" s="1389"/>
      <c r="P39" s="1389"/>
      <c r="Q39" s="1389"/>
      <c r="R39" s="1389"/>
      <c r="S39" s="1389"/>
      <c r="T39" s="1389"/>
      <c r="U39" s="1389"/>
      <c r="V39" s="1389"/>
    </row>
    <row r="40" spans="1:22" x14ac:dyDescent="0.25">
      <c r="A40" s="1389"/>
      <c r="B40" s="1389"/>
      <c r="C40" s="1389"/>
      <c r="D40" s="1389"/>
      <c r="E40" s="1389"/>
      <c r="F40" s="1389"/>
      <c r="G40" s="1389"/>
      <c r="H40" s="1389"/>
      <c r="I40" s="1389"/>
      <c r="J40" s="1389"/>
      <c r="K40" s="1389"/>
      <c r="L40" s="1389"/>
      <c r="M40" s="1389"/>
      <c r="N40" s="1389"/>
      <c r="O40" s="1389"/>
      <c r="P40" s="1389"/>
      <c r="Q40" s="1389"/>
      <c r="R40" s="1389"/>
      <c r="S40" s="1389"/>
      <c r="T40" s="1389"/>
      <c r="U40" s="1389"/>
      <c r="V40" s="1389"/>
    </row>
    <row r="41" spans="1:22" x14ac:dyDescent="0.25">
      <c r="A41" s="1389"/>
      <c r="B41" s="1389"/>
      <c r="C41" s="1389"/>
      <c r="D41" s="1389"/>
      <c r="E41" s="1389"/>
      <c r="F41" s="1389"/>
      <c r="G41" s="1389"/>
      <c r="H41" s="1389"/>
      <c r="I41" s="1389"/>
      <c r="J41" s="1389"/>
      <c r="K41" s="1389"/>
      <c r="L41" s="1389"/>
      <c r="M41" s="1389"/>
      <c r="N41" s="1389"/>
      <c r="O41" s="1389"/>
      <c r="P41" s="1389"/>
      <c r="Q41" s="1389"/>
      <c r="R41" s="1389"/>
      <c r="S41" s="1389"/>
      <c r="T41" s="1389"/>
      <c r="U41" s="1389"/>
      <c r="V41" s="1389"/>
    </row>
    <row r="42" spans="1:22" x14ac:dyDescent="0.25">
      <c r="A42" s="1389"/>
      <c r="B42" s="1389"/>
      <c r="C42" s="1389"/>
      <c r="D42" s="1389"/>
      <c r="E42" s="1389"/>
      <c r="F42" s="1389"/>
      <c r="G42" s="1389"/>
      <c r="H42" s="1389"/>
      <c r="I42" s="1389"/>
      <c r="J42" s="1389"/>
      <c r="K42" s="1389"/>
      <c r="L42" s="1389"/>
      <c r="M42" s="1389"/>
      <c r="N42" s="1389"/>
      <c r="O42" s="1389"/>
      <c r="P42" s="1389"/>
      <c r="Q42" s="1389"/>
      <c r="R42" s="1389"/>
      <c r="S42" s="1389"/>
      <c r="T42" s="1389"/>
      <c r="U42" s="1389"/>
      <c r="V42" s="1389"/>
    </row>
    <row r="43" spans="1:22" x14ac:dyDescent="0.25">
      <c r="A43" s="1389"/>
      <c r="B43" s="1389"/>
      <c r="C43" s="1389"/>
      <c r="D43" s="1389"/>
      <c r="E43" s="1389"/>
      <c r="F43" s="1389"/>
      <c r="G43" s="1389"/>
      <c r="H43" s="1389"/>
      <c r="I43" s="1389"/>
      <c r="J43" s="1389"/>
      <c r="K43" s="1389"/>
      <c r="L43" s="1389"/>
      <c r="M43" s="1389"/>
      <c r="N43" s="1389"/>
      <c r="O43" s="1389"/>
      <c r="P43" s="1389"/>
      <c r="Q43" s="1389"/>
      <c r="R43" s="1389"/>
      <c r="S43" s="1389"/>
      <c r="T43" s="1389"/>
      <c r="U43" s="1389"/>
      <c r="V43" s="1389"/>
    </row>
    <row r="44" spans="1:22" x14ac:dyDescent="0.25">
      <c r="A44" s="1389"/>
      <c r="B44" s="1389"/>
      <c r="C44" s="1389"/>
      <c r="D44" s="1389"/>
      <c r="E44" s="1389"/>
      <c r="F44" s="1389"/>
      <c r="G44" s="1389"/>
      <c r="H44" s="1389"/>
      <c r="I44" s="1389"/>
      <c r="J44" s="1389"/>
      <c r="K44" s="1389"/>
      <c r="L44" s="1389"/>
      <c r="M44" s="1389"/>
      <c r="N44" s="1389"/>
      <c r="O44" s="1389"/>
      <c r="P44" s="1389"/>
      <c r="Q44" s="1389"/>
      <c r="R44" s="1389"/>
      <c r="S44" s="1389"/>
      <c r="T44" s="1389"/>
      <c r="U44" s="1389"/>
      <c r="V44" s="1389"/>
    </row>
    <row r="45" spans="1:22" x14ac:dyDescent="0.25">
      <c r="A45" s="1389"/>
      <c r="B45" s="1389"/>
      <c r="C45" s="1389"/>
      <c r="D45" s="1389"/>
      <c r="E45" s="1389"/>
      <c r="F45" s="1389"/>
      <c r="G45" s="1389"/>
      <c r="H45" s="1389"/>
      <c r="I45" s="1389"/>
      <c r="J45" s="1389"/>
      <c r="K45" s="1389"/>
      <c r="L45" s="1389"/>
      <c r="M45" s="1389"/>
      <c r="N45" s="1389"/>
      <c r="O45" s="1389"/>
      <c r="P45" s="1389"/>
      <c r="Q45" s="1389"/>
      <c r="R45" s="1389"/>
      <c r="S45" s="1389"/>
      <c r="T45" s="1389"/>
      <c r="U45" s="1389"/>
      <c r="V45" s="1389"/>
    </row>
    <row r="46" spans="1:22" x14ac:dyDescent="0.25">
      <c r="A46" s="1389"/>
      <c r="B46" s="1389"/>
      <c r="C46" s="1389"/>
      <c r="D46" s="1389"/>
      <c r="E46" s="1389"/>
      <c r="F46" s="1389"/>
      <c r="G46" s="1389"/>
      <c r="H46" s="1389"/>
      <c r="I46" s="1389"/>
      <c r="J46" s="1389"/>
      <c r="K46" s="1389"/>
      <c r="L46" s="1389"/>
      <c r="M46" s="1389"/>
      <c r="N46" s="1389"/>
      <c r="O46" s="1389"/>
      <c r="P46" s="1389"/>
      <c r="Q46" s="1389"/>
      <c r="R46" s="1389"/>
      <c r="S46" s="1389"/>
      <c r="T46" s="1389"/>
      <c r="U46" s="1389"/>
      <c r="V46" s="1389"/>
    </row>
    <row r="47" spans="1:22" x14ac:dyDescent="0.25">
      <c r="A47" s="1389"/>
      <c r="B47" s="1389"/>
      <c r="C47" s="1389"/>
      <c r="D47" s="1389"/>
      <c r="E47" s="1389"/>
      <c r="F47" s="1389"/>
      <c r="G47" s="1389"/>
      <c r="H47" s="1389"/>
      <c r="I47" s="1389"/>
      <c r="J47" s="1389"/>
      <c r="K47" s="1389"/>
      <c r="L47" s="1389"/>
      <c r="M47" s="1389"/>
      <c r="N47" s="1389"/>
      <c r="O47" s="1389"/>
      <c r="P47" s="1389"/>
      <c r="Q47" s="1389"/>
      <c r="R47" s="1389"/>
      <c r="S47" s="1389"/>
      <c r="T47" s="1389"/>
      <c r="U47" s="1389"/>
      <c r="V47" s="1389"/>
    </row>
    <row r="48" spans="1:22" x14ac:dyDescent="0.25">
      <c r="A48" s="1389"/>
      <c r="B48" s="1389"/>
      <c r="C48" s="1389"/>
      <c r="D48" s="1389"/>
      <c r="E48" s="1389"/>
      <c r="F48" s="1389"/>
      <c r="G48" s="1389"/>
      <c r="H48" s="1389"/>
      <c r="I48" s="1389"/>
      <c r="J48" s="1389"/>
      <c r="K48" s="1389"/>
      <c r="L48" s="1389"/>
      <c r="M48" s="1389"/>
      <c r="N48" s="1389"/>
      <c r="O48" s="1389"/>
      <c r="P48" s="1389"/>
      <c r="Q48" s="1389"/>
      <c r="R48" s="1389"/>
      <c r="S48" s="1389"/>
      <c r="T48" s="1389"/>
      <c r="U48" s="1389"/>
      <c r="V48" s="1389"/>
    </row>
    <row r="49" spans="1:22" x14ac:dyDescent="0.25">
      <c r="A49" s="1389"/>
      <c r="B49" s="1389"/>
      <c r="C49" s="1389"/>
      <c r="D49" s="1389"/>
      <c r="E49" s="1389"/>
      <c r="F49" s="1389"/>
      <c r="G49" s="1389"/>
      <c r="H49" s="1389"/>
      <c r="I49" s="1389"/>
      <c r="J49" s="1389"/>
      <c r="K49" s="1389"/>
      <c r="L49" s="1389"/>
      <c r="M49" s="1389"/>
      <c r="N49" s="1389"/>
      <c r="O49" s="1389"/>
      <c r="P49" s="1389"/>
      <c r="Q49" s="1389"/>
      <c r="R49" s="1389"/>
      <c r="S49" s="1389"/>
      <c r="T49" s="1389"/>
      <c r="U49" s="1389"/>
      <c r="V49" s="1389"/>
    </row>
    <row r="50" spans="1:22" x14ac:dyDescent="0.25">
      <c r="A50" s="1389"/>
      <c r="B50" s="1389"/>
      <c r="C50" s="1389"/>
      <c r="D50" s="1389"/>
      <c r="E50" s="1389"/>
      <c r="F50" s="1389"/>
      <c r="G50" s="1389"/>
      <c r="H50" s="1389"/>
      <c r="I50" s="1389"/>
      <c r="J50" s="1389"/>
      <c r="K50" s="1389"/>
      <c r="L50" s="1389"/>
      <c r="M50" s="1389"/>
      <c r="N50" s="1389"/>
      <c r="O50" s="1389"/>
      <c r="P50" s="1389"/>
      <c r="Q50" s="1389"/>
      <c r="R50" s="1389"/>
      <c r="S50" s="1389"/>
      <c r="T50" s="1389"/>
      <c r="U50" s="1389"/>
      <c r="V50" s="1389"/>
    </row>
    <row r="51" spans="1:22" x14ac:dyDescent="0.25">
      <c r="A51" s="1389"/>
      <c r="B51" s="1389"/>
      <c r="C51" s="1389"/>
      <c r="D51" s="1389"/>
      <c r="E51" s="1389"/>
      <c r="F51" s="1389"/>
      <c r="G51" s="1389"/>
      <c r="H51" s="1389"/>
      <c r="I51" s="1389"/>
      <c r="J51" s="1389"/>
      <c r="K51" s="1389"/>
      <c r="L51" s="1389"/>
      <c r="M51" s="1389"/>
      <c r="N51" s="1389"/>
      <c r="O51" s="1389"/>
      <c r="P51" s="1389"/>
      <c r="Q51" s="1389"/>
      <c r="R51" s="1389"/>
      <c r="S51" s="1389"/>
      <c r="T51" s="1389"/>
      <c r="U51" s="1389"/>
      <c r="V51" s="1389"/>
    </row>
    <row r="52" spans="1:22" x14ac:dyDescent="0.25">
      <c r="A52" s="1389"/>
      <c r="B52" s="1389"/>
      <c r="C52" s="1389"/>
      <c r="D52" s="1389"/>
      <c r="E52" s="1389"/>
      <c r="F52" s="1389"/>
      <c r="G52" s="1389"/>
      <c r="H52" s="1389"/>
      <c r="I52" s="1389"/>
      <c r="J52" s="1389"/>
      <c r="K52" s="1389"/>
      <c r="L52" s="1389"/>
      <c r="M52" s="1389"/>
      <c r="N52" s="1389"/>
      <c r="O52" s="1389"/>
      <c r="P52" s="1389"/>
      <c r="Q52" s="1389"/>
      <c r="R52" s="1389"/>
      <c r="S52" s="1389"/>
      <c r="T52" s="1389"/>
      <c r="U52" s="1389"/>
      <c r="V52" s="1389"/>
    </row>
    <row r="53" spans="1:22" x14ac:dyDescent="0.25">
      <c r="A53" s="1389"/>
      <c r="B53" s="1389"/>
      <c r="C53" s="1389"/>
      <c r="D53" s="1389"/>
      <c r="E53" s="1389"/>
      <c r="F53" s="1389"/>
      <c r="G53" s="1389"/>
      <c r="H53" s="1389"/>
      <c r="I53" s="1389"/>
      <c r="J53" s="1389"/>
      <c r="K53" s="1389"/>
      <c r="L53" s="1389"/>
      <c r="M53" s="1389"/>
      <c r="N53" s="1389"/>
      <c r="O53" s="1389"/>
      <c r="P53" s="1389"/>
      <c r="Q53" s="1389"/>
      <c r="R53" s="1389"/>
      <c r="S53" s="1389"/>
      <c r="T53" s="1389"/>
      <c r="U53" s="1389"/>
      <c r="V53" s="1389"/>
    </row>
    <row r="54" spans="1:22" x14ac:dyDescent="0.25">
      <c r="A54" s="1389"/>
      <c r="B54" s="1389"/>
      <c r="C54" s="1389"/>
      <c r="D54" s="1389"/>
      <c r="E54" s="1389"/>
      <c r="F54" s="1389"/>
      <c r="G54" s="1389"/>
      <c r="H54" s="1389"/>
      <c r="I54" s="1389"/>
      <c r="J54" s="1389"/>
      <c r="K54" s="1389"/>
      <c r="L54" s="1389"/>
      <c r="M54" s="1389"/>
      <c r="N54" s="1389"/>
      <c r="O54" s="1389"/>
      <c r="P54" s="1389"/>
      <c r="Q54" s="1389"/>
      <c r="R54" s="1389"/>
      <c r="S54" s="1389"/>
      <c r="T54" s="1389"/>
      <c r="U54" s="1389"/>
      <c r="V54" s="1389"/>
    </row>
    <row r="55" spans="1:22" x14ac:dyDescent="0.25">
      <c r="A55" s="1389"/>
      <c r="B55" s="1389"/>
      <c r="C55" s="1389"/>
      <c r="D55" s="1389"/>
      <c r="E55" s="1389"/>
      <c r="F55" s="1389"/>
      <c r="G55" s="1389"/>
      <c r="H55" s="1389"/>
      <c r="I55" s="1389"/>
      <c r="J55" s="1389"/>
      <c r="K55" s="1389"/>
      <c r="L55" s="1389"/>
      <c r="M55" s="1389"/>
      <c r="N55" s="1389"/>
      <c r="O55" s="1389"/>
      <c r="P55" s="1389"/>
      <c r="Q55" s="1389"/>
      <c r="R55" s="1389"/>
      <c r="S55" s="1389"/>
      <c r="T55" s="1389"/>
      <c r="U55" s="1389"/>
      <c r="V55" s="1389"/>
    </row>
    <row r="56" spans="1:22" x14ac:dyDescent="0.25">
      <c r="A56" s="1389"/>
      <c r="B56" s="1389"/>
      <c r="C56" s="1389"/>
      <c r="D56" s="1389"/>
      <c r="E56" s="1389"/>
      <c r="F56" s="1389"/>
      <c r="G56" s="1389"/>
      <c r="H56" s="1389"/>
      <c r="I56" s="1389"/>
      <c r="J56" s="1389"/>
      <c r="K56" s="1389"/>
      <c r="L56" s="1389"/>
      <c r="M56" s="1389"/>
      <c r="N56" s="1389"/>
      <c r="O56" s="1389"/>
      <c r="P56" s="1389"/>
      <c r="Q56" s="1389"/>
      <c r="R56" s="1389"/>
      <c r="S56" s="1389"/>
      <c r="T56" s="1389"/>
      <c r="U56" s="1389"/>
      <c r="V56" s="1389"/>
    </row>
    <row r="57" spans="1:22" x14ac:dyDescent="0.25">
      <c r="A57" s="1389"/>
      <c r="B57" s="1389"/>
      <c r="C57" s="1389"/>
      <c r="D57" s="1389"/>
      <c r="E57" s="1389"/>
      <c r="F57" s="1389"/>
      <c r="G57" s="1389"/>
      <c r="H57" s="1389"/>
      <c r="I57" s="1389"/>
      <c r="J57" s="1389"/>
      <c r="K57" s="1389"/>
      <c r="L57" s="1389"/>
      <c r="M57" s="1389"/>
      <c r="N57" s="1389"/>
      <c r="O57" s="1389"/>
      <c r="P57" s="1389"/>
      <c r="Q57" s="1389"/>
      <c r="R57" s="1389"/>
      <c r="S57" s="1389"/>
      <c r="T57" s="1389"/>
      <c r="U57" s="1389"/>
      <c r="V57" s="1389"/>
    </row>
    <row r="58" spans="1:22" x14ac:dyDescent="0.25">
      <c r="A58" s="1389"/>
      <c r="B58" s="1389"/>
      <c r="C58" s="1389"/>
      <c r="D58" s="1389"/>
      <c r="E58" s="1389"/>
      <c r="F58" s="1389"/>
      <c r="G58" s="1389"/>
      <c r="H58" s="1389"/>
      <c r="I58" s="1389"/>
      <c r="J58" s="1389"/>
      <c r="K58" s="1389"/>
      <c r="L58" s="1389"/>
      <c r="M58" s="1389"/>
      <c r="N58" s="1389"/>
      <c r="O58" s="1389"/>
      <c r="P58" s="1389"/>
      <c r="Q58" s="1389"/>
      <c r="R58" s="1389"/>
      <c r="S58" s="1389"/>
      <c r="T58" s="1389"/>
      <c r="U58" s="1389"/>
      <c r="V58" s="1389"/>
    </row>
    <row r="59" spans="1:22" x14ac:dyDescent="0.25">
      <c r="A59" s="1389"/>
      <c r="B59" s="1389"/>
      <c r="C59" s="1389"/>
      <c r="D59" s="1389"/>
      <c r="E59" s="1389"/>
      <c r="F59" s="1389"/>
      <c r="G59" s="1389"/>
      <c r="H59" s="1389"/>
      <c r="I59" s="1389"/>
      <c r="J59" s="1389"/>
      <c r="K59" s="1389"/>
      <c r="L59" s="1389"/>
      <c r="M59" s="1389"/>
      <c r="N59" s="1389"/>
      <c r="O59" s="1389"/>
      <c r="P59" s="1389"/>
      <c r="Q59" s="1389"/>
      <c r="R59" s="1389"/>
      <c r="S59" s="1389"/>
      <c r="T59" s="1389"/>
      <c r="U59" s="1389"/>
      <c r="V59" s="1389"/>
    </row>
    <row r="60" spans="1:22" x14ac:dyDescent="0.25">
      <c r="A60" s="1389"/>
      <c r="B60" s="1389"/>
      <c r="C60" s="1389"/>
      <c r="D60" s="1389"/>
      <c r="E60" s="1389"/>
      <c r="F60" s="1389"/>
      <c r="G60" s="1389"/>
      <c r="H60" s="1389"/>
      <c r="I60" s="1389"/>
      <c r="J60" s="1389"/>
      <c r="K60" s="1389"/>
      <c r="L60" s="1389"/>
      <c r="M60" s="1389"/>
      <c r="N60" s="1389"/>
      <c r="O60" s="1389"/>
      <c r="P60" s="1389"/>
      <c r="Q60" s="1389"/>
      <c r="R60" s="1389"/>
      <c r="S60" s="1389"/>
      <c r="T60" s="1389"/>
      <c r="U60" s="1389"/>
      <c r="V60" s="1389"/>
    </row>
    <row r="61" spans="1:22" x14ac:dyDescent="0.25">
      <c r="A61" s="1389"/>
      <c r="B61" s="1389"/>
      <c r="C61" s="1389"/>
      <c r="D61" s="1389"/>
      <c r="E61" s="1389"/>
      <c r="F61" s="1389"/>
      <c r="G61" s="1389"/>
      <c r="H61" s="1389"/>
      <c r="I61" s="1389"/>
      <c r="J61" s="1389"/>
      <c r="K61" s="1389"/>
      <c r="L61" s="1389"/>
      <c r="M61" s="1389"/>
      <c r="N61" s="1389"/>
      <c r="O61" s="1389"/>
      <c r="P61" s="1389"/>
      <c r="Q61" s="1389"/>
      <c r="R61" s="1389"/>
      <c r="S61" s="1389"/>
      <c r="T61" s="1389"/>
      <c r="U61" s="1389"/>
      <c r="V61" s="1389"/>
    </row>
    <row r="62" spans="1:22" x14ac:dyDescent="0.25">
      <c r="A62" s="1389"/>
      <c r="B62" s="1389"/>
      <c r="C62" s="1389"/>
      <c r="D62" s="1389"/>
      <c r="E62" s="1389"/>
      <c r="F62" s="1389"/>
      <c r="G62" s="1389"/>
      <c r="H62" s="1389"/>
      <c r="I62" s="1389"/>
      <c r="J62" s="1389"/>
      <c r="K62" s="1389"/>
      <c r="L62" s="1389"/>
      <c r="M62" s="1389"/>
      <c r="N62" s="1389"/>
      <c r="O62" s="1389"/>
      <c r="P62" s="1389"/>
      <c r="Q62" s="1389"/>
      <c r="R62" s="1389"/>
      <c r="S62" s="1389"/>
      <c r="T62" s="1389"/>
      <c r="U62" s="1389"/>
      <c r="V62" s="1389"/>
    </row>
    <row r="63" spans="1:22" x14ac:dyDescent="0.25">
      <c r="A63" s="1389"/>
      <c r="B63" s="1389"/>
      <c r="C63" s="1389"/>
      <c r="D63" s="1389"/>
      <c r="E63" s="1389"/>
      <c r="F63" s="1389"/>
      <c r="G63" s="1389"/>
      <c r="H63" s="1389"/>
      <c r="I63" s="1389"/>
      <c r="J63" s="1389"/>
      <c r="K63" s="1389"/>
      <c r="L63" s="1389"/>
      <c r="M63" s="1389"/>
      <c r="N63" s="1389"/>
      <c r="O63" s="1389"/>
      <c r="P63" s="1389"/>
      <c r="Q63" s="1389"/>
      <c r="R63" s="1389"/>
      <c r="S63" s="1389"/>
      <c r="T63" s="1389"/>
      <c r="U63" s="1389"/>
      <c r="V63" s="1389"/>
    </row>
    <row r="64" spans="1:22" x14ac:dyDescent="0.25">
      <c r="A64" s="1389"/>
      <c r="B64" s="1389"/>
      <c r="C64" s="1389"/>
      <c r="D64" s="1389"/>
      <c r="E64" s="1389"/>
      <c r="F64" s="1389"/>
      <c r="G64" s="1389"/>
      <c r="H64" s="1389"/>
      <c r="I64" s="1389"/>
      <c r="J64" s="1389"/>
      <c r="K64" s="1389"/>
      <c r="L64" s="1389"/>
      <c r="M64" s="1389"/>
      <c r="N64" s="1389"/>
      <c r="O64" s="1389"/>
      <c r="P64" s="1389"/>
      <c r="Q64" s="1389"/>
      <c r="R64" s="1389"/>
      <c r="S64" s="1389"/>
      <c r="T64" s="1389"/>
      <c r="U64" s="1389"/>
      <c r="V64" s="1389"/>
    </row>
    <row r="65" spans="1:22" x14ac:dyDescent="0.25">
      <c r="A65" s="1389"/>
      <c r="B65" s="1389"/>
      <c r="C65" s="1389"/>
      <c r="D65" s="1389"/>
      <c r="E65" s="1389"/>
      <c r="F65" s="1389"/>
      <c r="G65" s="1389"/>
      <c r="H65" s="1389"/>
      <c r="I65" s="1389"/>
      <c r="J65" s="1389"/>
      <c r="K65" s="1389"/>
      <c r="L65" s="1389"/>
      <c r="M65" s="1389"/>
      <c r="N65" s="1389"/>
      <c r="O65" s="1389"/>
      <c r="P65" s="1389"/>
      <c r="Q65" s="1389"/>
      <c r="R65" s="1389"/>
      <c r="S65" s="1389"/>
      <c r="T65" s="1389"/>
      <c r="U65" s="1389"/>
      <c r="V65" s="1389"/>
    </row>
    <row r="66" spans="1:22" x14ac:dyDescent="0.25">
      <c r="A66" s="1389"/>
      <c r="B66" s="1389"/>
      <c r="C66" s="1389"/>
      <c r="D66" s="1389"/>
      <c r="E66" s="1389"/>
      <c r="F66" s="1389"/>
      <c r="G66" s="1389"/>
      <c r="H66" s="1389"/>
      <c r="I66" s="1389"/>
      <c r="J66" s="1389"/>
      <c r="K66" s="1389"/>
      <c r="L66" s="1389"/>
      <c r="M66" s="1389"/>
      <c r="N66" s="1389"/>
      <c r="O66" s="1389"/>
      <c r="P66" s="1389"/>
      <c r="Q66" s="1389"/>
      <c r="R66" s="1389"/>
      <c r="S66" s="1389"/>
      <c r="T66" s="1389"/>
      <c r="U66" s="1389"/>
      <c r="V66" s="1389"/>
    </row>
    <row r="67" spans="1:22" x14ac:dyDescent="0.25">
      <c r="A67" s="1389"/>
      <c r="B67" s="1389"/>
      <c r="C67" s="1389"/>
      <c r="D67" s="1389"/>
      <c r="E67" s="1389"/>
      <c r="F67" s="1389"/>
      <c r="G67" s="1389"/>
      <c r="H67" s="1389"/>
      <c r="I67" s="1389"/>
      <c r="J67" s="1389"/>
      <c r="K67" s="1389"/>
      <c r="L67" s="1389"/>
      <c r="M67" s="1389"/>
      <c r="N67" s="1389"/>
      <c r="O67" s="1389"/>
      <c r="P67" s="1389"/>
      <c r="Q67" s="1389"/>
      <c r="R67" s="1389"/>
      <c r="S67" s="1389"/>
      <c r="T67" s="1389"/>
      <c r="U67" s="1389"/>
      <c r="V67" s="1389"/>
    </row>
    <row r="68" spans="1:22" x14ac:dyDescent="0.25">
      <c r="A68" s="1389"/>
      <c r="B68" s="1389"/>
      <c r="C68" s="1389"/>
      <c r="D68" s="1389"/>
      <c r="E68" s="1389"/>
      <c r="F68" s="1389"/>
      <c r="G68" s="1389"/>
      <c r="H68" s="1389"/>
      <c r="I68" s="1389"/>
      <c r="J68" s="1389"/>
      <c r="K68" s="1389"/>
      <c r="L68" s="1389"/>
      <c r="M68" s="1389"/>
      <c r="N68" s="1389"/>
      <c r="O68" s="1389"/>
      <c r="P68" s="1389"/>
      <c r="Q68" s="1389"/>
      <c r="R68" s="1389"/>
      <c r="S68" s="1389"/>
      <c r="T68" s="1389"/>
      <c r="U68" s="1389"/>
      <c r="V68" s="1389"/>
    </row>
    <row r="69" spans="1:22" x14ac:dyDescent="0.25">
      <c r="A69" s="1389"/>
      <c r="B69" s="1389"/>
      <c r="C69" s="1389"/>
      <c r="D69" s="1389"/>
      <c r="E69" s="1389"/>
      <c r="F69" s="1389"/>
      <c r="G69" s="1389"/>
      <c r="H69" s="1389"/>
      <c r="I69" s="1389"/>
      <c r="J69" s="1389"/>
      <c r="K69" s="1389"/>
      <c r="L69" s="1389"/>
      <c r="M69" s="1389"/>
      <c r="N69" s="1389"/>
      <c r="O69" s="1389"/>
      <c r="P69" s="1389"/>
      <c r="Q69" s="1389"/>
      <c r="R69" s="1389"/>
      <c r="S69" s="1389"/>
      <c r="T69" s="1389"/>
      <c r="U69" s="1389"/>
      <c r="V69" s="1389"/>
    </row>
    <row r="70" spans="1:22" x14ac:dyDescent="0.25">
      <c r="A70" s="1389"/>
      <c r="B70" s="1389"/>
      <c r="C70" s="1389"/>
      <c r="D70" s="1389"/>
      <c r="E70" s="1389"/>
      <c r="F70" s="1389"/>
      <c r="G70" s="1389"/>
      <c r="H70" s="1389"/>
      <c r="I70" s="1389"/>
      <c r="J70" s="1389"/>
      <c r="K70" s="1389"/>
      <c r="L70" s="1389"/>
      <c r="M70" s="1389"/>
      <c r="N70" s="1389"/>
      <c r="O70" s="1389"/>
      <c r="P70" s="1389"/>
      <c r="Q70" s="1389"/>
      <c r="R70" s="1389"/>
      <c r="S70" s="1389"/>
      <c r="T70" s="1389"/>
      <c r="U70" s="1389"/>
      <c r="V70" s="1389"/>
    </row>
    <row r="71" spans="1:22" x14ac:dyDescent="0.25">
      <c r="A71" s="1389"/>
      <c r="B71" s="1389"/>
      <c r="C71" s="1389"/>
      <c r="D71" s="1389"/>
      <c r="E71" s="1389"/>
      <c r="F71" s="1389"/>
      <c r="G71" s="1389"/>
      <c r="H71" s="1389"/>
      <c r="I71" s="1389"/>
      <c r="J71" s="1389"/>
      <c r="K71" s="1389"/>
      <c r="L71" s="1389"/>
      <c r="M71" s="1389"/>
      <c r="N71" s="1389"/>
      <c r="O71" s="1389"/>
      <c r="P71" s="1389"/>
      <c r="Q71" s="1389"/>
      <c r="R71" s="1389"/>
      <c r="S71" s="1389"/>
      <c r="T71" s="1389"/>
      <c r="U71" s="1389"/>
      <c r="V71" s="1389"/>
    </row>
    <row r="72" spans="1:22" x14ac:dyDescent="0.25">
      <c r="A72" s="1389"/>
      <c r="B72" s="1389"/>
      <c r="C72" s="1389"/>
      <c r="D72" s="1389"/>
      <c r="E72" s="1389"/>
      <c r="F72" s="1389"/>
      <c r="G72" s="1389"/>
      <c r="H72" s="1389"/>
      <c r="I72" s="1389"/>
      <c r="J72" s="1389"/>
      <c r="K72" s="1389"/>
      <c r="L72" s="1389"/>
      <c r="M72" s="1389"/>
      <c r="N72" s="1389"/>
      <c r="O72" s="1389"/>
      <c r="P72" s="1389"/>
      <c r="Q72" s="1389"/>
      <c r="R72" s="1389"/>
      <c r="S72" s="1389"/>
      <c r="T72" s="1389"/>
      <c r="U72" s="1389"/>
      <c r="V72" s="1389"/>
    </row>
    <row r="73" spans="1:22" x14ac:dyDescent="0.25">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row>
    <row r="74" spans="1:22" x14ac:dyDescent="0.25">
      <c r="A74" s="1389"/>
      <c r="B74" s="1389"/>
      <c r="C74" s="1389"/>
      <c r="D74" s="1389"/>
      <c r="E74" s="1389"/>
      <c r="F74" s="1389"/>
      <c r="G74" s="1389"/>
      <c r="H74" s="1389"/>
      <c r="I74" s="1389"/>
      <c r="J74" s="1389"/>
      <c r="K74" s="1389"/>
      <c r="L74" s="1389"/>
      <c r="M74" s="1389"/>
      <c r="N74" s="1389"/>
      <c r="O74" s="1389"/>
      <c r="P74" s="1389"/>
      <c r="Q74" s="1389"/>
      <c r="R74" s="1389"/>
      <c r="S74" s="1389"/>
      <c r="T74" s="1389"/>
      <c r="U74" s="1389"/>
      <c r="V74" s="1389"/>
    </row>
    <row r="75" spans="1:22" x14ac:dyDescent="0.25">
      <c r="A75" s="1389"/>
      <c r="B75" s="1389"/>
      <c r="C75" s="1389"/>
      <c r="D75" s="1389"/>
      <c r="E75" s="1389"/>
      <c r="F75" s="1389"/>
      <c r="G75" s="1389"/>
      <c r="H75" s="1389"/>
      <c r="I75" s="1389"/>
      <c r="J75" s="1389"/>
      <c r="K75" s="1389"/>
      <c r="L75" s="1389"/>
      <c r="M75" s="1389"/>
      <c r="N75" s="1389"/>
      <c r="O75" s="1389"/>
      <c r="P75" s="1389"/>
      <c r="Q75" s="1389"/>
      <c r="R75" s="1389"/>
      <c r="S75" s="1389"/>
      <c r="T75" s="1389"/>
      <c r="U75" s="1389"/>
      <c r="V75" s="1389"/>
    </row>
    <row r="76" spans="1:22" x14ac:dyDescent="0.25">
      <c r="A76" s="1389"/>
      <c r="B76" s="1389"/>
      <c r="C76" s="1389"/>
      <c r="D76" s="1389"/>
      <c r="E76" s="1389"/>
      <c r="F76" s="1389"/>
      <c r="G76" s="1389"/>
      <c r="H76" s="1389"/>
      <c r="I76" s="1389"/>
      <c r="J76" s="1389"/>
      <c r="K76" s="1389"/>
      <c r="L76" s="1389"/>
      <c r="M76" s="1389"/>
      <c r="N76" s="1389"/>
      <c r="O76" s="1389"/>
      <c r="P76" s="1389"/>
      <c r="Q76" s="1389"/>
      <c r="R76" s="1389"/>
      <c r="S76" s="1389"/>
      <c r="T76" s="1389"/>
      <c r="U76" s="1389"/>
      <c r="V76" s="1389"/>
    </row>
    <row r="77" spans="1:22" x14ac:dyDescent="0.25">
      <c r="A77" s="1389"/>
      <c r="B77" s="1389"/>
      <c r="C77" s="1389"/>
      <c r="D77" s="1389"/>
      <c r="E77" s="1389"/>
      <c r="F77" s="1389"/>
      <c r="G77" s="1389"/>
      <c r="H77" s="1389"/>
      <c r="I77" s="1389"/>
      <c r="J77" s="1389"/>
      <c r="K77" s="1389"/>
      <c r="L77" s="1389"/>
      <c r="M77" s="1389"/>
      <c r="N77" s="1389"/>
      <c r="O77" s="1389"/>
      <c r="P77" s="1389"/>
      <c r="Q77" s="1389"/>
      <c r="R77" s="1389"/>
      <c r="S77" s="1389"/>
      <c r="T77" s="1389"/>
      <c r="U77" s="1389"/>
      <c r="V77" s="1389"/>
    </row>
    <row r="78" spans="1:22" x14ac:dyDescent="0.25">
      <c r="A78" s="1389"/>
      <c r="B78" s="1389"/>
      <c r="C78" s="1389"/>
      <c r="D78" s="1389"/>
      <c r="E78" s="1389"/>
      <c r="F78" s="1389"/>
      <c r="G78" s="1389"/>
      <c r="H78" s="1389"/>
      <c r="I78" s="1389"/>
      <c r="J78" s="1389"/>
      <c r="K78" s="1389"/>
      <c r="L78" s="1389"/>
      <c r="M78" s="1389"/>
      <c r="N78" s="1389"/>
      <c r="O78" s="1389"/>
      <c r="P78" s="1389"/>
      <c r="Q78" s="1389"/>
      <c r="R78" s="1389"/>
      <c r="S78" s="1389"/>
      <c r="T78" s="1389"/>
      <c r="U78" s="1389"/>
      <c r="V78" s="1389"/>
    </row>
    <row r="79" spans="1:22" x14ac:dyDescent="0.25">
      <c r="A79" s="1389"/>
      <c r="B79" s="1389"/>
      <c r="C79" s="1389"/>
      <c r="D79" s="1389"/>
      <c r="E79" s="1389"/>
      <c r="F79" s="1389"/>
      <c r="G79" s="1389"/>
      <c r="H79" s="1389"/>
      <c r="I79" s="1389"/>
      <c r="J79" s="1389"/>
      <c r="K79" s="1389"/>
      <c r="L79" s="1389"/>
      <c r="M79" s="1389"/>
      <c r="N79" s="1389"/>
      <c r="O79" s="1389"/>
      <c r="P79" s="1389"/>
      <c r="Q79" s="1389"/>
      <c r="R79" s="1389"/>
      <c r="S79" s="1389"/>
      <c r="T79" s="1389"/>
      <c r="U79" s="1389"/>
      <c r="V79" s="1389"/>
    </row>
    <row r="80" spans="1:22" x14ac:dyDescent="0.25">
      <c r="A80" s="1389"/>
      <c r="B80" s="1389"/>
      <c r="C80" s="1389"/>
      <c r="D80" s="1389"/>
      <c r="E80" s="1389"/>
      <c r="F80" s="1389"/>
      <c r="G80" s="1389"/>
      <c r="H80" s="1389"/>
      <c r="I80" s="1389"/>
      <c r="J80" s="1389"/>
      <c r="K80" s="1389"/>
      <c r="L80" s="1389"/>
      <c r="M80" s="1389"/>
      <c r="N80" s="1389"/>
      <c r="O80" s="1389"/>
      <c r="P80" s="1389"/>
      <c r="Q80" s="1389"/>
      <c r="R80" s="1389"/>
      <c r="S80" s="1389"/>
      <c r="T80" s="1389"/>
      <c r="U80" s="1389"/>
      <c r="V80" s="1389"/>
    </row>
    <row r="81" spans="1:22" x14ac:dyDescent="0.25">
      <c r="A81" s="1389"/>
      <c r="B81" s="1389"/>
      <c r="C81" s="1389"/>
      <c r="D81" s="1389"/>
      <c r="E81" s="1389"/>
      <c r="F81" s="1389"/>
      <c r="G81" s="1389"/>
      <c r="H81" s="1389"/>
      <c r="I81" s="1389"/>
      <c r="J81" s="1389"/>
      <c r="K81" s="1389"/>
      <c r="L81" s="1389"/>
      <c r="M81" s="1389"/>
      <c r="N81" s="1389"/>
      <c r="O81" s="1389"/>
      <c r="P81" s="1389"/>
      <c r="Q81" s="1389"/>
      <c r="R81" s="1389"/>
      <c r="S81" s="1389"/>
      <c r="T81" s="1389"/>
      <c r="U81" s="1389"/>
      <c r="V81" s="1389"/>
    </row>
    <row r="82" spans="1:22" x14ac:dyDescent="0.25">
      <c r="A82" s="1389"/>
      <c r="B82" s="1389"/>
      <c r="C82" s="1389"/>
      <c r="D82" s="1389"/>
      <c r="E82" s="1389"/>
      <c r="F82" s="1389"/>
      <c r="G82" s="1389"/>
      <c r="H82" s="1389"/>
      <c r="I82" s="1389"/>
      <c r="J82" s="1389"/>
      <c r="K82" s="1389"/>
      <c r="L82" s="1389"/>
      <c r="M82" s="1389"/>
      <c r="N82" s="1389"/>
      <c r="O82" s="1389"/>
      <c r="P82" s="1389"/>
      <c r="Q82" s="1389"/>
      <c r="R82" s="1389"/>
      <c r="S82" s="1389"/>
      <c r="T82" s="1389"/>
      <c r="U82" s="1389"/>
      <c r="V82" s="1389"/>
    </row>
    <row r="83" spans="1:22" x14ac:dyDescent="0.25">
      <c r="A83" s="1389"/>
      <c r="B83" s="1389"/>
      <c r="C83" s="1389"/>
      <c r="D83" s="1389"/>
      <c r="E83" s="1389"/>
      <c r="F83" s="1389"/>
      <c r="G83" s="1389"/>
      <c r="H83" s="1389"/>
      <c r="I83" s="1389"/>
      <c r="J83" s="1389"/>
      <c r="K83" s="1389"/>
      <c r="L83" s="1389"/>
      <c r="M83" s="1389"/>
      <c r="N83" s="1389"/>
      <c r="O83" s="1389"/>
      <c r="P83" s="1389"/>
      <c r="Q83" s="1389"/>
      <c r="R83" s="1389"/>
      <c r="S83" s="1389"/>
      <c r="T83" s="1389"/>
      <c r="U83" s="1389"/>
      <c r="V83" s="1389"/>
    </row>
    <row r="84" spans="1:22" x14ac:dyDescent="0.25">
      <c r="A84" s="1389"/>
      <c r="B84" s="1389"/>
      <c r="C84" s="1389"/>
      <c r="D84" s="1389"/>
      <c r="E84" s="1389"/>
      <c r="F84" s="1389"/>
      <c r="G84" s="1389"/>
      <c r="H84" s="1389"/>
      <c r="I84" s="1389"/>
      <c r="J84" s="1389"/>
      <c r="K84" s="1389"/>
      <c r="L84" s="1389"/>
      <c r="M84" s="1389"/>
      <c r="N84" s="1389"/>
      <c r="O84" s="1389"/>
      <c r="P84" s="1389"/>
      <c r="Q84" s="1389"/>
      <c r="R84" s="1389"/>
      <c r="S84" s="1389"/>
      <c r="T84" s="1389"/>
      <c r="U84" s="1389"/>
      <c r="V84" s="1389"/>
    </row>
    <row r="85" spans="1:22" x14ac:dyDescent="0.25">
      <c r="A85" s="1389"/>
      <c r="B85" s="1389"/>
      <c r="C85" s="1389"/>
      <c r="D85" s="1389"/>
      <c r="E85" s="1389"/>
      <c r="F85" s="1389"/>
      <c r="G85" s="1389"/>
      <c r="H85" s="1389"/>
      <c r="I85" s="1389"/>
      <c r="J85" s="1389"/>
      <c r="K85" s="1389"/>
      <c r="L85" s="1389"/>
      <c r="M85" s="1389"/>
      <c r="N85" s="1389"/>
      <c r="O85" s="1389"/>
      <c r="P85" s="1389"/>
      <c r="Q85" s="1389"/>
      <c r="R85" s="1389"/>
      <c r="S85" s="1389"/>
      <c r="T85" s="1389"/>
      <c r="U85" s="1389"/>
      <c r="V85" s="1389"/>
    </row>
    <row r="86" spans="1:22" x14ac:dyDescent="0.25">
      <c r="A86" s="1389"/>
      <c r="B86" s="1389"/>
      <c r="C86" s="1389"/>
      <c r="D86" s="1389"/>
      <c r="E86" s="1389"/>
      <c r="F86" s="1389"/>
      <c r="G86" s="1389"/>
      <c r="H86" s="1389"/>
      <c r="I86" s="1389"/>
      <c r="J86" s="1389"/>
      <c r="K86" s="1389"/>
      <c r="L86" s="1389"/>
      <c r="M86" s="1389"/>
      <c r="N86" s="1389"/>
      <c r="O86" s="1389"/>
      <c r="P86" s="1389"/>
      <c r="Q86" s="1389"/>
      <c r="R86" s="1389"/>
      <c r="S86" s="1389"/>
      <c r="T86" s="1389"/>
      <c r="U86" s="1389"/>
      <c r="V86" s="1389"/>
    </row>
    <row r="87" spans="1:22" x14ac:dyDescent="0.25">
      <c r="A87" s="1389"/>
      <c r="B87" s="1389"/>
      <c r="C87" s="1389"/>
      <c r="D87" s="1389"/>
      <c r="E87" s="1389"/>
      <c r="F87" s="1389"/>
      <c r="G87" s="1389"/>
      <c r="H87" s="1389"/>
      <c r="I87" s="1389"/>
      <c r="J87" s="1389"/>
      <c r="K87" s="1389"/>
      <c r="L87" s="1389"/>
      <c r="M87" s="1389"/>
      <c r="N87" s="1389"/>
      <c r="O87" s="1389"/>
      <c r="P87" s="1389"/>
      <c r="Q87" s="1389"/>
      <c r="R87" s="1389"/>
      <c r="S87" s="1389"/>
      <c r="T87" s="1389"/>
      <c r="U87" s="1389"/>
      <c r="V87" s="1389"/>
    </row>
    <row r="88" spans="1:22" x14ac:dyDescent="0.25">
      <c r="A88" s="1389"/>
      <c r="B88" s="1389"/>
      <c r="C88" s="1389"/>
      <c r="D88" s="1389"/>
      <c r="E88" s="1389"/>
      <c r="F88" s="1389"/>
      <c r="G88" s="1389"/>
      <c r="H88" s="1389"/>
      <c r="I88" s="1389"/>
      <c r="J88" s="1389"/>
      <c r="K88" s="1389"/>
      <c r="L88" s="1389"/>
      <c r="M88" s="1389"/>
      <c r="N88" s="1389"/>
      <c r="O88" s="1389"/>
      <c r="P88" s="1389"/>
      <c r="Q88" s="1389"/>
      <c r="R88" s="1389"/>
      <c r="S88" s="1389"/>
      <c r="T88" s="1389"/>
      <c r="U88" s="1389"/>
      <c r="V88" s="1389"/>
    </row>
    <row r="89" spans="1:22" x14ac:dyDescent="0.25">
      <c r="A89" s="1389"/>
      <c r="B89" s="1389"/>
      <c r="C89" s="1389"/>
      <c r="D89" s="1389"/>
      <c r="E89" s="1389"/>
      <c r="F89" s="1389"/>
      <c r="G89" s="1389"/>
      <c r="H89" s="1389"/>
      <c r="I89" s="1389"/>
      <c r="J89" s="1389"/>
      <c r="K89" s="1389"/>
      <c r="L89" s="1389"/>
      <c r="M89" s="1389"/>
      <c r="N89" s="1389"/>
      <c r="O89" s="1389"/>
      <c r="P89" s="1389"/>
      <c r="Q89" s="1389"/>
      <c r="R89" s="1389"/>
      <c r="S89" s="1389"/>
      <c r="T89" s="1389"/>
      <c r="U89" s="1389"/>
      <c r="V89" s="1389"/>
    </row>
    <row r="90" spans="1:22" x14ac:dyDescent="0.25">
      <c r="A90" s="1389"/>
      <c r="B90" s="1389"/>
      <c r="C90" s="1389"/>
      <c r="D90" s="1389"/>
      <c r="E90" s="1389"/>
      <c r="F90" s="1389"/>
      <c r="G90" s="1389"/>
      <c r="H90" s="1389"/>
      <c r="I90" s="1389"/>
      <c r="J90" s="1389"/>
      <c r="K90" s="1389"/>
      <c r="L90" s="1389"/>
      <c r="M90" s="1389"/>
      <c r="N90" s="1389"/>
      <c r="O90" s="1389"/>
      <c r="P90" s="1389"/>
      <c r="Q90" s="1389"/>
      <c r="R90" s="1389"/>
      <c r="S90" s="1389"/>
      <c r="T90" s="1389"/>
      <c r="U90" s="1389"/>
      <c r="V90" s="1389"/>
    </row>
    <row r="91" spans="1:22" x14ac:dyDescent="0.25">
      <c r="A91" s="1389"/>
      <c r="B91" s="1389"/>
      <c r="C91" s="1389"/>
      <c r="D91" s="1389"/>
      <c r="E91" s="1389"/>
      <c r="F91" s="1389"/>
      <c r="G91" s="1389"/>
      <c r="H91" s="1389"/>
      <c r="I91" s="1389"/>
      <c r="J91" s="1389"/>
      <c r="K91" s="1389"/>
      <c r="L91" s="1389"/>
      <c r="M91" s="1389"/>
      <c r="N91" s="1389"/>
      <c r="O91" s="1389"/>
      <c r="P91" s="1389"/>
      <c r="Q91" s="1389"/>
      <c r="R91" s="1389"/>
      <c r="S91" s="1389"/>
      <c r="T91" s="1389"/>
      <c r="U91" s="1389"/>
      <c r="V91" s="1389"/>
    </row>
    <row r="92" spans="1:22" x14ac:dyDescent="0.25">
      <c r="A92" s="1389"/>
      <c r="B92" s="1389"/>
      <c r="C92" s="1389"/>
      <c r="D92" s="1389"/>
      <c r="E92" s="1389"/>
      <c r="F92" s="1389"/>
      <c r="G92" s="1389"/>
      <c r="H92" s="1389"/>
      <c r="I92" s="1389"/>
      <c r="J92" s="1389"/>
      <c r="K92" s="1389"/>
      <c r="L92" s="1389"/>
      <c r="M92" s="1389"/>
      <c r="N92" s="1389"/>
      <c r="O92" s="1389"/>
      <c r="P92" s="1389"/>
      <c r="Q92" s="1389"/>
      <c r="R92" s="1389"/>
      <c r="S92" s="1389"/>
      <c r="T92" s="1389"/>
      <c r="U92" s="1389"/>
      <c r="V92" s="1389"/>
    </row>
    <row r="93" spans="1:22" x14ac:dyDescent="0.25">
      <c r="A93" s="1389"/>
      <c r="B93" s="1389"/>
      <c r="C93" s="1389"/>
      <c r="D93" s="1389"/>
      <c r="E93" s="1389"/>
      <c r="F93" s="1389"/>
      <c r="G93" s="1389"/>
      <c r="H93" s="1389"/>
      <c r="I93" s="1389"/>
      <c r="J93" s="1389"/>
      <c r="K93" s="1389"/>
      <c r="L93" s="1389"/>
      <c r="M93" s="1389"/>
      <c r="N93" s="1389"/>
      <c r="O93" s="1389"/>
      <c r="P93" s="1389"/>
      <c r="Q93" s="1389"/>
      <c r="R93" s="1389"/>
      <c r="S93" s="1389"/>
      <c r="T93" s="1389"/>
      <c r="U93" s="1389"/>
      <c r="V93" s="1389"/>
    </row>
    <row r="94" spans="1:22" x14ac:dyDescent="0.25">
      <c r="A94" s="1389"/>
      <c r="B94" s="1389"/>
      <c r="C94" s="1389"/>
      <c r="D94" s="1389"/>
      <c r="E94" s="1389"/>
      <c r="F94" s="1389"/>
      <c r="G94" s="1389"/>
      <c r="H94" s="1389"/>
      <c r="I94" s="1389"/>
      <c r="J94" s="1389"/>
      <c r="K94" s="1389"/>
      <c r="L94" s="1389"/>
      <c r="M94" s="1389"/>
      <c r="N94" s="1389"/>
      <c r="O94" s="1389"/>
      <c r="P94" s="1389"/>
      <c r="Q94" s="1389"/>
      <c r="R94" s="1389"/>
      <c r="S94" s="1389"/>
      <c r="T94" s="1389"/>
      <c r="U94" s="1389"/>
      <c r="V94" s="1389"/>
    </row>
    <row r="95" spans="1:22" x14ac:dyDescent="0.25">
      <c r="A95" s="1389"/>
      <c r="B95" s="1389"/>
      <c r="C95" s="1389"/>
      <c r="D95" s="1389"/>
      <c r="E95" s="1389"/>
      <c r="F95" s="1389"/>
      <c r="G95" s="1389"/>
      <c r="H95" s="1389"/>
      <c r="I95" s="1389"/>
      <c r="J95" s="1389"/>
      <c r="K95" s="1389"/>
      <c r="L95" s="1389"/>
      <c r="M95" s="1389"/>
      <c r="N95" s="1389"/>
      <c r="O95" s="1389"/>
      <c r="P95" s="1389"/>
      <c r="Q95" s="1389"/>
      <c r="R95" s="1389"/>
      <c r="S95" s="1389"/>
      <c r="T95" s="1389"/>
      <c r="U95" s="1389"/>
      <c r="V95" s="1389"/>
    </row>
    <row r="96" spans="1:22" x14ac:dyDescent="0.25">
      <c r="A96" s="1389"/>
      <c r="B96" s="1389"/>
      <c r="C96" s="1389"/>
      <c r="D96" s="1389"/>
      <c r="E96" s="1389"/>
      <c r="F96" s="1389"/>
      <c r="G96" s="1389"/>
      <c r="H96" s="1389"/>
      <c r="I96" s="1389"/>
      <c r="J96" s="1389"/>
      <c r="K96" s="1389"/>
      <c r="L96" s="1389"/>
      <c r="M96" s="1389"/>
      <c r="N96" s="1389"/>
      <c r="O96" s="1389"/>
      <c r="P96" s="1389"/>
      <c r="Q96" s="1389"/>
      <c r="R96" s="1389"/>
      <c r="S96" s="1389"/>
      <c r="T96" s="1389"/>
      <c r="U96" s="1389"/>
      <c r="V96" s="1389"/>
    </row>
    <row r="97" spans="1:22" x14ac:dyDescent="0.25">
      <c r="A97" s="1389"/>
      <c r="B97" s="1389"/>
      <c r="C97" s="1389"/>
      <c r="D97" s="1389"/>
      <c r="E97" s="1389"/>
      <c r="F97" s="1389"/>
      <c r="G97" s="1389"/>
      <c r="H97" s="1389"/>
      <c r="I97" s="1389"/>
      <c r="J97" s="1389"/>
      <c r="K97" s="1389"/>
      <c r="L97" s="1389"/>
      <c r="M97" s="1389"/>
      <c r="N97" s="1389"/>
      <c r="O97" s="1389"/>
      <c r="P97" s="1389"/>
      <c r="Q97" s="1389"/>
      <c r="R97" s="1389"/>
      <c r="S97" s="1389"/>
      <c r="T97" s="1389"/>
      <c r="U97" s="1389"/>
      <c r="V97" s="1389"/>
    </row>
    <row r="98" spans="1:22" x14ac:dyDescent="0.25">
      <c r="A98" s="1389"/>
      <c r="B98" s="1389"/>
      <c r="C98" s="1389"/>
      <c r="D98" s="1389"/>
      <c r="E98" s="1389"/>
      <c r="F98" s="1389"/>
      <c r="G98" s="1389"/>
      <c r="H98" s="1389"/>
      <c r="I98" s="1389"/>
      <c r="J98" s="1389"/>
      <c r="K98" s="1389"/>
      <c r="L98" s="1389"/>
      <c r="M98" s="1389"/>
      <c r="N98" s="1389"/>
      <c r="O98" s="1389"/>
      <c r="P98" s="1389"/>
      <c r="Q98" s="1389"/>
      <c r="R98" s="1389"/>
      <c r="S98" s="1389"/>
      <c r="T98" s="1389"/>
      <c r="U98" s="1389"/>
      <c r="V98" s="1389"/>
    </row>
    <row r="99" spans="1:22" x14ac:dyDescent="0.25">
      <c r="A99" s="1389"/>
      <c r="B99" s="1389"/>
      <c r="C99" s="1389"/>
      <c r="D99" s="1389"/>
      <c r="E99" s="1389"/>
      <c r="F99" s="1389"/>
      <c r="G99" s="1389"/>
      <c r="H99" s="1389"/>
      <c r="I99" s="1389"/>
      <c r="J99" s="1389"/>
      <c r="K99" s="1389"/>
      <c r="L99" s="1389"/>
      <c r="M99" s="1389"/>
      <c r="N99" s="1389"/>
      <c r="O99" s="1389"/>
      <c r="P99" s="1389"/>
      <c r="Q99" s="1389"/>
      <c r="R99" s="1389"/>
      <c r="S99" s="1389"/>
      <c r="T99" s="1389"/>
      <c r="U99" s="1389"/>
      <c r="V99" s="1389"/>
    </row>
    <row r="100" spans="1:22" x14ac:dyDescent="0.25">
      <c r="A100" s="1389"/>
      <c r="B100" s="1389"/>
      <c r="C100" s="1389"/>
      <c r="D100" s="1389"/>
      <c r="E100" s="1389"/>
      <c r="F100" s="1389"/>
      <c r="G100" s="1389"/>
      <c r="H100" s="1389"/>
      <c r="I100" s="1389"/>
      <c r="J100" s="1389"/>
      <c r="K100" s="1389"/>
      <c r="L100" s="1389"/>
      <c r="M100" s="1389"/>
      <c r="N100" s="1389"/>
      <c r="O100" s="1389"/>
      <c r="P100" s="1389"/>
      <c r="Q100" s="1389"/>
      <c r="R100" s="1389"/>
      <c r="S100" s="1389"/>
      <c r="T100" s="1389"/>
      <c r="U100" s="1389"/>
      <c r="V100" s="1389"/>
    </row>
    <row r="101" spans="1:22" x14ac:dyDescent="0.25">
      <c r="A101" s="1389"/>
      <c r="B101" s="1389"/>
      <c r="C101" s="1389"/>
      <c r="D101" s="1389"/>
      <c r="E101" s="1389"/>
      <c r="F101" s="1389"/>
      <c r="G101" s="1389"/>
      <c r="H101" s="1389"/>
      <c r="I101" s="1389"/>
      <c r="J101" s="1389"/>
      <c r="K101" s="1389"/>
      <c r="L101" s="1389"/>
      <c r="M101" s="1389"/>
      <c r="N101" s="1389"/>
      <c r="O101" s="1389"/>
      <c r="P101" s="1389"/>
      <c r="Q101" s="1389"/>
      <c r="R101" s="1389"/>
      <c r="S101" s="1389"/>
      <c r="T101" s="1389"/>
      <c r="U101" s="1389"/>
      <c r="V101" s="1389"/>
    </row>
    <row r="102" spans="1:22" x14ac:dyDescent="0.25">
      <c r="A102" s="1389"/>
      <c r="B102" s="1389"/>
      <c r="C102" s="1389"/>
      <c r="D102" s="1389"/>
      <c r="E102" s="1389"/>
      <c r="F102" s="1389"/>
      <c r="G102" s="1389"/>
      <c r="H102" s="1389"/>
      <c r="I102" s="1389"/>
      <c r="J102" s="1389"/>
      <c r="K102" s="1389"/>
      <c r="L102" s="1389"/>
      <c r="M102" s="1389"/>
      <c r="N102" s="1389"/>
      <c r="O102" s="1389"/>
      <c r="P102" s="1389"/>
      <c r="Q102" s="1389"/>
      <c r="R102" s="1389"/>
      <c r="S102" s="1389"/>
      <c r="T102" s="1389"/>
      <c r="U102" s="1389"/>
      <c r="V102" s="1389"/>
    </row>
    <row r="103" spans="1:22" x14ac:dyDescent="0.25">
      <c r="A103" s="1389"/>
      <c r="B103" s="1389"/>
      <c r="C103" s="1389"/>
      <c r="D103" s="1389"/>
      <c r="E103" s="1389"/>
      <c r="F103" s="1389"/>
      <c r="G103" s="1389"/>
      <c r="H103" s="1389"/>
      <c r="I103" s="1389"/>
      <c r="J103" s="1389"/>
      <c r="K103" s="1389"/>
      <c r="L103" s="1389"/>
      <c r="M103" s="1389"/>
      <c r="N103" s="1389"/>
      <c r="O103" s="1389"/>
      <c r="P103" s="1389"/>
      <c r="Q103" s="1389"/>
      <c r="R103" s="1389"/>
      <c r="S103" s="1389"/>
      <c r="T103" s="1389"/>
      <c r="U103" s="1389"/>
      <c r="V103" s="1389"/>
    </row>
    <row r="104" spans="1:22" x14ac:dyDescent="0.25">
      <c r="A104" s="1389"/>
      <c r="B104" s="1389"/>
      <c r="C104" s="1389"/>
      <c r="D104" s="1389"/>
      <c r="E104" s="1389"/>
      <c r="F104" s="1389"/>
      <c r="G104" s="1389"/>
      <c r="H104" s="1389"/>
      <c r="I104" s="1389"/>
      <c r="J104" s="1389"/>
      <c r="K104" s="1389"/>
      <c r="L104" s="1389"/>
      <c r="M104" s="1389"/>
      <c r="N104" s="1389"/>
      <c r="O104" s="1389"/>
      <c r="P104" s="1389"/>
      <c r="Q104" s="1389"/>
      <c r="R104" s="1389"/>
      <c r="S104" s="1389"/>
      <c r="T104" s="1389"/>
      <c r="U104" s="1389"/>
      <c r="V104" s="1389"/>
    </row>
    <row r="105" spans="1:22" x14ac:dyDescent="0.25">
      <c r="A105" s="1389"/>
      <c r="B105" s="1389"/>
      <c r="C105" s="1389"/>
      <c r="D105" s="1389"/>
      <c r="E105" s="1389"/>
      <c r="F105" s="1389"/>
      <c r="G105" s="1389"/>
      <c r="H105" s="1389"/>
      <c r="I105" s="1389"/>
      <c r="J105" s="1389"/>
      <c r="K105" s="1389"/>
      <c r="L105" s="1389"/>
      <c r="M105" s="1389"/>
      <c r="N105" s="1389"/>
      <c r="O105" s="1389"/>
      <c r="P105" s="1389"/>
      <c r="Q105" s="1389"/>
      <c r="R105" s="1389"/>
      <c r="S105" s="1389"/>
      <c r="T105" s="1389"/>
      <c r="U105" s="1389"/>
      <c r="V105" s="1389"/>
    </row>
    <row r="106" spans="1:22" x14ac:dyDescent="0.25">
      <c r="A106" s="1389"/>
      <c r="B106" s="1389"/>
      <c r="C106" s="1389"/>
      <c r="D106" s="1389"/>
      <c r="E106" s="1389"/>
      <c r="F106" s="1389"/>
      <c r="G106" s="1389"/>
      <c r="H106" s="1389"/>
      <c r="I106" s="1389"/>
      <c r="J106" s="1389"/>
      <c r="K106" s="1389"/>
      <c r="L106" s="1389"/>
      <c r="M106" s="1389"/>
      <c r="N106" s="1389"/>
      <c r="O106" s="1389"/>
      <c r="P106" s="1389"/>
      <c r="Q106" s="1389"/>
      <c r="R106" s="1389"/>
      <c r="S106" s="1389"/>
      <c r="T106" s="1389"/>
      <c r="U106" s="1389"/>
      <c r="V106" s="1389"/>
    </row>
    <row r="107" spans="1:22" x14ac:dyDescent="0.25">
      <c r="A107" s="1389"/>
      <c r="B107" s="1389"/>
      <c r="C107" s="1389"/>
      <c r="D107" s="1389"/>
      <c r="E107" s="1389"/>
      <c r="F107" s="1389"/>
      <c r="G107" s="1389"/>
      <c r="H107" s="1389"/>
      <c r="I107" s="1389"/>
      <c r="J107" s="1389"/>
      <c r="K107" s="1389"/>
      <c r="L107" s="1389"/>
      <c r="M107" s="1389"/>
      <c r="N107" s="1389"/>
      <c r="O107" s="1389"/>
      <c r="P107" s="1389"/>
      <c r="Q107" s="1389"/>
      <c r="R107" s="1389"/>
      <c r="S107" s="1389"/>
      <c r="T107" s="1389"/>
      <c r="U107" s="1389"/>
      <c r="V107" s="1389"/>
    </row>
    <row r="108" spans="1:22" x14ac:dyDescent="0.25">
      <c r="A108" s="1389"/>
      <c r="B108" s="1389"/>
      <c r="C108" s="1389"/>
      <c r="D108" s="1389"/>
      <c r="E108" s="1389"/>
      <c r="F108" s="1389"/>
      <c r="G108" s="1389"/>
      <c r="H108" s="1389"/>
      <c r="I108" s="1389"/>
      <c r="J108" s="1389"/>
      <c r="K108" s="1389"/>
      <c r="L108" s="1389"/>
      <c r="M108" s="1389"/>
      <c r="N108" s="1389"/>
      <c r="O108" s="1389"/>
      <c r="P108" s="1389"/>
      <c r="Q108" s="1389"/>
      <c r="R108" s="1389"/>
      <c r="S108" s="1389"/>
      <c r="T108" s="1389"/>
      <c r="U108" s="1389"/>
      <c r="V108" s="1389"/>
    </row>
    <row r="109" spans="1:22" x14ac:dyDescent="0.25">
      <c r="A109" s="1389"/>
      <c r="B109" s="1389"/>
      <c r="C109" s="1389"/>
      <c r="D109" s="1389"/>
      <c r="E109" s="1389"/>
      <c r="F109" s="1389"/>
      <c r="G109" s="1389"/>
      <c r="H109" s="1389"/>
      <c r="I109" s="1389"/>
      <c r="J109" s="1389"/>
      <c r="K109" s="1389"/>
      <c r="L109" s="1389"/>
      <c r="M109" s="1389"/>
      <c r="N109" s="1389"/>
      <c r="O109" s="1389"/>
      <c r="P109" s="1389"/>
      <c r="Q109" s="1389"/>
      <c r="R109" s="1389"/>
      <c r="S109" s="1389"/>
      <c r="T109" s="1389"/>
      <c r="U109" s="1389"/>
      <c r="V109" s="1389"/>
    </row>
    <row r="110" spans="1:22" x14ac:dyDescent="0.25">
      <c r="A110" s="1389"/>
      <c r="B110" s="1389"/>
      <c r="C110" s="1389"/>
      <c r="D110" s="1389"/>
      <c r="E110" s="1389"/>
      <c r="F110" s="1389"/>
      <c r="G110" s="1389"/>
      <c r="H110" s="1389"/>
      <c r="I110" s="1389"/>
      <c r="J110" s="1389"/>
      <c r="K110" s="1389"/>
      <c r="L110" s="1389"/>
      <c r="M110" s="1389"/>
      <c r="N110" s="1389"/>
      <c r="O110" s="1389"/>
      <c r="P110" s="1389"/>
      <c r="Q110" s="1389"/>
      <c r="R110" s="1389"/>
      <c r="S110" s="1389"/>
      <c r="T110" s="1389"/>
      <c r="U110" s="1389"/>
      <c r="V110" s="1389"/>
    </row>
    <row r="111" spans="1:22" x14ac:dyDescent="0.25">
      <c r="A111" s="1389"/>
      <c r="B111" s="1389"/>
      <c r="C111" s="1389"/>
      <c r="D111" s="1389"/>
      <c r="E111" s="1389"/>
      <c r="F111" s="1389"/>
      <c r="G111" s="1389"/>
      <c r="H111" s="1389"/>
      <c r="I111" s="1389"/>
      <c r="J111" s="1389"/>
      <c r="K111" s="1389"/>
      <c r="L111" s="1389"/>
      <c r="M111" s="1389"/>
      <c r="N111" s="1389"/>
      <c r="O111" s="1389"/>
      <c r="P111" s="1389"/>
      <c r="Q111" s="1389"/>
      <c r="R111" s="1389"/>
      <c r="S111" s="1389"/>
      <c r="T111" s="1389"/>
      <c r="U111" s="1389"/>
      <c r="V111" s="1389"/>
    </row>
    <row r="112" spans="1:22" x14ac:dyDescent="0.25">
      <c r="A112" s="1389"/>
      <c r="B112" s="1389"/>
      <c r="C112" s="1389"/>
      <c r="D112" s="1389"/>
      <c r="E112" s="1389"/>
      <c r="F112" s="1389"/>
      <c r="G112" s="1389"/>
      <c r="H112" s="1389"/>
      <c r="I112" s="1389"/>
      <c r="J112" s="1389"/>
      <c r="K112" s="1389"/>
      <c r="L112" s="1389"/>
      <c r="M112" s="1389"/>
      <c r="N112" s="1389"/>
      <c r="O112" s="1389"/>
      <c r="P112" s="1389"/>
      <c r="Q112" s="1389"/>
      <c r="R112" s="1389"/>
      <c r="S112" s="1389"/>
      <c r="T112" s="1389"/>
      <c r="U112" s="1389"/>
      <c r="V112" s="1389"/>
    </row>
    <row r="113" spans="1:22" x14ac:dyDescent="0.25">
      <c r="A113" s="1389"/>
      <c r="B113" s="1389"/>
      <c r="C113" s="1389"/>
      <c r="D113" s="1389"/>
      <c r="E113" s="1389"/>
      <c r="F113" s="1389"/>
      <c r="G113" s="1389"/>
      <c r="H113" s="1389"/>
      <c r="I113" s="1389"/>
      <c r="J113" s="1389"/>
      <c r="K113" s="1389"/>
      <c r="L113" s="1389"/>
      <c r="M113" s="1389"/>
      <c r="N113" s="1389"/>
      <c r="O113" s="1389"/>
      <c r="P113" s="1389"/>
      <c r="Q113" s="1389"/>
      <c r="R113" s="1389"/>
      <c r="S113" s="1389"/>
      <c r="T113" s="1389"/>
      <c r="U113" s="1389"/>
      <c r="V113" s="1389"/>
    </row>
    <row r="114" spans="1:22" x14ac:dyDescent="0.25">
      <c r="A114" s="1389"/>
      <c r="B114" s="1389"/>
      <c r="C114" s="1389"/>
      <c r="D114" s="1389"/>
      <c r="E114" s="1389"/>
      <c r="F114" s="1389"/>
      <c r="G114" s="1389"/>
      <c r="H114" s="1389"/>
      <c r="I114" s="1389"/>
      <c r="J114" s="1389"/>
      <c r="K114" s="1389"/>
      <c r="L114" s="1389"/>
      <c r="M114" s="1389"/>
      <c r="N114" s="1389"/>
      <c r="O114" s="1389"/>
      <c r="P114" s="1389"/>
      <c r="Q114" s="1389"/>
      <c r="R114" s="1389"/>
      <c r="S114" s="1389"/>
      <c r="T114" s="1389"/>
      <c r="U114" s="1389"/>
      <c r="V114" s="1389"/>
    </row>
    <row r="115" spans="1:22" x14ac:dyDescent="0.25">
      <c r="A115" s="1389"/>
      <c r="B115" s="1389"/>
      <c r="C115" s="1389"/>
      <c r="D115" s="1389"/>
      <c r="E115" s="1389"/>
      <c r="F115" s="1389"/>
      <c r="G115" s="1389"/>
      <c r="H115" s="1389"/>
      <c r="I115" s="1389"/>
      <c r="J115" s="1389"/>
      <c r="K115" s="1389"/>
      <c r="L115" s="1389"/>
      <c r="M115" s="1389"/>
      <c r="N115" s="1389"/>
      <c r="O115" s="1389"/>
      <c r="P115" s="1389"/>
      <c r="Q115" s="1389"/>
      <c r="R115" s="1389"/>
      <c r="S115" s="1389"/>
      <c r="T115" s="1389"/>
      <c r="U115" s="1389"/>
      <c r="V115" s="1389"/>
    </row>
    <row r="116" spans="1:22" x14ac:dyDescent="0.25">
      <c r="A116" s="1389"/>
      <c r="B116" s="1389"/>
      <c r="C116" s="1389"/>
      <c r="D116" s="1389"/>
      <c r="E116" s="1389"/>
      <c r="F116" s="1389"/>
      <c r="G116" s="1389"/>
      <c r="H116" s="1389"/>
      <c r="I116" s="1389"/>
      <c r="J116" s="1389"/>
      <c r="K116" s="1389"/>
      <c r="L116" s="1389"/>
      <c r="M116" s="1389"/>
      <c r="N116" s="1389"/>
      <c r="O116" s="1389"/>
      <c r="P116" s="1389"/>
      <c r="Q116" s="1389"/>
      <c r="R116" s="1389"/>
      <c r="S116" s="1389"/>
      <c r="T116" s="1389"/>
      <c r="U116" s="1389"/>
      <c r="V116" s="1389"/>
    </row>
    <row r="117" spans="1:22" x14ac:dyDescent="0.25">
      <c r="A117" s="1389"/>
      <c r="B117" s="1389"/>
      <c r="C117" s="1389"/>
      <c r="D117" s="1389"/>
      <c r="E117" s="1389"/>
      <c r="F117" s="1389"/>
      <c r="G117" s="1389"/>
      <c r="H117" s="1389"/>
      <c r="I117" s="1389"/>
      <c r="J117" s="1389"/>
      <c r="K117" s="1389"/>
      <c r="L117" s="1389"/>
      <c r="M117" s="1389"/>
      <c r="N117" s="1389"/>
      <c r="O117" s="1389"/>
      <c r="P117" s="1389"/>
      <c r="Q117" s="1389"/>
      <c r="R117" s="1389"/>
      <c r="S117" s="1389"/>
      <c r="T117" s="1389"/>
      <c r="U117" s="1389"/>
      <c r="V117" s="1389"/>
    </row>
    <row r="118" spans="1:22" x14ac:dyDescent="0.25">
      <c r="A118" s="1389"/>
      <c r="B118" s="1389"/>
      <c r="C118" s="1389"/>
      <c r="D118" s="1389"/>
      <c r="E118" s="1389"/>
      <c r="F118" s="1389"/>
      <c r="G118" s="1389"/>
      <c r="H118" s="1389"/>
      <c r="I118" s="1389"/>
      <c r="J118" s="1389"/>
      <c r="K118" s="1389"/>
      <c r="L118" s="1389"/>
      <c r="M118" s="1389"/>
      <c r="N118" s="1389"/>
      <c r="O118" s="1389"/>
      <c r="P118" s="1389"/>
      <c r="Q118" s="1389"/>
      <c r="R118" s="1389"/>
      <c r="S118" s="1389"/>
      <c r="T118" s="1389"/>
      <c r="U118" s="1389"/>
      <c r="V118" s="1389"/>
    </row>
    <row r="119" spans="1:22" x14ac:dyDescent="0.25">
      <c r="A119" s="1389"/>
      <c r="B119" s="1389"/>
      <c r="C119" s="1389"/>
      <c r="D119" s="1389"/>
      <c r="E119" s="1389"/>
      <c r="F119" s="1389"/>
      <c r="G119" s="1389"/>
      <c r="H119" s="1389"/>
      <c r="I119" s="1389"/>
      <c r="J119" s="1389"/>
      <c r="K119" s="1389"/>
      <c r="L119" s="1389"/>
      <c r="M119" s="1389"/>
      <c r="N119" s="1389"/>
      <c r="O119" s="1389"/>
      <c r="P119" s="1389"/>
      <c r="Q119" s="1389"/>
      <c r="R119" s="1389"/>
      <c r="S119" s="1389"/>
      <c r="T119" s="1389"/>
      <c r="U119" s="1389"/>
      <c r="V119" s="1389"/>
    </row>
    <row r="120" spans="1:22" x14ac:dyDescent="0.25">
      <c r="A120" s="1389"/>
      <c r="B120" s="1389"/>
      <c r="C120" s="1389"/>
      <c r="D120" s="1389"/>
      <c r="E120" s="1389"/>
      <c r="F120" s="1389"/>
      <c r="G120" s="1389"/>
      <c r="H120" s="1389"/>
      <c r="I120" s="1389"/>
      <c r="J120" s="1389"/>
      <c r="K120" s="1389"/>
      <c r="L120" s="1389"/>
      <c r="M120" s="1389"/>
      <c r="N120" s="1389"/>
      <c r="O120" s="1389"/>
      <c r="P120" s="1389"/>
      <c r="Q120" s="1389"/>
      <c r="R120" s="1389"/>
      <c r="S120" s="1389"/>
      <c r="T120" s="1389"/>
      <c r="U120" s="1389"/>
      <c r="V120" s="1389"/>
    </row>
    <row r="121" spans="1:22" x14ac:dyDescent="0.25">
      <c r="A121" s="1389"/>
      <c r="B121" s="1389"/>
      <c r="C121" s="1389"/>
      <c r="D121" s="1389"/>
      <c r="E121" s="1389"/>
      <c r="F121" s="1389"/>
      <c r="G121" s="1389"/>
      <c r="H121" s="1389"/>
      <c r="I121" s="1389"/>
      <c r="J121" s="1389"/>
      <c r="K121" s="1389"/>
      <c r="L121" s="1389"/>
      <c r="M121" s="1389"/>
      <c r="N121" s="1389"/>
      <c r="O121" s="1389"/>
      <c r="P121" s="1389"/>
      <c r="Q121" s="1389"/>
      <c r="R121" s="1389"/>
      <c r="S121" s="1389"/>
      <c r="T121" s="1389"/>
      <c r="U121" s="1389"/>
      <c r="V121" s="1389"/>
    </row>
    <row r="122" spans="1:22" x14ac:dyDescent="0.25">
      <c r="A122" s="1389"/>
      <c r="B122" s="1389"/>
      <c r="C122" s="1389"/>
      <c r="D122" s="1389"/>
      <c r="E122" s="1389"/>
      <c r="F122" s="1389"/>
      <c r="G122" s="1389"/>
      <c r="H122" s="1389"/>
      <c r="I122" s="1389"/>
      <c r="J122" s="1389"/>
      <c r="K122" s="1389"/>
      <c r="L122" s="1389"/>
      <c r="M122" s="1389"/>
      <c r="N122" s="1389"/>
      <c r="O122" s="1389"/>
      <c r="P122" s="1389"/>
      <c r="Q122" s="1389"/>
      <c r="R122" s="1389"/>
      <c r="S122" s="1389"/>
      <c r="T122" s="1389"/>
      <c r="U122" s="1389"/>
      <c r="V122" s="1389"/>
    </row>
    <row r="123" spans="1:22" x14ac:dyDescent="0.25">
      <c r="A123" s="1389"/>
      <c r="B123" s="1389"/>
      <c r="C123" s="1389"/>
      <c r="D123" s="1389"/>
      <c r="E123" s="1389"/>
      <c r="F123" s="1389"/>
      <c r="G123" s="1389"/>
      <c r="H123" s="1389"/>
      <c r="I123" s="1389"/>
      <c r="J123" s="1389"/>
      <c r="K123" s="1389"/>
      <c r="L123" s="1389"/>
      <c r="M123" s="1389"/>
      <c r="N123" s="1389"/>
      <c r="O123" s="1389"/>
      <c r="P123" s="1389"/>
      <c r="Q123" s="1389"/>
      <c r="R123" s="1389"/>
      <c r="S123" s="1389"/>
      <c r="T123" s="1389"/>
      <c r="U123" s="1389"/>
      <c r="V123" s="1389"/>
    </row>
    <row r="124" spans="1:22" x14ac:dyDescent="0.25">
      <c r="A124" s="1389"/>
      <c r="B124" s="1389"/>
      <c r="C124" s="1389"/>
      <c r="D124" s="1389"/>
      <c r="E124" s="1389"/>
      <c r="F124" s="1389"/>
      <c r="G124" s="1389"/>
      <c r="H124" s="1389"/>
      <c r="I124" s="1389"/>
      <c r="J124" s="1389"/>
      <c r="K124" s="1389"/>
      <c r="L124" s="1389"/>
      <c r="M124" s="1389"/>
      <c r="N124" s="1389"/>
      <c r="O124" s="1389"/>
      <c r="P124" s="1389"/>
      <c r="Q124" s="1389"/>
      <c r="R124" s="1389"/>
      <c r="S124" s="1389"/>
      <c r="T124" s="1389"/>
      <c r="U124" s="1389"/>
      <c r="V124" s="1389"/>
    </row>
    <row r="125" spans="1:22" x14ac:dyDescent="0.25">
      <c r="A125" s="1389"/>
      <c r="B125" s="1389"/>
      <c r="C125" s="1389"/>
      <c r="D125" s="1389"/>
      <c r="E125" s="1389"/>
      <c r="F125" s="1389"/>
      <c r="G125" s="1389"/>
      <c r="H125" s="1389"/>
      <c r="I125" s="1389"/>
      <c r="J125" s="1389"/>
      <c r="K125" s="1389"/>
      <c r="L125" s="1389"/>
      <c r="M125" s="1389"/>
      <c r="N125" s="1389"/>
      <c r="O125" s="1389"/>
      <c r="P125" s="1389"/>
      <c r="Q125" s="1389"/>
      <c r="R125" s="1389"/>
      <c r="S125" s="1389"/>
      <c r="T125" s="1389"/>
      <c r="U125" s="1389"/>
      <c r="V125" s="1389"/>
    </row>
    <row r="126" spans="1:22" x14ac:dyDescent="0.25">
      <c r="A126" s="1389"/>
      <c r="B126" s="1389"/>
      <c r="C126" s="1389"/>
      <c r="D126" s="1389"/>
      <c r="E126" s="1389"/>
      <c r="F126" s="1389"/>
      <c r="G126" s="1389"/>
      <c r="H126" s="1389"/>
      <c r="I126" s="1389"/>
      <c r="J126" s="1389"/>
      <c r="K126" s="1389"/>
      <c r="L126" s="1389"/>
      <c r="M126" s="1389"/>
      <c r="N126" s="1389"/>
      <c r="O126" s="1389"/>
      <c r="P126" s="1389"/>
      <c r="Q126" s="1389"/>
      <c r="R126" s="1389"/>
      <c r="S126" s="1389"/>
      <c r="T126" s="1389"/>
      <c r="U126" s="1389"/>
      <c r="V126" s="1389"/>
    </row>
    <row r="127" spans="1:22" x14ac:dyDescent="0.25">
      <c r="A127" s="1389"/>
      <c r="B127" s="1389"/>
      <c r="C127" s="1389"/>
      <c r="D127" s="1389"/>
      <c r="E127" s="1389"/>
      <c r="F127" s="1389"/>
      <c r="G127" s="1389"/>
      <c r="H127" s="1389"/>
      <c r="I127" s="1389"/>
      <c r="J127" s="1389"/>
      <c r="K127" s="1389"/>
      <c r="L127" s="1389"/>
      <c r="M127" s="1389"/>
      <c r="N127" s="1389"/>
      <c r="O127" s="1389"/>
      <c r="P127" s="1389"/>
      <c r="Q127" s="1389"/>
      <c r="R127" s="1389"/>
      <c r="S127" s="1389"/>
      <c r="T127" s="1389"/>
      <c r="U127" s="1389"/>
      <c r="V127" s="1389"/>
    </row>
    <row r="128" spans="1:22" x14ac:dyDescent="0.25">
      <c r="A128" s="1389"/>
      <c r="B128" s="1389"/>
      <c r="C128" s="1389"/>
      <c r="D128" s="1389"/>
      <c r="E128" s="1389"/>
      <c r="F128" s="1389"/>
      <c r="G128" s="1389"/>
      <c r="H128" s="1389"/>
      <c r="I128" s="1389"/>
      <c r="J128" s="1389"/>
      <c r="K128" s="1389"/>
      <c r="L128" s="1389"/>
      <c r="M128" s="1389"/>
      <c r="N128" s="1389"/>
      <c r="O128" s="1389"/>
      <c r="P128" s="1389"/>
      <c r="Q128" s="1389"/>
      <c r="R128" s="1389"/>
      <c r="S128" s="1389"/>
      <c r="T128" s="1389"/>
      <c r="U128" s="1389"/>
      <c r="V128" s="1389"/>
    </row>
    <row r="129" spans="1:22" x14ac:dyDescent="0.25">
      <c r="A129" s="1389"/>
      <c r="B129" s="1389"/>
      <c r="C129" s="1389"/>
      <c r="D129" s="1389"/>
      <c r="E129" s="1389"/>
      <c r="F129" s="1389"/>
      <c r="G129" s="1389"/>
      <c r="H129" s="1389"/>
      <c r="I129" s="1389"/>
      <c r="J129" s="1389"/>
      <c r="K129" s="1389"/>
      <c r="L129" s="1389"/>
      <c r="M129" s="1389"/>
      <c r="N129" s="1389"/>
      <c r="O129" s="1389"/>
      <c r="P129" s="1389"/>
      <c r="Q129" s="1389"/>
      <c r="R129" s="1389"/>
      <c r="S129" s="1389"/>
      <c r="T129" s="1389"/>
      <c r="U129" s="1389"/>
      <c r="V129" s="1389"/>
    </row>
    <row r="130" spans="1:22" x14ac:dyDescent="0.25">
      <c r="A130" s="1389"/>
      <c r="B130" s="1389"/>
      <c r="C130" s="1389"/>
      <c r="D130" s="1389"/>
      <c r="E130" s="1389"/>
      <c r="F130" s="1389"/>
      <c r="G130" s="1389"/>
      <c r="H130" s="1389"/>
      <c r="I130" s="1389"/>
      <c r="J130" s="1389"/>
      <c r="K130" s="1389"/>
      <c r="L130" s="1389"/>
      <c r="M130" s="1389"/>
      <c r="N130" s="1389"/>
      <c r="O130" s="1389"/>
      <c r="P130" s="1389"/>
      <c r="Q130" s="1389"/>
      <c r="R130" s="1389"/>
      <c r="S130" s="1389"/>
      <c r="T130" s="1389"/>
      <c r="U130" s="1389"/>
      <c r="V130" s="1389"/>
    </row>
    <row r="131" spans="1:22" x14ac:dyDescent="0.25">
      <c r="A131" s="1389"/>
      <c r="B131" s="1389"/>
      <c r="C131" s="1389"/>
      <c r="D131" s="1389"/>
      <c r="E131" s="1389"/>
      <c r="F131" s="1389"/>
      <c r="G131" s="1389"/>
      <c r="H131" s="1389"/>
      <c r="I131" s="1389"/>
      <c r="J131" s="1389"/>
      <c r="K131" s="1389"/>
      <c r="L131" s="1389"/>
      <c r="M131" s="1389"/>
      <c r="N131" s="1389"/>
      <c r="O131" s="1389"/>
      <c r="P131" s="1389"/>
      <c r="Q131" s="1389"/>
      <c r="R131" s="1389"/>
      <c r="S131" s="1389"/>
      <c r="T131" s="1389"/>
      <c r="U131" s="1389"/>
      <c r="V131" s="1389"/>
    </row>
    <row r="132" spans="1:22" x14ac:dyDescent="0.25">
      <c r="A132" s="1389"/>
      <c r="B132" s="1389"/>
      <c r="C132" s="1389"/>
      <c r="D132" s="1389"/>
      <c r="E132" s="1389"/>
      <c r="F132" s="1389"/>
      <c r="G132" s="1389"/>
      <c r="H132" s="1389"/>
      <c r="I132" s="1389"/>
      <c r="J132" s="1389"/>
      <c r="K132" s="1389"/>
      <c r="L132" s="1389"/>
      <c r="M132" s="1389"/>
      <c r="N132" s="1389"/>
      <c r="O132" s="1389"/>
      <c r="P132" s="1389"/>
      <c r="Q132" s="1389"/>
      <c r="R132" s="1389"/>
      <c r="S132" s="1389"/>
      <c r="T132" s="1389"/>
      <c r="U132" s="1389"/>
      <c r="V132" s="1389"/>
    </row>
    <row r="133" spans="1:22" x14ac:dyDescent="0.25">
      <c r="A133" s="1389"/>
      <c r="B133" s="1389"/>
      <c r="C133" s="1389"/>
      <c r="D133" s="1389"/>
      <c r="E133" s="1389"/>
      <c r="F133" s="1389"/>
      <c r="G133" s="1389"/>
      <c r="H133" s="1389"/>
      <c r="I133" s="1389"/>
      <c r="J133" s="1389"/>
      <c r="K133" s="1389"/>
      <c r="L133" s="1389"/>
      <c r="M133" s="1389"/>
      <c r="N133" s="1389"/>
      <c r="O133" s="1389"/>
      <c r="P133" s="1389"/>
      <c r="Q133" s="1389"/>
      <c r="R133" s="1389"/>
      <c r="S133" s="1389"/>
      <c r="T133" s="1389"/>
      <c r="U133" s="1389"/>
      <c r="V133" s="1389"/>
    </row>
    <row r="134" spans="1:22" x14ac:dyDescent="0.25">
      <c r="A134" s="1389"/>
      <c r="B134" s="1389"/>
      <c r="C134" s="1389"/>
      <c r="D134" s="1389"/>
      <c r="E134" s="1389"/>
      <c r="F134" s="1389"/>
      <c r="G134" s="1389"/>
      <c r="H134" s="1389"/>
      <c r="I134" s="1389"/>
      <c r="J134" s="1389"/>
      <c r="K134" s="1389"/>
      <c r="L134" s="1389"/>
      <c r="M134" s="1389"/>
      <c r="N134" s="1389"/>
      <c r="O134" s="1389"/>
      <c r="P134" s="1389"/>
      <c r="Q134" s="1389"/>
      <c r="R134" s="1389"/>
      <c r="S134" s="1389"/>
      <c r="T134" s="1389"/>
      <c r="U134" s="1389"/>
      <c r="V134" s="1389"/>
    </row>
    <row r="135" spans="1:22" x14ac:dyDescent="0.25">
      <c r="A135" s="1389"/>
      <c r="B135" s="1389"/>
      <c r="C135" s="1389"/>
      <c r="D135" s="1389"/>
      <c r="E135" s="1389"/>
      <c r="F135" s="1389"/>
      <c r="G135" s="1389"/>
      <c r="H135" s="1389"/>
      <c r="I135" s="1389"/>
      <c r="J135" s="1389"/>
      <c r="K135" s="1389"/>
      <c r="L135" s="1389"/>
      <c r="M135" s="1389"/>
      <c r="N135" s="1389"/>
      <c r="O135" s="1389"/>
      <c r="P135" s="1389"/>
      <c r="Q135" s="1389"/>
      <c r="R135" s="1389"/>
      <c r="S135" s="1389"/>
      <c r="T135" s="1389"/>
      <c r="U135" s="1389"/>
      <c r="V135" s="1389"/>
    </row>
    <row r="136" spans="1:22" x14ac:dyDescent="0.25">
      <c r="A136" s="1389"/>
      <c r="B136" s="1389"/>
      <c r="C136" s="1389"/>
      <c r="D136" s="1389"/>
      <c r="E136" s="1389"/>
      <c r="F136" s="1389"/>
      <c r="G136" s="1389"/>
      <c r="H136" s="1389"/>
      <c r="I136" s="1389"/>
      <c r="J136" s="1389"/>
      <c r="K136" s="1389"/>
      <c r="L136" s="1389"/>
      <c r="M136" s="1389"/>
      <c r="N136" s="1389"/>
      <c r="O136" s="1389"/>
      <c r="P136" s="1389"/>
      <c r="Q136" s="1389"/>
      <c r="R136" s="1389"/>
      <c r="S136" s="1389"/>
      <c r="T136" s="1389"/>
      <c r="U136" s="1389"/>
      <c r="V136" s="1389"/>
    </row>
    <row r="137" spans="1:22" x14ac:dyDescent="0.25">
      <c r="A137" s="1389"/>
      <c r="B137" s="1389"/>
      <c r="C137" s="1389"/>
      <c r="D137" s="1389"/>
      <c r="E137" s="1389"/>
      <c r="F137" s="1389"/>
      <c r="G137" s="1389"/>
      <c r="H137" s="1389"/>
      <c r="I137" s="1389"/>
      <c r="J137" s="1389"/>
      <c r="K137" s="1389"/>
      <c r="L137" s="1389"/>
      <c r="M137" s="1389"/>
      <c r="N137" s="1389"/>
      <c r="O137" s="1389"/>
      <c r="P137" s="1389"/>
      <c r="Q137" s="1389"/>
      <c r="R137" s="1389"/>
      <c r="S137" s="1389"/>
      <c r="T137" s="1389"/>
      <c r="U137" s="1389"/>
      <c r="V137" s="1389"/>
    </row>
    <row r="138" spans="1:22" x14ac:dyDescent="0.25">
      <c r="A138" s="1389"/>
      <c r="B138" s="1389"/>
      <c r="C138" s="1389"/>
      <c r="D138" s="1389"/>
      <c r="E138" s="1389"/>
      <c r="F138" s="1389"/>
      <c r="G138" s="1389"/>
      <c r="H138" s="1389"/>
      <c r="I138" s="1389"/>
      <c r="J138" s="1389"/>
      <c r="K138" s="1389"/>
      <c r="L138" s="1389"/>
      <c r="M138" s="1389"/>
      <c r="N138" s="1389"/>
      <c r="O138" s="1389"/>
      <c r="P138" s="1389"/>
      <c r="Q138" s="1389"/>
      <c r="R138" s="1389"/>
      <c r="S138" s="1389"/>
      <c r="T138" s="1389"/>
      <c r="U138" s="1389"/>
      <c r="V138" s="1389"/>
    </row>
    <row r="139" spans="1:22" x14ac:dyDescent="0.25">
      <c r="A139" s="1389"/>
      <c r="B139" s="1389"/>
      <c r="C139" s="1389"/>
      <c r="D139" s="1389"/>
      <c r="E139" s="1389"/>
      <c r="F139" s="1389"/>
      <c r="G139" s="1389"/>
      <c r="H139" s="1389"/>
      <c r="I139" s="1389"/>
      <c r="J139" s="1389"/>
      <c r="K139" s="1389"/>
      <c r="L139" s="1389"/>
      <c r="M139" s="1389"/>
      <c r="N139" s="1389"/>
      <c r="O139" s="1389"/>
      <c r="P139" s="1389"/>
      <c r="Q139" s="1389"/>
      <c r="R139" s="1389"/>
      <c r="S139" s="1389"/>
      <c r="T139" s="1389"/>
      <c r="U139" s="1389"/>
      <c r="V139" s="1389"/>
    </row>
    <row r="140" spans="1:22" x14ac:dyDescent="0.25">
      <c r="A140" s="1389"/>
      <c r="B140" s="1389"/>
      <c r="C140" s="1389"/>
      <c r="D140" s="1389"/>
      <c r="E140" s="1389"/>
      <c r="F140" s="1389"/>
      <c r="G140" s="1389"/>
      <c r="H140" s="1389"/>
      <c r="I140" s="1389"/>
      <c r="J140" s="1389"/>
      <c r="K140" s="1389"/>
      <c r="L140" s="1389"/>
      <c r="M140" s="1389"/>
      <c r="N140" s="1389"/>
      <c r="O140" s="1389"/>
      <c r="P140" s="1389"/>
      <c r="Q140" s="1389"/>
      <c r="R140" s="1389"/>
      <c r="S140" s="1389"/>
      <c r="T140" s="1389"/>
      <c r="U140" s="1389"/>
      <c r="V140" s="1389"/>
    </row>
    <row r="141" spans="1:22" x14ac:dyDescent="0.25">
      <c r="A141" s="1389"/>
      <c r="B141" s="1389"/>
      <c r="C141" s="1389"/>
      <c r="D141" s="1389"/>
      <c r="E141" s="1389"/>
      <c r="F141" s="1389"/>
      <c r="G141" s="1389"/>
      <c r="H141" s="1389"/>
      <c r="I141" s="1389"/>
      <c r="J141" s="1389"/>
      <c r="K141" s="1389"/>
      <c r="L141" s="1389"/>
      <c r="M141" s="1389"/>
      <c r="N141" s="1389"/>
      <c r="O141" s="1389"/>
      <c r="P141" s="1389"/>
      <c r="Q141" s="1389"/>
      <c r="R141" s="1389"/>
      <c r="S141" s="1389"/>
      <c r="T141" s="1389"/>
      <c r="U141" s="1389"/>
      <c r="V141" s="1389"/>
    </row>
    <row r="142" spans="1:22" x14ac:dyDescent="0.25">
      <c r="A142" s="1389"/>
      <c r="B142" s="1389"/>
      <c r="C142" s="1389"/>
      <c r="D142" s="1389"/>
      <c r="E142" s="1389"/>
      <c r="F142" s="1389"/>
      <c r="G142" s="1389"/>
      <c r="H142" s="1389"/>
      <c r="I142" s="1389"/>
      <c r="J142" s="1389"/>
      <c r="K142" s="1389"/>
      <c r="L142" s="1389"/>
      <c r="M142" s="1389"/>
      <c r="N142" s="1389"/>
      <c r="O142" s="1389"/>
      <c r="P142" s="1389"/>
      <c r="Q142" s="1389"/>
      <c r="R142" s="1389"/>
      <c r="S142" s="1389"/>
      <c r="T142" s="1389"/>
      <c r="U142" s="1389"/>
      <c r="V142" s="1389"/>
    </row>
    <row r="143" spans="1:22" x14ac:dyDescent="0.25">
      <c r="A143" s="1389"/>
      <c r="B143" s="1389"/>
      <c r="C143" s="1389"/>
      <c r="D143" s="1389"/>
      <c r="E143" s="1389"/>
      <c r="F143" s="1389"/>
      <c r="G143" s="1389"/>
      <c r="H143" s="1389"/>
      <c r="I143" s="1389"/>
      <c r="J143" s="1389"/>
      <c r="K143" s="1389"/>
      <c r="L143" s="1389"/>
      <c r="M143" s="1389"/>
      <c r="N143" s="1389"/>
      <c r="O143" s="1389"/>
      <c r="P143" s="1389"/>
      <c r="Q143" s="1389"/>
      <c r="R143" s="1389"/>
      <c r="S143" s="1389"/>
      <c r="T143" s="1389"/>
      <c r="U143" s="1389"/>
      <c r="V143" s="1389"/>
    </row>
    <row r="144" spans="1:22" x14ac:dyDescent="0.25">
      <c r="A144" s="1389"/>
      <c r="B144" s="1389"/>
      <c r="C144" s="1389"/>
      <c r="D144" s="1389"/>
      <c r="E144" s="1389"/>
      <c r="F144" s="1389"/>
      <c r="G144" s="1389"/>
      <c r="H144" s="1389"/>
      <c r="I144" s="1389"/>
      <c r="J144" s="1389"/>
      <c r="K144" s="1389"/>
      <c r="L144" s="1389"/>
      <c r="M144" s="1389"/>
      <c r="N144" s="1389"/>
      <c r="O144" s="1389"/>
      <c r="P144" s="1389"/>
      <c r="Q144" s="1389"/>
      <c r="R144" s="1389"/>
      <c r="S144" s="1389"/>
      <c r="T144" s="1389"/>
      <c r="U144" s="1389"/>
      <c r="V144" s="1389"/>
    </row>
    <row r="145" spans="1:22" x14ac:dyDescent="0.25">
      <c r="A145" s="1389"/>
      <c r="B145" s="1389"/>
      <c r="C145" s="1389"/>
      <c r="D145" s="1389"/>
      <c r="E145" s="1389"/>
      <c r="F145" s="1389"/>
      <c r="G145" s="1389"/>
      <c r="H145" s="1389"/>
      <c r="I145" s="1389"/>
      <c r="J145" s="1389"/>
      <c r="K145" s="1389"/>
      <c r="L145" s="1389"/>
      <c r="M145" s="1389"/>
      <c r="N145" s="1389"/>
      <c r="O145" s="1389"/>
      <c r="P145" s="1389"/>
      <c r="Q145" s="1389"/>
      <c r="R145" s="1389"/>
      <c r="S145" s="1389"/>
      <c r="T145" s="1389"/>
      <c r="U145" s="1389"/>
      <c r="V145" s="1389"/>
    </row>
    <row r="146" spans="1:22" x14ac:dyDescent="0.25">
      <c r="A146" s="1389"/>
      <c r="B146" s="1389"/>
      <c r="C146" s="1389"/>
      <c r="D146" s="1389"/>
      <c r="E146" s="1389"/>
      <c r="F146" s="1389"/>
      <c r="G146" s="1389"/>
      <c r="H146" s="1389"/>
      <c r="I146" s="1389"/>
      <c r="J146" s="1389"/>
      <c r="K146" s="1389"/>
      <c r="L146" s="1389"/>
      <c r="M146" s="1389"/>
      <c r="N146" s="1389"/>
      <c r="O146" s="1389"/>
      <c r="P146" s="1389"/>
      <c r="Q146" s="1389"/>
      <c r="R146" s="1389"/>
      <c r="S146" s="1389"/>
      <c r="T146" s="1389"/>
      <c r="U146" s="1389"/>
      <c r="V146" s="1389"/>
    </row>
    <row r="147" spans="1:22" x14ac:dyDescent="0.25">
      <c r="A147" s="1389"/>
      <c r="B147" s="1389"/>
      <c r="C147" s="1389"/>
      <c r="D147" s="1389"/>
      <c r="E147" s="1389"/>
      <c r="F147" s="1389"/>
      <c r="G147" s="1389"/>
      <c r="H147" s="1389"/>
      <c r="I147" s="1389"/>
      <c r="J147" s="1389"/>
      <c r="K147" s="1389"/>
      <c r="L147" s="1389"/>
      <c r="M147" s="1389"/>
      <c r="N147" s="1389"/>
      <c r="O147" s="1389"/>
      <c r="P147" s="1389"/>
      <c r="Q147" s="1389"/>
      <c r="R147" s="1389"/>
      <c r="S147" s="1389"/>
      <c r="T147" s="1389"/>
      <c r="U147" s="1389"/>
      <c r="V147" s="1389"/>
    </row>
    <row r="148" spans="1:22" x14ac:dyDescent="0.25">
      <c r="A148" s="1389"/>
      <c r="B148" s="1389"/>
      <c r="C148" s="1389"/>
      <c r="D148" s="1389"/>
      <c r="E148" s="1389"/>
      <c r="F148" s="1389"/>
      <c r="G148" s="1389"/>
      <c r="H148" s="1389"/>
      <c r="I148" s="1389"/>
      <c r="J148" s="1389"/>
      <c r="K148" s="1389"/>
      <c r="L148" s="1389"/>
      <c r="M148" s="1389"/>
      <c r="N148" s="1389"/>
      <c r="O148" s="1389"/>
      <c r="P148" s="1389"/>
      <c r="Q148" s="1389"/>
      <c r="R148" s="1389"/>
      <c r="S148" s="1389"/>
      <c r="T148" s="1389"/>
      <c r="U148" s="1389"/>
      <c r="V148" s="1389"/>
    </row>
    <row r="149" spans="1:22" x14ac:dyDescent="0.25">
      <c r="A149" s="1389"/>
      <c r="B149" s="1389"/>
      <c r="C149" s="1389"/>
      <c r="D149" s="1389"/>
      <c r="E149" s="1389"/>
      <c r="F149" s="1389"/>
      <c r="G149" s="1389"/>
      <c r="H149" s="1389"/>
      <c r="I149" s="1389"/>
      <c r="J149" s="1389"/>
      <c r="K149" s="1389"/>
      <c r="L149" s="1389"/>
      <c r="M149" s="1389"/>
      <c r="N149" s="1389"/>
      <c r="O149" s="1389"/>
      <c r="P149" s="1389"/>
      <c r="Q149" s="1389"/>
      <c r="R149" s="1389"/>
      <c r="S149" s="1389"/>
      <c r="T149" s="1389"/>
      <c r="U149" s="1389"/>
      <c r="V149" s="1389"/>
    </row>
    <row r="150" spans="1:22" x14ac:dyDescent="0.25">
      <c r="A150" s="1389"/>
      <c r="B150" s="1389"/>
      <c r="C150" s="1389"/>
      <c r="D150" s="1389"/>
      <c r="E150" s="1389"/>
      <c r="F150" s="1389"/>
      <c r="G150" s="1389"/>
      <c r="H150" s="1389"/>
      <c r="I150" s="1389"/>
      <c r="J150" s="1389"/>
      <c r="K150" s="1389"/>
      <c r="L150" s="1389"/>
      <c r="M150" s="1389"/>
      <c r="N150" s="1389"/>
      <c r="O150" s="1389"/>
      <c r="P150" s="1389"/>
      <c r="Q150" s="1389"/>
      <c r="R150" s="1389"/>
      <c r="S150" s="1389"/>
      <c r="T150" s="1389"/>
      <c r="U150" s="1389"/>
      <c r="V150" s="1389"/>
    </row>
    <row r="151" spans="1:22" x14ac:dyDescent="0.25">
      <c r="A151" s="1389"/>
      <c r="B151" s="1389"/>
      <c r="C151" s="1389"/>
      <c r="D151" s="1389"/>
      <c r="E151" s="1389"/>
      <c r="F151" s="1389"/>
      <c r="G151" s="1389"/>
      <c r="H151" s="1389"/>
      <c r="I151" s="1389"/>
      <c r="J151" s="1389"/>
      <c r="K151" s="1389"/>
      <c r="L151" s="1389"/>
      <c r="M151" s="1389"/>
      <c r="N151" s="1389"/>
      <c r="O151" s="1389"/>
      <c r="P151" s="1389"/>
      <c r="Q151" s="1389"/>
      <c r="R151" s="1389"/>
      <c r="S151" s="1389"/>
      <c r="T151" s="1389"/>
      <c r="U151" s="1389"/>
      <c r="V151" s="1389"/>
    </row>
    <row r="152" spans="1:22" x14ac:dyDescent="0.25">
      <c r="A152" s="1389"/>
      <c r="B152" s="1389"/>
      <c r="C152" s="1389"/>
      <c r="D152" s="1389"/>
      <c r="E152" s="1389"/>
      <c r="F152" s="1389"/>
      <c r="G152" s="1389"/>
      <c r="H152" s="1389"/>
      <c r="I152" s="1389"/>
      <c r="J152" s="1389"/>
      <c r="K152" s="1389"/>
      <c r="L152" s="1389"/>
      <c r="M152" s="1389"/>
      <c r="N152" s="1389"/>
      <c r="O152" s="1389"/>
      <c r="P152" s="1389"/>
      <c r="Q152" s="1389"/>
      <c r="R152" s="1389"/>
      <c r="S152" s="1389"/>
      <c r="T152" s="1389"/>
      <c r="U152" s="1389"/>
      <c r="V152" s="1389"/>
    </row>
    <row r="153" spans="1:22" x14ac:dyDescent="0.25">
      <c r="A153" s="1389"/>
      <c r="B153" s="1389"/>
      <c r="C153" s="1389"/>
      <c r="D153" s="1389"/>
      <c r="E153" s="1389"/>
      <c r="F153" s="1389"/>
      <c r="G153" s="1389"/>
      <c r="H153" s="1389"/>
      <c r="I153" s="1389"/>
      <c r="J153" s="1389"/>
      <c r="K153" s="1389"/>
      <c r="L153" s="1389"/>
      <c r="M153" s="1389"/>
      <c r="N153" s="1389"/>
      <c r="O153" s="1389"/>
      <c r="P153" s="1389"/>
      <c r="Q153" s="1389"/>
      <c r="R153" s="1389"/>
      <c r="S153" s="1389"/>
      <c r="T153" s="1389"/>
      <c r="U153" s="1389"/>
      <c r="V153" s="1389"/>
    </row>
    <row r="154" spans="1:22" x14ac:dyDescent="0.25">
      <c r="A154" s="1389"/>
      <c r="B154" s="1389"/>
      <c r="C154" s="1389"/>
      <c r="D154" s="1389"/>
      <c r="E154" s="1389"/>
      <c r="F154" s="1389"/>
      <c r="G154" s="1389"/>
      <c r="H154" s="1389"/>
      <c r="I154" s="1389"/>
      <c r="J154" s="1389"/>
      <c r="K154" s="1389"/>
      <c r="L154" s="1389"/>
      <c r="M154" s="1389"/>
      <c r="N154" s="1389"/>
      <c r="O154" s="1389"/>
      <c r="P154" s="1389"/>
      <c r="Q154" s="1389"/>
      <c r="R154" s="1389"/>
      <c r="S154" s="1389"/>
      <c r="T154" s="1389"/>
      <c r="U154" s="1389"/>
      <c r="V154" s="1389"/>
    </row>
    <row r="155" spans="1:22" x14ac:dyDescent="0.25">
      <c r="A155" s="1389"/>
      <c r="B155" s="1389"/>
      <c r="C155" s="1389"/>
      <c r="D155" s="1389"/>
      <c r="E155" s="1389"/>
      <c r="F155" s="1389"/>
      <c r="G155" s="1389"/>
      <c r="H155" s="1389"/>
      <c r="I155" s="1389"/>
      <c r="J155" s="1389"/>
      <c r="K155" s="1389"/>
      <c r="L155" s="1389"/>
      <c r="M155" s="1389"/>
      <c r="N155" s="1389"/>
      <c r="O155" s="1389"/>
      <c r="P155" s="1389"/>
      <c r="Q155" s="1389"/>
      <c r="R155" s="1389"/>
      <c r="S155" s="1389"/>
      <c r="T155" s="1389"/>
      <c r="U155" s="1389"/>
      <c r="V155" s="1389"/>
    </row>
    <row r="156" spans="1:22" x14ac:dyDescent="0.25">
      <c r="A156" s="1389"/>
      <c r="B156" s="1389"/>
      <c r="C156" s="1389"/>
      <c r="D156" s="1389"/>
      <c r="E156" s="1389"/>
      <c r="F156" s="1389"/>
      <c r="G156" s="1389"/>
      <c r="H156" s="1389"/>
      <c r="I156" s="1389"/>
      <c r="J156" s="1389"/>
      <c r="K156" s="1389"/>
      <c r="L156" s="1389"/>
      <c r="M156" s="1389"/>
      <c r="N156" s="1389"/>
      <c r="O156" s="1389"/>
      <c r="P156" s="1389"/>
      <c r="Q156" s="1389"/>
      <c r="R156" s="1389"/>
      <c r="S156" s="1389"/>
      <c r="T156" s="1389"/>
      <c r="U156" s="1389"/>
      <c r="V156" s="1389"/>
    </row>
    <row r="157" spans="1:22" x14ac:dyDescent="0.25">
      <c r="A157" s="1389"/>
      <c r="B157" s="1389"/>
      <c r="C157" s="1389"/>
      <c r="D157" s="1389"/>
      <c r="E157" s="1389"/>
      <c r="F157" s="1389"/>
      <c r="G157" s="1389"/>
      <c r="H157" s="1389"/>
      <c r="I157" s="1389"/>
      <c r="J157" s="1389"/>
      <c r="K157" s="1389"/>
      <c r="L157" s="1389"/>
      <c r="M157" s="1389"/>
      <c r="N157" s="1389"/>
      <c r="O157" s="1389"/>
      <c r="P157" s="1389"/>
      <c r="Q157" s="1389"/>
      <c r="R157" s="1389"/>
      <c r="S157" s="1389"/>
      <c r="T157" s="1389"/>
      <c r="U157" s="1389"/>
      <c r="V157" s="1389"/>
    </row>
    <row r="158" spans="1:22" x14ac:dyDescent="0.25">
      <c r="A158" s="1389"/>
      <c r="B158" s="1389"/>
      <c r="C158" s="1389"/>
      <c r="D158" s="1389"/>
      <c r="E158" s="1389"/>
      <c r="F158" s="1389"/>
      <c r="G158" s="1389"/>
      <c r="H158" s="1389"/>
      <c r="I158" s="1389"/>
      <c r="J158" s="1389"/>
      <c r="K158" s="1389"/>
      <c r="L158" s="1389"/>
      <c r="M158" s="1389"/>
      <c r="N158" s="1389"/>
      <c r="O158" s="1389"/>
      <c r="P158" s="1389"/>
      <c r="Q158" s="1389"/>
      <c r="R158" s="1389"/>
      <c r="S158" s="1389"/>
      <c r="T158" s="1389"/>
      <c r="U158" s="1389"/>
      <c r="V158" s="1389"/>
    </row>
    <row r="159" spans="1:22" x14ac:dyDescent="0.25">
      <c r="A159" s="1389"/>
      <c r="B159" s="1389"/>
      <c r="C159" s="1389"/>
      <c r="D159" s="1389"/>
      <c r="E159" s="1389"/>
      <c r="F159" s="1389"/>
      <c r="G159" s="1389"/>
      <c r="H159" s="1389"/>
      <c r="I159" s="1389"/>
      <c r="J159" s="1389"/>
      <c r="K159" s="1389"/>
      <c r="L159" s="1389"/>
      <c r="M159" s="1389"/>
      <c r="N159" s="1389"/>
      <c r="O159" s="1389"/>
      <c r="P159" s="1389"/>
      <c r="Q159" s="1389"/>
      <c r="R159" s="1389"/>
      <c r="S159" s="1389"/>
      <c r="T159" s="1389"/>
      <c r="U159" s="1389"/>
      <c r="V159" s="1389"/>
    </row>
    <row r="160" spans="1:22" x14ac:dyDescent="0.25">
      <c r="A160" s="1389"/>
      <c r="B160" s="1389"/>
      <c r="C160" s="1389"/>
      <c r="D160" s="1389"/>
      <c r="E160" s="1389"/>
      <c r="F160" s="1389"/>
      <c r="G160" s="1389"/>
      <c r="H160" s="1389"/>
      <c r="I160" s="1389"/>
      <c r="J160" s="1389"/>
      <c r="K160" s="1389"/>
      <c r="L160" s="1389"/>
      <c r="M160" s="1389"/>
      <c r="N160" s="1389"/>
      <c r="O160" s="1389"/>
      <c r="P160" s="1389"/>
      <c r="Q160" s="1389"/>
      <c r="R160" s="1389"/>
      <c r="S160" s="1389"/>
      <c r="T160" s="1389"/>
      <c r="U160" s="1389"/>
      <c r="V160" s="1389"/>
    </row>
    <row r="161" spans="1:22" x14ac:dyDescent="0.25">
      <c r="A161" s="1389"/>
      <c r="B161" s="1389"/>
      <c r="C161" s="1389"/>
      <c r="D161" s="1389"/>
      <c r="E161" s="1389"/>
      <c r="F161" s="1389"/>
      <c r="G161" s="1389"/>
      <c r="H161" s="1389"/>
      <c r="I161" s="1389"/>
      <c r="J161" s="1389"/>
      <c r="K161" s="1389"/>
      <c r="L161" s="1389"/>
      <c r="M161" s="1389"/>
      <c r="N161" s="1389"/>
      <c r="O161" s="1389"/>
      <c r="P161" s="1389"/>
      <c r="Q161" s="1389"/>
      <c r="R161" s="1389"/>
      <c r="S161" s="1389"/>
      <c r="T161" s="1389"/>
      <c r="U161" s="1389"/>
      <c r="V161" s="1389"/>
    </row>
    <row r="162" spans="1:22" x14ac:dyDescent="0.25">
      <c r="A162" s="1389"/>
      <c r="B162" s="1389"/>
      <c r="C162" s="1389"/>
      <c r="D162" s="1389"/>
      <c r="E162" s="1389"/>
      <c r="F162" s="1389"/>
      <c r="G162" s="1389"/>
      <c r="H162" s="1389"/>
      <c r="I162" s="1389"/>
      <c r="J162" s="1389"/>
      <c r="K162" s="1389"/>
      <c r="L162" s="1389"/>
      <c r="M162" s="1389"/>
      <c r="N162" s="1389"/>
      <c r="O162" s="1389"/>
      <c r="P162" s="1389"/>
      <c r="Q162" s="1389"/>
      <c r="R162" s="1389"/>
      <c r="S162" s="1389"/>
      <c r="T162" s="1389"/>
      <c r="U162" s="1389"/>
      <c r="V162" s="1389"/>
    </row>
    <row r="163" spans="1:22" x14ac:dyDescent="0.25">
      <c r="A163" s="1389"/>
      <c r="B163" s="1389"/>
      <c r="C163" s="1389"/>
      <c r="D163" s="1389"/>
      <c r="E163" s="1389"/>
      <c r="F163" s="1389"/>
      <c r="G163" s="1389"/>
      <c r="H163" s="1389"/>
      <c r="I163" s="1389"/>
      <c r="J163" s="1389"/>
      <c r="K163" s="1389"/>
      <c r="L163" s="1389"/>
      <c r="M163" s="1389"/>
      <c r="N163" s="1389"/>
      <c r="O163" s="1389"/>
      <c r="P163" s="1389"/>
      <c r="Q163" s="1389"/>
      <c r="R163" s="1389"/>
      <c r="S163" s="1389"/>
      <c r="T163" s="1389"/>
      <c r="U163" s="1389"/>
      <c r="V163" s="1389"/>
    </row>
    <row r="164" spans="1:22" x14ac:dyDescent="0.25">
      <c r="A164" s="1389"/>
      <c r="B164" s="1389"/>
      <c r="C164" s="1389"/>
      <c r="D164" s="1389"/>
      <c r="E164" s="1389"/>
      <c r="F164" s="1389"/>
      <c r="G164" s="1389"/>
      <c r="H164" s="1389"/>
      <c r="I164" s="1389"/>
      <c r="J164" s="1389"/>
      <c r="K164" s="1389"/>
      <c r="L164" s="1389"/>
      <c r="M164" s="1389"/>
      <c r="N164" s="1389"/>
      <c r="O164" s="1389"/>
      <c r="P164" s="1389"/>
      <c r="Q164" s="1389"/>
      <c r="R164" s="1389"/>
      <c r="S164" s="1389"/>
      <c r="T164" s="1389"/>
      <c r="U164" s="1389"/>
      <c r="V164" s="1389"/>
    </row>
    <row r="165" spans="1:22" x14ac:dyDescent="0.25">
      <c r="A165" s="1389"/>
      <c r="B165" s="1389"/>
      <c r="C165" s="1389"/>
      <c r="D165" s="1389"/>
      <c r="E165" s="1389"/>
      <c r="F165" s="1389"/>
      <c r="G165" s="1389"/>
      <c r="H165" s="1389"/>
      <c r="I165" s="1389"/>
      <c r="J165" s="1389"/>
      <c r="K165" s="1389"/>
      <c r="L165" s="1389"/>
      <c r="M165" s="1389"/>
      <c r="N165" s="1389"/>
      <c r="O165" s="1389"/>
      <c r="P165" s="1389"/>
      <c r="Q165" s="1389"/>
      <c r="R165" s="1389"/>
      <c r="S165" s="1389"/>
      <c r="T165" s="1389"/>
      <c r="U165" s="1389"/>
      <c r="V165" s="1389"/>
    </row>
    <row r="166" spans="1:22" x14ac:dyDescent="0.25">
      <c r="A166" s="1389"/>
      <c r="B166" s="1389"/>
      <c r="C166" s="1389"/>
      <c r="D166" s="1389"/>
      <c r="E166" s="1389"/>
      <c r="F166" s="1389"/>
      <c r="G166" s="1389"/>
      <c r="H166" s="1389"/>
      <c r="I166" s="1389"/>
      <c r="J166" s="1389"/>
      <c r="K166" s="1389"/>
      <c r="L166" s="1389"/>
      <c r="M166" s="1389"/>
      <c r="N166" s="1389"/>
      <c r="O166" s="1389"/>
      <c r="P166" s="1389"/>
      <c r="Q166" s="1389"/>
      <c r="R166" s="1389"/>
      <c r="S166" s="1389"/>
      <c r="T166" s="1389"/>
      <c r="U166" s="1389"/>
      <c r="V166" s="1389"/>
    </row>
    <row r="167" spans="1:22" x14ac:dyDescent="0.25">
      <c r="A167" s="1389"/>
      <c r="B167" s="1389"/>
      <c r="C167" s="1389"/>
      <c r="D167" s="1389"/>
      <c r="E167" s="1389"/>
      <c r="F167" s="1389"/>
      <c r="G167" s="1389"/>
      <c r="H167" s="1389"/>
      <c r="I167" s="1389"/>
      <c r="J167" s="1389"/>
      <c r="K167" s="1389"/>
      <c r="L167" s="1389"/>
      <c r="M167" s="1389"/>
      <c r="N167" s="1389"/>
      <c r="O167" s="1389"/>
      <c r="P167" s="1389"/>
      <c r="Q167" s="1389"/>
      <c r="R167" s="1389"/>
      <c r="S167" s="1389"/>
      <c r="T167" s="1389"/>
      <c r="U167" s="1389"/>
      <c r="V167" s="1389"/>
    </row>
    <row r="168" spans="1:22" x14ac:dyDescent="0.25">
      <c r="A168" s="1389"/>
      <c r="B168" s="1389"/>
      <c r="C168" s="1389"/>
      <c r="D168" s="1389"/>
      <c r="E168" s="1389"/>
      <c r="F168" s="1389"/>
      <c r="G168" s="1389"/>
      <c r="H168" s="1389"/>
      <c r="I168" s="1389"/>
      <c r="J168" s="1389"/>
      <c r="K168" s="1389"/>
      <c r="L168" s="1389"/>
      <c r="M168" s="1389"/>
      <c r="N168" s="1389"/>
      <c r="O168" s="1389"/>
      <c r="P168" s="1389"/>
      <c r="Q168" s="1389"/>
      <c r="R168" s="1389"/>
      <c r="S168" s="1389"/>
      <c r="T168" s="1389"/>
      <c r="U168" s="1389"/>
      <c r="V168" s="1389"/>
    </row>
    <row r="169" spans="1:22" x14ac:dyDescent="0.25">
      <c r="A169" s="1389"/>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row>
    <row r="170" spans="1:22" x14ac:dyDescent="0.25">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row>
    <row r="171" spans="1:22" x14ac:dyDescent="0.25">
      <c r="A171" s="1389"/>
      <c r="B171" s="1389"/>
      <c r="C171" s="1389"/>
      <c r="D171" s="1389"/>
      <c r="E171" s="1389"/>
      <c r="F171" s="1389"/>
      <c r="G171" s="1389"/>
      <c r="H171" s="1389"/>
      <c r="I171" s="1389"/>
      <c r="J171" s="1389"/>
      <c r="K171" s="1389"/>
      <c r="L171" s="1389"/>
      <c r="M171" s="1389"/>
      <c r="N171" s="1389"/>
      <c r="O171" s="1389"/>
      <c r="P171" s="1389"/>
      <c r="Q171" s="1389"/>
      <c r="R171" s="1389"/>
      <c r="S171" s="1389"/>
      <c r="T171" s="1389"/>
      <c r="U171" s="1389"/>
      <c r="V171" s="1389"/>
    </row>
    <row r="172" spans="1:22" x14ac:dyDescent="0.25">
      <c r="A172" s="1389"/>
      <c r="B172" s="1389"/>
      <c r="C172" s="1389"/>
      <c r="D172" s="1389"/>
      <c r="E172" s="1389"/>
      <c r="F172" s="1389"/>
      <c r="G172" s="1389"/>
      <c r="H172" s="1389"/>
      <c r="I172" s="1389"/>
      <c r="J172" s="1389"/>
      <c r="K172" s="1389"/>
      <c r="L172" s="1389"/>
      <c r="M172" s="1389"/>
      <c r="N172" s="1389"/>
      <c r="O172" s="1389"/>
      <c r="P172" s="1389"/>
      <c r="Q172" s="1389"/>
      <c r="R172" s="1389"/>
      <c r="S172" s="1389"/>
      <c r="T172" s="1389"/>
      <c r="U172" s="1389"/>
      <c r="V172" s="1389"/>
    </row>
    <row r="173" spans="1:22" x14ac:dyDescent="0.25">
      <c r="A173" s="1389"/>
      <c r="B173" s="1389"/>
      <c r="C173" s="1389"/>
      <c r="D173" s="1389"/>
      <c r="E173" s="1389"/>
      <c r="F173" s="1389"/>
      <c r="G173" s="1389"/>
      <c r="H173" s="1389"/>
      <c r="I173" s="1389"/>
      <c r="J173" s="1389"/>
      <c r="K173" s="1389"/>
      <c r="L173" s="1389"/>
      <c r="M173" s="1389"/>
      <c r="N173" s="1389"/>
      <c r="O173" s="1389"/>
      <c r="P173" s="1389"/>
      <c r="Q173" s="1389"/>
      <c r="R173" s="1389"/>
      <c r="S173" s="1389"/>
      <c r="T173" s="1389"/>
      <c r="U173" s="1389"/>
      <c r="V173" s="1389"/>
    </row>
    <row r="174" spans="1:22" x14ac:dyDescent="0.25">
      <c r="A174" s="1389"/>
      <c r="B174" s="1389"/>
      <c r="C174" s="1389"/>
      <c r="D174" s="1389"/>
      <c r="E174" s="1389"/>
      <c r="F174" s="1389"/>
      <c r="G174" s="1389"/>
      <c r="H174" s="1389"/>
      <c r="I174" s="1389"/>
      <c r="J174" s="1389"/>
      <c r="K174" s="1389"/>
      <c r="L174" s="1389"/>
      <c r="M174" s="1389"/>
      <c r="N174" s="1389"/>
      <c r="O174" s="1389"/>
      <c r="P174" s="1389"/>
      <c r="Q174" s="1389"/>
      <c r="R174" s="1389"/>
      <c r="S174" s="1389"/>
      <c r="T174" s="1389"/>
      <c r="U174" s="1389"/>
      <c r="V174" s="1389"/>
    </row>
    <row r="175" spans="1:22" x14ac:dyDescent="0.25">
      <c r="A175" s="1389"/>
      <c r="B175" s="1389"/>
      <c r="C175" s="1389"/>
      <c r="D175" s="1389"/>
      <c r="E175" s="1389"/>
      <c r="F175" s="1389"/>
      <c r="G175" s="1389"/>
      <c r="H175" s="1389"/>
      <c r="I175" s="1389"/>
      <c r="J175" s="1389"/>
      <c r="K175" s="1389"/>
      <c r="L175" s="1389"/>
      <c r="M175" s="1389"/>
      <c r="N175" s="1389"/>
      <c r="O175" s="1389"/>
      <c r="P175" s="1389"/>
      <c r="Q175" s="1389"/>
      <c r="R175" s="1389"/>
      <c r="S175" s="1389"/>
      <c r="T175" s="1389"/>
      <c r="U175" s="1389"/>
      <c r="V175" s="1389"/>
    </row>
    <row r="176" spans="1:22" x14ac:dyDescent="0.25">
      <c r="A176" s="1389"/>
      <c r="B176" s="1389"/>
      <c r="C176" s="1389"/>
      <c r="D176" s="1389"/>
      <c r="E176" s="1389"/>
      <c r="F176" s="1389"/>
      <c r="G176" s="1389"/>
      <c r="H176" s="1389"/>
      <c r="I176" s="1389"/>
      <c r="J176" s="1389"/>
      <c r="K176" s="1389"/>
      <c r="L176" s="1389"/>
      <c r="M176" s="1389"/>
      <c r="N176" s="1389"/>
      <c r="O176" s="1389"/>
      <c r="P176" s="1389"/>
      <c r="Q176" s="1389"/>
      <c r="R176" s="1389"/>
      <c r="S176" s="1389"/>
      <c r="T176" s="1389"/>
      <c r="U176" s="1389"/>
      <c r="V176" s="1389"/>
    </row>
    <row r="177" spans="1:22" x14ac:dyDescent="0.25">
      <c r="A177" s="1389"/>
      <c r="B177" s="1389"/>
      <c r="C177" s="1389"/>
      <c r="D177" s="1389"/>
      <c r="E177" s="1389"/>
      <c r="F177" s="1389"/>
      <c r="G177" s="1389"/>
      <c r="H177" s="1389"/>
      <c r="I177" s="1389"/>
      <c r="J177" s="1389"/>
      <c r="K177" s="1389"/>
      <c r="L177" s="1389"/>
      <c r="M177" s="1389"/>
      <c r="N177" s="1389"/>
      <c r="O177" s="1389"/>
      <c r="P177" s="1389"/>
      <c r="Q177" s="1389"/>
      <c r="R177" s="1389"/>
      <c r="S177" s="1389"/>
      <c r="T177" s="1389"/>
      <c r="U177" s="1389"/>
      <c r="V177" s="1389"/>
    </row>
    <row r="178" spans="1:22" x14ac:dyDescent="0.25">
      <c r="A178" s="1389"/>
      <c r="B178" s="1389"/>
      <c r="C178" s="1389"/>
      <c r="D178" s="1389"/>
      <c r="E178" s="1389"/>
      <c r="F178" s="1389"/>
      <c r="G178" s="1389"/>
      <c r="H178" s="1389"/>
      <c r="I178" s="1389"/>
      <c r="J178" s="1389"/>
      <c r="K178" s="1389"/>
      <c r="L178" s="1389"/>
      <c r="M178" s="1389"/>
      <c r="N178" s="1389"/>
      <c r="O178" s="1389"/>
      <c r="P178" s="1389"/>
      <c r="Q178" s="1389"/>
      <c r="R178" s="1389"/>
      <c r="S178" s="1389"/>
      <c r="T178" s="1389"/>
      <c r="U178" s="1389"/>
      <c r="V178" s="1389"/>
    </row>
    <row r="179" spans="1:22" x14ac:dyDescent="0.25">
      <c r="A179" s="1389"/>
      <c r="B179" s="1389"/>
      <c r="C179" s="1389"/>
      <c r="D179" s="1389"/>
      <c r="E179" s="1389"/>
      <c r="F179" s="1389"/>
      <c r="G179" s="1389"/>
      <c r="H179" s="1389"/>
      <c r="I179" s="1389"/>
      <c r="J179" s="1389"/>
      <c r="K179" s="1389"/>
      <c r="L179" s="1389"/>
      <c r="M179" s="1389"/>
      <c r="N179" s="1389"/>
      <c r="O179" s="1389"/>
      <c r="P179" s="1389"/>
      <c r="Q179" s="1389"/>
      <c r="R179" s="1389"/>
      <c r="S179" s="1389"/>
      <c r="T179" s="1389"/>
      <c r="U179" s="1389"/>
      <c r="V179" s="1389"/>
    </row>
    <row r="180" spans="1:22" x14ac:dyDescent="0.25">
      <c r="A180" s="1389"/>
      <c r="B180" s="1389"/>
      <c r="C180" s="1389"/>
      <c r="D180" s="1389"/>
      <c r="E180" s="1389"/>
      <c r="F180" s="1389"/>
      <c r="G180" s="1389"/>
      <c r="H180" s="1389"/>
      <c r="I180" s="1389"/>
      <c r="J180" s="1389"/>
      <c r="K180" s="1389"/>
      <c r="L180" s="1389"/>
      <c r="M180" s="1389"/>
      <c r="N180" s="1389"/>
      <c r="O180" s="1389"/>
      <c r="P180" s="1389"/>
      <c r="Q180" s="1389"/>
      <c r="R180" s="1389"/>
      <c r="S180" s="1389"/>
      <c r="T180" s="1389"/>
      <c r="U180" s="1389"/>
      <c r="V180" s="1389"/>
    </row>
    <row r="181" spans="1:22" x14ac:dyDescent="0.25">
      <c r="A181" s="1389"/>
      <c r="B181" s="1389"/>
      <c r="C181" s="1389"/>
      <c r="D181" s="1389"/>
      <c r="E181" s="1389"/>
      <c r="F181" s="1389"/>
      <c r="G181" s="1389"/>
      <c r="H181" s="1389"/>
      <c r="I181" s="1389"/>
      <c r="J181" s="1389"/>
      <c r="K181" s="1389"/>
      <c r="L181" s="1389"/>
      <c r="M181" s="1389"/>
      <c r="N181" s="1389"/>
      <c r="O181" s="1389"/>
      <c r="P181" s="1389"/>
      <c r="Q181" s="1389"/>
      <c r="R181" s="1389"/>
      <c r="S181" s="1389"/>
      <c r="T181" s="1389"/>
      <c r="U181" s="1389"/>
      <c r="V181" s="1389"/>
    </row>
    <row r="182" spans="1:22" x14ac:dyDescent="0.25">
      <c r="A182" s="1389"/>
      <c r="B182" s="1389"/>
      <c r="C182" s="1389"/>
      <c r="D182" s="1389"/>
      <c r="E182" s="1389"/>
      <c r="F182" s="1389"/>
      <c r="G182" s="1389"/>
      <c r="H182" s="1389"/>
      <c r="I182" s="1389"/>
      <c r="J182" s="1389"/>
      <c r="K182" s="1389"/>
      <c r="L182" s="1389"/>
      <c r="M182" s="1389"/>
      <c r="N182" s="1389"/>
      <c r="O182" s="1389"/>
      <c r="P182" s="1389"/>
      <c r="Q182" s="1389"/>
      <c r="R182" s="1389"/>
      <c r="S182" s="1389"/>
      <c r="T182" s="1389"/>
      <c r="U182" s="1389"/>
      <c r="V182" s="1389"/>
    </row>
    <row r="183" spans="1:22" x14ac:dyDescent="0.25">
      <c r="A183" s="1389"/>
      <c r="B183" s="1389"/>
      <c r="C183" s="1389"/>
      <c r="D183" s="1389"/>
      <c r="E183" s="1389"/>
      <c r="F183" s="1389"/>
      <c r="G183" s="1389"/>
      <c r="H183" s="1389"/>
      <c r="I183" s="1389"/>
      <c r="J183" s="1389"/>
      <c r="K183" s="1389"/>
      <c r="L183" s="1389"/>
      <c r="M183" s="1389"/>
      <c r="N183" s="1389"/>
      <c r="O183" s="1389"/>
      <c r="P183" s="1389"/>
      <c r="Q183" s="1389"/>
      <c r="R183" s="1389"/>
      <c r="S183" s="1389"/>
      <c r="T183" s="1389"/>
      <c r="U183" s="1389"/>
      <c r="V183" s="1389"/>
    </row>
    <row r="184" spans="1:22" x14ac:dyDescent="0.25">
      <c r="A184" s="1389"/>
      <c r="B184" s="1389"/>
      <c r="C184" s="1389"/>
      <c r="D184" s="1389"/>
      <c r="E184" s="1389"/>
      <c r="F184" s="1389"/>
      <c r="G184" s="1389"/>
      <c r="H184" s="1389"/>
      <c r="I184" s="1389"/>
      <c r="J184" s="1389"/>
      <c r="K184" s="1389"/>
      <c r="L184" s="1389"/>
      <c r="M184" s="1389"/>
      <c r="N184" s="1389"/>
      <c r="O184" s="1389"/>
      <c r="P184" s="1389"/>
      <c r="Q184" s="1389"/>
      <c r="R184" s="1389"/>
      <c r="S184" s="1389"/>
      <c r="T184" s="1389"/>
      <c r="U184" s="1389"/>
      <c r="V184" s="1389"/>
    </row>
    <row r="185" spans="1:22" x14ac:dyDescent="0.25">
      <c r="A185" s="1389"/>
      <c r="B185" s="1389"/>
      <c r="C185" s="1389"/>
      <c r="D185" s="1389"/>
      <c r="E185" s="1389"/>
      <c r="F185" s="1389"/>
      <c r="G185" s="1389"/>
      <c r="H185" s="1389"/>
      <c r="I185" s="1389"/>
      <c r="J185" s="1389"/>
      <c r="K185" s="1389"/>
      <c r="L185" s="1389"/>
      <c r="M185" s="1389"/>
      <c r="N185" s="1389"/>
      <c r="O185" s="1389"/>
      <c r="P185" s="1389"/>
      <c r="Q185" s="1389"/>
      <c r="R185" s="1389"/>
      <c r="S185" s="1389"/>
      <c r="T185" s="1389"/>
      <c r="U185" s="1389"/>
      <c r="V185" s="1389"/>
    </row>
    <row r="186" spans="1:22" x14ac:dyDescent="0.25">
      <c r="A186" s="1389"/>
      <c r="B186" s="1389"/>
      <c r="C186" s="1389"/>
      <c r="D186" s="1389"/>
      <c r="E186" s="1389"/>
      <c r="F186" s="1389"/>
      <c r="G186" s="1389"/>
      <c r="H186" s="1389"/>
      <c r="I186" s="1389"/>
      <c r="J186" s="1389"/>
      <c r="K186" s="1389"/>
      <c r="L186" s="1389"/>
      <c r="M186" s="1389"/>
      <c r="N186" s="1389"/>
      <c r="O186" s="1389"/>
      <c r="P186" s="1389"/>
      <c r="Q186" s="1389"/>
      <c r="R186" s="1389"/>
      <c r="S186" s="1389"/>
      <c r="T186" s="1389"/>
      <c r="U186" s="1389"/>
      <c r="V186" s="1389"/>
    </row>
    <row r="187" spans="1:22" x14ac:dyDescent="0.25">
      <c r="A187" s="1389"/>
      <c r="B187" s="1389"/>
      <c r="C187" s="1389"/>
      <c r="D187" s="1389"/>
      <c r="E187" s="1389"/>
      <c r="F187" s="1389"/>
      <c r="G187" s="1389"/>
      <c r="H187" s="1389"/>
      <c r="I187" s="1389"/>
      <c r="J187" s="1389"/>
      <c r="K187" s="1389"/>
      <c r="L187" s="1389"/>
      <c r="M187" s="1389"/>
      <c r="N187" s="1389"/>
      <c r="O187" s="1389"/>
      <c r="P187" s="1389"/>
      <c r="Q187" s="1389"/>
      <c r="R187" s="1389"/>
      <c r="S187" s="1389"/>
      <c r="T187" s="1389"/>
      <c r="U187" s="1389"/>
      <c r="V187" s="1389"/>
    </row>
    <row r="188" spans="1:22" x14ac:dyDescent="0.25">
      <c r="A188" s="1389"/>
      <c r="B188" s="1389"/>
      <c r="C188" s="1389"/>
      <c r="D188" s="1389"/>
      <c r="E188" s="1389"/>
      <c r="F188" s="1389"/>
      <c r="G188" s="1389"/>
      <c r="H188" s="1389"/>
      <c r="I188" s="1389"/>
      <c r="J188" s="1389"/>
      <c r="K188" s="1389"/>
      <c r="L188" s="1389"/>
      <c r="M188" s="1389"/>
      <c r="N188" s="1389"/>
      <c r="O188" s="1389"/>
      <c r="P188" s="1389"/>
      <c r="Q188" s="1389"/>
      <c r="R188" s="1389"/>
      <c r="S188" s="1389"/>
      <c r="T188" s="1389"/>
      <c r="U188" s="1389"/>
      <c r="V188" s="1389"/>
    </row>
    <row r="189" spans="1:22" x14ac:dyDescent="0.25">
      <c r="A189" s="1389"/>
      <c r="B189" s="1389"/>
      <c r="C189" s="1389"/>
      <c r="D189" s="1389"/>
      <c r="E189" s="1389"/>
      <c r="F189" s="1389"/>
      <c r="G189" s="1389"/>
      <c r="H189" s="1389"/>
      <c r="I189" s="1389"/>
      <c r="J189" s="1389"/>
      <c r="K189" s="1389"/>
      <c r="L189" s="1389"/>
      <c r="M189" s="1389"/>
      <c r="N189" s="1389"/>
      <c r="O189" s="1389"/>
      <c r="P189" s="1389"/>
      <c r="Q189" s="1389"/>
      <c r="R189" s="1389"/>
      <c r="S189" s="1389"/>
      <c r="T189" s="1389"/>
      <c r="U189" s="1389"/>
      <c r="V189" s="1389"/>
    </row>
    <row r="190" spans="1:22" x14ac:dyDescent="0.25">
      <c r="A190" s="1389"/>
      <c r="B190" s="1389"/>
      <c r="C190" s="1389"/>
      <c r="D190" s="1389"/>
      <c r="E190" s="1389"/>
      <c r="F190" s="1389"/>
      <c r="G190" s="1389"/>
      <c r="H190" s="1389"/>
      <c r="I190" s="1389"/>
      <c r="J190" s="1389"/>
      <c r="K190" s="1389"/>
      <c r="L190" s="1389"/>
      <c r="M190" s="1389"/>
      <c r="N190" s="1389"/>
      <c r="O190" s="1389"/>
      <c r="P190" s="1389"/>
      <c r="Q190" s="1389"/>
      <c r="R190" s="1389"/>
      <c r="S190" s="1389"/>
      <c r="T190" s="1389"/>
      <c r="U190" s="1389"/>
      <c r="V190" s="1389"/>
    </row>
    <row r="191" spans="1:22" x14ac:dyDescent="0.25">
      <c r="A191" s="1389"/>
      <c r="B191" s="1389"/>
      <c r="C191" s="1389"/>
      <c r="D191" s="1389"/>
      <c r="E191" s="1389"/>
      <c r="F191" s="1389"/>
      <c r="G191" s="1389"/>
      <c r="H191" s="1389"/>
      <c r="I191" s="1389"/>
      <c r="J191" s="1389"/>
      <c r="K191" s="1389"/>
      <c r="L191" s="1389"/>
      <c r="M191" s="1389"/>
      <c r="N191" s="1389"/>
      <c r="O191" s="1389"/>
      <c r="P191" s="1389"/>
      <c r="Q191" s="1389"/>
      <c r="R191" s="1389"/>
      <c r="S191" s="1389"/>
      <c r="T191" s="1389"/>
      <c r="U191" s="1389"/>
      <c r="V191" s="1389"/>
    </row>
    <row r="192" spans="1:22" x14ac:dyDescent="0.25">
      <c r="A192" s="1389"/>
      <c r="B192" s="1389"/>
      <c r="C192" s="1389"/>
      <c r="D192" s="1389"/>
      <c r="E192" s="1389"/>
      <c r="F192" s="1389"/>
      <c r="G192" s="1389"/>
      <c r="H192" s="1389"/>
      <c r="I192" s="1389"/>
      <c r="J192" s="1389"/>
      <c r="K192" s="1389"/>
      <c r="L192" s="1389"/>
      <c r="M192" s="1389"/>
      <c r="N192" s="1389"/>
      <c r="O192" s="1389"/>
      <c r="P192" s="1389"/>
      <c r="Q192" s="1389"/>
      <c r="R192" s="1389"/>
      <c r="S192" s="1389"/>
      <c r="T192" s="1389"/>
      <c r="U192" s="1389"/>
      <c r="V192" s="1389"/>
    </row>
    <row r="193" spans="1:22" x14ac:dyDescent="0.25">
      <c r="A193" s="1389"/>
      <c r="B193" s="1389"/>
      <c r="C193" s="1389"/>
      <c r="D193" s="1389"/>
      <c r="E193" s="1389"/>
      <c r="F193" s="1389"/>
      <c r="G193" s="1389"/>
      <c r="H193" s="1389"/>
      <c r="I193" s="1389"/>
      <c r="J193" s="1389"/>
      <c r="K193" s="1389"/>
      <c r="L193" s="1389"/>
      <c r="M193" s="1389"/>
      <c r="N193" s="1389"/>
      <c r="O193" s="1389"/>
      <c r="P193" s="1389"/>
      <c r="Q193" s="1389"/>
      <c r="R193" s="1389"/>
      <c r="S193" s="1389"/>
      <c r="T193" s="1389"/>
      <c r="U193" s="1389"/>
      <c r="V193" s="1389"/>
    </row>
    <row r="194" spans="1:22" x14ac:dyDescent="0.25">
      <c r="A194" s="1389"/>
      <c r="B194" s="1389"/>
      <c r="C194" s="1389"/>
      <c r="D194" s="1389"/>
      <c r="E194" s="1389"/>
      <c r="F194" s="1389"/>
      <c r="G194" s="1389"/>
      <c r="H194" s="1389"/>
      <c r="I194" s="1389"/>
      <c r="J194" s="1389"/>
      <c r="K194" s="1389"/>
      <c r="L194" s="1389"/>
      <c r="M194" s="1389"/>
      <c r="N194" s="1389"/>
      <c r="O194" s="1389"/>
      <c r="P194" s="1389"/>
      <c r="Q194" s="1389"/>
      <c r="R194" s="1389"/>
      <c r="S194" s="1389"/>
      <c r="T194" s="1389"/>
      <c r="U194" s="1389"/>
      <c r="V194" s="1389"/>
    </row>
    <row r="195" spans="1:22" x14ac:dyDescent="0.25">
      <c r="A195" s="1389"/>
      <c r="B195" s="1389"/>
      <c r="C195" s="1389"/>
      <c r="D195" s="1389"/>
      <c r="E195" s="1389"/>
      <c r="F195" s="1389"/>
      <c r="G195" s="1389"/>
      <c r="H195" s="1389"/>
      <c r="I195" s="1389"/>
      <c r="J195" s="1389"/>
      <c r="K195" s="1389"/>
      <c r="L195" s="1389"/>
      <c r="M195" s="1389"/>
      <c r="N195" s="1389"/>
      <c r="O195" s="1389"/>
      <c r="P195" s="1389"/>
      <c r="Q195" s="1389"/>
      <c r="R195" s="1389"/>
      <c r="S195" s="1389"/>
      <c r="T195" s="1389"/>
      <c r="U195" s="1389"/>
      <c r="V195" s="1389"/>
    </row>
    <row r="196" spans="1:22" x14ac:dyDescent="0.25">
      <c r="A196" s="1389"/>
      <c r="B196" s="1389"/>
      <c r="C196" s="1389"/>
      <c r="D196" s="1389"/>
      <c r="E196" s="1389"/>
      <c r="F196" s="1389"/>
      <c r="G196" s="1389"/>
      <c r="H196" s="1389"/>
      <c r="I196" s="1389"/>
      <c r="J196" s="1389"/>
      <c r="K196" s="1389"/>
      <c r="L196" s="1389"/>
      <c r="M196" s="1389"/>
      <c r="N196" s="1389"/>
      <c r="O196" s="1389"/>
      <c r="P196" s="1389"/>
      <c r="Q196" s="1389"/>
      <c r="R196" s="1389"/>
      <c r="S196" s="1389"/>
      <c r="T196" s="1389"/>
      <c r="U196" s="1389"/>
      <c r="V196" s="1389"/>
    </row>
    <row r="197" spans="1:22" x14ac:dyDescent="0.25">
      <c r="A197" s="1389"/>
      <c r="B197" s="1389"/>
      <c r="C197" s="1389"/>
      <c r="D197" s="1389"/>
      <c r="E197" s="1389"/>
      <c r="F197" s="1389"/>
      <c r="G197" s="1389"/>
      <c r="H197" s="1389"/>
      <c r="I197" s="1389"/>
      <c r="J197" s="1389"/>
      <c r="K197" s="1389"/>
      <c r="L197" s="1389"/>
      <c r="M197" s="1389"/>
      <c r="N197" s="1389"/>
      <c r="O197" s="1389"/>
      <c r="P197" s="1389"/>
      <c r="Q197" s="1389"/>
      <c r="R197" s="1389"/>
      <c r="S197" s="1389"/>
      <c r="T197" s="1389"/>
      <c r="U197" s="1389"/>
      <c r="V197" s="1389"/>
    </row>
    <row r="198" spans="1:22" x14ac:dyDescent="0.25">
      <c r="A198" s="1389"/>
      <c r="B198" s="1389"/>
      <c r="C198" s="1389"/>
      <c r="D198" s="1389"/>
      <c r="E198" s="1389"/>
      <c r="F198" s="1389"/>
      <c r="G198" s="1389"/>
      <c r="H198" s="1389"/>
      <c r="I198" s="1389"/>
      <c r="J198" s="1389"/>
      <c r="K198" s="1389"/>
      <c r="L198" s="1389"/>
      <c r="M198" s="1389"/>
      <c r="N198" s="1389"/>
      <c r="O198" s="1389"/>
      <c r="P198" s="1389"/>
      <c r="Q198" s="1389"/>
      <c r="R198" s="1389"/>
      <c r="S198" s="1389"/>
      <c r="T198" s="1389"/>
      <c r="U198" s="1389"/>
      <c r="V198" s="1389"/>
    </row>
    <row r="199" spans="1:22" x14ac:dyDescent="0.25">
      <c r="A199" s="1389"/>
      <c r="B199" s="1389"/>
      <c r="C199" s="1389"/>
      <c r="D199" s="1389"/>
      <c r="E199" s="1389"/>
      <c r="F199" s="1389"/>
      <c r="G199" s="1389"/>
      <c r="H199" s="1389"/>
      <c r="I199" s="1389"/>
      <c r="J199" s="1389"/>
      <c r="K199" s="1389"/>
      <c r="L199" s="1389"/>
      <c r="M199" s="1389"/>
      <c r="N199" s="1389"/>
      <c r="O199" s="1389"/>
      <c r="P199" s="1389"/>
      <c r="Q199" s="1389"/>
      <c r="R199" s="1389"/>
      <c r="S199" s="1389"/>
      <c r="T199" s="1389"/>
      <c r="U199" s="1389"/>
      <c r="V199" s="1389"/>
    </row>
    <row r="200" spans="1:22" x14ac:dyDescent="0.25">
      <c r="A200" s="1389"/>
      <c r="B200" s="1389"/>
      <c r="C200" s="1389"/>
      <c r="D200" s="1389"/>
      <c r="E200" s="1389"/>
      <c r="F200" s="1389"/>
      <c r="G200" s="1389"/>
      <c r="H200" s="1389"/>
      <c r="I200" s="1389"/>
      <c r="J200" s="1389"/>
      <c r="K200" s="1389"/>
      <c r="L200" s="1389"/>
      <c r="M200" s="1389"/>
      <c r="N200" s="1389"/>
      <c r="O200" s="1389"/>
      <c r="P200" s="1389"/>
      <c r="Q200" s="1389"/>
      <c r="R200" s="1389"/>
      <c r="S200" s="1389"/>
      <c r="T200" s="1389"/>
      <c r="U200" s="1389"/>
      <c r="V200" s="1389"/>
    </row>
    <row r="201" spans="1:22" x14ac:dyDescent="0.25">
      <c r="A201" s="1389"/>
      <c r="B201" s="1389"/>
      <c r="C201" s="1389"/>
      <c r="D201" s="1389"/>
      <c r="E201" s="1389"/>
      <c r="F201" s="1389"/>
      <c r="G201" s="1389"/>
      <c r="H201" s="1389"/>
      <c r="I201" s="1389"/>
      <c r="J201" s="1389"/>
      <c r="K201" s="1389"/>
      <c r="L201" s="1389"/>
      <c r="M201" s="1389"/>
      <c r="N201" s="1389"/>
      <c r="O201" s="1389"/>
      <c r="P201" s="1389"/>
      <c r="Q201" s="1389"/>
      <c r="R201" s="1389"/>
      <c r="S201" s="1389"/>
      <c r="T201" s="1389"/>
      <c r="U201" s="1389"/>
      <c r="V201" s="1389"/>
    </row>
    <row r="202" spans="1:22" x14ac:dyDescent="0.25">
      <c r="A202" s="1389"/>
      <c r="B202" s="1389"/>
      <c r="C202" s="1389"/>
      <c r="D202" s="1389"/>
      <c r="E202" s="1389"/>
      <c r="F202" s="1389"/>
      <c r="G202" s="1389"/>
      <c r="H202" s="1389"/>
      <c r="I202" s="1389"/>
      <c r="J202" s="1389"/>
      <c r="K202" s="1389"/>
      <c r="L202" s="1389"/>
      <c r="M202" s="1389"/>
      <c r="N202" s="1389"/>
      <c r="O202" s="1389"/>
      <c r="P202" s="1389"/>
      <c r="Q202" s="1389"/>
      <c r="R202" s="1389"/>
      <c r="S202" s="1389"/>
      <c r="T202" s="1389"/>
      <c r="U202" s="1389"/>
      <c r="V202" s="1389"/>
    </row>
    <row r="203" spans="1:22" x14ac:dyDescent="0.25">
      <c r="A203" s="1389"/>
      <c r="B203" s="1389"/>
      <c r="C203" s="1389"/>
      <c r="D203" s="1389"/>
      <c r="E203" s="1389"/>
      <c r="F203" s="1389"/>
      <c r="G203" s="1389"/>
      <c r="H203" s="1389"/>
      <c r="I203" s="1389"/>
      <c r="J203" s="1389"/>
      <c r="K203" s="1389"/>
      <c r="L203" s="1389"/>
      <c r="M203" s="1389"/>
      <c r="N203" s="1389"/>
      <c r="O203" s="1389"/>
      <c r="P203" s="1389"/>
      <c r="Q203" s="1389"/>
      <c r="R203" s="1389"/>
      <c r="S203" s="1389"/>
      <c r="T203" s="1389"/>
      <c r="U203" s="1389"/>
      <c r="V203" s="1389"/>
    </row>
    <row r="204" spans="1:22" x14ac:dyDescent="0.25">
      <c r="A204" s="1389"/>
      <c r="B204" s="1389"/>
      <c r="C204" s="1389"/>
      <c r="D204" s="1389"/>
      <c r="E204" s="1389"/>
      <c r="F204" s="1389"/>
      <c r="G204" s="1389"/>
      <c r="H204" s="1389"/>
      <c r="I204" s="1389"/>
      <c r="J204" s="1389"/>
      <c r="K204" s="1389"/>
      <c r="L204" s="1389"/>
      <c r="M204" s="1389"/>
      <c r="N204" s="1389"/>
      <c r="O204" s="1389"/>
      <c r="P204" s="1389"/>
      <c r="Q204" s="1389"/>
      <c r="R204" s="1389"/>
      <c r="S204" s="1389"/>
      <c r="T204" s="1389"/>
      <c r="U204" s="1389"/>
      <c r="V204" s="1389"/>
    </row>
    <row r="205" spans="1:22" x14ac:dyDescent="0.25">
      <c r="A205" s="1389"/>
      <c r="B205" s="1389"/>
      <c r="C205" s="1389"/>
      <c r="D205" s="1389"/>
      <c r="E205" s="1389"/>
      <c r="F205" s="1389"/>
      <c r="G205" s="1389"/>
      <c r="H205" s="1389"/>
      <c r="I205" s="1389"/>
      <c r="J205" s="1389"/>
      <c r="K205" s="1389"/>
      <c r="L205" s="1389"/>
      <c r="M205" s="1389"/>
      <c r="N205" s="1389"/>
      <c r="O205" s="1389"/>
      <c r="P205" s="1389"/>
      <c r="Q205" s="1389"/>
      <c r="R205" s="1389"/>
      <c r="S205" s="1389"/>
      <c r="T205" s="1389"/>
      <c r="U205" s="1389"/>
      <c r="V205" s="1389"/>
    </row>
    <row r="206" spans="1:22" x14ac:dyDescent="0.25">
      <c r="A206" s="1389"/>
      <c r="B206" s="1389"/>
      <c r="C206" s="1389"/>
      <c r="D206" s="1389"/>
      <c r="E206" s="1389"/>
      <c r="F206" s="1389"/>
      <c r="G206" s="1389"/>
      <c r="H206" s="1389"/>
      <c r="I206" s="1389"/>
      <c r="J206" s="1389"/>
      <c r="K206" s="1389"/>
      <c r="L206" s="1389"/>
      <c r="M206" s="1389"/>
      <c r="N206" s="1389"/>
      <c r="O206" s="1389"/>
      <c r="P206" s="1389"/>
      <c r="Q206" s="1389"/>
      <c r="R206" s="1389"/>
      <c r="S206" s="1389"/>
      <c r="T206" s="1389"/>
      <c r="U206" s="1389"/>
      <c r="V206" s="1389"/>
    </row>
    <row r="207" spans="1:22" x14ac:dyDescent="0.25">
      <c r="A207" s="1389"/>
      <c r="B207" s="1389"/>
      <c r="C207" s="1389"/>
      <c r="D207" s="1389"/>
      <c r="E207" s="1389"/>
      <c r="F207" s="1389"/>
      <c r="G207" s="1389"/>
      <c r="H207" s="1389"/>
      <c r="I207" s="1389"/>
      <c r="J207" s="1389"/>
      <c r="K207" s="1389"/>
      <c r="L207" s="1389"/>
      <c r="M207" s="1389"/>
      <c r="N207" s="1389"/>
      <c r="O207" s="1389"/>
      <c r="P207" s="1389"/>
      <c r="Q207" s="1389"/>
      <c r="R207" s="1389"/>
      <c r="S207" s="1389"/>
      <c r="T207" s="1389"/>
      <c r="U207" s="1389"/>
      <c r="V207" s="1389"/>
    </row>
    <row r="208" spans="1:22" x14ac:dyDescent="0.25">
      <c r="A208" s="1389"/>
      <c r="B208" s="1389"/>
      <c r="C208" s="1389"/>
      <c r="D208" s="1389"/>
      <c r="E208" s="1389"/>
      <c r="F208" s="1389"/>
      <c r="G208" s="1389"/>
      <c r="H208" s="1389"/>
      <c r="I208" s="1389"/>
      <c r="J208" s="1389"/>
      <c r="K208" s="1389"/>
      <c r="L208" s="1389"/>
      <c r="M208" s="1389"/>
      <c r="N208" s="1389"/>
      <c r="O208" s="1389"/>
      <c r="P208" s="1389"/>
      <c r="Q208" s="1389"/>
      <c r="R208" s="1389"/>
      <c r="S208" s="1389"/>
      <c r="T208" s="1389"/>
      <c r="U208" s="1389"/>
      <c r="V208" s="1389"/>
    </row>
    <row r="209" spans="1:22" x14ac:dyDescent="0.25">
      <c r="A209" s="1389"/>
      <c r="B209" s="1389"/>
      <c r="C209" s="1389"/>
      <c r="D209" s="1389"/>
      <c r="E209" s="1389"/>
      <c r="F209" s="1389"/>
      <c r="G209" s="1389"/>
      <c r="H209" s="1389"/>
      <c r="I209" s="1389"/>
      <c r="J209" s="1389"/>
      <c r="K209" s="1389"/>
      <c r="L209" s="1389"/>
      <c r="M209" s="1389"/>
      <c r="N209" s="1389"/>
      <c r="O209" s="1389"/>
      <c r="P209" s="1389"/>
      <c r="Q209" s="1389"/>
      <c r="R209" s="1389"/>
      <c r="S209" s="1389"/>
      <c r="T209" s="1389"/>
      <c r="U209" s="1389"/>
      <c r="V209" s="1389"/>
    </row>
    <row r="210" spans="1:22" x14ac:dyDescent="0.25">
      <c r="A210" s="1389"/>
      <c r="B210" s="1389"/>
      <c r="C210" s="1389"/>
      <c r="D210" s="1389"/>
      <c r="E210" s="1389"/>
      <c r="F210" s="1389"/>
      <c r="G210" s="1389"/>
      <c r="H210" s="1389"/>
      <c r="I210" s="1389"/>
      <c r="J210" s="1389"/>
      <c r="K210" s="1389"/>
      <c r="L210" s="1389"/>
      <c r="M210" s="1389"/>
      <c r="N210" s="1389"/>
      <c r="O210" s="1389"/>
      <c r="P210" s="1389"/>
      <c r="Q210" s="1389"/>
      <c r="R210" s="1389"/>
      <c r="S210" s="1389"/>
      <c r="T210" s="1389"/>
      <c r="U210" s="1389"/>
      <c r="V210" s="1389"/>
    </row>
    <row r="211" spans="1:22" x14ac:dyDescent="0.25">
      <c r="A211" s="1389"/>
      <c r="B211" s="1389"/>
      <c r="C211" s="1389"/>
      <c r="D211" s="1389"/>
      <c r="E211" s="1389"/>
      <c r="F211" s="1389"/>
      <c r="G211" s="1389"/>
      <c r="H211" s="1389"/>
      <c r="I211" s="1389"/>
      <c r="J211" s="1389"/>
      <c r="K211" s="1389"/>
      <c r="L211" s="1389"/>
      <c r="M211" s="1389"/>
      <c r="N211" s="1389"/>
      <c r="O211" s="1389"/>
      <c r="P211" s="1389"/>
      <c r="Q211" s="1389"/>
      <c r="R211" s="1389"/>
      <c r="S211" s="1389"/>
      <c r="T211" s="1389"/>
      <c r="U211" s="1389"/>
      <c r="V211" s="1389"/>
    </row>
    <row r="212" spans="1:22" x14ac:dyDescent="0.25">
      <c r="A212" s="1389"/>
      <c r="B212" s="1389"/>
      <c r="C212" s="1389"/>
      <c r="D212" s="1389"/>
      <c r="E212" s="1389"/>
      <c r="F212" s="1389"/>
      <c r="G212" s="1389"/>
      <c r="H212" s="1389"/>
      <c r="I212" s="1389"/>
      <c r="J212" s="1389"/>
      <c r="K212" s="1389"/>
      <c r="L212" s="1389"/>
      <c r="M212" s="1389"/>
      <c r="N212" s="1389"/>
      <c r="O212" s="1389"/>
      <c r="P212" s="1389"/>
      <c r="Q212" s="1389"/>
      <c r="R212" s="1389"/>
      <c r="S212" s="1389"/>
      <c r="T212" s="1389"/>
      <c r="U212" s="1389"/>
      <c r="V212" s="1389"/>
    </row>
    <row r="213" spans="1:22" x14ac:dyDescent="0.25">
      <c r="A213" s="1389"/>
      <c r="B213" s="1389"/>
      <c r="C213" s="1389"/>
      <c r="D213" s="1389"/>
      <c r="E213" s="1389"/>
      <c r="F213" s="1389"/>
      <c r="G213" s="1389"/>
      <c r="H213" s="1389"/>
      <c r="I213" s="1389"/>
      <c r="J213" s="1389"/>
      <c r="K213" s="1389"/>
      <c r="L213" s="1389"/>
      <c r="M213" s="1389"/>
      <c r="N213" s="1389"/>
      <c r="O213" s="1389"/>
      <c r="P213" s="1389"/>
      <c r="Q213" s="1389"/>
      <c r="R213" s="1389"/>
      <c r="S213" s="1389"/>
      <c r="T213" s="1389"/>
      <c r="U213" s="1389"/>
      <c r="V213" s="1389"/>
    </row>
    <row r="214" spans="1:22" x14ac:dyDescent="0.25">
      <c r="A214" s="1389"/>
      <c r="B214" s="1389"/>
      <c r="C214" s="1389"/>
      <c r="D214" s="1389"/>
      <c r="E214" s="1389"/>
      <c r="F214" s="1389"/>
      <c r="G214" s="1389"/>
      <c r="H214" s="1389"/>
      <c r="I214" s="1389"/>
      <c r="J214" s="1389"/>
      <c r="K214" s="1389"/>
      <c r="L214" s="1389"/>
      <c r="M214" s="1389"/>
      <c r="N214" s="1389"/>
      <c r="O214" s="1389"/>
      <c r="P214" s="1389"/>
      <c r="Q214" s="1389"/>
      <c r="R214" s="1389"/>
      <c r="S214" s="1389"/>
      <c r="T214" s="1389"/>
      <c r="U214" s="1389"/>
      <c r="V214" s="1389"/>
    </row>
    <row r="215" spans="1:22" x14ac:dyDescent="0.25">
      <c r="A215" s="1389"/>
      <c r="B215" s="1389"/>
      <c r="C215" s="1389"/>
      <c r="D215" s="1389"/>
      <c r="E215" s="1389"/>
      <c r="F215" s="1389"/>
      <c r="G215" s="1389"/>
      <c r="H215" s="1389"/>
      <c r="I215" s="1389"/>
      <c r="J215" s="1389"/>
      <c r="K215" s="1389"/>
      <c r="L215" s="1389"/>
      <c r="M215" s="1389"/>
      <c r="N215" s="1389"/>
      <c r="O215" s="1389"/>
      <c r="P215" s="1389"/>
      <c r="Q215" s="1389"/>
      <c r="R215" s="1389"/>
      <c r="S215" s="1389"/>
      <c r="T215" s="1389"/>
      <c r="U215" s="1389"/>
      <c r="V215" s="1389"/>
    </row>
    <row r="216" spans="1:22" x14ac:dyDescent="0.25">
      <c r="A216" s="1389"/>
      <c r="B216" s="1389"/>
      <c r="C216" s="1389"/>
      <c r="D216" s="1389"/>
      <c r="E216" s="1389"/>
      <c r="F216" s="1389"/>
      <c r="G216" s="1389"/>
      <c r="H216" s="1389"/>
      <c r="I216" s="1389"/>
      <c r="J216" s="1389"/>
      <c r="K216" s="1389"/>
      <c r="L216" s="1389"/>
      <c r="M216" s="1389"/>
      <c r="N216" s="1389"/>
      <c r="O216" s="1389"/>
      <c r="P216" s="1389"/>
      <c r="Q216" s="1389"/>
      <c r="R216" s="1389"/>
      <c r="S216" s="1389"/>
      <c r="T216" s="1389"/>
      <c r="U216" s="1389"/>
      <c r="V216" s="1389"/>
    </row>
    <row r="217" spans="1:22" x14ac:dyDescent="0.25">
      <c r="A217" s="1389"/>
      <c r="B217" s="1389"/>
      <c r="C217" s="1389"/>
      <c r="D217" s="1389"/>
      <c r="E217" s="1389"/>
      <c r="F217" s="1389"/>
      <c r="G217" s="1389"/>
      <c r="H217" s="1389"/>
      <c r="I217" s="1389"/>
      <c r="J217" s="1389"/>
      <c r="K217" s="1389"/>
      <c r="L217" s="1389"/>
      <c r="M217" s="1389"/>
      <c r="N217" s="1389"/>
      <c r="O217" s="1389"/>
      <c r="P217" s="1389"/>
      <c r="Q217" s="1389"/>
      <c r="R217" s="1389"/>
      <c r="S217" s="1389"/>
      <c r="T217" s="1389"/>
      <c r="U217" s="1389"/>
      <c r="V217" s="1389"/>
    </row>
    <row r="218" spans="1:22" x14ac:dyDescent="0.25">
      <c r="A218" s="1389"/>
      <c r="B218" s="1389"/>
      <c r="C218" s="1389"/>
      <c r="D218" s="1389"/>
      <c r="E218" s="1389"/>
      <c r="F218" s="1389"/>
      <c r="G218" s="1389"/>
      <c r="H218" s="1389"/>
      <c r="I218" s="1389"/>
      <c r="J218" s="1389"/>
      <c r="K218" s="1389"/>
      <c r="L218" s="1389"/>
      <c r="M218" s="1389"/>
      <c r="N218" s="1389"/>
      <c r="O218" s="1389"/>
      <c r="P218" s="1389"/>
      <c r="Q218" s="1389"/>
      <c r="R218" s="1389"/>
      <c r="S218" s="1389"/>
      <c r="T218" s="1389"/>
      <c r="U218" s="1389"/>
      <c r="V218" s="1389"/>
    </row>
    <row r="219" spans="1:22" x14ac:dyDescent="0.25">
      <c r="A219" s="1389"/>
      <c r="B219" s="1389"/>
      <c r="C219" s="1389"/>
      <c r="D219" s="1389"/>
      <c r="E219" s="1389"/>
      <c r="F219" s="1389"/>
      <c r="G219" s="1389"/>
      <c r="H219" s="1389"/>
      <c r="I219" s="1389"/>
      <c r="J219" s="1389"/>
      <c r="K219" s="1389"/>
      <c r="L219" s="1389"/>
      <c r="M219" s="1389"/>
      <c r="N219" s="1389"/>
      <c r="O219" s="1389"/>
      <c r="P219" s="1389"/>
      <c r="Q219" s="1389"/>
      <c r="R219" s="1389"/>
      <c r="S219" s="1389"/>
      <c r="T219" s="1389"/>
      <c r="U219" s="1389"/>
      <c r="V219" s="1389"/>
    </row>
    <row r="220" spans="1:22" x14ac:dyDescent="0.25">
      <c r="A220" s="1389"/>
      <c r="B220" s="1389"/>
      <c r="C220" s="1389"/>
      <c r="D220" s="1389"/>
      <c r="E220" s="1389"/>
      <c r="F220" s="1389"/>
      <c r="G220" s="1389"/>
      <c r="H220" s="1389"/>
      <c r="I220" s="1389"/>
      <c r="J220" s="1389"/>
      <c r="K220" s="1389"/>
      <c r="L220" s="1389"/>
      <c r="M220" s="1389"/>
      <c r="N220" s="1389"/>
      <c r="O220" s="1389"/>
      <c r="P220" s="1389"/>
      <c r="Q220" s="1389"/>
      <c r="R220" s="1389"/>
      <c r="S220" s="1389"/>
      <c r="T220" s="1389"/>
      <c r="U220" s="1389"/>
      <c r="V220" s="1389"/>
    </row>
    <row r="221" spans="1:22" x14ac:dyDescent="0.25">
      <c r="A221" s="1389"/>
      <c r="B221" s="1389"/>
      <c r="C221" s="1389"/>
      <c r="D221" s="1389"/>
      <c r="E221" s="1389"/>
      <c r="F221" s="1389"/>
      <c r="G221" s="1389"/>
      <c r="H221" s="1389"/>
      <c r="I221" s="1389"/>
      <c r="J221" s="1389"/>
      <c r="K221" s="1389"/>
      <c r="L221" s="1389"/>
      <c r="M221" s="1389"/>
      <c r="N221" s="1389"/>
      <c r="O221" s="1389"/>
      <c r="P221" s="1389"/>
      <c r="Q221" s="1389"/>
      <c r="R221" s="1389"/>
      <c r="S221" s="1389"/>
      <c r="T221" s="1389"/>
      <c r="U221" s="1389"/>
      <c r="V221" s="1389"/>
    </row>
    <row r="222" spans="1:22" x14ac:dyDescent="0.25">
      <c r="A222" s="1389"/>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row>
    <row r="223" spans="1:22" x14ac:dyDescent="0.25">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row>
    <row r="224" spans="1:22" x14ac:dyDescent="0.25">
      <c r="A224" s="1389"/>
      <c r="B224" s="1389"/>
      <c r="C224" s="1389"/>
      <c r="D224" s="1389"/>
      <c r="E224" s="1389"/>
      <c r="F224" s="1389"/>
      <c r="G224" s="1389"/>
      <c r="H224" s="1389"/>
      <c r="I224" s="1389"/>
      <c r="J224" s="1389"/>
      <c r="K224" s="1389"/>
      <c r="L224" s="1389"/>
      <c r="M224" s="1389"/>
      <c r="N224" s="1389"/>
      <c r="O224" s="1389"/>
      <c r="P224" s="1389"/>
      <c r="Q224" s="1389"/>
      <c r="R224" s="1389"/>
      <c r="S224" s="1389"/>
      <c r="T224" s="1389"/>
      <c r="U224" s="1389"/>
      <c r="V224" s="1389"/>
    </row>
    <row r="225" spans="1:22" x14ac:dyDescent="0.25">
      <c r="A225" s="1389"/>
      <c r="B225" s="1389"/>
      <c r="C225" s="1389"/>
      <c r="D225" s="1389"/>
      <c r="E225" s="1389"/>
      <c r="F225" s="1389"/>
      <c r="G225" s="1389"/>
      <c r="H225" s="1389"/>
      <c r="I225" s="1389"/>
      <c r="J225" s="1389"/>
      <c r="K225" s="1389"/>
      <c r="L225" s="1389"/>
      <c r="M225" s="1389"/>
      <c r="N225" s="1389"/>
      <c r="O225" s="1389"/>
      <c r="P225" s="1389"/>
      <c r="Q225" s="1389"/>
      <c r="R225" s="1389"/>
      <c r="S225" s="1389"/>
      <c r="T225" s="1389"/>
      <c r="U225" s="1389"/>
      <c r="V225" s="1389"/>
    </row>
    <row r="226" spans="1:22" x14ac:dyDescent="0.25">
      <c r="A226" s="1389"/>
      <c r="B226" s="1389"/>
      <c r="C226" s="1389"/>
      <c r="D226" s="1389"/>
      <c r="E226" s="1389"/>
      <c r="F226" s="1389"/>
      <c r="G226" s="1389"/>
      <c r="H226" s="1389"/>
      <c r="I226" s="1389"/>
      <c r="J226" s="1389"/>
      <c r="K226" s="1389"/>
      <c r="L226" s="1389"/>
      <c r="M226" s="1389"/>
      <c r="N226" s="1389"/>
      <c r="O226" s="1389"/>
      <c r="P226" s="1389"/>
      <c r="Q226" s="1389"/>
      <c r="R226" s="1389"/>
      <c r="S226" s="1389"/>
      <c r="T226" s="1389"/>
      <c r="U226" s="1389"/>
      <c r="V226" s="1389"/>
    </row>
    <row r="227" spans="1:22" x14ac:dyDescent="0.25">
      <c r="A227" s="1389"/>
      <c r="B227" s="1389"/>
      <c r="C227" s="1389"/>
      <c r="D227" s="1389"/>
      <c r="E227" s="1389"/>
      <c r="F227" s="1389"/>
      <c r="G227" s="1389"/>
      <c r="H227" s="1389"/>
      <c r="I227" s="1389"/>
      <c r="J227" s="1389"/>
      <c r="K227" s="1389"/>
      <c r="L227" s="1389"/>
      <c r="M227" s="1389"/>
      <c r="N227" s="1389"/>
      <c r="O227" s="1389"/>
      <c r="P227" s="1389"/>
      <c r="Q227" s="1389"/>
      <c r="R227" s="1389"/>
      <c r="S227" s="1389"/>
      <c r="T227" s="1389"/>
      <c r="U227" s="1389"/>
      <c r="V227" s="1389"/>
    </row>
    <row r="228" spans="1:22" x14ac:dyDescent="0.25">
      <c r="A228" s="1389"/>
      <c r="B228" s="1389"/>
      <c r="C228" s="1389"/>
      <c r="D228" s="1389"/>
      <c r="E228" s="1389"/>
      <c r="F228" s="1389"/>
      <c r="G228" s="1389"/>
      <c r="H228" s="1389"/>
      <c r="I228" s="1389"/>
      <c r="J228" s="1389"/>
      <c r="K228" s="1389"/>
      <c r="L228" s="1389"/>
      <c r="M228" s="1389"/>
      <c r="N228" s="1389"/>
      <c r="O228" s="1389"/>
      <c r="P228" s="1389"/>
      <c r="Q228" s="1389"/>
      <c r="R228" s="1389"/>
      <c r="S228" s="1389"/>
      <c r="T228" s="1389"/>
      <c r="U228" s="1389"/>
      <c r="V228" s="1389"/>
    </row>
    <row r="229" spans="1:22" x14ac:dyDescent="0.25">
      <c r="A229" s="1389"/>
      <c r="B229" s="1389"/>
      <c r="C229" s="1389"/>
      <c r="D229" s="1389"/>
      <c r="E229" s="1389"/>
      <c r="F229" s="1389"/>
      <c r="G229" s="1389"/>
      <c r="H229" s="1389"/>
      <c r="I229" s="1389"/>
      <c r="J229" s="1389"/>
      <c r="K229" s="1389"/>
      <c r="L229" s="1389"/>
      <c r="M229" s="1389"/>
      <c r="N229" s="1389"/>
      <c r="O229" s="1389"/>
      <c r="P229" s="1389"/>
      <c r="Q229" s="1389"/>
      <c r="R229" s="1389"/>
      <c r="S229" s="1389"/>
      <c r="T229" s="1389"/>
      <c r="U229" s="1389"/>
      <c r="V229" s="1389"/>
    </row>
    <row r="230" spans="1:22" x14ac:dyDescent="0.25">
      <c r="A230" s="1389"/>
      <c r="B230" s="1389"/>
      <c r="C230" s="1389"/>
      <c r="D230" s="1389"/>
      <c r="E230" s="1389"/>
      <c r="F230" s="1389"/>
      <c r="G230" s="1389"/>
      <c r="H230" s="1389"/>
      <c r="I230" s="1389"/>
      <c r="J230" s="1389"/>
      <c r="K230" s="1389"/>
      <c r="L230" s="1389"/>
      <c r="M230" s="1389"/>
      <c r="N230" s="1389"/>
      <c r="O230" s="1389"/>
      <c r="P230" s="1389"/>
      <c r="Q230" s="1389"/>
      <c r="R230" s="1389"/>
      <c r="S230" s="1389"/>
      <c r="T230" s="1389"/>
      <c r="U230" s="1389"/>
      <c r="V230" s="1389"/>
    </row>
    <row r="231" spans="1:22" x14ac:dyDescent="0.25">
      <c r="A231" s="1389"/>
      <c r="B231" s="1389"/>
      <c r="C231" s="1389"/>
      <c r="D231" s="1389"/>
      <c r="E231" s="1389"/>
      <c r="F231" s="1389"/>
      <c r="G231" s="1389"/>
      <c r="H231" s="1389"/>
      <c r="I231" s="1389"/>
      <c r="J231" s="1389"/>
      <c r="K231" s="1389"/>
      <c r="L231" s="1389"/>
      <c r="M231" s="1389"/>
      <c r="N231" s="1389"/>
      <c r="O231" s="1389"/>
      <c r="P231" s="1389"/>
      <c r="Q231" s="1389"/>
      <c r="R231" s="1389"/>
      <c r="S231" s="1389"/>
      <c r="T231" s="1389"/>
      <c r="U231" s="1389"/>
      <c r="V231" s="1389"/>
    </row>
    <row r="232" spans="1:22" x14ac:dyDescent="0.25">
      <c r="A232" s="1389"/>
      <c r="B232" s="1389"/>
      <c r="C232" s="1389"/>
      <c r="D232" s="1389"/>
      <c r="E232" s="1389"/>
      <c r="F232" s="1389"/>
      <c r="G232" s="1389"/>
      <c r="H232" s="1389"/>
      <c r="I232" s="1389"/>
      <c r="J232" s="1389"/>
      <c r="K232" s="1389"/>
      <c r="L232" s="1389"/>
      <c r="M232" s="1389"/>
      <c r="N232" s="1389"/>
      <c r="O232" s="1389"/>
      <c r="P232" s="1389"/>
      <c r="Q232" s="1389"/>
      <c r="R232" s="1389"/>
      <c r="S232" s="1389"/>
      <c r="T232" s="1389"/>
      <c r="U232" s="1389"/>
      <c r="V232" s="1389"/>
    </row>
    <row r="233" spans="1:22" x14ac:dyDescent="0.25">
      <c r="A233" s="1389"/>
      <c r="B233" s="1389"/>
      <c r="C233" s="1389"/>
      <c r="D233" s="1389"/>
      <c r="E233" s="1389"/>
      <c r="F233" s="1389"/>
      <c r="G233" s="1389"/>
      <c r="H233" s="1389"/>
      <c r="I233" s="1389"/>
      <c r="J233" s="1389"/>
      <c r="K233" s="1389"/>
      <c r="L233" s="1389"/>
      <c r="M233" s="1389"/>
      <c r="N233" s="1389"/>
      <c r="O233" s="1389"/>
      <c r="P233" s="1389"/>
      <c r="Q233" s="1389"/>
      <c r="R233" s="1389"/>
      <c r="S233" s="1389"/>
      <c r="T233" s="1389"/>
      <c r="U233" s="1389"/>
      <c r="V233" s="1389"/>
    </row>
    <row r="234" spans="1:22" x14ac:dyDescent="0.25">
      <c r="A234" s="1389"/>
      <c r="B234" s="1389"/>
      <c r="C234" s="1389"/>
      <c r="D234" s="1389"/>
      <c r="E234" s="1389"/>
      <c r="F234" s="1389"/>
      <c r="G234" s="1389"/>
      <c r="H234" s="1389"/>
      <c r="I234" s="1389"/>
      <c r="J234" s="1389"/>
      <c r="K234" s="1389"/>
      <c r="L234" s="1389"/>
      <c r="M234" s="1389"/>
      <c r="N234" s="1389"/>
      <c r="O234" s="1389"/>
      <c r="P234" s="1389"/>
      <c r="Q234" s="1389"/>
      <c r="R234" s="1389"/>
      <c r="S234" s="1389"/>
      <c r="T234" s="1389"/>
      <c r="U234" s="1389"/>
      <c r="V234" s="1389"/>
    </row>
    <row r="235" spans="1:22" x14ac:dyDescent="0.25">
      <c r="A235" s="1389"/>
      <c r="B235" s="1389"/>
      <c r="C235" s="1389"/>
      <c r="D235" s="1389"/>
      <c r="E235" s="1389"/>
      <c r="F235" s="1389"/>
      <c r="G235" s="1389"/>
      <c r="H235" s="1389"/>
      <c r="I235" s="1389"/>
      <c r="J235" s="1389"/>
      <c r="K235" s="1389"/>
      <c r="L235" s="1389"/>
      <c r="M235" s="1389"/>
      <c r="N235" s="1389"/>
      <c r="O235" s="1389"/>
      <c r="P235" s="1389"/>
      <c r="Q235" s="1389"/>
      <c r="R235" s="1389"/>
      <c r="S235" s="1389"/>
      <c r="T235" s="1389"/>
      <c r="U235" s="1389"/>
      <c r="V235" s="1389"/>
    </row>
    <row r="236" spans="1:22" x14ac:dyDescent="0.25">
      <c r="A236" s="1389"/>
      <c r="B236" s="1389"/>
      <c r="C236" s="1389"/>
      <c r="D236" s="1389"/>
      <c r="E236" s="1389"/>
      <c r="F236" s="1389"/>
      <c r="G236" s="1389"/>
      <c r="H236" s="1389"/>
      <c r="I236" s="1389"/>
      <c r="J236" s="1389"/>
      <c r="K236" s="1389"/>
      <c r="L236" s="1389"/>
      <c r="M236" s="1389"/>
      <c r="N236" s="1389"/>
      <c r="O236" s="1389"/>
      <c r="P236" s="1389"/>
      <c r="Q236" s="1389"/>
      <c r="R236" s="1389"/>
      <c r="S236" s="1389"/>
      <c r="T236" s="1389"/>
      <c r="U236" s="1389"/>
      <c r="V236" s="1389"/>
    </row>
    <row r="237" spans="1:22" x14ac:dyDescent="0.25">
      <c r="A237" s="1389"/>
      <c r="B237" s="1389"/>
      <c r="C237" s="1389"/>
      <c r="D237" s="1389"/>
      <c r="E237" s="1389"/>
      <c r="F237" s="1389"/>
      <c r="G237" s="1389"/>
      <c r="H237" s="1389"/>
      <c r="I237" s="1389"/>
      <c r="J237" s="1389"/>
      <c r="K237" s="1389"/>
      <c r="L237" s="1389"/>
      <c r="M237" s="1389"/>
      <c r="N237" s="1389"/>
      <c r="O237" s="1389"/>
      <c r="P237" s="1389"/>
      <c r="Q237" s="1389"/>
      <c r="R237" s="1389"/>
      <c r="S237" s="1389"/>
      <c r="T237" s="1389"/>
      <c r="U237" s="1389"/>
      <c r="V237" s="1389"/>
    </row>
    <row r="238" spans="1:22" x14ac:dyDescent="0.25">
      <c r="A238" s="1389"/>
      <c r="B238" s="1389"/>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row>
    <row r="239" spans="1:22" x14ac:dyDescent="0.25">
      <c r="A239" s="1389"/>
      <c r="B239" s="1389"/>
      <c r="C239" s="1389"/>
      <c r="D239" s="1389"/>
      <c r="E239" s="1389"/>
      <c r="F239" s="1389"/>
      <c r="G239" s="1389"/>
      <c r="H239" s="1389"/>
      <c r="I239" s="1389"/>
      <c r="J239" s="1389"/>
      <c r="K239" s="1389"/>
      <c r="L239" s="1389"/>
      <c r="M239" s="1389"/>
      <c r="N239" s="1389"/>
      <c r="O239" s="1389"/>
      <c r="P239" s="1389"/>
      <c r="Q239" s="1389"/>
      <c r="R239" s="1389"/>
      <c r="S239" s="1389"/>
      <c r="T239" s="1389"/>
      <c r="U239" s="1389"/>
      <c r="V239" s="1389"/>
    </row>
    <row r="240" spans="1:22" x14ac:dyDescent="0.25">
      <c r="A240" s="1389"/>
      <c r="B240" s="1389"/>
      <c r="C240" s="1389"/>
      <c r="D240" s="1389"/>
      <c r="E240" s="1389"/>
      <c r="F240" s="1389"/>
      <c r="G240" s="1389"/>
      <c r="H240" s="1389"/>
      <c r="I240" s="1389"/>
      <c r="J240" s="1389"/>
      <c r="K240" s="1389"/>
      <c r="L240" s="1389"/>
      <c r="M240" s="1389"/>
      <c r="N240" s="1389"/>
      <c r="O240" s="1389"/>
      <c r="P240" s="1389"/>
      <c r="Q240" s="1389"/>
      <c r="R240" s="1389"/>
      <c r="S240" s="1389"/>
      <c r="T240" s="1389"/>
      <c r="U240" s="1389"/>
      <c r="V240" s="1389"/>
    </row>
    <row r="241" spans="1:22" x14ac:dyDescent="0.25">
      <c r="A241" s="1389"/>
      <c r="B241" s="1389"/>
      <c r="C241" s="1389"/>
      <c r="D241" s="1389"/>
      <c r="E241" s="1389"/>
      <c r="F241" s="1389"/>
      <c r="G241" s="1389"/>
      <c r="H241" s="1389"/>
      <c r="I241" s="1389"/>
      <c r="J241" s="1389"/>
      <c r="K241" s="1389"/>
      <c r="L241" s="1389"/>
      <c r="M241" s="1389"/>
      <c r="N241" s="1389"/>
      <c r="O241" s="1389"/>
      <c r="P241" s="1389"/>
      <c r="Q241" s="1389"/>
      <c r="R241" s="1389"/>
      <c r="S241" s="1389"/>
      <c r="T241" s="1389"/>
      <c r="U241" s="1389"/>
      <c r="V241" s="1389"/>
    </row>
    <row r="242" spans="1:22" x14ac:dyDescent="0.25">
      <c r="A242" s="1389"/>
      <c r="B242" s="1389"/>
      <c r="C242" s="1389"/>
      <c r="D242" s="1389"/>
      <c r="E242" s="1389"/>
      <c r="F242" s="1389"/>
      <c r="G242" s="1389"/>
      <c r="H242" s="1389"/>
      <c r="I242" s="1389"/>
      <c r="J242" s="1389"/>
      <c r="K242" s="1389"/>
      <c r="L242" s="1389"/>
      <c r="M242" s="1389"/>
      <c r="N242" s="1389"/>
      <c r="O242" s="1389"/>
      <c r="P242" s="1389"/>
      <c r="Q242" s="1389"/>
      <c r="R242" s="1389"/>
      <c r="S242" s="1389"/>
      <c r="T242" s="1389"/>
      <c r="U242" s="1389"/>
      <c r="V242" s="1389"/>
    </row>
    <row r="243" spans="1:22" x14ac:dyDescent="0.25">
      <c r="A243" s="1389"/>
      <c r="B243" s="1389"/>
      <c r="C243" s="1389"/>
      <c r="D243" s="1389"/>
      <c r="E243" s="1389"/>
      <c r="F243" s="1389"/>
      <c r="G243" s="1389"/>
      <c r="H243" s="1389"/>
      <c r="I243" s="1389"/>
      <c r="J243" s="1389"/>
      <c r="K243" s="1389"/>
      <c r="L243" s="1389"/>
      <c r="M243" s="1389"/>
      <c r="N243" s="1389"/>
      <c r="O243" s="1389"/>
      <c r="P243" s="1389"/>
      <c r="Q243" s="1389"/>
      <c r="R243" s="1389"/>
      <c r="S243" s="1389"/>
      <c r="T243" s="1389"/>
      <c r="U243" s="1389"/>
      <c r="V243" s="1389"/>
    </row>
    <row r="244" spans="1:22" x14ac:dyDescent="0.25">
      <c r="A244" s="1389"/>
      <c r="B244" s="1389"/>
      <c r="C244" s="1389"/>
      <c r="D244" s="1389"/>
      <c r="E244" s="1389"/>
      <c r="F244" s="1389"/>
      <c r="G244" s="1389"/>
      <c r="H244" s="1389"/>
      <c r="I244" s="1389"/>
      <c r="J244" s="1389"/>
      <c r="K244" s="1389"/>
      <c r="L244" s="1389"/>
      <c r="M244" s="1389"/>
      <c r="N244" s="1389"/>
      <c r="O244" s="1389"/>
      <c r="P244" s="1389"/>
      <c r="Q244" s="1389"/>
      <c r="R244" s="1389"/>
      <c r="S244" s="1389"/>
      <c r="T244" s="1389"/>
      <c r="U244" s="1389"/>
      <c r="V244" s="1389"/>
    </row>
    <row r="245" spans="1:22" x14ac:dyDescent="0.25">
      <c r="A245" s="1389"/>
      <c r="B245" s="1389"/>
      <c r="C245" s="1389"/>
      <c r="D245" s="1389"/>
      <c r="E245" s="1389"/>
      <c r="F245" s="1389"/>
      <c r="G245" s="1389"/>
      <c r="H245" s="1389"/>
      <c r="I245" s="1389"/>
      <c r="J245" s="1389"/>
      <c r="K245" s="1389"/>
      <c r="L245" s="1389"/>
      <c r="M245" s="1389"/>
      <c r="N245" s="1389"/>
      <c r="O245" s="1389"/>
      <c r="P245" s="1389"/>
      <c r="Q245" s="1389"/>
      <c r="R245" s="1389"/>
      <c r="S245" s="1389"/>
      <c r="T245" s="1389"/>
      <c r="U245" s="1389"/>
      <c r="V245" s="1389"/>
    </row>
    <row r="246" spans="1:22" x14ac:dyDescent="0.25">
      <c r="A246" s="1389"/>
      <c r="B246" s="1389"/>
      <c r="C246" s="1389"/>
      <c r="D246" s="1389"/>
      <c r="E246" s="1389"/>
      <c r="F246" s="1389"/>
      <c r="G246" s="1389"/>
      <c r="H246" s="1389"/>
      <c r="I246" s="1389"/>
      <c r="J246" s="1389"/>
      <c r="K246" s="1389"/>
      <c r="L246" s="1389"/>
      <c r="M246" s="1389"/>
      <c r="N246" s="1389"/>
      <c r="O246" s="1389"/>
      <c r="P246" s="1389"/>
      <c r="Q246" s="1389"/>
      <c r="R246" s="1389"/>
      <c r="S246" s="1389"/>
      <c r="T246" s="1389"/>
      <c r="U246" s="1389"/>
      <c r="V246" s="1389"/>
    </row>
    <row r="247" spans="1:22" x14ac:dyDescent="0.25">
      <c r="A247" s="1389"/>
      <c r="B247" s="1389"/>
      <c r="C247" s="1389"/>
      <c r="D247" s="1389"/>
      <c r="E247" s="1389"/>
      <c r="F247" s="1389"/>
      <c r="G247" s="1389"/>
      <c r="H247" s="1389"/>
      <c r="I247" s="1389"/>
      <c r="J247" s="1389"/>
      <c r="K247" s="1389"/>
      <c r="L247" s="1389"/>
      <c r="M247" s="1389"/>
      <c r="N247" s="1389"/>
      <c r="O247" s="1389"/>
      <c r="P247" s="1389"/>
      <c r="Q247" s="1389"/>
      <c r="R247" s="1389"/>
      <c r="S247" s="1389"/>
      <c r="T247" s="1389"/>
      <c r="U247" s="1389"/>
      <c r="V247" s="1389"/>
    </row>
    <row r="248" spans="1:22" x14ac:dyDescent="0.25">
      <c r="A248" s="1389"/>
      <c r="B248" s="1389"/>
      <c r="C248" s="1389"/>
      <c r="D248" s="1389"/>
      <c r="E248" s="1389"/>
      <c r="F248" s="1389"/>
      <c r="G248" s="1389"/>
      <c r="H248" s="1389"/>
      <c r="I248" s="1389"/>
      <c r="J248" s="1389"/>
      <c r="K248" s="1389"/>
      <c r="L248" s="1389"/>
      <c r="M248" s="1389"/>
      <c r="N248" s="1389"/>
      <c r="O248" s="1389"/>
      <c r="P248" s="1389"/>
      <c r="Q248" s="1389"/>
      <c r="R248" s="1389"/>
      <c r="S248" s="1389"/>
      <c r="T248" s="1389"/>
      <c r="U248" s="1389"/>
      <c r="V248" s="1389"/>
    </row>
    <row r="249" spans="1:22" x14ac:dyDescent="0.25">
      <c r="A249" s="1389"/>
      <c r="B249" s="1389"/>
      <c r="C249" s="1389"/>
      <c r="D249" s="1389"/>
      <c r="E249" s="1389"/>
      <c r="F249" s="1389"/>
      <c r="G249" s="1389"/>
      <c r="H249" s="1389"/>
      <c r="I249" s="1389"/>
      <c r="J249" s="1389"/>
      <c r="K249" s="1389"/>
      <c r="L249" s="1389"/>
      <c r="M249" s="1389"/>
      <c r="N249" s="1389"/>
      <c r="O249" s="1389"/>
      <c r="P249" s="1389"/>
      <c r="Q249" s="1389"/>
      <c r="R249" s="1389"/>
      <c r="S249" s="1389"/>
      <c r="T249" s="1389"/>
      <c r="U249" s="1389"/>
      <c r="V249" s="1389"/>
    </row>
    <row r="250" spans="1:22" x14ac:dyDescent="0.25">
      <c r="A250" s="1389"/>
      <c r="B250" s="1389"/>
      <c r="C250" s="1389"/>
      <c r="D250" s="1389"/>
      <c r="E250" s="1389"/>
      <c r="F250" s="1389"/>
      <c r="G250" s="1389"/>
      <c r="H250" s="1389"/>
      <c r="I250" s="1389"/>
      <c r="J250" s="1389"/>
      <c r="K250" s="1389"/>
      <c r="L250" s="1389"/>
      <c r="M250" s="1389"/>
      <c r="N250" s="1389"/>
      <c r="O250" s="1389"/>
      <c r="P250" s="1389"/>
      <c r="Q250" s="1389"/>
      <c r="R250" s="1389"/>
      <c r="S250" s="1389"/>
      <c r="T250" s="1389"/>
      <c r="U250" s="1389"/>
      <c r="V250" s="1389"/>
    </row>
    <row r="251" spans="1:22" x14ac:dyDescent="0.25">
      <c r="A251" s="1389"/>
      <c r="B251" s="1389"/>
      <c r="C251" s="1389"/>
      <c r="D251" s="1389"/>
      <c r="E251" s="1389"/>
      <c r="F251" s="1389"/>
      <c r="G251" s="1389"/>
      <c r="H251" s="1389"/>
      <c r="I251" s="1389"/>
      <c r="J251" s="1389"/>
      <c r="K251" s="1389"/>
      <c r="L251" s="1389"/>
      <c r="M251" s="1389"/>
      <c r="N251" s="1389"/>
      <c r="O251" s="1389"/>
      <c r="P251" s="1389"/>
      <c r="Q251" s="1389"/>
      <c r="R251" s="1389"/>
      <c r="S251" s="1389"/>
      <c r="T251" s="1389"/>
      <c r="U251" s="1389"/>
      <c r="V251" s="1389"/>
    </row>
    <row r="252" spans="1:22" x14ac:dyDescent="0.25">
      <c r="A252" s="1389"/>
      <c r="B252" s="1389"/>
      <c r="C252" s="1389"/>
      <c r="D252" s="1389"/>
      <c r="E252" s="1389"/>
      <c r="F252" s="1389"/>
      <c r="G252" s="1389"/>
      <c r="H252" s="1389"/>
      <c r="I252" s="1389"/>
      <c r="J252" s="1389"/>
      <c r="K252" s="1389"/>
      <c r="L252" s="1389"/>
      <c r="M252" s="1389"/>
      <c r="N252" s="1389"/>
      <c r="O252" s="1389"/>
      <c r="P252" s="1389"/>
      <c r="Q252" s="1389"/>
      <c r="R252" s="1389"/>
      <c r="S252" s="1389"/>
      <c r="T252" s="1389"/>
      <c r="U252" s="1389"/>
      <c r="V252" s="1389"/>
    </row>
    <row r="253" spans="1:22" x14ac:dyDescent="0.25">
      <c r="A253" s="1389"/>
      <c r="B253" s="1389"/>
      <c r="C253" s="1389"/>
      <c r="D253" s="1389"/>
      <c r="E253" s="1389"/>
      <c r="F253" s="1389"/>
      <c r="G253" s="1389"/>
      <c r="H253" s="1389"/>
      <c r="I253" s="1389"/>
      <c r="J253" s="1389"/>
      <c r="K253" s="1389"/>
      <c r="L253" s="1389"/>
      <c r="M253" s="1389"/>
      <c r="N253" s="1389"/>
      <c r="O253" s="1389"/>
      <c r="P253" s="1389"/>
      <c r="Q253" s="1389"/>
      <c r="R253" s="1389"/>
      <c r="S253" s="1389"/>
      <c r="T253" s="1389"/>
      <c r="U253" s="1389"/>
      <c r="V253" s="1389"/>
    </row>
    <row r="254" spans="1:22" x14ac:dyDescent="0.25">
      <c r="A254" s="1389"/>
      <c r="B254" s="1389"/>
      <c r="C254" s="1389"/>
      <c r="D254" s="1389"/>
      <c r="E254" s="1389"/>
      <c r="F254" s="1389"/>
      <c r="G254" s="1389"/>
      <c r="H254" s="1389"/>
      <c r="I254" s="1389"/>
      <c r="J254" s="1389"/>
      <c r="K254" s="1389"/>
      <c r="L254" s="1389"/>
      <c r="M254" s="1389"/>
      <c r="N254" s="1389"/>
      <c r="O254" s="1389"/>
      <c r="P254" s="1389"/>
      <c r="Q254" s="1389"/>
      <c r="R254" s="1389"/>
      <c r="S254" s="1389"/>
      <c r="T254" s="1389"/>
      <c r="U254" s="1389"/>
      <c r="V254" s="1389"/>
    </row>
    <row r="255" spans="1:22" x14ac:dyDescent="0.25">
      <c r="A255" s="1389"/>
      <c r="B255" s="1389"/>
      <c r="C255" s="1389"/>
      <c r="D255" s="1389"/>
      <c r="E255" s="1389"/>
      <c r="F255" s="1389"/>
      <c r="G255" s="1389"/>
      <c r="H255" s="1389"/>
      <c r="I255" s="1389"/>
      <c r="J255" s="1389"/>
      <c r="K255" s="1389"/>
      <c r="L255" s="1389"/>
      <c r="M255" s="1389"/>
      <c r="N255" s="1389"/>
      <c r="O255" s="1389"/>
      <c r="P255" s="1389"/>
      <c r="Q255" s="1389"/>
      <c r="R255" s="1389"/>
      <c r="S255" s="1389"/>
      <c r="T255" s="1389"/>
      <c r="U255" s="1389"/>
      <c r="V255" s="1389"/>
    </row>
    <row r="256" spans="1:22" x14ac:dyDescent="0.25">
      <c r="A256" s="1389"/>
      <c r="B256" s="1389"/>
      <c r="C256" s="1389"/>
      <c r="D256" s="1389"/>
      <c r="E256" s="1389"/>
      <c r="F256" s="1389"/>
      <c r="G256" s="1389"/>
      <c r="H256" s="1389"/>
      <c r="I256" s="1389"/>
      <c r="J256" s="1389"/>
      <c r="K256" s="1389"/>
      <c r="L256" s="1389"/>
      <c r="M256" s="1389"/>
      <c r="N256" s="1389"/>
      <c r="O256" s="1389"/>
      <c r="P256" s="1389"/>
      <c r="Q256" s="1389"/>
      <c r="R256" s="1389"/>
      <c r="S256" s="1389"/>
      <c r="T256" s="1389"/>
      <c r="U256" s="1389"/>
      <c r="V256" s="1389"/>
    </row>
    <row r="257" spans="1:22" x14ac:dyDescent="0.25">
      <c r="A257" s="1389"/>
      <c r="B257" s="1389"/>
      <c r="C257" s="1389"/>
      <c r="D257" s="1389"/>
      <c r="E257" s="1389"/>
      <c r="F257" s="1389"/>
      <c r="G257" s="1389"/>
      <c r="H257" s="1389"/>
      <c r="I257" s="1389"/>
      <c r="J257" s="1389"/>
      <c r="K257" s="1389"/>
      <c r="L257" s="1389"/>
      <c r="M257" s="1389"/>
      <c r="N257" s="1389"/>
      <c r="O257" s="1389"/>
      <c r="P257" s="1389"/>
      <c r="Q257" s="1389"/>
      <c r="R257" s="1389"/>
      <c r="S257" s="1389"/>
      <c r="T257" s="1389"/>
      <c r="U257" s="1389"/>
      <c r="V257" s="1389"/>
    </row>
    <row r="258" spans="1:22" x14ac:dyDescent="0.25">
      <c r="A258" s="1389"/>
      <c r="B258" s="1389"/>
      <c r="C258" s="1389"/>
      <c r="D258" s="1389"/>
      <c r="E258" s="1389"/>
      <c r="F258" s="1389"/>
      <c r="G258" s="1389"/>
      <c r="H258" s="1389"/>
      <c r="I258" s="1389"/>
      <c r="J258" s="1389"/>
      <c r="K258" s="1389"/>
      <c r="L258" s="1389"/>
      <c r="M258" s="1389"/>
      <c r="N258" s="1389"/>
      <c r="O258" s="1389"/>
      <c r="P258" s="1389"/>
      <c r="Q258" s="1389"/>
      <c r="R258" s="1389"/>
      <c r="S258" s="1389"/>
      <c r="T258" s="1389"/>
      <c r="U258" s="1389"/>
      <c r="V258" s="1389"/>
    </row>
    <row r="259" spans="1:22" x14ac:dyDescent="0.25">
      <c r="A259" s="1389"/>
      <c r="B259" s="1389"/>
      <c r="C259" s="1389"/>
      <c r="D259" s="1389"/>
      <c r="E259" s="1389"/>
      <c r="F259" s="1389"/>
      <c r="G259" s="1389"/>
      <c r="H259" s="1389"/>
      <c r="I259" s="1389"/>
      <c r="J259" s="1389"/>
      <c r="K259" s="1389"/>
      <c r="L259" s="1389"/>
      <c r="M259" s="1389"/>
      <c r="N259" s="1389"/>
      <c r="O259" s="1389"/>
      <c r="P259" s="1389"/>
      <c r="Q259" s="1389"/>
      <c r="R259" s="1389"/>
      <c r="S259" s="1389"/>
      <c r="T259" s="1389"/>
      <c r="U259" s="1389"/>
      <c r="V259" s="1389"/>
    </row>
    <row r="260" spans="1:22" x14ac:dyDescent="0.25">
      <c r="A260" s="1389"/>
      <c r="B260" s="1389"/>
      <c r="C260" s="1389"/>
      <c r="D260" s="1389"/>
      <c r="E260" s="1389"/>
      <c r="F260" s="1389"/>
      <c r="G260" s="1389"/>
      <c r="H260" s="1389"/>
      <c r="I260" s="1389"/>
      <c r="J260" s="1389"/>
      <c r="K260" s="1389"/>
      <c r="L260" s="1389"/>
      <c r="M260" s="1389"/>
      <c r="N260" s="1389"/>
      <c r="O260" s="1389"/>
      <c r="P260" s="1389"/>
      <c r="Q260" s="1389"/>
      <c r="R260" s="1389"/>
      <c r="S260" s="1389"/>
      <c r="T260" s="1389"/>
      <c r="U260" s="1389"/>
      <c r="V260" s="1389"/>
    </row>
    <row r="261" spans="1:22" x14ac:dyDescent="0.25">
      <c r="A261" s="1389"/>
      <c r="B261" s="1389"/>
      <c r="C261" s="1389"/>
      <c r="D261" s="1389"/>
      <c r="E261" s="1389"/>
      <c r="F261" s="1389"/>
      <c r="G261" s="1389"/>
      <c r="H261" s="1389"/>
      <c r="I261" s="1389"/>
      <c r="J261" s="1389"/>
      <c r="K261" s="1389"/>
      <c r="L261" s="1389"/>
      <c r="M261" s="1389"/>
      <c r="N261" s="1389"/>
      <c r="O261" s="1389"/>
      <c r="P261" s="1389"/>
      <c r="Q261" s="1389"/>
      <c r="R261" s="1389"/>
      <c r="S261" s="1389"/>
      <c r="T261" s="1389"/>
      <c r="U261" s="1389"/>
      <c r="V261" s="1389"/>
    </row>
    <row r="262" spans="1:22" x14ac:dyDescent="0.25">
      <c r="A262" s="1389"/>
      <c r="B262" s="1389"/>
      <c r="C262" s="1389"/>
      <c r="D262" s="1389"/>
      <c r="E262" s="1389"/>
      <c r="F262" s="1389"/>
      <c r="G262" s="1389"/>
      <c r="H262" s="1389"/>
      <c r="I262" s="1389"/>
      <c r="J262" s="1389"/>
      <c r="K262" s="1389"/>
      <c r="L262" s="1389"/>
      <c r="M262" s="1389"/>
      <c r="N262" s="1389"/>
      <c r="O262" s="1389"/>
      <c r="P262" s="1389"/>
      <c r="Q262" s="1389"/>
      <c r="R262" s="1389"/>
      <c r="S262" s="1389"/>
      <c r="T262" s="1389"/>
      <c r="U262" s="1389"/>
      <c r="V262" s="1389"/>
    </row>
    <row r="263" spans="1:22" x14ac:dyDescent="0.25">
      <c r="A263" s="1389"/>
      <c r="B263" s="1389"/>
      <c r="C263" s="1389"/>
      <c r="D263" s="1389"/>
      <c r="E263" s="1389"/>
      <c r="F263" s="1389"/>
      <c r="G263" s="1389"/>
      <c r="H263" s="1389"/>
      <c r="I263" s="1389"/>
      <c r="J263" s="1389"/>
      <c r="K263" s="1389"/>
      <c r="L263" s="1389"/>
      <c r="M263" s="1389"/>
      <c r="N263" s="1389"/>
      <c r="O263" s="1389"/>
      <c r="P263" s="1389"/>
      <c r="Q263" s="1389"/>
      <c r="R263" s="1389"/>
      <c r="S263" s="1389"/>
      <c r="T263" s="1389"/>
      <c r="U263" s="1389"/>
      <c r="V263" s="1389"/>
    </row>
    <row r="264" spans="1:22" x14ac:dyDescent="0.25">
      <c r="A264" s="1389"/>
      <c r="B264" s="1389"/>
      <c r="C264" s="1389"/>
      <c r="D264" s="1389"/>
      <c r="E264" s="1389"/>
      <c r="F264" s="1389"/>
      <c r="G264" s="1389"/>
      <c r="H264" s="1389"/>
      <c r="I264" s="1389"/>
      <c r="J264" s="1389"/>
      <c r="K264" s="1389"/>
      <c r="L264" s="1389"/>
      <c r="M264" s="1389"/>
      <c r="N264" s="1389"/>
      <c r="O264" s="1389"/>
      <c r="P264" s="1389"/>
      <c r="Q264" s="1389"/>
      <c r="R264" s="1389"/>
      <c r="S264" s="1389"/>
      <c r="T264" s="1389"/>
      <c r="U264" s="1389"/>
      <c r="V264" s="1389"/>
    </row>
    <row r="265" spans="1:22" x14ac:dyDescent="0.25">
      <c r="A265" s="1389"/>
      <c r="B265" s="1389"/>
      <c r="C265" s="1389"/>
      <c r="D265" s="1389"/>
      <c r="E265" s="1389"/>
      <c r="F265" s="1389"/>
      <c r="G265" s="1389"/>
      <c r="H265" s="1389"/>
      <c r="I265" s="1389"/>
      <c r="J265" s="1389"/>
      <c r="K265" s="1389"/>
      <c r="L265" s="1389"/>
      <c r="M265" s="1389"/>
      <c r="N265" s="1389"/>
      <c r="O265" s="1389"/>
      <c r="P265" s="1389"/>
      <c r="Q265" s="1389"/>
      <c r="R265" s="1389"/>
      <c r="S265" s="1389"/>
      <c r="T265" s="1389"/>
      <c r="U265" s="1389"/>
      <c r="V265" s="1389"/>
    </row>
    <row r="266" spans="1:22" x14ac:dyDescent="0.25">
      <c r="A266" s="1389"/>
      <c r="B266" s="1389"/>
      <c r="C266" s="1389"/>
      <c r="D266" s="1389"/>
      <c r="E266" s="1389"/>
      <c r="F266" s="1389"/>
      <c r="G266" s="1389"/>
      <c r="H266" s="1389"/>
      <c r="I266" s="1389"/>
      <c r="J266" s="1389"/>
      <c r="K266" s="1389"/>
      <c r="L266" s="1389"/>
      <c r="M266" s="1389"/>
      <c r="N266" s="1389"/>
      <c r="O266" s="1389"/>
      <c r="P266" s="1389"/>
      <c r="Q266" s="1389"/>
      <c r="R266" s="1389"/>
      <c r="S266" s="1389"/>
      <c r="T266" s="1389"/>
      <c r="U266" s="1389"/>
      <c r="V266" s="1389"/>
    </row>
    <row r="267" spans="1:22" x14ac:dyDescent="0.25">
      <c r="A267" s="1389"/>
      <c r="B267" s="1389"/>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row>
    <row r="268" spans="1:22" x14ac:dyDescent="0.25">
      <c r="A268" s="1389"/>
      <c r="B268" s="1389"/>
      <c r="C268" s="1389"/>
      <c r="D268" s="1389"/>
      <c r="E268" s="1389"/>
      <c r="F268" s="1389"/>
      <c r="G268" s="1389"/>
      <c r="H268" s="1389"/>
      <c r="I268" s="1389"/>
      <c r="J268" s="1389"/>
      <c r="K268" s="1389"/>
      <c r="L268" s="1389"/>
      <c r="M268" s="1389"/>
      <c r="N268" s="1389"/>
      <c r="O268" s="1389"/>
      <c r="P268" s="1389"/>
      <c r="Q268" s="1389"/>
      <c r="R268" s="1389"/>
      <c r="S268" s="1389"/>
      <c r="T268" s="1389"/>
      <c r="U268" s="1389"/>
      <c r="V268" s="1389"/>
    </row>
    <row r="269" spans="1:22" x14ac:dyDescent="0.25">
      <c r="A269" s="1389"/>
      <c r="B269" s="1389"/>
      <c r="C269" s="1389"/>
      <c r="D269" s="1389"/>
      <c r="E269" s="1389"/>
      <c r="F269" s="1389"/>
      <c r="G269" s="1389"/>
      <c r="H269" s="1389"/>
      <c r="I269" s="1389"/>
      <c r="J269" s="1389"/>
      <c r="K269" s="1389"/>
      <c r="L269" s="1389"/>
      <c r="M269" s="1389"/>
      <c r="N269" s="1389"/>
      <c r="O269" s="1389"/>
      <c r="P269" s="1389"/>
      <c r="Q269" s="1389"/>
      <c r="R269" s="1389"/>
      <c r="S269" s="1389"/>
      <c r="T269" s="1389"/>
      <c r="U269" s="1389"/>
      <c r="V269" s="1389"/>
    </row>
    <row r="270" spans="1:22" x14ac:dyDescent="0.25">
      <c r="A270" s="1389"/>
      <c r="B270" s="1389"/>
      <c r="C270" s="1389"/>
      <c r="D270" s="1389"/>
      <c r="E270" s="1389"/>
      <c r="F270" s="1389"/>
      <c r="G270" s="1389"/>
      <c r="H270" s="1389"/>
      <c r="I270" s="1389"/>
      <c r="J270" s="1389"/>
      <c r="K270" s="1389"/>
      <c r="L270" s="1389"/>
      <c r="M270" s="1389"/>
      <c r="N270" s="1389"/>
      <c r="O270" s="1389"/>
      <c r="P270" s="1389"/>
      <c r="Q270" s="1389"/>
      <c r="R270" s="1389"/>
      <c r="S270" s="1389"/>
      <c r="T270" s="1389"/>
      <c r="U270" s="1389"/>
      <c r="V270" s="1389"/>
    </row>
    <row r="271" spans="1:22" x14ac:dyDescent="0.25">
      <c r="A271" s="1389"/>
      <c r="B271" s="1389"/>
      <c r="C271" s="1389"/>
      <c r="D271" s="1389"/>
      <c r="E271" s="1389"/>
      <c r="F271" s="1389"/>
      <c r="G271" s="1389"/>
      <c r="H271" s="1389"/>
      <c r="I271" s="1389"/>
      <c r="J271" s="1389"/>
      <c r="K271" s="1389"/>
      <c r="L271" s="1389"/>
      <c r="M271" s="1389"/>
      <c r="N271" s="1389"/>
      <c r="O271" s="1389"/>
      <c r="P271" s="1389"/>
      <c r="Q271" s="1389"/>
      <c r="R271" s="1389"/>
      <c r="S271" s="1389"/>
      <c r="T271" s="1389"/>
      <c r="U271" s="1389"/>
      <c r="V271" s="1389"/>
    </row>
    <row r="272" spans="1:22" x14ac:dyDescent="0.25">
      <c r="A272" s="1389"/>
      <c r="B272" s="1389"/>
      <c r="C272" s="1389"/>
      <c r="D272" s="1389"/>
      <c r="E272" s="1389"/>
      <c r="F272" s="1389"/>
      <c r="G272" s="1389"/>
      <c r="H272" s="1389"/>
      <c r="I272" s="1389"/>
      <c r="J272" s="1389"/>
      <c r="K272" s="1389"/>
      <c r="L272" s="1389"/>
      <c r="M272" s="1389"/>
      <c r="N272" s="1389"/>
      <c r="O272" s="1389"/>
      <c r="P272" s="1389"/>
      <c r="Q272" s="1389"/>
      <c r="R272" s="1389"/>
      <c r="S272" s="1389"/>
      <c r="T272" s="1389"/>
      <c r="U272" s="1389"/>
      <c r="V272" s="1389"/>
    </row>
    <row r="273" spans="1:22" x14ac:dyDescent="0.25">
      <c r="A273" s="1389"/>
      <c r="B273" s="1389"/>
      <c r="C273" s="1389"/>
      <c r="D273" s="1389"/>
      <c r="E273" s="1389"/>
      <c r="F273" s="1389"/>
      <c r="G273" s="1389"/>
      <c r="H273" s="1389"/>
      <c r="I273" s="1389"/>
      <c r="J273" s="1389"/>
      <c r="K273" s="1389"/>
      <c r="L273" s="1389"/>
      <c r="M273" s="1389"/>
      <c r="N273" s="1389"/>
      <c r="O273" s="1389"/>
      <c r="P273" s="1389"/>
      <c r="Q273" s="1389"/>
      <c r="R273" s="1389"/>
      <c r="S273" s="1389"/>
      <c r="T273" s="1389"/>
      <c r="U273" s="1389"/>
      <c r="V273" s="1389"/>
    </row>
    <row r="274" spans="1:22" x14ac:dyDescent="0.25">
      <c r="A274" s="1389"/>
      <c r="B274" s="1389"/>
      <c r="C274" s="1389"/>
      <c r="D274" s="1389"/>
      <c r="E274" s="1389"/>
      <c r="F274" s="1389"/>
      <c r="G274" s="1389"/>
      <c r="H274" s="1389"/>
      <c r="I274" s="1389"/>
      <c r="J274" s="1389"/>
      <c r="K274" s="1389"/>
      <c r="L274" s="1389"/>
      <c r="M274" s="1389"/>
      <c r="N274" s="1389"/>
      <c r="O274" s="1389"/>
      <c r="P274" s="1389"/>
      <c r="Q274" s="1389"/>
      <c r="R274" s="1389"/>
      <c r="S274" s="1389"/>
      <c r="T274" s="1389"/>
      <c r="U274" s="1389"/>
      <c r="V274" s="1389"/>
    </row>
    <row r="275" spans="1:22" x14ac:dyDescent="0.25">
      <c r="A275" s="1389"/>
      <c r="B275" s="1389"/>
      <c r="C275" s="1389"/>
      <c r="D275" s="1389"/>
      <c r="E275" s="1389"/>
      <c r="F275" s="1389"/>
      <c r="G275" s="1389"/>
      <c r="H275" s="1389"/>
      <c r="I275" s="1389"/>
      <c r="J275" s="1389"/>
      <c r="K275" s="1389"/>
      <c r="L275" s="1389"/>
      <c r="M275" s="1389"/>
      <c r="N275" s="1389"/>
      <c r="O275" s="1389"/>
      <c r="P275" s="1389"/>
      <c r="Q275" s="1389"/>
      <c r="R275" s="1389"/>
      <c r="S275" s="1389"/>
      <c r="T275" s="1389"/>
      <c r="U275" s="1389"/>
      <c r="V275" s="1389"/>
    </row>
    <row r="276" spans="1:22" x14ac:dyDescent="0.25">
      <c r="A276" s="1389"/>
      <c r="B276" s="1389"/>
      <c r="C276" s="1389"/>
      <c r="D276" s="1389"/>
      <c r="E276" s="1389"/>
      <c r="F276" s="1389"/>
      <c r="G276" s="1389"/>
      <c r="H276" s="1389"/>
      <c r="I276" s="1389"/>
      <c r="J276" s="1389"/>
      <c r="K276" s="1389"/>
      <c r="L276" s="1389"/>
      <c r="M276" s="1389"/>
      <c r="N276" s="1389"/>
      <c r="O276" s="1389"/>
      <c r="P276" s="1389"/>
      <c r="Q276" s="1389"/>
      <c r="R276" s="1389"/>
      <c r="S276" s="1389"/>
      <c r="T276" s="1389"/>
      <c r="U276" s="1389"/>
      <c r="V276" s="1389"/>
    </row>
    <row r="277" spans="1:22" x14ac:dyDescent="0.25">
      <c r="A277" s="1389"/>
      <c r="B277" s="1389"/>
      <c r="C277" s="1389"/>
      <c r="D277" s="1389"/>
      <c r="E277" s="1389"/>
      <c r="F277" s="1389"/>
      <c r="G277" s="1389"/>
      <c r="H277" s="1389"/>
      <c r="I277" s="1389"/>
      <c r="J277" s="1389"/>
      <c r="K277" s="1389"/>
      <c r="L277" s="1389"/>
      <c r="M277" s="1389"/>
      <c r="N277" s="1389"/>
      <c r="O277" s="1389"/>
      <c r="P277" s="1389"/>
      <c r="Q277" s="1389"/>
      <c r="R277" s="1389"/>
      <c r="S277" s="1389"/>
      <c r="T277" s="1389"/>
      <c r="U277" s="1389"/>
      <c r="V277" s="1389"/>
    </row>
    <row r="278" spans="1:22" x14ac:dyDescent="0.25">
      <c r="A278" s="1389"/>
      <c r="B278" s="1389"/>
      <c r="C278" s="1389"/>
      <c r="D278" s="1389"/>
      <c r="E278" s="1389"/>
      <c r="F278" s="1389"/>
      <c r="G278" s="1389"/>
      <c r="H278" s="1389"/>
      <c r="I278" s="1389"/>
      <c r="J278" s="1389"/>
      <c r="K278" s="1389"/>
      <c r="L278" s="1389"/>
      <c r="M278" s="1389"/>
      <c r="N278" s="1389"/>
      <c r="O278" s="1389"/>
      <c r="P278" s="1389"/>
      <c r="Q278" s="1389"/>
      <c r="R278" s="1389"/>
      <c r="S278" s="1389"/>
      <c r="T278" s="1389"/>
      <c r="U278" s="1389"/>
      <c r="V278" s="1389"/>
    </row>
    <row r="279" spans="1:22" x14ac:dyDescent="0.25">
      <c r="A279" s="1389"/>
      <c r="B279" s="1389"/>
      <c r="C279" s="1389"/>
      <c r="D279" s="1389"/>
      <c r="E279" s="1389"/>
      <c r="F279" s="1389"/>
      <c r="G279" s="1389"/>
      <c r="H279" s="1389"/>
      <c r="I279" s="1389"/>
      <c r="J279" s="1389"/>
      <c r="K279" s="1389"/>
      <c r="L279" s="1389"/>
      <c r="M279" s="1389"/>
      <c r="N279" s="1389"/>
      <c r="O279" s="1389"/>
      <c r="P279" s="1389"/>
      <c r="Q279" s="1389"/>
      <c r="R279" s="1389"/>
      <c r="S279" s="1389"/>
      <c r="T279" s="1389"/>
      <c r="U279" s="1389"/>
      <c r="V279" s="1389"/>
    </row>
    <row r="280" spans="1:22" x14ac:dyDescent="0.25">
      <c r="A280" s="1389"/>
      <c r="B280" s="1389"/>
      <c r="C280" s="1389"/>
      <c r="D280" s="1389"/>
      <c r="E280" s="1389"/>
      <c r="F280" s="1389"/>
      <c r="G280" s="1389"/>
      <c r="H280" s="1389"/>
      <c r="I280" s="1389"/>
      <c r="J280" s="1389"/>
      <c r="K280" s="1389"/>
      <c r="L280" s="1389"/>
      <c r="M280" s="1389"/>
      <c r="N280" s="1389"/>
      <c r="O280" s="1389"/>
      <c r="P280" s="1389"/>
      <c r="Q280" s="1389"/>
      <c r="R280" s="1389"/>
      <c r="S280" s="1389"/>
      <c r="T280" s="1389"/>
      <c r="U280" s="1389"/>
      <c r="V280" s="1389"/>
    </row>
    <row r="281" spans="1:22" x14ac:dyDescent="0.25">
      <c r="A281" s="1389"/>
      <c r="B281" s="1389"/>
      <c r="C281" s="1389"/>
      <c r="D281" s="1389"/>
      <c r="E281" s="1389"/>
      <c r="F281" s="1389"/>
      <c r="G281" s="1389"/>
      <c r="H281" s="1389"/>
      <c r="I281" s="1389"/>
      <c r="J281" s="1389"/>
      <c r="K281" s="1389"/>
      <c r="L281" s="1389"/>
      <c r="M281" s="1389"/>
      <c r="N281" s="1389"/>
      <c r="O281" s="1389"/>
      <c r="P281" s="1389"/>
      <c r="Q281" s="1389"/>
      <c r="R281" s="1389"/>
      <c r="S281" s="1389"/>
      <c r="T281" s="1389"/>
      <c r="U281" s="1389"/>
      <c r="V281" s="1389"/>
    </row>
    <row r="282" spans="1:22" x14ac:dyDescent="0.25">
      <c r="A282" s="1389"/>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row>
    <row r="283" spans="1:22" x14ac:dyDescent="0.25">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row>
    <row r="284" spans="1:22" x14ac:dyDescent="0.25">
      <c r="A284" s="1389"/>
      <c r="B284" s="1389"/>
      <c r="C284" s="1389"/>
      <c r="D284" s="1389"/>
      <c r="E284" s="1389"/>
      <c r="F284" s="1389"/>
      <c r="G284" s="1389"/>
      <c r="H284" s="1389"/>
      <c r="I284" s="1389"/>
      <c r="J284" s="1389"/>
      <c r="K284" s="1389"/>
      <c r="L284" s="1389"/>
      <c r="M284" s="1389"/>
      <c r="N284" s="1389"/>
      <c r="O284" s="1389"/>
      <c r="P284" s="1389"/>
      <c r="Q284" s="1389"/>
      <c r="R284" s="1389"/>
      <c r="S284" s="1389"/>
      <c r="T284" s="1389"/>
      <c r="U284" s="1389"/>
      <c r="V284" s="1389"/>
    </row>
    <row r="285" spans="1:22" x14ac:dyDescent="0.25">
      <c r="A285" s="1389"/>
      <c r="B285" s="1389"/>
      <c r="C285" s="1389"/>
      <c r="D285" s="1389"/>
      <c r="E285" s="1389"/>
      <c r="F285" s="1389"/>
      <c r="G285" s="1389"/>
      <c r="H285" s="1389"/>
      <c r="I285" s="1389"/>
      <c r="J285" s="1389"/>
      <c r="K285" s="1389"/>
      <c r="L285" s="1389"/>
      <c r="M285" s="1389"/>
      <c r="N285" s="1389"/>
      <c r="O285" s="1389"/>
      <c r="P285" s="1389"/>
      <c r="Q285" s="1389"/>
      <c r="R285" s="1389"/>
      <c r="S285" s="1389"/>
      <c r="T285" s="1389"/>
      <c r="U285" s="1389"/>
      <c r="V285" s="1389"/>
    </row>
    <row r="286" spans="1:22" x14ac:dyDescent="0.25">
      <c r="A286" s="1389"/>
      <c r="B286" s="1389"/>
      <c r="C286" s="1389"/>
      <c r="D286" s="1389"/>
      <c r="E286" s="1389"/>
      <c r="F286" s="1389"/>
      <c r="G286" s="1389"/>
      <c r="H286" s="1389"/>
      <c r="I286" s="1389"/>
      <c r="J286" s="1389"/>
      <c r="K286" s="1389"/>
      <c r="L286" s="1389"/>
      <c r="M286" s="1389"/>
      <c r="N286" s="1389"/>
      <c r="O286" s="1389"/>
      <c r="P286" s="1389"/>
      <c r="Q286" s="1389"/>
      <c r="R286" s="1389"/>
      <c r="S286" s="1389"/>
      <c r="T286" s="1389"/>
      <c r="U286" s="1389"/>
      <c r="V286" s="1389"/>
    </row>
    <row r="287" spans="1:22" x14ac:dyDescent="0.25">
      <c r="A287" s="1389"/>
      <c r="B287" s="1389"/>
      <c r="C287" s="1389"/>
      <c r="D287" s="1389"/>
      <c r="E287" s="1389"/>
      <c r="F287" s="1389"/>
      <c r="G287" s="1389"/>
      <c r="H287" s="1389"/>
      <c r="I287" s="1389"/>
      <c r="J287" s="1389"/>
      <c r="K287" s="1389"/>
      <c r="L287" s="1389"/>
      <c r="M287" s="1389"/>
      <c r="N287" s="1389"/>
      <c r="O287" s="1389"/>
      <c r="P287" s="1389"/>
      <c r="Q287" s="1389"/>
      <c r="R287" s="1389"/>
      <c r="S287" s="1389"/>
      <c r="T287" s="1389"/>
      <c r="U287" s="1389"/>
      <c r="V287" s="1389"/>
    </row>
    <row r="288" spans="1:22" x14ac:dyDescent="0.25">
      <c r="A288" s="1389"/>
      <c r="B288" s="1389"/>
      <c r="C288" s="1389"/>
      <c r="D288" s="1389"/>
      <c r="E288" s="1389"/>
      <c r="F288" s="1389"/>
      <c r="G288" s="1389"/>
      <c r="H288" s="1389"/>
      <c r="I288" s="1389"/>
      <c r="J288" s="1389"/>
      <c r="K288" s="1389"/>
      <c r="L288" s="1389"/>
      <c r="M288" s="1389"/>
      <c r="N288" s="1389"/>
      <c r="O288" s="1389"/>
      <c r="P288" s="1389"/>
      <c r="Q288" s="1389"/>
      <c r="R288" s="1389"/>
      <c r="S288" s="1389"/>
      <c r="T288" s="1389"/>
      <c r="U288" s="1389"/>
      <c r="V288" s="1389"/>
    </row>
    <row r="289" spans="1:22" x14ac:dyDescent="0.25">
      <c r="A289" s="1389"/>
      <c r="B289" s="1389"/>
      <c r="C289" s="1389"/>
      <c r="D289" s="1389"/>
      <c r="E289" s="1389"/>
      <c r="F289" s="1389"/>
      <c r="G289" s="1389"/>
      <c r="H289" s="1389"/>
      <c r="I289" s="1389"/>
      <c r="J289" s="1389"/>
      <c r="K289" s="1389"/>
      <c r="L289" s="1389"/>
      <c r="M289" s="1389"/>
      <c r="N289" s="1389"/>
      <c r="O289" s="1389"/>
      <c r="P289" s="1389"/>
      <c r="Q289" s="1389"/>
      <c r="R289" s="1389"/>
      <c r="S289" s="1389"/>
      <c r="T289" s="1389"/>
      <c r="U289" s="1389"/>
      <c r="V289" s="1389"/>
    </row>
    <row r="290" spans="1:22" x14ac:dyDescent="0.25">
      <c r="A290" s="1389"/>
      <c r="B290" s="1389"/>
      <c r="C290" s="1389"/>
      <c r="D290" s="1389"/>
      <c r="E290" s="1389"/>
      <c r="F290" s="1389"/>
      <c r="G290" s="1389"/>
      <c r="H290" s="1389"/>
      <c r="I290" s="1389"/>
      <c r="J290" s="1389"/>
      <c r="K290" s="1389"/>
      <c r="L290" s="1389"/>
      <c r="M290" s="1389"/>
      <c r="N290" s="1389"/>
      <c r="O290" s="1389"/>
      <c r="P290" s="1389"/>
      <c r="Q290" s="1389"/>
      <c r="R290" s="1389"/>
      <c r="S290" s="1389"/>
      <c r="T290" s="1389"/>
      <c r="U290" s="1389"/>
      <c r="V290" s="1389"/>
    </row>
    <row r="291" spans="1:22" x14ac:dyDescent="0.25">
      <c r="A291" s="1389"/>
      <c r="B291" s="1389"/>
      <c r="C291" s="1389"/>
      <c r="D291" s="1389"/>
      <c r="E291" s="1389"/>
      <c r="F291" s="1389"/>
      <c r="G291" s="1389"/>
      <c r="H291" s="1389"/>
      <c r="I291" s="1389"/>
      <c r="J291" s="1389"/>
      <c r="K291" s="1389"/>
      <c r="L291" s="1389"/>
      <c r="M291" s="1389"/>
      <c r="N291" s="1389"/>
      <c r="O291" s="1389"/>
      <c r="P291" s="1389"/>
      <c r="Q291" s="1389"/>
      <c r="R291" s="1389"/>
      <c r="S291" s="1389"/>
      <c r="T291" s="1389"/>
      <c r="U291" s="1389"/>
      <c r="V291" s="1389"/>
    </row>
    <row r="292" spans="1:22" x14ac:dyDescent="0.25">
      <c r="A292" s="1389"/>
      <c r="B292" s="1389"/>
      <c r="C292" s="1389"/>
      <c r="D292" s="1389"/>
      <c r="E292" s="1389"/>
      <c r="F292" s="1389"/>
      <c r="G292" s="1389"/>
      <c r="H292" s="1389"/>
      <c r="I292" s="1389"/>
      <c r="J292" s="1389"/>
      <c r="K292" s="1389"/>
      <c r="L292" s="1389"/>
      <c r="M292" s="1389"/>
      <c r="N292" s="1389"/>
      <c r="O292" s="1389"/>
      <c r="P292" s="1389"/>
      <c r="Q292" s="1389"/>
      <c r="R292" s="1389"/>
      <c r="S292" s="1389"/>
      <c r="T292" s="1389"/>
      <c r="U292" s="1389"/>
      <c r="V292" s="1389"/>
    </row>
    <row r="293" spans="1:22" x14ac:dyDescent="0.25">
      <c r="A293" s="1389"/>
      <c r="B293" s="1389"/>
      <c r="C293" s="1389"/>
      <c r="D293" s="1389"/>
      <c r="E293" s="1389"/>
      <c r="F293" s="1389"/>
      <c r="G293" s="1389"/>
      <c r="H293" s="1389"/>
      <c r="I293" s="1389"/>
      <c r="J293" s="1389"/>
      <c r="K293" s="1389"/>
      <c r="L293" s="1389"/>
      <c r="M293" s="1389"/>
      <c r="N293" s="1389"/>
      <c r="O293" s="1389"/>
      <c r="P293" s="1389"/>
      <c r="Q293" s="1389"/>
      <c r="R293" s="1389"/>
      <c r="S293" s="1389"/>
      <c r="T293" s="1389"/>
      <c r="U293" s="1389"/>
      <c r="V293" s="1389"/>
    </row>
    <row r="294" spans="1:22" x14ac:dyDescent="0.25">
      <c r="A294" s="1389"/>
      <c r="B294" s="1389"/>
      <c r="C294" s="1389"/>
      <c r="D294" s="1389"/>
      <c r="E294" s="1389"/>
      <c r="F294" s="1389"/>
      <c r="G294" s="1389"/>
      <c r="H294" s="1389"/>
      <c r="I294" s="1389"/>
      <c r="J294" s="1389"/>
      <c r="K294" s="1389"/>
      <c r="L294" s="1389"/>
      <c r="M294" s="1389"/>
      <c r="N294" s="1389"/>
      <c r="O294" s="1389"/>
      <c r="P294" s="1389"/>
      <c r="Q294" s="1389"/>
      <c r="R294" s="1389"/>
      <c r="S294" s="1389"/>
      <c r="T294" s="1389"/>
      <c r="U294" s="1389"/>
      <c r="V294" s="1389"/>
    </row>
    <row r="295" spans="1:22" x14ac:dyDescent="0.25">
      <c r="A295" s="1389"/>
      <c r="B295" s="1389"/>
      <c r="C295" s="1389"/>
      <c r="D295" s="1389"/>
      <c r="E295" s="1389"/>
      <c r="F295" s="1389"/>
      <c r="G295" s="1389"/>
      <c r="H295" s="1389"/>
      <c r="I295" s="1389"/>
      <c r="J295" s="1389"/>
      <c r="K295" s="1389"/>
      <c r="L295" s="1389"/>
      <c r="M295" s="1389"/>
      <c r="N295" s="1389"/>
      <c r="O295" s="1389"/>
      <c r="P295" s="1389"/>
      <c r="Q295" s="1389"/>
      <c r="R295" s="1389"/>
      <c r="S295" s="1389"/>
      <c r="T295" s="1389"/>
      <c r="U295" s="1389"/>
      <c r="V295" s="1389"/>
    </row>
    <row r="296" spans="1:22" x14ac:dyDescent="0.25">
      <c r="A296" s="1389"/>
      <c r="B296" s="1389"/>
      <c r="C296" s="1389"/>
      <c r="D296" s="1389"/>
      <c r="E296" s="1389"/>
      <c r="F296" s="1389"/>
      <c r="G296" s="1389"/>
      <c r="H296" s="1389"/>
      <c r="I296" s="1389"/>
      <c r="J296" s="1389"/>
      <c r="K296" s="1389"/>
      <c r="L296" s="1389"/>
      <c r="M296" s="1389"/>
      <c r="N296" s="1389"/>
      <c r="O296" s="1389"/>
      <c r="P296" s="1389"/>
      <c r="Q296" s="1389"/>
      <c r="R296" s="1389"/>
      <c r="S296" s="1389"/>
      <c r="T296" s="1389"/>
      <c r="U296" s="1389"/>
      <c r="V296" s="1389"/>
    </row>
    <row r="297" spans="1:22" x14ac:dyDescent="0.25">
      <c r="A297" s="1389"/>
      <c r="B297" s="1389"/>
      <c r="C297" s="1389"/>
      <c r="D297" s="1389"/>
      <c r="E297" s="1389"/>
      <c r="F297" s="1389"/>
      <c r="G297" s="1389"/>
      <c r="H297" s="1389"/>
      <c r="I297" s="1389"/>
      <c r="J297" s="1389"/>
      <c r="K297" s="1389"/>
      <c r="L297" s="1389"/>
      <c r="M297" s="1389"/>
      <c r="N297" s="1389"/>
      <c r="O297" s="1389"/>
      <c r="P297" s="1389"/>
      <c r="Q297" s="1389"/>
      <c r="R297" s="1389"/>
      <c r="S297" s="1389"/>
      <c r="T297" s="1389"/>
      <c r="U297" s="1389"/>
      <c r="V297" s="1389"/>
    </row>
    <row r="298" spans="1:22" x14ac:dyDescent="0.25">
      <c r="A298" s="1389"/>
      <c r="B298" s="1389"/>
      <c r="C298" s="1389"/>
      <c r="D298" s="1389"/>
      <c r="E298" s="1389"/>
      <c r="F298" s="1389"/>
      <c r="G298" s="1389"/>
      <c r="H298" s="1389"/>
      <c r="I298" s="1389"/>
      <c r="J298" s="1389"/>
      <c r="K298" s="1389"/>
      <c r="L298" s="1389"/>
      <c r="M298" s="1389"/>
      <c r="N298" s="1389"/>
      <c r="O298" s="1389"/>
      <c r="P298" s="1389"/>
      <c r="Q298" s="1389"/>
      <c r="R298" s="1389"/>
      <c r="S298" s="1389"/>
      <c r="T298" s="1389"/>
      <c r="U298" s="1389"/>
      <c r="V298" s="1389"/>
    </row>
    <row r="299" spans="1:22" x14ac:dyDescent="0.25">
      <c r="A299" s="1389"/>
      <c r="B299" s="1389"/>
      <c r="C299" s="1389"/>
      <c r="D299" s="1389"/>
      <c r="E299" s="1389"/>
      <c r="F299" s="1389"/>
      <c r="G299" s="1389"/>
      <c r="H299" s="1389"/>
      <c r="I299" s="1389"/>
      <c r="J299" s="1389"/>
      <c r="K299" s="1389"/>
      <c r="L299" s="1389"/>
      <c r="M299" s="1389"/>
      <c r="N299" s="1389"/>
      <c r="O299" s="1389"/>
      <c r="P299" s="1389"/>
      <c r="Q299" s="1389"/>
      <c r="R299" s="1389"/>
      <c r="S299" s="1389"/>
      <c r="T299" s="1389"/>
      <c r="U299" s="1389"/>
      <c r="V299" s="1389"/>
    </row>
    <row r="300" spans="1:22" x14ac:dyDescent="0.25">
      <c r="A300" s="1389"/>
      <c r="B300" s="1389"/>
      <c r="C300" s="1389"/>
      <c r="D300" s="1389"/>
      <c r="E300" s="1389"/>
      <c r="F300" s="1389"/>
      <c r="G300" s="1389"/>
      <c r="H300" s="1389"/>
      <c r="I300" s="1389"/>
      <c r="J300" s="1389"/>
      <c r="K300" s="1389"/>
      <c r="L300" s="1389"/>
      <c r="M300" s="1389"/>
      <c r="N300" s="1389"/>
      <c r="O300" s="1389"/>
      <c r="P300" s="1389"/>
      <c r="Q300" s="1389"/>
      <c r="R300" s="1389"/>
      <c r="S300" s="1389"/>
      <c r="T300" s="1389"/>
      <c r="U300" s="1389"/>
      <c r="V300" s="1389"/>
    </row>
    <row r="301" spans="1:22" x14ac:dyDescent="0.25">
      <c r="A301" s="1389"/>
      <c r="B301" s="1389"/>
      <c r="C301" s="1389"/>
      <c r="D301" s="1389"/>
      <c r="E301" s="1389"/>
      <c r="F301" s="1389"/>
      <c r="G301" s="1389"/>
      <c r="H301" s="1389"/>
      <c r="I301" s="1389"/>
      <c r="J301" s="1389"/>
      <c r="K301" s="1389"/>
      <c r="L301" s="1389"/>
      <c r="M301" s="1389"/>
      <c r="N301" s="1389"/>
      <c r="O301" s="1389"/>
      <c r="P301" s="1389"/>
      <c r="Q301" s="1389"/>
      <c r="R301" s="1389"/>
      <c r="S301" s="1389"/>
      <c r="T301" s="1389"/>
      <c r="U301" s="1389"/>
      <c r="V301" s="1389"/>
    </row>
    <row r="302" spans="1:22" x14ac:dyDescent="0.25">
      <c r="A302" s="1389"/>
      <c r="B302" s="1389"/>
      <c r="C302" s="1389"/>
      <c r="D302" s="1389"/>
      <c r="E302" s="1389"/>
      <c r="F302" s="1389"/>
      <c r="G302" s="1389"/>
      <c r="H302" s="1389"/>
      <c r="I302" s="1389"/>
      <c r="J302" s="1389"/>
      <c r="K302" s="1389"/>
      <c r="L302" s="1389"/>
      <c r="M302" s="1389"/>
      <c r="N302" s="1389"/>
      <c r="O302" s="1389"/>
      <c r="P302" s="1389"/>
      <c r="Q302" s="1389"/>
      <c r="R302" s="1389"/>
      <c r="S302" s="1389"/>
      <c r="T302" s="1389"/>
      <c r="U302" s="1389"/>
      <c r="V302" s="1389"/>
    </row>
    <row r="303" spans="1:22" x14ac:dyDescent="0.25">
      <c r="A303" s="1389"/>
      <c r="B303" s="1389"/>
      <c r="C303" s="1389"/>
      <c r="D303" s="1389"/>
      <c r="E303" s="1389"/>
      <c r="F303" s="1389"/>
      <c r="G303" s="1389"/>
      <c r="H303" s="1389"/>
      <c r="I303" s="1389"/>
      <c r="J303" s="1389"/>
      <c r="K303" s="1389"/>
      <c r="L303" s="1389"/>
      <c r="M303" s="1389"/>
      <c r="N303" s="1389"/>
      <c r="O303" s="1389"/>
      <c r="P303" s="1389"/>
      <c r="Q303" s="1389"/>
      <c r="R303" s="1389"/>
      <c r="S303" s="1389"/>
      <c r="T303" s="1389"/>
      <c r="U303" s="1389"/>
      <c r="V303" s="1389"/>
    </row>
    <row r="304" spans="1:22" x14ac:dyDescent="0.25">
      <c r="A304" s="1389"/>
      <c r="B304" s="1389"/>
      <c r="C304" s="1389"/>
      <c r="D304" s="1389"/>
      <c r="E304" s="1389"/>
      <c r="F304" s="1389"/>
      <c r="G304" s="1389"/>
      <c r="H304" s="1389"/>
      <c r="I304" s="1389"/>
      <c r="J304" s="1389"/>
      <c r="K304" s="1389"/>
      <c r="L304" s="1389"/>
      <c r="M304" s="1389"/>
      <c r="N304" s="1389"/>
      <c r="O304" s="1389"/>
      <c r="P304" s="1389"/>
      <c r="Q304" s="1389"/>
      <c r="R304" s="1389"/>
      <c r="S304" s="1389"/>
      <c r="T304" s="1389"/>
      <c r="U304" s="1389"/>
      <c r="V304" s="1389"/>
    </row>
    <row r="305" spans="1:22" x14ac:dyDescent="0.25">
      <c r="A305" s="1389"/>
      <c r="B305" s="1389"/>
      <c r="C305" s="1389"/>
      <c r="D305" s="1389"/>
      <c r="E305" s="1389"/>
      <c r="F305" s="1389"/>
      <c r="G305" s="1389"/>
      <c r="H305" s="1389"/>
      <c r="I305" s="1389"/>
      <c r="J305" s="1389"/>
      <c r="K305" s="1389"/>
      <c r="L305" s="1389"/>
      <c r="M305" s="1389"/>
      <c r="N305" s="1389"/>
      <c r="O305" s="1389"/>
      <c r="P305" s="1389"/>
      <c r="Q305" s="1389"/>
      <c r="R305" s="1389"/>
      <c r="S305" s="1389"/>
      <c r="T305" s="1389"/>
      <c r="U305" s="1389"/>
      <c r="V305" s="1389"/>
    </row>
    <row r="306" spans="1:22" x14ac:dyDescent="0.25">
      <c r="A306" s="1389"/>
      <c r="B306" s="1389"/>
      <c r="C306" s="1389"/>
      <c r="D306" s="1389"/>
      <c r="E306" s="1389"/>
      <c r="F306" s="1389"/>
      <c r="G306" s="1389"/>
      <c r="H306" s="1389"/>
      <c r="I306" s="1389"/>
      <c r="J306" s="1389"/>
      <c r="K306" s="1389"/>
      <c r="L306" s="1389"/>
      <c r="M306" s="1389"/>
      <c r="N306" s="1389"/>
      <c r="O306" s="1389"/>
      <c r="P306" s="1389"/>
      <c r="Q306" s="1389"/>
      <c r="R306" s="1389"/>
      <c r="S306" s="1389"/>
      <c r="T306" s="1389"/>
      <c r="U306" s="1389"/>
      <c r="V306" s="1389"/>
    </row>
    <row r="307" spans="1:22" x14ac:dyDescent="0.25">
      <c r="A307" s="1389"/>
      <c r="B307" s="1389"/>
      <c r="C307" s="1389"/>
      <c r="D307" s="1389"/>
      <c r="E307" s="1389"/>
      <c r="F307" s="1389"/>
      <c r="G307" s="1389"/>
      <c r="H307" s="1389"/>
      <c r="I307" s="1389"/>
      <c r="J307" s="1389"/>
      <c r="K307" s="1389"/>
      <c r="L307" s="1389"/>
      <c r="M307" s="1389"/>
      <c r="N307" s="1389"/>
      <c r="O307" s="1389"/>
      <c r="P307" s="1389"/>
      <c r="Q307" s="1389"/>
      <c r="R307" s="1389"/>
      <c r="S307" s="1389"/>
      <c r="T307" s="1389"/>
      <c r="U307" s="1389"/>
      <c r="V307" s="1389"/>
    </row>
    <row r="308" spans="1:22" x14ac:dyDescent="0.25">
      <c r="A308" s="1389"/>
      <c r="B308" s="1389"/>
      <c r="C308" s="1389"/>
      <c r="D308" s="1389"/>
      <c r="E308" s="1389"/>
      <c r="F308" s="1389"/>
      <c r="G308" s="1389"/>
      <c r="H308" s="1389"/>
      <c r="I308" s="1389"/>
      <c r="J308" s="1389"/>
      <c r="K308" s="1389"/>
      <c r="L308" s="1389"/>
      <c r="M308" s="1389"/>
      <c r="N308" s="1389"/>
      <c r="O308" s="1389"/>
      <c r="P308" s="1389"/>
      <c r="Q308" s="1389"/>
      <c r="R308" s="1389"/>
      <c r="S308" s="1389"/>
      <c r="T308" s="1389"/>
      <c r="U308" s="1389"/>
      <c r="V308" s="1389"/>
    </row>
    <row r="309" spans="1:22" x14ac:dyDescent="0.25">
      <c r="A309" s="1389"/>
      <c r="B309" s="1389"/>
      <c r="C309" s="1389"/>
      <c r="D309" s="1389"/>
      <c r="E309" s="1389"/>
      <c r="F309" s="1389"/>
      <c r="G309" s="1389"/>
      <c r="H309" s="1389"/>
      <c r="I309" s="1389"/>
      <c r="J309" s="1389"/>
      <c r="K309" s="1389"/>
      <c r="L309" s="1389"/>
      <c r="M309" s="1389"/>
      <c r="N309" s="1389"/>
      <c r="O309" s="1389"/>
      <c r="P309" s="1389"/>
      <c r="Q309" s="1389"/>
      <c r="R309" s="1389"/>
      <c r="S309" s="1389"/>
      <c r="T309" s="1389"/>
      <c r="U309" s="1389"/>
      <c r="V309" s="1389"/>
    </row>
    <row r="310" spans="1:22" x14ac:dyDescent="0.25">
      <c r="A310" s="1389"/>
      <c r="B310" s="1389"/>
      <c r="C310" s="1389"/>
      <c r="D310" s="1389"/>
      <c r="E310" s="1389"/>
      <c r="F310" s="1389"/>
      <c r="G310" s="1389"/>
      <c r="H310" s="1389"/>
      <c r="I310" s="1389"/>
      <c r="J310" s="1389"/>
      <c r="K310" s="1389"/>
      <c r="L310" s="1389"/>
      <c r="M310" s="1389"/>
      <c r="N310" s="1389"/>
      <c r="O310" s="1389"/>
      <c r="P310" s="1389"/>
      <c r="Q310" s="1389"/>
      <c r="R310" s="1389"/>
      <c r="S310" s="1389"/>
      <c r="T310" s="1389"/>
      <c r="U310" s="1389"/>
      <c r="V310" s="1389"/>
    </row>
    <row r="311" spans="1:22" x14ac:dyDescent="0.25">
      <c r="A311" s="1389"/>
      <c r="B311" s="1389"/>
      <c r="C311" s="1389"/>
      <c r="D311" s="1389"/>
      <c r="E311" s="1389"/>
      <c r="F311" s="1389"/>
      <c r="G311" s="1389"/>
      <c r="H311" s="1389"/>
      <c r="I311" s="1389"/>
      <c r="J311" s="1389"/>
      <c r="K311" s="1389"/>
      <c r="L311" s="1389"/>
      <c r="M311" s="1389"/>
      <c r="N311" s="1389"/>
      <c r="O311" s="1389"/>
      <c r="P311" s="1389"/>
      <c r="Q311" s="1389"/>
      <c r="R311" s="1389"/>
      <c r="S311" s="1389"/>
      <c r="T311" s="1389"/>
      <c r="U311" s="1389"/>
      <c r="V311" s="1389"/>
    </row>
    <row r="312" spans="1:22" x14ac:dyDescent="0.25">
      <c r="A312" s="1389"/>
      <c r="B312" s="1389"/>
      <c r="C312" s="1389"/>
      <c r="D312" s="1389"/>
      <c r="E312" s="1389"/>
      <c r="F312" s="1389"/>
      <c r="G312" s="1389"/>
      <c r="H312" s="1389"/>
      <c r="I312" s="1389"/>
      <c r="J312" s="1389"/>
      <c r="K312" s="1389"/>
      <c r="L312" s="1389"/>
      <c r="M312" s="1389"/>
      <c r="N312" s="1389"/>
      <c r="O312" s="1389"/>
      <c r="P312" s="1389"/>
      <c r="Q312" s="1389"/>
      <c r="R312" s="1389"/>
      <c r="S312" s="1389"/>
      <c r="T312" s="1389"/>
      <c r="U312" s="1389"/>
      <c r="V312" s="1389"/>
    </row>
    <row r="313" spans="1:22" x14ac:dyDescent="0.25">
      <c r="A313" s="1389"/>
      <c r="B313" s="1389"/>
      <c r="C313" s="1389"/>
      <c r="D313" s="1389"/>
      <c r="E313" s="1389"/>
      <c r="F313" s="1389"/>
      <c r="G313" s="1389"/>
      <c r="H313" s="1389"/>
      <c r="I313" s="1389"/>
      <c r="J313" s="1389"/>
      <c r="K313" s="1389"/>
      <c r="L313" s="1389"/>
      <c r="M313" s="1389"/>
      <c r="N313" s="1389"/>
      <c r="O313" s="1389"/>
      <c r="P313" s="1389"/>
      <c r="Q313" s="1389"/>
      <c r="R313" s="1389"/>
      <c r="S313" s="1389"/>
      <c r="T313" s="1389"/>
      <c r="U313" s="1389"/>
      <c r="V313" s="1389"/>
    </row>
    <row r="314" spans="1:22" x14ac:dyDescent="0.25">
      <c r="A314" s="1389"/>
      <c r="B314" s="1389"/>
      <c r="C314" s="1389"/>
      <c r="D314" s="1389"/>
      <c r="E314" s="1389"/>
      <c r="F314" s="1389"/>
      <c r="G314" s="1389"/>
      <c r="H314" s="1389"/>
      <c r="I314" s="1389"/>
      <c r="J314" s="1389"/>
      <c r="K314" s="1389"/>
      <c r="L314" s="1389"/>
      <c r="M314" s="1389"/>
      <c r="N314" s="1389"/>
      <c r="O314" s="1389"/>
      <c r="P314" s="1389"/>
      <c r="Q314" s="1389"/>
      <c r="R314" s="1389"/>
      <c r="S314" s="1389"/>
      <c r="T314" s="1389"/>
      <c r="U314" s="1389"/>
      <c r="V314" s="1389"/>
    </row>
    <row r="315" spans="1:22" x14ac:dyDescent="0.25">
      <c r="A315" s="1389"/>
      <c r="B315" s="1389"/>
      <c r="C315" s="1389"/>
      <c r="D315" s="1389"/>
      <c r="E315" s="1389"/>
      <c r="F315" s="1389"/>
      <c r="G315" s="1389"/>
      <c r="H315" s="1389"/>
      <c r="I315" s="1389"/>
      <c r="J315" s="1389"/>
      <c r="K315" s="1389"/>
      <c r="L315" s="1389"/>
      <c r="M315" s="1389"/>
      <c r="N315" s="1389"/>
      <c r="O315" s="1389"/>
      <c r="P315" s="1389"/>
      <c r="Q315" s="1389"/>
      <c r="R315" s="1389"/>
      <c r="S315" s="1389"/>
      <c r="T315" s="1389"/>
      <c r="U315" s="1389"/>
      <c r="V315" s="1389"/>
    </row>
    <row r="316" spans="1:22" x14ac:dyDescent="0.25">
      <c r="A316" s="1389"/>
      <c r="B316" s="1389"/>
      <c r="C316" s="1389"/>
      <c r="D316" s="1389"/>
      <c r="E316" s="1389"/>
      <c r="F316" s="1389"/>
      <c r="G316" s="1389"/>
      <c r="H316" s="1389"/>
      <c r="I316" s="1389"/>
      <c r="J316" s="1389"/>
      <c r="K316" s="1389"/>
      <c r="L316" s="1389"/>
      <c r="M316" s="1389"/>
      <c r="N316" s="1389"/>
      <c r="O316" s="1389"/>
      <c r="P316" s="1389"/>
      <c r="Q316" s="1389"/>
      <c r="R316" s="1389"/>
      <c r="S316" s="1389"/>
      <c r="T316" s="1389"/>
      <c r="U316" s="1389"/>
      <c r="V316" s="1389"/>
    </row>
    <row r="317" spans="1:22" x14ac:dyDescent="0.25">
      <c r="A317" s="1389"/>
      <c r="B317" s="1389"/>
      <c r="C317" s="1389"/>
      <c r="D317" s="1389"/>
      <c r="E317" s="1389"/>
      <c r="F317" s="1389"/>
      <c r="G317" s="1389"/>
      <c r="H317" s="1389"/>
      <c r="I317" s="1389"/>
      <c r="J317" s="1389"/>
      <c r="K317" s="1389"/>
      <c r="L317" s="1389"/>
      <c r="M317" s="1389"/>
      <c r="N317" s="1389"/>
      <c r="O317" s="1389"/>
      <c r="P317" s="1389"/>
      <c r="Q317" s="1389"/>
      <c r="R317" s="1389"/>
      <c r="S317" s="1389"/>
      <c r="T317" s="1389"/>
      <c r="U317" s="1389"/>
      <c r="V317" s="1389"/>
    </row>
    <row r="318" spans="1:22" x14ac:dyDescent="0.25">
      <c r="A318" s="1389"/>
      <c r="B318" s="1389"/>
      <c r="C318" s="1389"/>
      <c r="D318" s="1389"/>
      <c r="E318" s="1389"/>
      <c r="F318" s="1389"/>
      <c r="G318" s="1389"/>
      <c r="H318" s="1389"/>
      <c r="I318" s="1389"/>
      <c r="J318" s="1389"/>
      <c r="K318" s="1389"/>
      <c r="L318" s="1389"/>
      <c r="M318" s="1389"/>
      <c r="N318" s="1389"/>
      <c r="O318" s="1389"/>
      <c r="P318" s="1389"/>
      <c r="Q318" s="1389"/>
      <c r="R318" s="1389"/>
      <c r="S318" s="1389"/>
      <c r="T318" s="1389"/>
      <c r="U318" s="1389"/>
      <c r="V318" s="1389"/>
    </row>
    <row r="319" spans="1:22" x14ac:dyDescent="0.25">
      <c r="A319" s="1389"/>
      <c r="B319" s="1389"/>
      <c r="C319" s="1389"/>
      <c r="D319" s="1389"/>
      <c r="E319" s="1389"/>
      <c r="F319" s="1389"/>
      <c r="G319" s="1389"/>
      <c r="H319" s="1389"/>
      <c r="I319" s="1389"/>
      <c r="J319" s="1389"/>
      <c r="K319" s="1389"/>
      <c r="L319" s="1389"/>
      <c r="M319" s="1389"/>
      <c r="N319" s="1389"/>
      <c r="O319" s="1389"/>
      <c r="P319" s="1389"/>
      <c r="Q319" s="1389"/>
      <c r="R319" s="1389"/>
      <c r="S319" s="1389"/>
      <c r="T319" s="1389"/>
      <c r="U319" s="1389"/>
      <c r="V319" s="1389"/>
    </row>
    <row r="320" spans="1:22" x14ac:dyDescent="0.25">
      <c r="A320" s="1389"/>
      <c r="B320" s="1389"/>
      <c r="C320" s="1389"/>
      <c r="D320" s="1389"/>
      <c r="E320" s="1389"/>
      <c r="F320" s="1389"/>
      <c r="G320" s="1389"/>
      <c r="H320" s="1389"/>
      <c r="I320" s="1389"/>
      <c r="J320" s="1389"/>
      <c r="K320" s="1389"/>
      <c r="L320" s="1389"/>
      <c r="M320" s="1389"/>
      <c r="N320" s="1389"/>
      <c r="O320" s="1389"/>
      <c r="P320" s="1389"/>
      <c r="Q320" s="1389"/>
      <c r="R320" s="1389"/>
      <c r="S320" s="1389"/>
      <c r="T320" s="1389"/>
      <c r="U320" s="1389"/>
      <c r="V320" s="1389"/>
    </row>
    <row r="321" spans="1:22" x14ac:dyDescent="0.25">
      <c r="A321" s="1389"/>
      <c r="B321" s="1389"/>
      <c r="C321" s="1389"/>
      <c r="D321" s="1389"/>
      <c r="E321" s="1389"/>
      <c r="F321" s="1389"/>
      <c r="G321" s="1389"/>
      <c r="H321" s="1389"/>
      <c r="I321" s="1389"/>
      <c r="J321" s="1389"/>
      <c r="K321" s="1389"/>
      <c r="L321" s="1389"/>
      <c r="M321" s="1389"/>
      <c r="N321" s="1389"/>
      <c r="O321" s="1389"/>
      <c r="P321" s="1389"/>
      <c r="Q321" s="1389"/>
      <c r="R321" s="1389"/>
      <c r="S321" s="1389"/>
      <c r="T321" s="1389"/>
      <c r="U321" s="1389"/>
      <c r="V321" s="1389"/>
    </row>
    <row r="322" spans="1:22" x14ac:dyDescent="0.25">
      <c r="A322" s="1389"/>
      <c r="B322" s="1389"/>
      <c r="C322" s="1389"/>
      <c r="D322" s="1389"/>
      <c r="E322" s="1389"/>
      <c r="F322" s="1389"/>
      <c r="G322" s="1389"/>
      <c r="H322" s="1389"/>
      <c r="I322" s="1389"/>
      <c r="J322" s="1389"/>
      <c r="K322" s="1389"/>
      <c r="L322" s="1389"/>
      <c r="M322" s="1389"/>
      <c r="N322" s="1389"/>
      <c r="O322" s="1389"/>
      <c r="P322" s="1389"/>
      <c r="Q322" s="1389"/>
      <c r="R322" s="1389"/>
      <c r="S322" s="1389"/>
      <c r="T322" s="1389"/>
      <c r="U322" s="1389"/>
      <c r="V322" s="1389"/>
    </row>
    <row r="323" spans="1:22" x14ac:dyDescent="0.25">
      <c r="A323" s="1389"/>
      <c r="B323" s="1389"/>
      <c r="C323" s="1389"/>
      <c r="D323" s="1389"/>
      <c r="E323" s="1389"/>
      <c r="F323" s="1389"/>
      <c r="G323" s="1389"/>
      <c r="H323" s="1389"/>
      <c r="I323" s="1389"/>
      <c r="J323" s="1389"/>
      <c r="K323" s="1389"/>
      <c r="L323" s="1389"/>
      <c r="M323" s="1389"/>
      <c r="N323" s="1389"/>
      <c r="O323" s="1389"/>
      <c r="P323" s="1389"/>
      <c r="Q323" s="1389"/>
      <c r="R323" s="1389"/>
      <c r="S323" s="1389"/>
      <c r="T323" s="1389"/>
      <c r="U323" s="1389"/>
      <c r="V323" s="1389"/>
    </row>
    <row r="324" spans="1:22" x14ac:dyDescent="0.25">
      <c r="A324" s="1389"/>
      <c r="B324" s="1389"/>
      <c r="C324" s="1389"/>
      <c r="D324" s="1389"/>
      <c r="E324" s="1389"/>
      <c r="F324" s="1389"/>
      <c r="G324" s="1389"/>
      <c r="H324" s="1389"/>
      <c r="I324" s="1389"/>
      <c r="J324" s="1389"/>
      <c r="K324" s="1389"/>
      <c r="L324" s="1389"/>
      <c r="M324" s="1389"/>
      <c r="N324" s="1389"/>
      <c r="O324" s="1389"/>
      <c r="P324" s="1389"/>
      <c r="Q324" s="1389"/>
      <c r="R324" s="1389"/>
      <c r="S324" s="1389"/>
      <c r="T324" s="1389"/>
      <c r="U324" s="1389"/>
      <c r="V324" s="1389"/>
    </row>
    <row r="325" spans="1:22" x14ac:dyDescent="0.25">
      <c r="A325" s="1389"/>
      <c r="B325" s="1389"/>
      <c r="C325" s="1389"/>
      <c r="D325" s="1389"/>
      <c r="E325" s="1389"/>
      <c r="F325" s="1389"/>
      <c r="G325" s="1389"/>
      <c r="H325" s="1389"/>
      <c r="I325" s="1389"/>
      <c r="J325" s="1389"/>
      <c r="K325" s="1389"/>
      <c r="L325" s="1389"/>
      <c r="M325" s="1389"/>
      <c r="N325" s="1389"/>
      <c r="O325" s="1389"/>
      <c r="P325" s="1389"/>
      <c r="Q325" s="1389"/>
      <c r="R325" s="1389"/>
      <c r="S325" s="1389"/>
      <c r="T325" s="1389"/>
      <c r="U325" s="1389"/>
      <c r="V325" s="1389"/>
    </row>
    <row r="326" spans="1:22" x14ac:dyDescent="0.25">
      <c r="A326" s="1389"/>
      <c r="B326" s="1389"/>
      <c r="C326" s="1389"/>
      <c r="D326" s="1389"/>
      <c r="E326" s="1389"/>
      <c r="F326" s="1389"/>
      <c r="G326" s="1389"/>
      <c r="H326" s="1389"/>
      <c r="I326" s="1389"/>
      <c r="J326" s="1389"/>
      <c r="K326" s="1389"/>
      <c r="L326" s="1389"/>
      <c r="M326" s="1389"/>
      <c r="N326" s="1389"/>
      <c r="O326" s="1389"/>
      <c r="P326" s="1389"/>
      <c r="Q326" s="1389"/>
      <c r="R326" s="1389"/>
      <c r="S326" s="1389"/>
      <c r="T326" s="1389"/>
      <c r="U326" s="1389"/>
      <c r="V326" s="1389"/>
    </row>
    <row r="327" spans="1:22" x14ac:dyDescent="0.25">
      <c r="A327" s="1389"/>
      <c r="B327" s="1389"/>
      <c r="C327" s="1389"/>
      <c r="D327" s="1389"/>
      <c r="E327" s="1389"/>
      <c r="F327" s="1389"/>
      <c r="G327" s="1389"/>
      <c r="H327" s="1389"/>
      <c r="I327" s="1389"/>
      <c r="J327" s="1389"/>
      <c r="K327" s="1389"/>
      <c r="L327" s="1389"/>
      <c r="M327" s="1389"/>
      <c r="N327" s="1389"/>
      <c r="O327" s="1389"/>
      <c r="P327" s="1389"/>
      <c r="Q327" s="1389"/>
      <c r="R327" s="1389"/>
      <c r="S327" s="1389"/>
      <c r="T327" s="1389"/>
      <c r="U327" s="1389"/>
      <c r="V327" s="1389"/>
    </row>
    <row r="328" spans="1:22" x14ac:dyDescent="0.25">
      <c r="A328" s="1389"/>
      <c r="B328" s="1389"/>
      <c r="C328" s="1389"/>
      <c r="D328" s="1389"/>
      <c r="E328" s="1389"/>
      <c r="F328" s="1389"/>
      <c r="G328" s="1389"/>
      <c r="H328" s="1389"/>
      <c r="I328" s="1389"/>
      <c r="J328" s="1389"/>
      <c r="K328" s="1389"/>
      <c r="L328" s="1389"/>
      <c r="M328" s="1389"/>
      <c r="N328" s="1389"/>
      <c r="O328" s="1389"/>
      <c r="P328" s="1389"/>
      <c r="Q328" s="1389"/>
      <c r="R328" s="1389"/>
      <c r="S328" s="1389"/>
      <c r="T328" s="1389"/>
      <c r="U328" s="1389"/>
      <c r="V328" s="1389"/>
    </row>
    <row r="329" spans="1:22" x14ac:dyDescent="0.25">
      <c r="A329" s="1389"/>
      <c r="B329" s="1389"/>
      <c r="C329" s="1389"/>
      <c r="D329" s="1389"/>
      <c r="E329" s="1389"/>
      <c r="F329" s="1389"/>
      <c r="G329" s="1389"/>
      <c r="H329" s="1389"/>
      <c r="I329" s="1389"/>
      <c r="J329" s="1389"/>
      <c r="K329" s="1389"/>
      <c r="L329" s="1389"/>
      <c r="M329" s="1389"/>
      <c r="N329" s="1389"/>
      <c r="O329" s="1389"/>
      <c r="P329" s="1389"/>
      <c r="Q329" s="1389"/>
      <c r="R329" s="1389"/>
      <c r="S329" s="1389"/>
      <c r="T329" s="1389"/>
      <c r="U329" s="1389"/>
      <c r="V329" s="1389"/>
    </row>
    <row r="330" spans="1:22" x14ac:dyDescent="0.25">
      <c r="A330" s="1389"/>
      <c r="B330" s="1389"/>
      <c r="C330" s="1389"/>
      <c r="D330" s="1389"/>
      <c r="E330" s="1389"/>
      <c r="F330" s="1389"/>
      <c r="G330" s="1389"/>
      <c r="H330" s="1389"/>
      <c r="I330" s="1389"/>
      <c r="J330" s="1389"/>
      <c r="K330" s="1389"/>
      <c r="L330" s="1389"/>
      <c r="M330" s="1389"/>
      <c r="N330" s="1389"/>
      <c r="O330" s="1389"/>
      <c r="P330" s="1389"/>
      <c r="Q330" s="1389"/>
      <c r="R330" s="1389"/>
      <c r="S330" s="1389"/>
      <c r="T330" s="1389"/>
      <c r="U330" s="1389"/>
      <c r="V330" s="1389"/>
    </row>
    <row r="331" spans="1:22" x14ac:dyDescent="0.25">
      <c r="A331" s="1389"/>
      <c r="B331" s="1389"/>
      <c r="C331" s="1389"/>
      <c r="D331" s="1389"/>
      <c r="E331" s="1389"/>
      <c r="F331" s="1389"/>
      <c r="G331" s="1389"/>
      <c r="H331" s="1389"/>
      <c r="I331" s="1389"/>
      <c r="J331" s="1389"/>
      <c r="K331" s="1389"/>
      <c r="L331" s="1389"/>
      <c r="M331" s="1389"/>
      <c r="N331" s="1389"/>
      <c r="O331" s="1389"/>
      <c r="P331" s="1389"/>
      <c r="Q331" s="1389"/>
      <c r="R331" s="1389"/>
      <c r="S331" s="1389"/>
      <c r="T331" s="1389"/>
      <c r="U331" s="1389"/>
      <c r="V331" s="1389"/>
    </row>
    <row r="332" spans="1:22" x14ac:dyDescent="0.25">
      <c r="A332" s="1389"/>
      <c r="B332" s="1389"/>
      <c r="C332" s="1389"/>
      <c r="D332" s="1389"/>
      <c r="E332" s="1389"/>
      <c r="F332" s="1389"/>
      <c r="G332" s="1389"/>
      <c r="H332" s="1389"/>
      <c r="I332" s="1389"/>
      <c r="J332" s="1389"/>
      <c r="K332" s="1389"/>
      <c r="L332" s="1389"/>
      <c r="M332" s="1389"/>
      <c r="N332" s="1389"/>
      <c r="O332" s="1389"/>
      <c r="P332" s="1389"/>
      <c r="Q332" s="1389"/>
      <c r="R332" s="1389"/>
      <c r="S332" s="1389"/>
      <c r="T332" s="1389"/>
      <c r="U332" s="1389"/>
      <c r="V332" s="1389"/>
    </row>
    <row r="333" spans="1:22" x14ac:dyDescent="0.25">
      <c r="A333" s="1389"/>
      <c r="B333" s="1389"/>
      <c r="C333" s="1389"/>
      <c r="D333" s="1389"/>
      <c r="E333" s="1389"/>
      <c r="F333" s="1389"/>
      <c r="G333" s="1389"/>
      <c r="H333" s="1389"/>
      <c r="I333" s="1389"/>
      <c r="J333" s="1389"/>
      <c r="K333" s="1389"/>
      <c r="L333" s="1389"/>
      <c r="M333" s="1389"/>
      <c r="N333" s="1389"/>
      <c r="O333" s="1389"/>
      <c r="P333" s="1389"/>
      <c r="Q333" s="1389"/>
      <c r="R333" s="1389"/>
      <c r="S333" s="1389"/>
      <c r="T333" s="1389"/>
      <c r="U333" s="1389"/>
      <c r="V333" s="1389"/>
    </row>
    <row r="334" spans="1:22" x14ac:dyDescent="0.25">
      <c r="A334" s="1389"/>
      <c r="B334" s="1389"/>
      <c r="C334" s="1389"/>
      <c r="D334" s="1389"/>
      <c r="E334" s="1389"/>
      <c r="F334" s="1389"/>
      <c r="G334" s="1389"/>
      <c r="H334" s="1389"/>
      <c r="I334" s="1389"/>
      <c r="J334" s="1389"/>
      <c r="K334" s="1389"/>
      <c r="L334" s="1389"/>
      <c r="M334" s="1389"/>
      <c r="N334" s="1389"/>
      <c r="O334" s="1389"/>
      <c r="P334" s="1389"/>
      <c r="Q334" s="1389"/>
      <c r="R334" s="1389"/>
      <c r="S334" s="1389"/>
      <c r="T334" s="1389"/>
      <c r="U334" s="1389"/>
      <c r="V334" s="1389"/>
    </row>
    <row r="335" spans="1:22" x14ac:dyDescent="0.25">
      <c r="A335" s="1389"/>
      <c r="B335" s="1389"/>
      <c r="C335" s="1389"/>
      <c r="D335" s="1389"/>
      <c r="E335" s="1389"/>
      <c r="F335" s="1389"/>
      <c r="G335" s="1389"/>
      <c r="H335" s="1389"/>
      <c r="I335" s="1389"/>
      <c r="J335" s="1389"/>
      <c r="K335" s="1389"/>
      <c r="L335" s="1389"/>
      <c r="M335" s="1389"/>
      <c r="N335" s="1389"/>
      <c r="O335" s="1389"/>
      <c r="P335" s="1389"/>
      <c r="Q335" s="1389"/>
      <c r="R335" s="1389"/>
      <c r="S335" s="1389"/>
      <c r="T335" s="1389"/>
      <c r="U335" s="1389"/>
      <c r="V335" s="1389"/>
    </row>
    <row r="336" spans="1:22" x14ac:dyDescent="0.25">
      <c r="A336" s="1389"/>
      <c r="B336" s="1389"/>
      <c r="C336" s="1389"/>
      <c r="D336" s="1389"/>
      <c r="E336" s="1389"/>
      <c r="F336" s="1389"/>
      <c r="G336" s="1389"/>
      <c r="H336" s="1389"/>
      <c r="I336" s="1389"/>
      <c r="J336" s="1389"/>
      <c r="K336" s="1389"/>
      <c r="L336" s="1389"/>
      <c r="M336" s="1389"/>
      <c r="N336" s="1389"/>
      <c r="O336" s="1389"/>
      <c r="P336" s="1389"/>
      <c r="Q336" s="1389"/>
      <c r="R336" s="1389"/>
      <c r="S336" s="1389"/>
      <c r="T336" s="1389"/>
      <c r="U336" s="1389"/>
      <c r="V336" s="1389"/>
    </row>
    <row r="337" spans="1:22" x14ac:dyDescent="0.25">
      <c r="A337" s="1389"/>
      <c r="B337" s="1389"/>
      <c r="C337" s="1389"/>
      <c r="D337" s="1389"/>
      <c r="E337" s="1389"/>
      <c r="F337" s="1389"/>
      <c r="G337" s="1389"/>
      <c r="H337" s="1389"/>
      <c r="I337" s="1389"/>
      <c r="J337" s="1389"/>
      <c r="K337" s="1389"/>
      <c r="L337" s="1389"/>
      <c r="M337" s="1389"/>
      <c r="N337" s="1389"/>
      <c r="O337" s="1389"/>
      <c r="P337" s="1389"/>
      <c r="Q337" s="1389"/>
      <c r="R337" s="1389"/>
      <c r="S337" s="1389"/>
      <c r="T337" s="1389"/>
      <c r="U337" s="1389"/>
      <c r="V337" s="1389"/>
    </row>
    <row r="338" spans="1:22" x14ac:dyDescent="0.25">
      <c r="A338" s="1389"/>
      <c r="B338" s="1389"/>
      <c r="C338" s="1389"/>
      <c r="D338" s="1389"/>
      <c r="E338" s="1389"/>
      <c r="F338" s="1389"/>
      <c r="G338" s="1389"/>
      <c r="H338" s="1389"/>
      <c r="I338" s="1389"/>
      <c r="J338" s="1389"/>
      <c r="K338" s="1389"/>
      <c r="L338" s="1389"/>
      <c r="M338" s="1389"/>
      <c r="N338" s="1389"/>
      <c r="O338" s="1389"/>
      <c r="P338" s="1389"/>
      <c r="Q338" s="1389"/>
      <c r="R338" s="1389"/>
      <c r="S338" s="1389"/>
      <c r="T338" s="1389"/>
      <c r="U338" s="1389"/>
      <c r="V338" s="1389"/>
    </row>
    <row r="339" spans="1:22" x14ac:dyDescent="0.25">
      <c r="A339" s="1389"/>
      <c r="B339" s="1389"/>
      <c r="C339" s="1389"/>
      <c r="D339" s="1389"/>
      <c r="E339" s="1389"/>
      <c r="F339" s="1389"/>
      <c r="G339" s="1389"/>
      <c r="H339" s="1389"/>
      <c r="I339" s="1389"/>
      <c r="J339" s="1389"/>
      <c r="K339" s="1389"/>
      <c r="L339" s="1389"/>
      <c r="M339" s="1389"/>
      <c r="N339" s="1389"/>
      <c r="O339" s="1389"/>
      <c r="P339" s="1389"/>
      <c r="Q339" s="1389"/>
      <c r="R339" s="1389"/>
      <c r="S339" s="1389"/>
      <c r="T339" s="1389"/>
      <c r="U339" s="1389"/>
      <c r="V339" s="1389"/>
    </row>
    <row r="340" spans="1:22" x14ac:dyDescent="0.25">
      <c r="A340" s="1389"/>
      <c r="B340" s="1389"/>
      <c r="C340" s="1389"/>
      <c r="D340" s="1389"/>
      <c r="E340" s="1389"/>
      <c r="F340" s="1389"/>
      <c r="G340" s="1389"/>
      <c r="H340" s="1389"/>
      <c r="I340" s="1389"/>
      <c r="J340" s="1389"/>
      <c r="K340" s="1389"/>
      <c r="L340" s="1389"/>
      <c r="M340" s="1389"/>
      <c r="N340" s="1389"/>
      <c r="O340" s="1389"/>
      <c r="P340" s="1389"/>
      <c r="Q340" s="1389"/>
      <c r="R340" s="1389"/>
      <c r="S340" s="1389"/>
      <c r="T340" s="1389"/>
      <c r="U340" s="1389"/>
      <c r="V340" s="1389"/>
    </row>
  </sheetData>
  <mergeCells count="35">
    <mergeCell ref="A6:V6"/>
    <mergeCell ref="A1:V1"/>
    <mergeCell ref="A2:V2"/>
    <mergeCell ref="A3:V3"/>
    <mergeCell ref="A4:V4"/>
    <mergeCell ref="A5:V5"/>
    <mergeCell ref="A7:V7"/>
    <mergeCell ref="A8:V8"/>
    <mergeCell ref="A9:V9"/>
    <mergeCell ref="A12:A17"/>
    <mergeCell ref="B12:B17"/>
    <mergeCell ref="C12:C17"/>
    <mergeCell ref="D12:D17"/>
    <mergeCell ref="E12:E17"/>
    <mergeCell ref="F12:F17"/>
    <mergeCell ref="G12:G17"/>
    <mergeCell ref="H12:H17"/>
    <mergeCell ref="I12:I17"/>
    <mergeCell ref="J12:J17"/>
    <mergeCell ref="K12:K17"/>
    <mergeCell ref="L12:S12"/>
    <mergeCell ref="O16:O17"/>
    <mergeCell ref="P16:P17"/>
    <mergeCell ref="Q16:R16"/>
    <mergeCell ref="U12:U17"/>
    <mergeCell ref="V12:V17"/>
    <mergeCell ref="L13:L17"/>
    <mergeCell ref="M13:S13"/>
    <mergeCell ref="M14:M17"/>
    <mergeCell ref="N14:S14"/>
    <mergeCell ref="N15:O15"/>
    <mergeCell ref="P15:R15"/>
    <mergeCell ref="S15:S17"/>
    <mergeCell ref="N16:N17"/>
    <mergeCell ref="T12:T17"/>
  </mergeCells>
  <printOptions horizontalCentered="1"/>
  <pageMargins left="0.34" right="0.24" top="0.63" bottom="0.64" header="0.3" footer="0.3"/>
  <pageSetup paperSize="9" scale="44" orientation="landscape" verticalDpi="0" r:id="rId1"/>
  <headerFooter>
    <oddHeader>&amp;C&amp;N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503"/>
  <sheetViews>
    <sheetView topLeftCell="A9" zoomScale="70" zoomScaleNormal="70" workbookViewId="0">
      <pane xSplit="3480" ySplit="2595" topLeftCell="J425" activePane="bottomRight"/>
      <selection activeCell="V295" sqref="V295"/>
      <selection pane="topRight" activeCell="F9" sqref="F9"/>
      <selection pane="bottomLeft" activeCell="A430" sqref="A430:XFD430"/>
      <selection pane="bottomRight" activeCell="N429" sqref="N429"/>
    </sheetView>
  </sheetViews>
  <sheetFormatPr defaultColWidth="9.140625" defaultRowHeight="15" x14ac:dyDescent="0.25"/>
  <cols>
    <col min="1" max="1" width="9.140625" style="165"/>
    <col min="2" max="2" width="32.7109375" style="165" customWidth="1"/>
    <col min="3" max="3" width="11.42578125" style="167" customWidth="1"/>
    <col min="4" max="4" width="35.5703125" style="165" customWidth="1"/>
    <col min="5" max="5" width="12.5703125" style="165" customWidth="1"/>
    <col min="6" max="6" width="13.7109375" style="165" customWidth="1"/>
    <col min="7" max="7" width="14.7109375" style="165" customWidth="1"/>
    <col min="8" max="14" width="13.7109375" style="165" customWidth="1"/>
    <col min="15" max="16" width="13.7109375" style="166" customWidth="1"/>
    <col min="17" max="18" width="13.7109375" style="165" hidden="1" customWidth="1"/>
    <col min="19" max="19" width="13.42578125" style="165" customWidth="1"/>
    <col min="20" max="20" width="12.85546875" style="165" customWidth="1"/>
    <col min="21" max="21" width="15.140625" style="493" customWidth="1"/>
    <col min="22" max="22" width="15.5703125" style="493" customWidth="1"/>
    <col min="23" max="26" width="12.5703125" style="165" customWidth="1"/>
    <col min="27" max="34" width="9.140625" style="165" hidden="1" customWidth="1"/>
    <col min="35" max="35" width="13.42578125" style="165" customWidth="1"/>
    <col min="36" max="16384" width="9.140625" style="165"/>
  </cols>
  <sheetData>
    <row r="1" spans="1:38" ht="18.75" x14ac:dyDescent="0.25">
      <c r="A1" s="1977" t="s">
        <v>1880</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row>
    <row r="2" spans="1:38" s="444" customFormat="1" ht="43.5" customHeight="1" x14ac:dyDescent="0.35">
      <c r="A2" s="1978" t="s">
        <v>1879</v>
      </c>
      <c r="B2" s="1978"/>
      <c r="C2" s="1978"/>
      <c r="D2" s="1978"/>
      <c r="E2" s="1978"/>
      <c r="F2" s="1978"/>
      <c r="G2" s="1978"/>
      <c r="H2" s="1978"/>
      <c r="I2" s="1979"/>
      <c r="J2" s="1979"/>
      <c r="K2" s="1979"/>
      <c r="L2" s="1979"/>
      <c r="M2" s="1978"/>
      <c r="N2" s="1978"/>
      <c r="O2" s="1978"/>
      <c r="P2" s="1978"/>
      <c r="Q2" s="1979"/>
      <c r="R2" s="1979"/>
      <c r="S2" s="1978"/>
      <c r="T2" s="1978"/>
      <c r="U2" s="1978"/>
      <c r="V2" s="1978"/>
      <c r="W2" s="1979"/>
      <c r="X2" s="1979"/>
      <c r="Y2" s="1979"/>
      <c r="Z2" s="1979"/>
      <c r="AA2" s="1979"/>
      <c r="AB2" s="1979"/>
      <c r="AC2" s="1979"/>
      <c r="AD2" s="1979"/>
      <c r="AE2" s="1979"/>
      <c r="AF2" s="1979"/>
      <c r="AG2" s="1979"/>
      <c r="AH2" s="1979"/>
      <c r="AI2" s="1978"/>
    </row>
    <row r="3" spans="1:38" s="443" customFormat="1" ht="18.75" hidden="1" x14ac:dyDescent="0.3">
      <c r="A3" s="1980" t="s">
        <v>1</v>
      </c>
      <c r="B3" s="1980"/>
      <c r="C3" s="1980"/>
      <c r="D3" s="1980"/>
      <c r="E3" s="1980"/>
      <c r="F3" s="1980"/>
      <c r="G3" s="1980"/>
      <c r="H3" s="1980"/>
      <c r="I3" s="1961"/>
      <c r="J3" s="1961"/>
      <c r="K3" s="1961"/>
      <c r="L3" s="1961"/>
      <c r="M3" s="1980"/>
      <c r="N3" s="1980"/>
      <c r="O3" s="1980"/>
      <c r="P3" s="1980"/>
      <c r="Q3" s="1961"/>
      <c r="R3" s="1961"/>
      <c r="S3" s="1980"/>
      <c r="T3" s="1980"/>
      <c r="U3" s="1980"/>
      <c r="V3" s="1980"/>
      <c r="W3" s="1961"/>
      <c r="X3" s="1961"/>
      <c r="Y3" s="1961"/>
      <c r="Z3" s="1961"/>
      <c r="AA3" s="1961"/>
      <c r="AB3" s="1961"/>
      <c r="AC3" s="1961"/>
      <c r="AD3" s="1961"/>
      <c r="AE3" s="1961"/>
      <c r="AF3" s="1961"/>
      <c r="AG3" s="1961"/>
      <c r="AH3" s="1961"/>
      <c r="AI3" s="1980"/>
    </row>
    <row r="4" spans="1:38" ht="16.5" x14ac:dyDescent="0.25">
      <c r="A4" s="1961"/>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1961"/>
      <c r="AI4" s="1961"/>
    </row>
    <row r="5" spans="1:38" ht="16.5" hidden="1" x14ac:dyDescent="0.25">
      <c r="A5" s="1961" t="s">
        <v>1877</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c r="AF5" s="1961"/>
      <c r="AG5" s="1961"/>
      <c r="AH5" s="1961"/>
      <c r="AI5" s="1961"/>
    </row>
    <row r="6" spans="1:38" ht="16.5" hidden="1" x14ac:dyDescent="0.25">
      <c r="A6" s="1961" t="s">
        <v>1876</v>
      </c>
      <c r="B6" s="1961"/>
      <c r="C6" s="1961"/>
      <c r="D6" s="1961"/>
      <c r="E6" s="1961"/>
      <c r="F6" s="1961"/>
      <c r="G6" s="1961"/>
      <c r="H6" s="1961"/>
      <c r="I6" s="1961"/>
      <c r="J6" s="1961"/>
      <c r="K6" s="1961"/>
      <c r="L6" s="1961"/>
      <c r="M6" s="1961"/>
      <c r="N6" s="1961"/>
      <c r="O6" s="1961"/>
      <c r="P6" s="1961"/>
      <c r="Q6" s="1961"/>
      <c r="R6" s="1961"/>
      <c r="S6" s="1961"/>
      <c r="T6" s="1961"/>
      <c r="U6" s="1961"/>
      <c r="V6" s="1961"/>
      <c r="W6" s="1961"/>
      <c r="X6" s="1961"/>
      <c r="Y6" s="1961"/>
      <c r="Z6" s="1961"/>
      <c r="AA6" s="1961"/>
      <c r="AB6" s="1961"/>
      <c r="AC6" s="1961"/>
      <c r="AD6" s="1961"/>
      <c r="AE6" s="1961"/>
      <c r="AF6" s="1961"/>
      <c r="AG6" s="1961"/>
      <c r="AH6" s="1961"/>
      <c r="AI6" s="1961"/>
    </row>
    <row r="7" spans="1:38" ht="16.5" hidden="1" x14ac:dyDescent="0.25">
      <c r="A7" s="1961" t="s">
        <v>2</v>
      </c>
      <c r="B7" s="1961"/>
      <c r="C7" s="1961"/>
      <c r="D7" s="1961"/>
      <c r="E7" s="1961"/>
      <c r="F7" s="1961"/>
      <c r="G7" s="1961"/>
      <c r="H7" s="1961"/>
      <c r="I7" s="1961"/>
      <c r="J7" s="1961"/>
      <c r="K7" s="1961"/>
      <c r="L7" s="1961"/>
      <c r="M7" s="1961"/>
      <c r="N7" s="1961"/>
      <c r="O7" s="1961"/>
      <c r="P7" s="1961"/>
      <c r="Q7" s="1961"/>
      <c r="R7" s="1961"/>
      <c r="S7" s="1961"/>
      <c r="T7" s="1961"/>
      <c r="U7" s="1961"/>
      <c r="V7" s="1961"/>
      <c r="W7" s="1961"/>
      <c r="X7" s="1961"/>
      <c r="Y7" s="1961"/>
      <c r="Z7" s="1961"/>
      <c r="AA7" s="1961"/>
      <c r="AB7" s="1961"/>
      <c r="AC7" s="1961"/>
      <c r="AD7" s="1961"/>
      <c r="AE7" s="1961"/>
      <c r="AF7" s="1961"/>
      <c r="AG7" s="1961"/>
      <c r="AH7" s="1961"/>
      <c r="AI7" s="1961"/>
    </row>
    <row r="8" spans="1:38" ht="16.5" x14ac:dyDescent="0.25">
      <c r="A8" s="741"/>
      <c r="B8" s="741"/>
      <c r="C8" s="741"/>
      <c r="D8" s="741"/>
      <c r="E8" s="741"/>
      <c r="F8" s="741"/>
      <c r="G8" s="741"/>
      <c r="H8" s="741"/>
      <c r="I8" s="741"/>
      <c r="J8" s="741"/>
      <c r="K8" s="741"/>
      <c r="L8" s="741"/>
      <c r="M8" s="741"/>
      <c r="N8" s="741"/>
      <c r="O8" s="442" t="s">
        <v>1875</v>
      </c>
      <c r="P8" s="442"/>
      <c r="Q8" s="441"/>
      <c r="R8" s="441"/>
      <c r="S8" s="441"/>
      <c r="T8" s="441"/>
      <c r="U8" s="470"/>
      <c r="V8" s="470"/>
      <c r="W8" s="441"/>
      <c r="X8" s="441"/>
      <c r="Y8" s="441"/>
      <c r="Z8" s="441"/>
      <c r="AA8" s="441"/>
      <c r="AB8" s="441"/>
      <c r="AC8" s="441"/>
      <c r="AD8" s="441"/>
      <c r="AE8" s="441"/>
      <c r="AF8" s="441"/>
      <c r="AG8" s="441"/>
      <c r="AH8" s="441"/>
      <c r="AI8" s="741"/>
    </row>
    <row r="9" spans="1:38" ht="16.5" x14ac:dyDescent="0.25">
      <c r="A9" s="1962" t="s">
        <v>6</v>
      </c>
      <c r="B9" s="1962"/>
      <c r="C9" s="1962"/>
      <c r="D9" s="1962"/>
      <c r="E9" s="1962"/>
      <c r="F9" s="1962"/>
      <c r="G9" s="1962"/>
      <c r="H9" s="1962"/>
      <c r="I9" s="1962"/>
      <c r="J9" s="1962"/>
      <c r="K9" s="1962"/>
      <c r="L9" s="1962"/>
      <c r="M9" s="1962"/>
      <c r="N9" s="1962"/>
      <c r="O9" s="1962"/>
      <c r="P9" s="1962"/>
      <c r="Q9" s="1962"/>
      <c r="R9" s="1962"/>
      <c r="S9" s="1962"/>
      <c r="T9" s="1962"/>
      <c r="U9" s="1962"/>
      <c r="V9" s="1962"/>
      <c r="W9" s="1962"/>
      <c r="X9" s="1962"/>
      <c r="Y9" s="1962"/>
      <c r="Z9" s="1962"/>
      <c r="AA9" s="1962"/>
      <c r="AB9" s="1962"/>
      <c r="AC9" s="1962"/>
      <c r="AD9" s="1962"/>
      <c r="AE9" s="1962"/>
      <c r="AF9" s="1962"/>
      <c r="AG9" s="1962"/>
      <c r="AH9" s="1962"/>
      <c r="AI9" s="1962"/>
    </row>
    <row r="10" spans="1:38" ht="41.25" customHeight="1" x14ac:dyDescent="0.25">
      <c r="A10" s="1959" t="s">
        <v>7</v>
      </c>
      <c r="B10" s="1959" t="s">
        <v>8</v>
      </c>
      <c r="C10" s="1959" t="s">
        <v>9</v>
      </c>
      <c r="D10" s="1959" t="s">
        <v>10</v>
      </c>
      <c r="E10" s="1959" t="s">
        <v>11</v>
      </c>
      <c r="F10" s="1963" t="s">
        <v>12</v>
      </c>
      <c r="G10" s="1964"/>
      <c r="H10" s="1965"/>
      <c r="I10" s="1963" t="s">
        <v>1874</v>
      </c>
      <c r="J10" s="1965"/>
      <c r="K10" s="1963" t="s">
        <v>13</v>
      </c>
      <c r="L10" s="1965"/>
      <c r="M10" s="1963" t="s">
        <v>14</v>
      </c>
      <c r="N10" s="1965"/>
      <c r="O10" s="1963" t="s">
        <v>907</v>
      </c>
      <c r="P10" s="1965"/>
      <c r="Q10" s="1969" t="s">
        <v>1872</v>
      </c>
      <c r="R10" s="1970"/>
      <c r="S10" s="1969" t="s">
        <v>1871</v>
      </c>
      <c r="T10" s="1970"/>
      <c r="U10" s="1973" t="s">
        <v>1873</v>
      </c>
      <c r="V10" s="1974"/>
      <c r="W10" s="1960" t="s">
        <v>15</v>
      </c>
      <c r="X10" s="1960"/>
      <c r="Y10" s="1960" t="s">
        <v>16</v>
      </c>
      <c r="Z10" s="1960"/>
      <c r="AA10" s="1960" t="s">
        <v>17</v>
      </c>
      <c r="AB10" s="1960"/>
      <c r="AC10" s="1960" t="s">
        <v>18</v>
      </c>
      <c r="AD10" s="1960"/>
      <c r="AE10" s="1960" t="s">
        <v>19</v>
      </c>
      <c r="AF10" s="1960"/>
      <c r="AG10" s="1960" t="s">
        <v>21</v>
      </c>
      <c r="AH10" s="1960"/>
      <c r="AI10" s="1959" t="s">
        <v>1870</v>
      </c>
    </row>
    <row r="11" spans="1:38" ht="35.25" customHeight="1" x14ac:dyDescent="0.25">
      <c r="A11" s="1955"/>
      <c r="B11" s="1955"/>
      <c r="C11" s="1955"/>
      <c r="D11" s="1955"/>
      <c r="E11" s="1955"/>
      <c r="F11" s="1966"/>
      <c r="G11" s="1967"/>
      <c r="H11" s="1968"/>
      <c r="I11" s="1966"/>
      <c r="J11" s="1968"/>
      <c r="K11" s="1966"/>
      <c r="L11" s="1968"/>
      <c r="M11" s="1966"/>
      <c r="N11" s="1968"/>
      <c r="O11" s="1966"/>
      <c r="P11" s="1968"/>
      <c r="Q11" s="1971"/>
      <c r="R11" s="1972"/>
      <c r="S11" s="1971"/>
      <c r="T11" s="1972"/>
      <c r="U11" s="1975"/>
      <c r="V11" s="1976"/>
      <c r="W11" s="1946"/>
      <c r="X11" s="1946"/>
      <c r="Y11" s="1946"/>
      <c r="Z11" s="1946"/>
      <c r="AA11" s="1946"/>
      <c r="AB11" s="1946"/>
      <c r="AC11" s="1946"/>
      <c r="AD11" s="1946"/>
      <c r="AE11" s="1946"/>
      <c r="AF11" s="1946"/>
      <c r="AG11" s="1946"/>
      <c r="AH11" s="1946"/>
      <c r="AI11" s="1955"/>
    </row>
    <row r="12" spans="1:38" ht="16.5" customHeight="1" x14ac:dyDescent="0.25">
      <c r="A12" s="1955"/>
      <c r="B12" s="1955"/>
      <c r="C12" s="1955"/>
      <c r="D12" s="1955"/>
      <c r="E12" s="1955"/>
      <c r="F12" s="1954" t="s">
        <v>32</v>
      </c>
      <c r="G12" s="1957" t="s">
        <v>1869</v>
      </c>
      <c r="H12" s="1958"/>
      <c r="I12" s="1954" t="s">
        <v>34</v>
      </c>
      <c r="J12" s="1954" t="s">
        <v>35</v>
      </c>
      <c r="K12" s="1954" t="s">
        <v>34</v>
      </c>
      <c r="L12" s="1954" t="s">
        <v>35</v>
      </c>
      <c r="M12" s="1954" t="s">
        <v>34</v>
      </c>
      <c r="N12" s="1954" t="s">
        <v>35</v>
      </c>
      <c r="O12" s="1954" t="s">
        <v>34</v>
      </c>
      <c r="P12" s="1954" t="s">
        <v>35</v>
      </c>
      <c r="Q12" s="1947" t="s">
        <v>34</v>
      </c>
      <c r="R12" s="1947" t="s">
        <v>35</v>
      </c>
      <c r="S12" s="1947" t="s">
        <v>36</v>
      </c>
      <c r="T12" s="1947" t="s">
        <v>37</v>
      </c>
      <c r="U12" s="1950" t="s">
        <v>34</v>
      </c>
      <c r="V12" s="1950" t="s">
        <v>35</v>
      </c>
      <c r="W12" s="1953" t="s">
        <v>34</v>
      </c>
      <c r="X12" s="1946" t="s">
        <v>35</v>
      </c>
      <c r="Y12" s="1946" t="s">
        <v>34</v>
      </c>
      <c r="Z12" s="1946" t="s">
        <v>35</v>
      </c>
      <c r="AA12" s="1946" t="s">
        <v>34</v>
      </c>
      <c r="AB12" s="1946" t="s">
        <v>35</v>
      </c>
      <c r="AC12" s="1946" t="s">
        <v>34</v>
      </c>
      <c r="AD12" s="1946" t="s">
        <v>35</v>
      </c>
      <c r="AE12" s="1946" t="s">
        <v>34</v>
      </c>
      <c r="AF12" s="1946" t="s">
        <v>35</v>
      </c>
      <c r="AG12" s="1946" t="s">
        <v>34</v>
      </c>
      <c r="AH12" s="1946" t="s">
        <v>35</v>
      </c>
      <c r="AI12" s="1955"/>
    </row>
    <row r="13" spans="1:38" ht="15" customHeight="1" x14ac:dyDescent="0.25">
      <c r="A13" s="1955"/>
      <c r="B13" s="1955"/>
      <c r="C13" s="1955"/>
      <c r="D13" s="1955"/>
      <c r="E13" s="1955"/>
      <c r="F13" s="1955"/>
      <c r="G13" s="1954" t="s">
        <v>34</v>
      </c>
      <c r="H13" s="1954" t="s">
        <v>35</v>
      </c>
      <c r="I13" s="1955"/>
      <c r="J13" s="1955"/>
      <c r="K13" s="1955"/>
      <c r="L13" s="1955"/>
      <c r="M13" s="1955"/>
      <c r="N13" s="1955"/>
      <c r="O13" s="1955"/>
      <c r="P13" s="1955"/>
      <c r="Q13" s="1948"/>
      <c r="R13" s="1948"/>
      <c r="S13" s="1948"/>
      <c r="T13" s="1948"/>
      <c r="U13" s="1951"/>
      <c r="V13" s="1951"/>
      <c r="W13" s="1953"/>
      <c r="X13" s="1946"/>
      <c r="Y13" s="1946"/>
      <c r="Z13" s="1946"/>
      <c r="AA13" s="1946"/>
      <c r="AB13" s="1946"/>
      <c r="AC13" s="1946"/>
      <c r="AD13" s="1946"/>
      <c r="AE13" s="1946"/>
      <c r="AF13" s="1946"/>
      <c r="AG13" s="1946"/>
      <c r="AH13" s="1946"/>
      <c r="AI13" s="1955"/>
    </row>
    <row r="14" spans="1:38" ht="15" customHeight="1" x14ac:dyDescent="0.25">
      <c r="A14" s="1956"/>
      <c r="B14" s="1956"/>
      <c r="C14" s="1956"/>
      <c r="D14" s="1956"/>
      <c r="E14" s="1956"/>
      <c r="F14" s="1956"/>
      <c r="G14" s="1956"/>
      <c r="H14" s="1956"/>
      <c r="I14" s="1956"/>
      <c r="J14" s="1956"/>
      <c r="K14" s="1956"/>
      <c r="L14" s="1956"/>
      <c r="M14" s="1956"/>
      <c r="N14" s="1956"/>
      <c r="O14" s="1956"/>
      <c r="P14" s="1956"/>
      <c r="Q14" s="1949"/>
      <c r="R14" s="1949"/>
      <c r="S14" s="1949"/>
      <c r="T14" s="1949"/>
      <c r="U14" s="1952"/>
      <c r="V14" s="1952"/>
      <c r="W14" s="1953"/>
      <c r="X14" s="1946"/>
      <c r="Y14" s="1946"/>
      <c r="Z14" s="1946"/>
      <c r="AA14" s="1946"/>
      <c r="AB14" s="1946"/>
      <c r="AC14" s="1946"/>
      <c r="AD14" s="1946"/>
      <c r="AE14" s="1946"/>
      <c r="AF14" s="1946"/>
      <c r="AG14" s="1946"/>
      <c r="AH14" s="1946"/>
      <c r="AI14" s="1956"/>
    </row>
    <row r="15" spans="1:38" ht="16.5" x14ac:dyDescent="0.25">
      <c r="A15" s="435">
        <v>1</v>
      </c>
      <c r="B15" s="435">
        <v>2</v>
      </c>
      <c r="C15" s="435">
        <v>3</v>
      </c>
      <c r="D15" s="435">
        <v>4</v>
      </c>
      <c r="E15" s="435">
        <v>5</v>
      </c>
      <c r="F15" s="435">
        <v>6</v>
      </c>
      <c r="G15" s="435">
        <v>7</v>
      </c>
      <c r="H15" s="435">
        <v>8</v>
      </c>
      <c r="I15" s="435">
        <v>9</v>
      </c>
      <c r="J15" s="435">
        <v>10</v>
      </c>
      <c r="K15" s="435">
        <v>11</v>
      </c>
      <c r="L15" s="435">
        <v>12</v>
      </c>
      <c r="M15" s="435">
        <v>9</v>
      </c>
      <c r="N15" s="435">
        <v>10</v>
      </c>
      <c r="O15" s="435">
        <v>13</v>
      </c>
      <c r="P15" s="435">
        <v>14</v>
      </c>
      <c r="Q15" s="439">
        <v>25</v>
      </c>
      <c r="R15" s="439">
        <v>26</v>
      </c>
      <c r="S15" s="435">
        <v>13</v>
      </c>
      <c r="T15" s="435">
        <v>14</v>
      </c>
      <c r="U15" s="435">
        <v>13</v>
      </c>
      <c r="V15" s="435">
        <v>14</v>
      </c>
      <c r="W15" s="435">
        <v>15</v>
      </c>
      <c r="X15" s="435">
        <v>16</v>
      </c>
      <c r="Y15" s="435">
        <v>17</v>
      </c>
      <c r="Z15" s="435">
        <v>18</v>
      </c>
      <c r="AA15" s="435"/>
      <c r="AB15" s="435"/>
      <c r="AC15" s="435"/>
      <c r="AD15" s="435"/>
      <c r="AE15" s="435"/>
      <c r="AF15" s="435"/>
      <c r="AG15" s="435"/>
      <c r="AH15" s="435"/>
      <c r="AI15" s="435">
        <v>19</v>
      </c>
      <c r="AJ15" s="165">
        <v>1</v>
      </c>
    </row>
    <row r="16" spans="1:38" ht="16.5" x14ac:dyDescent="0.25">
      <c r="A16" s="435"/>
      <c r="B16" s="438" t="s">
        <v>38</v>
      </c>
      <c r="C16" s="435"/>
      <c r="D16" s="435"/>
      <c r="E16" s="435"/>
      <c r="F16" s="435"/>
      <c r="G16" s="436">
        <f>G18+G314+G316</f>
        <v>1916588.9179192546</v>
      </c>
      <c r="H16" s="436">
        <f>H18+H314+H316</f>
        <v>1836987.9179192546</v>
      </c>
      <c r="I16" s="436">
        <f>I17+I18+I316+I302+I315+I314</f>
        <v>147200</v>
      </c>
      <c r="J16" s="471">
        <f t="shared" ref="J16:Z16" si="0">J17+J18+J314+J315+J316</f>
        <v>147200</v>
      </c>
      <c r="K16" s="471">
        <f t="shared" si="0"/>
        <v>147200</v>
      </c>
      <c r="L16" s="471">
        <f t="shared" si="0"/>
        <v>147200</v>
      </c>
      <c r="M16" s="471">
        <f t="shared" si="0"/>
        <v>2765999.5238095238</v>
      </c>
      <c r="N16" s="471">
        <f t="shared" si="0"/>
        <v>2717999.5238095238</v>
      </c>
      <c r="O16" s="471">
        <f t="shared" si="0"/>
        <v>2723000</v>
      </c>
      <c r="P16" s="471">
        <f t="shared" si="0"/>
        <v>2723000</v>
      </c>
      <c r="Q16" s="471">
        <f t="shared" si="0"/>
        <v>-30789.523809523802</v>
      </c>
      <c r="R16" s="471">
        <f t="shared" si="0"/>
        <v>18710.476190476198</v>
      </c>
      <c r="S16" s="471">
        <f t="shared" si="0"/>
        <v>374405</v>
      </c>
      <c r="T16" s="471">
        <f t="shared" si="0"/>
        <v>369404.52380952379</v>
      </c>
      <c r="U16" s="471">
        <f t="shared" si="0"/>
        <v>2723000</v>
      </c>
      <c r="V16" s="471">
        <f t="shared" si="0"/>
        <v>2723000</v>
      </c>
      <c r="W16" s="471">
        <f t="shared" si="0"/>
        <v>315166</v>
      </c>
      <c r="X16" s="471">
        <f t="shared" si="0"/>
        <v>315166</v>
      </c>
      <c r="Y16" s="471">
        <f t="shared" si="0"/>
        <v>255948</v>
      </c>
      <c r="Z16" s="471">
        <f t="shared" si="0"/>
        <v>280948</v>
      </c>
      <c r="AA16" s="436"/>
      <c r="AB16" s="436"/>
      <c r="AC16" s="436"/>
      <c r="AD16" s="436"/>
      <c r="AE16" s="436"/>
      <c r="AF16" s="436"/>
      <c r="AG16" s="436"/>
      <c r="AH16" s="436"/>
      <c r="AI16" s="435">
        <f>V16-N16</f>
        <v>5000.4761904762127</v>
      </c>
      <c r="AJ16" s="173">
        <f>IF(N16-V16=0,0,1)</f>
        <v>1</v>
      </c>
      <c r="AL16" s="434"/>
    </row>
    <row r="17" spans="1:39" s="362" customFormat="1" ht="33" x14ac:dyDescent="0.25">
      <c r="A17" s="368" t="s">
        <v>39</v>
      </c>
      <c r="B17" s="367" t="s">
        <v>1868</v>
      </c>
      <c r="C17" s="366"/>
      <c r="D17" s="366"/>
      <c r="E17" s="366"/>
      <c r="F17" s="366"/>
      <c r="G17" s="365"/>
      <c r="H17" s="365"/>
      <c r="I17" s="365"/>
      <c r="J17" s="365"/>
      <c r="K17" s="764"/>
      <c r="L17" s="764"/>
      <c r="M17" s="764">
        <f>N17</f>
        <v>1230000</v>
      </c>
      <c r="N17" s="764">
        <v>1230000</v>
      </c>
      <c r="O17" s="765">
        <f>P17</f>
        <v>1230000</v>
      </c>
      <c r="P17" s="766">
        <f>N17</f>
        <v>1230000</v>
      </c>
      <c r="Q17" s="764"/>
      <c r="R17" s="767"/>
      <c r="S17" s="764">
        <f>T17</f>
        <v>0</v>
      </c>
      <c r="T17" s="767">
        <f>R17</f>
        <v>0</v>
      </c>
      <c r="U17" s="472">
        <f>V17</f>
        <v>1230000</v>
      </c>
      <c r="V17" s="473">
        <v>1230000</v>
      </c>
      <c r="W17" s="764"/>
      <c r="X17" s="764"/>
      <c r="Y17" s="764"/>
      <c r="Z17" s="764"/>
      <c r="AA17" s="365"/>
      <c r="AB17" s="365"/>
      <c r="AC17" s="365"/>
      <c r="AD17" s="365"/>
      <c r="AE17" s="365"/>
      <c r="AF17" s="365"/>
      <c r="AG17" s="365"/>
      <c r="AH17" s="365"/>
      <c r="AI17" s="363"/>
      <c r="AJ17" s="173">
        <f>IF(N17-V17=0,0,1)</f>
        <v>0</v>
      </c>
    </row>
    <row r="18" spans="1:39" s="362" customFormat="1" ht="33" x14ac:dyDescent="0.25">
      <c r="A18" s="368" t="s">
        <v>41</v>
      </c>
      <c r="B18" s="367" t="s">
        <v>1867</v>
      </c>
      <c r="C18" s="366"/>
      <c r="D18" s="366"/>
      <c r="E18" s="366"/>
      <c r="F18" s="366"/>
      <c r="G18" s="365">
        <f t="shared" ref="G18:AH18" si="1">G19+G107+G137+G246</f>
        <v>831574.91791925463</v>
      </c>
      <c r="H18" s="365">
        <f t="shared" si="1"/>
        <v>831574.91791925463</v>
      </c>
      <c r="I18" s="365">
        <f t="shared" si="1"/>
        <v>15000</v>
      </c>
      <c r="J18" s="365">
        <f t="shared" si="1"/>
        <v>15000</v>
      </c>
      <c r="K18" s="764">
        <f t="shared" si="1"/>
        <v>15000</v>
      </c>
      <c r="L18" s="764">
        <f t="shared" si="1"/>
        <v>15000</v>
      </c>
      <c r="M18" s="764">
        <f t="shared" si="1"/>
        <v>639999.52380952379</v>
      </c>
      <c r="N18" s="764">
        <f t="shared" si="1"/>
        <v>639999.52380952379</v>
      </c>
      <c r="O18" s="764">
        <f t="shared" si="1"/>
        <v>665000</v>
      </c>
      <c r="P18" s="764">
        <f t="shared" si="1"/>
        <v>665000</v>
      </c>
      <c r="Q18" s="764">
        <f t="shared" si="1"/>
        <v>25000.476190476198</v>
      </c>
      <c r="R18" s="764">
        <f t="shared" si="1"/>
        <v>25000.476190476198</v>
      </c>
      <c r="S18" s="764">
        <f t="shared" si="1"/>
        <v>250720</v>
      </c>
      <c r="T18" s="764">
        <f t="shared" si="1"/>
        <v>225719.52380952379</v>
      </c>
      <c r="U18" s="472">
        <f t="shared" si="1"/>
        <v>665000</v>
      </c>
      <c r="V18" s="472">
        <f t="shared" si="1"/>
        <v>665000</v>
      </c>
      <c r="W18" s="764">
        <f t="shared" si="1"/>
        <v>113248</v>
      </c>
      <c r="X18" s="764">
        <f t="shared" si="1"/>
        <v>113248</v>
      </c>
      <c r="Y18" s="764">
        <f t="shared" si="1"/>
        <v>120823</v>
      </c>
      <c r="Z18" s="764">
        <f t="shared" si="1"/>
        <v>120823</v>
      </c>
      <c r="AA18" s="364">
        <f t="shared" si="1"/>
        <v>0</v>
      </c>
      <c r="AB18" s="364">
        <f t="shared" si="1"/>
        <v>0</v>
      </c>
      <c r="AC18" s="364">
        <f t="shared" si="1"/>
        <v>0</v>
      </c>
      <c r="AD18" s="364">
        <f t="shared" si="1"/>
        <v>0</v>
      </c>
      <c r="AE18" s="364">
        <f t="shared" si="1"/>
        <v>0</v>
      </c>
      <c r="AF18" s="364">
        <f t="shared" si="1"/>
        <v>0</v>
      </c>
      <c r="AG18" s="364">
        <f t="shared" si="1"/>
        <v>0</v>
      </c>
      <c r="AH18" s="364">
        <f t="shared" si="1"/>
        <v>0</v>
      </c>
      <c r="AI18" s="363"/>
      <c r="AJ18" s="173">
        <f t="shared" ref="AJ18:AJ81" si="2">IF(N18-V18=0,0,1)</f>
        <v>1</v>
      </c>
      <c r="AK18" s="433"/>
    </row>
    <row r="19" spans="1:39" s="203" customFormat="1" ht="16.5" x14ac:dyDescent="0.25">
      <c r="A19" s="210" t="s">
        <v>43</v>
      </c>
      <c r="B19" s="432" t="s">
        <v>1263</v>
      </c>
      <c r="C19" s="431"/>
      <c r="D19" s="431"/>
      <c r="E19" s="431"/>
      <c r="F19" s="431"/>
      <c r="G19" s="392">
        <f>G26</f>
        <v>242158.2</v>
      </c>
      <c r="H19" s="392">
        <f>H26</f>
        <v>242158.2</v>
      </c>
      <c r="I19" s="392">
        <f>I20+I26</f>
        <v>4500</v>
      </c>
      <c r="J19" s="392">
        <f>J20+J26</f>
        <v>4500</v>
      </c>
      <c r="K19" s="392">
        <f>K20+K26</f>
        <v>4500</v>
      </c>
      <c r="L19" s="392">
        <f>L20+L26</f>
        <v>4500</v>
      </c>
      <c r="M19" s="392">
        <f>M20+M26</f>
        <v>200000</v>
      </c>
      <c r="N19" s="392">
        <f t="shared" ref="N19:AH19" si="3">N20+N26</f>
        <v>200000</v>
      </c>
      <c r="O19" s="392">
        <f t="shared" si="3"/>
        <v>200000</v>
      </c>
      <c r="P19" s="392">
        <f t="shared" si="3"/>
        <v>200000</v>
      </c>
      <c r="Q19" s="392">
        <f t="shared" si="3"/>
        <v>0</v>
      </c>
      <c r="R19" s="392">
        <f t="shared" si="3"/>
        <v>0</v>
      </c>
      <c r="S19" s="392">
        <f t="shared" si="3"/>
        <v>68180</v>
      </c>
      <c r="T19" s="392">
        <f t="shared" si="3"/>
        <v>68180</v>
      </c>
      <c r="U19" s="392">
        <f t="shared" si="3"/>
        <v>200000</v>
      </c>
      <c r="V19" s="392">
        <f t="shared" si="3"/>
        <v>200000</v>
      </c>
      <c r="W19" s="392">
        <f t="shared" si="3"/>
        <v>40000</v>
      </c>
      <c r="X19" s="392">
        <f t="shared" si="3"/>
        <v>40000</v>
      </c>
      <c r="Y19" s="392">
        <f t="shared" si="3"/>
        <v>33930</v>
      </c>
      <c r="Z19" s="392">
        <f t="shared" si="3"/>
        <v>33930</v>
      </c>
      <c r="AA19" s="430">
        <f t="shared" si="3"/>
        <v>0</v>
      </c>
      <c r="AB19" s="430">
        <f t="shared" si="3"/>
        <v>0</v>
      </c>
      <c r="AC19" s="430">
        <f t="shared" si="3"/>
        <v>0</v>
      </c>
      <c r="AD19" s="430">
        <f t="shared" si="3"/>
        <v>0</v>
      </c>
      <c r="AE19" s="430">
        <f t="shared" si="3"/>
        <v>0</v>
      </c>
      <c r="AF19" s="430">
        <f t="shared" si="3"/>
        <v>0</v>
      </c>
      <c r="AG19" s="430">
        <f t="shared" si="3"/>
        <v>0</v>
      </c>
      <c r="AH19" s="430">
        <f t="shared" si="3"/>
        <v>0</v>
      </c>
      <c r="AI19" s="429"/>
      <c r="AJ19" s="173">
        <f t="shared" si="2"/>
        <v>0</v>
      </c>
      <c r="AL19" s="317"/>
      <c r="AM19" s="317"/>
    </row>
    <row r="20" spans="1:39" ht="51.75" x14ac:dyDescent="0.25">
      <c r="A20" s="195" t="s">
        <v>45</v>
      </c>
      <c r="B20" s="193" t="s">
        <v>46</v>
      </c>
      <c r="C20" s="192"/>
      <c r="D20" s="192"/>
      <c r="E20" s="192"/>
      <c r="F20" s="192"/>
      <c r="G20" s="191">
        <f t="shared" ref="G20:AH20" si="4">G21</f>
        <v>6944</v>
      </c>
      <c r="H20" s="191">
        <f t="shared" si="4"/>
        <v>6944</v>
      </c>
      <c r="I20" s="191">
        <f t="shared" si="4"/>
        <v>4500</v>
      </c>
      <c r="J20" s="191">
        <f t="shared" si="4"/>
        <v>4500</v>
      </c>
      <c r="K20" s="191">
        <f t="shared" si="4"/>
        <v>4500</v>
      </c>
      <c r="L20" s="191">
        <f t="shared" si="4"/>
        <v>4500</v>
      </c>
      <c r="M20" s="191">
        <f t="shared" si="4"/>
        <v>1500</v>
      </c>
      <c r="N20" s="191">
        <f t="shared" si="4"/>
        <v>1500</v>
      </c>
      <c r="O20" s="190">
        <f t="shared" si="4"/>
        <v>1500</v>
      </c>
      <c r="P20" s="190">
        <f t="shared" si="4"/>
        <v>1500</v>
      </c>
      <c r="Q20" s="191">
        <f t="shared" si="4"/>
        <v>0</v>
      </c>
      <c r="R20" s="191">
        <f t="shared" si="4"/>
        <v>0</v>
      </c>
      <c r="S20" s="191">
        <f t="shared" si="4"/>
        <v>0</v>
      </c>
      <c r="T20" s="191">
        <f t="shared" si="4"/>
        <v>0</v>
      </c>
      <c r="U20" s="474">
        <f t="shared" si="4"/>
        <v>1500</v>
      </c>
      <c r="V20" s="474">
        <f t="shared" si="4"/>
        <v>1500</v>
      </c>
      <c r="W20" s="190">
        <f t="shared" si="4"/>
        <v>1500</v>
      </c>
      <c r="X20" s="190">
        <f t="shared" si="4"/>
        <v>1500</v>
      </c>
      <c r="Y20" s="190">
        <f t="shared" si="4"/>
        <v>0</v>
      </c>
      <c r="Z20" s="190">
        <f t="shared" si="4"/>
        <v>0</v>
      </c>
      <c r="AA20" s="190">
        <f t="shared" si="4"/>
        <v>0</v>
      </c>
      <c r="AB20" s="190">
        <f t="shared" si="4"/>
        <v>0</v>
      </c>
      <c r="AC20" s="190">
        <f t="shared" si="4"/>
        <v>0</v>
      </c>
      <c r="AD20" s="190">
        <f t="shared" si="4"/>
        <v>0</v>
      </c>
      <c r="AE20" s="190">
        <f t="shared" si="4"/>
        <v>0</v>
      </c>
      <c r="AF20" s="190">
        <f t="shared" si="4"/>
        <v>0</v>
      </c>
      <c r="AG20" s="190">
        <f t="shared" si="4"/>
        <v>0</v>
      </c>
      <c r="AH20" s="190">
        <f t="shared" si="4"/>
        <v>0</v>
      </c>
      <c r="AI20" s="189"/>
      <c r="AJ20" s="173">
        <f t="shared" si="2"/>
        <v>0</v>
      </c>
    </row>
    <row r="21" spans="1:39" ht="34.5" x14ac:dyDescent="0.25">
      <c r="A21" s="194" t="s">
        <v>47</v>
      </c>
      <c r="B21" s="193" t="s">
        <v>48</v>
      </c>
      <c r="C21" s="192"/>
      <c r="D21" s="192"/>
      <c r="E21" s="192"/>
      <c r="F21" s="192"/>
      <c r="G21" s="191">
        <f t="shared" ref="G21:AH21" si="5">SUM(G23:G25)</f>
        <v>6944</v>
      </c>
      <c r="H21" s="191">
        <f t="shared" si="5"/>
        <v>6944</v>
      </c>
      <c r="I21" s="191">
        <f t="shared" si="5"/>
        <v>4500</v>
      </c>
      <c r="J21" s="191">
        <f t="shared" si="5"/>
        <v>4500</v>
      </c>
      <c r="K21" s="191">
        <f t="shared" si="5"/>
        <v>4500</v>
      </c>
      <c r="L21" s="191">
        <f t="shared" si="5"/>
        <v>4500</v>
      </c>
      <c r="M21" s="191">
        <f t="shared" si="5"/>
        <v>1500</v>
      </c>
      <c r="N21" s="191">
        <f t="shared" si="5"/>
        <v>1500</v>
      </c>
      <c r="O21" s="190">
        <f t="shared" si="5"/>
        <v>1500</v>
      </c>
      <c r="P21" s="190">
        <f t="shared" si="5"/>
        <v>1500</v>
      </c>
      <c r="Q21" s="191">
        <f t="shared" si="5"/>
        <v>0</v>
      </c>
      <c r="R21" s="191">
        <f t="shared" si="5"/>
        <v>0</v>
      </c>
      <c r="S21" s="191">
        <f t="shared" si="5"/>
        <v>0</v>
      </c>
      <c r="T21" s="191">
        <f t="shared" si="5"/>
        <v>0</v>
      </c>
      <c r="U21" s="474">
        <f t="shared" si="5"/>
        <v>1500</v>
      </c>
      <c r="V21" s="474">
        <f t="shared" si="5"/>
        <v>1500</v>
      </c>
      <c r="W21" s="190">
        <f t="shared" si="5"/>
        <v>1500</v>
      </c>
      <c r="X21" s="190">
        <f t="shared" si="5"/>
        <v>1500</v>
      </c>
      <c r="Y21" s="190">
        <f t="shared" si="5"/>
        <v>0</v>
      </c>
      <c r="Z21" s="190">
        <f t="shared" si="5"/>
        <v>0</v>
      </c>
      <c r="AA21" s="190">
        <f t="shared" si="5"/>
        <v>0</v>
      </c>
      <c r="AB21" s="190">
        <f t="shared" si="5"/>
        <v>0</v>
      </c>
      <c r="AC21" s="190">
        <f t="shared" si="5"/>
        <v>0</v>
      </c>
      <c r="AD21" s="190">
        <f t="shared" si="5"/>
        <v>0</v>
      </c>
      <c r="AE21" s="190">
        <f t="shared" si="5"/>
        <v>0</v>
      </c>
      <c r="AF21" s="190">
        <f t="shared" si="5"/>
        <v>0</v>
      </c>
      <c r="AG21" s="190">
        <f t="shared" si="5"/>
        <v>0</v>
      </c>
      <c r="AH21" s="190">
        <f t="shared" si="5"/>
        <v>0</v>
      </c>
      <c r="AI21" s="428"/>
      <c r="AJ21" s="173">
        <f t="shared" si="2"/>
        <v>0</v>
      </c>
    </row>
    <row r="22" spans="1:39" ht="17.25" x14ac:dyDescent="0.25">
      <c r="A22" s="194"/>
      <c r="B22" s="193" t="s">
        <v>49</v>
      </c>
      <c r="C22" s="202"/>
      <c r="D22" s="202"/>
      <c r="E22" s="202"/>
      <c r="F22" s="202"/>
      <c r="G22" s="200"/>
      <c r="H22" s="200"/>
      <c r="I22" s="200"/>
      <c r="J22" s="200"/>
      <c r="K22" s="200"/>
      <c r="L22" s="200"/>
      <c r="M22" s="200"/>
      <c r="N22" s="200"/>
      <c r="O22" s="201"/>
      <c r="P22" s="201"/>
      <c r="Q22" s="200"/>
      <c r="R22" s="200"/>
      <c r="S22" s="200"/>
      <c r="T22" s="200"/>
      <c r="U22" s="475"/>
      <c r="V22" s="475"/>
      <c r="W22" s="200"/>
      <c r="X22" s="200"/>
      <c r="Y22" s="200"/>
      <c r="Z22" s="200"/>
      <c r="AA22" s="200"/>
      <c r="AB22" s="200"/>
      <c r="AC22" s="200"/>
      <c r="AD22" s="200"/>
      <c r="AE22" s="200"/>
      <c r="AF22" s="200"/>
      <c r="AG22" s="200"/>
      <c r="AH22" s="428"/>
      <c r="AI22" s="428"/>
      <c r="AJ22" s="173">
        <f t="shared" si="2"/>
        <v>0</v>
      </c>
    </row>
    <row r="23" spans="1:39" ht="51.75" x14ac:dyDescent="0.25">
      <c r="A23" s="194"/>
      <c r="B23" s="199" t="s">
        <v>50</v>
      </c>
      <c r="C23" s="192"/>
      <c r="D23" s="192"/>
      <c r="E23" s="192"/>
      <c r="F23" s="192"/>
      <c r="G23" s="191"/>
      <c r="H23" s="191"/>
      <c r="I23" s="191"/>
      <c r="J23" s="191"/>
      <c r="K23" s="191"/>
      <c r="L23" s="191"/>
      <c r="M23" s="191"/>
      <c r="N23" s="191"/>
      <c r="O23" s="190"/>
      <c r="P23" s="190"/>
      <c r="Q23" s="191"/>
      <c r="R23" s="191"/>
      <c r="S23" s="191"/>
      <c r="T23" s="191"/>
      <c r="U23" s="474"/>
      <c r="V23" s="474"/>
      <c r="W23" s="191"/>
      <c r="X23" s="191"/>
      <c r="Y23" s="191"/>
      <c r="Z23" s="191"/>
      <c r="AA23" s="191"/>
      <c r="AB23" s="191"/>
      <c r="AC23" s="191"/>
      <c r="AD23" s="191"/>
      <c r="AE23" s="191"/>
      <c r="AF23" s="191"/>
      <c r="AG23" s="191"/>
      <c r="AH23" s="190"/>
      <c r="AI23" s="190"/>
      <c r="AJ23" s="173">
        <f t="shared" si="2"/>
        <v>0</v>
      </c>
    </row>
    <row r="24" spans="1:39" ht="49.5" x14ac:dyDescent="0.25">
      <c r="A24" s="221">
        <v>1</v>
      </c>
      <c r="B24" s="231" t="s">
        <v>1866</v>
      </c>
      <c r="C24" s="230" t="s">
        <v>1865</v>
      </c>
      <c r="D24" s="188"/>
      <c r="E24" s="230" t="s">
        <v>199</v>
      </c>
      <c r="F24" s="226" t="s">
        <v>1864</v>
      </c>
      <c r="G24" s="212">
        <v>4615</v>
      </c>
      <c r="H24" s="229">
        <f>G24</f>
        <v>4615</v>
      </c>
      <c r="I24" s="212">
        <v>3000</v>
      </c>
      <c r="J24" s="177">
        <f>I24</f>
        <v>3000</v>
      </c>
      <c r="K24" s="212">
        <v>3000</v>
      </c>
      <c r="L24" s="177">
        <f>K24</f>
        <v>3000</v>
      </c>
      <c r="M24" s="212">
        <v>1100</v>
      </c>
      <c r="N24" s="177">
        <f>M24</f>
        <v>1100</v>
      </c>
      <c r="O24" s="183">
        <v>1100</v>
      </c>
      <c r="P24" s="220">
        <f>O24</f>
        <v>1100</v>
      </c>
      <c r="Q24" s="177">
        <f>O24-M24</f>
        <v>0</v>
      </c>
      <c r="R24" s="177">
        <f>P24-N24</f>
        <v>0</v>
      </c>
      <c r="S24" s="176"/>
      <c r="T24" s="176"/>
      <c r="U24" s="454">
        <v>1100</v>
      </c>
      <c r="V24" s="454">
        <v>1100</v>
      </c>
      <c r="W24" s="177">
        <f>X24</f>
        <v>1100</v>
      </c>
      <c r="X24" s="177">
        <v>1100</v>
      </c>
      <c r="Y24" s="177"/>
      <c r="Z24" s="177"/>
      <c r="AA24" s="177"/>
      <c r="AB24" s="177"/>
      <c r="AC24" s="177"/>
      <c r="AD24" s="177"/>
      <c r="AE24" s="177"/>
      <c r="AF24" s="177"/>
      <c r="AG24" s="177"/>
      <c r="AH24" s="190"/>
      <c r="AI24" s="190"/>
      <c r="AJ24" s="173">
        <f t="shared" si="2"/>
        <v>0</v>
      </c>
    </row>
    <row r="25" spans="1:39" ht="49.5" x14ac:dyDescent="0.25">
      <c r="A25" s="267" t="s">
        <v>56</v>
      </c>
      <c r="B25" s="231" t="s">
        <v>1863</v>
      </c>
      <c r="C25" s="188" t="s">
        <v>1252</v>
      </c>
      <c r="D25" s="188" t="s">
        <v>1862</v>
      </c>
      <c r="E25" s="414" t="s">
        <v>199</v>
      </c>
      <c r="F25" s="180" t="s">
        <v>1861</v>
      </c>
      <c r="G25" s="212">
        <v>2329</v>
      </c>
      <c r="H25" s="229">
        <f>G25</f>
        <v>2329</v>
      </c>
      <c r="I25" s="385">
        <v>1500</v>
      </c>
      <c r="J25" s="217">
        <f>I25</f>
        <v>1500</v>
      </c>
      <c r="K25" s="385">
        <v>1500</v>
      </c>
      <c r="L25" s="217">
        <f>K25</f>
        <v>1500</v>
      </c>
      <c r="M25" s="385">
        <v>400</v>
      </c>
      <c r="N25" s="177">
        <f>M25</f>
        <v>400</v>
      </c>
      <c r="O25" s="231">
        <v>400</v>
      </c>
      <c r="P25" s="220">
        <f>O25</f>
        <v>400</v>
      </c>
      <c r="Q25" s="177">
        <f>O25-M25</f>
        <v>0</v>
      </c>
      <c r="R25" s="177">
        <f>P25-N25</f>
        <v>0</v>
      </c>
      <c r="S25" s="176"/>
      <c r="T25" s="176"/>
      <c r="U25" s="455">
        <v>400</v>
      </c>
      <c r="V25" s="454">
        <v>400</v>
      </c>
      <c r="W25" s="177">
        <f>X25</f>
        <v>400</v>
      </c>
      <c r="X25" s="177">
        <v>400</v>
      </c>
      <c r="Y25" s="217"/>
      <c r="Z25" s="217"/>
      <c r="AA25" s="217"/>
      <c r="AB25" s="217"/>
      <c r="AC25" s="217"/>
      <c r="AD25" s="217"/>
      <c r="AE25" s="217"/>
      <c r="AF25" s="217"/>
      <c r="AG25" s="217"/>
      <c r="AH25" s="217"/>
      <c r="AI25" s="427"/>
      <c r="AJ25" s="173">
        <f t="shared" si="2"/>
        <v>0</v>
      </c>
    </row>
    <row r="26" spans="1:39" ht="34.5" x14ac:dyDescent="0.25">
      <c r="A26" s="195" t="s">
        <v>85</v>
      </c>
      <c r="B26" s="193" t="s">
        <v>86</v>
      </c>
      <c r="C26" s="192"/>
      <c r="D26" s="192"/>
      <c r="E26" s="192"/>
      <c r="F26" s="192"/>
      <c r="G26" s="191">
        <f>G27</f>
        <v>242158.2</v>
      </c>
      <c r="H26" s="191">
        <f>H27</f>
        <v>242158.2</v>
      </c>
      <c r="I26" s="191"/>
      <c r="J26" s="191"/>
      <c r="K26" s="191"/>
      <c r="L26" s="191"/>
      <c r="M26" s="191">
        <f t="shared" ref="M26:AH26" si="6">M27</f>
        <v>198500</v>
      </c>
      <c r="N26" s="191">
        <f t="shared" si="6"/>
        <v>198500</v>
      </c>
      <c r="O26" s="191">
        <f t="shared" si="6"/>
        <v>198500</v>
      </c>
      <c r="P26" s="191">
        <f t="shared" si="6"/>
        <v>198500</v>
      </c>
      <c r="Q26" s="191">
        <f t="shared" si="6"/>
        <v>0</v>
      </c>
      <c r="R26" s="191">
        <f t="shared" si="6"/>
        <v>0</v>
      </c>
      <c r="S26" s="191">
        <f t="shared" si="6"/>
        <v>68180</v>
      </c>
      <c r="T26" s="191">
        <f t="shared" si="6"/>
        <v>68180</v>
      </c>
      <c r="U26" s="474">
        <f t="shared" si="6"/>
        <v>198500</v>
      </c>
      <c r="V26" s="474">
        <f t="shared" si="6"/>
        <v>198500</v>
      </c>
      <c r="W26" s="190">
        <f t="shared" si="6"/>
        <v>38500</v>
      </c>
      <c r="X26" s="190">
        <f t="shared" si="6"/>
        <v>38500</v>
      </c>
      <c r="Y26" s="190">
        <f t="shared" si="6"/>
        <v>33930</v>
      </c>
      <c r="Z26" s="190">
        <f t="shared" si="6"/>
        <v>33930</v>
      </c>
      <c r="AA26" s="190">
        <f t="shared" si="6"/>
        <v>0</v>
      </c>
      <c r="AB26" s="190">
        <f t="shared" si="6"/>
        <v>0</v>
      </c>
      <c r="AC26" s="190">
        <f t="shared" si="6"/>
        <v>0</v>
      </c>
      <c r="AD26" s="190">
        <f t="shared" si="6"/>
        <v>0</v>
      </c>
      <c r="AE26" s="190">
        <f t="shared" si="6"/>
        <v>0</v>
      </c>
      <c r="AF26" s="190">
        <f t="shared" si="6"/>
        <v>0</v>
      </c>
      <c r="AG26" s="190">
        <f t="shared" si="6"/>
        <v>0</v>
      </c>
      <c r="AH26" s="190">
        <f t="shared" si="6"/>
        <v>0</v>
      </c>
      <c r="AI26" s="189"/>
      <c r="AJ26" s="173">
        <v>1</v>
      </c>
    </row>
    <row r="27" spans="1:39" ht="51.75" x14ac:dyDescent="0.25">
      <c r="A27" s="194" t="s">
        <v>87</v>
      </c>
      <c r="B27" s="193" t="s">
        <v>88</v>
      </c>
      <c r="C27" s="192"/>
      <c r="D27" s="192"/>
      <c r="E27" s="192"/>
      <c r="F27" s="192"/>
      <c r="G27" s="191">
        <f>SUM(G28:G46)+SUM(G48:G53)+G55+G58+SUM(G62:G74)+SUM(G77:G105)</f>
        <v>242158.2</v>
      </c>
      <c r="H27" s="191">
        <f>SUM(H28:H46)+SUM(H48:H53)+H55+H58+SUM(H62:H74)+SUM(H77:H105)</f>
        <v>242158.2</v>
      </c>
      <c r="I27" s="191"/>
      <c r="J27" s="191"/>
      <c r="K27" s="191"/>
      <c r="L27" s="191"/>
      <c r="M27" s="191">
        <f t="shared" ref="M27:Y27" si="7">SUM(M28:M106)</f>
        <v>198500</v>
      </c>
      <c r="N27" s="191">
        <f t="shared" si="7"/>
        <v>198500</v>
      </c>
      <c r="O27" s="191">
        <f t="shared" si="7"/>
        <v>198500</v>
      </c>
      <c r="P27" s="191">
        <f t="shared" si="7"/>
        <v>198500</v>
      </c>
      <c r="Q27" s="191">
        <f t="shared" si="7"/>
        <v>0</v>
      </c>
      <c r="R27" s="191">
        <f t="shared" si="7"/>
        <v>0</v>
      </c>
      <c r="S27" s="191">
        <f t="shared" si="7"/>
        <v>68180</v>
      </c>
      <c r="T27" s="191">
        <f t="shared" si="7"/>
        <v>68180</v>
      </c>
      <c r="U27" s="191">
        <f t="shared" si="7"/>
        <v>198500</v>
      </c>
      <c r="V27" s="191">
        <f t="shared" si="7"/>
        <v>198500</v>
      </c>
      <c r="W27" s="191">
        <f t="shared" si="7"/>
        <v>38500</v>
      </c>
      <c r="X27" s="191">
        <f t="shared" si="7"/>
        <v>38500</v>
      </c>
      <c r="Y27" s="191">
        <f t="shared" si="7"/>
        <v>33930</v>
      </c>
      <c r="Z27" s="191">
        <f>SUM(Z28:Z106)</f>
        <v>33930</v>
      </c>
      <c r="AA27" s="190">
        <f t="shared" ref="AA27:AH27" si="8">SUM(AA28:AA105)</f>
        <v>0</v>
      </c>
      <c r="AB27" s="190">
        <f t="shared" si="8"/>
        <v>0</v>
      </c>
      <c r="AC27" s="190">
        <f t="shared" si="8"/>
        <v>0</v>
      </c>
      <c r="AD27" s="190">
        <f t="shared" si="8"/>
        <v>0</v>
      </c>
      <c r="AE27" s="190">
        <f t="shared" si="8"/>
        <v>0</v>
      </c>
      <c r="AF27" s="190">
        <f t="shared" si="8"/>
        <v>0</v>
      </c>
      <c r="AG27" s="190">
        <f t="shared" si="8"/>
        <v>0</v>
      </c>
      <c r="AH27" s="190">
        <f t="shared" si="8"/>
        <v>0</v>
      </c>
      <c r="AI27" s="189"/>
      <c r="AJ27" s="173">
        <v>1</v>
      </c>
    </row>
    <row r="28" spans="1:39" ht="49.5" x14ac:dyDescent="0.25">
      <c r="A28" s="221">
        <v>1</v>
      </c>
      <c r="B28" s="231" t="s">
        <v>1860</v>
      </c>
      <c r="C28" s="230" t="s">
        <v>1859</v>
      </c>
      <c r="D28" s="230" t="s">
        <v>1858</v>
      </c>
      <c r="E28" s="230" t="s">
        <v>199</v>
      </c>
      <c r="F28" s="226" t="s">
        <v>1857</v>
      </c>
      <c r="G28" s="212">
        <v>14164</v>
      </c>
      <c r="H28" s="229">
        <f t="shared" ref="H28:H50" si="9">G28</f>
        <v>14164</v>
      </c>
      <c r="I28" s="177"/>
      <c r="J28" s="177"/>
      <c r="K28" s="177"/>
      <c r="L28" s="177"/>
      <c r="M28" s="177">
        <v>13460</v>
      </c>
      <c r="N28" s="177">
        <f t="shared" ref="N28:N91" si="10">M28</f>
        <v>13460</v>
      </c>
      <c r="O28" s="220">
        <v>20000</v>
      </c>
      <c r="P28" s="220">
        <f t="shared" ref="P28:P34" si="11">O28</f>
        <v>20000</v>
      </c>
      <c r="Q28" s="177">
        <f t="shared" ref="Q28:R59" si="12">O28-M28</f>
        <v>6540</v>
      </c>
      <c r="R28" s="177">
        <f t="shared" si="12"/>
        <v>6540</v>
      </c>
      <c r="S28" s="177">
        <f>V28-N28</f>
        <v>6540</v>
      </c>
      <c r="T28" s="177"/>
      <c r="U28" s="454">
        <v>20000</v>
      </c>
      <c r="V28" s="454">
        <v>20000</v>
      </c>
      <c r="W28" s="177">
        <f t="shared" ref="W28:W45" si="13">X28</f>
        <v>500</v>
      </c>
      <c r="X28" s="177">
        <v>500</v>
      </c>
      <c r="Y28" s="177">
        <f t="shared" ref="Y28:Y47" si="14">Z28</f>
        <v>12300</v>
      </c>
      <c r="Z28" s="177">
        <v>12300</v>
      </c>
      <c r="AA28" s="177"/>
      <c r="AB28" s="177"/>
      <c r="AC28" s="177"/>
      <c r="AD28" s="177"/>
      <c r="AE28" s="177"/>
      <c r="AF28" s="177"/>
      <c r="AG28" s="177"/>
      <c r="AH28" s="177"/>
      <c r="AI28" s="427"/>
      <c r="AJ28" s="173">
        <f t="shared" si="2"/>
        <v>1</v>
      </c>
      <c r="AL28" s="934"/>
    </row>
    <row r="29" spans="1:39" ht="49.5" x14ac:dyDescent="0.25">
      <c r="A29" s="221">
        <v>2</v>
      </c>
      <c r="B29" s="231" t="s">
        <v>1856</v>
      </c>
      <c r="C29" s="230" t="s">
        <v>1252</v>
      </c>
      <c r="D29" s="230" t="s">
        <v>1855</v>
      </c>
      <c r="E29" s="230" t="s">
        <v>199</v>
      </c>
      <c r="F29" s="226" t="s">
        <v>1854</v>
      </c>
      <c r="G29" s="212">
        <v>2888</v>
      </c>
      <c r="H29" s="229">
        <f t="shared" si="9"/>
        <v>2888</v>
      </c>
      <c r="I29" s="177"/>
      <c r="J29" s="177"/>
      <c r="K29" s="177"/>
      <c r="L29" s="177"/>
      <c r="M29" s="177">
        <v>2490</v>
      </c>
      <c r="N29" s="177">
        <f t="shared" si="10"/>
        <v>2490</v>
      </c>
      <c r="O29" s="220">
        <v>2350</v>
      </c>
      <c r="P29" s="220">
        <f t="shared" si="11"/>
        <v>2350</v>
      </c>
      <c r="Q29" s="177">
        <f t="shared" si="12"/>
        <v>-140</v>
      </c>
      <c r="R29" s="177">
        <f t="shared" si="12"/>
        <v>-140</v>
      </c>
      <c r="S29" s="177"/>
      <c r="T29" s="177">
        <f>N29-V29</f>
        <v>140</v>
      </c>
      <c r="U29" s="454">
        <v>2350</v>
      </c>
      <c r="V29" s="454">
        <v>2350</v>
      </c>
      <c r="W29" s="177">
        <f t="shared" si="13"/>
        <v>2000</v>
      </c>
      <c r="X29" s="177">
        <v>2000</v>
      </c>
      <c r="Y29" s="177">
        <f t="shared" si="14"/>
        <v>350</v>
      </c>
      <c r="Z29" s="177">
        <v>350</v>
      </c>
      <c r="AA29" s="177"/>
      <c r="AB29" s="177"/>
      <c r="AC29" s="177"/>
      <c r="AD29" s="177"/>
      <c r="AE29" s="177"/>
      <c r="AF29" s="177"/>
      <c r="AG29" s="177"/>
      <c r="AH29" s="177"/>
      <c r="AI29" s="198"/>
      <c r="AJ29" s="173">
        <f t="shared" si="2"/>
        <v>1</v>
      </c>
      <c r="AL29" s="934"/>
    </row>
    <row r="30" spans="1:39" ht="49.5" x14ac:dyDescent="0.25">
      <c r="A30" s="221">
        <v>3</v>
      </c>
      <c r="B30" s="231" t="s">
        <v>1853</v>
      </c>
      <c r="C30" s="230" t="s">
        <v>1806</v>
      </c>
      <c r="D30" s="230" t="s">
        <v>1852</v>
      </c>
      <c r="E30" s="230" t="s">
        <v>199</v>
      </c>
      <c r="F30" s="226" t="s">
        <v>1851</v>
      </c>
      <c r="G30" s="212">
        <v>2842</v>
      </c>
      <c r="H30" s="229">
        <f t="shared" si="9"/>
        <v>2842</v>
      </c>
      <c r="I30" s="177"/>
      <c r="J30" s="177"/>
      <c r="K30" s="177"/>
      <c r="L30" s="177"/>
      <c r="M30" s="177">
        <v>2340</v>
      </c>
      <c r="N30" s="177">
        <f t="shared" si="10"/>
        <v>2340</v>
      </c>
      <c r="O30" s="220">
        <v>2640</v>
      </c>
      <c r="P30" s="220">
        <f t="shared" si="11"/>
        <v>2640</v>
      </c>
      <c r="Q30" s="177">
        <f t="shared" si="12"/>
        <v>300</v>
      </c>
      <c r="R30" s="177">
        <f t="shared" si="12"/>
        <v>300</v>
      </c>
      <c r="S30" s="177">
        <f t="shared" ref="S30" si="15">V30-N30</f>
        <v>300</v>
      </c>
      <c r="T30" s="177"/>
      <c r="U30" s="454">
        <v>2640</v>
      </c>
      <c r="V30" s="454">
        <v>2640</v>
      </c>
      <c r="W30" s="177">
        <f t="shared" si="13"/>
        <v>1800</v>
      </c>
      <c r="X30" s="177">
        <v>1800</v>
      </c>
      <c r="Y30" s="177">
        <f t="shared" si="14"/>
        <v>841</v>
      </c>
      <c r="Z30" s="177">
        <v>841</v>
      </c>
      <c r="AA30" s="177"/>
      <c r="AB30" s="177"/>
      <c r="AC30" s="177"/>
      <c r="AD30" s="177"/>
      <c r="AE30" s="177"/>
      <c r="AF30" s="177"/>
      <c r="AG30" s="177"/>
      <c r="AH30" s="177"/>
      <c r="AI30" s="198"/>
      <c r="AJ30" s="173">
        <f t="shared" si="2"/>
        <v>1</v>
      </c>
      <c r="AL30" s="934"/>
    </row>
    <row r="31" spans="1:39" ht="49.5" x14ac:dyDescent="0.25">
      <c r="A31" s="221">
        <v>4</v>
      </c>
      <c r="B31" s="231" t="s">
        <v>1850</v>
      </c>
      <c r="C31" s="230" t="s">
        <v>1709</v>
      </c>
      <c r="D31" s="230" t="s">
        <v>1849</v>
      </c>
      <c r="E31" s="230" t="s">
        <v>199</v>
      </c>
      <c r="F31" s="226" t="s">
        <v>1848</v>
      </c>
      <c r="G31" s="212">
        <v>3166</v>
      </c>
      <c r="H31" s="229">
        <f t="shared" si="9"/>
        <v>3166</v>
      </c>
      <c r="I31" s="177"/>
      <c r="J31" s="177"/>
      <c r="K31" s="177"/>
      <c r="L31" s="177"/>
      <c r="M31" s="177">
        <v>2600</v>
      </c>
      <c r="N31" s="177">
        <f t="shared" si="10"/>
        <v>2600</v>
      </c>
      <c r="O31" s="220">
        <v>2300</v>
      </c>
      <c r="P31" s="220">
        <f t="shared" si="11"/>
        <v>2300</v>
      </c>
      <c r="Q31" s="177">
        <f t="shared" si="12"/>
        <v>-300</v>
      </c>
      <c r="R31" s="177">
        <f t="shared" si="12"/>
        <v>-300</v>
      </c>
      <c r="S31" s="177"/>
      <c r="T31" s="177">
        <f t="shared" ref="T31:T92" si="16">N31-V31</f>
        <v>300</v>
      </c>
      <c r="U31" s="454">
        <v>2300</v>
      </c>
      <c r="V31" s="454">
        <v>2300</v>
      </c>
      <c r="W31" s="177">
        <f t="shared" si="13"/>
        <v>2300</v>
      </c>
      <c r="X31" s="177">
        <v>2300</v>
      </c>
      <c r="Y31" s="177">
        <f t="shared" si="14"/>
        <v>0</v>
      </c>
      <c r="Z31" s="177">
        <v>0</v>
      </c>
      <c r="AA31" s="177"/>
      <c r="AB31" s="177"/>
      <c r="AC31" s="177"/>
      <c r="AD31" s="177"/>
      <c r="AE31" s="177"/>
      <c r="AF31" s="177"/>
      <c r="AG31" s="177"/>
      <c r="AH31" s="177"/>
      <c r="AI31" s="198"/>
      <c r="AJ31" s="173">
        <f t="shared" si="2"/>
        <v>1</v>
      </c>
      <c r="AL31" s="934"/>
    </row>
    <row r="32" spans="1:39" ht="49.5" x14ac:dyDescent="0.25">
      <c r="A32" s="221">
        <v>5</v>
      </c>
      <c r="B32" s="231" t="s">
        <v>1847</v>
      </c>
      <c r="C32" s="230" t="s">
        <v>1846</v>
      </c>
      <c r="D32" s="230" t="s">
        <v>1845</v>
      </c>
      <c r="E32" s="230" t="s">
        <v>199</v>
      </c>
      <c r="F32" s="226" t="s">
        <v>1844</v>
      </c>
      <c r="G32" s="212">
        <v>2139</v>
      </c>
      <c r="H32" s="229">
        <f t="shared" si="9"/>
        <v>2139</v>
      </c>
      <c r="I32" s="177"/>
      <c r="J32" s="177"/>
      <c r="K32" s="177"/>
      <c r="L32" s="177"/>
      <c r="M32" s="177">
        <v>1900</v>
      </c>
      <c r="N32" s="177">
        <f t="shared" si="10"/>
        <v>1900</v>
      </c>
      <c r="O32" s="220">
        <v>1800</v>
      </c>
      <c r="P32" s="220">
        <f t="shared" si="11"/>
        <v>1800</v>
      </c>
      <c r="Q32" s="177">
        <f t="shared" si="12"/>
        <v>-100</v>
      </c>
      <c r="R32" s="177">
        <f t="shared" si="12"/>
        <v>-100</v>
      </c>
      <c r="S32" s="177"/>
      <c r="T32" s="177">
        <f t="shared" si="16"/>
        <v>100</v>
      </c>
      <c r="U32" s="454">
        <v>1800</v>
      </c>
      <c r="V32" s="454">
        <v>1800</v>
      </c>
      <c r="W32" s="177">
        <f t="shared" si="13"/>
        <v>1500</v>
      </c>
      <c r="X32" s="177">
        <v>1500</v>
      </c>
      <c r="Y32" s="177">
        <f t="shared" si="14"/>
        <v>300</v>
      </c>
      <c r="Z32" s="177">
        <v>300</v>
      </c>
      <c r="AA32" s="177"/>
      <c r="AB32" s="177"/>
      <c r="AC32" s="177"/>
      <c r="AD32" s="177"/>
      <c r="AE32" s="177"/>
      <c r="AF32" s="177"/>
      <c r="AG32" s="177"/>
      <c r="AH32" s="177"/>
      <c r="AI32" s="198"/>
      <c r="AJ32" s="173">
        <f t="shared" si="2"/>
        <v>1</v>
      </c>
      <c r="AL32" s="934"/>
    </row>
    <row r="33" spans="1:38" ht="49.5" x14ac:dyDescent="0.25">
      <c r="A33" s="221">
        <v>6</v>
      </c>
      <c r="B33" s="231" t="s">
        <v>1843</v>
      </c>
      <c r="C33" s="230" t="s">
        <v>1709</v>
      </c>
      <c r="D33" s="230" t="s">
        <v>1842</v>
      </c>
      <c r="E33" s="230" t="s">
        <v>199</v>
      </c>
      <c r="F33" s="226" t="s">
        <v>1841</v>
      </c>
      <c r="G33" s="212">
        <v>5646</v>
      </c>
      <c r="H33" s="229">
        <f t="shared" si="9"/>
        <v>5646</v>
      </c>
      <c r="I33" s="177"/>
      <c r="J33" s="177"/>
      <c r="K33" s="177"/>
      <c r="L33" s="177"/>
      <c r="M33" s="177">
        <v>5000</v>
      </c>
      <c r="N33" s="177">
        <f t="shared" si="10"/>
        <v>5000</v>
      </c>
      <c r="O33" s="220">
        <v>4750</v>
      </c>
      <c r="P33" s="220">
        <f t="shared" si="11"/>
        <v>4750</v>
      </c>
      <c r="Q33" s="177">
        <f t="shared" si="12"/>
        <v>-250</v>
      </c>
      <c r="R33" s="177">
        <f t="shared" si="12"/>
        <v>-250</v>
      </c>
      <c r="S33" s="177"/>
      <c r="T33" s="177">
        <f t="shared" si="16"/>
        <v>250</v>
      </c>
      <c r="U33" s="454">
        <v>4750</v>
      </c>
      <c r="V33" s="454">
        <v>4750</v>
      </c>
      <c r="W33" s="177">
        <f t="shared" si="13"/>
        <v>3500</v>
      </c>
      <c r="X33" s="177">
        <v>3500</v>
      </c>
      <c r="Y33" s="177">
        <f t="shared" si="14"/>
        <v>1248</v>
      </c>
      <c r="Z33" s="177">
        <v>1248</v>
      </c>
      <c r="AA33" s="177"/>
      <c r="AB33" s="177"/>
      <c r="AC33" s="177"/>
      <c r="AD33" s="177"/>
      <c r="AE33" s="177"/>
      <c r="AF33" s="177"/>
      <c r="AG33" s="177"/>
      <c r="AH33" s="177"/>
      <c r="AI33" s="198"/>
      <c r="AJ33" s="173">
        <f t="shared" si="2"/>
        <v>1</v>
      </c>
      <c r="AL33" s="934"/>
    </row>
    <row r="34" spans="1:38" ht="49.5" x14ac:dyDescent="0.25">
      <c r="A34" s="221">
        <v>7</v>
      </c>
      <c r="B34" s="231" t="s">
        <v>1840</v>
      </c>
      <c r="C34" s="230" t="s">
        <v>1709</v>
      </c>
      <c r="D34" s="230" t="s">
        <v>1839</v>
      </c>
      <c r="E34" s="230" t="s">
        <v>199</v>
      </c>
      <c r="F34" s="226" t="s">
        <v>1838</v>
      </c>
      <c r="G34" s="212">
        <v>4084</v>
      </c>
      <c r="H34" s="229">
        <f t="shared" si="9"/>
        <v>4084</v>
      </c>
      <c r="I34" s="177"/>
      <c r="J34" s="177"/>
      <c r="K34" s="177"/>
      <c r="L34" s="177"/>
      <c r="M34" s="177">
        <v>3620</v>
      </c>
      <c r="N34" s="177">
        <f t="shared" si="10"/>
        <v>3620</v>
      </c>
      <c r="O34" s="220">
        <v>3400</v>
      </c>
      <c r="P34" s="220">
        <f t="shared" si="11"/>
        <v>3400</v>
      </c>
      <c r="Q34" s="177">
        <f t="shared" si="12"/>
        <v>-220</v>
      </c>
      <c r="R34" s="177">
        <f t="shared" si="12"/>
        <v>-220</v>
      </c>
      <c r="S34" s="177"/>
      <c r="T34" s="177">
        <f t="shared" si="16"/>
        <v>220</v>
      </c>
      <c r="U34" s="454">
        <v>3400</v>
      </c>
      <c r="V34" s="454">
        <v>3400</v>
      </c>
      <c r="W34" s="177">
        <f t="shared" si="13"/>
        <v>3400</v>
      </c>
      <c r="X34" s="177">
        <v>3400</v>
      </c>
      <c r="Y34" s="177">
        <f t="shared" si="14"/>
        <v>0</v>
      </c>
      <c r="Z34" s="177">
        <v>0</v>
      </c>
      <c r="AA34" s="177"/>
      <c r="AB34" s="177"/>
      <c r="AC34" s="177"/>
      <c r="AD34" s="177"/>
      <c r="AE34" s="177"/>
      <c r="AF34" s="177"/>
      <c r="AG34" s="177"/>
      <c r="AH34" s="177"/>
      <c r="AI34" s="185"/>
      <c r="AJ34" s="173">
        <f t="shared" si="2"/>
        <v>1</v>
      </c>
      <c r="AL34" s="934"/>
    </row>
    <row r="35" spans="1:38" ht="49.5" x14ac:dyDescent="0.25">
      <c r="A35" s="221">
        <v>8</v>
      </c>
      <c r="B35" s="231" t="s">
        <v>1837</v>
      </c>
      <c r="C35" s="230" t="s">
        <v>1709</v>
      </c>
      <c r="D35" s="230" t="s">
        <v>1836</v>
      </c>
      <c r="E35" s="230" t="s">
        <v>199</v>
      </c>
      <c r="F35" s="226" t="s">
        <v>1835</v>
      </c>
      <c r="G35" s="212">
        <v>6480</v>
      </c>
      <c r="H35" s="229">
        <f t="shared" si="9"/>
        <v>6480</v>
      </c>
      <c r="I35" s="177"/>
      <c r="J35" s="177"/>
      <c r="K35" s="177"/>
      <c r="L35" s="177"/>
      <c r="M35" s="177">
        <v>5750</v>
      </c>
      <c r="N35" s="177">
        <f t="shared" si="10"/>
        <v>5750</v>
      </c>
      <c r="O35" s="220">
        <f>P35</f>
        <v>5600</v>
      </c>
      <c r="P35" s="220">
        <v>5600</v>
      </c>
      <c r="Q35" s="177">
        <f t="shared" si="12"/>
        <v>-150</v>
      </c>
      <c r="R35" s="177">
        <f t="shared" si="12"/>
        <v>-150</v>
      </c>
      <c r="S35" s="177"/>
      <c r="T35" s="177">
        <f t="shared" si="16"/>
        <v>150</v>
      </c>
      <c r="U35" s="454">
        <f>V35</f>
        <v>5600</v>
      </c>
      <c r="V35" s="454">
        <v>5600</v>
      </c>
      <c r="W35" s="177">
        <f t="shared" si="13"/>
        <v>4600</v>
      </c>
      <c r="X35" s="177">
        <v>4600</v>
      </c>
      <c r="Y35" s="177">
        <f t="shared" si="14"/>
        <v>1007</v>
      </c>
      <c r="Z35" s="177">
        <v>1007</v>
      </c>
      <c r="AA35" s="177"/>
      <c r="AB35" s="177"/>
      <c r="AC35" s="177"/>
      <c r="AD35" s="177"/>
      <c r="AE35" s="177"/>
      <c r="AF35" s="177"/>
      <c r="AG35" s="177"/>
      <c r="AH35" s="177"/>
      <c r="AI35" s="185"/>
      <c r="AJ35" s="173">
        <f t="shared" si="2"/>
        <v>1</v>
      </c>
      <c r="AL35" s="934"/>
    </row>
    <row r="36" spans="1:38" ht="49.5" x14ac:dyDescent="0.25">
      <c r="A36" s="221">
        <v>9</v>
      </c>
      <c r="B36" s="231" t="s">
        <v>1834</v>
      </c>
      <c r="C36" s="230" t="s">
        <v>1713</v>
      </c>
      <c r="D36" s="230" t="s">
        <v>1833</v>
      </c>
      <c r="E36" s="230" t="s">
        <v>199</v>
      </c>
      <c r="F36" s="226" t="s">
        <v>1832</v>
      </c>
      <c r="G36" s="212">
        <v>2557</v>
      </c>
      <c r="H36" s="229">
        <f t="shared" si="9"/>
        <v>2557</v>
      </c>
      <c r="I36" s="177"/>
      <c r="J36" s="177"/>
      <c r="K36" s="177"/>
      <c r="L36" s="177"/>
      <c r="M36" s="177">
        <v>2270</v>
      </c>
      <c r="N36" s="177">
        <f t="shared" si="10"/>
        <v>2270</v>
      </c>
      <c r="O36" s="220">
        <v>2200</v>
      </c>
      <c r="P36" s="220">
        <f t="shared" ref="P36:P48" si="17">O36</f>
        <v>2200</v>
      </c>
      <c r="Q36" s="177">
        <f t="shared" si="12"/>
        <v>-70</v>
      </c>
      <c r="R36" s="177">
        <f t="shared" si="12"/>
        <v>-70</v>
      </c>
      <c r="S36" s="177"/>
      <c r="T36" s="177">
        <f t="shared" si="16"/>
        <v>70</v>
      </c>
      <c r="U36" s="454">
        <v>2200</v>
      </c>
      <c r="V36" s="454">
        <v>2200</v>
      </c>
      <c r="W36" s="177">
        <f t="shared" si="13"/>
        <v>2200</v>
      </c>
      <c r="X36" s="177">
        <v>2200</v>
      </c>
      <c r="Y36" s="177">
        <f t="shared" si="14"/>
        <v>0</v>
      </c>
      <c r="Z36" s="177">
        <v>0</v>
      </c>
      <c r="AA36" s="177"/>
      <c r="AB36" s="177"/>
      <c r="AC36" s="177"/>
      <c r="AD36" s="177"/>
      <c r="AE36" s="177"/>
      <c r="AF36" s="177"/>
      <c r="AG36" s="177"/>
      <c r="AH36" s="177"/>
      <c r="AI36" s="185"/>
      <c r="AJ36" s="173">
        <f t="shared" si="2"/>
        <v>1</v>
      </c>
      <c r="AL36" s="934"/>
    </row>
    <row r="37" spans="1:38" ht="49.5" x14ac:dyDescent="0.25">
      <c r="A37" s="221">
        <v>10</v>
      </c>
      <c r="B37" s="231" t="s">
        <v>1831</v>
      </c>
      <c r="C37" s="230" t="s">
        <v>1713</v>
      </c>
      <c r="D37" s="230" t="s">
        <v>1830</v>
      </c>
      <c r="E37" s="230" t="s">
        <v>199</v>
      </c>
      <c r="F37" s="226" t="s">
        <v>1829</v>
      </c>
      <c r="G37" s="212">
        <v>7209</v>
      </c>
      <c r="H37" s="229">
        <f t="shared" si="9"/>
        <v>7209</v>
      </c>
      <c r="I37" s="426"/>
      <c r="J37" s="177"/>
      <c r="K37" s="177"/>
      <c r="L37" s="177"/>
      <c r="M37" s="177">
        <v>6400</v>
      </c>
      <c r="N37" s="177">
        <f t="shared" si="10"/>
        <v>6400</v>
      </c>
      <c r="O37" s="220">
        <v>6100</v>
      </c>
      <c r="P37" s="220">
        <f t="shared" si="17"/>
        <v>6100</v>
      </c>
      <c r="Q37" s="177">
        <f t="shared" si="12"/>
        <v>-300</v>
      </c>
      <c r="R37" s="177">
        <f t="shared" si="12"/>
        <v>-300</v>
      </c>
      <c r="S37" s="177"/>
      <c r="T37" s="177">
        <f t="shared" si="16"/>
        <v>300</v>
      </c>
      <c r="U37" s="454">
        <v>6100</v>
      </c>
      <c r="V37" s="454">
        <v>6100</v>
      </c>
      <c r="W37" s="177">
        <f t="shared" si="13"/>
        <v>5000</v>
      </c>
      <c r="X37" s="177">
        <v>5000</v>
      </c>
      <c r="Y37" s="177">
        <f t="shared" si="14"/>
        <v>1100</v>
      </c>
      <c r="Z37" s="177">
        <v>1100</v>
      </c>
      <c r="AA37" s="177"/>
      <c r="AB37" s="177"/>
      <c r="AC37" s="177"/>
      <c r="AD37" s="177"/>
      <c r="AE37" s="177"/>
      <c r="AF37" s="177"/>
      <c r="AG37" s="177"/>
      <c r="AH37" s="177"/>
      <c r="AI37" s="185"/>
      <c r="AJ37" s="173">
        <f t="shared" si="2"/>
        <v>1</v>
      </c>
      <c r="AL37" s="934"/>
    </row>
    <row r="38" spans="1:38" ht="49.5" x14ac:dyDescent="0.25">
      <c r="A38" s="221">
        <v>11</v>
      </c>
      <c r="B38" s="231" t="s">
        <v>1828</v>
      </c>
      <c r="C38" s="230" t="s">
        <v>1713</v>
      </c>
      <c r="D38" s="230" t="s">
        <v>1827</v>
      </c>
      <c r="E38" s="226">
        <v>2016</v>
      </c>
      <c r="F38" s="226" t="s">
        <v>1826</v>
      </c>
      <c r="G38" s="385">
        <v>1946</v>
      </c>
      <c r="H38" s="229">
        <f t="shared" si="9"/>
        <v>1946</v>
      </c>
      <c r="I38" s="360"/>
      <c r="J38" s="360"/>
      <c r="K38" s="360"/>
      <c r="L38" s="360"/>
      <c r="M38" s="385">
        <v>1750</v>
      </c>
      <c r="N38" s="177">
        <f t="shared" si="10"/>
        <v>1750</v>
      </c>
      <c r="O38" s="231">
        <v>1650</v>
      </c>
      <c r="P38" s="220">
        <f t="shared" si="17"/>
        <v>1650</v>
      </c>
      <c r="Q38" s="177">
        <f t="shared" si="12"/>
        <v>-100</v>
      </c>
      <c r="R38" s="177">
        <f t="shared" si="12"/>
        <v>-100</v>
      </c>
      <c r="S38" s="177"/>
      <c r="T38" s="177">
        <f t="shared" si="16"/>
        <v>100</v>
      </c>
      <c r="U38" s="455">
        <v>1650</v>
      </c>
      <c r="V38" s="454">
        <v>1650</v>
      </c>
      <c r="W38" s="177">
        <f t="shared" si="13"/>
        <v>1200</v>
      </c>
      <c r="X38" s="177">
        <v>1200</v>
      </c>
      <c r="Y38" s="177">
        <f t="shared" si="14"/>
        <v>448</v>
      </c>
      <c r="Z38" s="177">
        <v>448</v>
      </c>
      <c r="AA38" s="177"/>
      <c r="AB38" s="177"/>
      <c r="AC38" s="177"/>
      <c r="AD38" s="177"/>
      <c r="AE38" s="177"/>
      <c r="AF38" s="177"/>
      <c r="AG38" s="177"/>
      <c r="AH38" s="177"/>
      <c r="AI38" s="359"/>
      <c r="AJ38" s="173">
        <f t="shared" si="2"/>
        <v>1</v>
      </c>
      <c r="AL38" s="934"/>
    </row>
    <row r="39" spans="1:38" ht="115.5" x14ac:dyDescent="0.25">
      <c r="A39" s="221">
        <v>12</v>
      </c>
      <c r="B39" s="231" t="s">
        <v>1825</v>
      </c>
      <c r="C39" s="230" t="s">
        <v>1713</v>
      </c>
      <c r="D39" s="230" t="s">
        <v>1824</v>
      </c>
      <c r="E39" s="230" t="s">
        <v>97</v>
      </c>
      <c r="F39" s="226" t="s">
        <v>1823</v>
      </c>
      <c r="G39" s="212">
        <v>8073</v>
      </c>
      <c r="H39" s="229">
        <f t="shared" si="9"/>
        <v>8073</v>
      </c>
      <c r="I39" s="177"/>
      <c r="J39" s="177"/>
      <c r="K39" s="177"/>
      <c r="L39" s="177"/>
      <c r="M39" s="212">
        <v>7170</v>
      </c>
      <c r="N39" s="177">
        <f t="shared" si="10"/>
        <v>7170</v>
      </c>
      <c r="O39" s="183">
        <v>6880</v>
      </c>
      <c r="P39" s="220">
        <f t="shared" si="17"/>
        <v>6880</v>
      </c>
      <c r="Q39" s="177">
        <f t="shared" si="12"/>
        <v>-290</v>
      </c>
      <c r="R39" s="177">
        <f t="shared" si="12"/>
        <v>-290</v>
      </c>
      <c r="S39" s="177"/>
      <c r="T39" s="177">
        <f t="shared" si="16"/>
        <v>290</v>
      </c>
      <c r="U39" s="454">
        <v>6880</v>
      </c>
      <c r="V39" s="454">
        <v>6880</v>
      </c>
      <c r="W39" s="177">
        <f t="shared" si="13"/>
        <v>3150</v>
      </c>
      <c r="X39" s="177">
        <v>3150</v>
      </c>
      <c r="Y39" s="177">
        <f t="shared" si="14"/>
        <v>3724</v>
      </c>
      <c r="Z39" s="177">
        <v>3724</v>
      </c>
      <c r="AA39" s="177"/>
      <c r="AB39" s="177"/>
      <c r="AC39" s="177"/>
      <c r="AD39" s="177"/>
      <c r="AE39" s="177"/>
      <c r="AF39" s="177"/>
      <c r="AG39" s="177"/>
      <c r="AH39" s="177"/>
      <c r="AI39" s="185"/>
      <c r="AJ39" s="173">
        <f t="shared" si="2"/>
        <v>1</v>
      </c>
      <c r="AL39" s="934"/>
    </row>
    <row r="40" spans="1:38" ht="115.5" x14ac:dyDescent="0.25">
      <c r="A40" s="221">
        <v>13</v>
      </c>
      <c r="B40" s="231" t="s">
        <v>1822</v>
      </c>
      <c r="C40" s="230" t="s">
        <v>1713</v>
      </c>
      <c r="D40" s="230" t="s">
        <v>1821</v>
      </c>
      <c r="E40" s="230" t="s">
        <v>97</v>
      </c>
      <c r="F40" s="226" t="s">
        <v>1820</v>
      </c>
      <c r="G40" s="212">
        <v>4532</v>
      </c>
      <c r="H40" s="229">
        <f t="shared" si="9"/>
        <v>4532</v>
      </c>
      <c r="I40" s="177"/>
      <c r="J40" s="177"/>
      <c r="K40" s="177"/>
      <c r="L40" s="177"/>
      <c r="M40" s="212">
        <v>4020</v>
      </c>
      <c r="N40" s="177">
        <f t="shared" si="10"/>
        <v>4020</v>
      </c>
      <c r="O40" s="183">
        <v>3700</v>
      </c>
      <c r="P40" s="220">
        <f t="shared" si="17"/>
        <v>3700</v>
      </c>
      <c r="Q40" s="177">
        <f t="shared" si="12"/>
        <v>-320</v>
      </c>
      <c r="R40" s="177">
        <f t="shared" si="12"/>
        <v>-320</v>
      </c>
      <c r="S40" s="177"/>
      <c r="T40" s="177">
        <f t="shared" si="16"/>
        <v>320</v>
      </c>
      <c r="U40" s="454">
        <v>3700</v>
      </c>
      <c r="V40" s="454">
        <v>3700</v>
      </c>
      <c r="W40" s="177">
        <f t="shared" si="13"/>
        <v>1700</v>
      </c>
      <c r="X40" s="177">
        <v>1700</v>
      </c>
      <c r="Y40" s="177">
        <f t="shared" si="14"/>
        <v>2001</v>
      </c>
      <c r="Z40" s="177">
        <v>2001</v>
      </c>
      <c r="AA40" s="177"/>
      <c r="AB40" s="177"/>
      <c r="AC40" s="177"/>
      <c r="AD40" s="177"/>
      <c r="AE40" s="177"/>
      <c r="AF40" s="177"/>
      <c r="AG40" s="177"/>
      <c r="AH40" s="177"/>
      <c r="AI40" s="198"/>
      <c r="AJ40" s="173">
        <f t="shared" si="2"/>
        <v>1</v>
      </c>
      <c r="AL40" s="934"/>
    </row>
    <row r="41" spans="1:38" ht="115.5" x14ac:dyDescent="0.25">
      <c r="A41" s="221">
        <v>14</v>
      </c>
      <c r="B41" s="231" t="s">
        <v>1819</v>
      </c>
      <c r="C41" s="230" t="s">
        <v>1713</v>
      </c>
      <c r="D41" s="230" t="s">
        <v>1818</v>
      </c>
      <c r="E41" s="230" t="s">
        <v>97</v>
      </c>
      <c r="F41" s="226" t="s">
        <v>1817</v>
      </c>
      <c r="G41" s="212">
        <v>5170</v>
      </c>
      <c r="H41" s="229">
        <f t="shared" si="9"/>
        <v>5170</v>
      </c>
      <c r="I41" s="177"/>
      <c r="J41" s="177"/>
      <c r="K41" s="177"/>
      <c r="L41" s="177"/>
      <c r="M41" s="212">
        <v>4590</v>
      </c>
      <c r="N41" s="177">
        <f t="shared" si="10"/>
        <v>4590</v>
      </c>
      <c r="O41" s="183">
        <v>4400</v>
      </c>
      <c r="P41" s="220">
        <f t="shared" si="17"/>
        <v>4400</v>
      </c>
      <c r="Q41" s="177">
        <f t="shared" si="12"/>
        <v>-190</v>
      </c>
      <c r="R41" s="177">
        <f t="shared" si="12"/>
        <v>-190</v>
      </c>
      <c r="S41" s="177"/>
      <c r="T41" s="177">
        <f t="shared" si="16"/>
        <v>190</v>
      </c>
      <c r="U41" s="454">
        <v>4400</v>
      </c>
      <c r="V41" s="454">
        <v>4400</v>
      </c>
      <c r="W41" s="177">
        <f t="shared" si="13"/>
        <v>2000</v>
      </c>
      <c r="X41" s="177">
        <v>2000</v>
      </c>
      <c r="Y41" s="177">
        <f t="shared" si="14"/>
        <v>2401</v>
      </c>
      <c r="Z41" s="177">
        <v>2401</v>
      </c>
      <c r="AA41" s="177"/>
      <c r="AB41" s="177"/>
      <c r="AC41" s="177"/>
      <c r="AD41" s="177"/>
      <c r="AE41" s="177"/>
      <c r="AF41" s="177"/>
      <c r="AG41" s="177"/>
      <c r="AH41" s="177"/>
      <c r="AI41" s="198"/>
      <c r="AJ41" s="173">
        <f t="shared" si="2"/>
        <v>1</v>
      </c>
      <c r="AL41" s="934"/>
    </row>
    <row r="42" spans="1:38" ht="115.5" x14ac:dyDescent="0.25">
      <c r="A42" s="221">
        <v>15</v>
      </c>
      <c r="B42" s="231" t="s">
        <v>1816</v>
      </c>
      <c r="C42" s="230" t="s">
        <v>1713</v>
      </c>
      <c r="D42" s="230" t="s">
        <v>1815</v>
      </c>
      <c r="E42" s="230" t="s">
        <v>97</v>
      </c>
      <c r="F42" s="226" t="s">
        <v>1814</v>
      </c>
      <c r="G42" s="212">
        <v>2413</v>
      </c>
      <c r="H42" s="229">
        <f t="shared" si="9"/>
        <v>2413</v>
      </c>
      <c r="I42" s="177"/>
      <c r="J42" s="177"/>
      <c r="K42" s="177"/>
      <c r="L42" s="177"/>
      <c r="M42" s="212">
        <v>2140</v>
      </c>
      <c r="N42" s="177">
        <f t="shared" si="10"/>
        <v>2140</v>
      </c>
      <c r="O42" s="183">
        <v>1950</v>
      </c>
      <c r="P42" s="220">
        <f t="shared" si="17"/>
        <v>1950</v>
      </c>
      <c r="Q42" s="177">
        <f t="shared" si="12"/>
        <v>-190</v>
      </c>
      <c r="R42" s="177">
        <f t="shared" si="12"/>
        <v>-190</v>
      </c>
      <c r="S42" s="177"/>
      <c r="T42" s="177">
        <f t="shared" si="16"/>
        <v>190</v>
      </c>
      <c r="U42" s="454">
        <v>1950</v>
      </c>
      <c r="V42" s="454">
        <v>1950</v>
      </c>
      <c r="W42" s="177">
        <f t="shared" si="13"/>
        <v>1000</v>
      </c>
      <c r="X42" s="177">
        <v>1000</v>
      </c>
      <c r="Y42" s="177">
        <f t="shared" si="14"/>
        <v>946</v>
      </c>
      <c r="Z42" s="177">
        <v>946</v>
      </c>
      <c r="AA42" s="177"/>
      <c r="AB42" s="177"/>
      <c r="AC42" s="177"/>
      <c r="AD42" s="177"/>
      <c r="AE42" s="177"/>
      <c r="AF42" s="177"/>
      <c r="AG42" s="177"/>
      <c r="AH42" s="177"/>
      <c r="AI42" s="185"/>
      <c r="AJ42" s="173">
        <f t="shared" si="2"/>
        <v>1</v>
      </c>
      <c r="AL42" s="934"/>
    </row>
    <row r="43" spans="1:38" ht="49.5" x14ac:dyDescent="0.25">
      <c r="A43" s="221">
        <v>16</v>
      </c>
      <c r="B43" s="231" t="s">
        <v>1813</v>
      </c>
      <c r="C43" s="230" t="s">
        <v>1709</v>
      </c>
      <c r="D43" s="230" t="s">
        <v>1812</v>
      </c>
      <c r="E43" s="230" t="s">
        <v>97</v>
      </c>
      <c r="F43" s="226" t="s">
        <v>1811</v>
      </c>
      <c r="G43" s="212">
        <v>1490</v>
      </c>
      <c r="H43" s="229">
        <f t="shared" si="9"/>
        <v>1490</v>
      </c>
      <c r="I43" s="177"/>
      <c r="J43" s="177"/>
      <c r="K43" s="177"/>
      <c r="L43" s="177"/>
      <c r="M43" s="212">
        <v>1420</v>
      </c>
      <c r="N43" s="177">
        <f t="shared" si="10"/>
        <v>1420</v>
      </c>
      <c r="O43" s="183">
        <v>1360</v>
      </c>
      <c r="P43" s="220">
        <f t="shared" si="17"/>
        <v>1360</v>
      </c>
      <c r="Q43" s="177">
        <f t="shared" si="12"/>
        <v>-60</v>
      </c>
      <c r="R43" s="177">
        <f t="shared" si="12"/>
        <v>-60</v>
      </c>
      <c r="S43" s="177"/>
      <c r="T43" s="177">
        <f t="shared" si="16"/>
        <v>60</v>
      </c>
      <c r="U43" s="454">
        <v>1360</v>
      </c>
      <c r="V43" s="454">
        <v>1360</v>
      </c>
      <c r="W43" s="177">
        <f t="shared" si="13"/>
        <v>700</v>
      </c>
      <c r="X43" s="177">
        <v>700</v>
      </c>
      <c r="Y43" s="177">
        <f t="shared" si="14"/>
        <v>657</v>
      </c>
      <c r="Z43" s="177">
        <v>657</v>
      </c>
      <c r="AA43" s="177"/>
      <c r="AB43" s="177"/>
      <c r="AC43" s="177"/>
      <c r="AD43" s="177"/>
      <c r="AE43" s="177"/>
      <c r="AF43" s="177"/>
      <c r="AG43" s="177"/>
      <c r="AH43" s="177"/>
      <c r="AI43" s="198"/>
      <c r="AJ43" s="173">
        <f t="shared" si="2"/>
        <v>1</v>
      </c>
      <c r="AL43" s="934"/>
    </row>
    <row r="44" spans="1:38" ht="49.5" x14ac:dyDescent="0.25">
      <c r="A44" s="221">
        <v>17</v>
      </c>
      <c r="B44" s="231" t="s">
        <v>1810</v>
      </c>
      <c r="C44" s="230" t="s">
        <v>1259</v>
      </c>
      <c r="D44" s="230" t="s">
        <v>1809</v>
      </c>
      <c r="E44" s="230" t="s">
        <v>97</v>
      </c>
      <c r="F44" s="226" t="s">
        <v>1808</v>
      </c>
      <c r="G44" s="212">
        <v>2531</v>
      </c>
      <c r="H44" s="229">
        <f t="shared" si="9"/>
        <v>2531</v>
      </c>
      <c r="I44" s="177"/>
      <c r="J44" s="177"/>
      <c r="K44" s="177"/>
      <c r="L44" s="177"/>
      <c r="M44" s="212">
        <v>2180</v>
      </c>
      <c r="N44" s="177">
        <f t="shared" si="10"/>
        <v>2180</v>
      </c>
      <c r="O44" s="183">
        <v>2060</v>
      </c>
      <c r="P44" s="220">
        <f t="shared" si="17"/>
        <v>2060</v>
      </c>
      <c r="Q44" s="177">
        <f t="shared" si="12"/>
        <v>-120</v>
      </c>
      <c r="R44" s="177">
        <f t="shared" si="12"/>
        <v>-120</v>
      </c>
      <c r="S44" s="177"/>
      <c r="T44" s="177">
        <f t="shared" si="16"/>
        <v>120</v>
      </c>
      <c r="U44" s="454">
        <v>2060</v>
      </c>
      <c r="V44" s="454">
        <v>2060</v>
      </c>
      <c r="W44" s="177">
        <f t="shared" si="13"/>
        <v>1000</v>
      </c>
      <c r="X44" s="177">
        <v>1000</v>
      </c>
      <c r="Y44" s="177">
        <f t="shared" si="14"/>
        <v>1060</v>
      </c>
      <c r="Z44" s="177">
        <v>1060</v>
      </c>
      <c r="AA44" s="177"/>
      <c r="AB44" s="177"/>
      <c r="AC44" s="177"/>
      <c r="AD44" s="177"/>
      <c r="AE44" s="177"/>
      <c r="AF44" s="177"/>
      <c r="AG44" s="177"/>
      <c r="AH44" s="177"/>
      <c r="AI44" s="198"/>
      <c r="AJ44" s="173">
        <f t="shared" si="2"/>
        <v>1</v>
      </c>
      <c r="AL44" s="934"/>
    </row>
    <row r="45" spans="1:38" ht="115.5" x14ac:dyDescent="0.25">
      <c r="A45" s="221">
        <v>18</v>
      </c>
      <c r="B45" s="231" t="s">
        <v>1807</v>
      </c>
      <c r="C45" s="230" t="s">
        <v>1806</v>
      </c>
      <c r="D45" s="230" t="s">
        <v>1805</v>
      </c>
      <c r="E45" s="230" t="s">
        <v>97</v>
      </c>
      <c r="F45" s="226" t="s">
        <v>1804</v>
      </c>
      <c r="G45" s="385">
        <v>1996</v>
      </c>
      <c r="H45" s="229">
        <f t="shared" si="9"/>
        <v>1996</v>
      </c>
      <c r="I45" s="177"/>
      <c r="J45" s="177"/>
      <c r="K45" s="177"/>
      <c r="L45" s="177"/>
      <c r="M45" s="385">
        <v>1770</v>
      </c>
      <c r="N45" s="177">
        <f t="shared" si="10"/>
        <v>1770</v>
      </c>
      <c r="O45" s="231">
        <v>1660</v>
      </c>
      <c r="P45" s="220">
        <f t="shared" si="17"/>
        <v>1660</v>
      </c>
      <c r="Q45" s="177">
        <f t="shared" si="12"/>
        <v>-110</v>
      </c>
      <c r="R45" s="177">
        <f t="shared" si="12"/>
        <v>-110</v>
      </c>
      <c r="S45" s="177"/>
      <c r="T45" s="177">
        <f t="shared" si="16"/>
        <v>110</v>
      </c>
      <c r="U45" s="455">
        <v>1660</v>
      </c>
      <c r="V45" s="454">
        <v>1660</v>
      </c>
      <c r="W45" s="177">
        <f t="shared" si="13"/>
        <v>950</v>
      </c>
      <c r="X45" s="177">
        <v>950</v>
      </c>
      <c r="Y45" s="177">
        <f t="shared" si="14"/>
        <v>707</v>
      </c>
      <c r="Z45" s="177">
        <v>707</v>
      </c>
      <c r="AA45" s="177"/>
      <c r="AB45" s="177"/>
      <c r="AC45" s="177"/>
      <c r="AD45" s="177"/>
      <c r="AE45" s="177"/>
      <c r="AF45" s="177"/>
      <c r="AG45" s="177"/>
      <c r="AH45" s="177"/>
      <c r="AI45" s="198"/>
      <c r="AJ45" s="173">
        <f t="shared" si="2"/>
        <v>1</v>
      </c>
      <c r="AL45" s="934"/>
    </row>
    <row r="46" spans="1:38" ht="33" x14ac:dyDescent="0.25">
      <c r="A46" s="221">
        <v>19</v>
      </c>
      <c r="B46" s="358" t="s">
        <v>1803</v>
      </c>
      <c r="C46" s="230"/>
      <c r="D46" s="182" t="s">
        <v>1802</v>
      </c>
      <c r="E46" s="230" t="s">
        <v>109</v>
      </c>
      <c r="F46" s="226"/>
      <c r="G46" s="179">
        <v>2612</v>
      </c>
      <c r="H46" s="229">
        <f t="shared" si="9"/>
        <v>2612</v>
      </c>
      <c r="I46" s="177"/>
      <c r="J46" s="177"/>
      <c r="K46" s="177"/>
      <c r="L46" s="177"/>
      <c r="M46" s="179">
        <v>2460</v>
      </c>
      <c r="N46" s="177">
        <f t="shared" si="10"/>
        <v>2460</v>
      </c>
      <c r="O46" s="178">
        <v>1490</v>
      </c>
      <c r="P46" s="220">
        <f t="shared" si="17"/>
        <v>1490</v>
      </c>
      <c r="Q46" s="177">
        <f t="shared" si="12"/>
        <v>-970</v>
      </c>
      <c r="R46" s="177">
        <f t="shared" si="12"/>
        <v>-970</v>
      </c>
      <c r="S46" s="177"/>
      <c r="T46" s="177">
        <f t="shared" si="16"/>
        <v>970</v>
      </c>
      <c r="U46" s="456">
        <v>1490</v>
      </c>
      <c r="V46" s="454">
        <v>1490</v>
      </c>
      <c r="W46" s="177"/>
      <c r="X46" s="177"/>
      <c r="Y46" s="177">
        <f t="shared" si="14"/>
        <v>1488</v>
      </c>
      <c r="Z46" s="177">
        <v>1488</v>
      </c>
      <c r="AA46" s="177"/>
      <c r="AB46" s="177"/>
      <c r="AC46" s="177"/>
      <c r="AD46" s="177"/>
      <c r="AE46" s="177"/>
      <c r="AF46" s="177"/>
      <c r="AG46" s="177"/>
      <c r="AH46" s="177"/>
      <c r="AI46" s="198"/>
      <c r="AJ46" s="173">
        <f t="shared" si="2"/>
        <v>1</v>
      </c>
      <c r="AL46" s="934"/>
    </row>
    <row r="47" spans="1:38" ht="33" x14ac:dyDescent="0.25">
      <c r="A47" s="221">
        <v>20</v>
      </c>
      <c r="B47" s="358" t="s">
        <v>1801</v>
      </c>
      <c r="C47" s="230"/>
      <c r="D47" s="182" t="s">
        <v>1800</v>
      </c>
      <c r="E47" s="230" t="s">
        <v>109</v>
      </c>
      <c r="F47" s="226"/>
      <c r="G47" s="225">
        <v>803</v>
      </c>
      <c r="H47" s="229">
        <f t="shared" si="9"/>
        <v>803</v>
      </c>
      <c r="I47" s="265"/>
      <c r="J47" s="265"/>
      <c r="K47" s="265"/>
      <c r="L47" s="265"/>
      <c r="M47" s="179">
        <v>760</v>
      </c>
      <c r="N47" s="177">
        <f t="shared" si="10"/>
        <v>760</v>
      </c>
      <c r="O47" s="178">
        <v>760</v>
      </c>
      <c r="P47" s="220">
        <f t="shared" si="17"/>
        <v>760</v>
      </c>
      <c r="Q47" s="177">
        <f t="shared" si="12"/>
        <v>0</v>
      </c>
      <c r="R47" s="177">
        <f t="shared" si="12"/>
        <v>0</v>
      </c>
      <c r="S47" s="177"/>
      <c r="T47" s="177">
        <f t="shared" si="16"/>
        <v>0</v>
      </c>
      <c r="U47" s="456">
        <v>760</v>
      </c>
      <c r="V47" s="454">
        <v>760</v>
      </c>
      <c r="W47" s="177"/>
      <c r="X47" s="177"/>
      <c r="Y47" s="177">
        <f t="shared" si="14"/>
        <v>765</v>
      </c>
      <c r="Z47" s="177">
        <v>765</v>
      </c>
      <c r="AA47" s="177"/>
      <c r="AB47" s="177"/>
      <c r="AC47" s="177"/>
      <c r="AD47" s="177"/>
      <c r="AE47" s="177"/>
      <c r="AF47" s="177"/>
      <c r="AG47" s="177"/>
      <c r="AH47" s="177"/>
      <c r="AI47" s="219"/>
      <c r="AJ47" s="173">
        <f t="shared" si="2"/>
        <v>0</v>
      </c>
      <c r="AL47" s="934"/>
    </row>
    <row r="48" spans="1:38" s="157" customFormat="1" ht="49.5" x14ac:dyDescent="0.25">
      <c r="A48" s="152">
        <v>21</v>
      </c>
      <c r="B48" s="931" t="s">
        <v>1799</v>
      </c>
      <c r="C48" s="424"/>
      <c r="D48" s="335" t="s">
        <v>1798</v>
      </c>
      <c r="E48" s="424" t="s">
        <v>109</v>
      </c>
      <c r="F48" s="423"/>
      <c r="G48" s="932">
        <v>3500</v>
      </c>
      <c r="H48" s="422">
        <f t="shared" si="9"/>
        <v>3500</v>
      </c>
      <c r="I48" s="348"/>
      <c r="J48" s="348"/>
      <c r="K48" s="348"/>
      <c r="L48" s="348"/>
      <c r="M48" s="4">
        <v>3300</v>
      </c>
      <c r="N48" s="244">
        <f t="shared" si="10"/>
        <v>3300</v>
      </c>
      <c r="O48" s="243">
        <v>2930</v>
      </c>
      <c r="P48" s="354">
        <f t="shared" si="17"/>
        <v>2930</v>
      </c>
      <c r="Q48" s="244">
        <f t="shared" si="12"/>
        <v>-370</v>
      </c>
      <c r="R48" s="244">
        <f t="shared" si="12"/>
        <v>-370</v>
      </c>
      <c r="S48" s="244"/>
      <c r="T48" s="244">
        <f t="shared" si="16"/>
        <v>700</v>
      </c>
      <c r="U48" s="457">
        <f>V48</f>
        <v>2600</v>
      </c>
      <c r="V48" s="476">
        <v>2600</v>
      </c>
      <c r="W48" s="244"/>
      <c r="X48" s="244"/>
      <c r="Y48" s="244"/>
      <c r="Z48" s="244"/>
      <c r="AA48" s="244"/>
      <c r="AB48" s="244"/>
      <c r="AC48" s="244"/>
      <c r="AD48" s="244"/>
      <c r="AE48" s="244"/>
      <c r="AF48" s="244"/>
      <c r="AG48" s="244"/>
      <c r="AH48" s="244"/>
      <c r="AI48" s="346"/>
      <c r="AJ48" s="933">
        <f t="shared" si="2"/>
        <v>1</v>
      </c>
      <c r="AL48" s="934"/>
    </row>
    <row r="49" spans="1:38" ht="49.5" x14ac:dyDescent="0.25">
      <c r="A49" s="221">
        <v>22</v>
      </c>
      <c r="B49" s="358" t="s">
        <v>1797</v>
      </c>
      <c r="C49" s="230"/>
      <c r="D49" s="182" t="s">
        <v>1796</v>
      </c>
      <c r="E49" s="230" t="s">
        <v>109</v>
      </c>
      <c r="F49" s="226"/>
      <c r="G49" s="341">
        <f>621*4.2</f>
        <v>2608.2000000000003</v>
      </c>
      <c r="H49" s="229">
        <f t="shared" si="9"/>
        <v>2608.2000000000003</v>
      </c>
      <c r="I49" s="191"/>
      <c r="J49" s="191"/>
      <c r="K49" s="191"/>
      <c r="L49" s="191"/>
      <c r="M49" s="179">
        <v>2400</v>
      </c>
      <c r="N49" s="177">
        <f t="shared" si="10"/>
        <v>2400</v>
      </c>
      <c r="O49" s="178"/>
      <c r="P49" s="220"/>
      <c r="Q49" s="177">
        <f t="shared" si="12"/>
        <v>-2400</v>
      </c>
      <c r="R49" s="177">
        <f t="shared" si="12"/>
        <v>-2400</v>
      </c>
      <c r="S49" s="177"/>
      <c r="T49" s="177">
        <f t="shared" si="16"/>
        <v>2400</v>
      </c>
      <c r="U49" s="456"/>
      <c r="V49" s="454"/>
      <c r="W49" s="177"/>
      <c r="X49" s="177"/>
      <c r="Y49" s="177"/>
      <c r="Z49" s="177"/>
      <c r="AA49" s="177"/>
      <c r="AB49" s="177"/>
      <c r="AC49" s="177"/>
      <c r="AD49" s="177"/>
      <c r="AE49" s="177"/>
      <c r="AF49" s="177"/>
      <c r="AG49" s="177"/>
      <c r="AH49" s="177"/>
      <c r="AI49" s="425" t="s">
        <v>284</v>
      </c>
      <c r="AJ49" s="173">
        <f t="shared" si="2"/>
        <v>1</v>
      </c>
      <c r="AL49" s="934"/>
    </row>
    <row r="50" spans="1:38" ht="33" x14ac:dyDescent="0.25">
      <c r="A50" s="221">
        <v>23</v>
      </c>
      <c r="B50" s="233" t="s">
        <v>1795</v>
      </c>
      <c r="C50" s="188" t="s">
        <v>1713</v>
      </c>
      <c r="D50" s="188" t="s">
        <v>1794</v>
      </c>
      <c r="E50" s="230" t="s">
        <v>109</v>
      </c>
      <c r="F50" s="226"/>
      <c r="G50" s="341">
        <f>500*4.2</f>
        <v>2100</v>
      </c>
      <c r="H50" s="229">
        <f t="shared" si="9"/>
        <v>2100</v>
      </c>
      <c r="I50" s="200"/>
      <c r="J50" s="200"/>
      <c r="K50" s="200"/>
      <c r="L50" s="200"/>
      <c r="M50" s="179">
        <v>2000</v>
      </c>
      <c r="N50" s="177">
        <f t="shared" si="10"/>
        <v>2000</v>
      </c>
      <c r="O50" s="178">
        <v>1800</v>
      </c>
      <c r="P50" s="220">
        <f t="shared" ref="P50:P62" si="18">O50</f>
        <v>1800</v>
      </c>
      <c r="Q50" s="177">
        <f t="shared" si="12"/>
        <v>-200</v>
      </c>
      <c r="R50" s="177">
        <f t="shared" si="12"/>
        <v>-200</v>
      </c>
      <c r="S50" s="177">
        <f>V50-N50</f>
        <v>843</v>
      </c>
      <c r="T50" s="177"/>
      <c r="U50" s="456">
        <f>V50</f>
        <v>2843</v>
      </c>
      <c r="V50" s="454">
        <v>2843</v>
      </c>
      <c r="W50" s="177"/>
      <c r="X50" s="177"/>
      <c r="Y50" s="177"/>
      <c r="Z50" s="177"/>
      <c r="AA50" s="177"/>
      <c r="AB50" s="177"/>
      <c r="AC50" s="177"/>
      <c r="AD50" s="177"/>
      <c r="AE50" s="177"/>
      <c r="AF50" s="177"/>
      <c r="AG50" s="177"/>
      <c r="AH50" s="177"/>
      <c r="AI50" s="264"/>
      <c r="AJ50" s="173">
        <f t="shared" si="2"/>
        <v>1</v>
      </c>
      <c r="AL50" s="934"/>
    </row>
    <row r="51" spans="1:38" ht="33" x14ac:dyDescent="0.25">
      <c r="A51" s="221">
        <v>24</v>
      </c>
      <c r="B51" s="233" t="s">
        <v>1793</v>
      </c>
      <c r="C51" s="188" t="s">
        <v>1713</v>
      </c>
      <c r="D51" s="188" t="s">
        <v>1792</v>
      </c>
      <c r="E51" s="230" t="s">
        <v>109</v>
      </c>
      <c r="F51" s="226"/>
      <c r="G51" s="331">
        <f>H51</f>
        <v>5411</v>
      </c>
      <c r="H51" s="422">
        <v>5411</v>
      </c>
      <c r="I51" s="191"/>
      <c r="J51" s="191"/>
      <c r="K51" s="191"/>
      <c r="L51" s="191"/>
      <c r="M51" s="179">
        <v>2400</v>
      </c>
      <c r="N51" s="177">
        <f t="shared" si="10"/>
        <v>2400</v>
      </c>
      <c r="O51" s="178">
        <v>4540</v>
      </c>
      <c r="P51" s="220">
        <f t="shared" si="18"/>
        <v>4540</v>
      </c>
      <c r="Q51" s="177">
        <f t="shared" si="12"/>
        <v>2140</v>
      </c>
      <c r="R51" s="177">
        <f t="shared" si="12"/>
        <v>2140</v>
      </c>
      <c r="S51" s="177">
        <f>V51-N51</f>
        <v>1240</v>
      </c>
      <c r="T51" s="177"/>
      <c r="U51" s="456">
        <f>V51</f>
        <v>3640</v>
      </c>
      <c r="V51" s="454">
        <v>3640</v>
      </c>
      <c r="W51" s="177"/>
      <c r="X51" s="177"/>
      <c r="Y51" s="177"/>
      <c r="Z51" s="177"/>
      <c r="AA51" s="177"/>
      <c r="AB51" s="177"/>
      <c r="AC51" s="177"/>
      <c r="AD51" s="177"/>
      <c r="AE51" s="177"/>
      <c r="AF51" s="177"/>
      <c r="AG51" s="177"/>
      <c r="AH51" s="177"/>
      <c r="AI51" s="189"/>
      <c r="AJ51" s="173">
        <f t="shared" si="2"/>
        <v>1</v>
      </c>
      <c r="AL51" s="934"/>
    </row>
    <row r="52" spans="1:38" ht="33" x14ac:dyDescent="0.25">
      <c r="A52" s="221">
        <v>25</v>
      </c>
      <c r="B52" s="233" t="s">
        <v>1791</v>
      </c>
      <c r="C52" s="188" t="s">
        <v>1713</v>
      </c>
      <c r="D52" s="188" t="s">
        <v>1778</v>
      </c>
      <c r="E52" s="230" t="s">
        <v>109</v>
      </c>
      <c r="F52" s="226"/>
      <c r="G52" s="341">
        <f>1000*4.2</f>
        <v>4200</v>
      </c>
      <c r="H52" s="229">
        <f>G52</f>
        <v>4200</v>
      </c>
      <c r="I52" s="177"/>
      <c r="J52" s="177"/>
      <c r="K52" s="177"/>
      <c r="L52" s="177"/>
      <c r="M52" s="179">
        <v>4000</v>
      </c>
      <c r="N52" s="177">
        <f t="shared" si="10"/>
        <v>4000</v>
      </c>
      <c r="O52" s="178">
        <v>3530</v>
      </c>
      <c r="P52" s="220">
        <f t="shared" si="18"/>
        <v>3530</v>
      </c>
      <c r="Q52" s="177">
        <f t="shared" si="12"/>
        <v>-470</v>
      </c>
      <c r="R52" s="177">
        <f t="shared" si="12"/>
        <v>-470</v>
      </c>
      <c r="S52" s="177"/>
      <c r="T52" s="177">
        <f t="shared" si="16"/>
        <v>800</v>
      </c>
      <c r="U52" s="456">
        <f>V52</f>
        <v>3200</v>
      </c>
      <c r="V52" s="454">
        <v>3200</v>
      </c>
      <c r="W52" s="177"/>
      <c r="X52" s="177"/>
      <c r="Y52" s="177"/>
      <c r="Z52" s="177"/>
      <c r="AA52" s="177"/>
      <c r="AB52" s="177"/>
      <c r="AC52" s="177"/>
      <c r="AD52" s="177"/>
      <c r="AE52" s="177"/>
      <c r="AF52" s="177"/>
      <c r="AG52" s="177"/>
      <c r="AH52" s="177"/>
      <c r="AI52" s="198"/>
      <c r="AJ52" s="173">
        <f t="shared" si="2"/>
        <v>1</v>
      </c>
      <c r="AL52" s="934"/>
    </row>
    <row r="53" spans="1:38" ht="33" x14ac:dyDescent="0.25">
      <c r="A53" s="221">
        <v>26</v>
      </c>
      <c r="B53" s="233" t="s">
        <v>1790</v>
      </c>
      <c r="C53" s="188" t="s">
        <v>1713</v>
      </c>
      <c r="D53" s="188" t="s">
        <v>1789</v>
      </c>
      <c r="E53" s="230" t="s">
        <v>461</v>
      </c>
      <c r="F53" s="226"/>
      <c r="G53" s="341">
        <f>700*4.2</f>
        <v>2940</v>
      </c>
      <c r="H53" s="229">
        <f>G53</f>
        <v>2940</v>
      </c>
      <c r="I53" s="177"/>
      <c r="J53" s="177"/>
      <c r="K53" s="177"/>
      <c r="L53" s="177"/>
      <c r="M53" s="179">
        <v>2800</v>
      </c>
      <c r="N53" s="177">
        <f t="shared" si="10"/>
        <v>2800</v>
      </c>
      <c r="O53" s="178">
        <v>2630</v>
      </c>
      <c r="P53" s="220">
        <f t="shared" si="18"/>
        <v>2630</v>
      </c>
      <c r="Q53" s="177">
        <f t="shared" si="12"/>
        <v>-170</v>
      </c>
      <c r="R53" s="177">
        <f t="shared" si="12"/>
        <v>-170</v>
      </c>
      <c r="S53" s="177"/>
      <c r="T53" s="177">
        <f t="shared" si="16"/>
        <v>319</v>
      </c>
      <c r="U53" s="456">
        <f>V53</f>
        <v>2481</v>
      </c>
      <c r="V53" s="454">
        <v>2481</v>
      </c>
      <c r="W53" s="177"/>
      <c r="X53" s="177"/>
      <c r="Y53" s="177"/>
      <c r="Z53" s="177"/>
      <c r="AA53" s="177"/>
      <c r="AB53" s="177"/>
      <c r="AC53" s="177"/>
      <c r="AD53" s="177"/>
      <c r="AE53" s="177"/>
      <c r="AF53" s="177"/>
      <c r="AG53" s="177"/>
      <c r="AH53" s="177"/>
      <c r="AI53" s="198"/>
      <c r="AJ53" s="173">
        <f t="shared" si="2"/>
        <v>1</v>
      </c>
      <c r="AL53" s="934"/>
    </row>
    <row r="54" spans="1:38" ht="33" x14ac:dyDescent="0.25">
      <c r="A54" s="221">
        <v>27</v>
      </c>
      <c r="B54" s="233" t="s">
        <v>1788</v>
      </c>
      <c r="C54" s="188" t="s">
        <v>1713</v>
      </c>
      <c r="D54" s="188" t="s">
        <v>1787</v>
      </c>
      <c r="E54" s="230" t="s">
        <v>461</v>
      </c>
      <c r="F54" s="226"/>
      <c r="G54" s="341">
        <f>2200*4.2</f>
        <v>9240</v>
      </c>
      <c r="H54" s="229">
        <f>G54</f>
        <v>9240</v>
      </c>
      <c r="I54" s="177"/>
      <c r="J54" s="177"/>
      <c r="K54" s="177"/>
      <c r="L54" s="177"/>
      <c r="M54" s="179">
        <v>8800</v>
      </c>
      <c r="N54" s="177">
        <f t="shared" si="10"/>
        <v>8800</v>
      </c>
      <c r="O54" s="178">
        <v>8800</v>
      </c>
      <c r="P54" s="220">
        <f t="shared" si="18"/>
        <v>8800</v>
      </c>
      <c r="Q54" s="177">
        <f t="shared" si="12"/>
        <v>0</v>
      </c>
      <c r="R54" s="177">
        <f t="shared" si="12"/>
        <v>0</v>
      </c>
      <c r="S54" s="177"/>
      <c r="T54" s="177">
        <f t="shared" si="16"/>
        <v>1300</v>
      </c>
      <c r="U54" s="456">
        <f>V54</f>
        <v>7500</v>
      </c>
      <c r="V54" s="454">
        <v>7500</v>
      </c>
      <c r="W54" s="177"/>
      <c r="X54" s="177"/>
      <c r="Y54" s="177"/>
      <c r="Z54" s="177"/>
      <c r="AA54" s="177"/>
      <c r="AB54" s="177"/>
      <c r="AC54" s="177"/>
      <c r="AD54" s="177"/>
      <c r="AE54" s="177"/>
      <c r="AF54" s="177"/>
      <c r="AG54" s="177"/>
      <c r="AH54" s="177"/>
      <c r="AI54" s="198"/>
      <c r="AJ54" s="173">
        <f t="shared" si="2"/>
        <v>1</v>
      </c>
      <c r="AL54" s="934"/>
    </row>
    <row r="55" spans="1:38" ht="33" x14ac:dyDescent="0.25">
      <c r="A55" s="221">
        <v>28</v>
      </c>
      <c r="B55" s="233" t="s">
        <v>1786</v>
      </c>
      <c r="C55" s="188" t="s">
        <v>1709</v>
      </c>
      <c r="D55" s="188" t="s">
        <v>1785</v>
      </c>
      <c r="E55" s="230" t="s">
        <v>461</v>
      </c>
      <c r="F55" s="226"/>
      <c r="G55" s="341">
        <f>H55</f>
        <v>5119</v>
      </c>
      <c r="H55" s="229">
        <v>5119</v>
      </c>
      <c r="I55" s="177"/>
      <c r="J55" s="177"/>
      <c r="K55" s="177"/>
      <c r="L55" s="177"/>
      <c r="M55" s="179">
        <v>4600</v>
      </c>
      <c r="N55" s="177">
        <f t="shared" si="10"/>
        <v>4600</v>
      </c>
      <c r="O55" s="178">
        <v>4390</v>
      </c>
      <c r="P55" s="220">
        <f t="shared" si="18"/>
        <v>4390</v>
      </c>
      <c r="Q55" s="177">
        <f t="shared" si="12"/>
        <v>-210</v>
      </c>
      <c r="R55" s="177">
        <f t="shared" si="12"/>
        <v>-210</v>
      </c>
      <c r="S55" s="177"/>
      <c r="T55" s="177">
        <f t="shared" si="16"/>
        <v>210</v>
      </c>
      <c r="U55" s="456">
        <v>4390</v>
      </c>
      <c r="V55" s="454">
        <v>4390</v>
      </c>
      <c r="W55" s="177"/>
      <c r="X55" s="177"/>
      <c r="Y55" s="177">
        <f>Z55</f>
        <v>2587</v>
      </c>
      <c r="Z55" s="177">
        <v>2587</v>
      </c>
      <c r="AA55" s="177"/>
      <c r="AB55" s="177"/>
      <c r="AC55" s="177"/>
      <c r="AD55" s="177"/>
      <c r="AE55" s="177"/>
      <c r="AF55" s="177"/>
      <c r="AG55" s="177"/>
      <c r="AH55" s="177"/>
      <c r="AI55" s="198"/>
      <c r="AJ55" s="173">
        <f t="shared" si="2"/>
        <v>1</v>
      </c>
      <c r="AL55" s="934"/>
    </row>
    <row r="56" spans="1:38" ht="33" x14ac:dyDescent="0.25">
      <c r="A56" s="221">
        <v>29</v>
      </c>
      <c r="B56" s="233" t="s">
        <v>1784</v>
      </c>
      <c r="C56" s="188" t="s">
        <v>1709</v>
      </c>
      <c r="D56" s="188" t="s">
        <v>1783</v>
      </c>
      <c r="E56" s="230" t="s">
        <v>461</v>
      </c>
      <c r="F56" s="226"/>
      <c r="G56" s="341">
        <f>720*4.2</f>
        <v>3024</v>
      </c>
      <c r="H56" s="229">
        <f t="shared" ref="H56:H87" si="19">G56</f>
        <v>3024</v>
      </c>
      <c r="I56" s="177"/>
      <c r="J56" s="239"/>
      <c r="K56" s="177"/>
      <c r="L56" s="177"/>
      <c r="M56" s="179">
        <v>2800</v>
      </c>
      <c r="N56" s="177">
        <f t="shared" si="10"/>
        <v>2800</v>
      </c>
      <c r="O56" s="178">
        <v>2800</v>
      </c>
      <c r="P56" s="220">
        <f t="shared" si="18"/>
        <v>2800</v>
      </c>
      <c r="Q56" s="177">
        <f t="shared" si="12"/>
        <v>0</v>
      </c>
      <c r="R56" s="177">
        <f t="shared" si="12"/>
        <v>0</v>
      </c>
      <c r="S56" s="177"/>
      <c r="T56" s="177">
        <f t="shared" si="16"/>
        <v>0</v>
      </c>
      <c r="U56" s="456">
        <v>2800</v>
      </c>
      <c r="V56" s="454">
        <v>2800</v>
      </c>
      <c r="W56" s="177"/>
      <c r="X56" s="177"/>
      <c r="Y56" s="177"/>
      <c r="Z56" s="177"/>
      <c r="AA56" s="177"/>
      <c r="AB56" s="177"/>
      <c r="AC56" s="177"/>
      <c r="AD56" s="177"/>
      <c r="AE56" s="177"/>
      <c r="AF56" s="177"/>
      <c r="AG56" s="177"/>
      <c r="AH56" s="177"/>
      <c r="AI56" s="198"/>
      <c r="AJ56" s="173">
        <f t="shared" si="2"/>
        <v>0</v>
      </c>
      <c r="AL56" s="934"/>
    </row>
    <row r="57" spans="1:38" ht="33" x14ac:dyDescent="0.25">
      <c r="A57" s="221">
        <v>30</v>
      </c>
      <c r="B57" s="233" t="s">
        <v>1782</v>
      </c>
      <c r="C57" s="188" t="s">
        <v>1709</v>
      </c>
      <c r="D57" s="188" t="s">
        <v>1780</v>
      </c>
      <c r="E57" s="230" t="s">
        <v>461</v>
      </c>
      <c r="F57" s="226"/>
      <c r="G57" s="341">
        <f>780*4.2</f>
        <v>3276</v>
      </c>
      <c r="H57" s="229">
        <f t="shared" si="19"/>
        <v>3276</v>
      </c>
      <c r="I57" s="177"/>
      <c r="J57" s="239"/>
      <c r="K57" s="177"/>
      <c r="L57" s="177"/>
      <c r="M57" s="179">
        <v>3100</v>
      </c>
      <c r="N57" s="177">
        <f t="shared" si="10"/>
        <v>3100</v>
      </c>
      <c r="O57" s="178">
        <v>3100</v>
      </c>
      <c r="P57" s="220">
        <f t="shared" si="18"/>
        <v>3100</v>
      </c>
      <c r="Q57" s="177">
        <f t="shared" si="12"/>
        <v>0</v>
      </c>
      <c r="R57" s="177">
        <f t="shared" si="12"/>
        <v>0</v>
      </c>
      <c r="S57" s="177"/>
      <c r="T57" s="177">
        <f t="shared" si="16"/>
        <v>781</v>
      </c>
      <c r="U57" s="456">
        <f>V57</f>
        <v>2319</v>
      </c>
      <c r="V57" s="454">
        <v>2319</v>
      </c>
      <c r="W57" s="177"/>
      <c r="X57" s="177"/>
      <c r="Y57" s="177"/>
      <c r="Z57" s="177"/>
      <c r="AA57" s="177"/>
      <c r="AB57" s="177"/>
      <c r="AC57" s="177"/>
      <c r="AD57" s="177"/>
      <c r="AE57" s="177"/>
      <c r="AF57" s="177"/>
      <c r="AG57" s="177"/>
      <c r="AH57" s="177"/>
      <c r="AI57" s="198"/>
      <c r="AJ57" s="173">
        <f t="shared" si="2"/>
        <v>1</v>
      </c>
      <c r="AL57" s="934"/>
    </row>
    <row r="58" spans="1:38" ht="33" x14ac:dyDescent="0.25">
      <c r="A58" s="221">
        <v>31</v>
      </c>
      <c r="B58" s="233" t="s">
        <v>1781</v>
      </c>
      <c r="C58" s="188" t="s">
        <v>1709</v>
      </c>
      <c r="D58" s="188" t="s">
        <v>1780</v>
      </c>
      <c r="E58" s="230" t="s">
        <v>461</v>
      </c>
      <c r="F58" s="226"/>
      <c r="G58" s="341">
        <f>780*4.2</f>
        <v>3276</v>
      </c>
      <c r="H58" s="229">
        <f t="shared" si="19"/>
        <v>3276</v>
      </c>
      <c r="I58" s="177"/>
      <c r="J58" s="239"/>
      <c r="K58" s="177"/>
      <c r="L58" s="177"/>
      <c r="M58" s="179">
        <v>3100</v>
      </c>
      <c r="N58" s="177">
        <f t="shared" si="10"/>
        <v>3100</v>
      </c>
      <c r="O58" s="178">
        <v>2700</v>
      </c>
      <c r="P58" s="220">
        <f t="shared" si="18"/>
        <v>2700</v>
      </c>
      <c r="Q58" s="177">
        <f t="shared" si="12"/>
        <v>-400</v>
      </c>
      <c r="R58" s="177">
        <f t="shared" si="12"/>
        <v>-400</v>
      </c>
      <c r="S58" s="177"/>
      <c r="T58" s="177">
        <f t="shared" si="16"/>
        <v>400</v>
      </c>
      <c r="U58" s="456">
        <v>2700</v>
      </c>
      <c r="V58" s="454">
        <v>2700</v>
      </c>
      <c r="W58" s="177"/>
      <c r="X58" s="177"/>
      <c r="Y58" s="177"/>
      <c r="Z58" s="177"/>
      <c r="AA58" s="177"/>
      <c r="AB58" s="177"/>
      <c r="AC58" s="177"/>
      <c r="AD58" s="177"/>
      <c r="AE58" s="177"/>
      <c r="AF58" s="177"/>
      <c r="AG58" s="177"/>
      <c r="AH58" s="177"/>
      <c r="AI58" s="198"/>
      <c r="AJ58" s="173">
        <f t="shared" si="2"/>
        <v>1</v>
      </c>
      <c r="AL58" s="934"/>
    </row>
    <row r="59" spans="1:38" ht="33" x14ac:dyDescent="0.25">
      <c r="A59" s="221">
        <v>32</v>
      </c>
      <c r="B59" s="233" t="s">
        <v>1779</v>
      </c>
      <c r="C59" s="188" t="s">
        <v>1709</v>
      </c>
      <c r="D59" s="188" t="s">
        <v>1778</v>
      </c>
      <c r="E59" s="230" t="s">
        <v>461</v>
      </c>
      <c r="F59" s="226"/>
      <c r="G59" s="341">
        <f>1000*4.2</f>
        <v>4200</v>
      </c>
      <c r="H59" s="229">
        <f t="shared" si="19"/>
        <v>4200</v>
      </c>
      <c r="I59" s="191"/>
      <c r="J59" s="191"/>
      <c r="K59" s="191"/>
      <c r="L59" s="191"/>
      <c r="M59" s="179">
        <v>4000</v>
      </c>
      <c r="N59" s="177">
        <f t="shared" si="10"/>
        <v>4000</v>
      </c>
      <c r="O59" s="178">
        <v>4000</v>
      </c>
      <c r="P59" s="220">
        <f t="shared" si="18"/>
        <v>4000</v>
      </c>
      <c r="Q59" s="177">
        <f t="shared" si="12"/>
        <v>0</v>
      </c>
      <c r="R59" s="177">
        <f t="shared" si="12"/>
        <v>0</v>
      </c>
      <c r="S59" s="177"/>
      <c r="T59" s="177">
        <f t="shared" si="16"/>
        <v>0</v>
      </c>
      <c r="U59" s="456">
        <v>4000</v>
      </c>
      <c r="V59" s="454">
        <v>4000</v>
      </c>
      <c r="W59" s="177"/>
      <c r="X59" s="177"/>
      <c r="Y59" s="177"/>
      <c r="Z59" s="177"/>
      <c r="AA59" s="191"/>
      <c r="AB59" s="191"/>
      <c r="AC59" s="191"/>
      <c r="AD59" s="191"/>
      <c r="AE59" s="191"/>
      <c r="AF59" s="191"/>
      <c r="AG59" s="191"/>
      <c r="AH59" s="191"/>
      <c r="AI59" s="189"/>
      <c r="AJ59" s="173">
        <f t="shared" si="2"/>
        <v>0</v>
      </c>
      <c r="AL59" s="934"/>
    </row>
    <row r="60" spans="1:38" ht="33" x14ac:dyDescent="0.25">
      <c r="A60" s="221">
        <v>33</v>
      </c>
      <c r="B60" s="233" t="s">
        <v>1777</v>
      </c>
      <c r="C60" s="188" t="s">
        <v>1709</v>
      </c>
      <c r="D60" s="188" t="s">
        <v>1776</v>
      </c>
      <c r="E60" s="230" t="s">
        <v>461</v>
      </c>
      <c r="F60" s="226"/>
      <c r="G60" s="341">
        <f>1100*4.2</f>
        <v>4620</v>
      </c>
      <c r="H60" s="229">
        <f t="shared" si="19"/>
        <v>4620</v>
      </c>
      <c r="I60" s="265"/>
      <c r="J60" s="265"/>
      <c r="K60" s="265"/>
      <c r="L60" s="265"/>
      <c r="M60" s="179">
        <v>4400</v>
      </c>
      <c r="N60" s="177">
        <f t="shared" si="10"/>
        <v>4400</v>
      </c>
      <c r="O60" s="178">
        <v>4400</v>
      </c>
      <c r="P60" s="220">
        <f t="shared" si="18"/>
        <v>4400</v>
      </c>
      <c r="Q60" s="177">
        <f t="shared" ref="Q60:R91" si="20">O60-M60</f>
        <v>0</v>
      </c>
      <c r="R60" s="177">
        <f t="shared" si="20"/>
        <v>0</v>
      </c>
      <c r="S60" s="177"/>
      <c r="T60" s="177">
        <f t="shared" si="16"/>
        <v>0</v>
      </c>
      <c r="U60" s="456">
        <v>4400</v>
      </c>
      <c r="V60" s="454">
        <v>4400</v>
      </c>
      <c r="W60" s="177"/>
      <c r="X60" s="177"/>
      <c r="Y60" s="177"/>
      <c r="Z60" s="177"/>
      <c r="AA60" s="191"/>
      <c r="AB60" s="191"/>
      <c r="AC60" s="191"/>
      <c r="AD60" s="191"/>
      <c r="AE60" s="191"/>
      <c r="AF60" s="191"/>
      <c r="AG60" s="191"/>
      <c r="AH60" s="191"/>
      <c r="AI60" s="384"/>
      <c r="AJ60" s="173">
        <f t="shared" si="2"/>
        <v>0</v>
      </c>
      <c r="AL60" s="934"/>
    </row>
    <row r="61" spans="1:38" ht="33" x14ac:dyDescent="0.25">
      <c r="A61" s="221">
        <v>34</v>
      </c>
      <c r="B61" s="233" t="s">
        <v>1775</v>
      </c>
      <c r="C61" s="188" t="s">
        <v>1709</v>
      </c>
      <c r="D61" s="188" t="s">
        <v>1774</v>
      </c>
      <c r="E61" s="230" t="s">
        <v>461</v>
      </c>
      <c r="F61" s="226"/>
      <c r="G61" s="341">
        <f>970*4.2</f>
        <v>4074</v>
      </c>
      <c r="H61" s="229">
        <f t="shared" si="19"/>
        <v>4074</v>
      </c>
      <c r="I61" s="177"/>
      <c r="J61" s="177"/>
      <c r="K61" s="177"/>
      <c r="L61" s="177"/>
      <c r="M61" s="179">
        <v>3800</v>
      </c>
      <c r="N61" s="177">
        <f t="shared" si="10"/>
        <v>3800</v>
      </c>
      <c r="O61" s="178">
        <v>3800</v>
      </c>
      <c r="P61" s="220">
        <f t="shared" si="18"/>
        <v>3800</v>
      </c>
      <c r="Q61" s="177">
        <f t="shared" si="20"/>
        <v>0</v>
      </c>
      <c r="R61" s="177">
        <f t="shared" si="20"/>
        <v>0</v>
      </c>
      <c r="S61" s="177"/>
      <c r="T61" s="177">
        <f t="shared" si="16"/>
        <v>0</v>
      </c>
      <c r="U61" s="456">
        <v>3800</v>
      </c>
      <c r="V61" s="454">
        <v>3800</v>
      </c>
      <c r="W61" s="177"/>
      <c r="X61" s="177"/>
      <c r="Y61" s="177"/>
      <c r="Z61" s="177"/>
      <c r="AA61" s="177"/>
      <c r="AB61" s="177"/>
      <c r="AC61" s="177"/>
      <c r="AD61" s="177"/>
      <c r="AE61" s="177"/>
      <c r="AF61" s="177"/>
      <c r="AG61" s="177"/>
      <c r="AH61" s="177"/>
      <c r="AI61" s="198"/>
      <c r="AJ61" s="173">
        <f t="shared" si="2"/>
        <v>0</v>
      </c>
      <c r="AL61" s="934"/>
    </row>
    <row r="62" spans="1:38" ht="33" x14ac:dyDescent="0.25">
      <c r="A62" s="221">
        <v>35</v>
      </c>
      <c r="B62" s="233" t="s">
        <v>1773</v>
      </c>
      <c r="C62" s="188" t="s">
        <v>1709</v>
      </c>
      <c r="D62" s="188" t="s">
        <v>1772</v>
      </c>
      <c r="E62" s="230" t="s">
        <v>461</v>
      </c>
      <c r="F62" s="226"/>
      <c r="G62" s="341">
        <f>2800*4.2</f>
        <v>11760</v>
      </c>
      <c r="H62" s="229">
        <f t="shared" si="19"/>
        <v>11760</v>
      </c>
      <c r="I62" s="177"/>
      <c r="J62" s="177"/>
      <c r="K62" s="177"/>
      <c r="L62" s="177"/>
      <c r="M62" s="179">
        <v>11200</v>
      </c>
      <c r="N62" s="177">
        <f t="shared" si="10"/>
        <v>11200</v>
      </c>
      <c r="O62" s="178">
        <v>9000</v>
      </c>
      <c r="P62" s="220">
        <f t="shared" si="18"/>
        <v>9000</v>
      </c>
      <c r="Q62" s="177">
        <f t="shared" si="20"/>
        <v>-2200</v>
      </c>
      <c r="R62" s="177">
        <f t="shared" si="20"/>
        <v>-2200</v>
      </c>
      <c r="S62" s="177"/>
      <c r="T62" s="177">
        <f t="shared" si="16"/>
        <v>2380</v>
      </c>
      <c r="U62" s="456">
        <f>V62</f>
        <v>8820</v>
      </c>
      <c r="V62" s="454">
        <v>8820</v>
      </c>
      <c r="W62" s="177"/>
      <c r="X62" s="177"/>
      <c r="Y62" s="177"/>
      <c r="Z62" s="177"/>
      <c r="AA62" s="177"/>
      <c r="AB62" s="177"/>
      <c r="AC62" s="177"/>
      <c r="AD62" s="177"/>
      <c r="AE62" s="177"/>
      <c r="AF62" s="177"/>
      <c r="AG62" s="177"/>
      <c r="AH62" s="177"/>
      <c r="AI62" s="198"/>
      <c r="AJ62" s="173">
        <f t="shared" si="2"/>
        <v>1</v>
      </c>
      <c r="AL62" s="934"/>
    </row>
    <row r="63" spans="1:38" ht="33" x14ac:dyDescent="0.25">
      <c r="A63" s="221">
        <v>36</v>
      </c>
      <c r="B63" s="233" t="s">
        <v>1771</v>
      </c>
      <c r="C63" s="188" t="s">
        <v>1713</v>
      </c>
      <c r="D63" s="188" t="s">
        <v>1770</v>
      </c>
      <c r="E63" s="230" t="s">
        <v>461</v>
      </c>
      <c r="F63" s="226"/>
      <c r="G63" s="341">
        <f>1600*4.2</f>
        <v>6720</v>
      </c>
      <c r="H63" s="229">
        <f t="shared" si="19"/>
        <v>6720</v>
      </c>
      <c r="I63" s="177"/>
      <c r="J63" s="177"/>
      <c r="K63" s="177"/>
      <c r="L63" s="177"/>
      <c r="M63" s="179">
        <v>6400</v>
      </c>
      <c r="N63" s="177">
        <f t="shared" si="10"/>
        <v>6400</v>
      </c>
      <c r="O63" s="178"/>
      <c r="P63" s="220"/>
      <c r="Q63" s="177">
        <f t="shared" si="20"/>
        <v>-6400</v>
      </c>
      <c r="R63" s="177">
        <f t="shared" si="20"/>
        <v>-6400</v>
      </c>
      <c r="S63" s="177"/>
      <c r="T63" s="177">
        <f t="shared" si="16"/>
        <v>6400</v>
      </c>
      <c r="U63" s="456"/>
      <c r="V63" s="454"/>
      <c r="W63" s="177"/>
      <c r="X63" s="177"/>
      <c r="Y63" s="177"/>
      <c r="Z63" s="177"/>
      <c r="AA63" s="177"/>
      <c r="AB63" s="177"/>
      <c r="AC63" s="177"/>
      <c r="AD63" s="177"/>
      <c r="AE63" s="177"/>
      <c r="AF63" s="177"/>
      <c r="AG63" s="177"/>
      <c r="AH63" s="177"/>
      <c r="AI63" s="185" t="s">
        <v>1741</v>
      </c>
      <c r="AJ63" s="173">
        <f t="shared" si="2"/>
        <v>1</v>
      </c>
      <c r="AL63" s="934"/>
    </row>
    <row r="64" spans="1:38" ht="33" x14ac:dyDescent="0.25">
      <c r="A64" s="221">
        <v>37</v>
      </c>
      <c r="B64" s="233" t="s">
        <v>1769</v>
      </c>
      <c r="C64" s="188" t="s">
        <v>1713</v>
      </c>
      <c r="D64" s="188" t="s">
        <v>1768</v>
      </c>
      <c r="E64" s="230" t="s">
        <v>461</v>
      </c>
      <c r="F64" s="226"/>
      <c r="G64" s="341">
        <v>1750</v>
      </c>
      <c r="H64" s="229">
        <f t="shared" si="19"/>
        <v>1750</v>
      </c>
      <c r="I64" s="177"/>
      <c r="J64" s="177"/>
      <c r="K64" s="177"/>
      <c r="L64" s="177"/>
      <c r="M64" s="179">
        <v>1600</v>
      </c>
      <c r="N64" s="177">
        <f t="shared" si="10"/>
        <v>1600</v>
      </c>
      <c r="O64" s="178"/>
      <c r="P64" s="220"/>
      <c r="Q64" s="177">
        <f t="shared" si="20"/>
        <v>-1600</v>
      </c>
      <c r="R64" s="177">
        <f t="shared" si="20"/>
        <v>-1600</v>
      </c>
      <c r="S64" s="177"/>
      <c r="T64" s="177">
        <f t="shared" si="16"/>
        <v>1600</v>
      </c>
      <c r="U64" s="456"/>
      <c r="V64" s="454"/>
      <c r="W64" s="177"/>
      <c r="X64" s="177"/>
      <c r="Y64" s="177"/>
      <c r="Z64" s="177"/>
      <c r="AA64" s="177"/>
      <c r="AB64" s="177"/>
      <c r="AC64" s="177"/>
      <c r="AD64" s="177"/>
      <c r="AE64" s="177"/>
      <c r="AF64" s="177"/>
      <c r="AG64" s="177"/>
      <c r="AH64" s="177"/>
      <c r="AI64" s="185" t="s">
        <v>1741</v>
      </c>
      <c r="AJ64" s="173">
        <f t="shared" si="2"/>
        <v>1</v>
      </c>
      <c r="AL64" s="934"/>
    </row>
    <row r="65" spans="1:38" ht="33" x14ac:dyDescent="0.25">
      <c r="A65" s="221">
        <v>38</v>
      </c>
      <c r="B65" s="233" t="s">
        <v>1767</v>
      </c>
      <c r="C65" s="188" t="s">
        <v>1713</v>
      </c>
      <c r="D65" s="188" t="s">
        <v>1766</v>
      </c>
      <c r="E65" s="230" t="s">
        <v>461</v>
      </c>
      <c r="F65" s="226"/>
      <c r="G65" s="341">
        <v>2851</v>
      </c>
      <c r="H65" s="229">
        <f t="shared" si="19"/>
        <v>2851</v>
      </c>
      <c r="I65" s="177"/>
      <c r="J65" s="177"/>
      <c r="K65" s="177"/>
      <c r="L65" s="177"/>
      <c r="M65" s="179">
        <v>2700</v>
      </c>
      <c r="N65" s="177">
        <f t="shared" si="10"/>
        <v>2700</v>
      </c>
      <c r="O65" s="178"/>
      <c r="P65" s="220"/>
      <c r="Q65" s="177">
        <f t="shared" si="20"/>
        <v>-2700</v>
      </c>
      <c r="R65" s="177">
        <f t="shared" si="20"/>
        <v>-2700</v>
      </c>
      <c r="S65" s="177"/>
      <c r="T65" s="177">
        <f t="shared" si="16"/>
        <v>2700</v>
      </c>
      <c r="U65" s="456"/>
      <c r="V65" s="454"/>
      <c r="W65" s="177"/>
      <c r="X65" s="177"/>
      <c r="Y65" s="177"/>
      <c r="Z65" s="177"/>
      <c r="AA65" s="177"/>
      <c r="AB65" s="177"/>
      <c r="AC65" s="177"/>
      <c r="AD65" s="177"/>
      <c r="AE65" s="177"/>
      <c r="AF65" s="177"/>
      <c r="AG65" s="177"/>
      <c r="AH65" s="177"/>
      <c r="AI65" s="185" t="s">
        <v>1741</v>
      </c>
      <c r="AJ65" s="173">
        <f t="shared" si="2"/>
        <v>1</v>
      </c>
      <c r="AL65" s="934"/>
    </row>
    <row r="66" spans="1:38" ht="33" x14ac:dyDescent="0.25">
      <c r="A66" s="221">
        <v>39</v>
      </c>
      <c r="B66" s="233" t="s">
        <v>1765</v>
      </c>
      <c r="C66" s="188" t="s">
        <v>1713</v>
      </c>
      <c r="D66" s="188" t="s">
        <v>1764</v>
      </c>
      <c r="E66" s="230" t="s">
        <v>461</v>
      </c>
      <c r="F66" s="226"/>
      <c r="G66" s="341">
        <v>2839</v>
      </c>
      <c r="H66" s="229">
        <f t="shared" si="19"/>
        <v>2839</v>
      </c>
      <c r="I66" s="177"/>
      <c r="J66" s="177"/>
      <c r="K66" s="177"/>
      <c r="L66" s="177"/>
      <c r="M66" s="179">
        <v>2500</v>
      </c>
      <c r="N66" s="177">
        <f t="shared" si="10"/>
        <v>2500</v>
      </c>
      <c r="O66" s="178"/>
      <c r="P66" s="220"/>
      <c r="Q66" s="177">
        <f t="shared" si="20"/>
        <v>-2500</v>
      </c>
      <c r="R66" s="177">
        <f t="shared" si="20"/>
        <v>-2500</v>
      </c>
      <c r="S66" s="177"/>
      <c r="T66" s="177">
        <f t="shared" si="16"/>
        <v>2500</v>
      </c>
      <c r="U66" s="456"/>
      <c r="V66" s="454"/>
      <c r="W66" s="177"/>
      <c r="X66" s="177"/>
      <c r="Y66" s="177"/>
      <c r="Z66" s="177"/>
      <c r="AA66" s="177"/>
      <c r="AB66" s="177"/>
      <c r="AC66" s="177"/>
      <c r="AD66" s="177"/>
      <c r="AE66" s="177"/>
      <c r="AF66" s="177"/>
      <c r="AG66" s="177"/>
      <c r="AH66" s="177"/>
      <c r="AI66" s="185" t="s">
        <v>1741</v>
      </c>
      <c r="AJ66" s="173">
        <f t="shared" si="2"/>
        <v>1</v>
      </c>
      <c r="AL66" s="934"/>
    </row>
    <row r="67" spans="1:38" ht="33" x14ac:dyDescent="0.25">
      <c r="A67" s="221">
        <v>40</v>
      </c>
      <c r="B67" s="211" t="s">
        <v>1763</v>
      </c>
      <c r="C67" s="188"/>
      <c r="D67" s="188"/>
      <c r="E67" s="230" t="s">
        <v>290</v>
      </c>
      <c r="F67" s="226"/>
      <c r="G67" s="179">
        <v>3900</v>
      </c>
      <c r="H67" s="229">
        <f t="shared" si="19"/>
        <v>3900</v>
      </c>
      <c r="I67" s="177"/>
      <c r="J67" s="177"/>
      <c r="K67" s="177"/>
      <c r="L67" s="177"/>
      <c r="M67" s="179">
        <v>3700</v>
      </c>
      <c r="N67" s="177">
        <f t="shared" si="10"/>
        <v>3700</v>
      </c>
      <c r="O67" s="178"/>
      <c r="P67" s="220"/>
      <c r="Q67" s="177">
        <f t="shared" si="20"/>
        <v>-3700</v>
      </c>
      <c r="R67" s="177">
        <f t="shared" si="20"/>
        <v>-3700</v>
      </c>
      <c r="S67" s="177"/>
      <c r="T67" s="177">
        <f t="shared" si="16"/>
        <v>3700</v>
      </c>
      <c r="U67" s="456"/>
      <c r="V67" s="454"/>
      <c r="W67" s="177"/>
      <c r="X67" s="177"/>
      <c r="Y67" s="177"/>
      <c r="Z67" s="177"/>
      <c r="AA67" s="177"/>
      <c r="AB67" s="177"/>
      <c r="AC67" s="177"/>
      <c r="AD67" s="177"/>
      <c r="AE67" s="177"/>
      <c r="AF67" s="177"/>
      <c r="AG67" s="177"/>
      <c r="AH67" s="177"/>
      <c r="AI67" s="185" t="s">
        <v>1741</v>
      </c>
      <c r="AJ67" s="173">
        <f t="shared" si="2"/>
        <v>1</v>
      </c>
      <c r="AL67" s="934"/>
    </row>
    <row r="68" spans="1:38" ht="33" x14ac:dyDescent="0.25">
      <c r="A68" s="221">
        <v>41</v>
      </c>
      <c r="B68" s="211" t="s">
        <v>1762</v>
      </c>
      <c r="C68" s="188"/>
      <c r="D68" s="188"/>
      <c r="E68" s="230" t="s">
        <v>290</v>
      </c>
      <c r="F68" s="226"/>
      <c r="G68" s="225">
        <v>700</v>
      </c>
      <c r="H68" s="229">
        <f t="shared" si="19"/>
        <v>700</v>
      </c>
      <c r="I68" s="177"/>
      <c r="J68" s="177"/>
      <c r="K68" s="177"/>
      <c r="L68" s="177"/>
      <c r="M68" s="179">
        <v>660</v>
      </c>
      <c r="N68" s="177">
        <f t="shared" si="10"/>
        <v>660</v>
      </c>
      <c r="O68" s="178"/>
      <c r="P68" s="220"/>
      <c r="Q68" s="177">
        <f t="shared" si="20"/>
        <v>-660</v>
      </c>
      <c r="R68" s="177">
        <f t="shared" si="20"/>
        <v>-660</v>
      </c>
      <c r="S68" s="177"/>
      <c r="T68" s="177">
        <f t="shared" si="16"/>
        <v>660</v>
      </c>
      <c r="U68" s="456"/>
      <c r="V68" s="454"/>
      <c r="W68" s="177"/>
      <c r="X68" s="177"/>
      <c r="Y68" s="177"/>
      <c r="Z68" s="177"/>
      <c r="AA68" s="177"/>
      <c r="AB68" s="177"/>
      <c r="AC68" s="177"/>
      <c r="AD68" s="177"/>
      <c r="AE68" s="177"/>
      <c r="AF68" s="177"/>
      <c r="AG68" s="177"/>
      <c r="AH68" s="177"/>
      <c r="AI68" s="185" t="s">
        <v>1741</v>
      </c>
      <c r="AJ68" s="173">
        <f t="shared" si="2"/>
        <v>1</v>
      </c>
      <c r="AL68" s="934"/>
    </row>
    <row r="69" spans="1:38" ht="33" x14ac:dyDescent="0.25">
      <c r="A69" s="221">
        <v>42</v>
      </c>
      <c r="B69" s="211" t="s">
        <v>1761</v>
      </c>
      <c r="C69" s="188"/>
      <c r="D69" s="188"/>
      <c r="E69" s="230" t="s">
        <v>290</v>
      </c>
      <c r="F69" s="226"/>
      <c r="G69" s="225">
        <v>800</v>
      </c>
      <c r="H69" s="229">
        <f t="shared" si="19"/>
        <v>800</v>
      </c>
      <c r="I69" s="177"/>
      <c r="J69" s="177"/>
      <c r="K69" s="177"/>
      <c r="L69" s="177"/>
      <c r="M69" s="179">
        <v>760</v>
      </c>
      <c r="N69" s="177">
        <f t="shared" si="10"/>
        <v>760</v>
      </c>
      <c r="O69" s="178"/>
      <c r="P69" s="220"/>
      <c r="Q69" s="177">
        <f t="shared" si="20"/>
        <v>-760</v>
      </c>
      <c r="R69" s="177">
        <f t="shared" si="20"/>
        <v>-760</v>
      </c>
      <c r="S69" s="177"/>
      <c r="T69" s="177">
        <f t="shared" si="16"/>
        <v>760</v>
      </c>
      <c r="U69" s="456"/>
      <c r="V69" s="454"/>
      <c r="W69" s="177"/>
      <c r="X69" s="177"/>
      <c r="Y69" s="177"/>
      <c r="Z69" s="177"/>
      <c r="AA69" s="177"/>
      <c r="AB69" s="177"/>
      <c r="AC69" s="177"/>
      <c r="AD69" s="177"/>
      <c r="AE69" s="177"/>
      <c r="AF69" s="177"/>
      <c r="AG69" s="177"/>
      <c r="AH69" s="177"/>
      <c r="AI69" s="185" t="s">
        <v>1741</v>
      </c>
      <c r="AJ69" s="173">
        <f t="shared" si="2"/>
        <v>1</v>
      </c>
      <c r="AL69" s="934"/>
    </row>
    <row r="70" spans="1:38" ht="33" x14ac:dyDescent="0.25">
      <c r="A70" s="221">
        <v>43</v>
      </c>
      <c r="B70" s="211" t="s">
        <v>1760</v>
      </c>
      <c r="C70" s="188"/>
      <c r="D70" s="188"/>
      <c r="E70" s="230" t="s">
        <v>290</v>
      </c>
      <c r="F70" s="226"/>
      <c r="G70" s="225">
        <v>800</v>
      </c>
      <c r="H70" s="229">
        <f t="shared" si="19"/>
        <v>800</v>
      </c>
      <c r="I70" s="177"/>
      <c r="J70" s="177"/>
      <c r="K70" s="177"/>
      <c r="L70" s="177"/>
      <c r="M70" s="179">
        <v>760</v>
      </c>
      <c r="N70" s="177">
        <f t="shared" si="10"/>
        <v>760</v>
      </c>
      <c r="O70" s="178"/>
      <c r="P70" s="220"/>
      <c r="Q70" s="177">
        <f t="shared" si="20"/>
        <v>-760</v>
      </c>
      <c r="R70" s="177">
        <f t="shared" si="20"/>
        <v>-760</v>
      </c>
      <c r="S70" s="177"/>
      <c r="T70" s="177">
        <f t="shared" si="16"/>
        <v>760</v>
      </c>
      <c r="U70" s="456"/>
      <c r="V70" s="454"/>
      <c r="W70" s="177"/>
      <c r="X70" s="177"/>
      <c r="Y70" s="177"/>
      <c r="Z70" s="177"/>
      <c r="AA70" s="177"/>
      <c r="AB70" s="177"/>
      <c r="AC70" s="177"/>
      <c r="AD70" s="177"/>
      <c r="AE70" s="177"/>
      <c r="AF70" s="177"/>
      <c r="AG70" s="177"/>
      <c r="AH70" s="177"/>
      <c r="AI70" s="185" t="s">
        <v>1741</v>
      </c>
      <c r="AJ70" s="173">
        <f t="shared" si="2"/>
        <v>1</v>
      </c>
      <c r="AL70" s="934"/>
    </row>
    <row r="71" spans="1:38" ht="33" x14ac:dyDescent="0.25">
      <c r="A71" s="221">
        <v>44</v>
      </c>
      <c r="B71" s="211" t="s">
        <v>1759</v>
      </c>
      <c r="C71" s="188"/>
      <c r="D71" s="188"/>
      <c r="E71" s="230" t="s">
        <v>290</v>
      </c>
      <c r="F71" s="226"/>
      <c r="G71" s="225">
        <v>700</v>
      </c>
      <c r="H71" s="229">
        <f t="shared" si="19"/>
        <v>700</v>
      </c>
      <c r="I71" s="177"/>
      <c r="J71" s="177"/>
      <c r="K71" s="177"/>
      <c r="L71" s="177"/>
      <c r="M71" s="179">
        <v>660</v>
      </c>
      <c r="N71" s="177">
        <f t="shared" si="10"/>
        <v>660</v>
      </c>
      <c r="O71" s="178"/>
      <c r="P71" s="220"/>
      <c r="Q71" s="177">
        <f t="shared" si="20"/>
        <v>-660</v>
      </c>
      <c r="R71" s="177">
        <f t="shared" si="20"/>
        <v>-660</v>
      </c>
      <c r="S71" s="177"/>
      <c r="T71" s="177">
        <f t="shared" si="16"/>
        <v>660</v>
      </c>
      <c r="U71" s="456"/>
      <c r="V71" s="454"/>
      <c r="W71" s="177"/>
      <c r="X71" s="177"/>
      <c r="Y71" s="177"/>
      <c r="Z71" s="177"/>
      <c r="AA71" s="177"/>
      <c r="AB71" s="177"/>
      <c r="AC71" s="177"/>
      <c r="AD71" s="177"/>
      <c r="AE71" s="177"/>
      <c r="AF71" s="177"/>
      <c r="AG71" s="177"/>
      <c r="AH71" s="177"/>
      <c r="AI71" s="185" t="s">
        <v>1741</v>
      </c>
      <c r="AJ71" s="173">
        <f t="shared" si="2"/>
        <v>1</v>
      </c>
      <c r="AL71" s="934"/>
    </row>
    <row r="72" spans="1:38" ht="33" x14ac:dyDescent="0.25">
      <c r="A72" s="221">
        <v>45</v>
      </c>
      <c r="B72" s="211" t="s">
        <v>1758</v>
      </c>
      <c r="C72" s="188"/>
      <c r="D72" s="188"/>
      <c r="E72" s="230" t="s">
        <v>290</v>
      </c>
      <c r="F72" s="226"/>
      <c r="G72" s="179">
        <v>4500</v>
      </c>
      <c r="H72" s="229">
        <f t="shared" si="19"/>
        <v>4500</v>
      </c>
      <c r="I72" s="177"/>
      <c r="J72" s="177"/>
      <c r="K72" s="177"/>
      <c r="L72" s="177"/>
      <c r="M72" s="179">
        <v>4200</v>
      </c>
      <c r="N72" s="177">
        <f t="shared" si="10"/>
        <v>4200</v>
      </c>
      <c r="O72" s="178">
        <v>2000</v>
      </c>
      <c r="P72" s="220">
        <f t="shared" ref="P72:P77" si="21">O72</f>
        <v>2000</v>
      </c>
      <c r="Q72" s="177">
        <f t="shared" si="20"/>
        <v>-2200</v>
      </c>
      <c r="R72" s="177">
        <f t="shared" si="20"/>
        <v>-2200</v>
      </c>
      <c r="S72" s="177"/>
      <c r="T72" s="177">
        <f t="shared" si="16"/>
        <v>4200</v>
      </c>
      <c r="U72" s="456"/>
      <c r="V72" s="454"/>
      <c r="W72" s="177"/>
      <c r="X72" s="177"/>
      <c r="Y72" s="177"/>
      <c r="Z72" s="177"/>
      <c r="AA72" s="177"/>
      <c r="AB72" s="177"/>
      <c r="AC72" s="177"/>
      <c r="AD72" s="177"/>
      <c r="AE72" s="177"/>
      <c r="AF72" s="177"/>
      <c r="AG72" s="177"/>
      <c r="AH72" s="177"/>
      <c r="AI72" s="185" t="s">
        <v>1741</v>
      </c>
      <c r="AJ72" s="173">
        <f t="shared" si="2"/>
        <v>1</v>
      </c>
      <c r="AL72" s="934"/>
    </row>
    <row r="73" spans="1:38" ht="49.5" x14ac:dyDescent="0.25">
      <c r="A73" s="221">
        <v>46</v>
      </c>
      <c r="B73" s="211" t="s">
        <v>1757</v>
      </c>
      <c r="C73" s="188"/>
      <c r="D73" s="188"/>
      <c r="E73" s="230" t="s">
        <v>290</v>
      </c>
      <c r="F73" s="226"/>
      <c r="G73" s="179">
        <v>2200</v>
      </c>
      <c r="H73" s="229">
        <f t="shared" si="19"/>
        <v>2200</v>
      </c>
      <c r="I73" s="177"/>
      <c r="J73" s="177"/>
      <c r="K73" s="177"/>
      <c r="L73" s="177"/>
      <c r="M73" s="179">
        <v>2000</v>
      </c>
      <c r="N73" s="177">
        <f t="shared" si="10"/>
        <v>2000</v>
      </c>
      <c r="O73" s="178">
        <v>1500</v>
      </c>
      <c r="P73" s="220">
        <f t="shared" si="21"/>
        <v>1500</v>
      </c>
      <c r="Q73" s="177">
        <f t="shared" si="20"/>
        <v>-500</v>
      </c>
      <c r="R73" s="177">
        <f t="shared" si="20"/>
        <v>-500</v>
      </c>
      <c r="S73" s="177"/>
      <c r="T73" s="177">
        <f t="shared" si="16"/>
        <v>2000</v>
      </c>
      <c r="U73" s="456"/>
      <c r="V73" s="454"/>
      <c r="W73" s="177"/>
      <c r="X73" s="177"/>
      <c r="Y73" s="177"/>
      <c r="Z73" s="177"/>
      <c r="AA73" s="177"/>
      <c r="AB73" s="177"/>
      <c r="AC73" s="177"/>
      <c r="AD73" s="177"/>
      <c r="AE73" s="177"/>
      <c r="AF73" s="177"/>
      <c r="AG73" s="177"/>
      <c r="AH73" s="177"/>
      <c r="AI73" s="185" t="s">
        <v>1741</v>
      </c>
      <c r="AJ73" s="173">
        <f t="shared" si="2"/>
        <v>1</v>
      </c>
      <c r="AL73" s="934"/>
    </row>
    <row r="74" spans="1:38" ht="49.5" x14ac:dyDescent="0.25">
      <c r="A74" s="221">
        <v>47</v>
      </c>
      <c r="B74" s="211" t="s">
        <v>1756</v>
      </c>
      <c r="C74" s="188"/>
      <c r="D74" s="188"/>
      <c r="E74" s="230" t="s">
        <v>290</v>
      </c>
      <c r="F74" s="226"/>
      <c r="G74" s="179">
        <v>700</v>
      </c>
      <c r="H74" s="229">
        <f t="shared" si="19"/>
        <v>700</v>
      </c>
      <c r="I74" s="177"/>
      <c r="J74" s="177"/>
      <c r="K74" s="177"/>
      <c r="L74" s="177"/>
      <c r="M74" s="179">
        <v>660</v>
      </c>
      <c r="N74" s="177">
        <f t="shared" si="10"/>
        <v>660</v>
      </c>
      <c r="O74" s="178">
        <v>700</v>
      </c>
      <c r="P74" s="220">
        <f t="shared" si="21"/>
        <v>700</v>
      </c>
      <c r="Q74" s="177">
        <f t="shared" si="20"/>
        <v>40</v>
      </c>
      <c r="R74" s="177">
        <f t="shared" si="20"/>
        <v>40</v>
      </c>
      <c r="S74" s="177"/>
      <c r="T74" s="177">
        <f t="shared" si="16"/>
        <v>660</v>
      </c>
      <c r="U74" s="456"/>
      <c r="V74" s="454"/>
      <c r="W74" s="177"/>
      <c r="X74" s="177"/>
      <c r="Y74" s="177"/>
      <c r="Z74" s="177"/>
      <c r="AA74" s="177"/>
      <c r="AB74" s="177"/>
      <c r="AC74" s="177"/>
      <c r="AD74" s="177"/>
      <c r="AE74" s="177"/>
      <c r="AF74" s="177"/>
      <c r="AG74" s="177"/>
      <c r="AH74" s="177"/>
      <c r="AI74" s="185" t="s">
        <v>1741</v>
      </c>
      <c r="AJ74" s="173">
        <f t="shared" si="2"/>
        <v>1</v>
      </c>
      <c r="AL74" s="934"/>
    </row>
    <row r="75" spans="1:38" ht="49.5" x14ac:dyDescent="0.25">
      <c r="A75" s="221">
        <v>48</v>
      </c>
      <c r="B75" s="211" t="s">
        <v>1755</v>
      </c>
      <c r="C75" s="188"/>
      <c r="D75" s="188"/>
      <c r="E75" s="230" t="s">
        <v>290</v>
      </c>
      <c r="F75" s="226"/>
      <c r="G75" s="179">
        <v>1100</v>
      </c>
      <c r="H75" s="229">
        <f t="shared" si="19"/>
        <v>1100</v>
      </c>
      <c r="I75" s="177"/>
      <c r="J75" s="177"/>
      <c r="K75" s="177"/>
      <c r="L75" s="177"/>
      <c r="M75" s="179">
        <v>1000</v>
      </c>
      <c r="N75" s="177">
        <f t="shared" si="10"/>
        <v>1000</v>
      </c>
      <c r="O75" s="178">
        <v>1000</v>
      </c>
      <c r="P75" s="220">
        <f t="shared" si="21"/>
        <v>1000</v>
      </c>
      <c r="Q75" s="177">
        <f t="shared" si="20"/>
        <v>0</v>
      </c>
      <c r="R75" s="177">
        <f t="shared" si="20"/>
        <v>0</v>
      </c>
      <c r="S75" s="177"/>
      <c r="T75" s="177">
        <f t="shared" si="16"/>
        <v>1000</v>
      </c>
      <c r="U75" s="456"/>
      <c r="V75" s="454"/>
      <c r="W75" s="177"/>
      <c r="X75" s="177"/>
      <c r="Y75" s="177"/>
      <c r="Z75" s="177"/>
      <c r="AA75" s="177"/>
      <c r="AB75" s="177"/>
      <c r="AC75" s="177"/>
      <c r="AD75" s="177"/>
      <c r="AE75" s="177"/>
      <c r="AF75" s="177"/>
      <c r="AG75" s="177"/>
      <c r="AH75" s="177"/>
      <c r="AI75" s="185" t="s">
        <v>1741</v>
      </c>
      <c r="AJ75" s="173">
        <f t="shared" si="2"/>
        <v>1</v>
      </c>
      <c r="AL75" s="934"/>
    </row>
    <row r="76" spans="1:38" ht="33" x14ac:dyDescent="0.25">
      <c r="A76" s="221">
        <v>49</v>
      </c>
      <c r="B76" s="211" t="s">
        <v>1754</v>
      </c>
      <c r="C76" s="188"/>
      <c r="D76" s="188"/>
      <c r="E76" s="230" t="s">
        <v>290</v>
      </c>
      <c r="F76" s="226"/>
      <c r="G76" s="179">
        <v>1600</v>
      </c>
      <c r="H76" s="229">
        <f t="shared" si="19"/>
        <v>1600</v>
      </c>
      <c r="I76" s="177"/>
      <c r="J76" s="177"/>
      <c r="K76" s="177"/>
      <c r="L76" s="177"/>
      <c r="M76" s="179">
        <v>1500</v>
      </c>
      <c r="N76" s="177">
        <f t="shared" si="10"/>
        <v>1500</v>
      </c>
      <c r="O76" s="178">
        <v>1500</v>
      </c>
      <c r="P76" s="220">
        <f t="shared" si="21"/>
        <v>1500</v>
      </c>
      <c r="Q76" s="177">
        <f t="shared" si="20"/>
        <v>0</v>
      </c>
      <c r="R76" s="177">
        <f t="shared" si="20"/>
        <v>0</v>
      </c>
      <c r="S76" s="176"/>
      <c r="T76" s="177">
        <f t="shared" si="16"/>
        <v>1500</v>
      </c>
      <c r="U76" s="456"/>
      <c r="V76" s="454"/>
      <c r="W76" s="177"/>
      <c r="X76" s="177"/>
      <c r="Y76" s="177"/>
      <c r="Z76" s="177"/>
      <c r="AA76" s="177"/>
      <c r="AB76" s="177"/>
      <c r="AC76" s="177"/>
      <c r="AD76" s="177"/>
      <c r="AE76" s="177"/>
      <c r="AF76" s="177"/>
      <c r="AG76" s="177"/>
      <c r="AH76" s="177"/>
      <c r="AI76" s="185" t="s">
        <v>1741</v>
      </c>
      <c r="AJ76" s="173">
        <f t="shared" si="2"/>
        <v>1</v>
      </c>
      <c r="AL76" s="934"/>
    </row>
    <row r="77" spans="1:38" ht="33" x14ac:dyDescent="0.25">
      <c r="A77" s="221">
        <v>50</v>
      </c>
      <c r="B77" s="211" t="s">
        <v>1753</v>
      </c>
      <c r="C77" s="188"/>
      <c r="D77" s="188"/>
      <c r="E77" s="230" t="s">
        <v>290</v>
      </c>
      <c r="F77" s="226"/>
      <c r="G77" s="179">
        <v>800</v>
      </c>
      <c r="H77" s="229">
        <f t="shared" si="19"/>
        <v>800</v>
      </c>
      <c r="I77" s="177"/>
      <c r="J77" s="177"/>
      <c r="K77" s="177"/>
      <c r="L77" s="177"/>
      <c r="M77" s="179">
        <v>760</v>
      </c>
      <c r="N77" s="177">
        <f t="shared" si="10"/>
        <v>760</v>
      </c>
      <c r="O77" s="178">
        <v>800</v>
      </c>
      <c r="P77" s="220">
        <f t="shared" si="21"/>
        <v>800</v>
      </c>
      <c r="Q77" s="177">
        <f t="shared" si="20"/>
        <v>40</v>
      </c>
      <c r="R77" s="177">
        <f t="shared" si="20"/>
        <v>40</v>
      </c>
      <c r="S77" s="177"/>
      <c r="T77" s="177">
        <f t="shared" si="16"/>
        <v>760</v>
      </c>
      <c r="U77" s="456"/>
      <c r="V77" s="454"/>
      <c r="W77" s="177"/>
      <c r="X77" s="177"/>
      <c r="Y77" s="177"/>
      <c r="Z77" s="177"/>
      <c r="AA77" s="177"/>
      <c r="AB77" s="177"/>
      <c r="AC77" s="177"/>
      <c r="AD77" s="177"/>
      <c r="AE77" s="177"/>
      <c r="AF77" s="177"/>
      <c r="AG77" s="177"/>
      <c r="AH77" s="177"/>
      <c r="AI77" s="185" t="s">
        <v>1741</v>
      </c>
      <c r="AJ77" s="173">
        <f t="shared" si="2"/>
        <v>1</v>
      </c>
      <c r="AL77" s="934"/>
    </row>
    <row r="78" spans="1:38" ht="33" x14ac:dyDescent="0.25">
      <c r="A78" s="221">
        <v>51</v>
      </c>
      <c r="B78" s="211" t="s">
        <v>1752</v>
      </c>
      <c r="C78" s="188"/>
      <c r="D78" s="188"/>
      <c r="E78" s="230" t="s">
        <v>290</v>
      </c>
      <c r="F78" s="226"/>
      <c r="G78" s="179">
        <v>1100</v>
      </c>
      <c r="H78" s="229">
        <f t="shared" si="19"/>
        <v>1100</v>
      </c>
      <c r="I78" s="177"/>
      <c r="J78" s="177"/>
      <c r="K78" s="177"/>
      <c r="L78" s="177"/>
      <c r="M78" s="179">
        <v>1000</v>
      </c>
      <c r="N78" s="177">
        <f t="shared" si="10"/>
        <v>1000</v>
      </c>
      <c r="O78" s="178"/>
      <c r="P78" s="220"/>
      <c r="Q78" s="177">
        <f t="shared" si="20"/>
        <v>-1000</v>
      </c>
      <c r="R78" s="177">
        <f t="shared" si="20"/>
        <v>-1000</v>
      </c>
      <c r="S78" s="176"/>
      <c r="T78" s="177">
        <f t="shared" si="16"/>
        <v>1000</v>
      </c>
      <c r="U78" s="456"/>
      <c r="V78" s="454"/>
      <c r="W78" s="177"/>
      <c r="X78" s="177"/>
      <c r="Y78" s="177"/>
      <c r="Z78" s="177"/>
      <c r="AA78" s="177"/>
      <c r="AB78" s="177"/>
      <c r="AC78" s="177"/>
      <c r="AD78" s="177"/>
      <c r="AE78" s="177"/>
      <c r="AF78" s="177"/>
      <c r="AG78" s="177"/>
      <c r="AH78" s="177"/>
      <c r="AI78" s="185" t="s">
        <v>1741</v>
      </c>
      <c r="AJ78" s="173">
        <f t="shared" si="2"/>
        <v>1</v>
      </c>
      <c r="AL78" s="934"/>
    </row>
    <row r="79" spans="1:38" ht="33" x14ac:dyDescent="0.25">
      <c r="A79" s="221">
        <v>52</v>
      </c>
      <c r="B79" s="211" t="s">
        <v>1751</v>
      </c>
      <c r="C79" s="188"/>
      <c r="D79" s="188"/>
      <c r="E79" s="230" t="s">
        <v>290</v>
      </c>
      <c r="F79" s="226"/>
      <c r="G79" s="179">
        <v>1300</v>
      </c>
      <c r="H79" s="229">
        <f t="shared" si="19"/>
        <v>1300</v>
      </c>
      <c r="I79" s="177"/>
      <c r="J79" s="177"/>
      <c r="K79" s="177"/>
      <c r="L79" s="177"/>
      <c r="M79" s="179">
        <v>1200</v>
      </c>
      <c r="N79" s="177">
        <f t="shared" si="10"/>
        <v>1200</v>
      </c>
      <c r="O79" s="178">
        <v>1100</v>
      </c>
      <c r="P79" s="220">
        <f>O79</f>
        <v>1100</v>
      </c>
      <c r="Q79" s="177">
        <f t="shared" si="20"/>
        <v>-100</v>
      </c>
      <c r="R79" s="177">
        <f t="shared" si="20"/>
        <v>-100</v>
      </c>
      <c r="S79" s="176"/>
      <c r="T79" s="177">
        <f t="shared" si="16"/>
        <v>1200</v>
      </c>
      <c r="U79" s="456"/>
      <c r="V79" s="454"/>
      <c r="W79" s="177"/>
      <c r="X79" s="177"/>
      <c r="Y79" s="177"/>
      <c r="Z79" s="177"/>
      <c r="AA79" s="177"/>
      <c r="AB79" s="177"/>
      <c r="AC79" s="177"/>
      <c r="AD79" s="177"/>
      <c r="AE79" s="177"/>
      <c r="AF79" s="177"/>
      <c r="AG79" s="177"/>
      <c r="AH79" s="177"/>
      <c r="AI79" s="185" t="s">
        <v>1741</v>
      </c>
      <c r="AJ79" s="173">
        <f t="shared" si="2"/>
        <v>1</v>
      </c>
      <c r="AL79" s="934"/>
    </row>
    <row r="80" spans="1:38" ht="33" x14ac:dyDescent="0.25">
      <c r="A80" s="221">
        <v>53</v>
      </c>
      <c r="B80" s="211" t="s">
        <v>1750</v>
      </c>
      <c r="C80" s="188"/>
      <c r="D80" s="188"/>
      <c r="E80" s="230" t="s">
        <v>290</v>
      </c>
      <c r="F80" s="226"/>
      <c r="G80" s="179">
        <v>1000</v>
      </c>
      <c r="H80" s="229">
        <f t="shared" si="19"/>
        <v>1000</v>
      </c>
      <c r="I80" s="177"/>
      <c r="J80" s="177"/>
      <c r="K80" s="177"/>
      <c r="L80" s="177"/>
      <c r="M80" s="179">
        <v>950</v>
      </c>
      <c r="N80" s="177">
        <f t="shared" si="10"/>
        <v>950</v>
      </c>
      <c r="O80" s="178"/>
      <c r="P80" s="220"/>
      <c r="Q80" s="177">
        <f t="shared" si="20"/>
        <v>-950</v>
      </c>
      <c r="R80" s="177">
        <f t="shared" si="20"/>
        <v>-950</v>
      </c>
      <c r="S80" s="176"/>
      <c r="T80" s="177">
        <f t="shared" si="16"/>
        <v>950</v>
      </c>
      <c r="U80" s="456"/>
      <c r="V80" s="454"/>
      <c r="W80" s="177"/>
      <c r="X80" s="177"/>
      <c r="Y80" s="177"/>
      <c r="Z80" s="177"/>
      <c r="AA80" s="177"/>
      <c r="AB80" s="177"/>
      <c r="AC80" s="177"/>
      <c r="AD80" s="177"/>
      <c r="AE80" s="177"/>
      <c r="AF80" s="177"/>
      <c r="AG80" s="177"/>
      <c r="AH80" s="177"/>
      <c r="AI80" s="185" t="s">
        <v>1741</v>
      </c>
      <c r="AJ80" s="173">
        <f t="shared" si="2"/>
        <v>1</v>
      </c>
      <c r="AL80" s="934"/>
    </row>
    <row r="81" spans="1:38" ht="33" x14ac:dyDescent="0.25">
      <c r="A81" s="221">
        <v>54</v>
      </c>
      <c r="B81" s="211" t="s">
        <v>1749</v>
      </c>
      <c r="C81" s="188"/>
      <c r="D81" s="188"/>
      <c r="E81" s="230" t="s">
        <v>290</v>
      </c>
      <c r="F81" s="226"/>
      <c r="G81" s="179">
        <v>950</v>
      </c>
      <c r="H81" s="229">
        <f t="shared" si="19"/>
        <v>950</v>
      </c>
      <c r="I81" s="177"/>
      <c r="J81" s="177"/>
      <c r="K81" s="177"/>
      <c r="L81" s="177"/>
      <c r="M81" s="179">
        <v>900</v>
      </c>
      <c r="N81" s="177">
        <f t="shared" si="10"/>
        <v>900</v>
      </c>
      <c r="O81" s="178"/>
      <c r="P81" s="220"/>
      <c r="Q81" s="177">
        <f t="shared" si="20"/>
        <v>-900</v>
      </c>
      <c r="R81" s="177">
        <f t="shared" si="20"/>
        <v>-900</v>
      </c>
      <c r="S81" s="176"/>
      <c r="T81" s="177">
        <f t="shared" si="16"/>
        <v>900</v>
      </c>
      <c r="U81" s="456"/>
      <c r="V81" s="454"/>
      <c r="W81" s="177"/>
      <c r="X81" s="177"/>
      <c r="Y81" s="177"/>
      <c r="Z81" s="177"/>
      <c r="AA81" s="177"/>
      <c r="AB81" s="177"/>
      <c r="AC81" s="177"/>
      <c r="AD81" s="177"/>
      <c r="AE81" s="177"/>
      <c r="AF81" s="177"/>
      <c r="AG81" s="177"/>
      <c r="AH81" s="177"/>
      <c r="AI81" s="185" t="s">
        <v>1741</v>
      </c>
      <c r="AJ81" s="173">
        <f t="shared" si="2"/>
        <v>1</v>
      </c>
      <c r="AL81" s="934"/>
    </row>
    <row r="82" spans="1:38" ht="33" x14ac:dyDescent="0.25">
      <c r="A82" s="221">
        <v>55</v>
      </c>
      <c r="B82" s="211" t="s">
        <v>1748</v>
      </c>
      <c r="C82" s="188"/>
      <c r="D82" s="188"/>
      <c r="E82" s="230" t="s">
        <v>290</v>
      </c>
      <c r="F82" s="226"/>
      <c r="G82" s="179">
        <v>1400</v>
      </c>
      <c r="H82" s="229">
        <f t="shared" si="19"/>
        <v>1400</v>
      </c>
      <c r="I82" s="177"/>
      <c r="J82" s="177"/>
      <c r="K82" s="177"/>
      <c r="L82" s="177"/>
      <c r="M82" s="179">
        <v>1300</v>
      </c>
      <c r="N82" s="177">
        <f t="shared" si="10"/>
        <v>1300</v>
      </c>
      <c r="O82" s="178">
        <v>1200</v>
      </c>
      <c r="P82" s="220">
        <f>O82</f>
        <v>1200</v>
      </c>
      <c r="Q82" s="177">
        <f t="shared" si="20"/>
        <v>-100</v>
      </c>
      <c r="R82" s="177">
        <f t="shared" si="20"/>
        <v>-100</v>
      </c>
      <c r="S82" s="176"/>
      <c r="T82" s="177">
        <f t="shared" si="16"/>
        <v>1300</v>
      </c>
      <c r="U82" s="456"/>
      <c r="V82" s="454"/>
      <c r="W82" s="177"/>
      <c r="X82" s="177"/>
      <c r="Y82" s="177"/>
      <c r="Z82" s="177"/>
      <c r="AA82" s="177"/>
      <c r="AB82" s="177"/>
      <c r="AC82" s="177"/>
      <c r="AD82" s="177"/>
      <c r="AE82" s="177"/>
      <c r="AF82" s="177"/>
      <c r="AG82" s="177"/>
      <c r="AH82" s="177"/>
      <c r="AI82" s="185" t="s">
        <v>1741</v>
      </c>
      <c r="AJ82" s="173">
        <f t="shared" ref="AJ82:AJ146" si="22">IF(N82-V82=0,0,1)</f>
        <v>1</v>
      </c>
      <c r="AL82" s="934"/>
    </row>
    <row r="83" spans="1:38" ht="33" x14ac:dyDescent="0.25">
      <c r="A83" s="221">
        <v>56</v>
      </c>
      <c r="B83" s="211" t="s">
        <v>1747</v>
      </c>
      <c r="C83" s="188"/>
      <c r="D83" s="188"/>
      <c r="E83" s="230" t="s">
        <v>290</v>
      </c>
      <c r="F83" s="226"/>
      <c r="G83" s="179">
        <v>2200</v>
      </c>
      <c r="H83" s="229">
        <f t="shared" si="19"/>
        <v>2200</v>
      </c>
      <c r="I83" s="177"/>
      <c r="J83" s="177"/>
      <c r="K83" s="177"/>
      <c r="L83" s="177"/>
      <c r="M83" s="179">
        <v>2100</v>
      </c>
      <c r="N83" s="177">
        <f t="shared" si="10"/>
        <v>2100</v>
      </c>
      <c r="O83" s="178">
        <v>1800</v>
      </c>
      <c r="P83" s="220">
        <f>O83</f>
        <v>1800</v>
      </c>
      <c r="Q83" s="177">
        <f t="shared" si="20"/>
        <v>-300</v>
      </c>
      <c r="R83" s="177">
        <f t="shared" si="20"/>
        <v>-300</v>
      </c>
      <c r="S83" s="176"/>
      <c r="T83" s="177">
        <f t="shared" si="16"/>
        <v>2100</v>
      </c>
      <c r="U83" s="456"/>
      <c r="V83" s="454"/>
      <c r="W83" s="177"/>
      <c r="X83" s="177"/>
      <c r="Y83" s="177"/>
      <c r="Z83" s="177"/>
      <c r="AA83" s="177"/>
      <c r="AB83" s="177"/>
      <c r="AC83" s="177"/>
      <c r="AD83" s="177"/>
      <c r="AE83" s="177"/>
      <c r="AF83" s="177"/>
      <c r="AG83" s="177"/>
      <c r="AH83" s="177"/>
      <c r="AI83" s="185" t="s">
        <v>1741</v>
      </c>
      <c r="AJ83" s="173">
        <f t="shared" si="22"/>
        <v>1</v>
      </c>
      <c r="AL83" s="934"/>
    </row>
    <row r="84" spans="1:38" ht="33" x14ac:dyDescent="0.25">
      <c r="A84" s="221">
        <v>57</v>
      </c>
      <c r="B84" s="211" t="s">
        <v>1746</v>
      </c>
      <c r="C84" s="188"/>
      <c r="D84" s="188"/>
      <c r="E84" s="230" t="s">
        <v>290</v>
      </c>
      <c r="F84" s="226"/>
      <c r="G84" s="179">
        <v>1600</v>
      </c>
      <c r="H84" s="229">
        <f t="shared" si="19"/>
        <v>1600</v>
      </c>
      <c r="I84" s="177"/>
      <c r="J84" s="177"/>
      <c r="K84" s="177"/>
      <c r="L84" s="177"/>
      <c r="M84" s="179">
        <v>1500</v>
      </c>
      <c r="N84" s="177">
        <f t="shared" si="10"/>
        <v>1500</v>
      </c>
      <c r="O84" s="178">
        <v>1400</v>
      </c>
      <c r="P84" s="220">
        <f>O84</f>
        <v>1400</v>
      </c>
      <c r="Q84" s="177">
        <f t="shared" si="20"/>
        <v>-100</v>
      </c>
      <c r="R84" s="177">
        <f t="shared" si="20"/>
        <v>-100</v>
      </c>
      <c r="S84" s="176"/>
      <c r="T84" s="177">
        <f t="shared" si="16"/>
        <v>1500</v>
      </c>
      <c r="U84" s="456"/>
      <c r="V84" s="454"/>
      <c r="W84" s="177"/>
      <c r="X84" s="177"/>
      <c r="Y84" s="177"/>
      <c r="Z84" s="177"/>
      <c r="AA84" s="177"/>
      <c r="AB84" s="177"/>
      <c r="AC84" s="177"/>
      <c r="AD84" s="177"/>
      <c r="AE84" s="177"/>
      <c r="AF84" s="177"/>
      <c r="AG84" s="177"/>
      <c r="AH84" s="177"/>
      <c r="AI84" s="185" t="s">
        <v>1741</v>
      </c>
      <c r="AJ84" s="173">
        <f t="shared" si="22"/>
        <v>1</v>
      </c>
      <c r="AL84" s="934"/>
    </row>
    <row r="85" spans="1:38" s="157" customFormat="1" ht="33" x14ac:dyDescent="0.25">
      <c r="A85" s="221">
        <v>58</v>
      </c>
      <c r="B85" s="337" t="s">
        <v>1745</v>
      </c>
      <c r="C85" s="1" t="s">
        <v>1709</v>
      </c>
      <c r="D85" s="1"/>
      <c r="E85" s="424" t="s">
        <v>290</v>
      </c>
      <c r="F85" s="423"/>
      <c r="G85" s="331">
        <v>10727</v>
      </c>
      <c r="H85" s="422">
        <f t="shared" si="19"/>
        <v>10727</v>
      </c>
      <c r="I85" s="244"/>
      <c r="J85" s="244"/>
      <c r="K85" s="244"/>
      <c r="L85" s="244"/>
      <c r="M85" s="4">
        <v>1900</v>
      </c>
      <c r="N85" s="244">
        <f t="shared" si="10"/>
        <v>1900</v>
      </c>
      <c r="O85" s="243">
        <v>9230</v>
      </c>
      <c r="P85" s="354">
        <f>O85</f>
        <v>9230</v>
      </c>
      <c r="Q85" s="244">
        <f t="shared" si="20"/>
        <v>7330</v>
      </c>
      <c r="R85" s="244">
        <f t="shared" si="20"/>
        <v>7330</v>
      </c>
      <c r="S85" s="177">
        <f>V85-N85</f>
        <v>6100</v>
      </c>
      <c r="T85" s="177"/>
      <c r="U85" s="457">
        <f>V85</f>
        <v>8000</v>
      </c>
      <c r="V85" s="476">
        <v>8000</v>
      </c>
      <c r="W85" s="244"/>
      <c r="X85" s="244"/>
      <c r="Y85" s="244"/>
      <c r="Z85" s="244"/>
      <c r="AA85" s="244"/>
      <c r="AB85" s="244"/>
      <c r="AC85" s="244"/>
      <c r="AD85" s="244"/>
      <c r="AE85" s="244"/>
      <c r="AF85" s="244"/>
      <c r="AG85" s="244"/>
      <c r="AH85" s="244"/>
      <c r="AI85" s="242"/>
      <c r="AJ85" s="173">
        <f t="shared" si="22"/>
        <v>1</v>
      </c>
      <c r="AL85" s="934"/>
    </row>
    <row r="86" spans="1:38" ht="49.5" x14ac:dyDescent="0.25">
      <c r="A86" s="221">
        <v>59</v>
      </c>
      <c r="B86" s="233" t="s">
        <v>1744</v>
      </c>
      <c r="C86" s="188" t="s">
        <v>1713</v>
      </c>
      <c r="D86" s="188" t="s">
        <v>1730</v>
      </c>
      <c r="E86" s="230" t="s">
        <v>290</v>
      </c>
      <c r="F86" s="226"/>
      <c r="G86" s="341">
        <v>2918</v>
      </c>
      <c r="H86" s="229">
        <f t="shared" si="19"/>
        <v>2918</v>
      </c>
      <c r="I86" s="177"/>
      <c r="J86" s="177"/>
      <c r="K86" s="177"/>
      <c r="L86" s="177"/>
      <c r="M86" s="179">
        <v>2800</v>
      </c>
      <c r="N86" s="177">
        <f t="shared" si="10"/>
        <v>2800</v>
      </c>
      <c r="O86" s="178"/>
      <c r="P86" s="220"/>
      <c r="Q86" s="177">
        <f t="shared" si="20"/>
        <v>-2800</v>
      </c>
      <c r="R86" s="177">
        <f t="shared" si="20"/>
        <v>-2800</v>
      </c>
      <c r="S86" s="176"/>
      <c r="T86" s="177">
        <f t="shared" si="16"/>
        <v>2800</v>
      </c>
      <c r="U86" s="456"/>
      <c r="V86" s="454"/>
      <c r="W86" s="177"/>
      <c r="X86" s="177"/>
      <c r="Y86" s="177"/>
      <c r="Z86" s="177"/>
      <c r="AA86" s="177"/>
      <c r="AB86" s="177"/>
      <c r="AC86" s="177"/>
      <c r="AD86" s="177"/>
      <c r="AE86" s="177"/>
      <c r="AF86" s="177"/>
      <c r="AG86" s="177"/>
      <c r="AH86" s="177"/>
      <c r="AI86" s="185" t="s">
        <v>1729</v>
      </c>
      <c r="AJ86" s="173">
        <f t="shared" si="22"/>
        <v>1</v>
      </c>
      <c r="AL86" s="934"/>
    </row>
    <row r="87" spans="1:38" ht="33" x14ac:dyDescent="0.25">
      <c r="A87" s="221">
        <v>60</v>
      </c>
      <c r="B87" s="233" t="s">
        <v>1743</v>
      </c>
      <c r="C87" s="188" t="s">
        <v>1709</v>
      </c>
      <c r="D87" s="188" t="s">
        <v>1742</v>
      </c>
      <c r="E87" s="230" t="s">
        <v>290</v>
      </c>
      <c r="F87" s="226"/>
      <c r="G87" s="341">
        <v>2750</v>
      </c>
      <c r="H87" s="229">
        <f t="shared" si="19"/>
        <v>2750</v>
      </c>
      <c r="I87" s="177"/>
      <c r="J87" s="177"/>
      <c r="K87" s="177"/>
      <c r="L87" s="177"/>
      <c r="M87" s="179">
        <v>2600</v>
      </c>
      <c r="N87" s="177">
        <f t="shared" si="10"/>
        <v>2600</v>
      </c>
      <c r="O87" s="178"/>
      <c r="P87" s="220"/>
      <c r="Q87" s="177">
        <f t="shared" si="20"/>
        <v>-2600</v>
      </c>
      <c r="R87" s="177">
        <f t="shared" si="20"/>
        <v>-2600</v>
      </c>
      <c r="S87" s="176"/>
      <c r="T87" s="177">
        <f t="shared" si="16"/>
        <v>2600</v>
      </c>
      <c r="U87" s="456"/>
      <c r="V87" s="454"/>
      <c r="W87" s="177"/>
      <c r="X87" s="177"/>
      <c r="Y87" s="177"/>
      <c r="Z87" s="177"/>
      <c r="AA87" s="177"/>
      <c r="AB87" s="177"/>
      <c r="AC87" s="177"/>
      <c r="AD87" s="177"/>
      <c r="AE87" s="177"/>
      <c r="AF87" s="177"/>
      <c r="AG87" s="177"/>
      <c r="AH87" s="177"/>
      <c r="AI87" s="185" t="s">
        <v>1741</v>
      </c>
      <c r="AJ87" s="173">
        <f t="shared" si="22"/>
        <v>1</v>
      </c>
      <c r="AL87" s="934"/>
    </row>
    <row r="88" spans="1:38" ht="33" x14ac:dyDescent="0.25">
      <c r="A88" s="221">
        <v>61</v>
      </c>
      <c r="B88" s="233" t="s">
        <v>1740</v>
      </c>
      <c r="C88" s="188" t="s">
        <v>1709</v>
      </c>
      <c r="D88" s="188" t="s">
        <v>1739</v>
      </c>
      <c r="E88" s="230" t="s">
        <v>290</v>
      </c>
      <c r="F88" s="226"/>
      <c r="G88" s="331">
        <f>H88</f>
        <v>3568</v>
      </c>
      <c r="H88" s="422">
        <v>3568</v>
      </c>
      <c r="I88" s="177"/>
      <c r="J88" s="177"/>
      <c r="K88" s="177"/>
      <c r="L88" s="177"/>
      <c r="M88" s="179">
        <v>2200</v>
      </c>
      <c r="N88" s="177">
        <f t="shared" si="10"/>
        <v>2200</v>
      </c>
      <c r="O88" s="178">
        <v>3200</v>
      </c>
      <c r="P88" s="220">
        <f>O88</f>
        <v>3200</v>
      </c>
      <c r="Q88" s="177">
        <f t="shared" si="20"/>
        <v>1000</v>
      </c>
      <c r="R88" s="177">
        <f t="shared" si="20"/>
        <v>1000</v>
      </c>
      <c r="S88" s="177"/>
      <c r="T88" s="177">
        <f t="shared" si="16"/>
        <v>100</v>
      </c>
      <c r="U88" s="456">
        <f>V88</f>
        <v>2100</v>
      </c>
      <c r="V88" s="454">
        <v>2100</v>
      </c>
      <c r="W88" s="177"/>
      <c r="X88" s="177"/>
      <c r="Y88" s="177"/>
      <c r="Z88" s="177"/>
      <c r="AA88" s="177"/>
      <c r="AB88" s="177"/>
      <c r="AC88" s="177"/>
      <c r="AD88" s="177"/>
      <c r="AE88" s="177"/>
      <c r="AF88" s="177"/>
      <c r="AG88" s="177"/>
      <c r="AH88" s="177"/>
      <c r="AI88" s="198"/>
      <c r="AJ88" s="173">
        <f t="shared" si="22"/>
        <v>1</v>
      </c>
      <c r="AL88" s="934"/>
    </row>
    <row r="89" spans="1:38" ht="36" customHeight="1" x14ac:dyDescent="0.25">
      <c r="A89" s="221">
        <v>62</v>
      </c>
      <c r="B89" s="233" t="s">
        <v>1738</v>
      </c>
      <c r="C89" s="188" t="s">
        <v>1737</v>
      </c>
      <c r="D89" s="188" t="s">
        <v>1736</v>
      </c>
      <c r="E89" s="230" t="s">
        <v>290</v>
      </c>
      <c r="F89" s="226"/>
      <c r="G89" s="341">
        <v>5000</v>
      </c>
      <c r="H89" s="229">
        <f>G89</f>
        <v>5000</v>
      </c>
      <c r="I89" s="177"/>
      <c r="J89" s="177"/>
      <c r="K89" s="177"/>
      <c r="L89" s="177"/>
      <c r="M89" s="179">
        <v>4750</v>
      </c>
      <c r="N89" s="177">
        <f t="shared" si="10"/>
        <v>4750</v>
      </c>
      <c r="O89" s="178"/>
      <c r="P89" s="220"/>
      <c r="Q89" s="177">
        <f t="shared" si="20"/>
        <v>-4750</v>
      </c>
      <c r="R89" s="177">
        <f t="shared" si="20"/>
        <v>-4750</v>
      </c>
      <c r="S89" s="176"/>
      <c r="T89" s="177">
        <f t="shared" si="16"/>
        <v>4750</v>
      </c>
      <c r="U89" s="456"/>
      <c r="V89" s="454"/>
      <c r="W89" s="177"/>
      <c r="X89" s="177"/>
      <c r="Y89" s="177"/>
      <c r="Z89" s="177"/>
      <c r="AA89" s="177"/>
      <c r="AB89" s="177"/>
      <c r="AC89" s="177"/>
      <c r="AD89" s="177"/>
      <c r="AE89" s="177"/>
      <c r="AF89" s="177"/>
      <c r="AG89" s="177"/>
      <c r="AH89" s="177"/>
      <c r="AI89" s="185" t="s">
        <v>284</v>
      </c>
      <c r="AJ89" s="173">
        <f t="shared" si="22"/>
        <v>1</v>
      </c>
      <c r="AL89" s="934"/>
    </row>
    <row r="90" spans="1:38" ht="33" x14ac:dyDescent="0.25">
      <c r="A90" s="221">
        <v>63</v>
      </c>
      <c r="B90" s="233" t="s">
        <v>1735</v>
      </c>
      <c r="C90" s="188" t="s">
        <v>1709</v>
      </c>
      <c r="D90" s="188" t="s">
        <v>1733</v>
      </c>
      <c r="E90" s="230" t="s">
        <v>290</v>
      </c>
      <c r="F90" s="226"/>
      <c r="G90" s="341">
        <v>3100</v>
      </c>
      <c r="H90" s="229">
        <f>G90</f>
        <v>3100</v>
      </c>
      <c r="I90" s="177"/>
      <c r="J90" s="177"/>
      <c r="K90" s="177"/>
      <c r="L90" s="177"/>
      <c r="M90" s="179">
        <v>2950</v>
      </c>
      <c r="N90" s="177">
        <f t="shared" si="10"/>
        <v>2950</v>
      </c>
      <c r="O90" s="178"/>
      <c r="P90" s="220"/>
      <c r="Q90" s="177">
        <f t="shared" si="20"/>
        <v>-2950</v>
      </c>
      <c r="R90" s="177">
        <f t="shared" si="20"/>
        <v>-2950</v>
      </c>
      <c r="S90" s="176"/>
      <c r="T90" s="177">
        <f t="shared" si="16"/>
        <v>2950</v>
      </c>
      <c r="U90" s="456"/>
      <c r="V90" s="454"/>
      <c r="W90" s="177"/>
      <c r="X90" s="177"/>
      <c r="Y90" s="177"/>
      <c r="Z90" s="177"/>
      <c r="AA90" s="177"/>
      <c r="AB90" s="177"/>
      <c r="AC90" s="177"/>
      <c r="AD90" s="177"/>
      <c r="AE90" s="177"/>
      <c r="AF90" s="177"/>
      <c r="AG90" s="177"/>
      <c r="AH90" s="177"/>
      <c r="AI90" s="185" t="s">
        <v>284</v>
      </c>
      <c r="AJ90" s="173">
        <f t="shared" si="22"/>
        <v>1</v>
      </c>
      <c r="AL90" s="934"/>
    </row>
    <row r="91" spans="1:38" ht="33" x14ac:dyDescent="0.25">
      <c r="A91" s="221">
        <v>64</v>
      </c>
      <c r="B91" s="233" t="s">
        <v>1734</v>
      </c>
      <c r="C91" s="188" t="s">
        <v>1709</v>
      </c>
      <c r="D91" s="188" t="s">
        <v>1733</v>
      </c>
      <c r="E91" s="230" t="s">
        <v>290</v>
      </c>
      <c r="F91" s="226"/>
      <c r="G91" s="341">
        <v>3000</v>
      </c>
      <c r="H91" s="229">
        <f>G91</f>
        <v>3000</v>
      </c>
      <c r="I91" s="177"/>
      <c r="J91" s="177"/>
      <c r="K91" s="177"/>
      <c r="L91" s="177"/>
      <c r="M91" s="179">
        <v>2850</v>
      </c>
      <c r="N91" s="177">
        <f t="shared" si="10"/>
        <v>2850</v>
      </c>
      <c r="O91" s="178"/>
      <c r="P91" s="220"/>
      <c r="Q91" s="177">
        <f t="shared" si="20"/>
        <v>-2850</v>
      </c>
      <c r="R91" s="177">
        <f t="shared" si="20"/>
        <v>-2850</v>
      </c>
      <c r="S91" s="176"/>
      <c r="T91" s="177">
        <f t="shared" si="16"/>
        <v>2850</v>
      </c>
      <c r="U91" s="456"/>
      <c r="V91" s="454"/>
      <c r="W91" s="177"/>
      <c r="X91" s="177"/>
      <c r="Y91" s="177"/>
      <c r="Z91" s="177"/>
      <c r="AA91" s="177"/>
      <c r="AB91" s="177"/>
      <c r="AC91" s="177"/>
      <c r="AD91" s="177"/>
      <c r="AE91" s="177"/>
      <c r="AF91" s="177"/>
      <c r="AG91" s="177"/>
      <c r="AH91" s="177"/>
      <c r="AI91" s="185" t="s">
        <v>284</v>
      </c>
      <c r="AJ91" s="173">
        <f t="shared" si="22"/>
        <v>1</v>
      </c>
      <c r="AL91" s="934"/>
    </row>
    <row r="92" spans="1:38" ht="49.5" x14ac:dyDescent="0.25">
      <c r="A92" s="221">
        <v>65</v>
      </c>
      <c r="B92" s="211" t="s">
        <v>1732</v>
      </c>
      <c r="C92" s="188" t="s">
        <v>1709</v>
      </c>
      <c r="D92" s="188" t="s">
        <v>1715</v>
      </c>
      <c r="E92" s="230" t="s">
        <v>290</v>
      </c>
      <c r="F92" s="226"/>
      <c r="G92" s="341">
        <f>H92</f>
        <v>3895</v>
      </c>
      <c r="H92" s="229">
        <v>3895</v>
      </c>
      <c r="I92" s="177"/>
      <c r="J92" s="177"/>
      <c r="K92" s="177"/>
      <c r="L92" s="177"/>
      <c r="M92" s="179">
        <v>2850</v>
      </c>
      <c r="N92" s="177">
        <f t="shared" ref="N92" si="23">M92</f>
        <v>2850</v>
      </c>
      <c r="O92" s="178">
        <v>3350</v>
      </c>
      <c r="P92" s="220">
        <f>O92</f>
        <v>3350</v>
      </c>
      <c r="Q92" s="177">
        <f t="shared" ref="Q92:R105" si="24">O92-M92</f>
        <v>500</v>
      </c>
      <c r="R92" s="177">
        <f t="shared" si="24"/>
        <v>500</v>
      </c>
      <c r="S92" s="177"/>
      <c r="T92" s="177">
        <f t="shared" si="16"/>
        <v>150</v>
      </c>
      <c r="U92" s="456">
        <f t="shared" ref="U92:U98" si="25">V92</f>
        <v>2700</v>
      </c>
      <c r="V92" s="454">
        <v>2700</v>
      </c>
      <c r="W92" s="177"/>
      <c r="X92" s="177"/>
      <c r="Y92" s="177"/>
      <c r="Z92" s="177"/>
      <c r="AA92" s="177"/>
      <c r="AB92" s="177"/>
      <c r="AC92" s="177"/>
      <c r="AD92" s="177"/>
      <c r="AE92" s="177"/>
      <c r="AF92" s="177"/>
      <c r="AG92" s="177"/>
      <c r="AH92" s="177"/>
      <c r="AI92" s="198"/>
      <c r="AJ92" s="173">
        <f t="shared" si="22"/>
        <v>1</v>
      </c>
      <c r="AL92" s="934"/>
    </row>
    <row r="93" spans="1:38" ht="33" x14ac:dyDescent="0.25">
      <c r="A93" s="221">
        <v>66</v>
      </c>
      <c r="B93" s="233" t="s">
        <v>1731</v>
      </c>
      <c r="C93" s="188" t="s">
        <v>1709</v>
      </c>
      <c r="D93" s="188" t="s">
        <v>1730</v>
      </c>
      <c r="E93" s="230" t="s">
        <v>290</v>
      </c>
      <c r="F93" s="226"/>
      <c r="G93" s="341">
        <v>1365</v>
      </c>
      <c r="H93" s="229">
        <f>G93</f>
        <v>1365</v>
      </c>
      <c r="I93" s="177"/>
      <c r="J93" s="177"/>
      <c r="K93" s="177"/>
      <c r="L93" s="177"/>
      <c r="M93" s="179"/>
      <c r="N93" s="177"/>
      <c r="O93" s="178">
        <v>1000</v>
      </c>
      <c r="P93" s="220">
        <f>O93</f>
        <v>1000</v>
      </c>
      <c r="Q93" s="177">
        <f t="shared" si="24"/>
        <v>1000</v>
      </c>
      <c r="R93" s="177">
        <f t="shared" si="24"/>
        <v>1000</v>
      </c>
      <c r="S93" s="177">
        <f t="shared" ref="S93:S106" si="26">V93-N93</f>
        <v>1100</v>
      </c>
      <c r="T93" s="177"/>
      <c r="U93" s="456">
        <f t="shared" si="25"/>
        <v>1100</v>
      </c>
      <c r="V93" s="454">
        <v>1100</v>
      </c>
      <c r="W93" s="177"/>
      <c r="X93" s="177"/>
      <c r="Y93" s="177"/>
      <c r="Z93" s="177"/>
      <c r="AA93" s="177"/>
      <c r="AB93" s="177"/>
      <c r="AC93" s="177"/>
      <c r="AD93" s="177"/>
      <c r="AE93" s="177"/>
      <c r="AF93" s="177"/>
      <c r="AG93" s="177"/>
      <c r="AH93" s="177"/>
      <c r="AI93" s="242" t="s">
        <v>871</v>
      </c>
      <c r="AJ93" s="173">
        <f t="shared" si="22"/>
        <v>1</v>
      </c>
      <c r="AL93" s="934"/>
    </row>
    <row r="94" spans="1:38" s="157" customFormat="1" ht="49.5" x14ac:dyDescent="0.25">
      <c r="A94" s="221">
        <v>67</v>
      </c>
      <c r="B94" s="153" t="s">
        <v>1728</v>
      </c>
      <c r="C94" s="1" t="s">
        <v>1252</v>
      </c>
      <c r="D94" s="1" t="s">
        <v>1727</v>
      </c>
      <c r="E94" s="424" t="s">
        <v>290</v>
      </c>
      <c r="F94" s="423"/>
      <c r="G94" s="331">
        <f t="shared" ref="G94:G106" si="27">H94</f>
        <v>4075</v>
      </c>
      <c r="H94" s="422">
        <v>4075</v>
      </c>
      <c r="I94" s="244"/>
      <c r="J94" s="244"/>
      <c r="K94" s="244"/>
      <c r="L94" s="244"/>
      <c r="M94" s="4"/>
      <c r="N94" s="244"/>
      <c r="O94" s="243">
        <v>3530</v>
      </c>
      <c r="P94" s="354">
        <v>3530</v>
      </c>
      <c r="Q94" s="244">
        <f t="shared" si="24"/>
        <v>3530</v>
      </c>
      <c r="R94" s="244">
        <f t="shared" si="24"/>
        <v>3530</v>
      </c>
      <c r="S94" s="177">
        <f t="shared" si="26"/>
        <v>3000</v>
      </c>
      <c r="T94" s="177"/>
      <c r="U94" s="457">
        <f t="shared" si="25"/>
        <v>3000</v>
      </c>
      <c r="V94" s="476">
        <v>3000</v>
      </c>
      <c r="W94" s="244"/>
      <c r="X94" s="244"/>
      <c r="Y94" s="244"/>
      <c r="Z94" s="244"/>
      <c r="AA94" s="244"/>
      <c r="AB94" s="244"/>
      <c r="AC94" s="244"/>
      <c r="AD94" s="244"/>
      <c r="AE94" s="244"/>
      <c r="AF94" s="244"/>
      <c r="AG94" s="244"/>
      <c r="AH94" s="244"/>
      <c r="AI94" s="242" t="s">
        <v>871</v>
      </c>
      <c r="AJ94" s="173">
        <f t="shared" si="22"/>
        <v>1</v>
      </c>
      <c r="AL94" s="934"/>
    </row>
    <row r="95" spans="1:38" s="157" customFormat="1" ht="49.5" x14ac:dyDescent="0.25">
      <c r="A95" s="221">
        <v>68</v>
      </c>
      <c r="B95" s="153" t="s">
        <v>1726</v>
      </c>
      <c r="C95" s="1" t="s">
        <v>1709</v>
      </c>
      <c r="D95" s="1" t="s">
        <v>1715</v>
      </c>
      <c r="E95" s="424" t="s">
        <v>290</v>
      </c>
      <c r="F95" s="423"/>
      <c r="G95" s="331">
        <f t="shared" si="27"/>
        <v>6196</v>
      </c>
      <c r="H95" s="422">
        <v>6196</v>
      </c>
      <c r="I95" s="244"/>
      <c r="J95" s="244"/>
      <c r="K95" s="244"/>
      <c r="L95" s="244"/>
      <c r="M95" s="4"/>
      <c r="N95" s="244"/>
      <c r="O95" s="243">
        <v>5420</v>
      </c>
      <c r="P95" s="354">
        <f t="shared" ref="P95:P105" si="28">O95</f>
        <v>5420</v>
      </c>
      <c r="Q95" s="244">
        <f t="shared" si="24"/>
        <v>5420</v>
      </c>
      <c r="R95" s="244">
        <f t="shared" si="24"/>
        <v>5420</v>
      </c>
      <c r="S95" s="177">
        <f t="shared" si="26"/>
        <v>3645</v>
      </c>
      <c r="T95" s="177"/>
      <c r="U95" s="457">
        <f t="shared" si="25"/>
        <v>3645</v>
      </c>
      <c r="V95" s="476">
        <v>3645</v>
      </c>
      <c r="W95" s="244"/>
      <c r="X95" s="244"/>
      <c r="Y95" s="244"/>
      <c r="Z95" s="244"/>
      <c r="AA95" s="244"/>
      <c r="AB95" s="244"/>
      <c r="AC95" s="244"/>
      <c r="AD95" s="244"/>
      <c r="AE95" s="244"/>
      <c r="AF95" s="244"/>
      <c r="AG95" s="244"/>
      <c r="AH95" s="244"/>
      <c r="AI95" s="242" t="s">
        <v>871</v>
      </c>
      <c r="AJ95" s="173">
        <f t="shared" si="22"/>
        <v>1</v>
      </c>
      <c r="AL95" s="934"/>
    </row>
    <row r="96" spans="1:38" ht="33" x14ac:dyDescent="0.25">
      <c r="A96" s="221">
        <v>69</v>
      </c>
      <c r="B96" s="211" t="s">
        <v>1725</v>
      </c>
      <c r="C96" s="188" t="s">
        <v>1713</v>
      </c>
      <c r="D96" s="188" t="s">
        <v>1724</v>
      </c>
      <c r="E96" s="230" t="s">
        <v>290</v>
      </c>
      <c r="F96" s="226"/>
      <c r="G96" s="341">
        <f t="shared" si="27"/>
        <v>2520</v>
      </c>
      <c r="H96" s="229">
        <v>2520</v>
      </c>
      <c r="I96" s="177"/>
      <c r="J96" s="177"/>
      <c r="K96" s="177"/>
      <c r="L96" s="177"/>
      <c r="M96" s="179"/>
      <c r="N96" s="177"/>
      <c r="O96" s="178">
        <v>1000</v>
      </c>
      <c r="P96" s="220">
        <f t="shared" si="28"/>
        <v>1000</v>
      </c>
      <c r="Q96" s="177">
        <f t="shared" si="24"/>
        <v>1000</v>
      </c>
      <c r="R96" s="177">
        <f t="shared" si="24"/>
        <v>1000</v>
      </c>
      <c r="S96" s="177">
        <f t="shared" si="26"/>
        <v>3385</v>
      </c>
      <c r="T96" s="177"/>
      <c r="U96" s="456">
        <f t="shared" si="25"/>
        <v>3385</v>
      </c>
      <c r="V96" s="454">
        <v>3385</v>
      </c>
      <c r="W96" s="177"/>
      <c r="X96" s="177"/>
      <c r="Y96" s="177"/>
      <c r="Z96" s="177"/>
      <c r="AA96" s="177"/>
      <c r="AB96" s="177"/>
      <c r="AC96" s="177"/>
      <c r="AD96" s="177"/>
      <c r="AE96" s="177"/>
      <c r="AF96" s="177"/>
      <c r="AG96" s="177"/>
      <c r="AH96" s="177"/>
      <c r="AI96" s="242" t="s">
        <v>871</v>
      </c>
      <c r="AJ96" s="173">
        <f t="shared" si="22"/>
        <v>1</v>
      </c>
      <c r="AL96" s="934"/>
    </row>
    <row r="97" spans="1:38" ht="33" x14ac:dyDescent="0.25">
      <c r="A97" s="221">
        <v>70</v>
      </c>
      <c r="B97" s="211" t="s">
        <v>1723</v>
      </c>
      <c r="C97" s="188" t="s">
        <v>1713</v>
      </c>
      <c r="D97" s="188" t="s">
        <v>1722</v>
      </c>
      <c r="E97" s="230" t="s">
        <v>290</v>
      </c>
      <c r="F97" s="226"/>
      <c r="G97" s="341">
        <f t="shared" si="27"/>
        <v>2940</v>
      </c>
      <c r="H97" s="229">
        <v>2940</v>
      </c>
      <c r="I97" s="177"/>
      <c r="J97" s="177"/>
      <c r="K97" s="177"/>
      <c r="L97" s="177"/>
      <c r="M97" s="179"/>
      <c r="N97" s="177"/>
      <c r="O97" s="178">
        <v>600</v>
      </c>
      <c r="P97" s="220">
        <f t="shared" si="28"/>
        <v>600</v>
      </c>
      <c r="Q97" s="177">
        <f t="shared" si="24"/>
        <v>600</v>
      </c>
      <c r="R97" s="177">
        <f t="shared" si="24"/>
        <v>600</v>
      </c>
      <c r="S97" s="177">
        <f t="shared" si="26"/>
        <v>2345</v>
      </c>
      <c r="T97" s="177"/>
      <c r="U97" s="456">
        <f t="shared" si="25"/>
        <v>2345</v>
      </c>
      <c r="V97" s="454">
        <v>2345</v>
      </c>
      <c r="W97" s="177"/>
      <c r="X97" s="177"/>
      <c r="Y97" s="177"/>
      <c r="Z97" s="177"/>
      <c r="AA97" s="177"/>
      <c r="AB97" s="177"/>
      <c r="AC97" s="177"/>
      <c r="AD97" s="177"/>
      <c r="AE97" s="177"/>
      <c r="AF97" s="177"/>
      <c r="AG97" s="177"/>
      <c r="AH97" s="177"/>
      <c r="AI97" s="242" t="s">
        <v>871</v>
      </c>
      <c r="AJ97" s="173">
        <f t="shared" si="22"/>
        <v>1</v>
      </c>
      <c r="AL97" s="934"/>
    </row>
    <row r="98" spans="1:38" ht="33" x14ac:dyDescent="0.25">
      <c r="A98" s="221">
        <v>71</v>
      </c>
      <c r="B98" s="211" t="s">
        <v>1721</v>
      </c>
      <c r="C98" s="188" t="s">
        <v>1713</v>
      </c>
      <c r="D98" s="188" t="s">
        <v>1715</v>
      </c>
      <c r="E98" s="230" t="s">
        <v>290</v>
      </c>
      <c r="F98" s="226"/>
      <c r="G98" s="341">
        <f t="shared" si="27"/>
        <v>2352</v>
      </c>
      <c r="H98" s="229">
        <v>2352</v>
      </c>
      <c r="I98" s="177"/>
      <c r="J98" s="177"/>
      <c r="K98" s="177"/>
      <c r="L98" s="177"/>
      <c r="M98" s="179"/>
      <c r="N98" s="177"/>
      <c r="O98" s="178">
        <v>2000</v>
      </c>
      <c r="P98" s="220">
        <f t="shared" si="28"/>
        <v>2000</v>
      </c>
      <c r="Q98" s="177">
        <f t="shared" si="24"/>
        <v>2000</v>
      </c>
      <c r="R98" s="177">
        <f t="shared" si="24"/>
        <v>2000</v>
      </c>
      <c r="S98" s="177">
        <f t="shared" si="26"/>
        <v>6571</v>
      </c>
      <c r="T98" s="177"/>
      <c r="U98" s="456">
        <f t="shared" si="25"/>
        <v>6571</v>
      </c>
      <c r="V98" s="454">
        <v>6571</v>
      </c>
      <c r="W98" s="177"/>
      <c r="X98" s="177"/>
      <c r="Y98" s="177"/>
      <c r="Z98" s="177"/>
      <c r="AA98" s="177"/>
      <c r="AB98" s="177"/>
      <c r="AC98" s="177"/>
      <c r="AD98" s="177"/>
      <c r="AE98" s="177"/>
      <c r="AF98" s="177"/>
      <c r="AG98" s="177"/>
      <c r="AH98" s="177"/>
      <c r="AI98" s="242" t="s">
        <v>871</v>
      </c>
      <c r="AJ98" s="173">
        <f t="shared" si="22"/>
        <v>1</v>
      </c>
      <c r="AL98" s="934"/>
    </row>
    <row r="99" spans="1:38" ht="33" x14ac:dyDescent="0.25">
      <c r="A99" s="221">
        <v>72</v>
      </c>
      <c r="B99" s="211" t="s">
        <v>1720</v>
      </c>
      <c r="C99" s="188" t="s">
        <v>1713</v>
      </c>
      <c r="D99" s="188" t="s">
        <v>1719</v>
      </c>
      <c r="E99" s="230" t="s">
        <v>290</v>
      </c>
      <c r="F99" s="226"/>
      <c r="G99" s="341">
        <f t="shared" si="27"/>
        <v>2730</v>
      </c>
      <c r="H99" s="229">
        <v>2730</v>
      </c>
      <c r="I99" s="177"/>
      <c r="J99" s="177"/>
      <c r="K99" s="177"/>
      <c r="L99" s="177"/>
      <c r="M99" s="179"/>
      <c r="N99" s="177"/>
      <c r="O99" s="178">
        <v>2300</v>
      </c>
      <c r="P99" s="220">
        <f t="shared" si="28"/>
        <v>2300</v>
      </c>
      <c r="Q99" s="177">
        <f t="shared" si="24"/>
        <v>2300</v>
      </c>
      <c r="R99" s="177">
        <f t="shared" si="24"/>
        <v>2300</v>
      </c>
      <c r="S99" s="177">
        <f t="shared" si="26"/>
        <v>2300</v>
      </c>
      <c r="T99" s="177"/>
      <c r="U99" s="456">
        <v>2300</v>
      </c>
      <c r="V99" s="454">
        <v>2300</v>
      </c>
      <c r="W99" s="177"/>
      <c r="X99" s="177"/>
      <c r="Y99" s="177"/>
      <c r="Z99" s="177"/>
      <c r="AA99" s="177"/>
      <c r="AB99" s="177"/>
      <c r="AC99" s="177"/>
      <c r="AD99" s="177"/>
      <c r="AE99" s="177"/>
      <c r="AF99" s="177"/>
      <c r="AG99" s="177"/>
      <c r="AH99" s="177"/>
      <c r="AI99" s="242" t="s">
        <v>871</v>
      </c>
      <c r="AJ99" s="173">
        <f t="shared" si="22"/>
        <v>1</v>
      </c>
      <c r="AL99" s="934"/>
    </row>
    <row r="100" spans="1:38" ht="33" x14ac:dyDescent="0.25">
      <c r="A100" s="221">
        <v>73</v>
      </c>
      <c r="B100" s="211" t="s">
        <v>1718</v>
      </c>
      <c r="C100" s="188" t="s">
        <v>1713</v>
      </c>
      <c r="D100" s="188" t="s">
        <v>1715</v>
      </c>
      <c r="E100" s="230" t="s">
        <v>290</v>
      </c>
      <c r="F100" s="226"/>
      <c r="G100" s="341">
        <f t="shared" si="27"/>
        <v>1680</v>
      </c>
      <c r="H100" s="229">
        <v>1680</v>
      </c>
      <c r="I100" s="177"/>
      <c r="J100" s="177"/>
      <c r="K100" s="177"/>
      <c r="L100" s="177"/>
      <c r="M100" s="179"/>
      <c r="N100" s="177"/>
      <c r="O100" s="178">
        <v>1400</v>
      </c>
      <c r="P100" s="220">
        <f t="shared" si="28"/>
        <v>1400</v>
      </c>
      <c r="Q100" s="177">
        <f t="shared" si="24"/>
        <v>1400</v>
      </c>
      <c r="R100" s="177">
        <f t="shared" si="24"/>
        <v>1400</v>
      </c>
      <c r="S100" s="177">
        <f t="shared" si="26"/>
        <v>2865</v>
      </c>
      <c r="T100" s="177"/>
      <c r="U100" s="456">
        <f>V100</f>
        <v>2865</v>
      </c>
      <c r="V100" s="454">
        <v>2865</v>
      </c>
      <c r="W100" s="177"/>
      <c r="X100" s="177"/>
      <c r="Y100" s="177"/>
      <c r="Z100" s="177"/>
      <c r="AA100" s="177"/>
      <c r="AB100" s="177"/>
      <c r="AC100" s="177"/>
      <c r="AD100" s="177"/>
      <c r="AE100" s="177"/>
      <c r="AF100" s="177"/>
      <c r="AG100" s="177"/>
      <c r="AH100" s="177"/>
      <c r="AI100" s="242" t="s">
        <v>871</v>
      </c>
      <c r="AJ100" s="173">
        <f t="shared" si="22"/>
        <v>1</v>
      </c>
      <c r="AL100" s="934"/>
    </row>
    <row r="101" spans="1:38" ht="33" x14ac:dyDescent="0.25">
      <c r="A101" s="221">
        <v>74</v>
      </c>
      <c r="B101" s="211" t="s">
        <v>1717</v>
      </c>
      <c r="C101" s="188" t="s">
        <v>1713</v>
      </c>
      <c r="D101" s="188" t="s">
        <v>1715</v>
      </c>
      <c r="E101" s="230" t="s">
        <v>290</v>
      </c>
      <c r="F101" s="226"/>
      <c r="G101" s="341">
        <f t="shared" si="27"/>
        <v>1890</v>
      </c>
      <c r="H101" s="229">
        <v>1890</v>
      </c>
      <c r="I101" s="177"/>
      <c r="J101" s="177"/>
      <c r="K101" s="177"/>
      <c r="L101" s="177"/>
      <c r="M101" s="179"/>
      <c r="N101" s="177"/>
      <c r="O101" s="178">
        <v>1600</v>
      </c>
      <c r="P101" s="220">
        <f t="shared" si="28"/>
        <v>1600</v>
      </c>
      <c r="Q101" s="177">
        <f t="shared" si="24"/>
        <v>1600</v>
      </c>
      <c r="R101" s="177">
        <f t="shared" si="24"/>
        <v>1600</v>
      </c>
      <c r="S101" s="177">
        <f t="shared" si="26"/>
        <v>1607</v>
      </c>
      <c r="T101" s="177"/>
      <c r="U101" s="456">
        <f>V101</f>
        <v>1607</v>
      </c>
      <c r="V101" s="454">
        <v>1607</v>
      </c>
      <c r="W101" s="177"/>
      <c r="X101" s="177"/>
      <c r="Y101" s="177"/>
      <c r="Z101" s="177"/>
      <c r="AA101" s="177"/>
      <c r="AB101" s="177"/>
      <c r="AC101" s="177"/>
      <c r="AD101" s="177"/>
      <c r="AE101" s="177"/>
      <c r="AF101" s="177"/>
      <c r="AG101" s="177"/>
      <c r="AH101" s="177"/>
      <c r="AI101" s="242" t="s">
        <v>871</v>
      </c>
      <c r="AJ101" s="173">
        <f t="shared" si="22"/>
        <v>1</v>
      </c>
      <c r="AL101" s="934"/>
    </row>
    <row r="102" spans="1:38" ht="33" x14ac:dyDescent="0.25">
      <c r="A102" s="221">
        <v>75</v>
      </c>
      <c r="B102" s="211" t="s">
        <v>1716</v>
      </c>
      <c r="C102" s="188" t="s">
        <v>1713</v>
      </c>
      <c r="D102" s="188" t="s">
        <v>1715</v>
      </c>
      <c r="E102" s="230" t="s">
        <v>290</v>
      </c>
      <c r="F102" s="226"/>
      <c r="G102" s="341">
        <f t="shared" si="27"/>
        <v>2100</v>
      </c>
      <c r="H102" s="229">
        <v>2100</v>
      </c>
      <c r="I102" s="177"/>
      <c r="J102" s="177"/>
      <c r="K102" s="177"/>
      <c r="L102" s="177"/>
      <c r="M102" s="179"/>
      <c r="N102" s="177"/>
      <c r="O102" s="178">
        <v>1700</v>
      </c>
      <c r="P102" s="220">
        <f t="shared" si="28"/>
        <v>1700</v>
      </c>
      <c r="Q102" s="177">
        <f t="shared" si="24"/>
        <v>1700</v>
      </c>
      <c r="R102" s="177">
        <f t="shared" si="24"/>
        <v>1700</v>
      </c>
      <c r="S102" s="177">
        <f t="shared" si="26"/>
        <v>1700</v>
      </c>
      <c r="T102" s="177"/>
      <c r="U102" s="456">
        <v>1700</v>
      </c>
      <c r="V102" s="454">
        <v>1700</v>
      </c>
      <c r="W102" s="177"/>
      <c r="X102" s="177"/>
      <c r="Y102" s="177"/>
      <c r="Z102" s="177"/>
      <c r="AA102" s="177"/>
      <c r="AB102" s="177"/>
      <c r="AC102" s="177"/>
      <c r="AD102" s="177"/>
      <c r="AE102" s="177"/>
      <c r="AF102" s="177"/>
      <c r="AG102" s="177"/>
      <c r="AH102" s="177"/>
      <c r="AI102" s="242" t="s">
        <v>871</v>
      </c>
      <c r="AJ102" s="173">
        <f t="shared" si="22"/>
        <v>1</v>
      </c>
      <c r="AL102" s="934"/>
    </row>
    <row r="103" spans="1:38" ht="33" x14ac:dyDescent="0.25">
      <c r="A103" s="221">
        <v>76</v>
      </c>
      <c r="B103" s="211" t="s">
        <v>1714</v>
      </c>
      <c r="C103" s="188" t="s">
        <v>1713</v>
      </c>
      <c r="D103" s="188" t="s">
        <v>1712</v>
      </c>
      <c r="E103" s="230" t="s">
        <v>290</v>
      </c>
      <c r="F103" s="226"/>
      <c r="G103" s="341">
        <f t="shared" si="27"/>
        <v>14000</v>
      </c>
      <c r="H103" s="229">
        <v>14000</v>
      </c>
      <c r="I103" s="177"/>
      <c r="J103" s="177"/>
      <c r="K103" s="177"/>
      <c r="L103" s="177"/>
      <c r="M103" s="179"/>
      <c r="N103" s="177"/>
      <c r="O103" s="178">
        <v>10500</v>
      </c>
      <c r="P103" s="220">
        <f t="shared" si="28"/>
        <v>10500</v>
      </c>
      <c r="Q103" s="177">
        <f t="shared" si="24"/>
        <v>10500</v>
      </c>
      <c r="R103" s="177">
        <f t="shared" si="24"/>
        <v>10500</v>
      </c>
      <c r="S103" s="177">
        <f t="shared" si="26"/>
        <v>15864</v>
      </c>
      <c r="T103" s="177"/>
      <c r="U103" s="456">
        <f>V103</f>
        <v>15864</v>
      </c>
      <c r="V103" s="454">
        <v>15864</v>
      </c>
      <c r="W103" s="177"/>
      <c r="X103" s="177"/>
      <c r="Y103" s="177"/>
      <c r="Z103" s="177"/>
      <c r="AA103" s="177"/>
      <c r="AB103" s="177"/>
      <c r="AC103" s="177"/>
      <c r="AD103" s="177"/>
      <c r="AE103" s="177"/>
      <c r="AF103" s="177"/>
      <c r="AG103" s="177"/>
      <c r="AH103" s="177"/>
      <c r="AI103" s="242" t="s">
        <v>871</v>
      </c>
      <c r="AJ103" s="173">
        <f t="shared" si="22"/>
        <v>1</v>
      </c>
      <c r="AL103" s="934"/>
    </row>
    <row r="104" spans="1:38" ht="49.5" x14ac:dyDescent="0.25">
      <c r="A104" s="221">
        <v>77</v>
      </c>
      <c r="B104" s="211" t="s">
        <v>1711</v>
      </c>
      <c r="C104" s="188" t="s">
        <v>1709</v>
      </c>
      <c r="D104" s="188" t="s">
        <v>1715</v>
      </c>
      <c r="E104" s="230" t="s">
        <v>290</v>
      </c>
      <c r="F104" s="226"/>
      <c r="G104" s="341">
        <f t="shared" si="27"/>
        <v>1616</v>
      </c>
      <c r="H104" s="229">
        <v>1616</v>
      </c>
      <c r="I104" s="177"/>
      <c r="J104" s="177"/>
      <c r="K104" s="177"/>
      <c r="L104" s="177"/>
      <c r="M104" s="179"/>
      <c r="N104" s="177"/>
      <c r="O104" s="178">
        <v>1400</v>
      </c>
      <c r="P104" s="220">
        <f t="shared" si="28"/>
        <v>1400</v>
      </c>
      <c r="Q104" s="177">
        <f t="shared" si="24"/>
        <v>1400</v>
      </c>
      <c r="R104" s="177">
        <f t="shared" si="24"/>
        <v>1400</v>
      </c>
      <c r="S104" s="177">
        <f t="shared" si="26"/>
        <v>1308</v>
      </c>
      <c r="T104" s="177"/>
      <c r="U104" s="456">
        <f>V104</f>
        <v>1308</v>
      </c>
      <c r="V104" s="454">
        <v>1308</v>
      </c>
      <c r="W104" s="177"/>
      <c r="X104" s="177"/>
      <c r="Y104" s="177"/>
      <c r="Z104" s="177"/>
      <c r="AA104" s="177"/>
      <c r="AB104" s="177"/>
      <c r="AC104" s="177"/>
      <c r="AD104" s="177"/>
      <c r="AE104" s="177"/>
      <c r="AF104" s="177"/>
      <c r="AG104" s="177"/>
      <c r="AH104" s="177"/>
      <c r="AI104" s="242" t="s">
        <v>871</v>
      </c>
      <c r="AJ104" s="173">
        <f t="shared" si="22"/>
        <v>1</v>
      </c>
      <c r="AL104" s="934"/>
    </row>
    <row r="105" spans="1:38" ht="49.5" x14ac:dyDescent="0.25">
      <c r="A105" s="221">
        <v>78</v>
      </c>
      <c r="B105" s="211" t="s">
        <v>1710</v>
      </c>
      <c r="C105" s="188" t="s">
        <v>1709</v>
      </c>
      <c r="D105" s="188" t="s">
        <v>1715</v>
      </c>
      <c r="E105" s="230" t="s">
        <v>290</v>
      </c>
      <c r="F105" s="226"/>
      <c r="G105" s="341">
        <f t="shared" si="27"/>
        <v>2074</v>
      </c>
      <c r="H105" s="229">
        <v>2074</v>
      </c>
      <c r="I105" s="177"/>
      <c r="J105" s="177"/>
      <c r="K105" s="177"/>
      <c r="L105" s="177"/>
      <c r="M105" s="179"/>
      <c r="N105" s="177"/>
      <c r="O105" s="178">
        <v>1800</v>
      </c>
      <c r="P105" s="220">
        <f t="shared" si="28"/>
        <v>1800</v>
      </c>
      <c r="Q105" s="177">
        <f t="shared" si="24"/>
        <v>1800</v>
      </c>
      <c r="R105" s="177">
        <f t="shared" si="24"/>
        <v>1800</v>
      </c>
      <c r="S105" s="177">
        <f t="shared" si="26"/>
        <v>1827</v>
      </c>
      <c r="T105" s="177"/>
      <c r="U105" s="456">
        <f>V105</f>
        <v>1827</v>
      </c>
      <c r="V105" s="454">
        <v>1827</v>
      </c>
      <c r="W105" s="177"/>
      <c r="X105" s="177"/>
      <c r="Y105" s="177"/>
      <c r="Z105" s="177"/>
      <c r="AA105" s="177"/>
      <c r="AB105" s="177"/>
      <c r="AC105" s="177"/>
      <c r="AD105" s="177"/>
      <c r="AE105" s="177"/>
      <c r="AF105" s="177"/>
      <c r="AG105" s="177"/>
      <c r="AH105" s="177"/>
      <c r="AI105" s="242" t="s">
        <v>871</v>
      </c>
      <c r="AJ105" s="173">
        <f t="shared" si="22"/>
        <v>1</v>
      </c>
      <c r="AL105" s="934"/>
    </row>
    <row r="106" spans="1:38" ht="49.5" x14ac:dyDescent="0.25">
      <c r="A106" s="221">
        <v>79</v>
      </c>
      <c r="B106" s="211" t="s">
        <v>2137</v>
      </c>
      <c r="C106" s="188" t="s">
        <v>1709</v>
      </c>
      <c r="D106" s="188" t="s">
        <v>1715</v>
      </c>
      <c r="E106" s="230" t="s">
        <v>290</v>
      </c>
      <c r="F106" s="226"/>
      <c r="G106" s="341">
        <f t="shared" si="27"/>
        <v>7520</v>
      </c>
      <c r="H106" s="229">
        <v>7520</v>
      </c>
      <c r="I106" s="177"/>
      <c r="J106" s="177"/>
      <c r="K106" s="177"/>
      <c r="L106" s="177"/>
      <c r="M106" s="179"/>
      <c r="N106" s="177"/>
      <c r="O106" s="178"/>
      <c r="P106" s="220"/>
      <c r="Q106" s="177"/>
      <c r="R106" s="177"/>
      <c r="S106" s="177">
        <f t="shared" si="26"/>
        <v>5640</v>
      </c>
      <c r="T106" s="177"/>
      <c r="U106" s="456">
        <f>V106</f>
        <v>5640</v>
      </c>
      <c r="V106" s="454">
        <v>5640</v>
      </c>
      <c r="W106" s="177"/>
      <c r="X106" s="177"/>
      <c r="Y106" s="177"/>
      <c r="Z106" s="177"/>
      <c r="AA106" s="177"/>
      <c r="AB106" s="177"/>
      <c r="AC106" s="177"/>
      <c r="AD106" s="177"/>
      <c r="AE106" s="177"/>
      <c r="AF106" s="177"/>
      <c r="AG106" s="177"/>
      <c r="AH106" s="177"/>
      <c r="AI106" s="242" t="s">
        <v>871</v>
      </c>
      <c r="AJ106" s="173">
        <f t="shared" si="22"/>
        <v>1</v>
      </c>
      <c r="AL106" s="934"/>
    </row>
    <row r="107" spans="1:38" s="203" customFormat="1" ht="16.5" x14ac:dyDescent="0.25">
      <c r="A107" s="421" t="s">
        <v>173</v>
      </c>
      <c r="B107" s="418" t="s">
        <v>1114</v>
      </c>
      <c r="C107" s="394"/>
      <c r="D107" s="421"/>
      <c r="E107" s="421"/>
      <c r="F107" s="420"/>
      <c r="G107" s="419">
        <f>G116</f>
        <v>163360</v>
      </c>
      <c r="H107" s="419">
        <f>H116</f>
        <v>163360</v>
      </c>
      <c r="I107" s="419">
        <f>I108+I116</f>
        <v>10500</v>
      </c>
      <c r="J107" s="419">
        <f>J108+J116</f>
        <v>10500</v>
      </c>
      <c r="K107" s="419">
        <f t="shared" ref="K107:L107" si="29">K108+K116</f>
        <v>10500</v>
      </c>
      <c r="L107" s="419">
        <f t="shared" si="29"/>
        <v>10500</v>
      </c>
      <c r="M107" s="419">
        <f>M108+M116</f>
        <v>190000</v>
      </c>
      <c r="N107" s="419">
        <f t="shared" ref="N107:AH107" si="30">N108+N116</f>
        <v>190000</v>
      </c>
      <c r="O107" s="419">
        <f t="shared" si="30"/>
        <v>190000</v>
      </c>
      <c r="P107" s="419">
        <f t="shared" si="30"/>
        <v>190000</v>
      </c>
      <c r="Q107" s="419">
        <f t="shared" si="30"/>
        <v>0</v>
      </c>
      <c r="R107" s="419">
        <f t="shared" si="30"/>
        <v>0</v>
      </c>
      <c r="S107" s="419">
        <f t="shared" si="30"/>
        <v>40000</v>
      </c>
      <c r="T107" s="419">
        <f t="shared" si="30"/>
        <v>40000</v>
      </c>
      <c r="U107" s="419">
        <f t="shared" si="30"/>
        <v>190000</v>
      </c>
      <c r="V107" s="419">
        <f t="shared" si="30"/>
        <v>190000</v>
      </c>
      <c r="W107" s="419">
        <f t="shared" si="30"/>
        <v>35248</v>
      </c>
      <c r="X107" s="419">
        <f t="shared" si="30"/>
        <v>35248</v>
      </c>
      <c r="Y107" s="419">
        <f t="shared" si="30"/>
        <v>30800</v>
      </c>
      <c r="Z107" s="419">
        <f t="shared" si="30"/>
        <v>30800</v>
      </c>
      <c r="AA107" s="418">
        <f t="shared" si="30"/>
        <v>0</v>
      </c>
      <c r="AB107" s="418">
        <f t="shared" si="30"/>
        <v>0</v>
      </c>
      <c r="AC107" s="418">
        <f t="shared" si="30"/>
        <v>0</v>
      </c>
      <c r="AD107" s="418">
        <f t="shared" si="30"/>
        <v>0</v>
      </c>
      <c r="AE107" s="418">
        <f t="shared" si="30"/>
        <v>0</v>
      </c>
      <c r="AF107" s="418">
        <f t="shared" si="30"/>
        <v>0</v>
      </c>
      <c r="AG107" s="418">
        <f t="shared" si="30"/>
        <v>0</v>
      </c>
      <c r="AH107" s="418">
        <f t="shared" si="30"/>
        <v>0</v>
      </c>
      <c r="AI107" s="204"/>
      <c r="AJ107" s="173">
        <f t="shared" si="22"/>
        <v>0</v>
      </c>
    </row>
    <row r="108" spans="1:38" ht="51.75" x14ac:dyDescent="0.25">
      <c r="A108" s="195" t="s">
        <v>45</v>
      </c>
      <c r="B108" s="193" t="s">
        <v>46</v>
      </c>
      <c r="C108" s="192"/>
      <c r="D108" s="192"/>
      <c r="E108" s="192"/>
      <c r="F108" s="192"/>
      <c r="G108" s="191">
        <f t="shared" ref="G108:AH108" si="31">G109</f>
        <v>17774</v>
      </c>
      <c r="H108" s="191">
        <f t="shared" si="31"/>
        <v>17774</v>
      </c>
      <c r="I108" s="191">
        <f t="shared" si="31"/>
        <v>10500</v>
      </c>
      <c r="J108" s="191">
        <f t="shared" si="31"/>
        <v>10500</v>
      </c>
      <c r="K108" s="191">
        <f t="shared" si="31"/>
        <v>10500</v>
      </c>
      <c r="L108" s="191">
        <f t="shared" si="31"/>
        <v>10500</v>
      </c>
      <c r="M108" s="191">
        <f t="shared" si="31"/>
        <v>4370</v>
      </c>
      <c r="N108" s="191">
        <f t="shared" si="31"/>
        <v>4370</v>
      </c>
      <c r="O108" s="190">
        <f t="shared" si="31"/>
        <v>4370</v>
      </c>
      <c r="P108" s="190">
        <f t="shared" si="31"/>
        <v>4370</v>
      </c>
      <c r="Q108" s="191">
        <f t="shared" si="31"/>
        <v>0</v>
      </c>
      <c r="R108" s="191">
        <f t="shared" si="31"/>
        <v>0</v>
      </c>
      <c r="S108" s="191">
        <f t="shared" si="31"/>
        <v>0</v>
      </c>
      <c r="T108" s="191">
        <f t="shared" si="31"/>
        <v>0</v>
      </c>
      <c r="U108" s="474">
        <f t="shared" si="31"/>
        <v>4370</v>
      </c>
      <c r="V108" s="474">
        <f t="shared" si="31"/>
        <v>4370</v>
      </c>
      <c r="W108" s="190">
        <f t="shared" si="31"/>
        <v>4373</v>
      </c>
      <c r="X108" s="190">
        <f t="shared" si="31"/>
        <v>4373</v>
      </c>
      <c r="Y108" s="190">
        <f t="shared" si="31"/>
        <v>0</v>
      </c>
      <c r="Z108" s="190">
        <f t="shared" si="31"/>
        <v>0</v>
      </c>
      <c r="AA108" s="190">
        <f t="shared" si="31"/>
        <v>0</v>
      </c>
      <c r="AB108" s="190">
        <f t="shared" si="31"/>
        <v>0</v>
      </c>
      <c r="AC108" s="190">
        <f t="shared" si="31"/>
        <v>0</v>
      </c>
      <c r="AD108" s="190">
        <f t="shared" si="31"/>
        <v>0</v>
      </c>
      <c r="AE108" s="190">
        <f t="shared" si="31"/>
        <v>0</v>
      </c>
      <c r="AF108" s="190">
        <f t="shared" si="31"/>
        <v>0</v>
      </c>
      <c r="AG108" s="190">
        <f t="shared" si="31"/>
        <v>0</v>
      </c>
      <c r="AH108" s="190">
        <f t="shared" si="31"/>
        <v>0</v>
      </c>
      <c r="AI108" s="189"/>
      <c r="AJ108" s="173">
        <f t="shared" si="22"/>
        <v>0</v>
      </c>
    </row>
    <row r="109" spans="1:38" ht="34.5" x14ac:dyDescent="0.25">
      <c r="A109" s="194" t="s">
        <v>47</v>
      </c>
      <c r="B109" s="193" t="s">
        <v>48</v>
      </c>
      <c r="C109" s="192"/>
      <c r="D109" s="192"/>
      <c r="E109" s="192"/>
      <c r="F109" s="192"/>
      <c r="G109" s="191">
        <f t="shared" ref="G109:AH109" si="32">SUM(G112:G115)</f>
        <v>17774</v>
      </c>
      <c r="H109" s="191">
        <f t="shared" si="32"/>
        <v>17774</v>
      </c>
      <c r="I109" s="191">
        <f t="shared" si="32"/>
        <v>10500</v>
      </c>
      <c r="J109" s="191">
        <f t="shared" si="32"/>
        <v>10500</v>
      </c>
      <c r="K109" s="191">
        <f t="shared" si="32"/>
        <v>10500</v>
      </c>
      <c r="L109" s="191">
        <f t="shared" si="32"/>
        <v>10500</v>
      </c>
      <c r="M109" s="191">
        <f t="shared" si="32"/>
        <v>4370</v>
      </c>
      <c r="N109" s="191">
        <f t="shared" si="32"/>
        <v>4370</v>
      </c>
      <c r="O109" s="190">
        <f t="shared" si="32"/>
        <v>4370</v>
      </c>
      <c r="P109" s="190">
        <f t="shared" si="32"/>
        <v>4370</v>
      </c>
      <c r="Q109" s="191">
        <f t="shared" si="32"/>
        <v>0</v>
      </c>
      <c r="R109" s="191">
        <f t="shared" si="32"/>
        <v>0</v>
      </c>
      <c r="S109" s="191">
        <f t="shared" si="32"/>
        <v>0</v>
      </c>
      <c r="T109" s="191">
        <f t="shared" si="32"/>
        <v>0</v>
      </c>
      <c r="U109" s="474">
        <f t="shared" si="32"/>
        <v>4370</v>
      </c>
      <c r="V109" s="474">
        <f t="shared" si="32"/>
        <v>4370</v>
      </c>
      <c r="W109" s="190">
        <f t="shared" si="32"/>
        <v>4373</v>
      </c>
      <c r="X109" s="190">
        <f t="shared" si="32"/>
        <v>4373</v>
      </c>
      <c r="Y109" s="190">
        <f t="shared" si="32"/>
        <v>0</v>
      </c>
      <c r="Z109" s="190">
        <f t="shared" si="32"/>
        <v>0</v>
      </c>
      <c r="AA109" s="190">
        <f t="shared" si="32"/>
        <v>0</v>
      </c>
      <c r="AB109" s="190">
        <f t="shared" si="32"/>
        <v>0</v>
      </c>
      <c r="AC109" s="190">
        <f t="shared" si="32"/>
        <v>0</v>
      </c>
      <c r="AD109" s="190">
        <f t="shared" si="32"/>
        <v>0</v>
      </c>
      <c r="AE109" s="190">
        <f t="shared" si="32"/>
        <v>0</v>
      </c>
      <c r="AF109" s="190">
        <f t="shared" si="32"/>
        <v>0</v>
      </c>
      <c r="AG109" s="190">
        <f t="shared" si="32"/>
        <v>0</v>
      </c>
      <c r="AH109" s="190">
        <f t="shared" si="32"/>
        <v>0</v>
      </c>
      <c r="AI109" s="189"/>
      <c r="AJ109" s="173">
        <f t="shared" si="22"/>
        <v>0</v>
      </c>
    </row>
    <row r="110" spans="1:38" ht="17.25" x14ac:dyDescent="0.25">
      <c r="A110" s="194"/>
      <c r="B110" s="193" t="s">
        <v>49</v>
      </c>
      <c r="C110" s="202"/>
      <c r="D110" s="202"/>
      <c r="E110" s="202"/>
      <c r="F110" s="202"/>
      <c r="G110" s="200"/>
      <c r="H110" s="200"/>
      <c r="I110" s="200"/>
      <c r="J110" s="200"/>
      <c r="K110" s="200"/>
      <c r="L110" s="200"/>
      <c r="M110" s="200"/>
      <c r="N110" s="200"/>
      <c r="O110" s="201"/>
      <c r="P110" s="201"/>
      <c r="Q110" s="177">
        <f t="shared" ref="Q110:R115" si="33">O110-M110</f>
        <v>0</v>
      </c>
      <c r="R110" s="177">
        <f t="shared" si="33"/>
        <v>0</v>
      </c>
      <c r="S110" s="176">
        <f>IF(R110&gt;0,R110,0)</f>
        <v>0</v>
      </c>
      <c r="T110" s="176">
        <f>IF(R110&lt;0,-R110,0)</f>
        <v>0</v>
      </c>
      <c r="U110" s="475"/>
      <c r="V110" s="475"/>
      <c r="W110" s="200"/>
      <c r="X110" s="200"/>
      <c r="Y110" s="200"/>
      <c r="Z110" s="200"/>
      <c r="AA110" s="200"/>
      <c r="AB110" s="200"/>
      <c r="AC110" s="200"/>
      <c r="AD110" s="200"/>
      <c r="AE110" s="200"/>
      <c r="AF110" s="200"/>
      <c r="AG110" s="200"/>
      <c r="AH110" s="200"/>
      <c r="AI110" s="264"/>
      <c r="AJ110" s="173">
        <f t="shared" si="22"/>
        <v>0</v>
      </c>
    </row>
    <row r="111" spans="1:38" ht="51.75" x14ac:dyDescent="0.25">
      <c r="A111" s="194"/>
      <c r="B111" s="199" t="s">
        <v>50</v>
      </c>
      <c r="C111" s="192"/>
      <c r="D111" s="192"/>
      <c r="E111" s="192"/>
      <c r="F111" s="192"/>
      <c r="G111" s="191"/>
      <c r="H111" s="191"/>
      <c r="I111" s="191"/>
      <c r="J111" s="191"/>
      <c r="K111" s="191"/>
      <c r="L111" s="191"/>
      <c r="M111" s="191"/>
      <c r="N111" s="191"/>
      <c r="O111" s="190"/>
      <c r="P111" s="190"/>
      <c r="Q111" s="177">
        <f t="shared" si="33"/>
        <v>0</v>
      </c>
      <c r="R111" s="177">
        <f t="shared" si="33"/>
        <v>0</v>
      </c>
      <c r="S111" s="176">
        <f>IF(R111&gt;0,R111,0)</f>
        <v>0</v>
      </c>
      <c r="T111" s="176">
        <f>IF(R111&lt;0,-R111,0)</f>
        <v>0</v>
      </c>
      <c r="U111" s="474"/>
      <c r="V111" s="474"/>
      <c r="W111" s="191"/>
      <c r="X111" s="191"/>
      <c r="Y111" s="191"/>
      <c r="Z111" s="191"/>
      <c r="AA111" s="191"/>
      <c r="AB111" s="191"/>
      <c r="AC111" s="191"/>
      <c r="AD111" s="191"/>
      <c r="AE111" s="191"/>
      <c r="AF111" s="191"/>
      <c r="AG111" s="191"/>
      <c r="AH111" s="191"/>
      <c r="AI111" s="189"/>
      <c r="AJ111" s="173">
        <f t="shared" si="22"/>
        <v>0</v>
      </c>
    </row>
    <row r="112" spans="1:38" ht="49.5" x14ac:dyDescent="0.25">
      <c r="A112" s="230">
        <v>1</v>
      </c>
      <c r="B112" s="233" t="s">
        <v>1708</v>
      </c>
      <c r="C112" s="230" t="s">
        <v>1206</v>
      </c>
      <c r="D112" s="417" t="s">
        <v>1707</v>
      </c>
      <c r="E112" s="413">
        <v>2015</v>
      </c>
      <c r="F112" s="180" t="s">
        <v>1706</v>
      </c>
      <c r="G112" s="374">
        <v>5957</v>
      </c>
      <c r="H112" s="229">
        <f>G112</f>
        <v>5957</v>
      </c>
      <c r="I112" s="374">
        <v>3500</v>
      </c>
      <c r="J112" s="177">
        <f>I112</f>
        <v>3500</v>
      </c>
      <c r="K112" s="374">
        <v>3500</v>
      </c>
      <c r="L112" s="177">
        <f>K112</f>
        <v>3500</v>
      </c>
      <c r="M112" s="374">
        <f>N112</f>
        <v>1030</v>
      </c>
      <c r="N112" s="374">
        <v>1030</v>
      </c>
      <c r="O112" s="220">
        <f>P112</f>
        <v>1030</v>
      </c>
      <c r="P112" s="409">
        <v>1030</v>
      </c>
      <c r="Q112" s="177">
        <f t="shared" si="33"/>
        <v>0</v>
      </c>
      <c r="R112" s="177">
        <f t="shared" si="33"/>
        <v>0</v>
      </c>
      <c r="S112" s="176"/>
      <c r="T112" s="176"/>
      <c r="U112" s="454">
        <f>V112</f>
        <v>1030</v>
      </c>
      <c r="V112" s="477">
        <v>1030</v>
      </c>
      <c r="W112" s="409">
        <v>1030</v>
      </c>
      <c r="X112" s="409">
        <v>1030</v>
      </c>
      <c r="Y112" s="177"/>
      <c r="Z112" s="177"/>
      <c r="AA112" s="177"/>
      <c r="AB112" s="177"/>
      <c r="AC112" s="177"/>
      <c r="AD112" s="177"/>
      <c r="AE112" s="177"/>
      <c r="AF112" s="177"/>
      <c r="AG112" s="177"/>
      <c r="AH112" s="177"/>
      <c r="AI112" s="185" t="s">
        <v>404</v>
      </c>
      <c r="AJ112" s="173">
        <f t="shared" si="22"/>
        <v>0</v>
      </c>
    </row>
    <row r="113" spans="1:36" ht="49.5" x14ac:dyDescent="0.25">
      <c r="A113" s="230">
        <v>2</v>
      </c>
      <c r="B113" s="233" t="s">
        <v>1705</v>
      </c>
      <c r="C113" s="230" t="s">
        <v>1206</v>
      </c>
      <c r="D113" s="180" t="s">
        <v>1704</v>
      </c>
      <c r="E113" s="413">
        <v>2015</v>
      </c>
      <c r="F113" s="188" t="s">
        <v>1703</v>
      </c>
      <c r="G113" s="374">
        <v>2448</v>
      </c>
      <c r="H113" s="229">
        <f>G113</f>
        <v>2448</v>
      </c>
      <c r="I113" s="374">
        <v>1500</v>
      </c>
      <c r="J113" s="177">
        <f>I113</f>
        <v>1500</v>
      </c>
      <c r="K113" s="374">
        <v>1500</v>
      </c>
      <c r="L113" s="177">
        <f>K113</f>
        <v>1500</v>
      </c>
      <c r="M113" s="374">
        <f>N113</f>
        <v>500</v>
      </c>
      <c r="N113" s="374">
        <v>500</v>
      </c>
      <c r="O113" s="220">
        <f>P113</f>
        <v>500</v>
      </c>
      <c r="P113" s="409">
        <v>500</v>
      </c>
      <c r="Q113" s="177">
        <f t="shared" si="33"/>
        <v>0</v>
      </c>
      <c r="R113" s="177">
        <f t="shared" si="33"/>
        <v>0</v>
      </c>
      <c r="S113" s="176"/>
      <c r="T113" s="176"/>
      <c r="U113" s="454">
        <f>V113</f>
        <v>500</v>
      </c>
      <c r="V113" s="477">
        <v>500</v>
      </c>
      <c r="W113" s="409">
        <v>500</v>
      </c>
      <c r="X113" s="409">
        <v>500</v>
      </c>
      <c r="Y113" s="177"/>
      <c r="Z113" s="177"/>
      <c r="AA113" s="177"/>
      <c r="AB113" s="177"/>
      <c r="AC113" s="177"/>
      <c r="AD113" s="177"/>
      <c r="AE113" s="177"/>
      <c r="AF113" s="177"/>
      <c r="AG113" s="177"/>
      <c r="AH113" s="177"/>
      <c r="AI113" s="185" t="s">
        <v>404</v>
      </c>
      <c r="AJ113" s="173">
        <f t="shared" si="22"/>
        <v>0</v>
      </c>
    </row>
    <row r="114" spans="1:36" ht="49.5" x14ac:dyDescent="0.25">
      <c r="A114" s="230">
        <v>3</v>
      </c>
      <c r="B114" s="416" t="s">
        <v>1702</v>
      </c>
      <c r="C114" s="230" t="s">
        <v>1206</v>
      </c>
      <c r="D114" s="230" t="s">
        <v>1701</v>
      </c>
      <c r="E114" s="413">
        <v>2015</v>
      </c>
      <c r="F114" s="188" t="s">
        <v>1700</v>
      </c>
      <c r="G114" s="374">
        <v>3528</v>
      </c>
      <c r="H114" s="229">
        <f>G114</f>
        <v>3528</v>
      </c>
      <c r="I114" s="374">
        <v>2000</v>
      </c>
      <c r="J114" s="177">
        <f>I114</f>
        <v>2000</v>
      </c>
      <c r="K114" s="374">
        <v>2000</v>
      </c>
      <c r="L114" s="177">
        <f>K114</f>
        <v>2000</v>
      </c>
      <c r="M114" s="374">
        <f>N114</f>
        <v>1390</v>
      </c>
      <c r="N114" s="374">
        <v>1390</v>
      </c>
      <c r="O114" s="220">
        <f>P114</f>
        <v>1390</v>
      </c>
      <c r="P114" s="409">
        <v>1390</v>
      </c>
      <c r="Q114" s="177">
        <f t="shared" si="33"/>
        <v>0</v>
      </c>
      <c r="R114" s="177">
        <f t="shared" si="33"/>
        <v>0</v>
      </c>
      <c r="S114" s="176"/>
      <c r="T114" s="176"/>
      <c r="U114" s="454">
        <f>V114</f>
        <v>1390</v>
      </c>
      <c r="V114" s="477">
        <v>1390</v>
      </c>
      <c r="W114" s="409">
        <f>X114</f>
        <v>1394</v>
      </c>
      <c r="X114" s="409">
        <v>1394</v>
      </c>
      <c r="Y114" s="177"/>
      <c r="Z114" s="177"/>
      <c r="AA114" s="177"/>
      <c r="AB114" s="177"/>
      <c r="AC114" s="177"/>
      <c r="AD114" s="177"/>
      <c r="AE114" s="177"/>
      <c r="AF114" s="177"/>
      <c r="AG114" s="177"/>
      <c r="AH114" s="177"/>
      <c r="AI114" s="185" t="s">
        <v>404</v>
      </c>
      <c r="AJ114" s="173">
        <f t="shared" si="22"/>
        <v>0</v>
      </c>
    </row>
    <row r="115" spans="1:36" ht="49.5" x14ac:dyDescent="0.25">
      <c r="A115" s="230">
        <v>4</v>
      </c>
      <c r="B115" s="416" t="s">
        <v>1699</v>
      </c>
      <c r="C115" s="230" t="s">
        <v>1206</v>
      </c>
      <c r="D115" s="410" t="s">
        <v>1698</v>
      </c>
      <c r="E115" s="413">
        <v>2015</v>
      </c>
      <c r="F115" s="180" t="s">
        <v>1697</v>
      </c>
      <c r="G115" s="374">
        <v>5841</v>
      </c>
      <c r="H115" s="229">
        <f>G115</f>
        <v>5841</v>
      </c>
      <c r="I115" s="374">
        <v>3500</v>
      </c>
      <c r="J115" s="177">
        <f>I115</f>
        <v>3500</v>
      </c>
      <c r="K115" s="374">
        <v>3500</v>
      </c>
      <c r="L115" s="177">
        <f>K115</f>
        <v>3500</v>
      </c>
      <c r="M115" s="374">
        <f>N115</f>
        <v>1450</v>
      </c>
      <c r="N115" s="374">
        <v>1450</v>
      </c>
      <c r="O115" s="220">
        <f>P115</f>
        <v>1450</v>
      </c>
      <c r="P115" s="409">
        <v>1450</v>
      </c>
      <c r="Q115" s="177">
        <f t="shared" si="33"/>
        <v>0</v>
      </c>
      <c r="R115" s="177">
        <f t="shared" si="33"/>
        <v>0</v>
      </c>
      <c r="S115" s="176"/>
      <c r="T115" s="176"/>
      <c r="U115" s="454">
        <f>V115</f>
        <v>1450</v>
      </c>
      <c r="V115" s="477">
        <v>1450</v>
      </c>
      <c r="W115" s="409">
        <f>X115</f>
        <v>1449</v>
      </c>
      <c r="X115" s="409">
        <v>1449</v>
      </c>
      <c r="Y115" s="177"/>
      <c r="Z115" s="177"/>
      <c r="AA115" s="177"/>
      <c r="AB115" s="177"/>
      <c r="AC115" s="177"/>
      <c r="AD115" s="177"/>
      <c r="AE115" s="177"/>
      <c r="AF115" s="177"/>
      <c r="AG115" s="177"/>
      <c r="AH115" s="177"/>
      <c r="AI115" s="185" t="s">
        <v>404</v>
      </c>
      <c r="AJ115" s="173">
        <f t="shared" si="22"/>
        <v>0</v>
      </c>
    </row>
    <row r="116" spans="1:36" ht="34.5" x14ac:dyDescent="0.25">
      <c r="A116" s="195" t="s">
        <v>85</v>
      </c>
      <c r="B116" s="193" t="s">
        <v>86</v>
      </c>
      <c r="C116" s="192"/>
      <c r="D116" s="192"/>
      <c r="E116" s="192"/>
      <c r="F116" s="192"/>
      <c r="G116" s="191">
        <f>G117</f>
        <v>163360</v>
      </c>
      <c r="H116" s="191">
        <f>H117</f>
        <v>163360</v>
      </c>
      <c r="I116" s="191"/>
      <c r="J116" s="191"/>
      <c r="K116" s="191"/>
      <c r="L116" s="191"/>
      <c r="M116" s="191">
        <f t="shared" ref="M116:AH116" si="34">M117</f>
        <v>185630</v>
      </c>
      <c r="N116" s="191">
        <f t="shared" si="34"/>
        <v>185630</v>
      </c>
      <c r="O116" s="190">
        <f t="shared" si="34"/>
        <v>185630</v>
      </c>
      <c r="P116" s="190">
        <f t="shared" si="34"/>
        <v>185630</v>
      </c>
      <c r="Q116" s="191">
        <f t="shared" si="34"/>
        <v>0</v>
      </c>
      <c r="R116" s="191">
        <f t="shared" si="34"/>
        <v>0</v>
      </c>
      <c r="S116" s="191">
        <f t="shared" si="34"/>
        <v>40000</v>
      </c>
      <c r="T116" s="191">
        <f t="shared" si="34"/>
        <v>40000</v>
      </c>
      <c r="U116" s="474">
        <f t="shared" si="34"/>
        <v>185630</v>
      </c>
      <c r="V116" s="474">
        <f t="shared" si="34"/>
        <v>185630</v>
      </c>
      <c r="W116" s="191">
        <f t="shared" si="34"/>
        <v>30875</v>
      </c>
      <c r="X116" s="191">
        <f t="shared" si="34"/>
        <v>30875</v>
      </c>
      <c r="Y116" s="191">
        <f t="shared" si="34"/>
        <v>30800</v>
      </c>
      <c r="Z116" s="191">
        <f t="shared" si="34"/>
        <v>30800</v>
      </c>
      <c r="AA116" s="190">
        <f t="shared" si="34"/>
        <v>0</v>
      </c>
      <c r="AB116" s="190">
        <f t="shared" si="34"/>
        <v>0</v>
      </c>
      <c r="AC116" s="190">
        <f t="shared" si="34"/>
        <v>0</v>
      </c>
      <c r="AD116" s="190">
        <f t="shared" si="34"/>
        <v>0</v>
      </c>
      <c r="AE116" s="190">
        <f t="shared" si="34"/>
        <v>0</v>
      </c>
      <c r="AF116" s="190">
        <f t="shared" si="34"/>
        <v>0</v>
      </c>
      <c r="AG116" s="190">
        <f t="shared" si="34"/>
        <v>0</v>
      </c>
      <c r="AH116" s="190">
        <f t="shared" si="34"/>
        <v>0</v>
      </c>
      <c r="AI116" s="189"/>
      <c r="AJ116" s="173">
        <f t="shared" si="22"/>
        <v>0</v>
      </c>
    </row>
    <row r="117" spans="1:36" ht="51.75" x14ac:dyDescent="0.25">
      <c r="A117" s="194" t="s">
        <v>87</v>
      </c>
      <c r="B117" s="193" t="s">
        <v>88</v>
      </c>
      <c r="C117" s="192"/>
      <c r="D117" s="192"/>
      <c r="E117" s="192"/>
      <c r="F117" s="192"/>
      <c r="G117" s="191">
        <f>SUM(G132:G136)</f>
        <v>163360</v>
      </c>
      <c r="H117" s="191">
        <f>SUM(H132:H136)</f>
        <v>163360</v>
      </c>
      <c r="I117" s="191"/>
      <c r="J117" s="191"/>
      <c r="K117" s="191"/>
      <c r="L117" s="191"/>
      <c r="M117" s="191">
        <f>SUM(M118:M136)</f>
        <v>185630</v>
      </c>
      <c r="N117" s="191">
        <f t="shared" ref="N117:Z117" si="35">SUM(N118:N136)</f>
        <v>185630</v>
      </c>
      <c r="O117" s="191">
        <f t="shared" si="35"/>
        <v>185630</v>
      </c>
      <c r="P117" s="191">
        <f t="shared" si="35"/>
        <v>185630</v>
      </c>
      <c r="Q117" s="191">
        <f t="shared" si="35"/>
        <v>0</v>
      </c>
      <c r="R117" s="191">
        <f t="shared" si="35"/>
        <v>0</v>
      </c>
      <c r="S117" s="191">
        <f t="shared" si="35"/>
        <v>40000</v>
      </c>
      <c r="T117" s="191">
        <f t="shared" si="35"/>
        <v>40000</v>
      </c>
      <c r="U117" s="191">
        <f t="shared" si="35"/>
        <v>185630</v>
      </c>
      <c r="V117" s="191">
        <f t="shared" si="35"/>
        <v>185630</v>
      </c>
      <c r="W117" s="191">
        <f t="shared" si="35"/>
        <v>30875</v>
      </c>
      <c r="X117" s="191">
        <f t="shared" si="35"/>
        <v>30875</v>
      </c>
      <c r="Y117" s="191">
        <f t="shared" si="35"/>
        <v>30800</v>
      </c>
      <c r="Z117" s="191">
        <f t="shared" si="35"/>
        <v>30800</v>
      </c>
      <c r="AA117" s="190">
        <f t="shared" ref="AA117:AH117" si="36">SUM(AA118:AA136)</f>
        <v>0</v>
      </c>
      <c r="AB117" s="190">
        <f t="shared" si="36"/>
        <v>0</v>
      </c>
      <c r="AC117" s="190">
        <f t="shared" si="36"/>
        <v>0</v>
      </c>
      <c r="AD117" s="190">
        <f t="shared" si="36"/>
        <v>0</v>
      </c>
      <c r="AE117" s="190">
        <f t="shared" si="36"/>
        <v>0</v>
      </c>
      <c r="AF117" s="190">
        <f t="shared" si="36"/>
        <v>0</v>
      </c>
      <c r="AG117" s="190">
        <f t="shared" si="36"/>
        <v>0</v>
      </c>
      <c r="AH117" s="190">
        <f t="shared" si="36"/>
        <v>0</v>
      </c>
      <c r="AI117" s="189"/>
      <c r="AJ117" s="173">
        <f t="shared" si="22"/>
        <v>0</v>
      </c>
    </row>
    <row r="118" spans="1:36" ht="49.5" x14ac:dyDescent="0.25">
      <c r="A118" s="410">
        <v>5</v>
      </c>
      <c r="B118" s="231" t="s">
        <v>1696</v>
      </c>
      <c r="C118" s="230" t="s">
        <v>1206</v>
      </c>
      <c r="D118" s="410" t="s">
        <v>1666</v>
      </c>
      <c r="E118" s="413" t="s">
        <v>199</v>
      </c>
      <c r="F118" s="180" t="s">
        <v>1695</v>
      </c>
      <c r="G118" s="415">
        <v>538</v>
      </c>
      <c r="H118" s="229">
        <f t="shared" ref="H118:H132" si="37">G118</f>
        <v>538</v>
      </c>
      <c r="I118" s="177"/>
      <c r="J118" s="177"/>
      <c r="K118" s="177"/>
      <c r="L118" s="177"/>
      <c r="M118" s="374">
        <f>N118</f>
        <v>480</v>
      </c>
      <c r="N118" s="374">
        <v>480</v>
      </c>
      <c r="O118" s="220">
        <v>480</v>
      </c>
      <c r="P118" s="409">
        <v>480</v>
      </c>
      <c r="Q118" s="177">
        <f t="shared" ref="Q118:R136" si="38">O118-M118</f>
        <v>0</v>
      </c>
      <c r="R118" s="177">
        <f t="shared" si="38"/>
        <v>0</v>
      </c>
      <c r="S118" s="176"/>
      <c r="T118" s="176">
        <f>N118-V118</f>
        <v>0</v>
      </c>
      <c r="U118" s="454">
        <v>480</v>
      </c>
      <c r="V118" s="477">
        <v>480</v>
      </c>
      <c r="W118" s="183">
        <v>480</v>
      </c>
      <c r="X118" s="183">
        <v>480</v>
      </c>
      <c r="Y118" s="177"/>
      <c r="Z118" s="177"/>
      <c r="AA118" s="177"/>
      <c r="AB118" s="177"/>
      <c r="AC118" s="177"/>
      <c r="AD118" s="177"/>
      <c r="AE118" s="177"/>
      <c r="AF118" s="177"/>
      <c r="AG118" s="177"/>
      <c r="AH118" s="177"/>
      <c r="AI118" s="185" t="s">
        <v>404</v>
      </c>
      <c r="AJ118" s="173">
        <f t="shared" si="22"/>
        <v>0</v>
      </c>
    </row>
    <row r="119" spans="1:36" ht="66" x14ac:dyDescent="0.25">
      <c r="A119" s="230">
        <v>6</v>
      </c>
      <c r="B119" s="233" t="s">
        <v>1694</v>
      </c>
      <c r="C119" s="230" t="s">
        <v>1206</v>
      </c>
      <c r="D119" s="414" t="s">
        <v>1693</v>
      </c>
      <c r="E119" s="413" t="s">
        <v>199</v>
      </c>
      <c r="F119" s="180" t="s">
        <v>1692</v>
      </c>
      <c r="G119" s="412">
        <v>6689</v>
      </c>
      <c r="H119" s="229">
        <f t="shared" si="37"/>
        <v>6689</v>
      </c>
      <c r="I119" s="177"/>
      <c r="J119" s="177"/>
      <c r="K119" s="177"/>
      <c r="L119" s="177"/>
      <c r="M119" s="374">
        <f>N119</f>
        <v>5900</v>
      </c>
      <c r="N119" s="374">
        <v>5900</v>
      </c>
      <c r="O119" s="220">
        <v>5900</v>
      </c>
      <c r="P119" s="409">
        <v>5900</v>
      </c>
      <c r="Q119" s="177">
        <f t="shared" si="38"/>
        <v>0</v>
      </c>
      <c r="R119" s="177">
        <f t="shared" si="38"/>
        <v>0</v>
      </c>
      <c r="S119" s="176"/>
      <c r="T119" s="176">
        <f t="shared" ref="T119:T136" si="39">N119-V119</f>
        <v>0</v>
      </c>
      <c r="U119" s="454">
        <v>5900</v>
      </c>
      <c r="V119" s="477">
        <v>5900</v>
      </c>
      <c r="W119" s="183">
        <v>5650</v>
      </c>
      <c r="X119" s="183">
        <v>5650</v>
      </c>
      <c r="Y119" s="177"/>
      <c r="Z119" s="177"/>
      <c r="AA119" s="177"/>
      <c r="AB119" s="177"/>
      <c r="AC119" s="177"/>
      <c r="AD119" s="177"/>
      <c r="AE119" s="177"/>
      <c r="AF119" s="177"/>
      <c r="AG119" s="177"/>
      <c r="AH119" s="177"/>
      <c r="AI119" s="185" t="s">
        <v>404</v>
      </c>
      <c r="AJ119" s="173">
        <f t="shared" si="22"/>
        <v>0</v>
      </c>
    </row>
    <row r="120" spans="1:36" ht="49.5" x14ac:dyDescent="0.25">
      <c r="A120" s="230">
        <v>7</v>
      </c>
      <c r="B120" s="233" t="s">
        <v>1691</v>
      </c>
      <c r="C120" s="230" t="s">
        <v>1649</v>
      </c>
      <c r="D120" s="188" t="s">
        <v>1690</v>
      </c>
      <c r="E120" s="188" t="s">
        <v>199</v>
      </c>
      <c r="F120" s="188" t="s">
        <v>1689</v>
      </c>
      <c r="G120" s="239">
        <v>9864</v>
      </c>
      <c r="H120" s="229">
        <f t="shared" si="37"/>
        <v>9864</v>
      </c>
      <c r="I120" s="177"/>
      <c r="J120" s="177"/>
      <c r="K120" s="177"/>
      <c r="L120" s="177"/>
      <c r="M120" s="374">
        <v>8760</v>
      </c>
      <c r="N120" s="374">
        <v>8760</v>
      </c>
      <c r="O120" s="220">
        <v>8760</v>
      </c>
      <c r="P120" s="183">
        <v>8760</v>
      </c>
      <c r="Q120" s="177">
        <f t="shared" si="38"/>
        <v>0</v>
      </c>
      <c r="R120" s="177">
        <f t="shared" si="38"/>
        <v>0</v>
      </c>
      <c r="S120" s="176"/>
      <c r="T120" s="176">
        <f t="shared" si="39"/>
        <v>0</v>
      </c>
      <c r="U120" s="454">
        <v>8760</v>
      </c>
      <c r="V120" s="454">
        <v>8760</v>
      </c>
      <c r="W120" s="183">
        <v>8400</v>
      </c>
      <c r="X120" s="183">
        <v>8400</v>
      </c>
      <c r="Y120" s="177"/>
      <c r="Z120" s="177"/>
      <c r="AA120" s="177"/>
      <c r="AB120" s="177"/>
      <c r="AC120" s="177"/>
      <c r="AD120" s="177"/>
      <c r="AE120" s="177"/>
      <c r="AF120" s="177"/>
      <c r="AG120" s="177"/>
      <c r="AH120" s="177"/>
      <c r="AI120" s="185" t="s">
        <v>404</v>
      </c>
      <c r="AJ120" s="173">
        <f t="shared" si="22"/>
        <v>0</v>
      </c>
    </row>
    <row r="121" spans="1:36" ht="49.5" x14ac:dyDescent="0.25">
      <c r="A121" s="230">
        <v>8</v>
      </c>
      <c r="B121" s="233" t="s">
        <v>1688</v>
      </c>
      <c r="C121" s="230" t="s">
        <v>1649</v>
      </c>
      <c r="D121" s="180" t="s">
        <v>1687</v>
      </c>
      <c r="E121" s="188" t="s">
        <v>199</v>
      </c>
      <c r="F121" s="188" t="s">
        <v>1686</v>
      </c>
      <c r="G121" s="239">
        <v>4475</v>
      </c>
      <c r="H121" s="229">
        <f t="shared" si="37"/>
        <v>4475</v>
      </c>
      <c r="I121" s="177"/>
      <c r="J121" s="177"/>
      <c r="K121" s="177"/>
      <c r="L121" s="177"/>
      <c r="M121" s="374">
        <f t="shared" ref="M121:M136" si="40">N121</f>
        <v>3800</v>
      </c>
      <c r="N121" s="374">
        <v>3800</v>
      </c>
      <c r="O121" s="220">
        <v>3800</v>
      </c>
      <c r="P121" s="183">
        <v>3800</v>
      </c>
      <c r="Q121" s="177">
        <f t="shared" si="38"/>
        <v>0</v>
      </c>
      <c r="R121" s="177">
        <f t="shared" si="38"/>
        <v>0</v>
      </c>
      <c r="S121" s="176"/>
      <c r="T121" s="176">
        <f t="shared" si="39"/>
        <v>0</v>
      </c>
      <c r="U121" s="454">
        <v>3800</v>
      </c>
      <c r="V121" s="454">
        <v>3800</v>
      </c>
      <c r="W121" s="183">
        <v>3800</v>
      </c>
      <c r="X121" s="183">
        <v>3800</v>
      </c>
      <c r="Y121" s="177"/>
      <c r="Z121" s="177"/>
      <c r="AA121" s="177"/>
      <c r="AB121" s="177"/>
      <c r="AC121" s="177"/>
      <c r="AD121" s="177"/>
      <c r="AE121" s="177"/>
      <c r="AF121" s="177"/>
      <c r="AG121" s="177"/>
      <c r="AH121" s="177"/>
      <c r="AI121" s="185" t="s">
        <v>404</v>
      </c>
      <c r="AJ121" s="173">
        <f t="shared" si="22"/>
        <v>0</v>
      </c>
    </row>
    <row r="122" spans="1:36" ht="49.5" x14ac:dyDescent="0.25">
      <c r="A122" s="230">
        <v>9</v>
      </c>
      <c r="B122" s="233" t="s">
        <v>1685</v>
      </c>
      <c r="C122" s="230" t="s">
        <v>1649</v>
      </c>
      <c r="D122" s="180" t="s">
        <v>1684</v>
      </c>
      <c r="E122" s="188" t="s">
        <v>199</v>
      </c>
      <c r="F122" s="188" t="s">
        <v>1683</v>
      </c>
      <c r="G122" s="239">
        <v>8281</v>
      </c>
      <c r="H122" s="229">
        <f t="shared" si="37"/>
        <v>8281</v>
      </c>
      <c r="I122" s="177"/>
      <c r="J122" s="177"/>
      <c r="K122" s="177"/>
      <c r="L122" s="177"/>
      <c r="M122" s="374">
        <f t="shared" si="40"/>
        <v>7300</v>
      </c>
      <c r="N122" s="374">
        <v>7300</v>
      </c>
      <c r="O122" s="220">
        <v>7300</v>
      </c>
      <c r="P122" s="183">
        <v>7300</v>
      </c>
      <c r="Q122" s="177">
        <f t="shared" si="38"/>
        <v>0</v>
      </c>
      <c r="R122" s="177">
        <f t="shared" si="38"/>
        <v>0</v>
      </c>
      <c r="S122" s="176"/>
      <c r="T122" s="176">
        <f t="shared" si="39"/>
        <v>0</v>
      </c>
      <c r="U122" s="454">
        <v>7300</v>
      </c>
      <c r="V122" s="454">
        <v>7300</v>
      </c>
      <c r="W122" s="183">
        <v>7300</v>
      </c>
      <c r="X122" s="183">
        <v>7300</v>
      </c>
      <c r="Y122" s="177"/>
      <c r="Z122" s="177"/>
      <c r="AA122" s="177"/>
      <c r="AB122" s="177"/>
      <c r="AC122" s="177"/>
      <c r="AD122" s="177"/>
      <c r="AE122" s="177"/>
      <c r="AF122" s="177"/>
      <c r="AG122" s="177"/>
      <c r="AH122" s="177"/>
      <c r="AI122" s="198"/>
      <c r="AJ122" s="173">
        <f t="shared" si="22"/>
        <v>0</v>
      </c>
    </row>
    <row r="123" spans="1:36" ht="49.5" x14ac:dyDescent="0.25">
      <c r="A123" s="230">
        <v>10</v>
      </c>
      <c r="B123" s="411" t="s">
        <v>1682</v>
      </c>
      <c r="C123" s="230" t="s">
        <v>1649</v>
      </c>
      <c r="D123" s="180" t="s">
        <v>1681</v>
      </c>
      <c r="E123" s="188" t="s">
        <v>199</v>
      </c>
      <c r="F123" s="188" t="s">
        <v>1680</v>
      </c>
      <c r="G123" s="196">
        <v>1823</v>
      </c>
      <c r="H123" s="229">
        <f t="shared" si="37"/>
        <v>1823</v>
      </c>
      <c r="I123" s="177"/>
      <c r="J123" s="177"/>
      <c r="K123" s="177"/>
      <c r="L123" s="177"/>
      <c r="M123" s="374">
        <f t="shared" si="40"/>
        <v>1550</v>
      </c>
      <c r="N123" s="374">
        <v>1550</v>
      </c>
      <c r="O123" s="220">
        <v>1550</v>
      </c>
      <c r="P123" s="183">
        <v>1550</v>
      </c>
      <c r="Q123" s="177">
        <f t="shared" si="38"/>
        <v>0</v>
      </c>
      <c r="R123" s="177">
        <f t="shared" si="38"/>
        <v>0</v>
      </c>
      <c r="S123" s="176"/>
      <c r="T123" s="176">
        <f t="shared" si="39"/>
        <v>0</v>
      </c>
      <c r="U123" s="454">
        <v>1550</v>
      </c>
      <c r="V123" s="454">
        <v>1550</v>
      </c>
      <c r="W123" s="183">
        <v>1550</v>
      </c>
      <c r="X123" s="183">
        <v>1550</v>
      </c>
      <c r="Y123" s="177"/>
      <c r="Z123" s="177"/>
      <c r="AA123" s="177"/>
      <c r="AB123" s="177"/>
      <c r="AC123" s="177"/>
      <c r="AD123" s="177"/>
      <c r="AE123" s="177"/>
      <c r="AF123" s="177"/>
      <c r="AG123" s="177"/>
      <c r="AH123" s="177"/>
      <c r="AI123" s="185" t="s">
        <v>404</v>
      </c>
      <c r="AJ123" s="173">
        <f t="shared" si="22"/>
        <v>0</v>
      </c>
    </row>
    <row r="124" spans="1:36" ht="49.5" x14ac:dyDescent="0.25">
      <c r="A124" s="230">
        <v>11</v>
      </c>
      <c r="B124" s="233" t="s">
        <v>1679</v>
      </c>
      <c r="C124" s="230" t="s">
        <v>1649</v>
      </c>
      <c r="D124" s="197" t="s">
        <v>1678</v>
      </c>
      <c r="E124" s="188" t="s">
        <v>199</v>
      </c>
      <c r="F124" s="188" t="s">
        <v>1677</v>
      </c>
      <c r="G124" s="196">
        <v>333</v>
      </c>
      <c r="H124" s="229">
        <f t="shared" si="37"/>
        <v>333</v>
      </c>
      <c r="I124" s="177"/>
      <c r="J124" s="177"/>
      <c r="K124" s="177"/>
      <c r="L124" s="177"/>
      <c r="M124" s="374">
        <f t="shared" si="40"/>
        <v>290</v>
      </c>
      <c r="N124" s="374">
        <v>290</v>
      </c>
      <c r="O124" s="220">
        <v>290</v>
      </c>
      <c r="P124" s="183">
        <v>290</v>
      </c>
      <c r="Q124" s="177">
        <f t="shared" si="38"/>
        <v>0</v>
      </c>
      <c r="R124" s="177">
        <f t="shared" si="38"/>
        <v>0</v>
      </c>
      <c r="S124" s="176"/>
      <c r="T124" s="176">
        <f t="shared" si="39"/>
        <v>0</v>
      </c>
      <c r="U124" s="454">
        <v>290</v>
      </c>
      <c r="V124" s="454">
        <v>290</v>
      </c>
      <c r="W124" s="183">
        <v>290</v>
      </c>
      <c r="X124" s="183">
        <v>290</v>
      </c>
      <c r="Y124" s="177"/>
      <c r="Z124" s="177"/>
      <c r="AA124" s="177"/>
      <c r="AB124" s="177"/>
      <c r="AC124" s="177"/>
      <c r="AD124" s="177"/>
      <c r="AE124" s="177"/>
      <c r="AF124" s="177"/>
      <c r="AG124" s="177"/>
      <c r="AH124" s="177"/>
      <c r="AI124" s="185" t="s">
        <v>404</v>
      </c>
      <c r="AJ124" s="173">
        <f t="shared" si="22"/>
        <v>0</v>
      </c>
    </row>
    <row r="125" spans="1:36" ht="49.5" x14ac:dyDescent="0.25">
      <c r="A125" s="230">
        <v>12</v>
      </c>
      <c r="B125" s="233" t="s">
        <v>1676</v>
      </c>
      <c r="C125" s="230" t="s">
        <v>1649</v>
      </c>
      <c r="D125" s="197" t="s">
        <v>1675</v>
      </c>
      <c r="E125" s="188" t="s">
        <v>199</v>
      </c>
      <c r="F125" s="188" t="s">
        <v>1674</v>
      </c>
      <c r="G125" s="196">
        <v>1716</v>
      </c>
      <c r="H125" s="229">
        <f t="shared" si="37"/>
        <v>1716</v>
      </c>
      <c r="I125" s="177"/>
      <c r="J125" s="177"/>
      <c r="K125" s="177"/>
      <c r="L125" s="177"/>
      <c r="M125" s="374">
        <f t="shared" si="40"/>
        <v>1570</v>
      </c>
      <c r="N125" s="374">
        <v>1570</v>
      </c>
      <c r="O125" s="220">
        <v>1570</v>
      </c>
      <c r="P125" s="183">
        <v>1570</v>
      </c>
      <c r="Q125" s="177">
        <f t="shared" si="38"/>
        <v>0</v>
      </c>
      <c r="R125" s="177">
        <f t="shared" si="38"/>
        <v>0</v>
      </c>
      <c r="S125" s="176"/>
      <c r="T125" s="176">
        <f t="shared" si="39"/>
        <v>0</v>
      </c>
      <c r="U125" s="454">
        <v>1570</v>
      </c>
      <c r="V125" s="454">
        <v>1570</v>
      </c>
      <c r="W125" s="183">
        <v>1570</v>
      </c>
      <c r="X125" s="183">
        <v>1570</v>
      </c>
      <c r="Y125" s="177"/>
      <c r="Z125" s="177"/>
      <c r="AA125" s="177"/>
      <c r="AB125" s="177"/>
      <c r="AC125" s="177"/>
      <c r="AD125" s="177"/>
      <c r="AE125" s="177"/>
      <c r="AF125" s="177"/>
      <c r="AG125" s="177"/>
      <c r="AH125" s="177"/>
      <c r="AI125" s="185" t="s">
        <v>404</v>
      </c>
      <c r="AJ125" s="173">
        <f t="shared" si="22"/>
        <v>0</v>
      </c>
    </row>
    <row r="126" spans="1:36" ht="49.5" x14ac:dyDescent="0.25">
      <c r="A126" s="230">
        <v>13</v>
      </c>
      <c r="B126" s="233" t="s">
        <v>1673</v>
      </c>
      <c r="C126" s="230" t="s">
        <v>1649</v>
      </c>
      <c r="D126" s="197" t="s">
        <v>1672</v>
      </c>
      <c r="E126" s="188" t="s">
        <v>199</v>
      </c>
      <c r="F126" s="188" t="s">
        <v>1671</v>
      </c>
      <c r="G126" s="196">
        <v>1307</v>
      </c>
      <c r="H126" s="229">
        <f t="shared" si="37"/>
        <v>1307</v>
      </c>
      <c r="I126" s="177"/>
      <c r="J126" s="177"/>
      <c r="K126" s="177"/>
      <c r="L126" s="177"/>
      <c r="M126" s="374">
        <f t="shared" si="40"/>
        <v>1180</v>
      </c>
      <c r="N126" s="374">
        <v>1180</v>
      </c>
      <c r="O126" s="220">
        <v>1180</v>
      </c>
      <c r="P126" s="183">
        <v>1180</v>
      </c>
      <c r="Q126" s="177">
        <f t="shared" si="38"/>
        <v>0</v>
      </c>
      <c r="R126" s="177">
        <f t="shared" si="38"/>
        <v>0</v>
      </c>
      <c r="S126" s="176"/>
      <c r="T126" s="176">
        <f t="shared" si="39"/>
        <v>0</v>
      </c>
      <c r="U126" s="454">
        <v>1180</v>
      </c>
      <c r="V126" s="454">
        <v>1180</v>
      </c>
      <c r="W126" s="183">
        <v>1140</v>
      </c>
      <c r="X126" s="183">
        <v>1140</v>
      </c>
      <c r="Y126" s="177"/>
      <c r="Z126" s="177"/>
      <c r="AA126" s="177"/>
      <c r="AB126" s="177"/>
      <c r="AC126" s="177"/>
      <c r="AD126" s="177"/>
      <c r="AE126" s="177"/>
      <c r="AF126" s="177"/>
      <c r="AG126" s="177"/>
      <c r="AH126" s="177"/>
      <c r="AI126" s="185"/>
      <c r="AJ126" s="173">
        <f t="shared" si="22"/>
        <v>0</v>
      </c>
    </row>
    <row r="127" spans="1:36" ht="49.5" x14ac:dyDescent="0.25">
      <c r="A127" s="230">
        <v>14</v>
      </c>
      <c r="B127" s="233" t="s">
        <v>1670</v>
      </c>
      <c r="C127" s="230" t="s">
        <v>1649</v>
      </c>
      <c r="D127" s="197" t="s">
        <v>1669</v>
      </c>
      <c r="E127" s="188" t="s">
        <v>199</v>
      </c>
      <c r="F127" s="188" t="s">
        <v>1668</v>
      </c>
      <c r="G127" s="196">
        <v>418</v>
      </c>
      <c r="H127" s="229">
        <f t="shared" si="37"/>
        <v>418</v>
      </c>
      <c r="I127" s="177"/>
      <c r="J127" s="177"/>
      <c r="K127" s="177"/>
      <c r="L127" s="177"/>
      <c r="M127" s="374">
        <f t="shared" si="40"/>
        <v>370</v>
      </c>
      <c r="N127" s="374">
        <v>370</v>
      </c>
      <c r="O127" s="220">
        <v>370</v>
      </c>
      <c r="P127" s="183">
        <v>370</v>
      </c>
      <c r="Q127" s="177">
        <f t="shared" si="38"/>
        <v>0</v>
      </c>
      <c r="R127" s="177">
        <f t="shared" si="38"/>
        <v>0</v>
      </c>
      <c r="S127" s="176"/>
      <c r="T127" s="176">
        <f t="shared" si="39"/>
        <v>0</v>
      </c>
      <c r="U127" s="454">
        <v>370</v>
      </c>
      <c r="V127" s="454">
        <v>370</v>
      </c>
      <c r="W127" s="183">
        <f>X127</f>
        <v>365</v>
      </c>
      <c r="X127" s="183">
        <v>365</v>
      </c>
      <c r="Y127" s="177"/>
      <c r="Z127" s="177"/>
      <c r="AA127" s="177"/>
      <c r="AB127" s="177"/>
      <c r="AC127" s="177"/>
      <c r="AD127" s="177"/>
      <c r="AE127" s="177"/>
      <c r="AF127" s="177"/>
      <c r="AG127" s="177"/>
      <c r="AH127" s="177"/>
      <c r="AI127" s="185"/>
      <c r="AJ127" s="173">
        <f t="shared" si="22"/>
        <v>0</v>
      </c>
    </row>
    <row r="128" spans="1:36" ht="49.5" x14ac:dyDescent="0.25">
      <c r="A128" s="230">
        <v>15</v>
      </c>
      <c r="B128" s="233" t="s">
        <v>1667</v>
      </c>
      <c r="C128" s="230" t="s">
        <v>1649</v>
      </c>
      <c r="D128" s="197" t="s">
        <v>1666</v>
      </c>
      <c r="E128" s="188" t="s">
        <v>199</v>
      </c>
      <c r="F128" s="188" t="s">
        <v>1665</v>
      </c>
      <c r="G128" s="196">
        <v>379</v>
      </c>
      <c r="H128" s="229">
        <f t="shared" si="37"/>
        <v>379</v>
      </c>
      <c r="I128" s="177"/>
      <c r="J128" s="177"/>
      <c r="K128" s="177"/>
      <c r="L128" s="177"/>
      <c r="M128" s="374">
        <f t="shared" si="40"/>
        <v>330</v>
      </c>
      <c r="N128" s="374">
        <v>330</v>
      </c>
      <c r="O128" s="220">
        <v>330</v>
      </c>
      <c r="P128" s="231">
        <v>330</v>
      </c>
      <c r="Q128" s="177">
        <f t="shared" si="38"/>
        <v>0</v>
      </c>
      <c r="R128" s="177">
        <f t="shared" si="38"/>
        <v>0</v>
      </c>
      <c r="S128" s="176"/>
      <c r="T128" s="176">
        <f t="shared" si="39"/>
        <v>0</v>
      </c>
      <c r="U128" s="454">
        <v>330</v>
      </c>
      <c r="V128" s="455">
        <v>330</v>
      </c>
      <c r="W128" s="183">
        <v>330</v>
      </c>
      <c r="X128" s="183">
        <v>330</v>
      </c>
      <c r="Y128" s="177"/>
      <c r="Z128" s="177"/>
      <c r="AA128" s="177"/>
      <c r="AB128" s="177"/>
      <c r="AC128" s="177"/>
      <c r="AD128" s="177"/>
      <c r="AE128" s="177"/>
      <c r="AF128" s="177"/>
      <c r="AG128" s="177"/>
      <c r="AH128" s="177"/>
      <c r="AI128" s="185" t="s">
        <v>404</v>
      </c>
      <c r="AJ128" s="173">
        <f t="shared" si="22"/>
        <v>0</v>
      </c>
    </row>
    <row r="129" spans="1:36" ht="66" x14ac:dyDescent="0.25">
      <c r="A129" s="410">
        <v>16</v>
      </c>
      <c r="B129" s="237" t="s">
        <v>1664</v>
      </c>
      <c r="C129" s="230" t="s">
        <v>1649</v>
      </c>
      <c r="D129" s="182" t="s">
        <v>1663</v>
      </c>
      <c r="E129" s="188" t="s">
        <v>109</v>
      </c>
      <c r="F129" s="188" t="s">
        <v>1662</v>
      </c>
      <c r="G129" s="236">
        <v>13052</v>
      </c>
      <c r="H129" s="229">
        <f t="shared" si="37"/>
        <v>13052</v>
      </c>
      <c r="I129" s="191"/>
      <c r="J129" s="191"/>
      <c r="K129" s="191"/>
      <c r="L129" s="191"/>
      <c r="M129" s="374">
        <f t="shared" si="40"/>
        <v>11700</v>
      </c>
      <c r="N129" s="374">
        <v>11700</v>
      </c>
      <c r="O129" s="220">
        <v>11700</v>
      </c>
      <c r="P129" s="220">
        <v>11700</v>
      </c>
      <c r="Q129" s="177">
        <f t="shared" si="38"/>
        <v>0</v>
      </c>
      <c r="R129" s="177">
        <f t="shared" si="38"/>
        <v>0</v>
      </c>
      <c r="S129" s="176"/>
      <c r="T129" s="176">
        <f t="shared" si="39"/>
        <v>0</v>
      </c>
      <c r="U129" s="454">
        <v>11700</v>
      </c>
      <c r="V129" s="454">
        <v>11700</v>
      </c>
      <c r="W129" s="183"/>
      <c r="X129" s="183"/>
      <c r="Y129" s="220">
        <v>8974</v>
      </c>
      <c r="Z129" s="220">
        <v>8974</v>
      </c>
      <c r="AA129" s="217"/>
      <c r="AB129" s="217"/>
      <c r="AC129" s="217"/>
      <c r="AD129" s="217"/>
      <c r="AE129" s="217"/>
      <c r="AF129" s="217"/>
      <c r="AG129" s="217"/>
      <c r="AH129" s="217"/>
      <c r="AI129" s="189"/>
      <c r="AJ129" s="173">
        <f t="shared" si="22"/>
        <v>0</v>
      </c>
    </row>
    <row r="130" spans="1:36" ht="49.5" x14ac:dyDescent="0.25">
      <c r="A130" s="410">
        <v>17</v>
      </c>
      <c r="B130" s="237" t="s">
        <v>1661</v>
      </c>
      <c r="C130" s="230" t="s">
        <v>1649</v>
      </c>
      <c r="D130" s="182" t="s">
        <v>1660</v>
      </c>
      <c r="E130" s="188" t="s">
        <v>109</v>
      </c>
      <c r="F130" s="188" t="s">
        <v>1659</v>
      </c>
      <c r="G130" s="236">
        <v>14817</v>
      </c>
      <c r="H130" s="229">
        <f t="shared" si="37"/>
        <v>14817</v>
      </c>
      <c r="I130" s="177"/>
      <c r="J130" s="177"/>
      <c r="K130" s="177"/>
      <c r="L130" s="177"/>
      <c r="M130" s="374">
        <f t="shared" si="40"/>
        <v>13300</v>
      </c>
      <c r="N130" s="374">
        <v>13300</v>
      </c>
      <c r="O130" s="220">
        <v>13300</v>
      </c>
      <c r="P130" s="220">
        <v>13300</v>
      </c>
      <c r="Q130" s="177">
        <f t="shared" si="38"/>
        <v>0</v>
      </c>
      <c r="R130" s="177">
        <f t="shared" si="38"/>
        <v>0</v>
      </c>
      <c r="S130" s="176"/>
      <c r="T130" s="176">
        <f t="shared" si="39"/>
        <v>0</v>
      </c>
      <c r="U130" s="454">
        <v>13300</v>
      </c>
      <c r="V130" s="454">
        <v>13300</v>
      </c>
      <c r="W130" s="177"/>
      <c r="X130" s="177"/>
      <c r="Y130" s="220">
        <v>10189</v>
      </c>
      <c r="Z130" s="220">
        <v>10189</v>
      </c>
      <c r="AA130" s="177"/>
      <c r="AB130" s="177"/>
      <c r="AC130" s="177"/>
      <c r="AD130" s="177"/>
      <c r="AE130" s="177"/>
      <c r="AF130" s="177"/>
      <c r="AG130" s="177"/>
      <c r="AH130" s="177"/>
      <c r="AI130" s="198"/>
      <c r="AJ130" s="173">
        <f t="shared" si="22"/>
        <v>0</v>
      </c>
    </row>
    <row r="131" spans="1:36" ht="49.5" x14ac:dyDescent="0.25">
      <c r="A131" s="410">
        <v>18</v>
      </c>
      <c r="B131" s="237" t="s">
        <v>1658</v>
      </c>
      <c r="C131" s="230" t="s">
        <v>1649</v>
      </c>
      <c r="D131" s="182"/>
      <c r="E131" s="188" t="s">
        <v>109</v>
      </c>
      <c r="F131" s="188" t="s">
        <v>1657</v>
      </c>
      <c r="G131" s="236">
        <v>12800</v>
      </c>
      <c r="H131" s="229">
        <f t="shared" si="37"/>
        <v>12800</v>
      </c>
      <c r="I131" s="265"/>
      <c r="J131" s="265"/>
      <c r="K131" s="265"/>
      <c r="L131" s="265"/>
      <c r="M131" s="374">
        <f t="shared" si="40"/>
        <v>11800</v>
      </c>
      <c r="N131" s="374">
        <v>11800</v>
      </c>
      <c r="O131" s="345">
        <v>11800</v>
      </c>
      <c r="P131" s="345">
        <v>11800</v>
      </c>
      <c r="Q131" s="177">
        <f t="shared" si="38"/>
        <v>0</v>
      </c>
      <c r="R131" s="177">
        <f t="shared" si="38"/>
        <v>0</v>
      </c>
      <c r="S131" s="176"/>
      <c r="T131" s="176">
        <f t="shared" si="39"/>
        <v>0</v>
      </c>
      <c r="U131" s="478">
        <v>11800</v>
      </c>
      <c r="V131" s="478">
        <v>11800</v>
      </c>
      <c r="W131" s="217"/>
      <c r="X131" s="217"/>
      <c r="Y131" s="220">
        <v>11637</v>
      </c>
      <c r="Z131" s="220">
        <v>11637</v>
      </c>
      <c r="AA131" s="217"/>
      <c r="AB131" s="217"/>
      <c r="AC131" s="217"/>
      <c r="AD131" s="217"/>
      <c r="AE131" s="217"/>
      <c r="AF131" s="217"/>
      <c r="AG131" s="217"/>
      <c r="AH131" s="217"/>
      <c r="AI131" s="219"/>
      <c r="AJ131" s="173">
        <f t="shared" si="22"/>
        <v>0</v>
      </c>
    </row>
    <row r="132" spans="1:36" ht="49.5" x14ac:dyDescent="0.25">
      <c r="A132" s="410">
        <v>19</v>
      </c>
      <c r="B132" s="237" t="s">
        <v>1656</v>
      </c>
      <c r="C132" s="230" t="s">
        <v>1649</v>
      </c>
      <c r="D132" s="182" t="s">
        <v>1655</v>
      </c>
      <c r="E132" s="188" t="s">
        <v>109</v>
      </c>
      <c r="F132" s="188"/>
      <c r="G132" s="236">
        <v>14560</v>
      </c>
      <c r="H132" s="229">
        <f t="shared" si="37"/>
        <v>14560</v>
      </c>
      <c r="I132" s="191"/>
      <c r="J132" s="191"/>
      <c r="K132" s="191"/>
      <c r="L132" s="191"/>
      <c r="M132" s="374">
        <f t="shared" si="40"/>
        <v>13000</v>
      </c>
      <c r="N132" s="374">
        <v>13000</v>
      </c>
      <c r="O132" s="218"/>
      <c r="P132" s="218"/>
      <c r="Q132" s="177">
        <f t="shared" si="38"/>
        <v>-13000</v>
      </c>
      <c r="R132" s="177">
        <f t="shared" si="38"/>
        <v>-13000</v>
      </c>
      <c r="S132" s="176"/>
      <c r="T132" s="176">
        <f t="shared" si="39"/>
        <v>13000</v>
      </c>
      <c r="U132" s="467"/>
      <c r="V132" s="467"/>
      <c r="W132" s="217"/>
      <c r="X132" s="217"/>
      <c r="Y132" s="217"/>
      <c r="Z132" s="217"/>
      <c r="AA132" s="217"/>
      <c r="AB132" s="217"/>
      <c r="AC132" s="217"/>
      <c r="AD132" s="217"/>
      <c r="AE132" s="217"/>
      <c r="AF132" s="217"/>
      <c r="AG132" s="217"/>
      <c r="AH132" s="217"/>
      <c r="AI132" s="185" t="s">
        <v>284</v>
      </c>
      <c r="AJ132" s="173">
        <f t="shared" si="22"/>
        <v>1</v>
      </c>
    </row>
    <row r="133" spans="1:36" ht="49.5" x14ac:dyDescent="0.25">
      <c r="A133" s="410">
        <v>20</v>
      </c>
      <c r="B133" s="237" t="s">
        <v>1654</v>
      </c>
      <c r="C133" s="230" t="s">
        <v>1649</v>
      </c>
      <c r="D133" s="182"/>
      <c r="E133" s="188" t="s">
        <v>248</v>
      </c>
      <c r="F133" s="188"/>
      <c r="G133" s="236">
        <f>H133</f>
        <v>83800</v>
      </c>
      <c r="H133" s="229">
        <v>83800</v>
      </c>
      <c r="I133" s="191"/>
      <c r="J133" s="191"/>
      <c r="K133" s="191"/>
      <c r="L133" s="191"/>
      <c r="M133" s="374">
        <f t="shared" si="40"/>
        <v>68200</v>
      </c>
      <c r="N133" s="374">
        <f>71400-3200</f>
        <v>68200</v>
      </c>
      <c r="O133" s="345">
        <f>P133</f>
        <v>82300</v>
      </c>
      <c r="P133" s="345">
        <v>82300</v>
      </c>
      <c r="Q133" s="177">
        <f t="shared" si="38"/>
        <v>14100</v>
      </c>
      <c r="R133" s="177">
        <f t="shared" si="38"/>
        <v>14100</v>
      </c>
      <c r="S133" s="176">
        <f>V133-N133</f>
        <v>14100</v>
      </c>
      <c r="T133" s="176"/>
      <c r="U133" s="478">
        <f>V133</f>
        <v>82300</v>
      </c>
      <c r="V133" s="478">
        <v>82300</v>
      </c>
      <c r="W133" s="217"/>
      <c r="X133" s="217"/>
      <c r="Y133" s="217"/>
      <c r="Z133" s="217"/>
      <c r="AA133" s="217"/>
      <c r="AB133" s="217"/>
      <c r="AC133" s="217"/>
      <c r="AD133" s="217"/>
      <c r="AE133" s="217"/>
      <c r="AF133" s="217"/>
      <c r="AG133" s="217"/>
      <c r="AH133" s="217"/>
      <c r="AI133" s="189"/>
      <c r="AJ133" s="173">
        <f t="shared" si="22"/>
        <v>1</v>
      </c>
    </row>
    <row r="134" spans="1:36" ht="49.5" x14ac:dyDescent="0.25">
      <c r="A134" s="410">
        <v>21</v>
      </c>
      <c r="B134" s="237" t="s">
        <v>1653</v>
      </c>
      <c r="C134" s="230" t="s">
        <v>1649</v>
      </c>
      <c r="D134" s="185" t="s">
        <v>1652</v>
      </c>
      <c r="E134" s="188" t="s">
        <v>290</v>
      </c>
      <c r="F134" s="188"/>
      <c r="G134" s="236">
        <v>20000</v>
      </c>
      <c r="H134" s="229">
        <f>G134</f>
        <v>20000</v>
      </c>
      <c r="I134" s="200"/>
      <c r="J134" s="200"/>
      <c r="K134" s="200"/>
      <c r="L134" s="200"/>
      <c r="M134" s="374">
        <f t="shared" si="40"/>
        <v>18000</v>
      </c>
      <c r="N134" s="374">
        <v>18000</v>
      </c>
      <c r="O134" s="220"/>
      <c r="P134" s="220"/>
      <c r="Q134" s="177">
        <f t="shared" si="38"/>
        <v>-18000</v>
      </c>
      <c r="R134" s="177">
        <f t="shared" si="38"/>
        <v>-18000</v>
      </c>
      <c r="S134" s="176"/>
      <c r="T134" s="176">
        <f t="shared" si="39"/>
        <v>18000</v>
      </c>
      <c r="U134" s="454"/>
      <c r="V134" s="454"/>
      <c r="W134" s="217"/>
      <c r="X134" s="217"/>
      <c r="Y134" s="217"/>
      <c r="Z134" s="217"/>
      <c r="AA134" s="217"/>
      <c r="AB134" s="217"/>
      <c r="AC134" s="217"/>
      <c r="AD134" s="217"/>
      <c r="AE134" s="217"/>
      <c r="AF134" s="217"/>
      <c r="AG134" s="217"/>
      <c r="AH134" s="217"/>
      <c r="AI134" s="185" t="s">
        <v>284</v>
      </c>
      <c r="AJ134" s="173">
        <f t="shared" si="22"/>
        <v>1</v>
      </c>
    </row>
    <row r="135" spans="1:36" ht="49.5" x14ac:dyDescent="0.25">
      <c r="A135" s="410">
        <v>22</v>
      </c>
      <c r="B135" s="237" t="s">
        <v>1651</v>
      </c>
      <c r="C135" s="230" t="s">
        <v>1649</v>
      </c>
      <c r="D135" s="182"/>
      <c r="E135" s="188" t="s">
        <v>290</v>
      </c>
      <c r="F135" s="188"/>
      <c r="G135" s="236">
        <f>H135</f>
        <v>35000</v>
      </c>
      <c r="H135" s="229">
        <v>35000</v>
      </c>
      <c r="I135" s="191"/>
      <c r="J135" s="191"/>
      <c r="K135" s="191"/>
      <c r="L135" s="191"/>
      <c r="M135" s="374">
        <f t="shared" si="40"/>
        <v>9100</v>
      </c>
      <c r="N135" s="374">
        <v>9100</v>
      </c>
      <c r="O135" s="183">
        <f>G135</f>
        <v>35000</v>
      </c>
      <c r="P135" s="183">
        <f>H135</f>
        <v>35000</v>
      </c>
      <c r="Q135" s="177">
        <f t="shared" si="38"/>
        <v>25900</v>
      </c>
      <c r="R135" s="177">
        <f t="shared" si="38"/>
        <v>25900</v>
      </c>
      <c r="S135" s="176">
        <v>25900</v>
      </c>
      <c r="T135" s="176"/>
      <c r="U135" s="454">
        <f>V135</f>
        <v>35000</v>
      </c>
      <c r="V135" s="454">
        <v>35000</v>
      </c>
      <c r="W135" s="217"/>
      <c r="X135" s="217"/>
      <c r="Y135" s="217"/>
      <c r="Z135" s="217"/>
      <c r="AA135" s="217"/>
      <c r="AB135" s="217"/>
      <c r="AC135" s="217"/>
      <c r="AD135" s="217"/>
      <c r="AE135" s="217"/>
      <c r="AF135" s="217"/>
      <c r="AG135" s="217"/>
      <c r="AH135" s="217"/>
      <c r="AI135" s="189"/>
      <c r="AJ135" s="173">
        <f t="shared" si="22"/>
        <v>1</v>
      </c>
    </row>
    <row r="136" spans="1:36" ht="49.5" x14ac:dyDescent="0.25">
      <c r="A136" s="410">
        <v>23</v>
      </c>
      <c r="B136" s="237" t="s">
        <v>1650</v>
      </c>
      <c r="C136" s="230" t="s">
        <v>1649</v>
      </c>
      <c r="D136" s="182"/>
      <c r="E136" s="188" t="s">
        <v>290</v>
      </c>
      <c r="F136" s="188"/>
      <c r="G136" s="236">
        <v>10000</v>
      </c>
      <c r="H136" s="229">
        <v>10000</v>
      </c>
      <c r="I136" s="177"/>
      <c r="J136" s="212"/>
      <c r="K136" s="177"/>
      <c r="L136" s="212"/>
      <c r="M136" s="374">
        <f t="shared" si="40"/>
        <v>9000</v>
      </c>
      <c r="N136" s="374">
        <v>9000</v>
      </c>
      <c r="O136" s="409"/>
      <c r="P136" s="409"/>
      <c r="Q136" s="177">
        <f t="shared" si="38"/>
        <v>-9000</v>
      </c>
      <c r="R136" s="177">
        <f t="shared" si="38"/>
        <v>-9000</v>
      </c>
      <c r="S136" s="176"/>
      <c r="T136" s="176">
        <f t="shared" si="39"/>
        <v>9000</v>
      </c>
      <c r="U136" s="477"/>
      <c r="V136" s="477"/>
      <c r="W136" s="217"/>
      <c r="X136" s="217"/>
      <c r="Y136" s="217"/>
      <c r="Z136" s="217"/>
      <c r="AA136" s="217"/>
      <c r="AB136" s="217"/>
      <c r="AC136" s="217"/>
      <c r="AD136" s="217"/>
      <c r="AE136" s="217"/>
      <c r="AF136" s="217"/>
      <c r="AG136" s="217"/>
      <c r="AH136" s="217"/>
      <c r="AI136" s="185" t="s">
        <v>284</v>
      </c>
      <c r="AJ136" s="173">
        <f t="shared" si="22"/>
        <v>1</v>
      </c>
    </row>
    <row r="137" spans="1:36" s="203" customFormat="1" ht="16.5" x14ac:dyDescent="0.25">
      <c r="A137" s="394" t="s">
        <v>333</v>
      </c>
      <c r="B137" s="395" t="s">
        <v>1239</v>
      </c>
      <c r="C137" s="394"/>
      <c r="D137" s="394"/>
      <c r="E137" s="394"/>
      <c r="F137" s="393"/>
      <c r="G137" s="408">
        <f>G138</f>
        <v>324941.71791925468</v>
      </c>
      <c r="H137" s="408">
        <f>H138</f>
        <v>324941.71791925468</v>
      </c>
      <c r="I137" s="240"/>
      <c r="J137" s="241"/>
      <c r="K137" s="240"/>
      <c r="L137" s="241"/>
      <c r="M137" s="408">
        <f t="shared" ref="M137:AB138" si="41">M138</f>
        <v>189999.52380952382</v>
      </c>
      <c r="N137" s="408">
        <f t="shared" si="41"/>
        <v>189999.52380952382</v>
      </c>
      <c r="O137" s="407">
        <f t="shared" si="41"/>
        <v>190000</v>
      </c>
      <c r="P137" s="407">
        <f t="shared" si="41"/>
        <v>190000</v>
      </c>
      <c r="Q137" s="408">
        <f t="shared" si="41"/>
        <v>0.47619047619809862</v>
      </c>
      <c r="R137" s="408">
        <f t="shared" si="41"/>
        <v>0.47619047619809862</v>
      </c>
      <c r="S137" s="408">
        <f t="shared" si="41"/>
        <v>92360</v>
      </c>
      <c r="T137" s="408">
        <f t="shared" si="41"/>
        <v>92359.523809523802</v>
      </c>
      <c r="U137" s="458">
        <f t="shared" si="41"/>
        <v>190000</v>
      </c>
      <c r="V137" s="458">
        <f t="shared" si="41"/>
        <v>190000</v>
      </c>
      <c r="W137" s="407">
        <f t="shared" si="41"/>
        <v>38000</v>
      </c>
      <c r="X137" s="407">
        <f t="shared" si="41"/>
        <v>38000</v>
      </c>
      <c r="Y137" s="407">
        <f t="shared" si="41"/>
        <v>35093</v>
      </c>
      <c r="Z137" s="407">
        <f t="shared" si="41"/>
        <v>35093</v>
      </c>
      <c r="AA137" s="407">
        <f t="shared" si="41"/>
        <v>0</v>
      </c>
      <c r="AB137" s="407">
        <f t="shared" si="41"/>
        <v>0</v>
      </c>
      <c r="AC137" s="407">
        <f t="shared" ref="AC137:AH138" si="42">AC138</f>
        <v>0</v>
      </c>
      <c r="AD137" s="407">
        <f t="shared" si="42"/>
        <v>0</v>
      </c>
      <c r="AE137" s="407">
        <f t="shared" si="42"/>
        <v>0</v>
      </c>
      <c r="AF137" s="407">
        <f t="shared" si="42"/>
        <v>0</v>
      </c>
      <c r="AG137" s="407">
        <f t="shared" si="42"/>
        <v>0</v>
      </c>
      <c r="AH137" s="407">
        <f t="shared" si="42"/>
        <v>0</v>
      </c>
      <c r="AI137" s="204"/>
      <c r="AJ137" s="173">
        <f t="shared" si="22"/>
        <v>1</v>
      </c>
    </row>
    <row r="138" spans="1:36" ht="34.5" x14ac:dyDescent="0.25">
      <c r="A138" s="195" t="s">
        <v>85</v>
      </c>
      <c r="B138" s="193" t="s">
        <v>86</v>
      </c>
      <c r="C138" s="192"/>
      <c r="D138" s="192"/>
      <c r="E138" s="192"/>
      <c r="F138" s="192"/>
      <c r="G138" s="191">
        <f>G139</f>
        <v>324941.71791925468</v>
      </c>
      <c r="H138" s="191">
        <f>H139</f>
        <v>324941.71791925468</v>
      </c>
      <c r="I138" s="191"/>
      <c r="J138" s="191"/>
      <c r="K138" s="191"/>
      <c r="L138" s="191"/>
      <c r="M138" s="191">
        <f t="shared" si="41"/>
        <v>189999.52380952382</v>
      </c>
      <c r="N138" s="191">
        <f t="shared" si="41"/>
        <v>189999.52380952382</v>
      </c>
      <c r="O138" s="190">
        <f t="shared" si="41"/>
        <v>190000</v>
      </c>
      <c r="P138" s="190">
        <f t="shared" si="41"/>
        <v>190000</v>
      </c>
      <c r="Q138" s="191">
        <f t="shared" si="41"/>
        <v>0.47619047619809862</v>
      </c>
      <c r="R138" s="191">
        <f t="shared" si="41"/>
        <v>0.47619047619809862</v>
      </c>
      <c r="S138" s="191">
        <f t="shared" si="41"/>
        <v>92360</v>
      </c>
      <c r="T138" s="191">
        <f t="shared" si="41"/>
        <v>92359.523809523802</v>
      </c>
      <c r="U138" s="474">
        <f t="shared" si="41"/>
        <v>190000</v>
      </c>
      <c r="V138" s="474">
        <f t="shared" si="41"/>
        <v>190000</v>
      </c>
      <c r="W138" s="190">
        <f t="shared" si="41"/>
        <v>38000</v>
      </c>
      <c r="X138" s="190">
        <f t="shared" si="41"/>
        <v>38000</v>
      </c>
      <c r="Y138" s="190">
        <f t="shared" si="41"/>
        <v>35093</v>
      </c>
      <c r="Z138" s="190">
        <f t="shared" si="41"/>
        <v>35093</v>
      </c>
      <c r="AA138" s="190">
        <f t="shared" si="41"/>
        <v>0</v>
      </c>
      <c r="AB138" s="190">
        <f t="shared" si="41"/>
        <v>0</v>
      </c>
      <c r="AC138" s="190">
        <f t="shared" si="42"/>
        <v>0</v>
      </c>
      <c r="AD138" s="190">
        <f t="shared" si="42"/>
        <v>0</v>
      </c>
      <c r="AE138" s="190">
        <f t="shared" si="42"/>
        <v>0</v>
      </c>
      <c r="AF138" s="190">
        <f t="shared" si="42"/>
        <v>0</v>
      </c>
      <c r="AG138" s="190">
        <f t="shared" si="42"/>
        <v>0</v>
      </c>
      <c r="AH138" s="190">
        <f t="shared" si="42"/>
        <v>0</v>
      </c>
      <c r="AI138" s="189"/>
      <c r="AJ138" s="173">
        <f t="shared" si="22"/>
        <v>1</v>
      </c>
    </row>
    <row r="139" spans="1:36" ht="51.75" x14ac:dyDescent="0.25">
      <c r="A139" s="194" t="s">
        <v>87</v>
      </c>
      <c r="B139" s="193" t="s">
        <v>88</v>
      </c>
      <c r="C139" s="192"/>
      <c r="D139" s="192"/>
      <c r="E139" s="192"/>
      <c r="F139" s="192"/>
      <c r="G139" s="191">
        <f>G141+SUM(G144:G146)+G149+SUM(G152:G154)+G158+G160+G161+G163+SUM(G165:G175)+SUM(G177:G245)</f>
        <v>324941.71791925468</v>
      </c>
      <c r="H139" s="191">
        <f>H141+SUM(H144:H146)+H149+SUM(H152:H154)+H158+H160+H161+H163+SUM(H165:H175)+SUM(H177:H245)</f>
        <v>324941.71791925468</v>
      </c>
      <c r="I139" s="191"/>
      <c r="J139" s="191"/>
      <c r="K139" s="191"/>
      <c r="L139" s="191"/>
      <c r="M139" s="191">
        <f>SUM(M140:M245)</f>
        <v>189999.52380952382</v>
      </c>
      <c r="N139" s="191">
        <f t="shared" ref="N139:Z139" si="43">SUM(N140:N245)</f>
        <v>189999.52380952382</v>
      </c>
      <c r="O139" s="191">
        <f t="shared" si="43"/>
        <v>190000</v>
      </c>
      <c r="P139" s="191">
        <f t="shared" si="43"/>
        <v>190000</v>
      </c>
      <c r="Q139" s="191">
        <f t="shared" si="43"/>
        <v>0.47619047619809862</v>
      </c>
      <c r="R139" s="191">
        <f t="shared" si="43"/>
        <v>0.47619047619809862</v>
      </c>
      <c r="S139" s="191">
        <f t="shared" si="43"/>
        <v>92360</v>
      </c>
      <c r="T139" s="191">
        <f t="shared" si="43"/>
        <v>92359.523809523802</v>
      </c>
      <c r="U139" s="191">
        <f t="shared" si="43"/>
        <v>190000</v>
      </c>
      <c r="V139" s="191">
        <f t="shared" si="43"/>
        <v>190000</v>
      </c>
      <c r="W139" s="191">
        <f t="shared" si="43"/>
        <v>38000</v>
      </c>
      <c r="X139" s="191">
        <f t="shared" si="43"/>
        <v>38000</v>
      </c>
      <c r="Y139" s="191">
        <f t="shared" si="43"/>
        <v>35093</v>
      </c>
      <c r="Z139" s="191">
        <f t="shared" si="43"/>
        <v>35093</v>
      </c>
      <c r="AA139" s="190">
        <f t="shared" ref="AA139:AH139" si="44">SUM(AA140:AA245)</f>
        <v>0</v>
      </c>
      <c r="AB139" s="190">
        <f t="shared" si="44"/>
        <v>0</v>
      </c>
      <c r="AC139" s="190">
        <f t="shared" si="44"/>
        <v>0</v>
      </c>
      <c r="AD139" s="190">
        <f t="shared" si="44"/>
        <v>0</v>
      </c>
      <c r="AE139" s="190">
        <f t="shared" si="44"/>
        <v>0</v>
      </c>
      <c r="AF139" s="190">
        <f t="shared" si="44"/>
        <v>0</v>
      </c>
      <c r="AG139" s="190">
        <f t="shared" si="44"/>
        <v>0</v>
      </c>
      <c r="AH139" s="190">
        <f t="shared" si="44"/>
        <v>0</v>
      </c>
      <c r="AI139" s="189"/>
      <c r="AJ139" s="173">
        <f t="shared" si="22"/>
        <v>1</v>
      </c>
    </row>
    <row r="140" spans="1:36" ht="49.5" x14ac:dyDescent="0.25">
      <c r="A140" s="188">
        <v>1</v>
      </c>
      <c r="B140" s="233" t="s">
        <v>1648</v>
      </c>
      <c r="C140" s="188" t="s">
        <v>1359</v>
      </c>
      <c r="D140" s="188" t="s">
        <v>1647</v>
      </c>
      <c r="E140" s="188">
        <v>2016</v>
      </c>
      <c r="F140" s="188" t="s">
        <v>1646</v>
      </c>
      <c r="G140" s="212">
        <v>9627</v>
      </c>
      <c r="H140" s="229">
        <f t="shared" ref="H140:H179" si="45">G140</f>
        <v>9627</v>
      </c>
      <c r="I140" s="177"/>
      <c r="J140" s="212"/>
      <c r="K140" s="177"/>
      <c r="L140" s="212"/>
      <c r="M140" s="374">
        <f t="shared" ref="M140:M192" si="46">N140</f>
        <v>8850</v>
      </c>
      <c r="N140" s="212">
        <v>8850</v>
      </c>
      <c r="O140" s="403">
        <v>8850</v>
      </c>
      <c r="P140" s="383">
        <v>8850</v>
      </c>
      <c r="Q140" s="177">
        <f t="shared" ref="Q140:R171" si="47">O140-M140</f>
        <v>0</v>
      </c>
      <c r="R140" s="177">
        <f t="shared" si="47"/>
        <v>0</v>
      </c>
      <c r="S140" s="176"/>
      <c r="T140" s="176"/>
      <c r="U140" s="479">
        <v>8850</v>
      </c>
      <c r="V140" s="459">
        <v>8850</v>
      </c>
      <c r="W140" s="177">
        <f t="shared" ref="W140:W175" si="48">X140</f>
        <v>5770</v>
      </c>
      <c r="X140" s="177">
        <v>5770</v>
      </c>
      <c r="Y140" s="177">
        <f t="shared" ref="Y140:Y175" si="49">Z140</f>
        <v>2177</v>
      </c>
      <c r="Z140" s="177">
        <v>2177</v>
      </c>
      <c r="AA140" s="177"/>
      <c r="AB140" s="177"/>
      <c r="AC140" s="177"/>
      <c r="AD140" s="177"/>
      <c r="AE140" s="177"/>
      <c r="AF140" s="177"/>
      <c r="AG140" s="177"/>
      <c r="AH140" s="177"/>
      <c r="AI140" s="198"/>
      <c r="AJ140" s="173">
        <f t="shared" si="22"/>
        <v>0</v>
      </c>
    </row>
    <row r="141" spans="1:36" ht="82.5" x14ac:dyDescent="0.25">
      <c r="A141" s="188">
        <v>2</v>
      </c>
      <c r="B141" s="405" t="s">
        <v>1645</v>
      </c>
      <c r="C141" s="188" t="s">
        <v>1640</v>
      </c>
      <c r="D141" s="188" t="s">
        <v>1644</v>
      </c>
      <c r="E141" s="188">
        <v>2016</v>
      </c>
      <c r="F141" s="188" t="s">
        <v>1643</v>
      </c>
      <c r="G141" s="212">
        <v>1934</v>
      </c>
      <c r="H141" s="229">
        <f t="shared" si="45"/>
        <v>1934</v>
      </c>
      <c r="I141" s="177"/>
      <c r="J141" s="212"/>
      <c r="K141" s="177"/>
      <c r="L141" s="212"/>
      <c r="M141" s="374">
        <f t="shared" si="46"/>
        <v>1750</v>
      </c>
      <c r="N141" s="212">
        <v>1750</v>
      </c>
      <c r="O141" s="403">
        <f>P141</f>
        <v>1520</v>
      </c>
      <c r="P141" s="383">
        <v>1520</v>
      </c>
      <c r="Q141" s="177">
        <f t="shared" si="47"/>
        <v>-230</v>
      </c>
      <c r="R141" s="177">
        <f t="shared" si="47"/>
        <v>-230</v>
      </c>
      <c r="S141" s="176"/>
      <c r="T141" s="176">
        <f>N141-V141</f>
        <v>230</v>
      </c>
      <c r="U141" s="479">
        <f>V141</f>
        <v>1520</v>
      </c>
      <c r="V141" s="459">
        <v>1520</v>
      </c>
      <c r="W141" s="177">
        <f t="shared" si="48"/>
        <v>1160</v>
      </c>
      <c r="X141" s="177">
        <v>1160</v>
      </c>
      <c r="Y141" s="177">
        <f t="shared" si="49"/>
        <v>200</v>
      </c>
      <c r="Z141" s="177">
        <v>200</v>
      </c>
      <c r="AA141" s="177"/>
      <c r="AB141" s="177"/>
      <c r="AC141" s="177"/>
      <c r="AD141" s="177"/>
      <c r="AE141" s="177"/>
      <c r="AF141" s="177"/>
      <c r="AG141" s="177"/>
      <c r="AH141" s="177"/>
      <c r="AI141" s="185" t="s">
        <v>1642</v>
      </c>
      <c r="AJ141" s="173">
        <f t="shared" si="22"/>
        <v>1</v>
      </c>
    </row>
    <row r="142" spans="1:36" ht="66" x14ac:dyDescent="0.25">
      <c r="A142" s="188">
        <v>3</v>
      </c>
      <c r="B142" s="405" t="s">
        <v>1641</v>
      </c>
      <c r="C142" s="188" t="s">
        <v>1640</v>
      </c>
      <c r="D142" s="188" t="s">
        <v>1639</v>
      </c>
      <c r="E142" s="188">
        <v>2016</v>
      </c>
      <c r="F142" s="188" t="s">
        <v>1638</v>
      </c>
      <c r="G142" s="212">
        <v>8333</v>
      </c>
      <c r="H142" s="229">
        <f t="shared" si="45"/>
        <v>8333</v>
      </c>
      <c r="I142" s="177"/>
      <c r="J142" s="212"/>
      <c r="K142" s="177"/>
      <c r="L142" s="212"/>
      <c r="M142" s="374">
        <f t="shared" si="46"/>
        <v>7550</v>
      </c>
      <c r="N142" s="212">
        <v>7550</v>
      </c>
      <c r="O142" s="403">
        <v>7550</v>
      </c>
      <c r="P142" s="383">
        <v>7550</v>
      </c>
      <c r="Q142" s="177">
        <f t="shared" si="47"/>
        <v>0</v>
      </c>
      <c r="R142" s="177">
        <f t="shared" si="47"/>
        <v>0</v>
      </c>
      <c r="S142" s="176"/>
      <c r="T142" s="176"/>
      <c r="U142" s="479">
        <v>7550</v>
      </c>
      <c r="V142" s="459">
        <v>7550</v>
      </c>
      <c r="W142" s="177">
        <f t="shared" si="48"/>
        <v>5000</v>
      </c>
      <c r="X142" s="177">
        <v>5000</v>
      </c>
      <c r="Y142" s="177">
        <f t="shared" si="49"/>
        <v>1275</v>
      </c>
      <c r="Z142" s="177">
        <v>1275</v>
      </c>
      <c r="AA142" s="177"/>
      <c r="AB142" s="177"/>
      <c r="AC142" s="177"/>
      <c r="AD142" s="177"/>
      <c r="AE142" s="177"/>
      <c r="AF142" s="177"/>
      <c r="AG142" s="177"/>
      <c r="AH142" s="177"/>
      <c r="AI142" s="198"/>
      <c r="AJ142" s="173">
        <f t="shared" si="22"/>
        <v>0</v>
      </c>
    </row>
    <row r="143" spans="1:36" ht="49.5" x14ac:dyDescent="0.25">
      <c r="A143" s="188">
        <v>4</v>
      </c>
      <c r="B143" s="251" t="s">
        <v>1637</v>
      </c>
      <c r="C143" s="188" t="s">
        <v>1357</v>
      </c>
      <c r="D143" s="188" t="s">
        <v>1636</v>
      </c>
      <c r="E143" s="188">
        <v>2016</v>
      </c>
      <c r="F143" s="188" t="s">
        <v>1635</v>
      </c>
      <c r="G143" s="212">
        <v>2669</v>
      </c>
      <c r="H143" s="229">
        <f t="shared" si="45"/>
        <v>2669</v>
      </c>
      <c r="I143" s="191"/>
      <c r="J143" s="191"/>
      <c r="K143" s="191"/>
      <c r="L143" s="191"/>
      <c r="M143" s="374">
        <f t="shared" si="46"/>
        <v>2450</v>
      </c>
      <c r="N143" s="212">
        <v>2450</v>
      </c>
      <c r="O143" s="403">
        <v>2450</v>
      </c>
      <c r="P143" s="383">
        <v>2450</v>
      </c>
      <c r="Q143" s="177">
        <f t="shared" si="47"/>
        <v>0</v>
      </c>
      <c r="R143" s="177">
        <f t="shared" si="47"/>
        <v>0</v>
      </c>
      <c r="S143" s="176"/>
      <c r="T143" s="176"/>
      <c r="U143" s="479">
        <v>2450</v>
      </c>
      <c r="V143" s="459">
        <v>2450</v>
      </c>
      <c r="W143" s="177">
        <f t="shared" si="48"/>
        <v>1600</v>
      </c>
      <c r="X143" s="177">
        <v>1600</v>
      </c>
      <c r="Y143" s="177">
        <f t="shared" si="49"/>
        <v>270</v>
      </c>
      <c r="Z143" s="177">
        <v>270</v>
      </c>
      <c r="AA143" s="177"/>
      <c r="AB143" s="177"/>
      <c r="AC143" s="177"/>
      <c r="AD143" s="177"/>
      <c r="AE143" s="177"/>
      <c r="AF143" s="177"/>
      <c r="AG143" s="177"/>
      <c r="AH143" s="177"/>
      <c r="AI143" s="189"/>
      <c r="AJ143" s="173">
        <f t="shared" si="22"/>
        <v>0</v>
      </c>
    </row>
    <row r="144" spans="1:36" ht="49.5" x14ac:dyDescent="0.25">
      <c r="A144" s="188">
        <v>5</v>
      </c>
      <c r="B144" s="251" t="s">
        <v>1634</v>
      </c>
      <c r="C144" s="188" t="s">
        <v>1357</v>
      </c>
      <c r="D144" s="188" t="s">
        <v>1633</v>
      </c>
      <c r="E144" s="188">
        <v>2016</v>
      </c>
      <c r="F144" s="188" t="s">
        <v>1632</v>
      </c>
      <c r="G144" s="212">
        <v>2089</v>
      </c>
      <c r="H144" s="229">
        <f t="shared" si="45"/>
        <v>2089</v>
      </c>
      <c r="I144" s="265"/>
      <c r="J144" s="265"/>
      <c r="K144" s="265"/>
      <c r="L144" s="265"/>
      <c r="M144" s="374">
        <f t="shared" si="46"/>
        <v>1950</v>
      </c>
      <c r="N144" s="212">
        <v>1950</v>
      </c>
      <c r="O144" s="403">
        <f>P144</f>
        <v>1720</v>
      </c>
      <c r="P144" s="383">
        <v>1720</v>
      </c>
      <c r="Q144" s="177">
        <f t="shared" si="47"/>
        <v>-230</v>
      </c>
      <c r="R144" s="177">
        <f t="shared" si="47"/>
        <v>-230</v>
      </c>
      <c r="S144" s="176"/>
      <c r="T144" s="176">
        <f>N144-V144</f>
        <v>230</v>
      </c>
      <c r="U144" s="479">
        <f>V144</f>
        <v>1720</v>
      </c>
      <c r="V144" s="459">
        <v>1720</v>
      </c>
      <c r="W144" s="177">
        <f t="shared" si="48"/>
        <v>1250</v>
      </c>
      <c r="X144" s="177">
        <v>1250</v>
      </c>
      <c r="Y144" s="177">
        <f t="shared" si="49"/>
        <v>230</v>
      </c>
      <c r="Z144" s="177">
        <v>230</v>
      </c>
      <c r="AA144" s="177"/>
      <c r="AB144" s="177"/>
      <c r="AC144" s="177"/>
      <c r="AD144" s="177"/>
      <c r="AE144" s="177"/>
      <c r="AF144" s="177"/>
      <c r="AG144" s="177"/>
      <c r="AH144" s="177"/>
      <c r="AI144" s="384"/>
      <c r="AJ144" s="173">
        <f t="shared" si="22"/>
        <v>1</v>
      </c>
    </row>
    <row r="145" spans="1:36" ht="49.5" x14ac:dyDescent="0.25">
      <c r="A145" s="188">
        <v>6</v>
      </c>
      <c r="B145" s="251" t="s">
        <v>1631</v>
      </c>
      <c r="C145" s="188" t="s">
        <v>1357</v>
      </c>
      <c r="D145" s="188" t="s">
        <v>1630</v>
      </c>
      <c r="E145" s="188">
        <v>2016</v>
      </c>
      <c r="F145" s="188" t="s">
        <v>1629</v>
      </c>
      <c r="G145" s="212">
        <v>1706</v>
      </c>
      <c r="H145" s="229">
        <f t="shared" si="45"/>
        <v>1706</v>
      </c>
      <c r="I145" s="177"/>
      <c r="J145" s="177"/>
      <c r="K145" s="177"/>
      <c r="L145" s="177"/>
      <c r="M145" s="374">
        <f t="shared" si="46"/>
        <v>1600</v>
      </c>
      <c r="N145" s="212">
        <v>1600</v>
      </c>
      <c r="O145" s="403">
        <f>P145</f>
        <v>1330</v>
      </c>
      <c r="P145" s="383">
        <v>1330</v>
      </c>
      <c r="Q145" s="177">
        <f t="shared" si="47"/>
        <v>-270</v>
      </c>
      <c r="R145" s="177">
        <f t="shared" si="47"/>
        <v>-270</v>
      </c>
      <c r="S145" s="176"/>
      <c r="T145" s="176">
        <f t="shared" ref="T145:T146" si="50">N145-V145</f>
        <v>270</v>
      </c>
      <c r="U145" s="479">
        <f>V145</f>
        <v>1330</v>
      </c>
      <c r="V145" s="459">
        <v>1330</v>
      </c>
      <c r="W145" s="177">
        <f t="shared" si="48"/>
        <v>1020</v>
      </c>
      <c r="X145" s="177">
        <v>1020</v>
      </c>
      <c r="Y145" s="177">
        <f t="shared" si="49"/>
        <v>250</v>
      </c>
      <c r="Z145" s="177">
        <v>250</v>
      </c>
      <c r="AA145" s="177"/>
      <c r="AB145" s="177"/>
      <c r="AC145" s="177"/>
      <c r="AD145" s="177"/>
      <c r="AE145" s="177"/>
      <c r="AF145" s="177"/>
      <c r="AG145" s="177"/>
      <c r="AH145" s="177"/>
      <c r="AI145" s="198"/>
      <c r="AJ145" s="173">
        <f t="shared" si="22"/>
        <v>1</v>
      </c>
    </row>
    <row r="146" spans="1:36" ht="49.5" x14ac:dyDescent="0.25">
      <c r="A146" s="188">
        <v>7</v>
      </c>
      <c r="B146" s="251" t="s">
        <v>1628</v>
      </c>
      <c r="C146" s="188" t="s">
        <v>1357</v>
      </c>
      <c r="D146" s="188" t="s">
        <v>1627</v>
      </c>
      <c r="E146" s="188">
        <v>2016</v>
      </c>
      <c r="F146" s="188" t="s">
        <v>1626</v>
      </c>
      <c r="G146" s="212">
        <v>1307</v>
      </c>
      <c r="H146" s="229">
        <f t="shared" si="45"/>
        <v>1307</v>
      </c>
      <c r="I146" s="177"/>
      <c r="J146" s="177"/>
      <c r="K146" s="177"/>
      <c r="L146" s="177"/>
      <c r="M146" s="374">
        <f t="shared" si="46"/>
        <v>1200</v>
      </c>
      <c r="N146" s="212">
        <v>1200</v>
      </c>
      <c r="O146" s="403">
        <v>1050</v>
      </c>
      <c r="P146" s="383">
        <v>1050</v>
      </c>
      <c r="Q146" s="177">
        <f t="shared" si="47"/>
        <v>-150</v>
      </c>
      <c r="R146" s="177">
        <f t="shared" si="47"/>
        <v>-150</v>
      </c>
      <c r="S146" s="176"/>
      <c r="T146" s="176">
        <f t="shared" si="50"/>
        <v>150</v>
      </c>
      <c r="U146" s="479">
        <v>1050</v>
      </c>
      <c r="V146" s="459">
        <v>1050</v>
      </c>
      <c r="W146" s="177">
        <f t="shared" si="48"/>
        <v>780</v>
      </c>
      <c r="X146" s="177">
        <v>780</v>
      </c>
      <c r="Y146" s="177">
        <f t="shared" si="49"/>
        <v>190</v>
      </c>
      <c r="Z146" s="177">
        <v>190</v>
      </c>
      <c r="AA146" s="177"/>
      <c r="AB146" s="177"/>
      <c r="AC146" s="177"/>
      <c r="AD146" s="177"/>
      <c r="AE146" s="177"/>
      <c r="AF146" s="177"/>
      <c r="AG146" s="177"/>
      <c r="AH146" s="177"/>
      <c r="AI146" s="198"/>
      <c r="AJ146" s="173">
        <f t="shared" si="22"/>
        <v>1</v>
      </c>
    </row>
    <row r="147" spans="1:36" ht="49.5" x14ac:dyDescent="0.25">
      <c r="A147" s="188">
        <v>8</v>
      </c>
      <c r="B147" s="405" t="s">
        <v>1625</v>
      </c>
      <c r="C147" s="188" t="s">
        <v>1357</v>
      </c>
      <c r="D147" s="188" t="s">
        <v>1624</v>
      </c>
      <c r="E147" s="188">
        <v>2016</v>
      </c>
      <c r="F147" s="188" t="s">
        <v>1623</v>
      </c>
      <c r="G147" s="212">
        <v>2749</v>
      </c>
      <c r="H147" s="229">
        <f t="shared" si="45"/>
        <v>2749</v>
      </c>
      <c r="I147" s="177"/>
      <c r="J147" s="177"/>
      <c r="K147" s="177"/>
      <c r="L147" s="177"/>
      <c r="M147" s="374">
        <f t="shared" si="46"/>
        <v>2500</v>
      </c>
      <c r="N147" s="212">
        <v>2500</v>
      </c>
      <c r="O147" s="403">
        <v>2500</v>
      </c>
      <c r="P147" s="383">
        <v>2500</v>
      </c>
      <c r="Q147" s="177">
        <f t="shared" si="47"/>
        <v>0</v>
      </c>
      <c r="R147" s="177">
        <f t="shared" si="47"/>
        <v>0</v>
      </c>
      <c r="S147" s="176"/>
      <c r="T147" s="176"/>
      <c r="U147" s="479">
        <v>2500</v>
      </c>
      <c r="V147" s="459">
        <v>2500</v>
      </c>
      <c r="W147" s="177">
        <f t="shared" si="48"/>
        <v>1650</v>
      </c>
      <c r="X147" s="177">
        <v>1650</v>
      </c>
      <c r="Y147" s="177">
        <f t="shared" si="49"/>
        <v>320</v>
      </c>
      <c r="Z147" s="177">
        <v>320</v>
      </c>
      <c r="AA147" s="177"/>
      <c r="AB147" s="177"/>
      <c r="AC147" s="177"/>
      <c r="AD147" s="177"/>
      <c r="AE147" s="177"/>
      <c r="AF147" s="177"/>
      <c r="AG147" s="177"/>
      <c r="AH147" s="177"/>
      <c r="AI147" s="198"/>
      <c r="AJ147" s="173">
        <f t="shared" ref="AJ147:AJ210" si="51">IF(N147-V147=0,0,1)</f>
        <v>0</v>
      </c>
    </row>
    <row r="148" spans="1:36" ht="49.5" x14ac:dyDescent="0.25">
      <c r="A148" s="188">
        <v>9</v>
      </c>
      <c r="B148" s="251" t="s">
        <v>1622</v>
      </c>
      <c r="C148" s="188" t="s">
        <v>1357</v>
      </c>
      <c r="D148" s="188" t="s">
        <v>1621</v>
      </c>
      <c r="E148" s="188">
        <v>2016</v>
      </c>
      <c r="F148" s="188" t="s">
        <v>1620</v>
      </c>
      <c r="G148" s="212">
        <v>1653</v>
      </c>
      <c r="H148" s="229">
        <f t="shared" si="45"/>
        <v>1653</v>
      </c>
      <c r="I148" s="177"/>
      <c r="J148" s="177"/>
      <c r="K148" s="177"/>
      <c r="L148" s="177"/>
      <c r="M148" s="374">
        <f t="shared" si="46"/>
        <v>1500</v>
      </c>
      <c r="N148" s="212">
        <v>1500</v>
      </c>
      <c r="O148" s="403">
        <v>1500</v>
      </c>
      <c r="P148" s="383">
        <v>1500</v>
      </c>
      <c r="Q148" s="177">
        <f t="shared" si="47"/>
        <v>0</v>
      </c>
      <c r="R148" s="177">
        <f t="shared" si="47"/>
        <v>0</v>
      </c>
      <c r="S148" s="176"/>
      <c r="T148" s="176"/>
      <c r="U148" s="479">
        <v>1500</v>
      </c>
      <c r="V148" s="459">
        <v>1500</v>
      </c>
      <c r="W148" s="177">
        <f t="shared" si="48"/>
        <v>990</v>
      </c>
      <c r="X148" s="177">
        <v>990</v>
      </c>
      <c r="Y148" s="177">
        <f t="shared" si="49"/>
        <v>250</v>
      </c>
      <c r="Z148" s="177">
        <v>250</v>
      </c>
      <c r="AA148" s="177"/>
      <c r="AB148" s="177"/>
      <c r="AC148" s="177"/>
      <c r="AD148" s="177"/>
      <c r="AE148" s="177"/>
      <c r="AF148" s="177"/>
      <c r="AG148" s="177"/>
      <c r="AH148" s="177"/>
      <c r="AI148" s="198"/>
      <c r="AJ148" s="173">
        <f t="shared" si="51"/>
        <v>0</v>
      </c>
    </row>
    <row r="149" spans="1:36" ht="49.5" x14ac:dyDescent="0.25">
      <c r="A149" s="188">
        <v>10</v>
      </c>
      <c r="B149" s="251" t="s">
        <v>1619</v>
      </c>
      <c r="C149" s="188" t="s">
        <v>1357</v>
      </c>
      <c r="D149" s="188" t="s">
        <v>1618</v>
      </c>
      <c r="E149" s="188">
        <v>2016</v>
      </c>
      <c r="F149" s="188" t="s">
        <v>1617</v>
      </c>
      <c r="G149" s="212">
        <v>1842</v>
      </c>
      <c r="H149" s="229">
        <f t="shared" si="45"/>
        <v>1842</v>
      </c>
      <c r="I149" s="177"/>
      <c r="J149" s="177"/>
      <c r="K149" s="177"/>
      <c r="L149" s="177"/>
      <c r="M149" s="374">
        <f t="shared" si="46"/>
        <v>1700</v>
      </c>
      <c r="N149" s="212">
        <v>1700</v>
      </c>
      <c r="O149" s="403">
        <f>P149</f>
        <v>1530</v>
      </c>
      <c r="P149" s="383">
        <v>1530</v>
      </c>
      <c r="Q149" s="177">
        <f t="shared" si="47"/>
        <v>-170</v>
      </c>
      <c r="R149" s="177">
        <f t="shared" si="47"/>
        <v>-170</v>
      </c>
      <c r="S149" s="176"/>
      <c r="T149" s="176">
        <f>N149-V149</f>
        <v>170</v>
      </c>
      <c r="U149" s="479">
        <f>V149</f>
        <v>1530</v>
      </c>
      <c r="V149" s="459">
        <v>1530</v>
      </c>
      <c r="W149" s="177">
        <f t="shared" si="48"/>
        <v>1100</v>
      </c>
      <c r="X149" s="177">
        <v>1100</v>
      </c>
      <c r="Y149" s="177">
        <f t="shared" si="49"/>
        <v>230</v>
      </c>
      <c r="Z149" s="177">
        <v>230</v>
      </c>
      <c r="AA149" s="177"/>
      <c r="AB149" s="177"/>
      <c r="AC149" s="177"/>
      <c r="AD149" s="177"/>
      <c r="AE149" s="177"/>
      <c r="AF149" s="177"/>
      <c r="AG149" s="177"/>
      <c r="AH149" s="177"/>
      <c r="AI149" s="188"/>
      <c r="AJ149" s="173">
        <f t="shared" si="51"/>
        <v>1</v>
      </c>
    </row>
    <row r="150" spans="1:36" ht="49.5" x14ac:dyDescent="0.25">
      <c r="A150" s="188">
        <v>11</v>
      </c>
      <c r="B150" s="251" t="s">
        <v>1616</v>
      </c>
      <c r="C150" s="188" t="s">
        <v>1357</v>
      </c>
      <c r="D150" s="188" t="s">
        <v>1615</v>
      </c>
      <c r="E150" s="188">
        <v>2016</v>
      </c>
      <c r="F150" s="188" t="s">
        <v>1614</v>
      </c>
      <c r="G150" s="212">
        <v>1305</v>
      </c>
      <c r="H150" s="229">
        <f t="shared" si="45"/>
        <v>1305</v>
      </c>
      <c r="I150" s="177"/>
      <c r="J150" s="177"/>
      <c r="K150" s="177"/>
      <c r="L150" s="177"/>
      <c r="M150" s="374">
        <f t="shared" si="46"/>
        <v>1200</v>
      </c>
      <c r="N150" s="212">
        <v>1200</v>
      </c>
      <c r="O150" s="403">
        <v>1200</v>
      </c>
      <c r="P150" s="383">
        <v>1200</v>
      </c>
      <c r="Q150" s="177">
        <f t="shared" si="47"/>
        <v>0</v>
      </c>
      <c r="R150" s="177">
        <f t="shared" si="47"/>
        <v>0</v>
      </c>
      <c r="S150" s="176"/>
      <c r="T150" s="176"/>
      <c r="U150" s="479">
        <v>1200</v>
      </c>
      <c r="V150" s="459">
        <v>1200</v>
      </c>
      <c r="W150" s="177">
        <f t="shared" si="48"/>
        <v>780</v>
      </c>
      <c r="X150" s="177">
        <v>780</v>
      </c>
      <c r="Y150" s="177">
        <f t="shared" si="49"/>
        <v>170</v>
      </c>
      <c r="Z150" s="177">
        <v>170</v>
      </c>
      <c r="AA150" s="177"/>
      <c r="AB150" s="177"/>
      <c r="AC150" s="177"/>
      <c r="AD150" s="177"/>
      <c r="AE150" s="177"/>
      <c r="AF150" s="177"/>
      <c r="AG150" s="177"/>
      <c r="AH150" s="177"/>
      <c r="AI150" s="198"/>
      <c r="AJ150" s="173">
        <f t="shared" si="51"/>
        <v>0</v>
      </c>
    </row>
    <row r="151" spans="1:36" ht="49.5" x14ac:dyDescent="0.25">
      <c r="A151" s="188">
        <v>12</v>
      </c>
      <c r="B151" s="251" t="s">
        <v>1613</v>
      </c>
      <c r="C151" s="188" t="s">
        <v>1357</v>
      </c>
      <c r="D151" s="188" t="s">
        <v>1612</v>
      </c>
      <c r="E151" s="188">
        <v>2016</v>
      </c>
      <c r="F151" s="188" t="s">
        <v>1611</v>
      </c>
      <c r="G151" s="385">
        <v>1342</v>
      </c>
      <c r="H151" s="229">
        <f t="shared" si="45"/>
        <v>1342</v>
      </c>
      <c r="I151" s="177"/>
      <c r="J151" s="177"/>
      <c r="K151" s="177"/>
      <c r="L151" s="177"/>
      <c r="M151" s="374">
        <f t="shared" si="46"/>
        <v>1230</v>
      </c>
      <c r="N151" s="212">
        <v>1230</v>
      </c>
      <c r="O151" s="403">
        <v>1230</v>
      </c>
      <c r="P151" s="404">
        <v>1230</v>
      </c>
      <c r="Q151" s="177">
        <f t="shared" si="47"/>
        <v>0</v>
      </c>
      <c r="R151" s="177">
        <f t="shared" si="47"/>
        <v>0</v>
      </c>
      <c r="S151" s="176"/>
      <c r="T151" s="176"/>
      <c r="U151" s="479">
        <v>1230</v>
      </c>
      <c r="V151" s="460">
        <v>1230</v>
      </c>
      <c r="W151" s="177">
        <f t="shared" si="48"/>
        <v>800</v>
      </c>
      <c r="X151" s="177">
        <v>800</v>
      </c>
      <c r="Y151" s="177">
        <f t="shared" si="49"/>
        <v>160</v>
      </c>
      <c r="Z151" s="177">
        <v>160</v>
      </c>
      <c r="AA151" s="177"/>
      <c r="AB151" s="177"/>
      <c r="AC151" s="177"/>
      <c r="AD151" s="177"/>
      <c r="AE151" s="177"/>
      <c r="AF151" s="177"/>
      <c r="AG151" s="177"/>
      <c r="AH151" s="177"/>
      <c r="AI151" s="198"/>
      <c r="AJ151" s="173">
        <f t="shared" si="51"/>
        <v>0</v>
      </c>
    </row>
    <row r="152" spans="1:36" ht="49.5" x14ac:dyDescent="0.25">
      <c r="A152" s="188">
        <v>13</v>
      </c>
      <c r="B152" s="406" t="s">
        <v>1610</v>
      </c>
      <c r="C152" s="188" t="s">
        <v>1355</v>
      </c>
      <c r="D152" s="188" t="s">
        <v>1609</v>
      </c>
      <c r="E152" s="188">
        <v>2016</v>
      </c>
      <c r="F152" s="188" t="s">
        <v>1608</v>
      </c>
      <c r="G152" s="385">
        <v>2109</v>
      </c>
      <c r="H152" s="229">
        <f t="shared" si="45"/>
        <v>2109</v>
      </c>
      <c r="I152" s="177"/>
      <c r="J152" s="177"/>
      <c r="K152" s="177"/>
      <c r="L152" s="177"/>
      <c r="M152" s="374">
        <f t="shared" si="46"/>
        <v>1940</v>
      </c>
      <c r="N152" s="212">
        <v>1940</v>
      </c>
      <c r="O152" s="403">
        <f>P152</f>
        <v>1740</v>
      </c>
      <c r="P152" s="404">
        <v>1740</v>
      </c>
      <c r="Q152" s="177">
        <f t="shared" si="47"/>
        <v>-200</v>
      </c>
      <c r="R152" s="177">
        <f t="shared" si="47"/>
        <v>-200</v>
      </c>
      <c r="S152" s="176"/>
      <c r="T152" s="176">
        <f t="shared" ref="T152:T153" si="52">N152-V152</f>
        <v>200</v>
      </c>
      <c r="U152" s="479">
        <f>V152</f>
        <v>1740</v>
      </c>
      <c r="V152" s="460">
        <v>1740</v>
      </c>
      <c r="W152" s="177">
        <f t="shared" si="48"/>
        <v>1260</v>
      </c>
      <c r="X152" s="177">
        <v>1260</v>
      </c>
      <c r="Y152" s="177">
        <f t="shared" si="49"/>
        <v>330</v>
      </c>
      <c r="Z152" s="177">
        <v>330</v>
      </c>
      <c r="AA152" s="177"/>
      <c r="AB152" s="177"/>
      <c r="AC152" s="177"/>
      <c r="AD152" s="177"/>
      <c r="AE152" s="177"/>
      <c r="AF152" s="177"/>
      <c r="AG152" s="177"/>
      <c r="AH152" s="177"/>
      <c r="AI152" s="198"/>
      <c r="AJ152" s="173">
        <f t="shared" si="51"/>
        <v>1</v>
      </c>
    </row>
    <row r="153" spans="1:36" ht="49.5" x14ac:dyDescent="0.25">
      <c r="A153" s="188">
        <v>14</v>
      </c>
      <c r="B153" s="406" t="s">
        <v>1607</v>
      </c>
      <c r="C153" s="188" t="s">
        <v>1355</v>
      </c>
      <c r="D153" s="188" t="s">
        <v>1606</v>
      </c>
      <c r="E153" s="188">
        <v>2016</v>
      </c>
      <c r="F153" s="188" t="s">
        <v>1605</v>
      </c>
      <c r="G153" s="385">
        <v>3221</v>
      </c>
      <c r="H153" s="229">
        <f t="shared" si="45"/>
        <v>3221</v>
      </c>
      <c r="I153" s="177"/>
      <c r="J153" s="177"/>
      <c r="K153" s="177"/>
      <c r="L153" s="177"/>
      <c r="M153" s="374">
        <f t="shared" si="46"/>
        <v>2960</v>
      </c>
      <c r="N153" s="212">
        <v>2960</v>
      </c>
      <c r="O153" s="403">
        <v>2700</v>
      </c>
      <c r="P153" s="404">
        <v>2700</v>
      </c>
      <c r="Q153" s="177">
        <f t="shared" si="47"/>
        <v>-260</v>
      </c>
      <c r="R153" s="177">
        <f t="shared" si="47"/>
        <v>-260</v>
      </c>
      <c r="S153" s="176"/>
      <c r="T153" s="176">
        <f t="shared" si="52"/>
        <v>260</v>
      </c>
      <c r="U153" s="479">
        <v>2700</v>
      </c>
      <c r="V153" s="460">
        <v>2700</v>
      </c>
      <c r="W153" s="177">
        <f t="shared" si="48"/>
        <v>1930</v>
      </c>
      <c r="X153" s="177">
        <v>1930</v>
      </c>
      <c r="Y153" s="177">
        <f t="shared" si="49"/>
        <v>390</v>
      </c>
      <c r="Z153" s="177">
        <v>390</v>
      </c>
      <c r="AA153" s="177"/>
      <c r="AB153" s="177"/>
      <c r="AC153" s="177"/>
      <c r="AD153" s="177"/>
      <c r="AE153" s="177"/>
      <c r="AF153" s="177"/>
      <c r="AG153" s="177"/>
      <c r="AH153" s="177"/>
      <c r="AI153" s="198"/>
      <c r="AJ153" s="173">
        <f t="shared" si="51"/>
        <v>1</v>
      </c>
    </row>
    <row r="154" spans="1:36" ht="49.5" x14ac:dyDescent="0.25">
      <c r="A154" s="188">
        <v>15</v>
      </c>
      <c r="B154" s="406" t="s">
        <v>1604</v>
      </c>
      <c r="C154" s="188" t="s">
        <v>1355</v>
      </c>
      <c r="D154" s="188" t="s">
        <v>1603</v>
      </c>
      <c r="E154" s="188">
        <v>2016</v>
      </c>
      <c r="F154" s="188" t="s">
        <v>1602</v>
      </c>
      <c r="G154" s="385">
        <v>1105</v>
      </c>
      <c r="H154" s="229">
        <f t="shared" si="45"/>
        <v>1105</v>
      </c>
      <c r="I154" s="177"/>
      <c r="J154" s="177"/>
      <c r="K154" s="177"/>
      <c r="L154" s="177"/>
      <c r="M154" s="374">
        <f t="shared" si="46"/>
        <v>1020</v>
      </c>
      <c r="N154" s="212">
        <v>1020</v>
      </c>
      <c r="O154" s="403">
        <f>P154</f>
        <v>830</v>
      </c>
      <c r="P154" s="404">
        <v>830</v>
      </c>
      <c r="Q154" s="177">
        <f t="shared" si="47"/>
        <v>-190</v>
      </c>
      <c r="R154" s="177">
        <f t="shared" si="47"/>
        <v>-190</v>
      </c>
      <c r="S154" s="176"/>
      <c r="T154" s="176">
        <f>N154-V154</f>
        <v>190</v>
      </c>
      <c r="U154" s="479">
        <f>V154</f>
        <v>830</v>
      </c>
      <c r="V154" s="460">
        <v>830</v>
      </c>
      <c r="W154" s="177">
        <f t="shared" si="48"/>
        <v>660</v>
      </c>
      <c r="X154" s="177">
        <v>660</v>
      </c>
      <c r="Y154" s="177">
        <f t="shared" si="49"/>
        <v>140</v>
      </c>
      <c r="Z154" s="177">
        <v>140</v>
      </c>
      <c r="AA154" s="177"/>
      <c r="AB154" s="177"/>
      <c r="AC154" s="177"/>
      <c r="AD154" s="177"/>
      <c r="AE154" s="177"/>
      <c r="AF154" s="177"/>
      <c r="AG154" s="177"/>
      <c r="AH154" s="177"/>
      <c r="AI154" s="198"/>
      <c r="AJ154" s="173">
        <f t="shared" si="51"/>
        <v>1</v>
      </c>
    </row>
    <row r="155" spans="1:36" ht="49.5" x14ac:dyDescent="0.25">
      <c r="A155" s="188">
        <v>16</v>
      </c>
      <c r="B155" s="405" t="s">
        <v>1601</v>
      </c>
      <c r="C155" s="188" t="s">
        <v>1600</v>
      </c>
      <c r="D155" s="188"/>
      <c r="E155" s="188">
        <v>2016</v>
      </c>
      <c r="F155" s="188" t="s">
        <v>1599</v>
      </c>
      <c r="G155" s="385">
        <v>1455</v>
      </c>
      <c r="H155" s="229">
        <f t="shared" si="45"/>
        <v>1455</v>
      </c>
      <c r="I155" s="177"/>
      <c r="J155" s="177"/>
      <c r="K155" s="177"/>
      <c r="L155" s="177"/>
      <c r="M155" s="374">
        <f t="shared" si="46"/>
        <v>1390</v>
      </c>
      <c r="N155" s="212">
        <v>1390</v>
      </c>
      <c r="O155" s="403">
        <v>1390</v>
      </c>
      <c r="P155" s="404">
        <v>1390</v>
      </c>
      <c r="Q155" s="177">
        <f t="shared" si="47"/>
        <v>0</v>
      </c>
      <c r="R155" s="177">
        <f t="shared" si="47"/>
        <v>0</v>
      </c>
      <c r="S155" s="176"/>
      <c r="T155" s="176"/>
      <c r="U155" s="479">
        <v>1390</v>
      </c>
      <c r="V155" s="460">
        <v>1390</v>
      </c>
      <c r="W155" s="177">
        <f t="shared" si="48"/>
        <v>870</v>
      </c>
      <c r="X155" s="177">
        <v>870</v>
      </c>
      <c r="Y155" s="177">
        <f t="shared" si="49"/>
        <v>370</v>
      </c>
      <c r="Z155" s="177">
        <v>370</v>
      </c>
      <c r="AA155" s="177"/>
      <c r="AB155" s="177"/>
      <c r="AC155" s="177"/>
      <c r="AD155" s="177"/>
      <c r="AE155" s="177"/>
      <c r="AF155" s="177"/>
      <c r="AG155" s="177"/>
      <c r="AH155" s="177"/>
      <c r="AI155" s="198"/>
      <c r="AJ155" s="173">
        <f t="shared" si="51"/>
        <v>0</v>
      </c>
    </row>
    <row r="156" spans="1:36" ht="49.5" x14ac:dyDescent="0.25">
      <c r="A156" s="188">
        <v>17</v>
      </c>
      <c r="B156" s="233" t="s">
        <v>1598</v>
      </c>
      <c r="C156" s="188" t="s">
        <v>1357</v>
      </c>
      <c r="D156" s="188" t="s">
        <v>1597</v>
      </c>
      <c r="E156" s="188">
        <v>2016</v>
      </c>
      <c r="F156" s="188" t="s">
        <v>1596</v>
      </c>
      <c r="G156" s="385">
        <v>962</v>
      </c>
      <c r="H156" s="229">
        <f t="shared" si="45"/>
        <v>962</v>
      </c>
      <c r="I156" s="177"/>
      <c r="J156" s="177"/>
      <c r="K156" s="177"/>
      <c r="L156" s="177"/>
      <c r="M156" s="374">
        <f t="shared" si="46"/>
        <v>880</v>
      </c>
      <c r="N156" s="212">
        <v>880</v>
      </c>
      <c r="O156" s="403">
        <v>880</v>
      </c>
      <c r="P156" s="404">
        <v>880</v>
      </c>
      <c r="Q156" s="177">
        <f t="shared" si="47"/>
        <v>0</v>
      </c>
      <c r="R156" s="177">
        <f t="shared" si="47"/>
        <v>0</v>
      </c>
      <c r="S156" s="176"/>
      <c r="T156" s="176"/>
      <c r="U156" s="479">
        <v>880</v>
      </c>
      <c r="V156" s="460">
        <v>880</v>
      </c>
      <c r="W156" s="177">
        <f t="shared" si="48"/>
        <v>580</v>
      </c>
      <c r="X156" s="177">
        <v>580</v>
      </c>
      <c r="Y156" s="177">
        <f t="shared" si="49"/>
        <v>130</v>
      </c>
      <c r="Z156" s="177">
        <v>130</v>
      </c>
      <c r="AA156" s="177"/>
      <c r="AB156" s="177"/>
      <c r="AC156" s="177"/>
      <c r="AD156" s="177"/>
      <c r="AE156" s="177"/>
      <c r="AF156" s="177"/>
      <c r="AG156" s="177"/>
      <c r="AH156" s="177"/>
      <c r="AI156" s="198"/>
      <c r="AJ156" s="173">
        <f t="shared" si="51"/>
        <v>0</v>
      </c>
    </row>
    <row r="157" spans="1:36" ht="49.5" x14ac:dyDescent="0.25">
      <c r="A157" s="188">
        <v>18</v>
      </c>
      <c r="B157" s="231" t="s">
        <v>1595</v>
      </c>
      <c r="C157" s="230" t="s">
        <v>1359</v>
      </c>
      <c r="D157" s="230" t="s">
        <v>1594</v>
      </c>
      <c r="E157" s="230" t="s">
        <v>199</v>
      </c>
      <c r="F157" s="226" t="s">
        <v>1593</v>
      </c>
      <c r="G157" s="212">
        <v>407</v>
      </c>
      <c r="H157" s="229">
        <f t="shared" si="45"/>
        <v>407</v>
      </c>
      <c r="I157" s="177"/>
      <c r="J157" s="177"/>
      <c r="K157" s="177"/>
      <c r="L157" s="177"/>
      <c r="M157" s="374">
        <f t="shared" si="46"/>
        <v>370</v>
      </c>
      <c r="N157" s="212">
        <v>370</v>
      </c>
      <c r="O157" s="403">
        <v>370</v>
      </c>
      <c r="P157" s="340">
        <v>370</v>
      </c>
      <c r="Q157" s="177">
        <f t="shared" si="47"/>
        <v>0</v>
      </c>
      <c r="R157" s="177">
        <f t="shared" si="47"/>
        <v>0</v>
      </c>
      <c r="S157" s="176"/>
      <c r="T157" s="176"/>
      <c r="U157" s="479">
        <v>370</v>
      </c>
      <c r="V157" s="459">
        <v>370</v>
      </c>
      <c r="W157" s="177">
        <f t="shared" si="48"/>
        <v>245</v>
      </c>
      <c r="X157" s="177">
        <v>245</v>
      </c>
      <c r="Y157" s="177">
        <f t="shared" si="49"/>
        <v>90</v>
      </c>
      <c r="Z157" s="177">
        <v>90</v>
      </c>
      <c r="AA157" s="177"/>
      <c r="AB157" s="177"/>
      <c r="AC157" s="177"/>
      <c r="AD157" s="177"/>
      <c r="AE157" s="177"/>
      <c r="AF157" s="177"/>
      <c r="AG157" s="177"/>
      <c r="AH157" s="177"/>
      <c r="AI157" s="198"/>
      <c r="AJ157" s="173">
        <f t="shared" si="51"/>
        <v>0</v>
      </c>
    </row>
    <row r="158" spans="1:36" ht="49.5" x14ac:dyDescent="0.25">
      <c r="A158" s="188">
        <v>19</v>
      </c>
      <c r="B158" s="231" t="s">
        <v>1592</v>
      </c>
      <c r="C158" s="230" t="s">
        <v>1359</v>
      </c>
      <c r="D158" s="230" t="s">
        <v>1591</v>
      </c>
      <c r="E158" s="230" t="s">
        <v>183</v>
      </c>
      <c r="F158" s="226" t="s">
        <v>1590</v>
      </c>
      <c r="G158" s="212">
        <v>1793</v>
      </c>
      <c r="H158" s="229">
        <f t="shared" si="45"/>
        <v>1793</v>
      </c>
      <c r="I158" s="177"/>
      <c r="J158" s="177"/>
      <c r="K158" s="177"/>
      <c r="L158" s="177"/>
      <c r="M158" s="374">
        <f t="shared" si="46"/>
        <v>1630</v>
      </c>
      <c r="N158" s="212">
        <v>1630</v>
      </c>
      <c r="O158" s="403">
        <f>P158</f>
        <v>1590</v>
      </c>
      <c r="P158" s="340">
        <v>1590</v>
      </c>
      <c r="Q158" s="177">
        <f t="shared" si="47"/>
        <v>-40</v>
      </c>
      <c r="R158" s="177">
        <f t="shared" si="47"/>
        <v>-40</v>
      </c>
      <c r="S158" s="176"/>
      <c r="T158" s="176">
        <f>N158-V158</f>
        <v>40</v>
      </c>
      <c r="U158" s="479">
        <f>V158</f>
        <v>1590</v>
      </c>
      <c r="V158" s="459">
        <v>1590</v>
      </c>
      <c r="W158" s="177">
        <f t="shared" si="48"/>
        <v>1075</v>
      </c>
      <c r="X158" s="177">
        <v>1075</v>
      </c>
      <c r="Y158" s="177">
        <f t="shared" si="49"/>
        <v>200</v>
      </c>
      <c r="Z158" s="177">
        <v>200</v>
      </c>
      <c r="AA158" s="177"/>
      <c r="AB158" s="177"/>
      <c r="AC158" s="177"/>
      <c r="AD158" s="177"/>
      <c r="AE158" s="177"/>
      <c r="AF158" s="177"/>
      <c r="AG158" s="177"/>
      <c r="AH158" s="177"/>
      <c r="AI158" s="198"/>
      <c r="AJ158" s="173">
        <f t="shared" si="51"/>
        <v>1</v>
      </c>
    </row>
    <row r="159" spans="1:36" ht="49.5" x14ac:dyDescent="0.25">
      <c r="A159" s="188">
        <v>20</v>
      </c>
      <c r="B159" s="231" t="s">
        <v>1589</v>
      </c>
      <c r="C159" s="230" t="s">
        <v>1359</v>
      </c>
      <c r="D159" s="230" t="s">
        <v>1556</v>
      </c>
      <c r="E159" s="230" t="s">
        <v>97</v>
      </c>
      <c r="F159" s="226" t="s">
        <v>1588</v>
      </c>
      <c r="G159" s="212">
        <v>1046</v>
      </c>
      <c r="H159" s="229">
        <f t="shared" si="45"/>
        <v>1046</v>
      </c>
      <c r="I159" s="360"/>
      <c r="J159" s="360"/>
      <c r="K159" s="360"/>
      <c r="L159" s="360"/>
      <c r="M159" s="374">
        <f t="shared" si="46"/>
        <v>960</v>
      </c>
      <c r="N159" s="212">
        <v>960</v>
      </c>
      <c r="O159" s="403">
        <v>960</v>
      </c>
      <c r="P159" s="340">
        <v>960</v>
      </c>
      <c r="Q159" s="177">
        <f t="shared" si="47"/>
        <v>0</v>
      </c>
      <c r="R159" s="177">
        <f t="shared" si="47"/>
        <v>0</v>
      </c>
      <c r="S159" s="176"/>
      <c r="T159" s="176"/>
      <c r="U159" s="479">
        <v>960</v>
      </c>
      <c r="V159" s="459">
        <v>960</v>
      </c>
      <c r="W159" s="177">
        <f t="shared" si="48"/>
        <v>630</v>
      </c>
      <c r="X159" s="177">
        <v>630</v>
      </c>
      <c r="Y159" s="177">
        <f t="shared" si="49"/>
        <v>150</v>
      </c>
      <c r="Z159" s="177">
        <v>150</v>
      </c>
      <c r="AA159" s="177"/>
      <c r="AB159" s="177"/>
      <c r="AC159" s="177"/>
      <c r="AD159" s="177"/>
      <c r="AE159" s="177"/>
      <c r="AF159" s="177"/>
      <c r="AG159" s="177"/>
      <c r="AH159" s="177"/>
      <c r="AI159" s="359"/>
      <c r="AJ159" s="173">
        <f t="shared" si="51"/>
        <v>0</v>
      </c>
    </row>
    <row r="160" spans="1:36" ht="49.5" x14ac:dyDescent="0.25">
      <c r="A160" s="188">
        <v>21</v>
      </c>
      <c r="B160" s="231" t="s">
        <v>1587</v>
      </c>
      <c r="C160" s="230" t="s">
        <v>1359</v>
      </c>
      <c r="D160" s="230" t="s">
        <v>1556</v>
      </c>
      <c r="E160" s="230" t="s">
        <v>97</v>
      </c>
      <c r="F160" s="226" t="s">
        <v>1586</v>
      </c>
      <c r="G160" s="212">
        <v>1637</v>
      </c>
      <c r="H160" s="229">
        <f t="shared" si="45"/>
        <v>1637</v>
      </c>
      <c r="I160" s="177"/>
      <c r="J160" s="177"/>
      <c r="K160" s="177"/>
      <c r="L160" s="177"/>
      <c r="M160" s="374">
        <f t="shared" si="46"/>
        <v>1500</v>
      </c>
      <c r="N160" s="212">
        <v>1500</v>
      </c>
      <c r="O160" s="403">
        <f>P160</f>
        <v>1370</v>
      </c>
      <c r="P160" s="340">
        <v>1370</v>
      </c>
      <c r="Q160" s="177">
        <f t="shared" si="47"/>
        <v>-130</v>
      </c>
      <c r="R160" s="177">
        <f t="shared" si="47"/>
        <v>-130</v>
      </c>
      <c r="S160" s="176"/>
      <c r="T160" s="176">
        <f t="shared" ref="T160:T181" si="53">N160-V160</f>
        <v>130</v>
      </c>
      <c r="U160" s="479">
        <f>V160</f>
        <v>1370</v>
      </c>
      <c r="V160" s="459">
        <v>1370</v>
      </c>
      <c r="W160" s="177">
        <f t="shared" si="48"/>
        <v>980</v>
      </c>
      <c r="X160" s="177">
        <v>980</v>
      </c>
      <c r="Y160" s="177">
        <f t="shared" si="49"/>
        <v>220</v>
      </c>
      <c r="Z160" s="177">
        <v>220</v>
      </c>
      <c r="AA160" s="177"/>
      <c r="AB160" s="177"/>
      <c r="AC160" s="177"/>
      <c r="AD160" s="177"/>
      <c r="AE160" s="177"/>
      <c r="AF160" s="177"/>
      <c r="AG160" s="177"/>
      <c r="AH160" s="177"/>
      <c r="AI160" s="185"/>
      <c r="AJ160" s="173">
        <f t="shared" si="51"/>
        <v>1</v>
      </c>
    </row>
    <row r="161" spans="1:36" ht="49.5" x14ac:dyDescent="0.25">
      <c r="A161" s="188">
        <v>22</v>
      </c>
      <c r="B161" s="231" t="s">
        <v>1585</v>
      </c>
      <c r="C161" s="230" t="s">
        <v>1359</v>
      </c>
      <c r="D161" s="230" t="s">
        <v>1556</v>
      </c>
      <c r="E161" s="230" t="s">
        <v>97</v>
      </c>
      <c r="F161" s="226" t="s">
        <v>1584</v>
      </c>
      <c r="G161" s="212">
        <v>711</v>
      </c>
      <c r="H161" s="229">
        <f t="shared" si="45"/>
        <v>711</v>
      </c>
      <c r="I161" s="177"/>
      <c r="J161" s="177"/>
      <c r="K161" s="177"/>
      <c r="L161" s="177"/>
      <c r="M161" s="374">
        <f t="shared" si="46"/>
        <v>650</v>
      </c>
      <c r="N161" s="212">
        <v>650</v>
      </c>
      <c r="O161" s="403">
        <f>P161</f>
        <v>660</v>
      </c>
      <c r="P161" s="340">
        <v>660</v>
      </c>
      <c r="Q161" s="177">
        <f t="shared" si="47"/>
        <v>10</v>
      </c>
      <c r="R161" s="177">
        <f t="shared" si="47"/>
        <v>10</v>
      </c>
      <c r="S161" s="176">
        <f>V161-N161</f>
        <v>10</v>
      </c>
      <c r="T161" s="176"/>
      <c r="U161" s="479">
        <f>V161</f>
        <v>660</v>
      </c>
      <c r="V161" s="459">
        <v>660</v>
      </c>
      <c r="W161" s="177">
        <f t="shared" si="48"/>
        <v>440</v>
      </c>
      <c r="X161" s="177">
        <v>440</v>
      </c>
      <c r="Y161" s="177">
        <f t="shared" si="49"/>
        <v>130</v>
      </c>
      <c r="Z161" s="177">
        <v>130</v>
      </c>
      <c r="AA161" s="177"/>
      <c r="AB161" s="177"/>
      <c r="AC161" s="177"/>
      <c r="AD161" s="177"/>
      <c r="AE161" s="177"/>
      <c r="AF161" s="177"/>
      <c r="AG161" s="177"/>
      <c r="AH161" s="177"/>
      <c r="AI161" s="198"/>
      <c r="AJ161" s="173">
        <f t="shared" si="51"/>
        <v>1</v>
      </c>
    </row>
    <row r="162" spans="1:36" ht="49.5" x14ac:dyDescent="0.25">
      <c r="A162" s="188">
        <v>23</v>
      </c>
      <c r="B162" s="231" t="s">
        <v>1583</v>
      </c>
      <c r="C162" s="230" t="s">
        <v>1357</v>
      </c>
      <c r="D162" s="230" t="s">
        <v>1556</v>
      </c>
      <c r="E162" s="230" t="s">
        <v>252</v>
      </c>
      <c r="F162" s="226" t="s">
        <v>1582</v>
      </c>
      <c r="G162" s="212">
        <v>838</v>
      </c>
      <c r="H162" s="229">
        <f t="shared" si="45"/>
        <v>838</v>
      </c>
      <c r="I162" s="265"/>
      <c r="J162" s="265"/>
      <c r="K162" s="265"/>
      <c r="L162" s="265"/>
      <c r="M162" s="374">
        <f t="shared" si="46"/>
        <v>770</v>
      </c>
      <c r="N162" s="212">
        <v>770</v>
      </c>
      <c r="O162" s="403">
        <v>770</v>
      </c>
      <c r="P162" s="340">
        <v>770</v>
      </c>
      <c r="Q162" s="177">
        <f t="shared" si="47"/>
        <v>0</v>
      </c>
      <c r="R162" s="177">
        <f t="shared" si="47"/>
        <v>0</v>
      </c>
      <c r="S162" s="176"/>
      <c r="T162" s="176"/>
      <c r="U162" s="479">
        <v>770</v>
      </c>
      <c r="V162" s="459">
        <v>770</v>
      </c>
      <c r="W162" s="177">
        <f t="shared" si="48"/>
        <v>500</v>
      </c>
      <c r="X162" s="177">
        <v>500</v>
      </c>
      <c r="Y162" s="177">
        <f t="shared" si="49"/>
        <v>90</v>
      </c>
      <c r="Z162" s="177">
        <v>90</v>
      </c>
      <c r="AA162" s="177"/>
      <c r="AB162" s="177"/>
      <c r="AC162" s="177"/>
      <c r="AD162" s="177"/>
      <c r="AE162" s="177"/>
      <c r="AF162" s="177"/>
      <c r="AG162" s="177"/>
      <c r="AH162" s="177"/>
      <c r="AI162" s="219"/>
      <c r="AJ162" s="173">
        <f t="shared" si="51"/>
        <v>0</v>
      </c>
    </row>
    <row r="163" spans="1:36" ht="66" x14ac:dyDescent="0.25">
      <c r="A163" s="188">
        <v>24</v>
      </c>
      <c r="B163" s="231" t="s">
        <v>1581</v>
      </c>
      <c r="C163" s="230" t="s">
        <v>1357</v>
      </c>
      <c r="D163" s="230" t="s">
        <v>1580</v>
      </c>
      <c r="E163" s="230" t="s">
        <v>252</v>
      </c>
      <c r="F163" s="226" t="s">
        <v>1579</v>
      </c>
      <c r="G163" s="212">
        <v>624</v>
      </c>
      <c r="H163" s="229">
        <f t="shared" si="45"/>
        <v>624</v>
      </c>
      <c r="I163" s="191"/>
      <c r="J163" s="191"/>
      <c r="K163" s="191"/>
      <c r="L163" s="191"/>
      <c r="M163" s="374">
        <f t="shared" si="46"/>
        <v>560</v>
      </c>
      <c r="N163" s="212">
        <v>560</v>
      </c>
      <c r="O163" s="403">
        <f>P163</f>
        <v>520</v>
      </c>
      <c r="P163" s="340">
        <v>520</v>
      </c>
      <c r="Q163" s="177">
        <f t="shared" si="47"/>
        <v>-40</v>
      </c>
      <c r="R163" s="177">
        <f t="shared" si="47"/>
        <v>-40</v>
      </c>
      <c r="S163" s="176"/>
      <c r="T163" s="176">
        <f t="shared" si="53"/>
        <v>40</v>
      </c>
      <c r="U163" s="479">
        <f>V163</f>
        <v>520</v>
      </c>
      <c r="V163" s="459">
        <v>520</v>
      </c>
      <c r="W163" s="177">
        <f t="shared" si="48"/>
        <v>375</v>
      </c>
      <c r="X163" s="177">
        <v>375</v>
      </c>
      <c r="Y163" s="177">
        <f t="shared" si="49"/>
        <v>80</v>
      </c>
      <c r="Z163" s="177">
        <v>80</v>
      </c>
      <c r="AA163" s="177"/>
      <c r="AB163" s="177"/>
      <c r="AC163" s="177"/>
      <c r="AD163" s="177"/>
      <c r="AE163" s="177"/>
      <c r="AF163" s="177"/>
      <c r="AG163" s="177"/>
      <c r="AH163" s="177"/>
      <c r="AI163" s="189"/>
      <c r="AJ163" s="173">
        <f t="shared" si="51"/>
        <v>1</v>
      </c>
    </row>
    <row r="164" spans="1:36" ht="66" x14ac:dyDescent="0.25">
      <c r="A164" s="188">
        <v>25</v>
      </c>
      <c r="B164" s="231" t="s">
        <v>1578</v>
      </c>
      <c r="C164" s="230" t="s">
        <v>1379</v>
      </c>
      <c r="D164" s="230" t="s">
        <v>1556</v>
      </c>
      <c r="E164" s="230" t="s">
        <v>252</v>
      </c>
      <c r="F164" s="226" t="s">
        <v>1577</v>
      </c>
      <c r="G164" s="212">
        <v>1548</v>
      </c>
      <c r="H164" s="229">
        <f t="shared" si="45"/>
        <v>1548</v>
      </c>
      <c r="I164" s="191"/>
      <c r="J164" s="191"/>
      <c r="K164" s="191"/>
      <c r="L164" s="191"/>
      <c r="M164" s="374">
        <f t="shared" si="46"/>
        <v>1450</v>
      </c>
      <c r="N164" s="212">
        <v>1450</v>
      </c>
      <c r="O164" s="403">
        <v>1450</v>
      </c>
      <c r="P164" s="340">
        <v>1450</v>
      </c>
      <c r="Q164" s="177">
        <f t="shared" si="47"/>
        <v>0</v>
      </c>
      <c r="R164" s="177">
        <f t="shared" si="47"/>
        <v>0</v>
      </c>
      <c r="S164" s="176"/>
      <c r="T164" s="176"/>
      <c r="U164" s="479">
        <v>1450</v>
      </c>
      <c r="V164" s="459">
        <v>1450</v>
      </c>
      <c r="W164" s="177">
        <f t="shared" si="48"/>
        <v>930</v>
      </c>
      <c r="X164" s="177">
        <v>930</v>
      </c>
      <c r="Y164" s="177">
        <f t="shared" si="49"/>
        <v>190</v>
      </c>
      <c r="Z164" s="177">
        <v>190</v>
      </c>
      <c r="AA164" s="177"/>
      <c r="AB164" s="177"/>
      <c r="AC164" s="177"/>
      <c r="AD164" s="177"/>
      <c r="AE164" s="177"/>
      <c r="AF164" s="177"/>
      <c r="AG164" s="177"/>
      <c r="AH164" s="177"/>
      <c r="AI164" s="189"/>
      <c r="AJ164" s="173">
        <f t="shared" si="51"/>
        <v>0</v>
      </c>
    </row>
    <row r="165" spans="1:36" ht="49.5" x14ac:dyDescent="0.25">
      <c r="A165" s="188">
        <v>26</v>
      </c>
      <c r="B165" s="231" t="s">
        <v>1576</v>
      </c>
      <c r="C165" s="230" t="s">
        <v>1355</v>
      </c>
      <c r="D165" s="230" t="s">
        <v>1565</v>
      </c>
      <c r="E165" s="230" t="s">
        <v>252</v>
      </c>
      <c r="F165" s="226" t="s">
        <v>1575</v>
      </c>
      <c r="G165" s="212">
        <v>819</v>
      </c>
      <c r="H165" s="229">
        <f t="shared" si="45"/>
        <v>819</v>
      </c>
      <c r="I165" s="200"/>
      <c r="J165" s="200"/>
      <c r="K165" s="200"/>
      <c r="L165" s="200"/>
      <c r="M165" s="374">
        <f t="shared" si="46"/>
        <v>750</v>
      </c>
      <c r="N165" s="212">
        <v>750</v>
      </c>
      <c r="O165" s="403">
        <f t="shared" ref="O165:O175" si="54">P165</f>
        <v>690</v>
      </c>
      <c r="P165" s="340">
        <v>690</v>
      </c>
      <c r="Q165" s="177">
        <f t="shared" si="47"/>
        <v>-60</v>
      </c>
      <c r="R165" s="177">
        <f t="shared" si="47"/>
        <v>-60</v>
      </c>
      <c r="S165" s="176"/>
      <c r="T165" s="176">
        <f t="shared" si="53"/>
        <v>60</v>
      </c>
      <c r="U165" s="479">
        <f t="shared" ref="U165:U175" si="55">V165</f>
        <v>690</v>
      </c>
      <c r="V165" s="459">
        <v>690</v>
      </c>
      <c r="W165" s="177">
        <f t="shared" si="48"/>
        <v>490</v>
      </c>
      <c r="X165" s="177">
        <v>490</v>
      </c>
      <c r="Y165" s="177">
        <f t="shared" si="49"/>
        <v>100</v>
      </c>
      <c r="Z165" s="177">
        <v>100</v>
      </c>
      <c r="AA165" s="177"/>
      <c r="AB165" s="177"/>
      <c r="AC165" s="177"/>
      <c r="AD165" s="177"/>
      <c r="AE165" s="177"/>
      <c r="AF165" s="177"/>
      <c r="AG165" s="177"/>
      <c r="AH165" s="177"/>
      <c r="AI165" s="264"/>
      <c r="AJ165" s="173">
        <f t="shared" si="51"/>
        <v>1</v>
      </c>
    </row>
    <row r="166" spans="1:36" ht="49.5" x14ac:dyDescent="0.25">
      <c r="A166" s="188">
        <v>27</v>
      </c>
      <c r="B166" s="231" t="s">
        <v>1574</v>
      </c>
      <c r="C166" s="230" t="s">
        <v>1355</v>
      </c>
      <c r="D166" s="230" t="s">
        <v>1565</v>
      </c>
      <c r="E166" s="230" t="s">
        <v>252</v>
      </c>
      <c r="F166" s="226" t="s">
        <v>1573</v>
      </c>
      <c r="G166" s="212">
        <v>598</v>
      </c>
      <c r="H166" s="229">
        <f t="shared" si="45"/>
        <v>598</v>
      </c>
      <c r="I166" s="191"/>
      <c r="J166" s="191"/>
      <c r="K166" s="191"/>
      <c r="L166" s="191"/>
      <c r="M166" s="374">
        <f t="shared" si="46"/>
        <v>550</v>
      </c>
      <c r="N166" s="212">
        <v>550</v>
      </c>
      <c r="O166" s="403">
        <f t="shared" si="54"/>
        <v>520</v>
      </c>
      <c r="P166" s="340">
        <v>520</v>
      </c>
      <c r="Q166" s="177">
        <f t="shared" si="47"/>
        <v>-30</v>
      </c>
      <c r="R166" s="177">
        <f t="shared" si="47"/>
        <v>-30</v>
      </c>
      <c r="S166" s="176"/>
      <c r="T166" s="176">
        <f t="shared" si="53"/>
        <v>30</v>
      </c>
      <c r="U166" s="479">
        <f t="shared" si="55"/>
        <v>520</v>
      </c>
      <c r="V166" s="459">
        <v>520</v>
      </c>
      <c r="W166" s="177">
        <f t="shared" si="48"/>
        <v>360</v>
      </c>
      <c r="X166" s="177">
        <v>360</v>
      </c>
      <c r="Y166" s="177">
        <f t="shared" si="49"/>
        <v>70</v>
      </c>
      <c r="Z166" s="177">
        <v>70</v>
      </c>
      <c r="AA166" s="177"/>
      <c r="AB166" s="177"/>
      <c r="AC166" s="177"/>
      <c r="AD166" s="177"/>
      <c r="AE166" s="177"/>
      <c r="AF166" s="177"/>
      <c r="AG166" s="177"/>
      <c r="AH166" s="177"/>
      <c r="AI166" s="189"/>
      <c r="AJ166" s="173">
        <f t="shared" si="51"/>
        <v>1</v>
      </c>
    </row>
    <row r="167" spans="1:36" ht="49.5" x14ac:dyDescent="0.25">
      <c r="A167" s="188">
        <v>28</v>
      </c>
      <c r="B167" s="231" t="s">
        <v>1572</v>
      </c>
      <c r="C167" s="230" t="s">
        <v>1355</v>
      </c>
      <c r="D167" s="230" t="s">
        <v>1565</v>
      </c>
      <c r="E167" s="230" t="s">
        <v>252</v>
      </c>
      <c r="F167" s="226" t="s">
        <v>1571</v>
      </c>
      <c r="G167" s="212">
        <v>862</v>
      </c>
      <c r="H167" s="229">
        <f t="shared" si="45"/>
        <v>862</v>
      </c>
      <c r="I167" s="177"/>
      <c r="J167" s="212"/>
      <c r="K167" s="177"/>
      <c r="L167" s="212"/>
      <c r="M167" s="374">
        <f t="shared" si="46"/>
        <v>790</v>
      </c>
      <c r="N167" s="212">
        <v>790</v>
      </c>
      <c r="O167" s="403">
        <f t="shared" si="54"/>
        <v>680</v>
      </c>
      <c r="P167" s="340">
        <v>680</v>
      </c>
      <c r="Q167" s="177">
        <f t="shared" si="47"/>
        <v>-110</v>
      </c>
      <c r="R167" s="177">
        <f t="shared" si="47"/>
        <v>-110</v>
      </c>
      <c r="S167" s="176"/>
      <c r="T167" s="176">
        <f t="shared" si="53"/>
        <v>110</v>
      </c>
      <c r="U167" s="479">
        <f t="shared" si="55"/>
        <v>680</v>
      </c>
      <c r="V167" s="459">
        <v>680</v>
      </c>
      <c r="W167" s="177">
        <f t="shared" si="48"/>
        <v>515</v>
      </c>
      <c r="X167" s="177">
        <v>515</v>
      </c>
      <c r="Y167" s="177">
        <f t="shared" si="49"/>
        <v>100</v>
      </c>
      <c r="Z167" s="177">
        <v>100</v>
      </c>
      <c r="AA167" s="177"/>
      <c r="AB167" s="177"/>
      <c r="AC167" s="177"/>
      <c r="AD167" s="177"/>
      <c r="AE167" s="177"/>
      <c r="AF167" s="177"/>
      <c r="AG167" s="177"/>
      <c r="AH167" s="177"/>
      <c r="AI167" s="198"/>
      <c r="AJ167" s="173">
        <f t="shared" si="51"/>
        <v>1</v>
      </c>
    </row>
    <row r="168" spans="1:36" ht="49.5" x14ac:dyDescent="0.25">
      <c r="A168" s="188">
        <v>29</v>
      </c>
      <c r="B168" s="231" t="s">
        <v>1570</v>
      </c>
      <c r="C168" s="230" t="s">
        <v>1355</v>
      </c>
      <c r="D168" s="230" t="s">
        <v>1565</v>
      </c>
      <c r="E168" s="230" t="s">
        <v>252</v>
      </c>
      <c r="F168" s="226" t="s">
        <v>1569</v>
      </c>
      <c r="G168" s="212">
        <v>1697</v>
      </c>
      <c r="H168" s="229">
        <f t="shared" si="45"/>
        <v>1697</v>
      </c>
      <c r="I168" s="177"/>
      <c r="J168" s="212"/>
      <c r="K168" s="177"/>
      <c r="L168" s="212"/>
      <c r="M168" s="374">
        <f t="shared" si="46"/>
        <v>1560</v>
      </c>
      <c r="N168" s="212">
        <v>1560</v>
      </c>
      <c r="O168" s="403">
        <f t="shared" si="54"/>
        <v>1420</v>
      </c>
      <c r="P168" s="340">
        <v>1420</v>
      </c>
      <c r="Q168" s="177">
        <f t="shared" si="47"/>
        <v>-140</v>
      </c>
      <c r="R168" s="177">
        <f t="shared" si="47"/>
        <v>-140</v>
      </c>
      <c r="S168" s="176"/>
      <c r="T168" s="176">
        <f t="shared" si="53"/>
        <v>140</v>
      </c>
      <c r="U168" s="479">
        <f t="shared" si="55"/>
        <v>1420</v>
      </c>
      <c r="V168" s="459">
        <v>1420</v>
      </c>
      <c r="W168" s="177">
        <f t="shared" si="48"/>
        <v>1015</v>
      </c>
      <c r="X168" s="177">
        <v>1015</v>
      </c>
      <c r="Y168" s="177">
        <f t="shared" si="49"/>
        <v>200</v>
      </c>
      <c r="Z168" s="177">
        <v>200</v>
      </c>
      <c r="AA168" s="177"/>
      <c r="AB168" s="177"/>
      <c r="AC168" s="177"/>
      <c r="AD168" s="177"/>
      <c r="AE168" s="177"/>
      <c r="AF168" s="177"/>
      <c r="AG168" s="177"/>
      <c r="AH168" s="177"/>
      <c r="AI168" s="198"/>
      <c r="AJ168" s="173">
        <f t="shared" si="51"/>
        <v>1</v>
      </c>
    </row>
    <row r="169" spans="1:36" ht="49.5" x14ac:dyDescent="0.25">
      <c r="A169" s="188">
        <v>30</v>
      </c>
      <c r="B169" s="231" t="s">
        <v>1568</v>
      </c>
      <c r="C169" s="230" t="s">
        <v>1379</v>
      </c>
      <c r="D169" s="230" t="s">
        <v>1556</v>
      </c>
      <c r="E169" s="230" t="s">
        <v>252</v>
      </c>
      <c r="F169" s="226" t="s">
        <v>1567</v>
      </c>
      <c r="G169" s="212">
        <v>934</v>
      </c>
      <c r="H169" s="229">
        <f t="shared" si="45"/>
        <v>934</v>
      </c>
      <c r="I169" s="177"/>
      <c r="J169" s="212"/>
      <c r="K169" s="177"/>
      <c r="L169" s="212"/>
      <c r="M169" s="374">
        <f t="shared" si="46"/>
        <v>860</v>
      </c>
      <c r="N169" s="212">
        <v>860</v>
      </c>
      <c r="O169" s="403">
        <f t="shared" si="54"/>
        <v>830</v>
      </c>
      <c r="P169" s="340">
        <v>830</v>
      </c>
      <c r="Q169" s="177">
        <f t="shared" si="47"/>
        <v>-30</v>
      </c>
      <c r="R169" s="177">
        <f t="shared" si="47"/>
        <v>-30</v>
      </c>
      <c r="S169" s="176"/>
      <c r="T169" s="176">
        <f t="shared" si="53"/>
        <v>30</v>
      </c>
      <c r="U169" s="479">
        <f t="shared" si="55"/>
        <v>830</v>
      </c>
      <c r="V169" s="459">
        <v>830</v>
      </c>
      <c r="W169" s="177">
        <f t="shared" si="48"/>
        <v>560</v>
      </c>
      <c r="X169" s="177">
        <v>560</v>
      </c>
      <c r="Y169" s="177">
        <f t="shared" si="49"/>
        <v>130</v>
      </c>
      <c r="Z169" s="177">
        <v>130</v>
      </c>
      <c r="AA169" s="177"/>
      <c r="AB169" s="177"/>
      <c r="AC169" s="177"/>
      <c r="AD169" s="177"/>
      <c r="AE169" s="177"/>
      <c r="AF169" s="177"/>
      <c r="AG169" s="177"/>
      <c r="AH169" s="177"/>
      <c r="AI169" s="198"/>
      <c r="AJ169" s="173">
        <f t="shared" si="51"/>
        <v>1</v>
      </c>
    </row>
    <row r="170" spans="1:36" ht="49.5" x14ac:dyDescent="0.25">
      <c r="A170" s="188">
        <v>31</v>
      </c>
      <c r="B170" s="231" t="s">
        <v>1566</v>
      </c>
      <c r="C170" s="230" t="s">
        <v>1379</v>
      </c>
      <c r="D170" s="230" t="s">
        <v>1565</v>
      </c>
      <c r="E170" s="230" t="s">
        <v>252</v>
      </c>
      <c r="F170" s="226" t="s">
        <v>1564</v>
      </c>
      <c r="G170" s="212">
        <v>676</v>
      </c>
      <c r="H170" s="229">
        <f t="shared" si="45"/>
        <v>676</v>
      </c>
      <c r="I170" s="177"/>
      <c r="J170" s="212"/>
      <c r="K170" s="177"/>
      <c r="L170" s="212"/>
      <c r="M170" s="374">
        <f t="shared" si="46"/>
        <v>620</v>
      </c>
      <c r="N170" s="212">
        <v>620</v>
      </c>
      <c r="O170" s="403">
        <f t="shared" si="54"/>
        <v>550</v>
      </c>
      <c r="P170" s="340">
        <v>550</v>
      </c>
      <c r="Q170" s="177">
        <f t="shared" si="47"/>
        <v>-70</v>
      </c>
      <c r="R170" s="177">
        <f t="shared" si="47"/>
        <v>-70</v>
      </c>
      <c r="S170" s="176"/>
      <c r="T170" s="176">
        <f t="shared" si="53"/>
        <v>70</v>
      </c>
      <c r="U170" s="479">
        <f t="shared" si="55"/>
        <v>550</v>
      </c>
      <c r="V170" s="459">
        <v>550</v>
      </c>
      <c r="W170" s="177">
        <f t="shared" si="48"/>
        <v>405</v>
      </c>
      <c r="X170" s="177">
        <v>405</v>
      </c>
      <c r="Y170" s="177">
        <f t="shared" si="49"/>
        <v>90</v>
      </c>
      <c r="Z170" s="177">
        <v>90</v>
      </c>
      <c r="AA170" s="177"/>
      <c r="AB170" s="177"/>
      <c r="AC170" s="177"/>
      <c r="AD170" s="177"/>
      <c r="AE170" s="177"/>
      <c r="AF170" s="177"/>
      <c r="AG170" s="177"/>
      <c r="AH170" s="177"/>
      <c r="AI170" s="198"/>
      <c r="AJ170" s="173">
        <f t="shared" si="51"/>
        <v>1</v>
      </c>
    </row>
    <row r="171" spans="1:36" ht="82.5" x14ac:dyDescent="0.25">
      <c r="A171" s="188">
        <v>32</v>
      </c>
      <c r="B171" s="231" t="s">
        <v>1563</v>
      </c>
      <c r="C171" s="230" t="s">
        <v>1379</v>
      </c>
      <c r="D171" s="230" t="s">
        <v>1556</v>
      </c>
      <c r="E171" s="230" t="s">
        <v>252</v>
      </c>
      <c r="F171" s="226" t="s">
        <v>1562</v>
      </c>
      <c r="G171" s="385">
        <v>431</v>
      </c>
      <c r="H171" s="229">
        <f t="shared" si="45"/>
        <v>431</v>
      </c>
      <c r="I171" s="191"/>
      <c r="J171" s="191"/>
      <c r="K171" s="191"/>
      <c r="L171" s="191"/>
      <c r="M171" s="374">
        <f t="shared" si="46"/>
        <v>400</v>
      </c>
      <c r="N171" s="212">
        <v>400</v>
      </c>
      <c r="O171" s="403">
        <f t="shared" si="54"/>
        <v>360</v>
      </c>
      <c r="P171" s="404">
        <v>360</v>
      </c>
      <c r="Q171" s="177">
        <f t="shared" si="47"/>
        <v>-40</v>
      </c>
      <c r="R171" s="177">
        <f t="shared" si="47"/>
        <v>-40</v>
      </c>
      <c r="S171" s="176"/>
      <c r="T171" s="176">
        <f t="shared" si="53"/>
        <v>40</v>
      </c>
      <c r="U171" s="479">
        <f t="shared" si="55"/>
        <v>360</v>
      </c>
      <c r="V171" s="460">
        <v>360</v>
      </c>
      <c r="W171" s="177">
        <f t="shared" si="48"/>
        <v>260</v>
      </c>
      <c r="X171" s="177">
        <v>260</v>
      </c>
      <c r="Y171" s="177">
        <f t="shared" si="49"/>
        <v>60</v>
      </c>
      <c r="Z171" s="177">
        <v>60</v>
      </c>
      <c r="AA171" s="177"/>
      <c r="AB171" s="177"/>
      <c r="AC171" s="177"/>
      <c r="AD171" s="177"/>
      <c r="AE171" s="177"/>
      <c r="AF171" s="177"/>
      <c r="AG171" s="177"/>
      <c r="AH171" s="177"/>
      <c r="AI171" s="189"/>
      <c r="AJ171" s="173">
        <f t="shared" si="51"/>
        <v>1</v>
      </c>
    </row>
    <row r="172" spans="1:36" ht="49.5" x14ac:dyDescent="0.25">
      <c r="A172" s="188">
        <v>33</v>
      </c>
      <c r="B172" s="231" t="s">
        <v>1561</v>
      </c>
      <c r="C172" s="230" t="s">
        <v>1379</v>
      </c>
      <c r="D172" s="230" t="s">
        <v>1556</v>
      </c>
      <c r="E172" s="230" t="s">
        <v>97</v>
      </c>
      <c r="F172" s="226" t="s">
        <v>1560</v>
      </c>
      <c r="G172" s="385">
        <v>1022</v>
      </c>
      <c r="H172" s="229">
        <f t="shared" si="45"/>
        <v>1022</v>
      </c>
      <c r="I172" s="265"/>
      <c r="J172" s="265"/>
      <c r="K172" s="265"/>
      <c r="L172" s="265"/>
      <c r="M172" s="374">
        <f t="shared" si="46"/>
        <v>940</v>
      </c>
      <c r="N172" s="212">
        <v>940</v>
      </c>
      <c r="O172" s="403">
        <f t="shared" si="54"/>
        <v>850</v>
      </c>
      <c r="P172" s="404">
        <v>850</v>
      </c>
      <c r="Q172" s="177">
        <f t="shared" ref="Q172:R203" si="56">O172-M172</f>
        <v>-90</v>
      </c>
      <c r="R172" s="177">
        <f t="shared" si="56"/>
        <v>-90</v>
      </c>
      <c r="S172" s="176"/>
      <c r="T172" s="176">
        <f t="shared" si="53"/>
        <v>90</v>
      </c>
      <c r="U172" s="479">
        <f t="shared" si="55"/>
        <v>850</v>
      </c>
      <c r="V172" s="460">
        <v>850</v>
      </c>
      <c r="W172" s="177">
        <f t="shared" si="48"/>
        <v>615</v>
      </c>
      <c r="X172" s="177">
        <v>615</v>
      </c>
      <c r="Y172" s="177">
        <f t="shared" si="49"/>
        <v>100</v>
      </c>
      <c r="Z172" s="177">
        <v>100</v>
      </c>
      <c r="AA172" s="177"/>
      <c r="AB172" s="177"/>
      <c r="AC172" s="177"/>
      <c r="AD172" s="177"/>
      <c r="AE172" s="177"/>
      <c r="AF172" s="177"/>
      <c r="AG172" s="177"/>
      <c r="AH172" s="177"/>
      <c r="AI172" s="384"/>
      <c r="AJ172" s="173">
        <f t="shared" si="51"/>
        <v>1</v>
      </c>
    </row>
    <row r="173" spans="1:36" ht="49.5" x14ac:dyDescent="0.25">
      <c r="A173" s="188">
        <v>34</v>
      </c>
      <c r="B173" s="231" t="s">
        <v>1559</v>
      </c>
      <c r="C173" s="230" t="s">
        <v>1355</v>
      </c>
      <c r="D173" s="230" t="s">
        <v>1553</v>
      </c>
      <c r="E173" s="230" t="s">
        <v>252</v>
      </c>
      <c r="F173" s="226" t="s">
        <v>1558</v>
      </c>
      <c r="G173" s="385">
        <v>612</v>
      </c>
      <c r="H173" s="229">
        <f t="shared" si="45"/>
        <v>612</v>
      </c>
      <c r="I173" s="217"/>
      <c r="J173" s="217"/>
      <c r="K173" s="217"/>
      <c r="L173" s="217"/>
      <c r="M173" s="374">
        <f t="shared" si="46"/>
        <v>560</v>
      </c>
      <c r="N173" s="212">
        <v>560</v>
      </c>
      <c r="O173" s="403">
        <f t="shared" si="54"/>
        <v>500</v>
      </c>
      <c r="P173" s="404">
        <v>500</v>
      </c>
      <c r="Q173" s="177">
        <f t="shared" si="56"/>
        <v>-60</v>
      </c>
      <c r="R173" s="177">
        <f t="shared" si="56"/>
        <v>-60</v>
      </c>
      <c r="S173" s="176"/>
      <c r="T173" s="176">
        <f t="shared" si="53"/>
        <v>60</v>
      </c>
      <c r="U173" s="479">
        <f t="shared" si="55"/>
        <v>500</v>
      </c>
      <c r="V173" s="460">
        <v>500</v>
      </c>
      <c r="W173" s="177">
        <f t="shared" si="48"/>
        <v>370</v>
      </c>
      <c r="X173" s="177">
        <v>370</v>
      </c>
      <c r="Y173" s="177">
        <f t="shared" si="49"/>
        <v>70</v>
      </c>
      <c r="Z173" s="177">
        <v>70</v>
      </c>
      <c r="AA173" s="177"/>
      <c r="AB173" s="177"/>
      <c r="AC173" s="177"/>
      <c r="AD173" s="177"/>
      <c r="AE173" s="177"/>
      <c r="AF173" s="177"/>
      <c r="AG173" s="177"/>
      <c r="AH173" s="177"/>
      <c r="AI173" s="219"/>
      <c r="AJ173" s="173">
        <f t="shared" si="51"/>
        <v>1</v>
      </c>
    </row>
    <row r="174" spans="1:36" ht="49.5" x14ac:dyDescent="0.25">
      <c r="A174" s="188">
        <v>35</v>
      </c>
      <c r="B174" s="231" t="s">
        <v>1557</v>
      </c>
      <c r="C174" s="230" t="s">
        <v>1379</v>
      </c>
      <c r="D174" s="230" t="s">
        <v>1556</v>
      </c>
      <c r="E174" s="230" t="s">
        <v>252</v>
      </c>
      <c r="F174" s="226" t="s">
        <v>1555</v>
      </c>
      <c r="G174" s="385">
        <v>1062</v>
      </c>
      <c r="H174" s="229">
        <f t="shared" si="45"/>
        <v>1062</v>
      </c>
      <c r="I174" s="217"/>
      <c r="J174" s="217"/>
      <c r="K174" s="217"/>
      <c r="L174" s="217"/>
      <c r="M174" s="374">
        <f t="shared" si="46"/>
        <v>980</v>
      </c>
      <c r="N174" s="212">
        <v>980</v>
      </c>
      <c r="O174" s="403">
        <f t="shared" si="54"/>
        <v>890</v>
      </c>
      <c r="P174" s="404">
        <v>890</v>
      </c>
      <c r="Q174" s="177">
        <f t="shared" si="56"/>
        <v>-90</v>
      </c>
      <c r="R174" s="177">
        <f t="shared" si="56"/>
        <v>-90</v>
      </c>
      <c r="S174" s="176"/>
      <c r="T174" s="176">
        <f t="shared" si="53"/>
        <v>90</v>
      </c>
      <c r="U174" s="479">
        <f t="shared" si="55"/>
        <v>890</v>
      </c>
      <c r="V174" s="460">
        <v>890</v>
      </c>
      <c r="W174" s="177">
        <f t="shared" si="48"/>
        <v>635</v>
      </c>
      <c r="X174" s="177">
        <v>635</v>
      </c>
      <c r="Y174" s="177">
        <f t="shared" si="49"/>
        <v>150</v>
      </c>
      <c r="Z174" s="177">
        <v>150</v>
      </c>
      <c r="AA174" s="177"/>
      <c r="AB174" s="177"/>
      <c r="AC174" s="177"/>
      <c r="AD174" s="177"/>
      <c r="AE174" s="177"/>
      <c r="AF174" s="177"/>
      <c r="AG174" s="177"/>
      <c r="AH174" s="177"/>
      <c r="AI174" s="219"/>
      <c r="AJ174" s="173">
        <f t="shared" si="51"/>
        <v>1</v>
      </c>
    </row>
    <row r="175" spans="1:36" ht="49.5" x14ac:dyDescent="0.25">
      <c r="A175" s="188">
        <v>36</v>
      </c>
      <c r="B175" s="231" t="s">
        <v>1554</v>
      </c>
      <c r="C175" s="230" t="s">
        <v>1355</v>
      </c>
      <c r="D175" s="230" t="s">
        <v>1553</v>
      </c>
      <c r="E175" s="230" t="s">
        <v>252</v>
      </c>
      <c r="F175" s="226" t="s">
        <v>1552</v>
      </c>
      <c r="G175" s="212">
        <v>668</v>
      </c>
      <c r="H175" s="229">
        <f t="shared" si="45"/>
        <v>668</v>
      </c>
      <c r="I175" s="217"/>
      <c r="J175" s="217"/>
      <c r="K175" s="217"/>
      <c r="L175" s="217"/>
      <c r="M175" s="374">
        <f t="shared" si="46"/>
        <v>620</v>
      </c>
      <c r="N175" s="212">
        <v>620</v>
      </c>
      <c r="O175" s="403">
        <f t="shared" si="54"/>
        <v>560</v>
      </c>
      <c r="P175" s="340">
        <v>560</v>
      </c>
      <c r="Q175" s="177">
        <f t="shared" si="56"/>
        <v>-60</v>
      </c>
      <c r="R175" s="177">
        <f t="shared" si="56"/>
        <v>-60</v>
      </c>
      <c r="S175" s="176"/>
      <c r="T175" s="176">
        <f t="shared" si="53"/>
        <v>60</v>
      </c>
      <c r="U175" s="479">
        <f t="shared" si="55"/>
        <v>560</v>
      </c>
      <c r="V175" s="459">
        <v>560</v>
      </c>
      <c r="W175" s="177">
        <f t="shared" si="48"/>
        <v>400</v>
      </c>
      <c r="X175" s="177">
        <v>400</v>
      </c>
      <c r="Y175" s="177">
        <f t="shared" si="49"/>
        <v>70</v>
      </c>
      <c r="Z175" s="177">
        <v>70</v>
      </c>
      <c r="AA175" s="177"/>
      <c r="AB175" s="177"/>
      <c r="AC175" s="177"/>
      <c r="AD175" s="177"/>
      <c r="AE175" s="177"/>
      <c r="AF175" s="177"/>
      <c r="AG175" s="177"/>
      <c r="AH175" s="177"/>
      <c r="AI175" s="219"/>
      <c r="AJ175" s="173">
        <f t="shared" si="51"/>
        <v>1</v>
      </c>
    </row>
    <row r="176" spans="1:36" ht="99" x14ac:dyDescent="0.25">
      <c r="A176" s="188">
        <v>37</v>
      </c>
      <c r="B176" s="402" t="s">
        <v>1551</v>
      </c>
      <c r="C176" s="230"/>
      <c r="D176" s="188" t="s">
        <v>1550</v>
      </c>
      <c r="E176" s="230"/>
      <c r="F176" s="230"/>
      <c r="G176" s="401">
        <v>714</v>
      </c>
      <c r="H176" s="229">
        <f t="shared" si="45"/>
        <v>714</v>
      </c>
      <c r="I176" s="217"/>
      <c r="J176" s="217"/>
      <c r="K176" s="217"/>
      <c r="L176" s="217"/>
      <c r="M176" s="374">
        <f t="shared" si="46"/>
        <v>680</v>
      </c>
      <c r="N176" s="385">
        <f>H176/1.05</f>
        <v>680</v>
      </c>
      <c r="O176" s="345">
        <v>680</v>
      </c>
      <c r="P176" s="345">
        <v>680</v>
      </c>
      <c r="Q176" s="177">
        <f t="shared" si="56"/>
        <v>0</v>
      </c>
      <c r="R176" s="177">
        <f t="shared" si="56"/>
        <v>0</v>
      </c>
      <c r="S176" s="176"/>
      <c r="T176" s="176">
        <f t="shared" si="53"/>
        <v>0</v>
      </c>
      <c r="U176" s="478">
        <v>680</v>
      </c>
      <c r="V176" s="478">
        <v>680</v>
      </c>
      <c r="W176" s="217"/>
      <c r="X176" s="217"/>
      <c r="Y176" s="217"/>
      <c r="Z176" s="217"/>
      <c r="AA176" s="217"/>
      <c r="AB176" s="217"/>
      <c r="AC176" s="217"/>
      <c r="AD176" s="217"/>
      <c r="AE176" s="217"/>
      <c r="AF176" s="217"/>
      <c r="AG176" s="217"/>
      <c r="AH176" s="217"/>
      <c r="AI176" s="219"/>
      <c r="AJ176" s="173">
        <f t="shared" si="51"/>
        <v>0</v>
      </c>
    </row>
    <row r="177" spans="1:36" ht="66" x14ac:dyDescent="0.25">
      <c r="A177" s="188">
        <v>38</v>
      </c>
      <c r="B177" s="402" t="s">
        <v>1549</v>
      </c>
      <c r="C177" s="230"/>
      <c r="D177" s="188"/>
      <c r="E177" s="230"/>
      <c r="F177" s="230"/>
      <c r="G177" s="401">
        <v>766</v>
      </c>
      <c r="H177" s="229">
        <f t="shared" si="45"/>
        <v>766</v>
      </c>
      <c r="I177" s="217"/>
      <c r="J177" s="217"/>
      <c r="K177" s="217"/>
      <c r="L177" s="217"/>
      <c r="M177" s="374">
        <f t="shared" si="46"/>
        <v>729.52380952380952</v>
      </c>
      <c r="N177" s="385">
        <f>H177/1.05</f>
        <v>729.52380952380952</v>
      </c>
      <c r="O177" s="345"/>
      <c r="P177" s="345"/>
      <c r="Q177" s="177">
        <f t="shared" si="56"/>
        <v>-729.52380952380952</v>
      </c>
      <c r="R177" s="177">
        <f t="shared" si="56"/>
        <v>-729.52380952380952</v>
      </c>
      <c r="S177" s="176"/>
      <c r="T177" s="176">
        <f t="shared" si="53"/>
        <v>729.52380952380952</v>
      </c>
      <c r="U177" s="478"/>
      <c r="V177" s="478"/>
      <c r="W177" s="217"/>
      <c r="X177" s="217"/>
      <c r="Y177" s="217"/>
      <c r="Z177" s="217"/>
      <c r="AA177" s="217"/>
      <c r="AB177" s="217"/>
      <c r="AC177" s="217"/>
      <c r="AD177" s="217"/>
      <c r="AE177" s="217"/>
      <c r="AF177" s="217"/>
      <c r="AG177" s="217"/>
      <c r="AH177" s="217"/>
      <c r="AI177" s="185" t="s">
        <v>1547</v>
      </c>
      <c r="AJ177" s="173">
        <f t="shared" si="51"/>
        <v>1</v>
      </c>
    </row>
    <row r="178" spans="1:36" ht="66" x14ac:dyDescent="0.25">
      <c r="A178" s="188">
        <v>39</v>
      </c>
      <c r="B178" s="402" t="s">
        <v>1548</v>
      </c>
      <c r="C178" s="230"/>
      <c r="D178" s="188"/>
      <c r="E178" s="230"/>
      <c r="F178" s="230"/>
      <c r="G178" s="401">
        <v>32000</v>
      </c>
      <c r="H178" s="229">
        <f t="shared" si="45"/>
        <v>32000</v>
      </c>
      <c r="I178" s="217"/>
      <c r="J178" s="217"/>
      <c r="K178" s="217"/>
      <c r="L178" s="217"/>
      <c r="M178" s="374">
        <f t="shared" si="46"/>
        <v>29570</v>
      </c>
      <c r="N178" s="385">
        <v>29570</v>
      </c>
      <c r="O178" s="345"/>
      <c r="P178" s="345"/>
      <c r="Q178" s="177">
        <f t="shared" si="56"/>
        <v>-29570</v>
      </c>
      <c r="R178" s="177">
        <f t="shared" si="56"/>
        <v>-29570</v>
      </c>
      <c r="S178" s="176"/>
      <c r="T178" s="176">
        <f t="shared" si="53"/>
        <v>29570</v>
      </c>
      <c r="U178" s="478"/>
      <c r="V178" s="478"/>
      <c r="W178" s="217"/>
      <c r="X178" s="217"/>
      <c r="Y178" s="217"/>
      <c r="Z178" s="217"/>
      <c r="AA178" s="217"/>
      <c r="AB178" s="217"/>
      <c r="AC178" s="217"/>
      <c r="AD178" s="217"/>
      <c r="AE178" s="217"/>
      <c r="AF178" s="217"/>
      <c r="AG178" s="217"/>
      <c r="AH178" s="217"/>
      <c r="AI178" s="185" t="s">
        <v>1547</v>
      </c>
      <c r="AJ178" s="173">
        <f t="shared" si="51"/>
        <v>1</v>
      </c>
    </row>
    <row r="179" spans="1:36" ht="49.5" x14ac:dyDescent="0.25">
      <c r="A179" s="188">
        <v>40</v>
      </c>
      <c r="B179" s="402" t="s">
        <v>1546</v>
      </c>
      <c r="C179" s="230"/>
      <c r="D179" s="188"/>
      <c r="E179" s="230"/>
      <c r="F179" s="230"/>
      <c r="G179" s="401">
        <v>55000</v>
      </c>
      <c r="H179" s="229">
        <f t="shared" si="45"/>
        <v>55000</v>
      </c>
      <c r="I179" s="217"/>
      <c r="J179" s="217"/>
      <c r="K179" s="217"/>
      <c r="L179" s="217"/>
      <c r="M179" s="374">
        <f t="shared" si="46"/>
        <v>49999.999999999993</v>
      </c>
      <c r="N179" s="385">
        <f>H179/1.1</f>
        <v>49999.999999999993</v>
      </c>
      <c r="O179" s="345"/>
      <c r="P179" s="345"/>
      <c r="Q179" s="177">
        <f t="shared" si="56"/>
        <v>-49999.999999999993</v>
      </c>
      <c r="R179" s="177">
        <f t="shared" si="56"/>
        <v>-49999.999999999993</v>
      </c>
      <c r="S179" s="176"/>
      <c r="T179" s="176">
        <f t="shared" si="53"/>
        <v>49999.999999999993</v>
      </c>
      <c r="U179" s="478"/>
      <c r="V179" s="478"/>
      <c r="W179" s="217"/>
      <c r="X179" s="217"/>
      <c r="Y179" s="217"/>
      <c r="Z179" s="217"/>
      <c r="AA179" s="217"/>
      <c r="AB179" s="217"/>
      <c r="AC179" s="217"/>
      <c r="AD179" s="217"/>
      <c r="AE179" s="217"/>
      <c r="AF179" s="217"/>
      <c r="AG179" s="217"/>
      <c r="AH179" s="217"/>
      <c r="AI179" s="185" t="s">
        <v>1545</v>
      </c>
      <c r="AJ179" s="173">
        <f t="shared" si="51"/>
        <v>1</v>
      </c>
    </row>
    <row r="180" spans="1:36" ht="49.5" x14ac:dyDescent="0.25">
      <c r="A180" s="188">
        <v>41</v>
      </c>
      <c r="B180" s="402" t="s">
        <v>1544</v>
      </c>
      <c r="C180" s="230" t="s">
        <v>1355</v>
      </c>
      <c r="D180" s="182" t="s">
        <v>1543</v>
      </c>
      <c r="E180" s="230" t="s">
        <v>109</v>
      </c>
      <c r="F180" s="226" t="s">
        <v>1542</v>
      </c>
      <c r="G180" s="401">
        <f>H180</f>
        <v>4688</v>
      </c>
      <c r="H180" s="229">
        <v>4688</v>
      </c>
      <c r="I180" s="217"/>
      <c r="J180" s="217"/>
      <c r="K180" s="217"/>
      <c r="L180" s="217"/>
      <c r="M180" s="374">
        <f t="shared" si="46"/>
        <v>4760</v>
      </c>
      <c r="N180" s="385">
        <v>4760</v>
      </c>
      <c r="O180" s="345">
        <f>P180</f>
        <v>3380</v>
      </c>
      <c r="P180" s="345">
        <v>3380</v>
      </c>
      <c r="Q180" s="177">
        <f t="shared" si="56"/>
        <v>-1380</v>
      </c>
      <c r="R180" s="177">
        <f t="shared" si="56"/>
        <v>-1380</v>
      </c>
      <c r="S180" s="176"/>
      <c r="T180" s="176">
        <f t="shared" si="53"/>
        <v>1380</v>
      </c>
      <c r="U180" s="478">
        <f>V180</f>
        <v>3380</v>
      </c>
      <c r="V180" s="478">
        <v>3380</v>
      </c>
      <c r="W180" s="217"/>
      <c r="X180" s="217"/>
      <c r="Y180" s="177">
        <f t="shared" ref="Y180:Y199" si="57">Z180</f>
        <v>2927</v>
      </c>
      <c r="Z180" s="177">
        <v>2927</v>
      </c>
      <c r="AA180" s="217"/>
      <c r="AB180" s="217"/>
      <c r="AC180" s="217"/>
      <c r="AD180" s="217"/>
      <c r="AE180" s="217"/>
      <c r="AF180" s="217"/>
      <c r="AG180" s="217"/>
      <c r="AH180" s="217"/>
      <c r="AI180" s="219"/>
      <c r="AJ180" s="173">
        <f t="shared" si="51"/>
        <v>1</v>
      </c>
    </row>
    <row r="181" spans="1:36" ht="66" x14ac:dyDescent="0.25">
      <c r="A181" s="188">
        <v>42</v>
      </c>
      <c r="B181" s="237" t="s">
        <v>1541</v>
      </c>
      <c r="C181" s="230" t="s">
        <v>1379</v>
      </c>
      <c r="D181" s="182" t="s">
        <v>1540</v>
      </c>
      <c r="E181" s="230" t="s">
        <v>109</v>
      </c>
      <c r="F181" s="230" t="s">
        <v>1539</v>
      </c>
      <c r="G181" s="400">
        <v>3853</v>
      </c>
      <c r="H181" s="396">
        <f t="shared" ref="H181:H244" si="58">G181</f>
        <v>3853</v>
      </c>
      <c r="I181" s="217"/>
      <c r="J181" s="217"/>
      <c r="K181" s="217"/>
      <c r="L181" s="217"/>
      <c r="M181" s="374">
        <f t="shared" si="46"/>
        <v>4760</v>
      </c>
      <c r="N181" s="385">
        <v>4760</v>
      </c>
      <c r="O181" s="345">
        <f>P181</f>
        <v>3000</v>
      </c>
      <c r="P181" s="345">
        <v>3000</v>
      </c>
      <c r="Q181" s="177">
        <f t="shared" si="56"/>
        <v>-1760</v>
      </c>
      <c r="R181" s="177">
        <f t="shared" si="56"/>
        <v>-1760</v>
      </c>
      <c r="S181" s="176"/>
      <c r="T181" s="176">
        <f t="shared" si="53"/>
        <v>1760</v>
      </c>
      <c r="U181" s="478">
        <f>V181</f>
        <v>3000</v>
      </c>
      <c r="V181" s="478">
        <v>3000</v>
      </c>
      <c r="W181" s="217"/>
      <c r="X181" s="217"/>
      <c r="Y181" s="177">
        <f t="shared" si="57"/>
        <v>2130</v>
      </c>
      <c r="Z181" s="177">
        <v>2130</v>
      </c>
      <c r="AA181" s="217"/>
      <c r="AB181" s="217"/>
      <c r="AC181" s="217"/>
      <c r="AD181" s="217"/>
      <c r="AE181" s="217"/>
      <c r="AF181" s="217"/>
      <c r="AG181" s="217"/>
      <c r="AH181" s="217"/>
      <c r="AI181" s="219"/>
      <c r="AJ181" s="173">
        <f t="shared" si="51"/>
        <v>1</v>
      </c>
    </row>
    <row r="182" spans="1:36" ht="66" x14ac:dyDescent="0.25">
      <c r="A182" s="188">
        <v>43</v>
      </c>
      <c r="B182" s="237" t="s">
        <v>1538</v>
      </c>
      <c r="C182" s="230" t="s">
        <v>1355</v>
      </c>
      <c r="D182" s="182" t="s">
        <v>1537</v>
      </c>
      <c r="E182" s="230" t="s">
        <v>109</v>
      </c>
      <c r="F182" s="230" t="s">
        <v>1536</v>
      </c>
      <c r="G182" s="231">
        <v>27628</v>
      </c>
      <c r="H182" s="396">
        <f t="shared" si="58"/>
        <v>27628</v>
      </c>
      <c r="I182" s="217"/>
      <c r="J182" s="217"/>
      <c r="K182" s="217"/>
      <c r="L182" s="217"/>
      <c r="M182" s="374">
        <f t="shared" si="46"/>
        <v>18000</v>
      </c>
      <c r="N182" s="385">
        <v>18000</v>
      </c>
      <c r="O182" s="345">
        <f>P182</f>
        <v>20500</v>
      </c>
      <c r="P182" s="345">
        <v>20500</v>
      </c>
      <c r="Q182" s="177">
        <f t="shared" si="56"/>
        <v>2500</v>
      </c>
      <c r="R182" s="177">
        <f t="shared" si="56"/>
        <v>2500</v>
      </c>
      <c r="S182" s="176">
        <f>V182-N182</f>
        <v>2500</v>
      </c>
      <c r="T182" s="176"/>
      <c r="U182" s="478">
        <f>V182</f>
        <v>20500</v>
      </c>
      <c r="V182" s="478">
        <v>20500</v>
      </c>
      <c r="W182" s="217"/>
      <c r="X182" s="217"/>
      <c r="Y182" s="177">
        <f t="shared" si="57"/>
        <v>7000</v>
      </c>
      <c r="Z182" s="177">
        <v>7000</v>
      </c>
      <c r="AA182" s="217"/>
      <c r="AB182" s="217"/>
      <c r="AC182" s="217"/>
      <c r="AD182" s="217"/>
      <c r="AE182" s="217"/>
      <c r="AF182" s="217"/>
      <c r="AG182" s="217"/>
      <c r="AH182" s="217"/>
      <c r="AI182" s="219"/>
      <c r="AJ182" s="173">
        <f t="shared" si="51"/>
        <v>1</v>
      </c>
    </row>
    <row r="183" spans="1:36" ht="49.5" x14ac:dyDescent="0.25">
      <c r="A183" s="188">
        <v>44</v>
      </c>
      <c r="B183" s="237" t="s">
        <v>1535</v>
      </c>
      <c r="C183" s="230" t="s">
        <v>1355</v>
      </c>
      <c r="D183" s="182" t="s">
        <v>1534</v>
      </c>
      <c r="E183" s="230" t="s">
        <v>109</v>
      </c>
      <c r="F183" s="230" t="s">
        <v>1533</v>
      </c>
      <c r="G183" s="231">
        <v>4462</v>
      </c>
      <c r="H183" s="396">
        <f t="shared" si="58"/>
        <v>4462</v>
      </c>
      <c r="I183" s="177"/>
      <c r="J183" s="177"/>
      <c r="K183" s="177"/>
      <c r="L183" s="177"/>
      <c r="M183" s="374">
        <f t="shared" si="46"/>
        <v>2670</v>
      </c>
      <c r="N183" s="385">
        <v>2670</v>
      </c>
      <c r="O183" s="340">
        <v>3450</v>
      </c>
      <c r="P183" s="345">
        <f t="shared" ref="P183:P199" si="59">O183</f>
        <v>3450</v>
      </c>
      <c r="Q183" s="177">
        <f t="shared" si="56"/>
        <v>780</v>
      </c>
      <c r="R183" s="177">
        <f t="shared" si="56"/>
        <v>780</v>
      </c>
      <c r="S183" s="176">
        <f>V183-N183</f>
        <v>780</v>
      </c>
      <c r="T183" s="176"/>
      <c r="U183" s="459">
        <v>3450</v>
      </c>
      <c r="V183" s="478">
        <v>3450</v>
      </c>
      <c r="W183" s="177"/>
      <c r="X183" s="177"/>
      <c r="Y183" s="177">
        <f t="shared" si="57"/>
        <v>2581</v>
      </c>
      <c r="Z183" s="177">
        <v>2581</v>
      </c>
      <c r="AA183" s="177"/>
      <c r="AB183" s="177"/>
      <c r="AC183" s="177"/>
      <c r="AD183" s="177"/>
      <c r="AE183" s="177"/>
      <c r="AF183" s="177"/>
      <c r="AG183" s="177"/>
      <c r="AH183" s="177"/>
      <c r="AI183" s="198"/>
      <c r="AJ183" s="173">
        <f t="shared" si="51"/>
        <v>1</v>
      </c>
    </row>
    <row r="184" spans="1:36" ht="66" x14ac:dyDescent="0.25">
      <c r="A184" s="188">
        <v>45</v>
      </c>
      <c r="B184" s="237" t="s">
        <v>1532</v>
      </c>
      <c r="C184" s="230" t="s">
        <v>1355</v>
      </c>
      <c r="D184" s="182" t="s">
        <v>1531</v>
      </c>
      <c r="E184" s="230" t="s">
        <v>109</v>
      </c>
      <c r="F184" s="230" t="s">
        <v>1530</v>
      </c>
      <c r="G184" s="231">
        <v>2600</v>
      </c>
      <c r="H184" s="396">
        <f t="shared" si="58"/>
        <v>2600</v>
      </c>
      <c r="I184" s="177"/>
      <c r="J184" s="177"/>
      <c r="K184" s="177"/>
      <c r="L184" s="177"/>
      <c r="M184" s="374">
        <f t="shared" si="46"/>
        <v>1330</v>
      </c>
      <c r="N184" s="385">
        <v>1330</v>
      </c>
      <c r="O184" s="340">
        <v>2040</v>
      </c>
      <c r="P184" s="345">
        <f t="shared" si="59"/>
        <v>2040</v>
      </c>
      <c r="Q184" s="177">
        <f t="shared" si="56"/>
        <v>710</v>
      </c>
      <c r="R184" s="177">
        <f t="shared" si="56"/>
        <v>710</v>
      </c>
      <c r="S184" s="176">
        <f t="shared" ref="S184:S188" si="60">V184-N184</f>
        <v>710</v>
      </c>
      <c r="T184" s="176"/>
      <c r="U184" s="459">
        <v>2040</v>
      </c>
      <c r="V184" s="478">
        <v>2040</v>
      </c>
      <c r="W184" s="177"/>
      <c r="X184" s="177"/>
      <c r="Y184" s="177">
        <f t="shared" si="57"/>
        <v>740</v>
      </c>
      <c r="Z184" s="177">
        <v>740</v>
      </c>
      <c r="AA184" s="177"/>
      <c r="AB184" s="177"/>
      <c r="AC184" s="177"/>
      <c r="AD184" s="177"/>
      <c r="AE184" s="177"/>
      <c r="AF184" s="177"/>
      <c r="AG184" s="177"/>
      <c r="AH184" s="177"/>
      <c r="AI184" s="198"/>
      <c r="AJ184" s="173">
        <f t="shared" si="51"/>
        <v>1</v>
      </c>
    </row>
    <row r="185" spans="1:36" ht="49.5" x14ac:dyDescent="0.25">
      <c r="A185" s="188">
        <v>46</v>
      </c>
      <c r="B185" s="237" t="s">
        <v>1529</v>
      </c>
      <c r="C185" s="230" t="s">
        <v>1355</v>
      </c>
      <c r="D185" s="182" t="s">
        <v>1528</v>
      </c>
      <c r="E185" s="230" t="s">
        <v>109</v>
      </c>
      <c r="F185" s="230" t="s">
        <v>1527</v>
      </c>
      <c r="G185" s="231">
        <v>487</v>
      </c>
      <c r="H185" s="396">
        <f t="shared" si="58"/>
        <v>487</v>
      </c>
      <c r="I185" s="177"/>
      <c r="J185" s="177"/>
      <c r="K185" s="177"/>
      <c r="L185" s="177"/>
      <c r="M185" s="374">
        <f t="shared" si="46"/>
        <v>1000</v>
      </c>
      <c r="N185" s="385">
        <v>1000</v>
      </c>
      <c r="O185" s="340">
        <v>380</v>
      </c>
      <c r="P185" s="345">
        <f t="shared" si="59"/>
        <v>380</v>
      </c>
      <c r="Q185" s="177">
        <f t="shared" si="56"/>
        <v>-620</v>
      </c>
      <c r="R185" s="177">
        <f t="shared" si="56"/>
        <v>-620</v>
      </c>
      <c r="S185" s="176"/>
      <c r="T185" s="176">
        <f>N185-V185</f>
        <v>620</v>
      </c>
      <c r="U185" s="459">
        <v>380</v>
      </c>
      <c r="V185" s="478">
        <v>380</v>
      </c>
      <c r="W185" s="177"/>
      <c r="X185" s="177"/>
      <c r="Y185" s="177">
        <f t="shared" si="57"/>
        <v>319</v>
      </c>
      <c r="Z185" s="177">
        <v>319</v>
      </c>
      <c r="AA185" s="177"/>
      <c r="AB185" s="177"/>
      <c r="AC185" s="177"/>
      <c r="AD185" s="177"/>
      <c r="AE185" s="177"/>
      <c r="AF185" s="177"/>
      <c r="AG185" s="177"/>
      <c r="AH185" s="177"/>
      <c r="AI185" s="198"/>
      <c r="AJ185" s="173">
        <f t="shared" si="51"/>
        <v>1</v>
      </c>
    </row>
    <row r="186" spans="1:36" ht="66" x14ac:dyDescent="0.25">
      <c r="A186" s="188">
        <v>47</v>
      </c>
      <c r="B186" s="237" t="s">
        <v>1526</v>
      </c>
      <c r="C186" s="230" t="s">
        <v>1355</v>
      </c>
      <c r="D186" s="182" t="s">
        <v>1525</v>
      </c>
      <c r="E186" s="230" t="s">
        <v>109</v>
      </c>
      <c r="F186" s="230" t="s">
        <v>1524</v>
      </c>
      <c r="G186" s="231">
        <v>1055</v>
      </c>
      <c r="H186" s="396">
        <f t="shared" si="58"/>
        <v>1055</v>
      </c>
      <c r="I186" s="177"/>
      <c r="J186" s="177"/>
      <c r="K186" s="177"/>
      <c r="L186" s="177"/>
      <c r="M186" s="374">
        <f t="shared" si="46"/>
        <v>500</v>
      </c>
      <c r="N186" s="385">
        <v>500</v>
      </c>
      <c r="O186" s="340">
        <v>820</v>
      </c>
      <c r="P186" s="345">
        <f t="shared" si="59"/>
        <v>820</v>
      </c>
      <c r="Q186" s="177">
        <f t="shared" si="56"/>
        <v>320</v>
      </c>
      <c r="R186" s="177">
        <f t="shared" si="56"/>
        <v>320</v>
      </c>
      <c r="S186" s="176">
        <f t="shared" si="60"/>
        <v>320</v>
      </c>
      <c r="T186" s="176"/>
      <c r="U186" s="459">
        <v>820</v>
      </c>
      <c r="V186" s="478">
        <v>820</v>
      </c>
      <c r="W186" s="177"/>
      <c r="X186" s="177"/>
      <c r="Y186" s="177">
        <f t="shared" si="57"/>
        <v>777</v>
      </c>
      <c r="Z186" s="177">
        <v>777</v>
      </c>
      <c r="AA186" s="177"/>
      <c r="AB186" s="177"/>
      <c r="AC186" s="177"/>
      <c r="AD186" s="177"/>
      <c r="AE186" s="177"/>
      <c r="AF186" s="177"/>
      <c r="AG186" s="177"/>
      <c r="AH186" s="177"/>
      <c r="AI186" s="198"/>
      <c r="AJ186" s="173">
        <f t="shared" si="51"/>
        <v>1</v>
      </c>
    </row>
    <row r="187" spans="1:36" ht="66" x14ac:dyDescent="0.25">
      <c r="A187" s="188">
        <v>48</v>
      </c>
      <c r="B187" s="237" t="s">
        <v>1523</v>
      </c>
      <c r="C187" s="230" t="s">
        <v>1355</v>
      </c>
      <c r="D187" s="182" t="s">
        <v>1522</v>
      </c>
      <c r="E187" s="230" t="s">
        <v>109</v>
      </c>
      <c r="F187" s="230" t="s">
        <v>1521</v>
      </c>
      <c r="G187" s="231">
        <v>473</v>
      </c>
      <c r="H187" s="396">
        <f t="shared" si="58"/>
        <v>473</v>
      </c>
      <c r="I187" s="177"/>
      <c r="J187" s="177"/>
      <c r="K187" s="177"/>
      <c r="L187" s="177"/>
      <c r="M187" s="374">
        <f t="shared" si="46"/>
        <v>500</v>
      </c>
      <c r="N187" s="385">
        <v>500</v>
      </c>
      <c r="O187" s="340">
        <v>350</v>
      </c>
      <c r="P187" s="345">
        <f t="shared" si="59"/>
        <v>350</v>
      </c>
      <c r="Q187" s="177">
        <f t="shared" si="56"/>
        <v>-150</v>
      </c>
      <c r="R187" s="177">
        <f t="shared" si="56"/>
        <v>-150</v>
      </c>
      <c r="S187" s="176"/>
      <c r="T187" s="176">
        <f>N187-V187</f>
        <v>150</v>
      </c>
      <c r="U187" s="459">
        <v>350</v>
      </c>
      <c r="V187" s="478">
        <v>350</v>
      </c>
      <c r="W187" s="177"/>
      <c r="X187" s="177"/>
      <c r="Y187" s="177">
        <f t="shared" si="57"/>
        <v>302</v>
      </c>
      <c r="Z187" s="177">
        <v>302</v>
      </c>
      <c r="AA187" s="177"/>
      <c r="AB187" s="177"/>
      <c r="AC187" s="177"/>
      <c r="AD187" s="177"/>
      <c r="AE187" s="177"/>
      <c r="AF187" s="177"/>
      <c r="AG187" s="177"/>
      <c r="AH187" s="177"/>
      <c r="AI187" s="198"/>
      <c r="AJ187" s="173">
        <f t="shared" si="51"/>
        <v>1</v>
      </c>
    </row>
    <row r="188" spans="1:36" ht="66" x14ac:dyDescent="0.25">
      <c r="A188" s="188">
        <v>49</v>
      </c>
      <c r="B188" s="237" t="s">
        <v>1520</v>
      </c>
      <c r="C188" s="230" t="s">
        <v>1355</v>
      </c>
      <c r="D188" s="182" t="s">
        <v>1519</v>
      </c>
      <c r="E188" s="230" t="s">
        <v>109</v>
      </c>
      <c r="F188" s="230" t="s">
        <v>1518</v>
      </c>
      <c r="G188" s="231">
        <v>1392</v>
      </c>
      <c r="H188" s="396">
        <f t="shared" si="58"/>
        <v>1392</v>
      </c>
      <c r="I188" s="177"/>
      <c r="J188" s="177"/>
      <c r="K188" s="177"/>
      <c r="L188" s="177"/>
      <c r="M188" s="374">
        <f t="shared" si="46"/>
        <v>830</v>
      </c>
      <c r="N188" s="385">
        <v>830</v>
      </c>
      <c r="O188" s="340">
        <v>1090</v>
      </c>
      <c r="P188" s="345">
        <f t="shared" si="59"/>
        <v>1090</v>
      </c>
      <c r="Q188" s="177">
        <f t="shared" si="56"/>
        <v>260</v>
      </c>
      <c r="R188" s="177">
        <f t="shared" si="56"/>
        <v>260</v>
      </c>
      <c r="S188" s="176">
        <f t="shared" si="60"/>
        <v>260</v>
      </c>
      <c r="T188" s="176"/>
      <c r="U188" s="459">
        <v>1090</v>
      </c>
      <c r="V188" s="478">
        <v>1090</v>
      </c>
      <c r="W188" s="177"/>
      <c r="X188" s="177"/>
      <c r="Y188" s="177">
        <f t="shared" si="57"/>
        <v>767</v>
      </c>
      <c r="Z188" s="177">
        <v>767</v>
      </c>
      <c r="AA188" s="177"/>
      <c r="AB188" s="177"/>
      <c r="AC188" s="177"/>
      <c r="AD188" s="177"/>
      <c r="AE188" s="177"/>
      <c r="AF188" s="177"/>
      <c r="AG188" s="177"/>
      <c r="AH188" s="177"/>
      <c r="AI188" s="198"/>
      <c r="AJ188" s="173">
        <f t="shared" si="51"/>
        <v>1</v>
      </c>
    </row>
    <row r="189" spans="1:36" ht="66" x14ac:dyDescent="0.25">
      <c r="A189" s="188">
        <v>50</v>
      </c>
      <c r="B189" s="237" t="s">
        <v>1517</v>
      </c>
      <c r="C189" s="230" t="s">
        <v>1355</v>
      </c>
      <c r="D189" s="182" t="s">
        <v>1516</v>
      </c>
      <c r="E189" s="230" t="s">
        <v>109</v>
      </c>
      <c r="F189" s="230" t="s">
        <v>1515</v>
      </c>
      <c r="G189" s="231">
        <v>726</v>
      </c>
      <c r="H189" s="396">
        <f t="shared" si="58"/>
        <v>726</v>
      </c>
      <c r="I189" s="177"/>
      <c r="J189" s="177"/>
      <c r="K189" s="177"/>
      <c r="L189" s="177"/>
      <c r="M189" s="374">
        <f t="shared" si="46"/>
        <v>1000</v>
      </c>
      <c r="N189" s="385">
        <v>1000</v>
      </c>
      <c r="O189" s="340">
        <v>550</v>
      </c>
      <c r="P189" s="345">
        <f t="shared" si="59"/>
        <v>550</v>
      </c>
      <c r="Q189" s="177">
        <f t="shared" si="56"/>
        <v>-450</v>
      </c>
      <c r="R189" s="177">
        <f t="shared" si="56"/>
        <v>-450</v>
      </c>
      <c r="S189" s="176"/>
      <c r="T189" s="176">
        <f>N189-V189</f>
        <v>450</v>
      </c>
      <c r="U189" s="459">
        <v>550</v>
      </c>
      <c r="V189" s="478">
        <v>550</v>
      </c>
      <c r="W189" s="177"/>
      <c r="X189" s="177"/>
      <c r="Y189" s="177">
        <f t="shared" si="57"/>
        <v>498</v>
      </c>
      <c r="Z189" s="177">
        <v>498</v>
      </c>
      <c r="AA189" s="177"/>
      <c r="AB189" s="177"/>
      <c r="AC189" s="177"/>
      <c r="AD189" s="177"/>
      <c r="AE189" s="177"/>
      <c r="AF189" s="177"/>
      <c r="AG189" s="177"/>
      <c r="AH189" s="177"/>
      <c r="AI189" s="198"/>
      <c r="AJ189" s="173">
        <f t="shared" si="51"/>
        <v>1</v>
      </c>
    </row>
    <row r="190" spans="1:36" ht="66" x14ac:dyDescent="0.25">
      <c r="A190" s="188">
        <v>51</v>
      </c>
      <c r="B190" s="237" t="s">
        <v>1514</v>
      </c>
      <c r="C190" s="230" t="s">
        <v>1355</v>
      </c>
      <c r="D190" s="182" t="s">
        <v>1513</v>
      </c>
      <c r="E190" s="230" t="s">
        <v>109</v>
      </c>
      <c r="F190" s="230" t="s">
        <v>1512</v>
      </c>
      <c r="G190" s="231">
        <v>494</v>
      </c>
      <c r="H190" s="396">
        <f t="shared" si="58"/>
        <v>494</v>
      </c>
      <c r="I190" s="177"/>
      <c r="J190" s="177"/>
      <c r="K190" s="177"/>
      <c r="L190" s="177"/>
      <c r="M190" s="374">
        <f t="shared" si="46"/>
        <v>500</v>
      </c>
      <c r="N190" s="385">
        <v>500</v>
      </c>
      <c r="O190" s="340">
        <v>390</v>
      </c>
      <c r="P190" s="345">
        <f t="shared" si="59"/>
        <v>390</v>
      </c>
      <c r="Q190" s="177">
        <f t="shared" si="56"/>
        <v>-110</v>
      </c>
      <c r="R190" s="177">
        <f t="shared" si="56"/>
        <v>-110</v>
      </c>
      <c r="S190" s="176"/>
      <c r="T190" s="176">
        <f t="shared" ref="T190:T199" si="61">N190-V190</f>
        <v>110</v>
      </c>
      <c r="U190" s="459">
        <v>390</v>
      </c>
      <c r="V190" s="478">
        <v>390</v>
      </c>
      <c r="W190" s="177"/>
      <c r="X190" s="177"/>
      <c r="Y190" s="177">
        <f t="shared" si="57"/>
        <v>323</v>
      </c>
      <c r="Z190" s="177">
        <v>323</v>
      </c>
      <c r="AA190" s="177"/>
      <c r="AB190" s="177"/>
      <c r="AC190" s="177"/>
      <c r="AD190" s="177"/>
      <c r="AE190" s="177"/>
      <c r="AF190" s="177"/>
      <c r="AG190" s="177"/>
      <c r="AH190" s="177"/>
      <c r="AI190" s="198"/>
      <c r="AJ190" s="173">
        <f t="shared" si="51"/>
        <v>1</v>
      </c>
    </row>
    <row r="191" spans="1:36" ht="66" x14ac:dyDescent="0.25">
      <c r="A191" s="188">
        <v>52</v>
      </c>
      <c r="B191" s="237" t="s">
        <v>1511</v>
      </c>
      <c r="C191" s="230" t="s">
        <v>1355</v>
      </c>
      <c r="D191" s="182" t="s">
        <v>1510</v>
      </c>
      <c r="E191" s="230" t="s">
        <v>109</v>
      </c>
      <c r="F191" s="230" t="s">
        <v>1509</v>
      </c>
      <c r="G191" s="231">
        <v>685</v>
      </c>
      <c r="H191" s="396">
        <f t="shared" si="58"/>
        <v>685</v>
      </c>
      <c r="I191" s="177"/>
      <c r="J191" s="177"/>
      <c r="K191" s="177"/>
      <c r="L191" s="177"/>
      <c r="M191" s="374">
        <f t="shared" si="46"/>
        <v>830</v>
      </c>
      <c r="N191" s="385">
        <v>830</v>
      </c>
      <c r="O191" s="340">
        <v>530</v>
      </c>
      <c r="P191" s="345">
        <f t="shared" si="59"/>
        <v>530</v>
      </c>
      <c r="Q191" s="177">
        <f t="shared" si="56"/>
        <v>-300</v>
      </c>
      <c r="R191" s="177">
        <f t="shared" si="56"/>
        <v>-300</v>
      </c>
      <c r="S191" s="176"/>
      <c r="T191" s="176">
        <f t="shared" si="61"/>
        <v>300</v>
      </c>
      <c r="U191" s="459">
        <v>530</v>
      </c>
      <c r="V191" s="478">
        <v>530</v>
      </c>
      <c r="W191" s="177"/>
      <c r="X191" s="177"/>
      <c r="Y191" s="177">
        <f t="shared" si="57"/>
        <v>482</v>
      </c>
      <c r="Z191" s="177">
        <v>482</v>
      </c>
      <c r="AA191" s="177"/>
      <c r="AB191" s="177"/>
      <c r="AC191" s="177"/>
      <c r="AD191" s="177"/>
      <c r="AE191" s="177"/>
      <c r="AF191" s="177"/>
      <c r="AG191" s="177"/>
      <c r="AH191" s="177"/>
      <c r="AI191" s="198"/>
      <c r="AJ191" s="173">
        <f t="shared" si="51"/>
        <v>1</v>
      </c>
    </row>
    <row r="192" spans="1:36" ht="66" x14ac:dyDescent="0.25">
      <c r="A192" s="188">
        <v>53</v>
      </c>
      <c r="B192" s="237" t="s">
        <v>1508</v>
      </c>
      <c r="C192" s="230" t="s">
        <v>1355</v>
      </c>
      <c r="D192" s="182" t="s">
        <v>1507</v>
      </c>
      <c r="E192" s="230" t="s">
        <v>109</v>
      </c>
      <c r="F192" s="230" t="s">
        <v>1506</v>
      </c>
      <c r="G192" s="231">
        <v>1027</v>
      </c>
      <c r="H192" s="396">
        <f t="shared" si="58"/>
        <v>1027</v>
      </c>
      <c r="I192" s="177"/>
      <c r="J192" s="177"/>
      <c r="K192" s="177"/>
      <c r="L192" s="177"/>
      <c r="M192" s="374">
        <f t="shared" si="46"/>
        <v>2670</v>
      </c>
      <c r="N192" s="385">
        <v>2670</v>
      </c>
      <c r="O192" s="340">
        <v>800</v>
      </c>
      <c r="P192" s="345">
        <f t="shared" si="59"/>
        <v>800</v>
      </c>
      <c r="Q192" s="177">
        <f t="shared" si="56"/>
        <v>-1870</v>
      </c>
      <c r="R192" s="177">
        <f t="shared" si="56"/>
        <v>-1870</v>
      </c>
      <c r="S192" s="176"/>
      <c r="T192" s="176">
        <f t="shared" si="61"/>
        <v>1870</v>
      </c>
      <c r="U192" s="459">
        <v>800</v>
      </c>
      <c r="V192" s="478">
        <v>800</v>
      </c>
      <c r="W192" s="177"/>
      <c r="X192" s="177"/>
      <c r="Y192" s="177">
        <f t="shared" si="57"/>
        <v>566</v>
      </c>
      <c r="Z192" s="177">
        <v>566</v>
      </c>
      <c r="AA192" s="177"/>
      <c r="AB192" s="177"/>
      <c r="AC192" s="177"/>
      <c r="AD192" s="177"/>
      <c r="AE192" s="177"/>
      <c r="AF192" s="177"/>
      <c r="AG192" s="177"/>
      <c r="AH192" s="177"/>
      <c r="AI192" s="198"/>
      <c r="AJ192" s="173">
        <f t="shared" si="51"/>
        <v>1</v>
      </c>
    </row>
    <row r="193" spans="1:36" ht="66" x14ac:dyDescent="0.25">
      <c r="A193" s="188">
        <v>54</v>
      </c>
      <c r="B193" s="237" t="s">
        <v>1505</v>
      </c>
      <c r="C193" s="230" t="s">
        <v>1355</v>
      </c>
      <c r="D193" s="182" t="s">
        <v>1504</v>
      </c>
      <c r="E193" s="230" t="s">
        <v>109</v>
      </c>
      <c r="F193" s="230" t="s">
        <v>1503</v>
      </c>
      <c r="G193" s="231">
        <v>656</v>
      </c>
      <c r="H193" s="396">
        <f t="shared" si="58"/>
        <v>656</v>
      </c>
      <c r="I193" s="177"/>
      <c r="J193" s="177"/>
      <c r="K193" s="177"/>
      <c r="L193" s="177"/>
      <c r="M193" s="374">
        <v>1170</v>
      </c>
      <c r="N193" s="385">
        <v>1170</v>
      </c>
      <c r="O193" s="340">
        <v>500</v>
      </c>
      <c r="P193" s="345">
        <f t="shared" si="59"/>
        <v>500</v>
      </c>
      <c r="Q193" s="177">
        <f t="shared" si="56"/>
        <v>-670</v>
      </c>
      <c r="R193" s="177">
        <f t="shared" si="56"/>
        <v>-670</v>
      </c>
      <c r="S193" s="176"/>
      <c r="T193" s="176">
        <f t="shared" si="61"/>
        <v>670</v>
      </c>
      <c r="U193" s="459">
        <v>500</v>
      </c>
      <c r="V193" s="478">
        <v>500</v>
      </c>
      <c r="W193" s="177"/>
      <c r="X193" s="177"/>
      <c r="Y193" s="177">
        <f t="shared" si="57"/>
        <v>362</v>
      </c>
      <c r="Z193" s="177">
        <v>362</v>
      </c>
      <c r="AA193" s="177"/>
      <c r="AB193" s="177"/>
      <c r="AC193" s="177"/>
      <c r="AD193" s="177"/>
      <c r="AE193" s="177"/>
      <c r="AF193" s="177"/>
      <c r="AG193" s="177"/>
      <c r="AH193" s="177"/>
      <c r="AI193" s="198"/>
      <c r="AJ193" s="173">
        <f t="shared" si="51"/>
        <v>1</v>
      </c>
    </row>
    <row r="194" spans="1:36" ht="66" x14ac:dyDescent="0.25">
      <c r="A194" s="188">
        <v>55</v>
      </c>
      <c r="B194" s="237" t="s">
        <v>1502</v>
      </c>
      <c r="C194" s="230" t="s">
        <v>1357</v>
      </c>
      <c r="D194" s="182" t="s">
        <v>1501</v>
      </c>
      <c r="E194" s="230" t="s">
        <v>109</v>
      </c>
      <c r="F194" s="230" t="s">
        <v>1500</v>
      </c>
      <c r="G194" s="231">
        <v>1534</v>
      </c>
      <c r="H194" s="396">
        <f t="shared" si="58"/>
        <v>1534</v>
      </c>
      <c r="I194" s="360"/>
      <c r="J194" s="360"/>
      <c r="K194" s="360"/>
      <c r="L194" s="360"/>
      <c r="M194" s="374">
        <f t="shared" ref="M194:M199" si="62">N194</f>
        <v>1310</v>
      </c>
      <c r="N194" s="385">
        <v>1310</v>
      </c>
      <c r="O194" s="340">
        <v>1150</v>
      </c>
      <c r="P194" s="345">
        <f t="shared" si="59"/>
        <v>1150</v>
      </c>
      <c r="Q194" s="177">
        <f t="shared" si="56"/>
        <v>-160</v>
      </c>
      <c r="R194" s="177">
        <f t="shared" si="56"/>
        <v>-160</v>
      </c>
      <c r="S194" s="176"/>
      <c r="T194" s="176">
        <f t="shared" si="61"/>
        <v>160</v>
      </c>
      <c r="U194" s="459">
        <v>1150</v>
      </c>
      <c r="V194" s="478">
        <v>1150</v>
      </c>
      <c r="W194" s="399"/>
      <c r="X194" s="399"/>
      <c r="Y194" s="177">
        <f t="shared" si="57"/>
        <v>845</v>
      </c>
      <c r="Z194" s="177">
        <v>845</v>
      </c>
      <c r="AA194" s="399"/>
      <c r="AB194" s="399"/>
      <c r="AC194" s="399"/>
      <c r="AD194" s="399"/>
      <c r="AE194" s="399"/>
      <c r="AF194" s="399"/>
      <c r="AG194" s="399"/>
      <c r="AH194" s="399"/>
      <c r="AI194" s="359"/>
      <c r="AJ194" s="173">
        <f t="shared" si="51"/>
        <v>1</v>
      </c>
    </row>
    <row r="195" spans="1:36" ht="66" x14ac:dyDescent="0.25">
      <c r="A195" s="188">
        <v>56</v>
      </c>
      <c r="B195" s="237" t="s">
        <v>1499</v>
      </c>
      <c r="C195" s="230" t="s">
        <v>1357</v>
      </c>
      <c r="D195" s="182" t="s">
        <v>1498</v>
      </c>
      <c r="E195" s="230" t="s">
        <v>109</v>
      </c>
      <c r="F195" s="398" t="s">
        <v>1497</v>
      </c>
      <c r="G195" s="231">
        <v>1406</v>
      </c>
      <c r="H195" s="396">
        <f t="shared" si="58"/>
        <v>1406</v>
      </c>
      <c r="I195" s="177"/>
      <c r="J195" s="177"/>
      <c r="K195" s="177"/>
      <c r="L195" s="177"/>
      <c r="M195" s="374">
        <f t="shared" si="62"/>
        <v>1390</v>
      </c>
      <c r="N195" s="385">
        <v>1390</v>
      </c>
      <c r="O195" s="340">
        <v>1060</v>
      </c>
      <c r="P195" s="345">
        <f t="shared" si="59"/>
        <v>1060</v>
      </c>
      <c r="Q195" s="177">
        <f t="shared" si="56"/>
        <v>-330</v>
      </c>
      <c r="R195" s="177">
        <f t="shared" si="56"/>
        <v>-330</v>
      </c>
      <c r="S195" s="176"/>
      <c r="T195" s="176">
        <f t="shared" si="61"/>
        <v>330</v>
      </c>
      <c r="U195" s="459">
        <v>1060</v>
      </c>
      <c r="V195" s="478">
        <v>1060</v>
      </c>
      <c r="W195" s="177"/>
      <c r="X195" s="177"/>
      <c r="Y195" s="177">
        <f t="shared" si="57"/>
        <v>775</v>
      </c>
      <c r="Z195" s="177">
        <v>775</v>
      </c>
      <c r="AA195" s="177"/>
      <c r="AB195" s="177"/>
      <c r="AC195" s="177"/>
      <c r="AD195" s="177"/>
      <c r="AE195" s="177"/>
      <c r="AF195" s="177"/>
      <c r="AG195" s="177"/>
      <c r="AH195" s="177"/>
      <c r="AI195" s="198"/>
      <c r="AJ195" s="173">
        <f t="shared" si="51"/>
        <v>1</v>
      </c>
    </row>
    <row r="196" spans="1:36" ht="66" x14ac:dyDescent="0.25">
      <c r="A196" s="188">
        <v>57</v>
      </c>
      <c r="B196" s="237" t="s">
        <v>1496</v>
      </c>
      <c r="C196" s="230" t="s">
        <v>1357</v>
      </c>
      <c r="D196" s="182" t="s">
        <v>1495</v>
      </c>
      <c r="E196" s="230" t="s">
        <v>109</v>
      </c>
      <c r="F196" s="230" t="s">
        <v>1494</v>
      </c>
      <c r="G196" s="231">
        <v>1185</v>
      </c>
      <c r="H196" s="396">
        <f t="shared" si="58"/>
        <v>1185</v>
      </c>
      <c r="I196" s="265"/>
      <c r="J196" s="265"/>
      <c r="K196" s="265"/>
      <c r="L196" s="265"/>
      <c r="M196" s="374">
        <f t="shared" si="62"/>
        <v>1200</v>
      </c>
      <c r="N196" s="385">
        <v>1200</v>
      </c>
      <c r="O196" s="345">
        <v>920</v>
      </c>
      <c r="P196" s="345">
        <f t="shared" si="59"/>
        <v>920</v>
      </c>
      <c r="Q196" s="177">
        <f t="shared" si="56"/>
        <v>-280</v>
      </c>
      <c r="R196" s="177">
        <f t="shared" si="56"/>
        <v>-280</v>
      </c>
      <c r="S196" s="176"/>
      <c r="T196" s="176">
        <f t="shared" si="61"/>
        <v>280</v>
      </c>
      <c r="U196" s="478">
        <v>920</v>
      </c>
      <c r="V196" s="478">
        <v>920</v>
      </c>
      <c r="W196" s="265"/>
      <c r="X196" s="265"/>
      <c r="Y196" s="177">
        <f t="shared" si="57"/>
        <v>710</v>
      </c>
      <c r="Z196" s="177">
        <v>710</v>
      </c>
      <c r="AA196" s="265"/>
      <c r="AB196" s="265"/>
      <c r="AC196" s="265"/>
      <c r="AD196" s="265"/>
      <c r="AE196" s="265"/>
      <c r="AF196" s="265"/>
      <c r="AG196" s="265"/>
      <c r="AH196" s="265"/>
      <c r="AI196" s="219"/>
      <c r="AJ196" s="173">
        <f t="shared" si="51"/>
        <v>1</v>
      </c>
    </row>
    <row r="197" spans="1:36" ht="66" x14ac:dyDescent="0.25">
      <c r="A197" s="188">
        <v>58</v>
      </c>
      <c r="B197" s="237" t="s">
        <v>1493</v>
      </c>
      <c r="C197" s="230" t="s">
        <v>1357</v>
      </c>
      <c r="D197" s="182" t="s">
        <v>1492</v>
      </c>
      <c r="E197" s="230" t="s">
        <v>109</v>
      </c>
      <c r="F197" s="230" t="s">
        <v>1491</v>
      </c>
      <c r="G197" s="231">
        <v>2914</v>
      </c>
      <c r="H197" s="396">
        <f t="shared" si="58"/>
        <v>2914</v>
      </c>
      <c r="I197" s="191"/>
      <c r="J197" s="191"/>
      <c r="K197" s="191"/>
      <c r="L197" s="191"/>
      <c r="M197" s="374">
        <f t="shared" si="62"/>
        <v>2280</v>
      </c>
      <c r="N197" s="385">
        <v>2280</v>
      </c>
      <c r="O197" s="345">
        <v>2260</v>
      </c>
      <c r="P197" s="345">
        <f t="shared" si="59"/>
        <v>2260</v>
      </c>
      <c r="Q197" s="177">
        <f t="shared" si="56"/>
        <v>-20</v>
      </c>
      <c r="R197" s="177">
        <f t="shared" si="56"/>
        <v>-20</v>
      </c>
      <c r="S197" s="176"/>
      <c r="T197" s="176">
        <f t="shared" si="61"/>
        <v>20</v>
      </c>
      <c r="U197" s="478">
        <v>2260</v>
      </c>
      <c r="V197" s="478">
        <v>2260</v>
      </c>
      <c r="W197" s="191"/>
      <c r="X197" s="191"/>
      <c r="Y197" s="177">
        <f t="shared" si="57"/>
        <v>1605</v>
      </c>
      <c r="Z197" s="177">
        <v>1605</v>
      </c>
      <c r="AA197" s="191"/>
      <c r="AB197" s="191"/>
      <c r="AC197" s="191"/>
      <c r="AD197" s="191"/>
      <c r="AE197" s="191"/>
      <c r="AF197" s="191"/>
      <c r="AG197" s="191"/>
      <c r="AH197" s="191"/>
      <c r="AI197" s="189"/>
      <c r="AJ197" s="173">
        <f t="shared" si="51"/>
        <v>1</v>
      </c>
    </row>
    <row r="198" spans="1:36" ht="66" x14ac:dyDescent="0.25">
      <c r="A198" s="188">
        <v>59</v>
      </c>
      <c r="B198" s="237" t="s">
        <v>1490</v>
      </c>
      <c r="C198" s="230" t="s">
        <v>1357</v>
      </c>
      <c r="D198" s="182" t="s">
        <v>1489</v>
      </c>
      <c r="E198" s="230" t="s">
        <v>109</v>
      </c>
      <c r="F198" s="230" t="s">
        <v>1488</v>
      </c>
      <c r="G198" s="231">
        <v>1760</v>
      </c>
      <c r="H198" s="396">
        <f t="shared" si="58"/>
        <v>1760</v>
      </c>
      <c r="I198" s="191"/>
      <c r="J198" s="191"/>
      <c r="K198" s="191"/>
      <c r="L198" s="191"/>
      <c r="M198" s="374">
        <f t="shared" si="62"/>
        <v>1960</v>
      </c>
      <c r="N198" s="385">
        <v>1960</v>
      </c>
      <c r="O198" s="345">
        <v>1380</v>
      </c>
      <c r="P198" s="345">
        <f t="shared" si="59"/>
        <v>1380</v>
      </c>
      <c r="Q198" s="177">
        <f t="shared" si="56"/>
        <v>-580</v>
      </c>
      <c r="R198" s="177">
        <f t="shared" si="56"/>
        <v>-580</v>
      </c>
      <c r="S198" s="176"/>
      <c r="T198" s="176">
        <f t="shared" si="61"/>
        <v>580</v>
      </c>
      <c r="U198" s="478">
        <v>1380</v>
      </c>
      <c r="V198" s="478">
        <v>1380</v>
      </c>
      <c r="W198" s="191"/>
      <c r="X198" s="191"/>
      <c r="Y198" s="177">
        <f t="shared" si="57"/>
        <v>970</v>
      </c>
      <c r="Z198" s="177">
        <v>970</v>
      </c>
      <c r="AA198" s="191"/>
      <c r="AB198" s="191"/>
      <c r="AC198" s="191"/>
      <c r="AD198" s="191"/>
      <c r="AE198" s="191"/>
      <c r="AF198" s="191"/>
      <c r="AG198" s="191"/>
      <c r="AH198" s="191"/>
      <c r="AI198" s="189"/>
      <c r="AJ198" s="173">
        <f t="shared" si="51"/>
        <v>1</v>
      </c>
    </row>
    <row r="199" spans="1:36" ht="66" x14ac:dyDescent="0.25">
      <c r="A199" s="188">
        <v>60</v>
      </c>
      <c r="B199" s="237" t="s">
        <v>1487</v>
      </c>
      <c r="C199" s="230" t="s">
        <v>1357</v>
      </c>
      <c r="D199" s="182" t="s">
        <v>1486</v>
      </c>
      <c r="E199" s="230" t="s">
        <v>109</v>
      </c>
      <c r="F199" s="230" t="s">
        <v>1485</v>
      </c>
      <c r="G199" s="231">
        <v>1891</v>
      </c>
      <c r="H199" s="396">
        <f t="shared" si="58"/>
        <v>1891</v>
      </c>
      <c r="I199" s="200"/>
      <c r="J199" s="200"/>
      <c r="K199" s="200"/>
      <c r="L199" s="200"/>
      <c r="M199" s="374">
        <f t="shared" si="62"/>
        <v>2170</v>
      </c>
      <c r="N199" s="385">
        <v>2170</v>
      </c>
      <c r="O199" s="345">
        <v>1480</v>
      </c>
      <c r="P199" s="345">
        <f t="shared" si="59"/>
        <v>1480</v>
      </c>
      <c r="Q199" s="177">
        <f t="shared" si="56"/>
        <v>-690</v>
      </c>
      <c r="R199" s="177">
        <f t="shared" si="56"/>
        <v>-690</v>
      </c>
      <c r="S199" s="176"/>
      <c r="T199" s="176">
        <f t="shared" si="61"/>
        <v>690</v>
      </c>
      <c r="U199" s="478">
        <v>1480</v>
      </c>
      <c r="V199" s="478">
        <v>1480</v>
      </c>
      <c r="W199" s="200"/>
      <c r="X199" s="200"/>
      <c r="Y199" s="177">
        <f t="shared" si="57"/>
        <v>1042</v>
      </c>
      <c r="Z199" s="177">
        <v>1042</v>
      </c>
      <c r="AA199" s="200"/>
      <c r="AB199" s="200"/>
      <c r="AC199" s="200"/>
      <c r="AD199" s="200"/>
      <c r="AE199" s="200"/>
      <c r="AF199" s="200"/>
      <c r="AG199" s="200"/>
      <c r="AH199" s="200"/>
      <c r="AI199" s="264"/>
      <c r="AJ199" s="173">
        <f t="shared" si="51"/>
        <v>1</v>
      </c>
    </row>
    <row r="200" spans="1:36" ht="82.5" x14ac:dyDescent="0.25">
      <c r="A200" s="188">
        <v>61</v>
      </c>
      <c r="B200" s="237" t="s">
        <v>1484</v>
      </c>
      <c r="C200" s="230" t="s">
        <v>1359</v>
      </c>
      <c r="D200" s="182" t="s">
        <v>1483</v>
      </c>
      <c r="E200" s="230" t="s">
        <v>461</v>
      </c>
      <c r="F200" s="230" t="s">
        <v>1482</v>
      </c>
      <c r="G200" s="231">
        <v>9171.2569999999996</v>
      </c>
      <c r="H200" s="396">
        <f t="shared" si="58"/>
        <v>9171.2569999999996</v>
      </c>
      <c r="I200" s="200"/>
      <c r="J200" s="200"/>
      <c r="K200" s="200"/>
      <c r="L200" s="200"/>
      <c r="M200" s="374"/>
      <c r="N200" s="385"/>
      <c r="O200" s="345">
        <v>7700</v>
      </c>
      <c r="P200" s="345">
        <v>7700</v>
      </c>
      <c r="Q200" s="177">
        <f t="shared" si="56"/>
        <v>7700</v>
      </c>
      <c r="R200" s="177">
        <f t="shared" si="56"/>
        <v>7700</v>
      </c>
      <c r="S200" s="176">
        <f t="shared" ref="S200:S245" si="63">V200-N200</f>
        <v>7700</v>
      </c>
      <c r="T200" s="176"/>
      <c r="U200" s="478">
        <v>7700</v>
      </c>
      <c r="V200" s="478">
        <v>7700</v>
      </c>
      <c r="W200" s="200"/>
      <c r="X200" s="200"/>
      <c r="Y200" s="200"/>
      <c r="Z200" s="200"/>
      <c r="AA200" s="200"/>
      <c r="AB200" s="200"/>
      <c r="AC200" s="200"/>
      <c r="AD200" s="200"/>
      <c r="AE200" s="200"/>
      <c r="AF200" s="200"/>
      <c r="AG200" s="200"/>
      <c r="AH200" s="200"/>
      <c r="AI200" s="339" t="s">
        <v>84</v>
      </c>
      <c r="AJ200" s="173">
        <f t="shared" si="51"/>
        <v>1</v>
      </c>
    </row>
    <row r="201" spans="1:36" ht="82.5" x14ac:dyDescent="0.25">
      <c r="A201" s="188">
        <v>62</v>
      </c>
      <c r="B201" s="237" t="s">
        <v>1481</v>
      </c>
      <c r="C201" s="230" t="s">
        <v>1359</v>
      </c>
      <c r="D201" s="182" t="s">
        <v>1480</v>
      </c>
      <c r="E201" s="230" t="s">
        <v>461</v>
      </c>
      <c r="F201" s="230" t="s">
        <v>1479</v>
      </c>
      <c r="G201" s="231">
        <v>8059.91</v>
      </c>
      <c r="H201" s="396">
        <f t="shared" si="58"/>
        <v>8059.91</v>
      </c>
      <c r="I201" s="200"/>
      <c r="J201" s="200"/>
      <c r="K201" s="200"/>
      <c r="L201" s="200"/>
      <c r="M201" s="374"/>
      <c r="N201" s="385"/>
      <c r="O201" s="345">
        <f>P201</f>
        <v>6950</v>
      </c>
      <c r="P201" s="345">
        <v>6950</v>
      </c>
      <c r="Q201" s="177">
        <f t="shared" si="56"/>
        <v>6950</v>
      </c>
      <c r="R201" s="177">
        <f t="shared" si="56"/>
        <v>6950</v>
      </c>
      <c r="S201" s="176">
        <f t="shared" si="63"/>
        <v>6950</v>
      </c>
      <c r="T201" s="176"/>
      <c r="U201" s="478">
        <f>V201</f>
        <v>6950</v>
      </c>
      <c r="V201" s="478">
        <v>6950</v>
      </c>
      <c r="W201" s="200"/>
      <c r="X201" s="200"/>
      <c r="Y201" s="200"/>
      <c r="Z201" s="200"/>
      <c r="AA201" s="200"/>
      <c r="AB201" s="200"/>
      <c r="AC201" s="200"/>
      <c r="AD201" s="200"/>
      <c r="AE201" s="200"/>
      <c r="AF201" s="200"/>
      <c r="AG201" s="200"/>
      <c r="AH201" s="200"/>
      <c r="AI201" s="339" t="s">
        <v>84</v>
      </c>
      <c r="AJ201" s="173">
        <f t="shared" si="51"/>
        <v>1</v>
      </c>
    </row>
    <row r="202" spans="1:36" ht="82.5" x14ac:dyDescent="0.25">
      <c r="A202" s="188">
        <v>63</v>
      </c>
      <c r="B202" s="237" t="s">
        <v>1478</v>
      </c>
      <c r="C202" s="230" t="s">
        <v>1379</v>
      </c>
      <c r="D202" s="182" t="s">
        <v>1477</v>
      </c>
      <c r="E202" s="230" t="s">
        <v>461</v>
      </c>
      <c r="F202" s="230" t="s">
        <v>1476</v>
      </c>
      <c r="G202" s="231">
        <v>943.69899999999996</v>
      </c>
      <c r="H202" s="396">
        <f t="shared" si="58"/>
        <v>943.69899999999996</v>
      </c>
      <c r="I202" s="200"/>
      <c r="J202" s="200"/>
      <c r="K202" s="200"/>
      <c r="L202" s="200"/>
      <c r="M202" s="374"/>
      <c r="N202" s="385"/>
      <c r="O202" s="345">
        <f>P202</f>
        <v>770</v>
      </c>
      <c r="P202" s="345">
        <v>770</v>
      </c>
      <c r="Q202" s="177">
        <f t="shared" si="56"/>
        <v>770</v>
      </c>
      <c r="R202" s="177">
        <f t="shared" si="56"/>
        <v>770</v>
      </c>
      <c r="S202" s="176">
        <f t="shared" si="63"/>
        <v>770</v>
      </c>
      <c r="T202" s="176"/>
      <c r="U202" s="478">
        <f>V202</f>
        <v>770</v>
      </c>
      <c r="V202" s="478">
        <v>770</v>
      </c>
      <c r="W202" s="200"/>
      <c r="X202" s="200"/>
      <c r="Y202" s="200"/>
      <c r="Z202" s="200"/>
      <c r="AA202" s="200"/>
      <c r="AB202" s="200"/>
      <c r="AC202" s="200"/>
      <c r="AD202" s="200"/>
      <c r="AE202" s="200"/>
      <c r="AF202" s="200"/>
      <c r="AG202" s="200"/>
      <c r="AH202" s="200"/>
      <c r="AI202" s="339" t="s">
        <v>84</v>
      </c>
      <c r="AJ202" s="173">
        <f t="shared" si="51"/>
        <v>1</v>
      </c>
    </row>
    <row r="203" spans="1:36" ht="82.5" x14ac:dyDescent="0.25">
      <c r="A203" s="188">
        <v>64</v>
      </c>
      <c r="B203" s="237" t="s">
        <v>1475</v>
      </c>
      <c r="C203" s="230" t="s">
        <v>1379</v>
      </c>
      <c r="D203" s="182" t="s">
        <v>1474</v>
      </c>
      <c r="E203" s="230" t="s">
        <v>461</v>
      </c>
      <c r="F203" s="230" t="s">
        <v>1473</v>
      </c>
      <c r="G203" s="231">
        <v>2272.511</v>
      </c>
      <c r="H203" s="396">
        <f t="shared" si="58"/>
        <v>2272.511</v>
      </c>
      <c r="I203" s="200"/>
      <c r="J203" s="200"/>
      <c r="K203" s="200"/>
      <c r="L203" s="200"/>
      <c r="M203" s="374"/>
      <c r="N203" s="385"/>
      <c r="O203" s="345">
        <v>1860</v>
      </c>
      <c r="P203" s="345">
        <f t="shared" ref="P203:P244" si="64">O203</f>
        <v>1860</v>
      </c>
      <c r="Q203" s="177">
        <f t="shared" si="56"/>
        <v>1860</v>
      </c>
      <c r="R203" s="177">
        <f t="shared" si="56"/>
        <v>1860</v>
      </c>
      <c r="S203" s="176">
        <f t="shared" si="63"/>
        <v>1860</v>
      </c>
      <c r="T203" s="176"/>
      <c r="U203" s="478">
        <v>1860</v>
      </c>
      <c r="V203" s="478">
        <v>1860</v>
      </c>
      <c r="W203" s="200"/>
      <c r="X203" s="200"/>
      <c r="Y203" s="200"/>
      <c r="Z203" s="200"/>
      <c r="AA203" s="200"/>
      <c r="AB203" s="200"/>
      <c r="AC203" s="200"/>
      <c r="AD203" s="200"/>
      <c r="AE203" s="200"/>
      <c r="AF203" s="200"/>
      <c r="AG203" s="200"/>
      <c r="AH203" s="200"/>
      <c r="AI203" s="339" t="s">
        <v>84</v>
      </c>
      <c r="AJ203" s="173">
        <f t="shared" si="51"/>
        <v>1</v>
      </c>
    </row>
    <row r="204" spans="1:36" ht="82.5" x14ac:dyDescent="0.25">
      <c r="A204" s="188">
        <v>65</v>
      </c>
      <c r="B204" s="237" t="s">
        <v>1472</v>
      </c>
      <c r="C204" s="230" t="s">
        <v>1379</v>
      </c>
      <c r="D204" s="182" t="s">
        <v>1471</v>
      </c>
      <c r="E204" s="230" t="s">
        <v>461</v>
      </c>
      <c r="F204" s="230" t="s">
        <v>1470</v>
      </c>
      <c r="G204" s="231">
        <v>1928.723</v>
      </c>
      <c r="H204" s="396">
        <f t="shared" si="58"/>
        <v>1928.723</v>
      </c>
      <c r="I204" s="200"/>
      <c r="J204" s="200"/>
      <c r="K204" s="200"/>
      <c r="L204" s="200"/>
      <c r="M204" s="374"/>
      <c r="N204" s="385"/>
      <c r="O204" s="345">
        <v>1580</v>
      </c>
      <c r="P204" s="345">
        <f t="shared" si="64"/>
        <v>1580</v>
      </c>
      <c r="Q204" s="177">
        <f t="shared" ref="Q204:R235" si="65">O204-M204</f>
        <v>1580</v>
      </c>
      <c r="R204" s="177">
        <f t="shared" si="65"/>
        <v>1580</v>
      </c>
      <c r="S204" s="176">
        <f t="shared" si="63"/>
        <v>1580</v>
      </c>
      <c r="T204" s="176"/>
      <c r="U204" s="478">
        <v>1580</v>
      </c>
      <c r="V204" s="478">
        <v>1580</v>
      </c>
      <c r="W204" s="200"/>
      <c r="X204" s="200"/>
      <c r="Y204" s="200"/>
      <c r="Z204" s="200"/>
      <c r="AA204" s="200"/>
      <c r="AB204" s="200"/>
      <c r="AC204" s="200"/>
      <c r="AD204" s="200"/>
      <c r="AE204" s="200"/>
      <c r="AF204" s="200"/>
      <c r="AG204" s="200"/>
      <c r="AH204" s="200"/>
      <c r="AI204" s="339" t="s">
        <v>84</v>
      </c>
      <c r="AJ204" s="173">
        <f t="shared" si="51"/>
        <v>1</v>
      </c>
    </row>
    <row r="205" spans="1:36" ht="82.5" x14ac:dyDescent="0.25">
      <c r="A205" s="188">
        <v>66</v>
      </c>
      <c r="B205" s="237" t="s">
        <v>1469</v>
      </c>
      <c r="C205" s="230" t="s">
        <v>1379</v>
      </c>
      <c r="D205" s="182" t="s">
        <v>1468</v>
      </c>
      <c r="E205" s="230" t="s">
        <v>461</v>
      </c>
      <c r="F205" s="230" t="s">
        <v>1467</v>
      </c>
      <c r="G205" s="231">
        <v>1794.9259999999999</v>
      </c>
      <c r="H205" s="396">
        <f t="shared" si="58"/>
        <v>1794.9259999999999</v>
      </c>
      <c r="I205" s="200"/>
      <c r="J205" s="200"/>
      <c r="K205" s="200"/>
      <c r="L205" s="200"/>
      <c r="M205" s="374"/>
      <c r="N205" s="385"/>
      <c r="O205" s="345">
        <v>1470</v>
      </c>
      <c r="P205" s="345">
        <f t="shared" si="64"/>
        <v>1470</v>
      </c>
      <c r="Q205" s="177">
        <f t="shared" si="65"/>
        <v>1470</v>
      </c>
      <c r="R205" s="177">
        <f t="shared" si="65"/>
        <v>1470</v>
      </c>
      <c r="S205" s="176">
        <f t="shared" si="63"/>
        <v>1470</v>
      </c>
      <c r="T205" s="176"/>
      <c r="U205" s="478">
        <v>1470</v>
      </c>
      <c r="V205" s="478">
        <v>1470</v>
      </c>
      <c r="W205" s="200"/>
      <c r="X205" s="200"/>
      <c r="Y205" s="200"/>
      <c r="Z205" s="200"/>
      <c r="AA205" s="200"/>
      <c r="AB205" s="200"/>
      <c r="AC205" s="200"/>
      <c r="AD205" s="200"/>
      <c r="AE205" s="200"/>
      <c r="AF205" s="200"/>
      <c r="AG205" s="200"/>
      <c r="AH205" s="200"/>
      <c r="AI205" s="339" t="s">
        <v>84</v>
      </c>
      <c r="AJ205" s="173">
        <f t="shared" si="51"/>
        <v>1</v>
      </c>
    </row>
    <row r="206" spans="1:36" ht="82.5" x14ac:dyDescent="0.25">
      <c r="A206" s="188">
        <v>67</v>
      </c>
      <c r="B206" s="237" t="s">
        <v>1466</v>
      </c>
      <c r="C206" s="230" t="s">
        <v>1379</v>
      </c>
      <c r="D206" s="182" t="s">
        <v>1465</v>
      </c>
      <c r="E206" s="230" t="s">
        <v>461</v>
      </c>
      <c r="F206" s="230" t="s">
        <v>1464</v>
      </c>
      <c r="G206" s="231">
        <v>1778.587</v>
      </c>
      <c r="H206" s="396">
        <f t="shared" si="58"/>
        <v>1778.587</v>
      </c>
      <c r="I206" s="200"/>
      <c r="J206" s="200"/>
      <c r="K206" s="200"/>
      <c r="L206" s="200"/>
      <c r="M206" s="374"/>
      <c r="N206" s="385"/>
      <c r="O206" s="345">
        <v>1460</v>
      </c>
      <c r="P206" s="345">
        <f t="shared" si="64"/>
        <v>1460</v>
      </c>
      <c r="Q206" s="177">
        <f t="shared" si="65"/>
        <v>1460</v>
      </c>
      <c r="R206" s="177">
        <f t="shared" si="65"/>
        <v>1460</v>
      </c>
      <c r="S206" s="176">
        <f t="shared" si="63"/>
        <v>1460</v>
      </c>
      <c r="T206" s="176"/>
      <c r="U206" s="478">
        <v>1460</v>
      </c>
      <c r="V206" s="478">
        <v>1460</v>
      </c>
      <c r="W206" s="200"/>
      <c r="X206" s="200"/>
      <c r="Y206" s="200"/>
      <c r="Z206" s="200"/>
      <c r="AA206" s="200"/>
      <c r="AB206" s="200"/>
      <c r="AC206" s="200"/>
      <c r="AD206" s="200"/>
      <c r="AE206" s="200"/>
      <c r="AF206" s="200"/>
      <c r="AG206" s="200"/>
      <c r="AH206" s="200"/>
      <c r="AI206" s="339" t="s">
        <v>84</v>
      </c>
      <c r="AJ206" s="173">
        <f t="shared" si="51"/>
        <v>1</v>
      </c>
    </row>
    <row r="207" spans="1:36" ht="82.5" x14ac:dyDescent="0.25">
      <c r="A207" s="188">
        <v>68</v>
      </c>
      <c r="B207" s="237" t="s">
        <v>1463</v>
      </c>
      <c r="C207" s="230" t="s">
        <v>1379</v>
      </c>
      <c r="D207" s="182" t="s">
        <v>1462</v>
      </c>
      <c r="E207" s="230" t="s">
        <v>461</v>
      </c>
      <c r="F207" s="230" t="s">
        <v>1461</v>
      </c>
      <c r="G207" s="231">
        <v>2036.423</v>
      </c>
      <c r="H207" s="396">
        <f t="shared" si="58"/>
        <v>2036.423</v>
      </c>
      <c r="I207" s="200"/>
      <c r="J207" s="200"/>
      <c r="K207" s="200"/>
      <c r="L207" s="200"/>
      <c r="M207" s="374"/>
      <c r="N207" s="385"/>
      <c r="O207" s="345">
        <v>1670</v>
      </c>
      <c r="P207" s="345">
        <f t="shared" si="64"/>
        <v>1670</v>
      </c>
      <c r="Q207" s="177">
        <f t="shared" si="65"/>
        <v>1670</v>
      </c>
      <c r="R207" s="177">
        <f t="shared" si="65"/>
        <v>1670</v>
      </c>
      <c r="S207" s="176">
        <f t="shared" si="63"/>
        <v>1670</v>
      </c>
      <c r="T207" s="176"/>
      <c r="U207" s="478">
        <v>1670</v>
      </c>
      <c r="V207" s="478">
        <v>1670</v>
      </c>
      <c r="W207" s="200"/>
      <c r="X207" s="200"/>
      <c r="Y207" s="200"/>
      <c r="Z207" s="200"/>
      <c r="AA207" s="200"/>
      <c r="AB207" s="200"/>
      <c r="AC207" s="200"/>
      <c r="AD207" s="200"/>
      <c r="AE207" s="200"/>
      <c r="AF207" s="200"/>
      <c r="AG207" s="200"/>
      <c r="AH207" s="200"/>
      <c r="AI207" s="339" t="s">
        <v>84</v>
      </c>
      <c r="AJ207" s="173">
        <f t="shared" si="51"/>
        <v>1</v>
      </c>
    </row>
    <row r="208" spans="1:36" ht="82.5" x14ac:dyDescent="0.25">
      <c r="A208" s="188">
        <v>69</v>
      </c>
      <c r="B208" s="237" t="s">
        <v>1460</v>
      </c>
      <c r="C208" s="230" t="s">
        <v>1379</v>
      </c>
      <c r="D208" s="182" t="s">
        <v>1459</v>
      </c>
      <c r="E208" s="230" t="s">
        <v>461</v>
      </c>
      <c r="F208" s="230" t="s">
        <v>1458</v>
      </c>
      <c r="G208" s="231">
        <v>2023</v>
      </c>
      <c r="H208" s="396">
        <f t="shared" si="58"/>
        <v>2023</v>
      </c>
      <c r="I208" s="200"/>
      <c r="J208" s="200"/>
      <c r="K208" s="200"/>
      <c r="L208" s="200"/>
      <c r="M208" s="374"/>
      <c r="N208" s="385"/>
      <c r="O208" s="345">
        <v>1660</v>
      </c>
      <c r="P208" s="345">
        <f t="shared" si="64"/>
        <v>1660</v>
      </c>
      <c r="Q208" s="177">
        <f t="shared" si="65"/>
        <v>1660</v>
      </c>
      <c r="R208" s="177">
        <f t="shared" si="65"/>
        <v>1660</v>
      </c>
      <c r="S208" s="176">
        <f t="shared" si="63"/>
        <v>1660</v>
      </c>
      <c r="T208" s="176"/>
      <c r="U208" s="478">
        <v>1660</v>
      </c>
      <c r="V208" s="478">
        <v>1660</v>
      </c>
      <c r="W208" s="200"/>
      <c r="X208" s="200"/>
      <c r="Y208" s="200"/>
      <c r="Z208" s="200"/>
      <c r="AA208" s="200"/>
      <c r="AB208" s="200"/>
      <c r="AC208" s="200"/>
      <c r="AD208" s="200"/>
      <c r="AE208" s="200"/>
      <c r="AF208" s="200"/>
      <c r="AG208" s="200"/>
      <c r="AH208" s="200"/>
      <c r="AI208" s="339" t="s">
        <v>84</v>
      </c>
      <c r="AJ208" s="173">
        <f t="shared" si="51"/>
        <v>1</v>
      </c>
    </row>
    <row r="209" spans="1:36" ht="82.5" x14ac:dyDescent="0.25">
      <c r="A209" s="188">
        <v>70</v>
      </c>
      <c r="B209" s="237" t="s">
        <v>1457</v>
      </c>
      <c r="C209" s="230" t="s">
        <v>1379</v>
      </c>
      <c r="D209" s="182" t="s">
        <v>1456</v>
      </c>
      <c r="E209" s="230" t="s">
        <v>461</v>
      </c>
      <c r="F209" s="230" t="s">
        <v>1455</v>
      </c>
      <c r="G209" s="231">
        <v>1824</v>
      </c>
      <c r="H209" s="396">
        <f t="shared" si="58"/>
        <v>1824</v>
      </c>
      <c r="I209" s="200"/>
      <c r="J209" s="200"/>
      <c r="K209" s="200"/>
      <c r="L209" s="200"/>
      <c r="M209" s="374"/>
      <c r="N209" s="385"/>
      <c r="O209" s="345">
        <v>1490</v>
      </c>
      <c r="P209" s="345">
        <f t="shared" si="64"/>
        <v>1490</v>
      </c>
      <c r="Q209" s="177">
        <f t="shared" si="65"/>
        <v>1490</v>
      </c>
      <c r="R209" s="177">
        <f t="shared" si="65"/>
        <v>1490</v>
      </c>
      <c r="S209" s="176">
        <f t="shared" si="63"/>
        <v>1490</v>
      </c>
      <c r="T209" s="176"/>
      <c r="U209" s="478">
        <v>1490</v>
      </c>
      <c r="V209" s="478">
        <v>1490</v>
      </c>
      <c r="W209" s="200"/>
      <c r="X209" s="200"/>
      <c r="Y209" s="200"/>
      <c r="Z209" s="200"/>
      <c r="AA209" s="200"/>
      <c r="AB209" s="200"/>
      <c r="AC209" s="200"/>
      <c r="AD209" s="200"/>
      <c r="AE209" s="200"/>
      <c r="AF209" s="200"/>
      <c r="AG209" s="200"/>
      <c r="AH209" s="200"/>
      <c r="AI209" s="339" t="s">
        <v>84</v>
      </c>
      <c r="AJ209" s="173">
        <f t="shared" si="51"/>
        <v>1</v>
      </c>
    </row>
    <row r="210" spans="1:36" ht="82.5" x14ac:dyDescent="0.25">
      <c r="A210" s="188">
        <v>71</v>
      </c>
      <c r="B210" s="237" t="s">
        <v>1454</v>
      </c>
      <c r="C210" s="230" t="s">
        <v>1379</v>
      </c>
      <c r="D210" s="182" t="s">
        <v>1453</v>
      </c>
      <c r="E210" s="230" t="s">
        <v>461</v>
      </c>
      <c r="F210" s="230" t="s">
        <v>1452</v>
      </c>
      <c r="G210" s="231">
        <v>1568</v>
      </c>
      <c r="H210" s="396">
        <f t="shared" si="58"/>
        <v>1568</v>
      </c>
      <c r="I210" s="200"/>
      <c r="J210" s="200"/>
      <c r="K210" s="200"/>
      <c r="L210" s="200"/>
      <c r="M210" s="374"/>
      <c r="N210" s="385"/>
      <c r="O210" s="345">
        <v>1290</v>
      </c>
      <c r="P210" s="345">
        <f t="shared" si="64"/>
        <v>1290</v>
      </c>
      <c r="Q210" s="177">
        <f t="shared" si="65"/>
        <v>1290</v>
      </c>
      <c r="R210" s="177">
        <f t="shared" si="65"/>
        <v>1290</v>
      </c>
      <c r="S210" s="176">
        <f t="shared" si="63"/>
        <v>1290</v>
      </c>
      <c r="T210" s="176"/>
      <c r="U210" s="478">
        <v>1290</v>
      </c>
      <c r="V210" s="478">
        <v>1290</v>
      </c>
      <c r="W210" s="200"/>
      <c r="X210" s="200"/>
      <c r="Y210" s="200"/>
      <c r="Z210" s="200"/>
      <c r="AA210" s="200"/>
      <c r="AB210" s="200"/>
      <c r="AC210" s="200"/>
      <c r="AD210" s="200"/>
      <c r="AE210" s="200"/>
      <c r="AF210" s="200"/>
      <c r="AG210" s="200"/>
      <c r="AH210" s="200"/>
      <c r="AI210" s="339" t="s">
        <v>84</v>
      </c>
      <c r="AJ210" s="173">
        <f t="shared" si="51"/>
        <v>1</v>
      </c>
    </row>
    <row r="211" spans="1:36" ht="82.5" x14ac:dyDescent="0.25">
      <c r="A211" s="188">
        <v>72</v>
      </c>
      <c r="B211" s="237" t="s">
        <v>1451</v>
      </c>
      <c r="C211" s="230" t="s">
        <v>1379</v>
      </c>
      <c r="D211" s="182" t="s">
        <v>1448</v>
      </c>
      <c r="E211" s="230" t="s">
        <v>461</v>
      </c>
      <c r="F211" s="230" t="s">
        <v>1450</v>
      </c>
      <c r="G211" s="231">
        <v>1336</v>
      </c>
      <c r="H211" s="396">
        <f t="shared" si="58"/>
        <v>1336</v>
      </c>
      <c r="I211" s="200"/>
      <c r="J211" s="200"/>
      <c r="K211" s="200"/>
      <c r="L211" s="200"/>
      <c r="M211" s="374"/>
      <c r="N211" s="385"/>
      <c r="O211" s="345">
        <v>1100</v>
      </c>
      <c r="P211" s="345">
        <f t="shared" si="64"/>
        <v>1100</v>
      </c>
      <c r="Q211" s="177">
        <f t="shared" si="65"/>
        <v>1100</v>
      </c>
      <c r="R211" s="177">
        <f t="shared" si="65"/>
        <v>1100</v>
      </c>
      <c r="S211" s="176">
        <f t="shared" si="63"/>
        <v>1100</v>
      </c>
      <c r="T211" s="176"/>
      <c r="U211" s="478">
        <v>1100</v>
      </c>
      <c r="V211" s="478">
        <v>1100</v>
      </c>
      <c r="W211" s="200"/>
      <c r="X211" s="200"/>
      <c r="Y211" s="200"/>
      <c r="Z211" s="200"/>
      <c r="AA211" s="200"/>
      <c r="AB211" s="200"/>
      <c r="AC211" s="200"/>
      <c r="AD211" s="200"/>
      <c r="AE211" s="200"/>
      <c r="AF211" s="200"/>
      <c r="AG211" s="200"/>
      <c r="AH211" s="200"/>
      <c r="AI211" s="339" t="s">
        <v>84</v>
      </c>
      <c r="AJ211" s="173">
        <f t="shared" ref="AJ211:AJ274" si="66">IF(N211-V211=0,0,1)</f>
        <v>1</v>
      </c>
    </row>
    <row r="212" spans="1:36" ht="82.5" x14ac:dyDescent="0.25">
      <c r="A212" s="188">
        <v>73</v>
      </c>
      <c r="B212" s="237" t="s">
        <v>1449</v>
      </c>
      <c r="C212" s="230" t="s">
        <v>1379</v>
      </c>
      <c r="D212" s="182" t="s">
        <v>1448</v>
      </c>
      <c r="E212" s="230" t="s">
        <v>461</v>
      </c>
      <c r="F212" s="230" t="s">
        <v>1447</v>
      </c>
      <c r="G212" s="231">
        <v>1391</v>
      </c>
      <c r="H212" s="396">
        <f t="shared" si="58"/>
        <v>1391</v>
      </c>
      <c r="I212" s="200"/>
      <c r="J212" s="200"/>
      <c r="K212" s="200"/>
      <c r="L212" s="200"/>
      <c r="M212" s="374"/>
      <c r="N212" s="385"/>
      <c r="O212" s="345">
        <v>1150</v>
      </c>
      <c r="P212" s="345">
        <f t="shared" si="64"/>
        <v>1150</v>
      </c>
      <c r="Q212" s="177">
        <f t="shared" si="65"/>
        <v>1150</v>
      </c>
      <c r="R212" s="177">
        <f t="shared" si="65"/>
        <v>1150</v>
      </c>
      <c r="S212" s="176">
        <f t="shared" si="63"/>
        <v>1150</v>
      </c>
      <c r="T212" s="176"/>
      <c r="U212" s="478">
        <v>1150</v>
      </c>
      <c r="V212" s="478">
        <v>1150</v>
      </c>
      <c r="W212" s="200"/>
      <c r="X212" s="200"/>
      <c r="Y212" s="200"/>
      <c r="Z212" s="200"/>
      <c r="AA212" s="200"/>
      <c r="AB212" s="200"/>
      <c r="AC212" s="200"/>
      <c r="AD212" s="200"/>
      <c r="AE212" s="200"/>
      <c r="AF212" s="200"/>
      <c r="AG212" s="200"/>
      <c r="AH212" s="200"/>
      <c r="AI212" s="339" t="s">
        <v>84</v>
      </c>
      <c r="AJ212" s="173">
        <f t="shared" si="66"/>
        <v>1</v>
      </c>
    </row>
    <row r="213" spans="1:36" ht="82.5" x14ac:dyDescent="0.25">
      <c r="A213" s="188">
        <v>74</v>
      </c>
      <c r="B213" s="237" t="s">
        <v>1446</v>
      </c>
      <c r="C213" s="230" t="s">
        <v>1379</v>
      </c>
      <c r="D213" s="182" t="s">
        <v>1445</v>
      </c>
      <c r="E213" s="230" t="s">
        <v>461</v>
      </c>
      <c r="F213" s="230" t="s">
        <v>1444</v>
      </c>
      <c r="G213" s="231">
        <v>2204</v>
      </c>
      <c r="H213" s="396">
        <f t="shared" si="58"/>
        <v>2204</v>
      </c>
      <c r="I213" s="200"/>
      <c r="J213" s="200"/>
      <c r="K213" s="200"/>
      <c r="L213" s="200"/>
      <c r="M213" s="374"/>
      <c r="N213" s="385"/>
      <c r="O213" s="345">
        <v>1820</v>
      </c>
      <c r="P213" s="345">
        <f t="shared" si="64"/>
        <v>1820</v>
      </c>
      <c r="Q213" s="177">
        <f t="shared" si="65"/>
        <v>1820</v>
      </c>
      <c r="R213" s="177">
        <f t="shared" si="65"/>
        <v>1820</v>
      </c>
      <c r="S213" s="176">
        <f t="shared" si="63"/>
        <v>1820</v>
      </c>
      <c r="T213" s="176"/>
      <c r="U213" s="478">
        <v>1820</v>
      </c>
      <c r="V213" s="478">
        <v>1820</v>
      </c>
      <c r="W213" s="200"/>
      <c r="X213" s="200"/>
      <c r="Y213" s="200"/>
      <c r="Z213" s="200"/>
      <c r="AA213" s="200"/>
      <c r="AB213" s="200"/>
      <c r="AC213" s="200"/>
      <c r="AD213" s="200"/>
      <c r="AE213" s="200"/>
      <c r="AF213" s="200"/>
      <c r="AG213" s="200"/>
      <c r="AH213" s="200"/>
      <c r="AI213" s="339" t="s">
        <v>84</v>
      </c>
      <c r="AJ213" s="173">
        <f t="shared" si="66"/>
        <v>1</v>
      </c>
    </row>
    <row r="214" spans="1:36" ht="82.5" x14ac:dyDescent="0.25">
      <c r="A214" s="188">
        <v>75</v>
      </c>
      <c r="B214" s="237" t="s">
        <v>1443</v>
      </c>
      <c r="C214" s="230" t="s">
        <v>1379</v>
      </c>
      <c r="D214" s="182" t="s">
        <v>1442</v>
      </c>
      <c r="E214" s="230" t="s">
        <v>461</v>
      </c>
      <c r="F214" s="230" t="s">
        <v>1441</v>
      </c>
      <c r="G214" s="231">
        <v>1755</v>
      </c>
      <c r="H214" s="396">
        <f t="shared" si="58"/>
        <v>1755</v>
      </c>
      <c r="I214" s="200"/>
      <c r="J214" s="200"/>
      <c r="K214" s="200"/>
      <c r="L214" s="200"/>
      <c r="M214" s="374"/>
      <c r="N214" s="385"/>
      <c r="O214" s="345">
        <v>1450</v>
      </c>
      <c r="P214" s="345">
        <f t="shared" si="64"/>
        <v>1450</v>
      </c>
      <c r="Q214" s="177">
        <f t="shared" si="65"/>
        <v>1450</v>
      </c>
      <c r="R214" s="177">
        <f t="shared" si="65"/>
        <v>1450</v>
      </c>
      <c r="S214" s="176">
        <f t="shared" si="63"/>
        <v>1450</v>
      </c>
      <c r="T214" s="176"/>
      <c r="U214" s="478">
        <v>1450</v>
      </c>
      <c r="V214" s="478">
        <v>1450</v>
      </c>
      <c r="W214" s="200"/>
      <c r="X214" s="200"/>
      <c r="Y214" s="200"/>
      <c r="Z214" s="200"/>
      <c r="AA214" s="200"/>
      <c r="AB214" s="200"/>
      <c r="AC214" s="200"/>
      <c r="AD214" s="200"/>
      <c r="AE214" s="200"/>
      <c r="AF214" s="200"/>
      <c r="AG214" s="200"/>
      <c r="AH214" s="200"/>
      <c r="AI214" s="339" t="s">
        <v>84</v>
      </c>
      <c r="AJ214" s="173">
        <f t="shared" si="66"/>
        <v>1</v>
      </c>
    </row>
    <row r="215" spans="1:36" ht="82.5" x14ac:dyDescent="0.25">
      <c r="A215" s="188">
        <v>76</v>
      </c>
      <c r="B215" s="237" t="s">
        <v>1440</v>
      </c>
      <c r="C215" s="230" t="s">
        <v>1379</v>
      </c>
      <c r="D215" s="182" t="s">
        <v>1439</v>
      </c>
      <c r="E215" s="230" t="s">
        <v>461</v>
      </c>
      <c r="F215" s="230" t="s">
        <v>1438</v>
      </c>
      <c r="G215" s="231">
        <v>723</v>
      </c>
      <c r="H215" s="396">
        <f t="shared" si="58"/>
        <v>723</v>
      </c>
      <c r="I215" s="200"/>
      <c r="J215" s="200"/>
      <c r="K215" s="200"/>
      <c r="L215" s="200"/>
      <c r="M215" s="374"/>
      <c r="N215" s="385"/>
      <c r="O215" s="345">
        <v>600</v>
      </c>
      <c r="P215" s="345">
        <f t="shared" si="64"/>
        <v>600</v>
      </c>
      <c r="Q215" s="177">
        <f t="shared" si="65"/>
        <v>600</v>
      </c>
      <c r="R215" s="177">
        <f t="shared" si="65"/>
        <v>600</v>
      </c>
      <c r="S215" s="176">
        <f t="shared" si="63"/>
        <v>600</v>
      </c>
      <c r="T215" s="176"/>
      <c r="U215" s="478">
        <v>600</v>
      </c>
      <c r="V215" s="478">
        <v>600</v>
      </c>
      <c r="W215" s="200"/>
      <c r="X215" s="200"/>
      <c r="Y215" s="200"/>
      <c r="Z215" s="200"/>
      <c r="AA215" s="200"/>
      <c r="AB215" s="200"/>
      <c r="AC215" s="200"/>
      <c r="AD215" s="200"/>
      <c r="AE215" s="200"/>
      <c r="AF215" s="200"/>
      <c r="AG215" s="200"/>
      <c r="AH215" s="200"/>
      <c r="AI215" s="339" t="s">
        <v>84</v>
      </c>
      <c r="AJ215" s="173">
        <f t="shared" si="66"/>
        <v>1</v>
      </c>
    </row>
    <row r="216" spans="1:36" ht="82.5" x14ac:dyDescent="0.25">
      <c r="A216" s="188">
        <v>77</v>
      </c>
      <c r="B216" s="237" t="s">
        <v>1437</v>
      </c>
      <c r="C216" s="230" t="s">
        <v>1379</v>
      </c>
      <c r="D216" s="182" t="s">
        <v>1436</v>
      </c>
      <c r="E216" s="230" t="s">
        <v>461</v>
      </c>
      <c r="F216" s="230" t="s">
        <v>1435</v>
      </c>
      <c r="G216" s="231">
        <v>967</v>
      </c>
      <c r="H216" s="396">
        <f t="shared" si="58"/>
        <v>967</v>
      </c>
      <c r="I216" s="200"/>
      <c r="J216" s="200"/>
      <c r="K216" s="200"/>
      <c r="L216" s="200"/>
      <c r="M216" s="374"/>
      <c r="N216" s="385"/>
      <c r="O216" s="345">
        <v>800</v>
      </c>
      <c r="P216" s="345">
        <f t="shared" si="64"/>
        <v>800</v>
      </c>
      <c r="Q216" s="177">
        <f t="shared" si="65"/>
        <v>800</v>
      </c>
      <c r="R216" s="177">
        <f t="shared" si="65"/>
        <v>800</v>
      </c>
      <c r="S216" s="176">
        <f t="shared" si="63"/>
        <v>800</v>
      </c>
      <c r="T216" s="176"/>
      <c r="U216" s="478">
        <v>800</v>
      </c>
      <c r="V216" s="478">
        <v>800</v>
      </c>
      <c r="W216" s="200"/>
      <c r="X216" s="200"/>
      <c r="Y216" s="200"/>
      <c r="Z216" s="200"/>
      <c r="AA216" s="200"/>
      <c r="AB216" s="200"/>
      <c r="AC216" s="200"/>
      <c r="AD216" s="200"/>
      <c r="AE216" s="200"/>
      <c r="AF216" s="200"/>
      <c r="AG216" s="200"/>
      <c r="AH216" s="200"/>
      <c r="AI216" s="339" t="s">
        <v>84</v>
      </c>
      <c r="AJ216" s="173">
        <f t="shared" si="66"/>
        <v>1</v>
      </c>
    </row>
    <row r="217" spans="1:36" ht="82.5" x14ac:dyDescent="0.25">
      <c r="A217" s="188">
        <v>78</v>
      </c>
      <c r="B217" s="237" t="s">
        <v>1434</v>
      </c>
      <c r="C217" s="230" t="s">
        <v>1379</v>
      </c>
      <c r="D217" s="182" t="s">
        <v>1433</v>
      </c>
      <c r="E217" s="230" t="s">
        <v>461</v>
      </c>
      <c r="F217" s="230" t="s">
        <v>1432</v>
      </c>
      <c r="G217" s="231">
        <v>189</v>
      </c>
      <c r="H217" s="396">
        <f t="shared" si="58"/>
        <v>189</v>
      </c>
      <c r="I217" s="200"/>
      <c r="J217" s="200"/>
      <c r="K217" s="200"/>
      <c r="L217" s="200"/>
      <c r="M217" s="374"/>
      <c r="N217" s="385"/>
      <c r="O217" s="345">
        <v>150</v>
      </c>
      <c r="P217" s="345">
        <f t="shared" si="64"/>
        <v>150</v>
      </c>
      <c r="Q217" s="177">
        <f t="shared" si="65"/>
        <v>150</v>
      </c>
      <c r="R217" s="177">
        <f t="shared" si="65"/>
        <v>150</v>
      </c>
      <c r="S217" s="176">
        <f t="shared" si="63"/>
        <v>150</v>
      </c>
      <c r="T217" s="176"/>
      <c r="U217" s="478">
        <v>150</v>
      </c>
      <c r="V217" s="478">
        <v>150</v>
      </c>
      <c r="W217" s="200"/>
      <c r="X217" s="200"/>
      <c r="Y217" s="200"/>
      <c r="Z217" s="200"/>
      <c r="AA217" s="200"/>
      <c r="AB217" s="200"/>
      <c r="AC217" s="200"/>
      <c r="AD217" s="200"/>
      <c r="AE217" s="200"/>
      <c r="AF217" s="200"/>
      <c r="AG217" s="200"/>
      <c r="AH217" s="200"/>
      <c r="AI217" s="339" t="s">
        <v>84</v>
      </c>
      <c r="AJ217" s="173">
        <f t="shared" si="66"/>
        <v>1</v>
      </c>
    </row>
    <row r="218" spans="1:36" ht="82.5" x14ac:dyDescent="0.25">
      <c r="A218" s="188">
        <v>79</v>
      </c>
      <c r="B218" s="237" t="s">
        <v>1431</v>
      </c>
      <c r="C218" s="230" t="s">
        <v>1379</v>
      </c>
      <c r="D218" s="182" t="s">
        <v>1430</v>
      </c>
      <c r="E218" s="230" t="s">
        <v>461</v>
      </c>
      <c r="F218" s="230" t="s">
        <v>1429</v>
      </c>
      <c r="G218" s="231">
        <v>400</v>
      </c>
      <c r="H218" s="396">
        <f t="shared" si="58"/>
        <v>400</v>
      </c>
      <c r="I218" s="200"/>
      <c r="J218" s="200"/>
      <c r="K218" s="200"/>
      <c r="L218" s="200"/>
      <c r="M218" s="374"/>
      <c r="N218" s="385"/>
      <c r="O218" s="345">
        <v>320</v>
      </c>
      <c r="P218" s="345">
        <f t="shared" si="64"/>
        <v>320</v>
      </c>
      <c r="Q218" s="177">
        <f t="shared" si="65"/>
        <v>320</v>
      </c>
      <c r="R218" s="177">
        <f t="shared" si="65"/>
        <v>320</v>
      </c>
      <c r="S218" s="176">
        <f t="shared" si="63"/>
        <v>320</v>
      </c>
      <c r="T218" s="176"/>
      <c r="U218" s="478">
        <v>320</v>
      </c>
      <c r="V218" s="478">
        <v>320</v>
      </c>
      <c r="W218" s="200"/>
      <c r="X218" s="200"/>
      <c r="Y218" s="200"/>
      <c r="Z218" s="200"/>
      <c r="AA218" s="200"/>
      <c r="AB218" s="200"/>
      <c r="AC218" s="200"/>
      <c r="AD218" s="200"/>
      <c r="AE218" s="200"/>
      <c r="AF218" s="200"/>
      <c r="AG218" s="200"/>
      <c r="AH218" s="200"/>
      <c r="AI218" s="339" t="s">
        <v>84</v>
      </c>
      <c r="AJ218" s="173">
        <f t="shared" si="66"/>
        <v>1</v>
      </c>
    </row>
    <row r="219" spans="1:36" ht="82.5" x14ac:dyDescent="0.25">
      <c r="A219" s="188">
        <v>80</v>
      </c>
      <c r="B219" s="237" t="s">
        <v>1428</v>
      </c>
      <c r="C219" s="230" t="s">
        <v>1379</v>
      </c>
      <c r="D219" s="182" t="s">
        <v>1427</v>
      </c>
      <c r="E219" s="230" t="s">
        <v>461</v>
      </c>
      <c r="F219" s="230" t="s">
        <v>1426</v>
      </c>
      <c r="G219" s="231">
        <v>251</v>
      </c>
      <c r="H219" s="396">
        <f t="shared" si="58"/>
        <v>251</v>
      </c>
      <c r="I219" s="200"/>
      <c r="J219" s="200"/>
      <c r="K219" s="200"/>
      <c r="L219" s="200"/>
      <c r="M219" s="374"/>
      <c r="N219" s="385"/>
      <c r="O219" s="345">
        <v>200</v>
      </c>
      <c r="P219" s="345">
        <f t="shared" si="64"/>
        <v>200</v>
      </c>
      <c r="Q219" s="177">
        <f t="shared" si="65"/>
        <v>200</v>
      </c>
      <c r="R219" s="177">
        <f t="shared" si="65"/>
        <v>200</v>
      </c>
      <c r="S219" s="176">
        <f t="shared" si="63"/>
        <v>200</v>
      </c>
      <c r="T219" s="176"/>
      <c r="U219" s="478">
        <v>200</v>
      </c>
      <c r="V219" s="478">
        <v>200</v>
      </c>
      <c r="W219" s="200"/>
      <c r="X219" s="200"/>
      <c r="Y219" s="200"/>
      <c r="Z219" s="200"/>
      <c r="AA219" s="200"/>
      <c r="AB219" s="200"/>
      <c r="AC219" s="200"/>
      <c r="AD219" s="200"/>
      <c r="AE219" s="200"/>
      <c r="AF219" s="200"/>
      <c r="AG219" s="200"/>
      <c r="AH219" s="200"/>
      <c r="AI219" s="339" t="s">
        <v>84</v>
      </c>
      <c r="AJ219" s="173">
        <f t="shared" si="66"/>
        <v>1</v>
      </c>
    </row>
    <row r="220" spans="1:36" ht="82.5" x14ac:dyDescent="0.25">
      <c r="A220" s="188">
        <v>81</v>
      </c>
      <c r="B220" s="237" t="s">
        <v>1425</v>
      </c>
      <c r="C220" s="230" t="s">
        <v>1379</v>
      </c>
      <c r="D220" s="182" t="s">
        <v>1424</v>
      </c>
      <c r="E220" s="230" t="s">
        <v>461</v>
      </c>
      <c r="F220" s="230" t="s">
        <v>1423</v>
      </c>
      <c r="G220" s="231">
        <v>209</v>
      </c>
      <c r="H220" s="396">
        <f t="shared" si="58"/>
        <v>209</v>
      </c>
      <c r="I220" s="200"/>
      <c r="J220" s="200"/>
      <c r="K220" s="200"/>
      <c r="L220" s="200"/>
      <c r="M220" s="374"/>
      <c r="N220" s="385"/>
      <c r="O220" s="345">
        <v>170</v>
      </c>
      <c r="P220" s="345">
        <f t="shared" si="64"/>
        <v>170</v>
      </c>
      <c r="Q220" s="177">
        <f t="shared" si="65"/>
        <v>170</v>
      </c>
      <c r="R220" s="177">
        <f t="shared" si="65"/>
        <v>170</v>
      </c>
      <c r="S220" s="176">
        <f t="shared" si="63"/>
        <v>170</v>
      </c>
      <c r="T220" s="176"/>
      <c r="U220" s="478">
        <v>170</v>
      </c>
      <c r="V220" s="478">
        <v>170</v>
      </c>
      <c r="W220" s="200"/>
      <c r="X220" s="200"/>
      <c r="Y220" s="200"/>
      <c r="Z220" s="200"/>
      <c r="AA220" s="200"/>
      <c r="AB220" s="200"/>
      <c r="AC220" s="200"/>
      <c r="AD220" s="200"/>
      <c r="AE220" s="200"/>
      <c r="AF220" s="200"/>
      <c r="AG220" s="200"/>
      <c r="AH220" s="200"/>
      <c r="AI220" s="339" t="s">
        <v>84</v>
      </c>
      <c r="AJ220" s="173">
        <f t="shared" si="66"/>
        <v>1</v>
      </c>
    </row>
    <row r="221" spans="1:36" ht="82.5" x14ac:dyDescent="0.25">
      <c r="A221" s="188">
        <v>82</v>
      </c>
      <c r="B221" s="237" t="s">
        <v>1422</v>
      </c>
      <c r="C221" s="230" t="s">
        <v>1379</v>
      </c>
      <c r="D221" s="182" t="s">
        <v>1421</v>
      </c>
      <c r="E221" s="230" t="s">
        <v>461</v>
      </c>
      <c r="F221" s="230" t="s">
        <v>1420</v>
      </c>
      <c r="G221" s="231">
        <v>434</v>
      </c>
      <c r="H221" s="396">
        <f t="shared" si="58"/>
        <v>434</v>
      </c>
      <c r="I221" s="200"/>
      <c r="J221" s="200"/>
      <c r="K221" s="200"/>
      <c r="L221" s="200"/>
      <c r="M221" s="374"/>
      <c r="N221" s="385"/>
      <c r="O221" s="345">
        <v>350</v>
      </c>
      <c r="P221" s="345">
        <f t="shared" si="64"/>
        <v>350</v>
      </c>
      <c r="Q221" s="177">
        <f t="shared" si="65"/>
        <v>350</v>
      </c>
      <c r="R221" s="177">
        <f t="shared" si="65"/>
        <v>350</v>
      </c>
      <c r="S221" s="176">
        <f t="shared" si="63"/>
        <v>350</v>
      </c>
      <c r="T221" s="176"/>
      <c r="U221" s="478">
        <v>350</v>
      </c>
      <c r="V221" s="478">
        <v>350</v>
      </c>
      <c r="W221" s="200"/>
      <c r="X221" s="200"/>
      <c r="Y221" s="200"/>
      <c r="Z221" s="200"/>
      <c r="AA221" s="200"/>
      <c r="AB221" s="200"/>
      <c r="AC221" s="200"/>
      <c r="AD221" s="200"/>
      <c r="AE221" s="200"/>
      <c r="AF221" s="200"/>
      <c r="AG221" s="200"/>
      <c r="AH221" s="200"/>
      <c r="AI221" s="339" t="s">
        <v>84</v>
      </c>
      <c r="AJ221" s="173">
        <f t="shared" si="66"/>
        <v>1</v>
      </c>
    </row>
    <row r="222" spans="1:36" ht="82.5" x14ac:dyDescent="0.25">
      <c r="A222" s="188">
        <v>83</v>
      </c>
      <c r="B222" s="237" t="s">
        <v>1419</v>
      </c>
      <c r="C222" s="230" t="s">
        <v>1379</v>
      </c>
      <c r="D222" s="182" t="s">
        <v>1418</v>
      </c>
      <c r="E222" s="230" t="s">
        <v>461</v>
      </c>
      <c r="F222" s="230" t="s">
        <v>1417</v>
      </c>
      <c r="G222" s="231">
        <v>662</v>
      </c>
      <c r="H222" s="396">
        <f t="shared" si="58"/>
        <v>662</v>
      </c>
      <c r="I222" s="200"/>
      <c r="J222" s="200"/>
      <c r="K222" s="200"/>
      <c r="L222" s="200"/>
      <c r="M222" s="374"/>
      <c r="N222" s="385"/>
      <c r="O222" s="345">
        <v>530</v>
      </c>
      <c r="P222" s="345">
        <f t="shared" si="64"/>
        <v>530</v>
      </c>
      <c r="Q222" s="177">
        <f t="shared" si="65"/>
        <v>530</v>
      </c>
      <c r="R222" s="177">
        <f t="shared" si="65"/>
        <v>530</v>
      </c>
      <c r="S222" s="176">
        <f t="shared" si="63"/>
        <v>530</v>
      </c>
      <c r="T222" s="176"/>
      <c r="U222" s="478">
        <v>530</v>
      </c>
      <c r="V222" s="478">
        <v>530</v>
      </c>
      <c r="W222" s="200"/>
      <c r="X222" s="200"/>
      <c r="Y222" s="200"/>
      <c r="Z222" s="200"/>
      <c r="AA222" s="200"/>
      <c r="AB222" s="200"/>
      <c r="AC222" s="200"/>
      <c r="AD222" s="200"/>
      <c r="AE222" s="200"/>
      <c r="AF222" s="200"/>
      <c r="AG222" s="200"/>
      <c r="AH222" s="200"/>
      <c r="AI222" s="339" t="s">
        <v>84</v>
      </c>
      <c r="AJ222" s="173">
        <f t="shared" si="66"/>
        <v>1</v>
      </c>
    </row>
    <row r="223" spans="1:36" ht="82.5" x14ac:dyDescent="0.25">
      <c r="A223" s="188">
        <v>84</v>
      </c>
      <c r="B223" s="237" t="s">
        <v>1416</v>
      </c>
      <c r="C223" s="230" t="s">
        <v>1379</v>
      </c>
      <c r="D223" s="182" t="s">
        <v>1415</v>
      </c>
      <c r="E223" s="230" t="s">
        <v>461</v>
      </c>
      <c r="F223" s="230" t="s">
        <v>1414</v>
      </c>
      <c r="G223" s="231">
        <v>1580.249</v>
      </c>
      <c r="H223" s="396">
        <f t="shared" si="58"/>
        <v>1580.249</v>
      </c>
      <c r="I223" s="200"/>
      <c r="J223" s="200"/>
      <c r="K223" s="200"/>
      <c r="L223" s="200"/>
      <c r="M223" s="374"/>
      <c r="N223" s="385"/>
      <c r="O223" s="345">
        <v>1350</v>
      </c>
      <c r="P223" s="345">
        <f t="shared" si="64"/>
        <v>1350</v>
      </c>
      <c r="Q223" s="177">
        <f t="shared" si="65"/>
        <v>1350</v>
      </c>
      <c r="R223" s="177">
        <f t="shared" si="65"/>
        <v>1350</v>
      </c>
      <c r="S223" s="176">
        <f t="shared" si="63"/>
        <v>1350</v>
      </c>
      <c r="T223" s="176"/>
      <c r="U223" s="478">
        <v>1350</v>
      </c>
      <c r="V223" s="478">
        <v>1350</v>
      </c>
      <c r="W223" s="200"/>
      <c r="X223" s="200"/>
      <c r="Y223" s="200"/>
      <c r="Z223" s="200"/>
      <c r="AA223" s="200"/>
      <c r="AB223" s="200"/>
      <c r="AC223" s="200"/>
      <c r="AD223" s="200"/>
      <c r="AE223" s="200"/>
      <c r="AF223" s="200"/>
      <c r="AG223" s="200"/>
      <c r="AH223" s="200"/>
      <c r="AI223" s="339" t="s">
        <v>84</v>
      </c>
      <c r="AJ223" s="173">
        <f t="shared" si="66"/>
        <v>1</v>
      </c>
    </row>
    <row r="224" spans="1:36" ht="82.5" x14ac:dyDescent="0.25">
      <c r="A224" s="188">
        <v>85</v>
      </c>
      <c r="B224" s="237" t="s">
        <v>1413</v>
      </c>
      <c r="C224" s="230" t="s">
        <v>1379</v>
      </c>
      <c r="D224" s="182" t="s">
        <v>1412</v>
      </c>
      <c r="E224" s="230" t="s">
        <v>461</v>
      </c>
      <c r="F224" s="230" t="s">
        <v>1411</v>
      </c>
      <c r="G224" s="231">
        <v>1634</v>
      </c>
      <c r="H224" s="396">
        <f t="shared" si="58"/>
        <v>1634</v>
      </c>
      <c r="I224" s="200"/>
      <c r="J224" s="200"/>
      <c r="K224" s="200"/>
      <c r="L224" s="200"/>
      <c r="M224" s="374"/>
      <c r="N224" s="385"/>
      <c r="O224" s="345">
        <v>1390</v>
      </c>
      <c r="P224" s="345">
        <f t="shared" si="64"/>
        <v>1390</v>
      </c>
      <c r="Q224" s="177">
        <f t="shared" si="65"/>
        <v>1390</v>
      </c>
      <c r="R224" s="177">
        <f t="shared" si="65"/>
        <v>1390</v>
      </c>
      <c r="S224" s="176">
        <f t="shared" si="63"/>
        <v>1390</v>
      </c>
      <c r="T224" s="176"/>
      <c r="U224" s="478">
        <v>1390</v>
      </c>
      <c r="V224" s="478">
        <v>1390</v>
      </c>
      <c r="W224" s="200"/>
      <c r="X224" s="200"/>
      <c r="Y224" s="200"/>
      <c r="Z224" s="200"/>
      <c r="AA224" s="200"/>
      <c r="AB224" s="200"/>
      <c r="AC224" s="200"/>
      <c r="AD224" s="200"/>
      <c r="AE224" s="200"/>
      <c r="AF224" s="200"/>
      <c r="AG224" s="200"/>
      <c r="AH224" s="200"/>
      <c r="AI224" s="339" t="s">
        <v>84</v>
      </c>
      <c r="AJ224" s="173">
        <f t="shared" si="66"/>
        <v>1</v>
      </c>
    </row>
    <row r="225" spans="1:36" ht="82.5" x14ac:dyDescent="0.25">
      <c r="A225" s="188">
        <v>86</v>
      </c>
      <c r="B225" s="237" t="s">
        <v>1410</v>
      </c>
      <c r="C225" s="230" t="s">
        <v>1379</v>
      </c>
      <c r="D225" s="182" t="s">
        <v>1409</v>
      </c>
      <c r="E225" s="230" t="s">
        <v>461</v>
      </c>
      <c r="F225" s="230" t="s">
        <v>1408</v>
      </c>
      <c r="G225" s="231">
        <v>593</v>
      </c>
      <c r="H225" s="396">
        <f t="shared" si="58"/>
        <v>593</v>
      </c>
      <c r="I225" s="200"/>
      <c r="J225" s="200"/>
      <c r="K225" s="200"/>
      <c r="L225" s="200"/>
      <c r="M225" s="374"/>
      <c r="N225" s="385"/>
      <c r="O225" s="345">
        <v>500</v>
      </c>
      <c r="P225" s="345">
        <f t="shared" si="64"/>
        <v>500</v>
      </c>
      <c r="Q225" s="177">
        <f t="shared" si="65"/>
        <v>500</v>
      </c>
      <c r="R225" s="177">
        <f t="shared" si="65"/>
        <v>500</v>
      </c>
      <c r="S225" s="176">
        <f t="shared" si="63"/>
        <v>500</v>
      </c>
      <c r="T225" s="176"/>
      <c r="U225" s="478">
        <v>500</v>
      </c>
      <c r="V225" s="478">
        <v>500</v>
      </c>
      <c r="W225" s="200"/>
      <c r="X225" s="200"/>
      <c r="Y225" s="200"/>
      <c r="Z225" s="200"/>
      <c r="AA225" s="200"/>
      <c r="AB225" s="200"/>
      <c r="AC225" s="200"/>
      <c r="AD225" s="200"/>
      <c r="AE225" s="200"/>
      <c r="AF225" s="200"/>
      <c r="AG225" s="200"/>
      <c r="AH225" s="200"/>
      <c r="AI225" s="339" t="s">
        <v>84</v>
      </c>
      <c r="AJ225" s="173">
        <f t="shared" si="66"/>
        <v>1</v>
      </c>
    </row>
    <row r="226" spans="1:36" ht="82.5" x14ac:dyDescent="0.25">
      <c r="A226" s="188">
        <v>87</v>
      </c>
      <c r="B226" s="237" t="s">
        <v>1407</v>
      </c>
      <c r="C226" s="230" t="s">
        <v>1379</v>
      </c>
      <c r="D226" s="182" t="s">
        <v>1406</v>
      </c>
      <c r="E226" s="230" t="s">
        <v>461</v>
      </c>
      <c r="F226" s="230" t="s">
        <v>1405</v>
      </c>
      <c r="G226" s="231">
        <v>1138</v>
      </c>
      <c r="H226" s="396">
        <f t="shared" si="58"/>
        <v>1138</v>
      </c>
      <c r="I226" s="200"/>
      <c r="J226" s="200"/>
      <c r="K226" s="200"/>
      <c r="L226" s="200"/>
      <c r="M226" s="374"/>
      <c r="N226" s="385"/>
      <c r="O226" s="345">
        <v>940</v>
      </c>
      <c r="P226" s="345">
        <f t="shared" si="64"/>
        <v>940</v>
      </c>
      <c r="Q226" s="177">
        <f t="shared" si="65"/>
        <v>940</v>
      </c>
      <c r="R226" s="177">
        <f t="shared" si="65"/>
        <v>940</v>
      </c>
      <c r="S226" s="176">
        <f t="shared" si="63"/>
        <v>940</v>
      </c>
      <c r="T226" s="176"/>
      <c r="U226" s="478">
        <v>940</v>
      </c>
      <c r="V226" s="478">
        <v>940</v>
      </c>
      <c r="W226" s="200"/>
      <c r="X226" s="200"/>
      <c r="Y226" s="200"/>
      <c r="Z226" s="200"/>
      <c r="AA226" s="200"/>
      <c r="AB226" s="200"/>
      <c r="AC226" s="200"/>
      <c r="AD226" s="200"/>
      <c r="AE226" s="200"/>
      <c r="AF226" s="200"/>
      <c r="AG226" s="200"/>
      <c r="AH226" s="200"/>
      <c r="AI226" s="339" t="s">
        <v>84</v>
      </c>
      <c r="AJ226" s="173">
        <f t="shared" si="66"/>
        <v>1</v>
      </c>
    </row>
    <row r="227" spans="1:36" ht="82.5" x14ac:dyDescent="0.25">
      <c r="A227" s="188">
        <v>88</v>
      </c>
      <c r="B227" s="237" t="s">
        <v>1404</v>
      </c>
      <c r="C227" s="230" t="s">
        <v>1379</v>
      </c>
      <c r="D227" s="182" t="s">
        <v>1403</v>
      </c>
      <c r="E227" s="230" t="s">
        <v>461</v>
      </c>
      <c r="F227" s="230" t="s">
        <v>1402</v>
      </c>
      <c r="G227" s="231">
        <v>662</v>
      </c>
      <c r="H227" s="396">
        <f t="shared" si="58"/>
        <v>662</v>
      </c>
      <c r="I227" s="200"/>
      <c r="J227" s="200"/>
      <c r="K227" s="200"/>
      <c r="L227" s="200"/>
      <c r="M227" s="374"/>
      <c r="N227" s="385"/>
      <c r="O227" s="345">
        <v>550</v>
      </c>
      <c r="P227" s="345">
        <f t="shared" si="64"/>
        <v>550</v>
      </c>
      <c r="Q227" s="177">
        <f t="shared" si="65"/>
        <v>550</v>
      </c>
      <c r="R227" s="177">
        <f t="shared" si="65"/>
        <v>550</v>
      </c>
      <c r="S227" s="176">
        <f t="shared" si="63"/>
        <v>550</v>
      </c>
      <c r="T227" s="176"/>
      <c r="U227" s="478">
        <v>550</v>
      </c>
      <c r="V227" s="478">
        <v>550</v>
      </c>
      <c r="W227" s="200"/>
      <c r="X227" s="200"/>
      <c r="Y227" s="200"/>
      <c r="Z227" s="200"/>
      <c r="AA227" s="200"/>
      <c r="AB227" s="200"/>
      <c r="AC227" s="200"/>
      <c r="AD227" s="200"/>
      <c r="AE227" s="200"/>
      <c r="AF227" s="200"/>
      <c r="AG227" s="200"/>
      <c r="AH227" s="200"/>
      <c r="AI227" s="339" t="s">
        <v>84</v>
      </c>
      <c r="AJ227" s="173">
        <f t="shared" si="66"/>
        <v>1</v>
      </c>
    </row>
    <row r="228" spans="1:36" ht="82.5" x14ac:dyDescent="0.25">
      <c r="A228" s="188">
        <v>89</v>
      </c>
      <c r="B228" s="237" t="s">
        <v>1401</v>
      </c>
      <c r="C228" s="230" t="s">
        <v>1379</v>
      </c>
      <c r="D228" s="182" t="s">
        <v>1400</v>
      </c>
      <c r="E228" s="230" t="s">
        <v>461</v>
      </c>
      <c r="F228" s="230" t="s">
        <v>1399</v>
      </c>
      <c r="G228" s="231">
        <v>894</v>
      </c>
      <c r="H228" s="396">
        <f t="shared" si="58"/>
        <v>894</v>
      </c>
      <c r="I228" s="200"/>
      <c r="J228" s="200"/>
      <c r="K228" s="200"/>
      <c r="L228" s="200"/>
      <c r="M228" s="374"/>
      <c r="N228" s="385"/>
      <c r="O228" s="345">
        <v>740</v>
      </c>
      <c r="P228" s="345">
        <f t="shared" si="64"/>
        <v>740</v>
      </c>
      <c r="Q228" s="177">
        <f t="shared" si="65"/>
        <v>740</v>
      </c>
      <c r="R228" s="177">
        <f t="shared" si="65"/>
        <v>740</v>
      </c>
      <c r="S228" s="176">
        <f t="shared" si="63"/>
        <v>740</v>
      </c>
      <c r="T228" s="176"/>
      <c r="U228" s="478">
        <v>740</v>
      </c>
      <c r="V228" s="478">
        <v>740</v>
      </c>
      <c r="W228" s="200"/>
      <c r="X228" s="200"/>
      <c r="Y228" s="200"/>
      <c r="Z228" s="200"/>
      <c r="AA228" s="200"/>
      <c r="AB228" s="200"/>
      <c r="AC228" s="200"/>
      <c r="AD228" s="200"/>
      <c r="AE228" s="200"/>
      <c r="AF228" s="200"/>
      <c r="AG228" s="200"/>
      <c r="AH228" s="200"/>
      <c r="AI228" s="339" t="s">
        <v>84</v>
      </c>
      <c r="AJ228" s="173">
        <f t="shared" si="66"/>
        <v>1</v>
      </c>
    </row>
    <row r="229" spans="1:36" ht="82.5" x14ac:dyDescent="0.25">
      <c r="A229" s="188">
        <v>90</v>
      </c>
      <c r="B229" s="237" t="s">
        <v>1398</v>
      </c>
      <c r="C229" s="230" t="s">
        <v>1379</v>
      </c>
      <c r="D229" s="182" t="s">
        <v>1397</v>
      </c>
      <c r="E229" s="230" t="s">
        <v>461</v>
      </c>
      <c r="F229" s="230" t="s">
        <v>1396</v>
      </c>
      <c r="G229" s="231">
        <v>258</v>
      </c>
      <c r="H229" s="396">
        <f t="shared" si="58"/>
        <v>258</v>
      </c>
      <c r="I229" s="200"/>
      <c r="J229" s="200"/>
      <c r="K229" s="200"/>
      <c r="L229" s="200"/>
      <c r="M229" s="374"/>
      <c r="N229" s="385"/>
      <c r="O229" s="345">
        <v>210</v>
      </c>
      <c r="P229" s="345">
        <f t="shared" si="64"/>
        <v>210</v>
      </c>
      <c r="Q229" s="177">
        <f t="shared" si="65"/>
        <v>210</v>
      </c>
      <c r="R229" s="177">
        <f t="shared" si="65"/>
        <v>210</v>
      </c>
      <c r="S229" s="176">
        <f t="shared" si="63"/>
        <v>210</v>
      </c>
      <c r="T229" s="176"/>
      <c r="U229" s="478">
        <v>210</v>
      </c>
      <c r="V229" s="478">
        <v>210</v>
      </c>
      <c r="W229" s="200"/>
      <c r="X229" s="200"/>
      <c r="Y229" s="200"/>
      <c r="Z229" s="200"/>
      <c r="AA229" s="200"/>
      <c r="AB229" s="200"/>
      <c r="AC229" s="200"/>
      <c r="AD229" s="200"/>
      <c r="AE229" s="200"/>
      <c r="AF229" s="200"/>
      <c r="AG229" s="200"/>
      <c r="AH229" s="200"/>
      <c r="AI229" s="339" t="s">
        <v>84</v>
      </c>
      <c r="AJ229" s="173">
        <f t="shared" si="66"/>
        <v>1</v>
      </c>
    </row>
    <row r="230" spans="1:36" ht="82.5" x14ac:dyDescent="0.25">
      <c r="A230" s="188">
        <v>91</v>
      </c>
      <c r="B230" s="237" t="s">
        <v>1395</v>
      </c>
      <c r="C230" s="230" t="s">
        <v>1379</v>
      </c>
      <c r="D230" s="182" t="s">
        <v>1394</v>
      </c>
      <c r="E230" s="230" t="s">
        <v>461</v>
      </c>
      <c r="F230" s="230" t="s">
        <v>1393</v>
      </c>
      <c r="G230" s="231">
        <v>549</v>
      </c>
      <c r="H230" s="396">
        <f t="shared" si="58"/>
        <v>549</v>
      </c>
      <c r="I230" s="200"/>
      <c r="J230" s="200"/>
      <c r="K230" s="200"/>
      <c r="L230" s="200"/>
      <c r="M230" s="374"/>
      <c r="N230" s="385"/>
      <c r="O230" s="345">
        <v>450</v>
      </c>
      <c r="P230" s="345">
        <f t="shared" si="64"/>
        <v>450</v>
      </c>
      <c r="Q230" s="177">
        <f t="shared" si="65"/>
        <v>450</v>
      </c>
      <c r="R230" s="177">
        <f t="shared" si="65"/>
        <v>450</v>
      </c>
      <c r="S230" s="176">
        <f t="shared" si="63"/>
        <v>450</v>
      </c>
      <c r="T230" s="176"/>
      <c r="U230" s="478">
        <v>450</v>
      </c>
      <c r="V230" s="478">
        <v>450</v>
      </c>
      <c r="W230" s="200"/>
      <c r="X230" s="200"/>
      <c r="Y230" s="200"/>
      <c r="Z230" s="200"/>
      <c r="AA230" s="200"/>
      <c r="AB230" s="200"/>
      <c r="AC230" s="200"/>
      <c r="AD230" s="200"/>
      <c r="AE230" s="200"/>
      <c r="AF230" s="200"/>
      <c r="AG230" s="200"/>
      <c r="AH230" s="200"/>
      <c r="AI230" s="339" t="s">
        <v>84</v>
      </c>
      <c r="AJ230" s="173">
        <f t="shared" si="66"/>
        <v>1</v>
      </c>
    </row>
    <row r="231" spans="1:36" ht="82.5" x14ac:dyDescent="0.25">
      <c r="A231" s="188">
        <v>92</v>
      </c>
      <c r="B231" s="237" t="s">
        <v>1392</v>
      </c>
      <c r="C231" s="230" t="s">
        <v>1379</v>
      </c>
      <c r="D231" s="182" t="s">
        <v>1391</v>
      </c>
      <c r="E231" s="230" t="s">
        <v>461</v>
      </c>
      <c r="F231" s="230" t="s">
        <v>1390</v>
      </c>
      <c r="G231" s="231">
        <v>351</v>
      </c>
      <c r="H231" s="396">
        <f t="shared" si="58"/>
        <v>351</v>
      </c>
      <c r="I231" s="200"/>
      <c r="J231" s="200"/>
      <c r="K231" s="200"/>
      <c r="L231" s="200"/>
      <c r="M231" s="374"/>
      <c r="N231" s="385"/>
      <c r="O231" s="345">
        <v>290</v>
      </c>
      <c r="P231" s="345">
        <f t="shared" si="64"/>
        <v>290</v>
      </c>
      <c r="Q231" s="177">
        <f t="shared" si="65"/>
        <v>290</v>
      </c>
      <c r="R231" s="177">
        <f t="shared" si="65"/>
        <v>290</v>
      </c>
      <c r="S231" s="176">
        <f t="shared" si="63"/>
        <v>290</v>
      </c>
      <c r="T231" s="176"/>
      <c r="U231" s="478">
        <v>290</v>
      </c>
      <c r="V231" s="478">
        <v>290</v>
      </c>
      <c r="W231" s="200"/>
      <c r="X231" s="200"/>
      <c r="Y231" s="200"/>
      <c r="Z231" s="200"/>
      <c r="AA231" s="200"/>
      <c r="AB231" s="200"/>
      <c r="AC231" s="200"/>
      <c r="AD231" s="200"/>
      <c r="AE231" s="200"/>
      <c r="AF231" s="200"/>
      <c r="AG231" s="200"/>
      <c r="AH231" s="200"/>
      <c r="AI231" s="339" t="s">
        <v>84</v>
      </c>
      <c r="AJ231" s="173">
        <f t="shared" si="66"/>
        <v>1</v>
      </c>
    </row>
    <row r="232" spans="1:36" ht="82.5" x14ac:dyDescent="0.25">
      <c r="A232" s="188">
        <v>93</v>
      </c>
      <c r="B232" s="237" t="s">
        <v>1389</v>
      </c>
      <c r="C232" s="230" t="s">
        <v>1379</v>
      </c>
      <c r="D232" s="182" t="s">
        <v>1388</v>
      </c>
      <c r="E232" s="230" t="s">
        <v>461</v>
      </c>
      <c r="F232" s="230" t="s">
        <v>1387</v>
      </c>
      <c r="G232" s="231">
        <v>398</v>
      </c>
      <c r="H232" s="396">
        <f t="shared" si="58"/>
        <v>398</v>
      </c>
      <c r="I232" s="200"/>
      <c r="J232" s="200"/>
      <c r="K232" s="200"/>
      <c r="L232" s="200"/>
      <c r="M232" s="374"/>
      <c r="N232" s="385"/>
      <c r="O232" s="345">
        <v>330</v>
      </c>
      <c r="P232" s="345">
        <f t="shared" si="64"/>
        <v>330</v>
      </c>
      <c r="Q232" s="177">
        <f t="shared" si="65"/>
        <v>330</v>
      </c>
      <c r="R232" s="177">
        <f t="shared" si="65"/>
        <v>330</v>
      </c>
      <c r="S232" s="176">
        <f t="shared" si="63"/>
        <v>330</v>
      </c>
      <c r="T232" s="176"/>
      <c r="U232" s="478">
        <v>330</v>
      </c>
      <c r="V232" s="478">
        <v>330</v>
      </c>
      <c r="W232" s="200"/>
      <c r="X232" s="200"/>
      <c r="Y232" s="200"/>
      <c r="Z232" s="200"/>
      <c r="AA232" s="200"/>
      <c r="AB232" s="200"/>
      <c r="AC232" s="200"/>
      <c r="AD232" s="200"/>
      <c r="AE232" s="200"/>
      <c r="AF232" s="200"/>
      <c r="AG232" s="200"/>
      <c r="AH232" s="200"/>
      <c r="AI232" s="339" t="s">
        <v>84</v>
      </c>
      <c r="AJ232" s="173">
        <f t="shared" si="66"/>
        <v>1</v>
      </c>
    </row>
    <row r="233" spans="1:36" ht="82.5" x14ac:dyDescent="0.25">
      <c r="A233" s="188">
        <v>94</v>
      </c>
      <c r="B233" s="237" t="s">
        <v>1386</v>
      </c>
      <c r="C233" s="230" t="s">
        <v>1379</v>
      </c>
      <c r="D233" s="182" t="s">
        <v>1385</v>
      </c>
      <c r="E233" s="230" t="s">
        <v>461</v>
      </c>
      <c r="F233" s="230" t="s">
        <v>1384</v>
      </c>
      <c r="G233" s="231">
        <v>324</v>
      </c>
      <c r="H233" s="396">
        <f t="shared" si="58"/>
        <v>324</v>
      </c>
      <c r="I233" s="200"/>
      <c r="J233" s="200"/>
      <c r="K233" s="200"/>
      <c r="L233" s="200"/>
      <c r="M233" s="374"/>
      <c r="N233" s="385"/>
      <c r="O233" s="345">
        <v>270</v>
      </c>
      <c r="P233" s="345">
        <f t="shared" si="64"/>
        <v>270</v>
      </c>
      <c r="Q233" s="177">
        <f t="shared" si="65"/>
        <v>270</v>
      </c>
      <c r="R233" s="177">
        <f t="shared" si="65"/>
        <v>270</v>
      </c>
      <c r="S233" s="176">
        <f t="shared" si="63"/>
        <v>270</v>
      </c>
      <c r="T233" s="176"/>
      <c r="U233" s="478">
        <v>270</v>
      </c>
      <c r="V233" s="478">
        <v>270</v>
      </c>
      <c r="W233" s="200"/>
      <c r="X233" s="200"/>
      <c r="Y233" s="200"/>
      <c r="Z233" s="200"/>
      <c r="AA233" s="200"/>
      <c r="AB233" s="200"/>
      <c r="AC233" s="200"/>
      <c r="AD233" s="200"/>
      <c r="AE233" s="200"/>
      <c r="AF233" s="200"/>
      <c r="AG233" s="200"/>
      <c r="AH233" s="200"/>
      <c r="AI233" s="339" t="s">
        <v>84</v>
      </c>
      <c r="AJ233" s="173">
        <f t="shared" si="66"/>
        <v>1</v>
      </c>
    </row>
    <row r="234" spans="1:36" ht="82.5" x14ac:dyDescent="0.25">
      <c r="A234" s="188">
        <v>95</v>
      </c>
      <c r="B234" s="237" t="s">
        <v>1383</v>
      </c>
      <c r="C234" s="230" t="s">
        <v>1379</v>
      </c>
      <c r="D234" s="182" t="s">
        <v>1382</v>
      </c>
      <c r="E234" s="230" t="s">
        <v>461</v>
      </c>
      <c r="F234" s="230" t="s">
        <v>1381</v>
      </c>
      <c r="G234" s="231">
        <v>161</v>
      </c>
      <c r="H234" s="396">
        <f t="shared" si="58"/>
        <v>161</v>
      </c>
      <c r="I234" s="200"/>
      <c r="J234" s="200"/>
      <c r="K234" s="200"/>
      <c r="L234" s="200"/>
      <c r="M234" s="374"/>
      <c r="N234" s="385"/>
      <c r="O234" s="345">
        <v>130</v>
      </c>
      <c r="P234" s="345">
        <f t="shared" si="64"/>
        <v>130</v>
      </c>
      <c r="Q234" s="177">
        <f t="shared" si="65"/>
        <v>130</v>
      </c>
      <c r="R234" s="177">
        <f t="shared" si="65"/>
        <v>130</v>
      </c>
      <c r="S234" s="176">
        <f t="shared" si="63"/>
        <v>130</v>
      </c>
      <c r="T234" s="176"/>
      <c r="U234" s="478">
        <v>130</v>
      </c>
      <c r="V234" s="478">
        <v>130</v>
      </c>
      <c r="W234" s="200"/>
      <c r="X234" s="200"/>
      <c r="Y234" s="200"/>
      <c r="Z234" s="200"/>
      <c r="AA234" s="200"/>
      <c r="AB234" s="200"/>
      <c r="AC234" s="200"/>
      <c r="AD234" s="200"/>
      <c r="AE234" s="200"/>
      <c r="AF234" s="200"/>
      <c r="AG234" s="200"/>
      <c r="AH234" s="200"/>
      <c r="AI234" s="339" t="s">
        <v>84</v>
      </c>
      <c r="AJ234" s="173">
        <f t="shared" si="66"/>
        <v>1</v>
      </c>
    </row>
    <row r="235" spans="1:36" ht="82.5" x14ac:dyDescent="0.25">
      <c r="A235" s="188">
        <v>96</v>
      </c>
      <c r="B235" s="237" t="s">
        <v>1380</v>
      </c>
      <c r="C235" s="230" t="s">
        <v>1379</v>
      </c>
      <c r="D235" s="182" t="s">
        <v>1378</v>
      </c>
      <c r="E235" s="230" t="s">
        <v>461</v>
      </c>
      <c r="F235" s="230" t="s">
        <v>1377</v>
      </c>
      <c r="G235" s="231">
        <v>162</v>
      </c>
      <c r="H235" s="396">
        <f t="shared" si="58"/>
        <v>162</v>
      </c>
      <c r="I235" s="200"/>
      <c r="J235" s="200"/>
      <c r="K235" s="200"/>
      <c r="L235" s="200"/>
      <c r="M235" s="374"/>
      <c r="N235" s="385"/>
      <c r="O235" s="345">
        <v>130</v>
      </c>
      <c r="P235" s="345">
        <f t="shared" si="64"/>
        <v>130</v>
      </c>
      <c r="Q235" s="177">
        <f t="shared" si="65"/>
        <v>130</v>
      </c>
      <c r="R235" s="177">
        <f t="shared" si="65"/>
        <v>130</v>
      </c>
      <c r="S235" s="176">
        <f t="shared" si="63"/>
        <v>130</v>
      </c>
      <c r="T235" s="176"/>
      <c r="U235" s="478">
        <v>130</v>
      </c>
      <c r="V235" s="478">
        <v>130</v>
      </c>
      <c r="W235" s="200"/>
      <c r="X235" s="200"/>
      <c r="Y235" s="200"/>
      <c r="Z235" s="200"/>
      <c r="AA235" s="200"/>
      <c r="AB235" s="200"/>
      <c r="AC235" s="200"/>
      <c r="AD235" s="200"/>
      <c r="AE235" s="200"/>
      <c r="AF235" s="200"/>
      <c r="AG235" s="200"/>
      <c r="AH235" s="200"/>
      <c r="AI235" s="339" t="s">
        <v>84</v>
      </c>
      <c r="AJ235" s="173">
        <f t="shared" si="66"/>
        <v>1</v>
      </c>
    </row>
    <row r="236" spans="1:36" ht="82.5" x14ac:dyDescent="0.25">
      <c r="A236" s="188">
        <v>97</v>
      </c>
      <c r="B236" s="237" t="s">
        <v>1376</v>
      </c>
      <c r="C236" s="230" t="s">
        <v>1355</v>
      </c>
      <c r="D236" s="182" t="s">
        <v>1375</v>
      </c>
      <c r="E236" s="230" t="s">
        <v>461</v>
      </c>
      <c r="F236" s="230" t="s">
        <v>1374</v>
      </c>
      <c r="G236" s="231">
        <v>427</v>
      </c>
      <c r="H236" s="396">
        <f t="shared" si="58"/>
        <v>427</v>
      </c>
      <c r="I236" s="200"/>
      <c r="J236" s="200"/>
      <c r="K236" s="200"/>
      <c r="L236" s="200"/>
      <c r="M236" s="374"/>
      <c r="N236" s="385"/>
      <c r="O236" s="345">
        <v>340</v>
      </c>
      <c r="P236" s="345">
        <f t="shared" si="64"/>
        <v>340</v>
      </c>
      <c r="Q236" s="177">
        <f t="shared" ref="Q236:R245" si="67">O236-M236</f>
        <v>340</v>
      </c>
      <c r="R236" s="177">
        <f t="shared" si="67"/>
        <v>340</v>
      </c>
      <c r="S236" s="176">
        <f t="shared" si="63"/>
        <v>340</v>
      </c>
      <c r="T236" s="176"/>
      <c r="U236" s="478">
        <v>340</v>
      </c>
      <c r="V236" s="478">
        <v>340</v>
      </c>
      <c r="W236" s="200"/>
      <c r="X236" s="200"/>
      <c r="Y236" s="200"/>
      <c r="Z236" s="200"/>
      <c r="AA236" s="200"/>
      <c r="AB236" s="200"/>
      <c r="AC236" s="200"/>
      <c r="AD236" s="200"/>
      <c r="AE236" s="200"/>
      <c r="AF236" s="200"/>
      <c r="AG236" s="200"/>
      <c r="AH236" s="200"/>
      <c r="AI236" s="339" t="s">
        <v>84</v>
      </c>
      <c r="AJ236" s="173">
        <f t="shared" si="66"/>
        <v>1</v>
      </c>
    </row>
    <row r="237" spans="1:36" ht="82.5" x14ac:dyDescent="0.25">
      <c r="A237" s="188">
        <v>98</v>
      </c>
      <c r="B237" s="237" t="s">
        <v>1373</v>
      </c>
      <c r="C237" s="230" t="s">
        <v>1372</v>
      </c>
      <c r="D237" s="182"/>
      <c r="E237" s="230" t="s">
        <v>461</v>
      </c>
      <c r="F237" s="230" t="s">
        <v>1371</v>
      </c>
      <c r="G237" s="231">
        <v>2715</v>
      </c>
      <c r="H237" s="396">
        <f t="shared" si="58"/>
        <v>2715</v>
      </c>
      <c r="I237" s="200"/>
      <c r="J237" s="200"/>
      <c r="K237" s="200"/>
      <c r="L237" s="200"/>
      <c r="M237" s="374"/>
      <c r="N237" s="385"/>
      <c r="O237" s="345">
        <v>2200</v>
      </c>
      <c r="P237" s="345">
        <f t="shared" si="64"/>
        <v>2200</v>
      </c>
      <c r="Q237" s="177">
        <f t="shared" si="67"/>
        <v>2200</v>
      </c>
      <c r="R237" s="177">
        <f t="shared" si="67"/>
        <v>2200</v>
      </c>
      <c r="S237" s="176">
        <f t="shared" si="63"/>
        <v>2200</v>
      </c>
      <c r="T237" s="176"/>
      <c r="U237" s="478">
        <v>2200</v>
      </c>
      <c r="V237" s="478">
        <v>2200</v>
      </c>
      <c r="W237" s="200"/>
      <c r="X237" s="200"/>
      <c r="Y237" s="200"/>
      <c r="Z237" s="200"/>
      <c r="AA237" s="200"/>
      <c r="AB237" s="200"/>
      <c r="AC237" s="200"/>
      <c r="AD237" s="200"/>
      <c r="AE237" s="200"/>
      <c r="AF237" s="200"/>
      <c r="AG237" s="200"/>
      <c r="AH237" s="200"/>
      <c r="AI237" s="339" t="s">
        <v>84</v>
      </c>
      <c r="AJ237" s="173">
        <f t="shared" si="66"/>
        <v>1</v>
      </c>
    </row>
    <row r="238" spans="1:36" ht="82.5" x14ac:dyDescent="0.25">
      <c r="A238" s="188">
        <v>99</v>
      </c>
      <c r="B238" s="237" t="s">
        <v>1370</v>
      </c>
      <c r="C238" s="230" t="s">
        <v>1369</v>
      </c>
      <c r="D238" s="182"/>
      <c r="E238" s="230" t="s">
        <v>461</v>
      </c>
      <c r="F238" s="230" t="s">
        <v>1368</v>
      </c>
      <c r="G238" s="231">
        <v>2307</v>
      </c>
      <c r="H238" s="396">
        <f t="shared" si="58"/>
        <v>2307</v>
      </c>
      <c r="I238" s="200"/>
      <c r="J238" s="200"/>
      <c r="K238" s="200"/>
      <c r="L238" s="200"/>
      <c r="M238" s="374"/>
      <c r="N238" s="385"/>
      <c r="O238" s="345">
        <v>1870</v>
      </c>
      <c r="P238" s="345">
        <f t="shared" si="64"/>
        <v>1870</v>
      </c>
      <c r="Q238" s="177">
        <f t="shared" si="67"/>
        <v>1870</v>
      </c>
      <c r="R238" s="177">
        <f t="shared" si="67"/>
        <v>1870</v>
      </c>
      <c r="S238" s="176">
        <f t="shared" si="63"/>
        <v>1870</v>
      </c>
      <c r="T238" s="176"/>
      <c r="U238" s="478">
        <v>1870</v>
      </c>
      <c r="V238" s="478">
        <v>1870</v>
      </c>
      <c r="W238" s="200"/>
      <c r="X238" s="200"/>
      <c r="Y238" s="200"/>
      <c r="Z238" s="200"/>
      <c r="AA238" s="200"/>
      <c r="AB238" s="200"/>
      <c r="AC238" s="200"/>
      <c r="AD238" s="200"/>
      <c r="AE238" s="200"/>
      <c r="AF238" s="200"/>
      <c r="AG238" s="200"/>
      <c r="AH238" s="200"/>
      <c r="AI238" s="339" t="s">
        <v>84</v>
      </c>
      <c r="AJ238" s="173">
        <f t="shared" si="66"/>
        <v>1</v>
      </c>
    </row>
    <row r="239" spans="1:36" ht="66" x14ac:dyDescent="0.25">
      <c r="A239" s="188">
        <v>100</v>
      </c>
      <c r="B239" s="237" t="s">
        <v>1367</v>
      </c>
      <c r="C239" s="230" t="s">
        <v>1366</v>
      </c>
      <c r="D239" s="182"/>
      <c r="E239" s="230" t="s">
        <v>290</v>
      </c>
      <c r="F239" s="230"/>
      <c r="G239" s="231">
        <v>34000</v>
      </c>
      <c r="H239" s="396">
        <f t="shared" si="58"/>
        <v>34000</v>
      </c>
      <c r="I239" s="200"/>
      <c r="J239" s="200"/>
      <c r="K239" s="200"/>
      <c r="L239" s="200"/>
      <c r="M239" s="374"/>
      <c r="N239" s="385"/>
      <c r="O239" s="397">
        <v>14900</v>
      </c>
      <c r="P239" s="397">
        <f t="shared" si="64"/>
        <v>14900</v>
      </c>
      <c r="Q239" s="177">
        <f t="shared" si="67"/>
        <v>14900</v>
      </c>
      <c r="R239" s="177">
        <f t="shared" si="67"/>
        <v>14900</v>
      </c>
      <c r="S239" s="176">
        <f t="shared" si="63"/>
        <v>14900</v>
      </c>
      <c r="T239" s="176"/>
      <c r="U239" s="480">
        <v>14900</v>
      </c>
      <c r="V239" s="480">
        <v>14900</v>
      </c>
      <c r="W239" s="200"/>
      <c r="X239" s="200"/>
      <c r="Y239" s="200"/>
      <c r="Z239" s="200"/>
      <c r="AA239" s="200"/>
      <c r="AB239" s="200"/>
      <c r="AC239" s="200"/>
      <c r="AD239" s="200"/>
      <c r="AE239" s="200"/>
      <c r="AF239" s="200"/>
      <c r="AG239" s="200"/>
      <c r="AH239" s="200"/>
      <c r="AI239" s="339" t="s">
        <v>84</v>
      </c>
      <c r="AJ239" s="173">
        <f t="shared" si="66"/>
        <v>1</v>
      </c>
    </row>
    <row r="240" spans="1:36" ht="49.5" x14ac:dyDescent="0.25">
      <c r="A240" s="188">
        <v>101</v>
      </c>
      <c r="B240" s="237" t="s">
        <v>1365</v>
      </c>
      <c r="C240" s="230" t="s">
        <v>1364</v>
      </c>
      <c r="D240" s="182"/>
      <c r="E240" s="230" t="s">
        <v>290</v>
      </c>
      <c r="F240" s="230"/>
      <c r="G240" s="231">
        <v>3000</v>
      </c>
      <c r="H240" s="396">
        <f t="shared" si="58"/>
        <v>3000</v>
      </c>
      <c r="I240" s="200"/>
      <c r="J240" s="200"/>
      <c r="K240" s="200"/>
      <c r="L240" s="200"/>
      <c r="M240" s="374"/>
      <c r="N240" s="385"/>
      <c r="O240" s="345">
        <v>1790</v>
      </c>
      <c r="P240" s="345">
        <f t="shared" si="64"/>
        <v>1790</v>
      </c>
      <c r="Q240" s="177">
        <f t="shared" si="67"/>
        <v>1790</v>
      </c>
      <c r="R240" s="177">
        <f t="shared" si="67"/>
        <v>1790</v>
      </c>
      <c r="S240" s="176">
        <f t="shared" si="63"/>
        <v>1790</v>
      </c>
      <c r="T240" s="176"/>
      <c r="U240" s="478">
        <v>1790</v>
      </c>
      <c r="V240" s="478">
        <v>1790</v>
      </c>
      <c r="W240" s="200"/>
      <c r="X240" s="200"/>
      <c r="Y240" s="200"/>
      <c r="Z240" s="200"/>
      <c r="AA240" s="200"/>
      <c r="AB240" s="200"/>
      <c r="AC240" s="200"/>
      <c r="AD240" s="200"/>
      <c r="AE240" s="200"/>
      <c r="AF240" s="200"/>
      <c r="AG240" s="200"/>
      <c r="AH240" s="200"/>
      <c r="AI240" s="339" t="s">
        <v>84</v>
      </c>
      <c r="AJ240" s="173">
        <f t="shared" si="66"/>
        <v>1</v>
      </c>
    </row>
    <row r="241" spans="1:36" ht="66" x14ac:dyDescent="0.25">
      <c r="A241" s="188">
        <v>102</v>
      </c>
      <c r="B241" s="237" t="s">
        <v>1363</v>
      </c>
      <c r="C241" s="230" t="s">
        <v>1359</v>
      </c>
      <c r="D241" s="182"/>
      <c r="E241" s="230" t="s">
        <v>290</v>
      </c>
      <c r="F241" s="230"/>
      <c r="G241" s="231">
        <v>5696.4329192546584</v>
      </c>
      <c r="H241" s="396">
        <f t="shared" si="58"/>
        <v>5696.4329192546584</v>
      </c>
      <c r="I241" s="200"/>
      <c r="J241" s="200"/>
      <c r="K241" s="200"/>
      <c r="L241" s="200"/>
      <c r="M241" s="374"/>
      <c r="N241" s="385"/>
      <c r="O241" s="397">
        <v>3390</v>
      </c>
      <c r="P241" s="397">
        <f t="shared" si="64"/>
        <v>3390</v>
      </c>
      <c r="Q241" s="177">
        <f t="shared" si="67"/>
        <v>3390</v>
      </c>
      <c r="R241" s="177">
        <f t="shared" si="67"/>
        <v>3390</v>
      </c>
      <c r="S241" s="176">
        <f t="shared" si="63"/>
        <v>3390</v>
      </c>
      <c r="T241" s="176"/>
      <c r="U241" s="480">
        <v>3390</v>
      </c>
      <c r="V241" s="480">
        <v>3390</v>
      </c>
      <c r="W241" s="200"/>
      <c r="X241" s="200"/>
      <c r="Y241" s="200"/>
      <c r="Z241" s="200"/>
      <c r="AA241" s="200"/>
      <c r="AB241" s="200"/>
      <c r="AC241" s="200"/>
      <c r="AD241" s="200"/>
      <c r="AE241" s="200"/>
      <c r="AF241" s="200"/>
      <c r="AG241" s="200"/>
      <c r="AH241" s="200"/>
      <c r="AI241" s="339" t="s">
        <v>84</v>
      </c>
      <c r="AJ241" s="173">
        <f t="shared" si="66"/>
        <v>1</v>
      </c>
    </row>
    <row r="242" spans="1:36" ht="49.5" x14ac:dyDescent="0.25">
      <c r="A242" s="188">
        <v>103</v>
      </c>
      <c r="B242" s="237" t="s">
        <v>1362</v>
      </c>
      <c r="C242" s="230" t="s">
        <v>1361</v>
      </c>
      <c r="D242" s="182"/>
      <c r="E242" s="230" t="s">
        <v>290</v>
      </c>
      <c r="F242" s="230"/>
      <c r="G242" s="231">
        <v>8510</v>
      </c>
      <c r="H242" s="396">
        <f t="shared" si="58"/>
        <v>8510</v>
      </c>
      <c r="I242" s="200"/>
      <c r="J242" s="200"/>
      <c r="K242" s="200"/>
      <c r="L242" s="200"/>
      <c r="M242" s="374"/>
      <c r="N242" s="385"/>
      <c r="O242" s="345">
        <v>5200</v>
      </c>
      <c r="P242" s="345">
        <f t="shared" si="64"/>
        <v>5200</v>
      </c>
      <c r="Q242" s="177">
        <f t="shared" si="67"/>
        <v>5200</v>
      </c>
      <c r="R242" s="177">
        <f t="shared" si="67"/>
        <v>5200</v>
      </c>
      <c r="S242" s="176">
        <f t="shared" si="63"/>
        <v>5200</v>
      </c>
      <c r="T242" s="176"/>
      <c r="U242" s="478">
        <v>5200</v>
      </c>
      <c r="V242" s="478">
        <v>5200</v>
      </c>
      <c r="W242" s="200"/>
      <c r="X242" s="200"/>
      <c r="Y242" s="200"/>
      <c r="Z242" s="200"/>
      <c r="AA242" s="200"/>
      <c r="AB242" s="200"/>
      <c r="AC242" s="200"/>
      <c r="AD242" s="200"/>
      <c r="AE242" s="200"/>
      <c r="AF242" s="200"/>
      <c r="AG242" s="200"/>
      <c r="AH242" s="200"/>
      <c r="AI242" s="339" t="s">
        <v>84</v>
      </c>
      <c r="AJ242" s="173">
        <f t="shared" si="66"/>
        <v>1</v>
      </c>
    </row>
    <row r="243" spans="1:36" ht="49.5" x14ac:dyDescent="0.25">
      <c r="A243" s="188">
        <v>104</v>
      </c>
      <c r="B243" s="237" t="s">
        <v>1360</v>
      </c>
      <c r="C243" s="230" t="s">
        <v>1359</v>
      </c>
      <c r="D243" s="182"/>
      <c r="E243" s="230" t="s">
        <v>1354</v>
      </c>
      <c r="F243" s="230"/>
      <c r="G243" s="231">
        <v>35000</v>
      </c>
      <c r="H243" s="396">
        <f t="shared" si="58"/>
        <v>35000</v>
      </c>
      <c r="I243" s="200"/>
      <c r="J243" s="200"/>
      <c r="K243" s="200"/>
      <c r="L243" s="200"/>
      <c r="M243" s="374"/>
      <c r="N243" s="385"/>
      <c r="O243" s="397">
        <v>13130</v>
      </c>
      <c r="P243" s="397">
        <f t="shared" si="64"/>
        <v>13130</v>
      </c>
      <c r="Q243" s="177">
        <f t="shared" si="67"/>
        <v>13130</v>
      </c>
      <c r="R243" s="177">
        <f t="shared" si="67"/>
        <v>13130</v>
      </c>
      <c r="S243" s="176">
        <f t="shared" si="63"/>
        <v>13130</v>
      </c>
      <c r="T243" s="176"/>
      <c r="U243" s="480">
        <v>13130</v>
      </c>
      <c r="V243" s="480">
        <v>13130</v>
      </c>
      <c r="W243" s="200"/>
      <c r="X243" s="200"/>
      <c r="Y243" s="200"/>
      <c r="Z243" s="200"/>
      <c r="AA243" s="200"/>
      <c r="AB243" s="200"/>
      <c r="AC243" s="200"/>
      <c r="AD243" s="200"/>
      <c r="AE243" s="200"/>
      <c r="AF243" s="200"/>
      <c r="AG243" s="200"/>
      <c r="AH243" s="200"/>
      <c r="AI243" s="339" t="s">
        <v>84</v>
      </c>
      <c r="AJ243" s="173">
        <f t="shared" si="66"/>
        <v>1</v>
      </c>
    </row>
    <row r="244" spans="1:36" ht="51" customHeight="1" x14ac:dyDescent="0.25">
      <c r="A244" s="188">
        <v>105</v>
      </c>
      <c r="B244" s="237" t="s">
        <v>1358</v>
      </c>
      <c r="C244" s="230" t="s">
        <v>1357</v>
      </c>
      <c r="D244" s="182"/>
      <c r="E244" s="230" t="s">
        <v>1354</v>
      </c>
      <c r="F244" s="230"/>
      <c r="G244" s="231">
        <v>736</v>
      </c>
      <c r="H244" s="396">
        <f t="shared" si="58"/>
        <v>736</v>
      </c>
      <c r="I244" s="200"/>
      <c r="J244" s="200"/>
      <c r="K244" s="200"/>
      <c r="L244" s="200"/>
      <c r="M244" s="374"/>
      <c r="N244" s="385"/>
      <c r="O244" s="345">
        <v>380</v>
      </c>
      <c r="P244" s="345">
        <f t="shared" si="64"/>
        <v>380</v>
      </c>
      <c r="Q244" s="177">
        <f t="shared" si="67"/>
        <v>380</v>
      </c>
      <c r="R244" s="177">
        <f t="shared" si="67"/>
        <v>380</v>
      </c>
      <c r="S244" s="176">
        <f t="shared" si="63"/>
        <v>380</v>
      </c>
      <c r="T244" s="176"/>
      <c r="U244" s="478">
        <v>380</v>
      </c>
      <c r="V244" s="478">
        <v>380</v>
      </c>
      <c r="W244" s="200"/>
      <c r="X244" s="200"/>
      <c r="Y244" s="200"/>
      <c r="Z244" s="200"/>
      <c r="AA244" s="200"/>
      <c r="AB244" s="200"/>
      <c r="AC244" s="200"/>
      <c r="AD244" s="200"/>
      <c r="AE244" s="200"/>
      <c r="AF244" s="200"/>
      <c r="AG244" s="200"/>
      <c r="AH244" s="200"/>
      <c r="AI244" s="339" t="s">
        <v>84</v>
      </c>
      <c r="AJ244" s="173">
        <f t="shared" si="66"/>
        <v>1</v>
      </c>
    </row>
    <row r="245" spans="1:36" ht="33" x14ac:dyDescent="0.25">
      <c r="A245" s="188">
        <v>106</v>
      </c>
      <c r="B245" s="237" t="s">
        <v>1356</v>
      </c>
      <c r="C245" s="230" t="s">
        <v>1355</v>
      </c>
      <c r="D245" s="182"/>
      <c r="E245" s="230" t="s">
        <v>1354</v>
      </c>
      <c r="F245" s="230"/>
      <c r="G245" s="231">
        <v>1783</v>
      </c>
      <c r="H245" s="396">
        <f t="shared" ref="H245" si="68">G245</f>
        <v>1783</v>
      </c>
      <c r="I245" s="200"/>
      <c r="J245" s="200"/>
      <c r="K245" s="200"/>
      <c r="L245" s="200"/>
      <c r="M245" s="374"/>
      <c r="N245" s="385"/>
      <c r="O245" s="345">
        <f>P245</f>
        <v>760</v>
      </c>
      <c r="P245" s="345">
        <v>760</v>
      </c>
      <c r="Q245" s="177">
        <f t="shared" si="67"/>
        <v>760</v>
      </c>
      <c r="R245" s="177">
        <f t="shared" si="67"/>
        <v>760</v>
      </c>
      <c r="S245" s="176">
        <f t="shared" si="63"/>
        <v>760</v>
      </c>
      <c r="T245" s="176"/>
      <c r="U245" s="478">
        <v>760</v>
      </c>
      <c r="V245" s="478">
        <v>760</v>
      </c>
      <c r="W245" s="200"/>
      <c r="X245" s="200"/>
      <c r="Y245" s="200"/>
      <c r="Z245" s="200"/>
      <c r="AA245" s="200"/>
      <c r="AB245" s="200"/>
      <c r="AC245" s="200"/>
      <c r="AD245" s="200"/>
      <c r="AE245" s="200"/>
      <c r="AF245" s="200"/>
      <c r="AG245" s="200"/>
      <c r="AH245" s="200"/>
      <c r="AI245" s="339" t="s">
        <v>84</v>
      </c>
      <c r="AJ245" s="173">
        <f t="shared" si="66"/>
        <v>1</v>
      </c>
    </row>
    <row r="246" spans="1:36" s="203" customFormat="1" ht="16.5" x14ac:dyDescent="0.25">
      <c r="A246" s="208" t="s">
        <v>399</v>
      </c>
      <c r="B246" s="395" t="s">
        <v>1086</v>
      </c>
      <c r="C246" s="394"/>
      <c r="D246" s="394"/>
      <c r="E246" s="394"/>
      <c r="F246" s="393"/>
      <c r="G246" s="391">
        <f>G247</f>
        <v>101115</v>
      </c>
      <c r="H246" s="391">
        <f>H247</f>
        <v>101115</v>
      </c>
      <c r="I246" s="392"/>
      <c r="J246" s="392"/>
      <c r="K246" s="392"/>
      <c r="L246" s="392"/>
      <c r="M246" s="391">
        <f t="shared" ref="M246:AB247" si="69">M247</f>
        <v>60000</v>
      </c>
      <c r="N246" s="391">
        <f t="shared" si="69"/>
        <v>60000</v>
      </c>
      <c r="O246" s="391">
        <f t="shared" si="69"/>
        <v>85000</v>
      </c>
      <c r="P246" s="391">
        <f t="shared" si="69"/>
        <v>85000</v>
      </c>
      <c r="Q246" s="391">
        <f t="shared" si="69"/>
        <v>25000</v>
      </c>
      <c r="R246" s="391">
        <f t="shared" si="69"/>
        <v>25000</v>
      </c>
      <c r="S246" s="391">
        <f t="shared" si="69"/>
        <v>50180</v>
      </c>
      <c r="T246" s="391">
        <f t="shared" si="69"/>
        <v>25180</v>
      </c>
      <c r="U246" s="391">
        <f t="shared" si="69"/>
        <v>85000</v>
      </c>
      <c r="V246" s="391">
        <f t="shared" si="69"/>
        <v>85000</v>
      </c>
      <c r="W246" s="391">
        <f t="shared" si="69"/>
        <v>0</v>
      </c>
      <c r="X246" s="391">
        <f t="shared" si="69"/>
        <v>0</v>
      </c>
      <c r="Y246" s="391">
        <f t="shared" si="69"/>
        <v>21000</v>
      </c>
      <c r="Z246" s="391">
        <f t="shared" si="69"/>
        <v>21000</v>
      </c>
      <c r="AA246" s="390">
        <f t="shared" si="69"/>
        <v>0</v>
      </c>
      <c r="AB246" s="390">
        <f t="shared" si="69"/>
        <v>0</v>
      </c>
      <c r="AC246" s="390">
        <f t="shared" ref="AA246:AH247" si="70">AC247</f>
        <v>0</v>
      </c>
      <c r="AD246" s="390">
        <f t="shared" si="70"/>
        <v>0</v>
      </c>
      <c r="AE246" s="390">
        <f t="shared" si="70"/>
        <v>0</v>
      </c>
      <c r="AF246" s="390">
        <f t="shared" si="70"/>
        <v>0</v>
      </c>
      <c r="AG246" s="390">
        <f t="shared" si="70"/>
        <v>0</v>
      </c>
      <c r="AH246" s="390">
        <f t="shared" si="70"/>
        <v>0</v>
      </c>
      <c r="AI246" s="389"/>
      <c r="AJ246" s="173">
        <f t="shared" si="66"/>
        <v>1</v>
      </c>
    </row>
    <row r="247" spans="1:36" ht="34.5" x14ac:dyDescent="0.25">
      <c r="A247" s="195" t="s">
        <v>85</v>
      </c>
      <c r="B247" s="193" t="s">
        <v>86</v>
      </c>
      <c r="C247" s="192"/>
      <c r="D247" s="192"/>
      <c r="E247" s="192"/>
      <c r="F247" s="192"/>
      <c r="G247" s="191">
        <f>G248</f>
        <v>101115</v>
      </c>
      <c r="H247" s="191">
        <f>H248</f>
        <v>101115</v>
      </c>
      <c r="I247" s="191"/>
      <c r="J247" s="191"/>
      <c r="K247" s="191"/>
      <c r="L247" s="191"/>
      <c r="M247" s="191">
        <f t="shared" si="69"/>
        <v>60000</v>
      </c>
      <c r="N247" s="191">
        <f t="shared" si="69"/>
        <v>60000</v>
      </c>
      <c r="O247" s="191">
        <f t="shared" si="69"/>
        <v>85000</v>
      </c>
      <c r="P247" s="191">
        <f t="shared" si="69"/>
        <v>85000</v>
      </c>
      <c r="Q247" s="191">
        <f t="shared" si="69"/>
        <v>25000</v>
      </c>
      <c r="R247" s="191">
        <f t="shared" si="69"/>
        <v>25000</v>
      </c>
      <c r="S247" s="191">
        <f t="shared" si="69"/>
        <v>50180</v>
      </c>
      <c r="T247" s="191">
        <f t="shared" si="69"/>
        <v>25180</v>
      </c>
      <c r="U247" s="191">
        <f t="shared" si="69"/>
        <v>85000</v>
      </c>
      <c r="V247" s="191">
        <f t="shared" si="69"/>
        <v>85000</v>
      </c>
      <c r="W247" s="191">
        <f t="shared" si="69"/>
        <v>0</v>
      </c>
      <c r="X247" s="191">
        <f t="shared" si="69"/>
        <v>0</v>
      </c>
      <c r="Y247" s="191">
        <f t="shared" si="69"/>
        <v>21000</v>
      </c>
      <c r="Z247" s="191">
        <f t="shared" si="69"/>
        <v>21000</v>
      </c>
      <c r="AA247" s="190">
        <f t="shared" si="70"/>
        <v>0</v>
      </c>
      <c r="AB247" s="190">
        <f t="shared" si="70"/>
        <v>0</v>
      </c>
      <c r="AC247" s="190">
        <f t="shared" si="70"/>
        <v>0</v>
      </c>
      <c r="AD247" s="190">
        <f t="shared" si="70"/>
        <v>0</v>
      </c>
      <c r="AE247" s="190">
        <f t="shared" si="70"/>
        <v>0</v>
      </c>
      <c r="AF247" s="190">
        <f t="shared" si="70"/>
        <v>0</v>
      </c>
      <c r="AG247" s="190">
        <f t="shared" si="70"/>
        <v>0</v>
      </c>
      <c r="AH247" s="190">
        <f t="shared" si="70"/>
        <v>0</v>
      </c>
      <c r="AI247" s="189"/>
      <c r="AJ247" s="173">
        <f t="shared" si="66"/>
        <v>1</v>
      </c>
    </row>
    <row r="248" spans="1:36" ht="51.75" x14ac:dyDescent="0.25">
      <c r="A248" s="194" t="s">
        <v>87</v>
      </c>
      <c r="B248" s="193" t="s">
        <v>88</v>
      </c>
      <c r="C248" s="192"/>
      <c r="D248" s="192"/>
      <c r="E248" s="192"/>
      <c r="F248" s="192"/>
      <c r="G248" s="191">
        <f>SUM(G252:G256)+SUM(G258:G278)</f>
        <v>101115</v>
      </c>
      <c r="H248" s="191">
        <f>SUM(H252:H256)+SUM(H258:H278)</f>
        <v>101115</v>
      </c>
      <c r="I248" s="191"/>
      <c r="J248" s="191"/>
      <c r="K248" s="191"/>
      <c r="L248" s="191"/>
      <c r="M248" s="191">
        <f>SUM(M249:M301)</f>
        <v>60000</v>
      </c>
      <c r="N248" s="191">
        <f t="shared" ref="N248:Z248" si="71">SUM(N249:N301)</f>
        <v>60000</v>
      </c>
      <c r="O248" s="191">
        <f t="shared" si="71"/>
        <v>85000</v>
      </c>
      <c r="P248" s="191">
        <f t="shared" si="71"/>
        <v>85000</v>
      </c>
      <c r="Q248" s="191">
        <f t="shared" si="71"/>
        <v>25000</v>
      </c>
      <c r="R248" s="191">
        <f t="shared" si="71"/>
        <v>25000</v>
      </c>
      <c r="S248" s="191">
        <f t="shared" si="71"/>
        <v>50180</v>
      </c>
      <c r="T248" s="191">
        <f t="shared" si="71"/>
        <v>25180</v>
      </c>
      <c r="U248" s="191">
        <f t="shared" si="71"/>
        <v>85000</v>
      </c>
      <c r="V248" s="191">
        <f t="shared" si="71"/>
        <v>85000</v>
      </c>
      <c r="W248" s="191">
        <f t="shared" si="71"/>
        <v>0</v>
      </c>
      <c r="X248" s="191">
        <f t="shared" si="71"/>
        <v>0</v>
      </c>
      <c r="Y248" s="191">
        <f t="shared" si="71"/>
        <v>21000</v>
      </c>
      <c r="Z248" s="191">
        <f t="shared" si="71"/>
        <v>21000</v>
      </c>
      <c r="AA248" s="190">
        <f t="shared" ref="AA248:AH248" si="72">SUM(AA249:AA278)</f>
        <v>0</v>
      </c>
      <c r="AB248" s="190">
        <f t="shared" si="72"/>
        <v>0</v>
      </c>
      <c r="AC248" s="190">
        <f t="shared" si="72"/>
        <v>0</v>
      </c>
      <c r="AD248" s="190">
        <f t="shared" si="72"/>
        <v>0</v>
      </c>
      <c r="AE248" s="190">
        <f t="shared" si="72"/>
        <v>0</v>
      </c>
      <c r="AF248" s="190">
        <f t="shared" si="72"/>
        <v>0</v>
      </c>
      <c r="AG248" s="190">
        <f t="shared" si="72"/>
        <v>0</v>
      </c>
      <c r="AH248" s="190">
        <f t="shared" si="72"/>
        <v>0</v>
      </c>
      <c r="AI248" s="189"/>
      <c r="AJ248" s="173">
        <f t="shared" si="66"/>
        <v>1</v>
      </c>
    </row>
    <row r="249" spans="1:36" ht="49.5" x14ac:dyDescent="0.25">
      <c r="A249" s="380" t="s">
        <v>1142</v>
      </c>
      <c r="B249" s="231" t="s">
        <v>1067</v>
      </c>
      <c r="C249" s="230" t="s">
        <v>1066</v>
      </c>
      <c r="D249" s="230" t="s">
        <v>1065</v>
      </c>
      <c r="E249" s="230" t="s">
        <v>109</v>
      </c>
      <c r="F249" s="226" t="s">
        <v>1064</v>
      </c>
      <c r="G249" s="212">
        <f t="shared" ref="G249:G255" si="73">H249</f>
        <v>29974</v>
      </c>
      <c r="H249" s="229">
        <v>29974</v>
      </c>
      <c r="I249" s="191"/>
      <c r="J249" s="191"/>
      <c r="K249" s="191"/>
      <c r="L249" s="191"/>
      <c r="M249" s="374">
        <f t="shared" ref="M249:M268" si="74">N249</f>
        <v>15000</v>
      </c>
      <c r="N249" s="212">
        <v>15000</v>
      </c>
      <c r="O249" s="345">
        <v>15000</v>
      </c>
      <c r="P249" s="345">
        <v>15000</v>
      </c>
      <c r="Q249" s="177">
        <f t="shared" ref="Q249:R278" si="75">O249-M249</f>
        <v>0</v>
      </c>
      <c r="R249" s="177">
        <f t="shared" si="75"/>
        <v>0</v>
      </c>
      <c r="S249" s="176"/>
      <c r="T249" s="176"/>
      <c r="U249" s="478">
        <v>15000</v>
      </c>
      <c r="V249" s="478">
        <v>15000</v>
      </c>
      <c r="W249" s="217"/>
      <c r="X249" s="217"/>
      <c r="Y249" s="217">
        <f t="shared" ref="Y249:Y255" si="76">Z249</f>
        <v>5000</v>
      </c>
      <c r="Z249" s="217">
        <v>5000</v>
      </c>
      <c r="AA249" s="217"/>
      <c r="AB249" s="217"/>
      <c r="AC249" s="217"/>
      <c r="AD249" s="217"/>
      <c r="AE249" s="217"/>
      <c r="AF249" s="217"/>
      <c r="AG249" s="217"/>
      <c r="AH249" s="217"/>
      <c r="AI249" s="185" t="s">
        <v>1353</v>
      </c>
      <c r="AJ249" s="173">
        <f t="shared" si="66"/>
        <v>0</v>
      </c>
    </row>
    <row r="250" spans="1:36" ht="49.5" x14ac:dyDescent="0.25">
      <c r="A250" s="380" t="s">
        <v>56</v>
      </c>
      <c r="B250" s="386" t="s">
        <v>1352</v>
      </c>
      <c r="C250" s="230" t="s">
        <v>1066</v>
      </c>
      <c r="D250" s="232" t="s">
        <v>1351</v>
      </c>
      <c r="E250" s="380" t="s">
        <v>938</v>
      </c>
      <c r="F250" s="230" t="s">
        <v>1350</v>
      </c>
      <c r="G250" s="387">
        <f t="shared" si="73"/>
        <v>674</v>
      </c>
      <c r="H250" s="229">
        <v>674</v>
      </c>
      <c r="I250" s="200"/>
      <c r="J250" s="200"/>
      <c r="K250" s="200"/>
      <c r="L250" s="200"/>
      <c r="M250" s="374">
        <f t="shared" si="74"/>
        <v>640</v>
      </c>
      <c r="N250" s="385">
        <v>640</v>
      </c>
      <c r="O250" s="345">
        <v>640</v>
      </c>
      <c r="P250" s="345">
        <v>640</v>
      </c>
      <c r="Q250" s="177">
        <f t="shared" si="75"/>
        <v>0</v>
      </c>
      <c r="R250" s="177">
        <f t="shared" si="75"/>
        <v>0</v>
      </c>
      <c r="S250" s="176"/>
      <c r="T250" s="176">
        <f>N250-V250</f>
        <v>110</v>
      </c>
      <c r="U250" s="478">
        <f>V250</f>
        <v>530</v>
      </c>
      <c r="V250" s="478">
        <v>530</v>
      </c>
      <c r="W250" s="217"/>
      <c r="X250" s="217"/>
      <c r="Y250" s="217">
        <f t="shared" si="76"/>
        <v>510</v>
      </c>
      <c r="Z250" s="217">
        <v>510</v>
      </c>
      <c r="AA250" s="217"/>
      <c r="AB250" s="217"/>
      <c r="AC250" s="217"/>
      <c r="AD250" s="217"/>
      <c r="AE250" s="217"/>
      <c r="AF250" s="217"/>
      <c r="AG250" s="217"/>
      <c r="AH250" s="217"/>
      <c r="AI250" s="264"/>
      <c r="AJ250" s="173">
        <f t="shared" si="66"/>
        <v>1</v>
      </c>
    </row>
    <row r="251" spans="1:36" ht="66" x14ac:dyDescent="0.25">
      <c r="A251" s="380" t="s">
        <v>1196</v>
      </c>
      <c r="B251" s="386" t="s">
        <v>1349</v>
      </c>
      <c r="C251" s="230" t="s">
        <v>1066</v>
      </c>
      <c r="D251" s="232" t="s">
        <v>1348</v>
      </c>
      <c r="E251" s="380" t="s">
        <v>938</v>
      </c>
      <c r="F251" s="230" t="s">
        <v>1347</v>
      </c>
      <c r="G251" s="387">
        <f t="shared" si="73"/>
        <v>2240</v>
      </c>
      <c r="H251" s="229">
        <v>2240</v>
      </c>
      <c r="I251" s="191"/>
      <c r="J251" s="191"/>
      <c r="K251" s="191"/>
      <c r="L251" s="191"/>
      <c r="M251" s="374">
        <f t="shared" si="74"/>
        <v>2060</v>
      </c>
      <c r="N251" s="385">
        <v>2060</v>
      </c>
      <c r="O251" s="345">
        <v>2060</v>
      </c>
      <c r="P251" s="345">
        <v>2060</v>
      </c>
      <c r="Q251" s="177">
        <f t="shared" si="75"/>
        <v>0</v>
      </c>
      <c r="R251" s="177">
        <f t="shared" si="75"/>
        <v>0</v>
      </c>
      <c r="S251" s="176"/>
      <c r="T251" s="176">
        <f t="shared" ref="T251:T253" si="77">N251-V251</f>
        <v>150</v>
      </c>
      <c r="U251" s="478">
        <f t="shared" ref="U251:U301" si="78">V251</f>
        <v>1910</v>
      </c>
      <c r="V251" s="478">
        <v>1910</v>
      </c>
      <c r="W251" s="385"/>
      <c r="X251" s="385"/>
      <c r="Y251" s="217">
        <f t="shared" si="76"/>
        <v>1700</v>
      </c>
      <c r="Z251" s="385">
        <v>1700</v>
      </c>
      <c r="AA251" s="385"/>
      <c r="AB251" s="385"/>
      <c r="AC251" s="385"/>
      <c r="AD251" s="385"/>
      <c r="AE251" s="385"/>
      <c r="AF251" s="385"/>
      <c r="AG251" s="385"/>
      <c r="AH251" s="385"/>
      <c r="AI251" s="189"/>
      <c r="AJ251" s="173">
        <f t="shared" si="66"/>
        <v>1</v>
      </c>
    </row>
    <row r="252" spans="1:36" ht="82.5" x14ac:dyDescent="0.25">
      <c r="A252" s="380" t="s">
        <v>1254</v>
      </c>
      <c r="B252" s="386" t="s">
        <v>1346</v>
      </c>
      <c r="C252" s="230" t="s">
        <v>1066</v>
      </c>
      <c r="D252" s="232" t="s">
        <v>1345</v>
      </c>
      <c r="E252" s="380" t="s">
        <v>938</v>
      </c>
      <c r="F252" s="230" t="s">
        <v>1344</v>
      </c>
      <c r="G252" s="387">
        <f t="shared" si="73"/>
        <v>3211</v>
      </c>
      <c r="H252" s="229">
        <v>3211</v>
      </c>
      <c r="I252" s="177"/>
      <c r="J252" s="388"/>
      <c r="K252" s="177"/>
      <c r="L252" s="177"/>
      <c r="M252" s="374">
        <f t="shared" si="74"/>
        <v>2960</v>
      </c>
      <c r="N252" s="385">
        <v>2960</v>
      </c>
      <c r="O252" s="340">
        <f>P252</f>
        <v>3060</v>
      </c>
      <c r="P252" s="340">
        <v>3060</v>
      </c>
      <c r="Q252" s="177">
        <f t="shared" si="75"/>
        <v>100</v>
      </c>
      <c r="R252" s="177">
        <f t="shared" si="75"/>
        <v>100</v>
      </c>
      <c r="S252" s="176"/>
      <c r="T252" s="176">
        <f t="shared" si="77"/>
        <v>220</v>
      </c>
      <c r="U252" s="478">
        <f t="shared" si="78"/>
        <v>2740</v>
      </c>
      <c r="V252" s="478">
        <v>2740</v>
      </c>
      <c r="W252" s="177"/>
      <c r="X252" s="177"/>
      <c r="Y252" s="217">
        <f t="shared" si="76"/>
        <v>2500</v>
      </c>
      <c r="Z252" s="177">
        <v>2500</v>
      </c>
      <c r="AA252" s="177"/>
      <c r="AB252" s="177"/>
      <c r="AC252" s="177"/>
      <c r="AD252" s="177"/>
      <c r="AE252" s="177"/>
      <c r="AF252" s="177"/>
      <c r="AG252" s="177"/>
      <c r="AH252" s="177"/>
      <c r="AI252" s="198"/>
      <c r="AJ252" s="173">
        <f t="shared" si="66"/>
        <v>1</v>
      </c>
    </row>
    <row r="253" spans="1:36" ht="49.5" x14ac:dyDescent="0.25">
      <c r="A253" s="380" t="s">
        <v>414</v>
      </c>
      <c r="B253" s="386" t="s">
        <v>1343</v>
      </c>
      <c r="C253" s="230" t="s">
        <v>1066</v>
      </c>
      <c r="D253" s="232" t="s">
        <v>1342</v>
      </c>
      <c r="E253" s="380" t="s">
        <v>938</v>
      </c>
      <c r="F253" s="230" t="s">
        <v>1341</v>
      </c>
      <c r="G253" s="387">
        <f t="shared" si="73"/>
        <v>986</v>
      </c>
      <c r="H253" s="229">
        <v>986</v>
      </c>
      <c r="I253" s="177"/>
      <c r="J253" s="388"/>
      <c r="K253" s="177"/>
      <c r="L253" s="177"/>
      <c r="M253" s="374">
        <f t="shared" si="74"/>
        <v>990</v>
      </c>
      <c r="N253" s="385">
        <v>990</v>
      </c>
      <c r="O253" s="340">
        <f>P253</f>
        <v>900</v>
      </c>
      <c r="P253" s="340">
        <v>900</v>
      </c>
      <c r="Q253" s="177">
        <f t="shared" si="75"/>
        <v>-90</v>
      </c>
      <c r="R253" s="177">
        <f t="shared" si="75"/>
        <v>-90</v>
      </c>
      <c r="S253" s="176"/>
      <c r="T253" s="176">
        <f t="shared" si="77"/>
        <v>160</v>
      </c>
      <c r="U253" s="478">
        <f t="shared" si="78"/>
        <v>830</v>
      </c>
      <c r="V253" s="478">
        <v>830</v>
      </c>
      <c r="W253" s="177"/>
      <c r="X253" s="177"/>
      <c r="Y253" s="217">
        <f t="shared" si="76"/>
        <v>800</v>
      </c>
      <c r="Z253" s="177">
        <v>800</v>
      </c>
      <c r="AA253" s="177"/>
      <c r="AB253" s="177"/>
      <c r="AC253" s="177"/>
      <c r="AD253" s="177"/>
      <c r="AE253" s="177"/>
      <c r="AF253" s="177"/>
      <c r="AG253" s="177"/>
      <c r="AH253" s="177"/>
      <c r="AI253" s="198"/>
      <c r="AJ253" s="173">
        <f t="shared" si="66"/>
        <v>1</v>
      </c>
    </row>
    <row r="254" spans="1:36" ht="85.5" x14ac:dyDescent="0.25">
      <c r="A254" s="380" t="s">
        <v>419</v>
      </c>
      <c r="B254" s="386" t="s">
        <v>1340</v>
      </c>
      <c r="C254" s="230" t="s">
        <v>1066</v>
      </c>
      <c r="D254" s="232" t="s">
        <v>1339</v>
      </c>
      <c r="E254" s="380" t="s">
        <v>938</v>
      </c>
      <c r="F254" s="230" t="s">
        <v>1338</v>
      </c>
      <c r="G254" s="387">
        <f t="shared" si="73"/>
        <v>549</v>
      </c>
      <c r="H254" s="229">
        <v>549</v>
      </c>
      <c r="I254" s="191"/>
      <c r="J254" s="191"/>
      <c r="K254" s="191"/>
      <c r="L254" s="191"/>
      <c r="M254" s="374">
        <f t="shared" si="74"/>
        <v>640</v>
      </c>
      <c r="N254" s="385">
        <v>640</v>
      </c>
      <c r="O254" s="345">
        <f>P254</f>
        <v>540</v>
      </c>
      <c r="P254" s="345">
        <v>540</v>
      </c>
      <c r="Q254" s="177">
        <f t="shared" si="75"/>
        <v>-100</v>
      </c>
      <c r="R254" s="177">
        <f t="shared" si="75"/>
        <v>-100</v>
      </c>
      <c r="S254" s="176"/>
      <c r="T254" s="176">
        <f>N254-V254</f>
        <v>150</v>
      </c>
      <c r="U254" s="478">
        <f t="shared" si="78"/>
        <v>490</v>
      </c>
      <c r="V254" s="478">
        <v>490</v>
      </c>
      <c r="W254" s="177"/>
      <c r="X254" s="177"/>
      <c r="Y254" s="217">
        <f t="shared" si="76"/>
        <v>490</v>
      </c>
      <c r="Z254" s="177">
        <v>490</v>
      </c>
      <c r="AA254" s="177"/>
      <c r="AB254" s="177"/>
      <c r="AC254" s="177"/>
      <c r="AD254" s="177"/>
      <c r="AE254" s="177"/>
      <c r="AF254" s="177"/>
      <c r="AG254" s="177"/>
      <c r="AH254" s="177"/>
      <c r="AI254" s="189"/>
      <c r="AJ254" s="173">
        <f t="shared" si="66"/>
        <v>1</v>
      </c>
    </row>
    <row r="255" spans="1:36" ht="69" x14ac:dyDescent="0.25">
      <c r="A255" s="380" t="s">
        <v>423</v>
      </c>
      <c r="B255" s="386" t="s">
        <v>1337</v>
      </c>
      <c r="C255" s="230" t="s">
        <v>1066</v>
      </c>
      <c r="D255" s="232" t="s">
        <v>1336</v>
      </c>
      <c r="E255" s="230" t="s">
        <v>116</v>
      </c>
      <c r="F255" s="230" t="s">
        <v>1335</v>
      </c>
      <c r="G255" s="229">
        <f t="shared" si="73"/>
        <v>13812</v>
      </c>
      <c r="H255" s="229">
        <v>13812</v>
      </c>
      <c r="I255" s="265"/>
      <c r="J255" s="265"/>
      <c r="K255" s="265"/>
      <c r="L255" s="265"/>
      <c r="M255" s="374">
        <f t="shared" si="74"/>
        <v>13800</v>
      </c>
      <c r="N255" s="385">
        <v>13800</v>
      </c>
      <c r="O255" s="345">
        <f>P255</f>
        <v>13000</v>
      </c>
      <c r="P255" s="345">
        <v>13000</v>
      </c>
      <c r="Q255" s="177">
        <f t="shared" si="75"/>
        <v>-800</v>
      </c>
      <c r="R255" s="177">
        <f t="shared" si="75"/>
        <v>-800</v>
      </c>
      <c r="S255" s="176"/>
      <c r="T255" s="176">
        <f>N255-V255</f>
        <v>1480</v>
      </c>
      <c r="U255" s="478">
        <f t="shared" si="78"/>
        <v>12320</v>
      </c>
      <c r="V255" s="478">
        <v>12320</v>
      </c>
      <c r="W255" s="177"/>
      <c r="X255" s="177"/>
      <c r="Y255" s="217">
        <f t="shared" si="76"/>
        <v>10000</v>
      </c>
      <c r="Z255" s="177">
        <v>10000</v>
      </c>
      <c r="AA255" s="177"/>
      <c r="AB255" s="177"/>
      <c r="AC255" s="177"/>
      <c r="AD255" s="177"/>
      <c r="AE255" s="177"/>
      <c r="AF255" s="177"/>
      <c r="AG255" s="177"/>
      <c r="AH255" s="177"/>
      <c r="AI255" s="384"/>
      <c r="AJ255" s="173">
        <f t="shared" si="66"/>
        <v>1</v>
      </c>
    </row>
    <row r="256" spans="1:36" ht="49.5" x14ac:dyDescent="0.25">
      <c r="A256" s="380" t="s">
        <v>427</v>
      </c>
      <c r="B256" s="379" t="s">
        <v>1334</v>
      </c>
      <c r="C256" s="230" t="s">
        <v>1066</v>
      </c>
      <c r="D256" s="382" t="s">
        <v>1333</v>
      </c>
      <c r="E256" s="230" t="s">
        <v>116</v>
      </c>
      <c r="F256" s="230"/>
      <c r="G256" s="377">
        <v>8000</v>
      </c>
      <c r="H256" s="229">
        <f t="shared" ref="H256:H268" si="79">G256</f>
        <v>8000</v>
      </c>
      <c r="I256" s="177"/>
      <c r="J256" s="177"/>
      <c r="K256" s="177"/>
      <c r="L256" s="177"/>
      <c r="M256" s="374">
        <f t="shared" si="74"/>
        <v>8000</v>
      </c>
      <c r="N256" s="377">
        <v>8000</v>
      </c>
      <c r="O256" s="340"/>
      <c r="P256" s="383"/>
      <c r="Q256" s="177">
        <f t="shared" si="75"/>
        <v>-8000</v>
      </c>
      <c r="R256" s="177">
        <f t="shared" si="75"/>
        <v>-8000</v>
      </c>
      <c r="S256" s="176"/>
      <c r="T256" s="176">
        <v>8000</v>
      </c>
      <c r="U256" s="478"/>
      <c r="V256" s="478"/>
      <c r="W256" s="177"/>
      <c r="X256" s="177"/>
      <c r="Y256" s="177"/>
      <c r="Z256" s="177"/>
      <c r="AA256" s="177"/>
      <c r="AB256" s="177"/>
      <c r="AC256" s="177"/>
      <c r="AD256" s="177"/>
      <c r="AE256" s="177"/>
      <c r="AF256" s="177"/>
      <c r="AG256" s="177"/>
      <c r="AH256" s="177"/>
      <c r="AI256" s="198"/>
      <c r="AJ256" s="173">
        <f t="shared" si="66"/>
        <v>1</v>
      </c>
    </row>
    <row r="257" spans="1:36" ht="33" x14ac:dyDescent="0.25">
      <c r="A257" s="380" t="s">
        <v>431</v>
      </c>
      <c r="B257" s="379" t="s">
        <v>1332</v>
      </c>
      <c r="C257" s="230" t="s">
        <v>1066</v>
      </c>
      <c r="D257" s="382" t="s">
        <v>1331</v>
      </c>
      <c r="E257" s="230" t="s">
        <v>116</v>
      </c>
      <c r="F257" s="230"/>
      <c r="G257" s="377">
        <v>3000</v>
      </c>
      <c r="H257" s="229">
        <f t="shared" si="79"/>
        <v>3000</v>
      </c>
      <c r="I257" s="177"/>
      <c r="J257" s="177"/>
      <c r="K257" s="177"/>
      <c r="L257" s="177"/>
      <c r="M257" s="374">
        <f t="shared" si="74"/>
        <v>3000</v>
      </c>
      <c r="N257" s="377">
        <v>3000</v>
      </c>
      <c r="O257" s="340">
        <v>3000</v>
      </c>
      <c r="P257" s="383">
        <v>3000</v>
      </c>
      <c r="Q257" s="177">
        <f t="shared" si="75"/>
        <v>0</v>
      </c>
      <c r="R257" s="177">
        <f t="shared" si="75"/>
        <v>0</v>
      </c>
      <c r="S257" s="176"/>
      <c r="T257" s="176">
        <f>N257-V257</f>
        <v>3000</v>
      </c>
      <c r="U257" s="478">
        <f t="shared" si="78"/>
        <v>0</v>
      </c>
      <c r="V257" s="478">
        <v>0</v>
      </c>
      <c r="W257" s="177"/>
      <c r="X257" s="177"/>
      <c r="Y257" s="177"/>
      <c r="Z257" s="177"/>
      <c r="AA257" s="177"/>
      <c r="AB257" s="177"/>
      <c r="AC257" s="177"/>
      <c r="AD257" s="177"/>
      <c r="AE257" s="177"/>
      <c r="AF257" s="177"/>
      <c r="AG257" s="177"/>
      <c r="AH257" s="177"/>
      <c r="AI257" s="185" t="s">
        <v>284</v>
      </c>
      <c r="AJ257" s="173">
        <f t="shared" si="66"/>
        <v>1</v>
      </c>
    </row>
    <row r="258" spans="1:36" ht="33" x14ac:dyDescent="0.25">
      <c r="A258" s="380" t="s">
        <v>435</v>
      </c>
      <c r="B258" s="379" t="s">
        <v>1330</v>
      </c>
      <c r="C258" s="230" t="s">
        <v>1066</v>
      </c>
      <c r="D258" s="382" t="s">
        <v>1329</v>
      </c>
      <c r="E258" s="230" t="s">
        <v>116</v>
      </c>
      <c r="F258" s="230"/>
      <c r="G258" s="377">
        <v>1200</v>
      </c>
      <c r="H258" s="229">
        <f t="shared" si="79"/>
        <v>1200</v>
      </c>
      <c r="I258" s="177"/>
      <c r="J258" s="177"/>
      <c r="K258" s="177"/>
      <c r="L258" s="177"/>
      <c r="M258" s="374">
        <f t="shared" si="74"/>
        <v>1200</v>
      </c>
      <c r="N258" s="377">
        <v>1200</v>
      </c>
      <c r="O258" s="340"/>
      <c r="P258" s="383"/>
      <c r="Q258" s="177">
        <f t="shared" si="75"/>
        <v>-1200</v>
      </c>
      <c r="R258" s="177">
        <f t="shared" si="75"/>
        <v>-1200</v>
      </c>
      <c r="S258" s="176"/>
      <c r="T258" s="176">
        <f t="shared" ref="T258:T262" si="80">N258-V258</f>
        <v>1200</v>
      </c>
      <c r="U258" s="478">
        <f t="shared" si="78"/>
        <v>0</v>
      </c>
      <c r="V258" s="478">
        <v>0</v>
      </c>
      <c r="W258" s="177"/>
      <c r="X258" s="177"/>
      <c r="Y258" s="177"/>
      <c r="Z258" s="177"/>
      <c r="AA258" s="177"/>
      <c r="AB258" s="177"/>
      <c r="AC258" s="177"/>
      <c r="AD258" s="177"/>
      <c r="AE258" s="177"/>
      <c r="AF258" s="177"/>
      <c r="AG258" s="177"/>
      <c r="AH258" s="177"/>
      <c r="AI258" s="185" t="s">
        <v>284</v>
      </c>
      <c r="AJ258" s="173">
        <f t="shared" si="66"/>
        <v>1</v>
      </c>
    </row>
    <row r="259" spans="1:36" ht="49.5" x14ac:dyDescent="0.25">
      <c r="A259" s="380" t="s">
        <v>440</v>
      </c>
      <c r="B259" s="379" t="s">
        <v>1328</v>
      </c>
      <c r="C259" s="230" t="s">
        <v>1066</v>
      </c>
      <c r="D259" s="382" t="s">
        <v>1327</v>
      </c>
      <c r="E259" s="230" t="s">
        <v>116</v>
      </c>
      <c r="F259" s="230"/>
      <c r="G259" s="377">
        <v>2000</v>
      </c>
      <c r="H259" s="229">
        <f t="shared" si="79"/>
        <v>2000</v>
      </c>
      <c r="I259" s="177"/>
      <c r="J259" s="177"/>
      <c r="K259" s="177"/>
      <c r="L259" s="177"/>
      <c r="M259" s="374">
        <f t="shared" si="74"/>
        <v>2000</v>
      </c>
      <c r="N259" s="377">
        <v>2000</v>
      </c>
      <c r="O259" s="340"/>
      <c r="P259" s="383"/>
      <c r="Q259" s="177">
        <f t="shared" si="75"/>
        <v>-2000</v>
      </c>
      <c r="R259" s="177">
        <f t="shared" si="75"/>
        <v>-2000</v>
      </c>
      <c r="S259" s="176"/>
      <c r="T259" s="176">
        <f t="shared" si="80"/>
        <v>2000</v>
      </c>
      <c r="U259" s="478">
        <f t="shared" si="78"/>
        <v>0</v>
      </c>
      <c r="V259" s="478">
        <v>0</v>
      </c>
      <c r="W259" s="177"/>
      <c r="X259" s="177"/>
      <c r="Y259" s="177"/>
      <c r="Z259" s="177"/>
      <c r="AA259" s="177"/>
      <c r="AB259" s="177"/>
      <c r="AC259" s="177"/>
      <c r="AD259" s="177"/>
      <c r="AE259" s="177"/>
      <c r="AF259" s="177"/>
      <c r="AG259" s="177"/>
      <c r="AH259" s="177"/>
      <c r="AI259" s="185" t="s">
        <v>284</v>
      </c>
      <c r="AJ259" s="173">
        <f t="shared" si="66"/>
        <v>1</v>
      </c>
    </row>
    <row r="260" spans="1:36" ht="33" x14ac:dyDescent="0.25">
      <c r="A260" s="380" t="s">
        <v>445</v>
      </c>
      <c r="B260" s="379" t="s">
        <v>1326</v>
      </c>
      <c r="C260" s="230" t="s">
        <v>1066</v>
      </c>
      <c r="D260" s="382" t="s">
        <v>1325</v>
      </c>
      <c r="E260" s="230" t="s">
        <v>116</v>
      </c>
      <c r="F260" s="230"/>
      <c r="G260" s="377">
        <v>1400</v>
      </c>
      <c r="H260" s="229">
        <f t="shared" si="79"/>
        <v>1400</v>
      </c>
      <c r="I260" s="177"/>
      <c r="J260" s="177"/>
      <c r="K260" s="177"/>
      <c r="L260" s="177"/>
      <c r="M260" s="374">
        <f t="shared" si="74"/>
        <v>1400</v>
      </c>
      <c r="N260" s="377">
        <v>1400</v>
      </c>
      <c r="O260" s="340"/>
      <c r="P260" s="340"/>
      <c r="Q260" s="177">
        <f t="shared" si="75"/>
        <v>-1400</v>
      </c>
      <c r="R260" s="177">
        <f t="shared" si="75"/>
        <v>-1400</v>
      </c>
      <c r="S260" s="176"/>
      <c r="T260" s="176">
        <f t="shared" si="80"/>
        <v>1400</v>
      </c>
      <c r="U260" s="478">
        <f t="shared" si="78"/>
        <v>0</v>
      </c>
      <c r="V260" s="478">
        <v>0</v>
      </c>
      <c r="W260" s="177"/>
      <c r="X260" s="177"/>
      <c r="Y260" s="177"/>
      <c r="Z260" s="177"/>
      <c r="AA260" s="177"/>
      <c r="AB260" s="177"/>
      <c r="AC260" s="177"/>
      <c r="AD260" s="177"/>
      <c r="AE260" s="177"/>
      <c r="AF260" s="177"/>
      <c r="AG260" s="177"/>
      <c r="AH260" s="177"/>
      <c r="AI260" s="185" t="s">
        <v>284</v>
      </c>
      <c r="AJ260" s="173">
        <f t="shared" si="66"/>
        <v>1</v>
      </c>
    </row>
    <row r="261" spans="1:36" ht="33" x14ac:dyDescent="0.25">
      <c r="A261" s="380" t="s">
        <v>450</v>
      </c>
      <c r="B261" s="379" t="s">
        <v>1324</v>
      </c>
      <c r="C261" s="230" t="s">
        <v>1066</v>
      </c>
      <c r="D261" s="382" t="s">
        <v>1323</v>
      </c>
      <c r="E261" s="230" t="s">
        <v>290</v>
      </c>
      <c r="F261" s="230"/>
      <c r="G261" s="377">
        <v>800</v>
      </c>
      <c r="H261" s="229">
        <f t="shared" si="79"/>
        <v>800</v>
      </c>
      <c r="I261" s="177"/>
      <c r="J261" s="177"/>
      <c r="K261" s="177"/>
      <c r="L261" s="177"/>
      <c r="M261" s="374">
        <f t="shared" si="74"/>
        <v>800</v>
      </c>
      <c r="N261" s="377">
        <v>800</v>
      </c>
      <c r="O261" s="340"/>
      <c r="P261" s="340"/>
      <c r="Q261" s="177">
        <f t="shared" si="75"/>
        <v>-800</v>
      </c>
      <c r="R261" s="177">
        <f t="shared" si="75"/>
        <v>-800</v>
      </c>
      <c r="S261" s="176"/>
      <c r="T261" s="176">
        <f t="shared" si="80"/>
        <v>800</v>
      </c>
      <c r="U261" s="478">
        <f t="shared" si="78"/>
        <v>0</v>
      </c>
      <c r="V261" s="478">
        <v>0</v>
      </c>
      <c r="W261" s="177"/>
      <c r="X261" s="177"/>
      <c r="Y261" s="177"/>
      <c r="Z261" s="177"/>
      <c r="AA261" s="177"/>
      <c r="AB261" s="177"/>
      <c r="AC261" s="177"/>
      <c r="AD261" s="177"/>
      <c r="AE261" s="177"/>
      <c r="AF261" s="177"/>
      <c r="AG261" s="177"/>
      <c r="AH261" s="177"/>
      <c r="AI261" s="185" t="s">
        <v>284</v>
      </c>
      <c r="AJ261" s="173">
        <f t="shared" si="66"/>
        <v>1</v>
      </c>
    </row>
    <row r="262" spans="1:36" ht="49.5" x14ac:dyDescent="0.25">
      <c r="A262" s="380" t="s">
        <v>454</v>
      </c>
      <c r="B262" s="379" t="s">
        <v>1322</v>
      </c>
      <c r="C262" s="230" t="s">
        <v>1066</v>
      </c>
      <c r="D262" s="382" t="s">
        <v>1321</v>
      </c>
      <c r="E262" s="230" t="s">
        <v>290</v>
      </c>
      <c r="F262" s="230"/>
      <c r="G262" s="377">
        <v>700</v>
      </c>
      <c r="H262" s="229">
        <f t="shared" si="79"/>
        <v>700</v>
      </c>
      <c r="I262" s="177"/>
      <c r="J262" s="177"/>
      <c r="K262" s="177"/>
      <c r="L262" s="177"/>
      <c r="M262" s="374">
        <f t="shared" si="74"/>
        <v>700</v>
      </c>
      <c r="N262" s="377">
        <v>700</v>
      </c>
      <c r="O262" s="340"/>
      <c r="P262" s="340"/>
      <c r="Q262" s="177">
        <f t="shared" si="75"/>
        <v>-700</v>
      </c>
      <c r="R262" s="177">
        <f t="shared" si="75"/>
        <v>-700</v>
      </c>
      <c r="S262" s="176"/>
      <c r="T262" s="176">
        <f t="shared" si="80"/>
        <v>700</v>
      </c>
      <c r="U262" s="478">
        <f t="shared" si="78"/>
        <v>0</v>
      </c>
      <c r="V262" s="478">
        <v>0</v>
      </c>
      <c r="W262" s="177"/>
      <c r="X262" s="177"/>
      <c r="Y262" s="177"/>
      <c r="Z262" s="177"/>
      <c r="AA262" s="177"/>
      <c r="AB262" s="177"/>
      <c r="AC262" s="177"/>
      <c r="AD262" s="177"/>
      <c r="AE262" s="177"/>
      <c r="AF262" s="177"/>
      <c r="AG262" s="177"/>
      <c r="AH262" s="177"/>
      <c r="AI262" s="185" t="s">
        <v>284</v>
      </c>
      <c r="AJ262" s="173">
        <f t="shared" si="66"/>
        <v>1</v>
      </c>
    </row>
    <row r="263" spans="1:36" ht="33" x14ac:dyDescent="0.25">
      <c r="A263" s="380" t="s">
        <v>458</v>
      </c>
      <c r="B263" s="379" t="s">
        <v>1320</v>
      </c>
      <c r="C263" s="230" t="s">
        <v>1066</v>
      </c>
      <c r="D263" s="382" t="s">
        <v>1319</v>
      </c>
      <c r="E263" s="230" t="s">
        <v>290</v>
      </c>
      <c r="F263" s="230"/>
      <c r="G263" s="377">
        <v>2600</v>
      </c>
      <c r="H263" s="229">
        <f t="shared" si="79"/>
        <v>2600</v>
      </c>
      <c r="I263" s="177"/>
      <c r="J263" s="177"/>
      <c r="K263" s="177"/>
      <c r="L263" s="177"/>
      <c r="M263" s="374">
        <f t="shared" si="74"/>
        <v>2600</v>
      </c>
      <c r="N263" s="377">
        <v>2600</v>
      </c>
      <c r="O263" s="340">
        <f>P263</f>
        <v>3200</v>
      </c>
      <c r="P263" s="340">
        <v>3200</v>
      </c>
      <c r="Q263" s="177">
        <f t="shared" si="75"/>
        <v>600</v>
      </c>
      <c r="R263" s="177">
        <f t="shared" si="75"/>
        <v>600</v>
      </c>
      <c r="S263" s="176"/>
      <c r="T263" s="176">
        <f>N263-V263</f>
        <v>1600</v>
      </c>
      <c r="U263" s="478">
        <f t="shared" si="78"/>
        <v>1000</v>
      </c>
      <c r="V263" s="478">
        <v>1000</v>
      </c>
      <c r="W263" s="177"/>
      <c r="X263" s="177"/>
      <c r="Y263" s="177"/>
      <c r="Z263" s="177"/>
      <c r="AA263" s="177"/>
      <c r="AB263" s="177"/>
      <c r="AC263" s="177"/>
      <c r="AD263" s="177"/>
      <c r="AE263" s="177"/>
      <c r="AF263" s="177"/>
      <c r="AG263" s="177"/>
      <c r="AH263" s="177"/>
      <c r="AI263" s="185" t="s">
        <v>1972</v>
      </c>
      <c r="AJ263" s="173">
        <f t="shared" si="66"/>
        <v>1</v>
      </c>
    </row>
    <row r="264" spans="1:36" ht="33" x14ac:dyDescent="0.25">
      <c r="A264" s="380" t="s">
        <v>463</v>
      </c>
      <c r="B264" s="379" t="s">
        <v>1318</v>
      </c>
      <c r="C264" s="230" t="s">
        <v>1066</v>
      </c>
      <c r="D264" s="382" t="s">
        <v>1317</v>
      </c>
      <c r="E264" s="230" t="s">
        <v>290</v>
      </c>
      <c r="F264" s="230"/>
      <c r="G264" s="377">
        <v>1500</v>
      </c>
      <c r="H264" s="229">
        <f t="shared" si="79"/>
        <v>1500</v>
      </c>
      <c r="I264" s="177"/>
      <c r="J264" s="177"/>
      <c r="K264" s="177"/>
      <c r="L264" s="177"/>
      <c r="M264" s="374">
        <f t="shared" si="74"/>
        <v>1500</v>
      </c>
      <c r="N264" s="377">
        <v>1500</v>
      </c>
      <c r="O264" s="340"/>
      <c r="P264" s="340"/>
      <c r="Q264" s="177">
        <f t="shared" si="75"/>
        <v>-1500</v>
      </c>
      <c r="R264" s="177">
        <f t="shared" si="75"/>
        <v>-1500</v>
      </c>
      <c r="S264" s="176"/>
      <c r="T264" s="176">
        <f t="shared" ref="T264:T268" si="81">N264-V264</f>
        <v>1500</v>
      </c>
      <c r="U264" s="478">
        <f t="shared" si="78"/>
        <v>0</v>
      </c>
      <c r="V264" s="478">
        <v>0</v>
      </c>
      <c r="W264" s="177"/>
      <c r="X264" s="177"/>
      <c r="Y264" s="177"/>
      <c r="Z264" s="177"/>
      <c r="AA264" s="177"/>
      <c r="AB264" s="177"/>
      <c r="AC264" s="177"/>
      <c r="AD264" s="177"/>
      <c r="AE264" s="177"/>
      <c r="AF264" s="177"/>
      <c r="AG264" s="177"/>
      <c r="AH264" s="177"/>
      <c r="AI264" s="185" t="s">
        <v>284</v>
      </c>
      <c r="AJ264" s="173">
        <f t="shared" si="66"/>
        <v>1</v>
      </c>
    </row>
    <row r="265" spans="1:36" ht="33" x14ac:dyDescent="0.25">
      <c r="A265" s="380" t="s">
        <v>468</v>
      </c>
      <c r="B265" s="379" t="s">
        <v>1316</v>
      </c>
      <c r="C265" s="230" t="s">
        <v>1066</v>
      </c>
      <c r="D265" s="382" t="s">
        <v>1315</v>
      </c>
      <c r="E265" s="230" t="s">
        <v>290</v>
      </c>
      <c r="F265" s="230"/>
      <c r="G265" s="377">
        <v>1000</v>
      </c>
      <c r="H265" s="229">
        <f t="shared" si="79"/>
        <v>1000</v>
      </c>
      <c r="I265" s="177"/>
      <c r="J265" s="177"/>
      <c r="K265" s="177"/>
      <c r="L265" s="177"/>
      <c r="M265" s="374">
        <f t="shared" si="74"/>
        <v>1000</v>
      </c>
      <c r="N265" s="377">
        <v>1000</v>
      </c>
      <c r="O265" s="340"/>
      <c r="P265" s="340"/>
      <c r="Q265" s="177">
        <f t="shared" si="75"/>
        <v>-1000</v>
      </c>
      <c r="R265" s="177">
        <f t="shared" si="75"/>
        <v>-1000</v>
      </c>
      <c r="S265" s="176"/>
      <c r="T265" s="176">
        <f t="shared" si="81"/>
        <v>1000</v>
      </c>
      <c r="U265" s="478">
        <f t="shared" si="78"/>
        <v>0</v>
      </c>
      <c r="V265" s="478">
        <v>0</v>
      </c>
      <c r="W265" s="177"/>
      <c r="X265" s="177"/>
      <c r="Y265" s="177"/>
      <c r="Z265" s="177"/>
      <c r="AA265" s="177"/>
      <c r="AB265" s="177"/>
      <c r="AC265" s="177"/>
      <c r="AD265" s="177"/>
      <c r="AE265" s="177"/>
      <c r="AF265" s="177"/>
      <c r="AG265" s="177"/>
      <c r="AH265" s="177"/>
      <c r="AI265" s="185" t="s">
        <v>284</v>
      </c>
      <c r="AJ265" s="173">
        <f t="shared" si="66"/>
        <v>1</v>
      </c>
    </row>
    <row r="266" spans="1:36" ht="33" x14ac:dyDescent="0.25">
      <c r="A266" s="380" t="s">
        <v>472</v>
      </c>
      <c r="B266" s="379" t="s">
        <v>1314</v>
      </c>
      <c r="C266" s="230" t="s">
        <v>1066</v>
      </c>
      <c r="D266" s="381" t="s">
        <v>1313</v>
      </c>
      <c r="E266" s="230" t="s">
        <v>290</v>
      </c>
      <c r="F266" s="230"/>
      <c r="G266" s="377">
        <v>360</v>
      </c>
      <c r="H266" s="229">
        <f t="shared" si="79"/>
        <v>360</v>
      </c>
      <c r="I266" s="177"/>
      <c r="J266" s="177"/>
      <c r="K266" s="177"/>
      <c r="L266" s="177"/>
      <c r="M266" s="374">
        <f t="shared" si="74"/>
        <v>360</v>
      </c>
      <c r="N266" s="377">
        <v>360</v>
      </c>
      <c r="O266" s="340"/>
      <c r="P266" s="340"/>
      <c r="Q266" s="177">
        <f t="shared" si="75"/>
        <v>-360</v>
      </c>
      <c r="R266" s="177">
        <f t="shared" si="75"/>
        <v>-360</v>
      </c>
      <c r="S266" s="176"/>
      <c r="T266" s="176">
        <f t="shared" si="81"/>
        <v>360</v>
      </c>
      <c r="U266" s="478">
        <f t="shared" si="78"/>
        <v>0</v>
      </c>
      <c r="V266" s="478">
        <v>0</v>
      </c>
      <c r="W266" s="177"/>
      <c r="X266" s="177"/>
      <c r="Y266" s="177"/>
      <c r="Z266" s="177"/>
      <c r="AA266" s="177"/>
      <c r="AB266" s="177"/>
      <c r="AC266" s="177"/>
      <c r="AD266" s="177"/>
      <c r="AE266" s="177"/>
      <c r="AF266" s="177"/>
      <c r="AG266" s="177"/>
      <c r="AH266" s="177"/>
      <c r="AI266" s="185" t="s">
        <v>284</v>
      </c>
      <c r="AJ266" s="173">
        <f t="shared" si="66"/>
        <v>1</v>
      </c>
    </row>
    <row r="267" spans="1:36" ht="49.5" x14ac:dyDescent="0.25">
      <c r="A267" s="380" t="s">
        <v>476</v>
      </c>
      <c r="B267" s="379" t="s">
        <v>1312</v>
      </c>
      <c r="C267" s="230" t="s">
        <v>1066</v>
      </c>
      <c r="D267" s="378" t="s">
        <v>1311</v>
      </c>
      <c r="E267" s="230" t="s">
        <v>290</v>
      </c>
      <c r="F267" s="230"/>
      <c r="G267" s="377">
        <v>250</v>
      </c>
      <c r="H267" s="229">
        <f t="shared" si="79"/>
        <v>250</v>
      </c>
      <c r="I267" s="177"/>
      <c r="J267" s="177"/>
      <c r="K267" s="177"/>
      <c r="L267" s="177"/>
      <c r="M267" s="374">
        <f t="shared" si="74"/>
        <v>250</v>
      </c>
      <c r="N267" s="377">
        <v>250</v>
      </c>
      <c r="O267" s="340"/>
      <c r="P267" s="340"/>
      <c r="Q267" s="177">
        <f t="shared" si="75"/>
        <v>-250</v>
      </c>
      <c r="R267" s="177">
        <f t="shared" si="75"/>
        <v>-250</v>
      </c>
      <c r="S267" s="176"/>
      <c r="T267" s="176">
        <f t="shared" si="81"/>
        <v>250</v>
      </c>
      <c r="U267" s="478">
        <f t="shared" si="78"/>
        <v>0</v>
      </c>
      <c r="V267" s="478">
        <v>0</v>
      </c>
      <c r="W267" s="177"/>
      <c r="X267" s="177"/>
      <c r="Y267" s="177"/>
      <c r="Z267" s="177"/>
      <c r="AA267" s="177"/>
      <c r="AB267" s="177"/>
      <c r="AC267" s="177"/>
      <c r="AD267" s="177"/>
      <c r="AE267" s="177"/>
      <c r="AF267" s="177"/>
      <c r="AG267" s="177"/>
      <c r="AH267" s="177"/>
      <c r="AI267" s="185" t="s">
        <v>284</v>
      </c>
      <c r="AJ267" s="173">
        <f t="shared" si="66"/>
        <v>1</v>
      </c>
    </row>
    <row r="268" spans="1:36" ht="33" x14ac:dyDescent="0.25">
      <c r="A268" s="380" t="s">
        <v>481</v>
      </c>
      <c r="B268" s="379" t="s">
        <v>1310</v>
      </c>
      <c r="C268" s="230" t="s">
        <v>1066</v>
      </c>
      <c r="D268" s="378"/>
      <c r="E268" s="230" t="s">
        <v>290</v>
      </c>
      <c r="F268" s="230"/>
      <c r="G268" s="377">
        <v>1100</v>
      </c>
      <c r="H268" s="229">
        <f t="shared" si="79"/>
        <v>1100</v>
      </c>
      <c r="I268" s="177"/>
      <c r="J268" s="177"/>
      <c r="K268" s="177"/>
      <c r="L268" s="177"/>
      <c r="M268" s="374">
        <f t="shared" si="74"/>
        <v>1100</v>
      </c>
      <c r="N268" s="377">
        <v>1100</v>
      </c>
      <c r="O268" s="340"/>
      <c r="P268" s="340"/>
      <c r="Q268" s="177">
        <f t="shared" si="75"/>
        <v>-1100</v>
      </c>
      <c r="R268" s="177">
        <f t="shared" si="75"/>
        <v>-1100</v>
      </c>
      <c r="S268" s="176"/>
      <c r="T268" s="176">
        <f t="shared" si="81"/>
        <v>1100</v>
      </c>
      <c r="U268" s="478">
        <f t="shared" si="78"/>
        <v>0</v>
      </c>
      <c r="V268" s="478">
        <v>0</v>
      </c>
      <c r="W268" s="177"/>
      <c r="X268" s="177"/>
      <c r="Y268" s="177"/>
      <c r="Z268" s="177"/>
      <c r="AA268" s="177"/>
      <c r="AB268" s="177"/>
      <c r="AC268" s="177"/>
      <c r="AD268" s="177"/>
      <c r="AE268" s="177"/>
      <c r="AF268" s="177"/>
      <c r="AG268" s="177"/>
      <c r="AH268" s="177"/>
      <c r="AI268" s="185" t="s">
        <v>284</v>
      </c>
      <c r="AJ268" s="173">
        <f t="shared" si="66"/>
        <v>1</v>
      </c>
    </row>
    <row r="269" spans="1:36" s="763" customFormat="1" ht="33" x14ac:dyDescent="0.25">
      <c r="A269" s="750" t="s">
        <v>484</v>
      </c>
      <c r="B269" s="751" t="s">
        <v>2095</v>
      </c>
      <c r="C269" s="752" t="s">
        <v>1066</v>
      </c>
      <c r="D269" s="753"/>
      <c r="E269" s="752" t="s">
        <v>290</v>
      </c>
      <c r="F269" s="752"/>
      <c r="G269" s="754">
        <f t="shared" ref="G269:G278" si="82">H269</f>
        <v>3490</v>
      </c>
      <c r="H269" s="755">
        <v>3490</v>
      </c>
      <c r="I269" s="756"/>
      <c r="J269" s="756"/>
      <c r="K269" s="756"/>
      <c r="L269" s="756"/>
      <c r="M269" s="757"/>
      <c r="N269" s="754"/>
      <c r="O269" s="758">
        <f t="shared" ref="O269:O278" si="83">P269</f>
        <v>5000</v>
      </c>
      <c r="P269" s="758">
        <v>5000</v>
      </c>
      <c r="Q269" s="756">
        <f t="shared" si="75"/>
        <v>5000</v>
      </c>
      <c r="R269" s="756">
        <f t="shared" si="75"/>
        <v>5000</v>
      </c>
      <c r="S269" s="758">
        <f t="shared" ref="S269:S301" si="84">V269-N269</f>
        <v>2300</v>
      </c>
      <c r="T269" s="759"/>
      <c r="U269" s="760">
        <f t="shared" si="78"/>
        <v>2300</v>
      </c>
      <c r="V269" s="760">
        <v>2300</v>
      </c>
      <c r="W269" s="756"/>
      <c r="X269" s="756"/>
      <c r="Y269" s="756"/>
      <c r="Z269" s="756"/>
      <c r="AA269" s="756"/>
      <c r="AB269" s="756"/>
      <c r="AC269" s="756"/>
      <c r="AD269" s="756"/>
      <c r="AE269" s="756"/>
      <c r="AF269" s="756"/>
      <c r="AG269" s="756"/>
      <c r="AH269" s="756"/>
      <c r="AI269" s="761"/>
      <c r="AJ269" s="762">
        <f t="shared" si="66"/>
        <v>1</v>
      </c>
    </row>
    <row r="270" spans="1:36" ht="49.5" x14ac:dyDescent="0.25">
      <c r="A270" s="380" t="s">
        <v>1309</v>
      </c>
      <c r="B270" s="379" t="s">
        <v>1308</v>
      </c>
      <c r="C270" s="230" t="s">
        <v>1066</v>
      </c>
      <c r="D270" s="378"/>
      <c r="E270" s="230" t="s">
        <v>461</v>
      </c>
      <c r="F270" s="230" t="s">
        <v>1307</v>
      </c>
      <c r="G270" s="377">
        <f t="shared" si="82"/>
        <v>1094</v>
      </c>
      <c r="H270" s="229">
        <v>1094</v>
      </c>
      <c r="I270" s="177"/>
      <c r="J270" s="177"/>
      <c r="K270" s="177"/>
      <c r="L270" s="177"/>
      <c r="M270" s="374"/>
      <c r="N270" s="377"/>
      <c r="O270" s="340">
        <f t="shared" si="83"/>
        <v>1000</v>
      </c>
      <c r="P270" s="340">
        <v>1000</v>
      </c>
      <c r="Q270" s="177">
        <f t="shared" si="75"/>
        <v>1000</v>
      </c>
      <c r="R270" s="177">
        <f t="shared" si="75"/>
        <v>1000</v>
      </c>
      <c r="S270" s="176">
        <f>V270-N270</f>
        <v>950</v>
      </c>
      <c r="T270" s="176"/>
      <c r="U270" s="478">
        <f t="shared" si="78"/>
        <v>950</v>
      </c>
      <c r="V270" s="478">
        <v>950</v>
      </c>
      <c r="W270" s="177"/>
      <c r="X270" s="177"/>
      <c r="Y270" s="177"/>
      <c r="Z270" s="177"/>
      <c r="AA270" s="177"/>
      <c r="AB270" s="177"/>
      <c r="AC270" s="177"/>
      <c r="AD270" s="177"/>
      <c r="AE270" s="177"/>
      <c r="AF270" s="177"/>
      <c r="AG270" s="177"/>
      <c r="AH270" s="177"/>
      <c r="AI270" s="185" t="s">
        <v>84</v>
      </c>
      <c r="AJ270" s="173">
        <f t="shared" si="66"/>
        <v>1</v>
      </c>
    </row>
    <row r="271" spans="1:36" ht="49.5" x14ac:dyDescent="0.25">
      <c r="A271" s="380" t="s">
        <v>490</v>
      </c>
      <c r="B271" s="379" t="s">
        <v>1306</v>
      </c>
      <c r="C271" s="230" t="s">
        <v>1066</v>
      </c>
      <c r="D271" s="378"/>
      <c r="E271" s="230" t="s">
        <v>461</v>
      </c>
      <c r="F271" s="230" t="s">
        <v>1305</v>
      </c>
      <c r="G271" s="377">
        <f t="shared" si="82"/>
        <v>1296</v>
      </c>
      <c r="H271" s="229">
        <v>1296</v>
      </c>
      <c r="I271" s="177"/>
      <c r="J271" s="177"/>
      <c r="K271" s="177"/>
      <c r="L271" s="177"/>
      <c r="M271" s="374"/>
      <c r="N271" s="377"/>
      <c r="O271" s="340">
        <f t="shared" si="83"/>
        <v>1200</v>
      </c>
      <c r="P271" s="340">
        <v>1200</v>
      </c>
      <c r="Q271" s="177">
        <f t="shared" si="75"/>
        <v>1200</v>
      </c>
      <c r="R271" s="177">
        <f t="shared" si="75"/>
        <v>1200</v>
      </c>
      <c r="S271" s="176">
        <f t="shared" si="84"/>
        <v>1140</v>
      </c>
      <c r="T271" s="176"/>
      <c r="U271" s="478">
        <f t="shared" si="78"/>
        <v>1140</v>
      </c>
      <c r="V271" s="478">
        <v>1140</v>
      </c>
      <c r="W271" s="177"/>
      <c r="X271" s="177"/>
      <c r="Y271" s="177"/>
      <c r="Z271" s="177"/>
      <c r="AA271" s="177"/>
      <c r="AB271" s="177"/>
      <c r="AC271" s="177"/>
      <c r="AD271" s="177"/>
      <c r="AE271" s="177"/>
      <c r="AF271" s="177"/>
      <c r="AG271" s="177"/>
      <c r="AH271" s="177"/>
      <c r="AI271" s="185" t="s">
        <v>84</v>
      </c>
      <c r="AJ271" s="173">
        <f t="shared" si="66"/>
        <v>1</v>
      </c>
    </row>
    <row r="272" spans="1:36" ht="49.5" x14ac:dyDescent="0.25">
      <c r="A272" s="380" t="s">
        <v>492</v>
      </c>
      <c r="B272" s="379" t="s">
        <v>1304</v>
      </c>
      <c r="C272" s="230" t="s">
        <v>1066</v>
      </c>
      <c r="D272" s="378"/>
      <c r="E272" s="230" t="s">
        <v>461</v>
      </c>
      <c r="F272" s="230" t="s">
        <v>1303</v>
      </c>
      <c r="G272" s="377">
        <f t="shared" si="82"/>
        <v>1710</v>
      </c>
      <c r="H272" s="229">
        <v>1710</v>
      </c>
      <c r="I272" s="177"/>
      <c r="J272" s="177"/>
      <c r="K272" s="177"/>
      <c r="L272" s="177"/>
      <c r="M272" s="374"/>
      <c r="N272" s="377"/>
      <c r="O272" s="340">
        <f t="shared" si="83"/>
        <v>1550</v>
      </c>
      <c r="P272" s="340">
        <v>1550</v>
      </c>
      <c r="Q272" s="177">
        <f t="shared" si="75"/>
        <v>1550</v>
      </c>
      <c r="R272" s="177">
        <f t="shared" si="75"/>
        <v>1550</v>
      </c>
      <c r="S272" s="176">
        <f t="shared" si="84"/>
        <v>1470</v>
      </c>
      <c r="T272" s="176"/>
      <c r="U272" s="478">
        <f t="shared" si="78"/>
        <v>1470</v>
      </c>
      <c r="V272" s="478">
        <v>1470</v>
      </c>
      <c r="W272" s="177"/>
      <c r="X272" s="177"/>
      <c r="Y272" s="177"/>
      <c r="Z272" s="177"/>
      <c r="AA272" s="177"/>
      <c r="AB272" s="177"/>
      <c r="AC272" s="177"/>
      <c r="AD272" s="177"/>
      <c r="AE272" s="177"/>
      <c r="AF272" s="177"/>
      <c r="AG272" s="177"/>
      <c r="AH272" s="177"/>
      <c r="AI272" s="185" t="s">
        <v>84</v>
      </c>
      <c r="AJ272" s="173">
        <f t="shared" si="66"/>
        <v>1</v>
      </c>
    </row>
    <row r="273" spans="1:36" ht="49.5" x14ac:dyDescent="0.25">
      <c r="A273" s="380" t="s">
        <v>495</v>
      </c>
      <c r="B273" s="379" t="s">
        <v>1302</v>
      </c>
      <c r="C273" s="230" t="s">
        <v>1066</v>
      </c>
      <c r="D273" s="378"/>
      <c r="E273" s="230" t="s">
        <v>461</v>
      </c>
      <c r="F273" s="230" t="s">
        <v>1301</v>
      </c>
      <c r="G273" s="377">
        <f t="shared" si="82"/>
        <v>713</v>
      </c>
      <c r="H273" s="229">
        <v>713</v>
      </c>
      <c r="I273" s="177"/>
      <c r="J273" s="177"/>
      <c r="K273" s="177"/>
      <c r="L273" s="177"/>
      <c r="M273" s="374"/>
      <c r="N273" s="377"/>
      <c r="O273" s="340">
        <f t="shared" si="83"/>
        <v>650</v>
      </c>
      <c r="P273" s="340">
        <v>650</v>
      </c>
      <c r="Q273" s="177">
        <f t="shared" si="75"/>
        <v>650</v>
      </c>
      <c r="R273" s="177">
        <f t="shared" si="75"/>
        <v>650</v>
      </c>
      <c r="S273" s="176">
        <f t="shared" si="84"/>
        <v>620</v>
      </c>
      <c r="T273" s="176"/>
      <c r="U273" s="478">
        <f t="shared" si="78"/>
        <v>620</v>
      </c>
      <c r="V273" s="478">
        <v>620</v>
      </c>
      <c r="W273" s="177"/>
      <c r="X273" s="177"/>
      <c r="Y273" s="177"/>
      <c r="Z273" s="177"/>
      <c r="AA273" s="177"/>
      <c r="AB273" s="177"/>
      <c r="AC273" s="177"/>
      <c r="AD273" s="177"/>
      <c r="AE273" s="177"/>
      <c r="AF273" s="177"/>
      <c r="AG273" s="177"/>
      <c r="AH273" s="177"/>
      <c r="AI273" s="185" t="s">
        <v>84</v>
      </c>
      <c r="AJ273" s="173">
        <f t="shared" si="66"/>
        <v>1</v>
      </c>
    </row>
    <row r="274" spans="1:36" s="763" customFormat="1" ht="33" x14ac:dyDescent="0.25">
      <c r="A274" s="750" t="s">
        <v>497</v>
      </c>
      <c r="B274" s="751" t="s">
        <v>1300</v>
      </c>
      <c r="C274" s="752" t="s">
        <v>1066</v>
      </c>
      <c r="D274" s="753"/>
      <c r="E274" s="752"/>
      <c r="F274" s="752"/>
      <c r="G274" s="754">
        <f t="shared" si="82"/>
        <v>3740.0000000000005</v>
      </c>
      <c r="H274" s="755">
        <f>P274*1.1</f>
        <v>3740.0000000000005</v>
      </c>
      <c r="I274" s="756"/>
      <c r="J274" s="756"/>
      <c r="K274" s="756"/>
      <c r="L274" s="756"/>
      <c r="M274" s="757"/>
      <c r="N274" s="754"/>
      <c r="O274" s="758">
        <f t="shared" si="83"/>
        <v>3400</v>
      </c>
      <c r="P274" s="758">
        <v>3400</v>
      </c>
      <c r="Q274" s="756">
        <f t="shared" si="75"/>
        <v>3400</v>
      </c>
      <c r="R274" s="756">
        <f t="shared" si="75"/>
        <v>3400</v>
      </c>
      <c r="S274" s="759">
        <f t="shared" si="84"/>
        <v>0</v>
      </c>
      <c r="T274" s="759"/>
      <c r="U274" s="760">
        <f t="shared" si="78"/>
        <v>0</v>
      </c>
      <c r="V274" s="760">
        <v>0</v>
      </c>
      <c r="W274" s="756"/>
      <c r="X274" s="756"/>
      <c r="Y274" s="756"/>
      <c r="Z274" s="756"/>
      <c r="AA274" s="756"/>
      <c r="AB274" s="756"/>
      <c r="AC274" s="756"/>
      <c r="AD274" s="756"/>
      <c r="AE274" s="756"/>
      <c r="AF274" s="756"/>
      <c r="AG274" s="756"/>
      <c r="AH274" s="756"/>
      <c r="AI274" s="761"/>
      <c r="AJ274" s="762">
        <f t="shared" si="66"/>
        <v>0</v>
      </c>
    </row>
    <row r="275" spans="1:36" s="763" customFormat="1" ht="33" x14ac:dyDescent="0.25">
      <c r="A275" s="750" t="s">
        <v>498</v>
      </c>
      <c r="B275" s="751" t="s">
        <v>1299</v>
      </c>
      <c r="C275" s="752" t="s">
        <v>1066</v>
      </c>
      <c r="D275" s="753"/>
      <c r="E275" s="752"/>
      <c r="F275" s="752"/>
      <c r="G275" s="754">
        <f t="shared" si="82"/>
        <v>1320</v>
      </c>
      <c r="H275" s="755">
        <f>P275*1.1</f>
        <v>1320</v>
      </c>
      <c r="I275" s="756"/>
      <c r="J275" s="756"/>
      <c r="K275" s="756"/>
      <c r="L275" s="756"/>
      <c r="M275" s="757"/>
      <c r="N275" s="754"/>
      <c r="O275" s="758">
        <f t="shared" si="83"/>
        <v>1200</v>
      </c>
      <c r="P275" s="758">
        <v>1200</v>
      </c>
      <c r="Q275" s="756">
        <f t="shared" si="75"/>
        <v>1200</v>
      </c>
      <c r="R275" s="756">
        <f t="shared" si="75"/>
        <v>1200</v>
      </c>
      <c r="S275" s="759">
        <f t="shared" si="84"/>
        <v>0</v>
      </c>
      <c r="T275" s="759"/>
      <c r="U275" s="760">
        <f t="shared" si="78"/>
        <v>0</v>
      </c>
      <c r="V275" s="760">
        <v>0</v>
      </c>
      <c r="W275" s="756"/>
      <c r="X275" s="756"/>
      <c r="Y275" s="756"/>
      <c r="Z275" s="756"/>
      <c r="AA275" s="756"/>
      <c r="AB275" s="756"/>
      <c r="AC275" s="756"/>
      <c r="AD275" s="756"/>
      <c r="AE275" s="756"/>
      <c r="AF275" s="756"/>
      <c r="AG275" s="756"/>
      <c r="AH275" s="756"/>
      <c r="AI275" s="761"/>
      <c r="AJ275" s="762">
        <f t="shared" ref="AJ275:AJ337" si="85">IF(N275-V275=0,0,1)</f>
        <v>0</v>
      </c>
    </row>
    <row r="276" spans="1:36" s="763" customFormat="1" ht="33" x14ac:dyDescent="0.25">
      <c r="A276" s="750" t="s">
        <v>1298</v>
      </c>
      <c r="B276" s="751" t="s">
        <v>1297</v>
      </c>
      <c r="C276" s="752" t="s">
        <v>1066</v>
      </c>
      <c r="D276" s="753"/>
      <c r="E276" s="752"/>
      <c r="F276" s="752"/>
      <c r="G276" s="754">
        <f t="shared" si="82"/>
        <v>1760.0000000000002</v>
      </c>
      <c r="H276" s="755">
        <f>P276*1.1</f>
        <v>1760.0000000000002</v>
      </c>
      <c r="I276" s="756"/>
      <c r="J276" s="756"/>
      <c r="K276" s="756"/>
      <c r="L276" s="756"/>
      <c r="M276" s="757"/>
      <c r="N276" s="754"/>
      <c r="O276" s="758">
        <f t="shared" si="83"/>
        <v>1600</v>
      </c>
      <c r="P276" s="758">
        <v>1600</v>
      </c>
      <c r="Q276" s="756">
        <f t="shared" si="75"/>
        <v>1600</v>
      </c>
      <c r="R276" s="756">
        <f t="shared" si="75"/>
        <v>1600</v>
      </c>
      <c r="S276" s="759">
        <f t="shared" si="84"/>
        <v>0</v>
      </c>
      <c r="T276" s="759"/>
      <c r="U276" s="760">
        <f t="shared" si="78"/>
        <v>0</v>
      </c>
      <c r="V276" s="760">
        <v>0</v>
      </c>
      <c r="W276" s="756"/>
      <c r="X276" s="756"/>
      <c r="Y276" s="756"/>
      <c r="Z276" s="756"/>
      <c r="AA276" s="756"/>
      <c r="AB276" s="756"/>
      <c r="AC276" s="756"/>
      <c r="AD276" s="756"/>
      <c r="AE276" s="756"/>
      <c r="AF276" s="756"/>
      <c r="AG276" s="756"/>
      <c r="AH276" s="756"/>
      <c r="AI276" s="761"/>
      <c r="AJ276" s="762">
        <f t="shared" si="85"/>
        <v>0</v>
      </c>
    </row>
    <row r="277" spans="1:36" s="763" customFormat="1" ht="33" x14ac:dyDescent="0.25">
      <c r="A277" s="750" t="s">
        <v>1296</v>
      </c>
      <c r="B277" s="751" t="s">
        <v>1295</v>
      </c>
      <c r="C277" s="752" t="s">
        <v>1066</v>
      </c>
      <c r="D277" s="753"/>
      <c r="E277" s="752"/>
      <c r="F277" s="752"/>
      <c r="G277" s="754">
        <f t="shared" si="82"/>
        <v>3300.0000000000005</v>
      </c>
      <c r="H277" s="755">
        <f>P277*1.1</f>
        <v>3300.0000000000005</v>
      </c>
      <c r="I277" s="756"/>
      <c r="J277" s="756"/>
      <c r="K277" s="756"/>
      <c r="L277" s="756"/>
      <c r="M277" s="757"/>
      <c r="N277" s="754"/>
      <c r="O277" s="758">
        <f t="shared" si="83"/>
        <v>3000</v>
      </c>
      <c r="P277" s="758">
        <v>3000</v>
      </c>
      <c r="Q277" s="756">
        <f t="shared" si="75"/>
        <v>3000</v>
      </c>
      <c r="R277" s="756">
        <f t="shared" si="75"/>
        <v>3000</v>
      </c>
      <c r="S277" s="759">
        <f t="shared" si="84"/>
        <v>0</v>
      </c>
      <c r="T277" s="759"/>
      <c r="U277" s="760">
        <f t="shared" si="78"/>
        <v>0</v>
      </c>
      <c r="V277" s="760">
        <v>0</v>
      </c>
      <c r="W277" s="756"/>
      <c r="X277" s="756"/>
      <c r="Y277" s="756"/>
      <c r="Z277" s="756"/>
      <c r="AA277" s="756"/>
      <c r="AB277" s="756"/>
      <c r="AC277" s="756"/>
      <c r="AD277" s="756"/>
      <c r="AE277" s="756"/>
      <c r="AF277" s="756"/>
      <c r="AG277" s="756"/>
      <c r="AH277" s="756"/>
      <c r="AI277" s="761"/>
      <c r="AJ277" s="762">
        <f t="shared" si="85"/>
        <v>0</v>
      </c>
    </row>
    <row r="278" spans="1:36" ht="33" x14ac:dyDescent="0.25">
      <c r="A278" s="380" t="s">
        <v>1294</v>
      </c>
      <c r="B278" s="379" t="s">
        <v>1293</v>
      </c>
      <c r="C278" s="230" t="s">
        <v>1066</v>
      </c>
      <c r="D278" s="378"/>
      <c r="E278" s="230" t="s">
        <v>290</v>
      </c>
      <c r="F278" s="230"/>
      <c r="G278" s="377">
        <f t="shared" si="82"/>
        <v>43224</v>
      </c>
      <c r="H278" s="229">
        <v>43224</v>
      </c>
      <c r="I278" s="177"/>
      <c r="J278" s="177"/>
      <c r="K278" s="177"/>
      <c r="L278" s="177"/>
      <c r="M278" s="374"/>
      <c r="N278" s="377"/>
      <c r="O278" s="340">
        <f t="shared" si="83"/>
        <v>25000</v>
      </c>
      <c r="P278" s="340">
        <v>25000</v>
      </c>
      <c r="Q278" s="177">
        <f t="shared" si="75"/>
        <v>25000</v>
      </c>
      <c r="R278" s="177">
        <f t="shared" si="75"/>
        <v>25000</v>
      </c>
      <c r="S278" s="176">
        <v>25000</v>
      </c>
      <c r="T278" s="176"/>
      <c r="U278" s="478">
        <f t="shared" si="78"/>
        <v>25000</v>
      </c>
      <c r="V278" s="478">
        <v>25000</v>
      </c>
      <c r="W278" s="177"/>
      <c r="X278" s="177"/>
      <c r="Y278" s="177"/>
      <c r="Z278" s="177"/>
      <c r="AA278" s="177"/>
      <c r="AB278" s="177"/>
      <c r="AC278" s="177"/>
      <c r="AD278" s="177"/>
      <c r="AE278" s="177"/>
      <c r="AF278" s="177"/>
      <c r="AG278" s="177"/>
      <c r="AH278" s="177"/>
      <c r="AI278" s="185" t="s">
        <v>84</v>
      </c>
      <c r="AJ278" s="173">
        <f t="shared" si="85"/>
        <v>1</v>
      </c>
    </row>
    <row r="279" spans="1:36" ht="37.5" x14ac:dyDescent="0.25">
      <c r="A279" s="380" t="s">
        <v>1903</v>
      </c>
      <c r="B279" s="494" t="s">
        <v>1881</v>
      </c>
      <c r="C279" s="230"/>
      <c r="D279" s="378"/>
      <c r="E279" s="230"/>
      <c r="F279" s="230"/>
      <c r="G279" s="377"/>
      <c r="H279" s="229"/>
      <c r="I279" s="177"/>
      <c r="J279" s="177"/>
      <c r="K279" s="177"/>
      <c r="L279" s="177"/>
      <c r="M279" s="374"/>
      <c r="N279" s="377"/>
      <c r="O279" s="340"/>
      <c r="P279" s="340"/>
      <c r="Q279" s="177"/>
      <c r="R279" s="177"/>
      <c r="S279" s="176">
        <f t="shared" si="84"/>
        <v>150</v>
      </c>
      <c r="T279" s="176"/>
      <c r="U279" s="478">
        <f t="shared" si="78"/>
        <v>150</v>
      </c>
      <c r="V279" s="478">
        <v>150</v>
      </c>
      <c r="W279" s="177"/>
      <c r="X279" s="177"/>
      <c r="Y279" s="177"/>
      <c r="Z279" s="177"/>
      <c r="AA279" s="177"/>
      <c r="AB279" s="177"/>
      <c r="AC279" s="177"/>
      <c r="AD279" s="177"/>
      <c r="AE279" s="177"/>
      <c r="AF279" s="177"/>
      <c r="AG279" s="177"/>
      <c r="AH279" s="177"/>
      <c r="AI279" s="185" t="s">
        <v>84</v>
      </c>
      <c r="AJ279" s="173">
        <f t="shared" si="85"/>
        <v>1</v>
      </c>
    </row>
    <row r="280" spans="1:36" ht="56.25" x14ac:dyDescent="0.25">
      <c r="A280" s="380" t="s">
        <v>1904</v>
      </c>
      <c r="B280" s="494" t="s">
        <v>1882</v>
      </c>
      <c r="C280" s="230"/>
      <c r="D280" s="378"/>
      <c r="E280" s="230"/>
      <c r="F280" s="230"/>
      <c r="G280" s="377"/>
      <c r="H280" s="229"/>
      <c r="I280" s="177"/>
      <c r="J280" s="177"/>
      <c r="K280" s="177"/>
      <c r="L280" s="177"/>
      <c r="M280" s="374"/>
      <c r="N280" s="377"/>
      <c r="O280" s="340"/>
      <c r="P280" s="340"/>
      <c r="Q280" s="177"/>
      <c r="R280" s="177"/>
      <c r="S280" s="176">
        <f t="shared" si="84"/>
        <v>200</v>
      </c>
      <c r="T280" s="176"/>
      <c r="U280" s="478">
        <f t="shared" si="78"/>
        <v>200</v>
      </c>
      <c r="V280" s="478">
        <v>200</v>
      </c>
      <c r="W280" s="177"/>
      <c r="X280" s="177"/>
      <c r="Y280" s="177"/>
      <c r="Z280" s="177"/>
      <c r="AA280" s="177"/>
      <c r="AB280" s="177"/>
      <c r="AC280" s="177"/>
      <c r="AD280" s="177"/>
      <c r="AE280" s="177"/>
      <c r="AF280" s="177"/>
      <c r="AG280" s="177"/>
      <c r="AH280" s="177"/>
      <c r="AI280" s="185" t="s">
        <v>84</v>
      </c>
      <c r="AJ280" s="173">
        <f t="shared" si="85"/>
        <v>1</v>
      </c>
    </row>
    <row r="281" spans="1:36" ht="37.5" x14ac:dyDescent="0.25">
      <c r="A281" s="380" t="s">
        <v>1905</v>
      </c>
      <c r="B281" s="494" t="s">
        <v>1883</v>
      </c>
      <c r="C281" s="230"/>
      <c r="D281" s="378"/>
      <c r="E281" s="230"/>
      <c r="F281" s="230"/>
      <c r="G281" s="377"/>
      <c r="H281" s="229"/>
      <c r="I281" s="177"/>
      <c r="J281" s="177"/>
      <c r="K281" s="177"/>
      <c r="L281" s="177"/>
      <c r="M281" s="374"/>
      <c r="N281" s="377"/>
      <c r="O281" s="340"/>
      <c r="P281" s="340"/>
      <c r="Q281" s="177"/>
      <c r="R281" s="177"/>
      <c r="S281" s="176">
        <f t="shared" si="84"/>
        <v>1300</v>
      </c>
      <c r="T281" s="176"/>
      <c r="U281" s="478">
        <f t="shared" si="78"/>
        <v>1300</v>
      </c>
      <c r="V281" s="478">
        <v>1300</v>
      </c>
      <c r="W281" s="177"/>
      <c r="X281" s="177"/>
      <c r="Y281" s="177"/>
      <c r="Z281" s="177"/>
      <c r="AA281" s="177"/>
      <c r="AB281" s="177"/>
      <c r="AC281" s="177"/>
      <c r="AD281" s="177"/>
      <c r="AE281" s="177"/>
      <c r="AF281" s="177"/>
      <c r="AG281" s="177"/>
      <c r="AH281" s="177"/>
      <c r="AI281" s="185" t="s">
        <v>84</v>
      </c>
      <c r="AJ281" s="173">
        <f t="shared" si="85"/>
        <v>1</v>
      </c>
    </row>
    <row r="282" spans="1:36" ht="56.25" x14ac:dyDescent="0.25">
      <c r="A282" s="380" t="s">
        <v>1906</v>
      </c>
      <c r="B282" s="495" t="s">
        <v>1884</v>
      </c>
      <c r="C282" s="230"/>
      <c r="D282" s="378"/>
      <c r="E282" s="230"/>
      <c r="F282" s="230"/>
      <c r="G282" s="377"/>
      <c r="H282" s="229"/>
      <c r="I282" s="177"/>
      <c r="J282" s="177"/>
      <c r="K282" s="177"/>
      <c r="L282" s="177"/>
      <c r="M282" s="374"/>
      <c r="N282" s="377"/>
      <c r="O282" s="340"/>
      <c r="P282" s="340"/>
      <c r="Q282" s="177"/>
      <c r="R282" s="177"/>
      <c r="S282" s="176">
        <f t="shared" si="84"/>
        <v>650</v>
      </c>
      <c r="T282" s="176"/>
      <c r="U282" s="478">
        <f t="shared" si="78"/>
        <v>650</v>
      </c>
      <c r="V282" s="478">
        <v>650</v>
      </c>
      <c r="W282" s="177"/>
      <c r="X282" s="177"/>
      <c r="Y282" s="177"/>
      <c r="Z282" s="177"/>
      <c r="AA282" s="177"/>
      <c r="AB282" s="177"/>
      <c r="AC282" s="177"/>
      <c r="AD282" s="177"/>
      <c r="AE282" s="177"/>
      <c r="AF282" s="177"/>
      <c r="AG282" s="177"/>
      <c r="AH282" s="177"/>
      <c r="AI282" s="185" t="s">
        <v>84</v>
      </c>
      <c r="AJ282" s="173">
        <f t="shared" si="85"/>
        <v>1</v>
      </c>
    </row>
    <row r="283" spans="1:36" ht="93.75" x14ac:dyDescent="0.25">
      <c r="A283" s="380" t="s">
        <v>1907</v>
      </c>
      <c r="B283" s="495" t="s">
        <v>1885</v>
      </c>
      <c r="C283" s="230"/>
      <c r="D283" s="378"/>
      <c r="E283" s="230"/>
      <c r="F283" s="230"/>
      <c r="G283" s="377"/>
      <c r="H283" s="229"/>
      <c r="I283" s="177"/>
      <c r="J283" s="177"/>
      <c r="K283" s="177"/>
      <c r="L283" s="177"/>
      <c r="M283" s="374"/>
      <c r="N283" s="377"/>
      <c r="O283" s="340"/>
      <c r="P283" s="340"/>
      <c r="Q283" s="177"/>
      <c r="R283" s="177"/>
      <c r="S283" s="176">
        <f t="shared" si="84"/>
        <v>600</v>
      </c>
      <c r="T283" s="176"/>
      <c r="U283" s="478">
        <f t="shared" si="78"/>
        <v>600</v>
      </c>
      <c r="V283" s="478">
        <v>600</v>
      </c>
      <c r="W283" s="177"/>
      <c r="X283" s="177"/>
      <c r="Y283" s="177"/>
      <c r="Z283" s="177"/>
      <c r="AA283" s="177"/>
      <c r="AB283" s="177"/>
      <c r="AC283" s="177"/>
      <c r="AD283" s="177"/>
      <c r="AE283" s="177"/>
      <c r="AF283" s="177"/>
      <c r="AG283" s="177"/>
      <c r="AH283" s="177"/>
      <c r="AI283" s="185" t="s">
        <v>84</v>
      </c>
      <c r="AJ283" s="173">
        <f t="shared" si="85"/>
        <v>1</v>
      </c>
    </row>
    <row r="284" spans="1:36" ht="37.5" x14ac:dyDescent="0.25">
      <c r="A284" s="380" t="s">
        <v>1908</v>
      </c>
      <c r="B284" s="495" t="s">
        <v>1886</v>
      </c>
      <c r="C284" s="230"/>
      <c r="D284" s="378"/>
      <c r="E284" s="230"/>
      <c r="F284" s="230"/>
      <c r="G284" s="377"/>
      <c r="H284" s="229"/>
      <c r="I284" s="177"/>
      <c r="J284" s="177"/>
      <c r="K284" s="177"/>
      <c r="L284" s="177"/>
      <c r="M284" s="374"/>
      <c r="N284" s="377"/>
      <c r="O284" s="340"/>
      <c r="P284" s="340"/>
      <c r="Q284" s="177"/>
      <c r="R284" s="177"/>
      <c r="S284" s="176">
        <f t="shared" si="84"/>
        <v>500</v>
      </c>
      <c r="T284" s="176"/>
      <c r="U284" s="478">
        <f t="shared" si="78"/>
        <v>500</v>
      </c>
      <c r="V284" s="478">
        <v>500</v>
      </c>
      <c r="W284" s="177"/>
      <c r="X284" s="177"/>
      <c r="Y284" s="177"/>
      <c r="Z284" s="177"/>
      <c r="AA284" s="177"/>
      <c r="AB284" s="177"/>
      <c r="AC284" s="177"/>
      <c r="AD284" s="177"/>
      <c r="AE284" s="177"/>
      <c r="AF284" s="177"/>
      <c r="AG284" s="177"/>
      <c r="AH284" s="177"/>
      <c r="AI284" s="185" t="s">
        <v>84</v>
      </c>
      <c r="AJ284" s="173">
        <f t="shared" si="85"/>
        <v>1</v>
      </c>
    </row>
    <row r="285" spans="1:36" ht="37.5" x14ac:dyDescent="0.25">
      <c r="A285" s="380" t="s">
        <v>1909</v>
      </c>
      <c r="B285" s="495" t="s">
        <v>1887</v>
      </c>
      <c r="C285" s="230"/>
      <c r="D285" s="378"/>
      <c r="E285" s="230"/>
      <c r="F285" s="230"/>
      <c r="G285" s="377"/>
      <c r="H285" s="229"/>
      <c r="I285" s="177"/>
      <c r="J285" s="177"/>
      <c r="K285" s="177"/>
      <c r="L285" s="177"/>
      <c r="M285" s="374"/>
      <c r="N285" s="377"/>
      <c r="O285" s="340"/>
      <c r="P285" s="340"/>
      <c r="Q285" s="177"/>
      <c r="R285" s="177"/>
      <c r="S285" s="176">
        <f t="shared" si="84"/>
        <v>550</v>
      </c>
      <c r="T285" s="176"/>
      <c r="U285" s="478">
        <f t="shared" si="78"/>
        <v>550</v>
      </c>
      <c r="V285" s="478">
        <v>550</v>
      </c>
      <c r="W285" s="177"/>
      <c r="X285" s="177"/>
      <c r="Y285" s="177"/>
      <c r="Z285" s="177"/>
      <c r="AA285" s="177"/>
      <c r="AB285" s="177"/>
      <c r="AC285" s="177"/>
      <c r="AD285" s="177"/>
      <c r="AE285" s="177"/>
      <c r="AF285" s="177"/>
      <c r="AG285" s="177"/>
      <c r="AH285" s="177"/>
      <c r="AI285" s="185" t="s">
        <v>84</v>
      </c>
      <c r="AJ285" s="173">
        <f t="shared" si="85"/>
        <v>1</v>
      </c>
    </row>
    <row r="286" spans="1:36" ht="56.25" x14ac:dyDescent="0.25">
      <c r="A286" s="380" t="s">
        <v>1910</v>
      </c>
      <c r="B286" s="495" t="s">
        <v>1888</v>
      </c>
      <c r="C286" s="230"/>
      <c r="D286" s="378"/>
      <c r="E286" s="230"/>
      <c r="F286" s="230"/>
      <c r="G286" s="377"/>
      <c r="H286" s="229"/>
      <c r="I286" s="177"/>
      <c r="J286" s="177"/>
      <c r="K286" s="177"/>
      <c r="L286" s="177"/>
      <c r="M286" s="374"/>
      <c r="N286" s="377"/>
      <c r="O286" s="340"/>
      <c r="P286" s="340"/>
      <c r="Q286" s="177"/>
      <c r="R286" s="177"/>
      <c r="S286" s="176">
        <f t="shared" si="84"/>
        <v>550</v>
      </c>
      <c r="T286" s="176"/>
      <c r="U286" s="478">
        <f t="shared" si="78"/>
        <v>550</v>
      </c>
      <c r="V286" s="478">
        <v>550</v>
      </c>
      <c r="W286" s="177"/>
      <c r="X286" s="177"/>
      <c r="Y286" s="177"/>
      <c r="Z286" s="177"/>
      <c r="AA286" s="177"/>
      <c r="AB286" s="177"/>
      <c r="AC286" s="177"/>
      <c r="AD286" s="177"/>
      <c r="AE286" s="177"/>
      <c r="AF286" s="177"/>
      <c r="AG286" s="177"/>
      <c r="AH286" s="177"/>
      <c r="AI286" s="185" t="s">
        <v>84</v>
      </c>
      <c r="AJ286" s="173">
        <f t="shared" si="85"/>
        <v>1</v>
      </c>
    </row>
    <row r="287" spans="1:36" ht="112.5" x14ac:dyDescent="0.25">
      <c r="A287" s="380" t="s">
        <v>1911</v>
      </c>
      <c r="B287" s="495" t="s">
        <v>1889</v>
      </c>
      <c r="C287" s="230"/>
      <c r="D287" s="378"/>
      <c r="E287" s="230"/>
      <c r="F287" s="230"/>
      <c r="G287" s="377"/>
      <c r="H287" s="229"/>
      <c r="I287" s="177"/>
      <c r="J287" s="177"/>
      <c r="K287" s="177"/>
      <c r="L287" s="177"/>
      <c r="M287" s="374"/>
      <c r="N287" s="377"/>
      <c r="O287" s="340"/>
      <c r="P287" s="340"/>
      <c r="Q287" s="177"/>
      <c r="R287" s="177"/>
      <c r="S287" s="176">
        <f t="shared" si="84"/>
        <v>900</v>
      </c>
      <c r="T287" s="176"/>
      <c r="U287" s="478">
        <f t="shared" si="78"/>
        <v>900</v>
      </c>
      <c r="V287" s="478">
        <v>900</v>
      </c>
      <c r="W287" s="177"/>
      <c r="X287" s="177"/>
      <c r="Y287" s="177"/>
      <c r="Z287" s="177"/>
      <c r="AA287" s="177"/>
      <c r="AB287" s="177"/>
      <c r="AC287" s="177"/>
      <c r="AD287" s="177"/>
      <c r="AE287" s="177"/>
      <c r="AF287" s="177"/>
      <c r="AG287" s="177"/>
      <c r="AH287" s="177"/>
      <c r="AI287" s="185" t="s">
        <v>84</v>
      </c>
      <c r="AJ287" s="173">
        <f t="shared" si="85"/>
        <v>1</v>
      </c>
    </row>
    <row r="288" spans="1:36" ht="112.5" x14ac:dyDescent="0.25">
      <c r="A288" s="380" t="s">
        <v>1912</v>
      </c>
      <c r="B288" s="494" t="s">
        <v>1890</v>
      </c>
      <c r="C288" s="230"/>
      <c r="D288" s="378"/>
      <c r="E288" s="230"/>
      <c r="F288" s="230"/>
      <c r="G288" s="377"/>
      <c r="H288" s="229"/>
      <c r="I288" s="177"/>
      <c r="J288" s="177"/>
      <c r="K288" s="177"/>
      <c r="L288" s="177"/>
      <c r="M288" s="374"/>
      <c r="N288" s="377"/>
      <c r="O288" s="340"/>
      <c r="P288" s="340"/>
      <c r="Q288" s="177"/>
      <c r="R288" s="177"/>
      <c r="S288" s="176">
        <f t="shared" si="84"/>
        <v>950</v>
      </c>
      <c r="T288" s="176"/>
      <c r="U288" s="478">
        <f t="shared" si="78"/>
        <v>950</v>
      </c>
      <c r="V288" s="478">
        <v>950</v>
      </c>
      <c r="W288" s="177"/>
      <c r="X288" s="177"/>
      <c r="Y288" s="177"/>
      <c r="Z288" s="177"/>
      <c r="AA288" s="177"/>
      <c r="AB288" s="177"/>
      <c r="AC288" s="177"/>
      <c r="AD288" s="177"/>
      <c r="AE288" s="177"/>
      <c r="AF288" s="177"/>
      <c r="AG288" s="177"/>
      <c r="AH288" s="177"/>
      <c r="AI288" s="185" t="s">
        <v>84</v>
      </c>
      <c r="AJ288" s="173">
        <f t="shared" si="85"/>
        <v>1</v>
      </c>
    </row>
    <row r="289" spans="1:36" ht="56.25" x14ac:dyDescent="0.25">
      <c r="A289" s="380" t="s">
        <v>1913</v>
      </c>
      <c r="B289" s="495" t="s">
        <v>1891</v>
      </c>
      <c r="C289" s="230"/>
      <c r="D289" s="378"/>
      <c r="E289" s="230"/>
      <c r="F289" s="230"/>
      <c r="G289" s="377"/>
      <c r="H289" s="229"/>
      <c r="I289" s="177"/>
      <c r="J289" s="177"/>
      <c r="K289" s="177"/>
      <c r="L289" s="177"/>
      <c r="M289" s="374"/>
      <c r="N289" s="377"/>
      <c r="O289" s="340"/>
      <c r="P289" s="340"/>
      <c r="Q289" s="177"/>
      <c r="R289" s="177"/>
      <c r="S289" s="176">
        <f t="shared" si="84"/>
        <v>900</v>
      </c>
      <c r="T289" s="176"/>
      <c r="U289" s="478">
        <f t="shared" si="78"/>
        <v>900</v>
      </c>
      <c r="V289" s="478">
        <v>900</v>
      </c>
      <c r="W289" s="177"/>
      <c r="X289" s="177"/>
      <c r="Y289" s="177"/>
      <c r="Z289" s="177"/>
      <c r="AA289" s="177"/>
      <c r="AB289" s="177"/>
      <c r="AC289" s="177"/>
      <c r="AD289" s="177"/>
      <c r="AE289" s="177"/>
      <c r="AF289" s="177"/>
      <c r="AG289" s="177"/>
      <c r="AH289" s="177"/>
      <c r="AI289" s="185" t="s">
        <v>84</v>
      </c>
      <c r="AJ289" s="173">
        <f t="shared" si="85"/>
        <v>1</v>
      </c>
    </row>
    <row r="290" spans="1:36" ht="75" x14ac:dyDescent="0.25">
      <c r="A290" s="380" t="s">
        <v>1914</v>
      </c>
      <c r="B290" s="495" t="s">
        <v>1892</v>
      </c>
      <c r="C290" s="230"/>
      <c r="D290" s="378"/>
      <c r="E290" s="230"/>
      <c r="F290" s="230"/>
      <c r="G290" s="377"/>
      <c r="H290" s="229"/>
      <c r="I290" s="177"/>
      <c r="J290" s="177"/>
      <c r="K290" s="177"/>
      <c r="L290" s="177"/>
      <c r="M290" s="374"/>
      <c r="N290" s="377"/>
      <c r="O290" s="340"/>
      <c r="P290" s="340"/>
      <c r="Q290" s="177"/>
      <c r="R290" s="177"/>
      <c r="S290" s="176">
        <f t="shared" si="84"/>
        <v>950</v>
      </c>
      <c r="T290" s="176"/>
      <c r="U290" s="478">
        <f t="shared" si="78"/>
        <v>950</v>
      </c>
      <c r="V290" s="478">
        <v>950</v>
      </c>
      <c r="W290" s="177"/>
      <c r="X290" s="177"/>
      <c r="Y290" s="177"/>
      <c r="Z290" s="177"/>
      <c r="AA290" s="177"/>
      <c r="AB290" s="177"/>
      <c r="AC290" s="177"/>
      <c r="AD290" s="177"/>
      <c r="AE290" s="177"/>
      <c r="AF290" s="177"/>
      <c r="AG290" s="177"/>
      <c r="AH290" s="177"/>
      <c r="AI290" s="185" t="s">
        <v>84</v>
      </c>
      <c r="AJ290" s="173">
        <f t="shared" si="85"/>
        <v>1</v>
      </c>
    </row>
    <row r="291" spans="1:36" ht="93.75" x14ac:dyDescent="0.25">
      <c r="A291" s="380" t="s">
        <v>1915</v>
      </c>
      <c r="B291" s="494" t="s">
        <v>1893</v>
      </c>
      <c r="C291" s="230"/>
      <c r="D291" s="378"/>
      <c r="E291" s="230"/>
      <c r="F291" s="230"/>
      <c r="G291" s="377"/>
      <c r="H291" s="229"/>
      <c r="I291" s="177"/>
      <c r="J291" s="177"/>
      <c r="K291" s="177"/>
      <c r="L291" s="177"/>
      <c r="M291" s="374"/>
      <c r="N291" s="377"/>
      <c r="O291" s="340"/>
      <c r="P291" s="340"/>
      <c r="Q291" s="177"/>
      <c r="R291" s="177"/>
      <c r="S291" s="176">
        <f t="shared" si="84"/>
        <v>800</v>
      </c>
      <c r="T291" s="176"/>
      <c r="U291" s="478">
        <f t="shared" si="78"/>
        <v>800</v>
      </c>
      <c r="V291" s="478">
        <v>800</v>
      </c>
      <c r="W291" s="177"/>
      <c r="X291" s="177"/>
      <c r="Y291" s="177"/>
      <c r="Z291" s="177"/>
      <c r="AA291" s="177"/>
      <c r="AB291" s="177"/>
      <c r="AC291" s="177"/>
      <c r="AD291" s="177"/>
      <c r="AE291" s="177"/>
      <c r="AF291" s="177"/>
      <c r="AG291" s="177"/>
      <c r="AH291" s="177"/>
      <c r="AI291" s="185" t="s">
        <v>84</v>
      </c>
      <c r="AJ291" s="173">
        <f t="shared" si="85"/>
        <v>1</v>
      </c>
    </row>
    <row r="292" spans="1:36" ht="112.5" x14ac:dyDescent="0.25">
      <c r="A292" s="380" t="s">
        <v>1916</v>
      </c>
      <c r="B292" s="496" t="s">
        <v>2096</v>
      </c>
      <c r="C292" s="230"/>
      <c r="D292" s="378"/>
      <c r="E292" s="230"/>
      <c r="F292" s="230"/>
      <c r="G292" s="377"/>
      <c r="H292" s="229"/>
      <c r="I292" s="177"/>
      <c r="J292" s="177"/>
      <c r="K292" s="177"/>
      <c r="L292" s="177"/>
      <c r="M292" s="374"/>
      <c r="N292" s="377"/>
      <c r="O292" s="340"/>
      <c r="P292" s="340"/>
      <c r="Q292" s="177"/>
      <c r="R292" s="177"/>
      <c r="S292" s="176">
        <f t="shared" si="84"/>
        <v>900</v>
      </c>
      <c r="T292" s="176"/>
      <c r="U292" s="478">
        <f t="shared" si="78"/>
        <v>900</v>
      </c>
      <c r="V292" s="478">
        <v>900</v>
      </c>
      <c r="W292" s="177"/>
      <c r="X292" s="177"/>
      <c r="Y292" s="177"/>
      <c r="Z292" s="177"/>
      <c r="AA292" s="177"/>
      <c r="AB292" s="177"/>
      <c r="AC292" s="177"/>
      <c r="AD292" s="177"/>
      <c r="AE292" s="177"/>
      <c r="AF292" s="177"/>
      <c r="AG292" s="177"/>
      <c r="AH292" s="177"/>
      <c r="AI292" s="185" t="s">
        <v>84</v>
      </c>
      <c r="AJ292" s="173">
        <f t="shared" si="85"/>
        <v>1</v>
      </c>
    </row>
    <row r="293" spans="1:36" ht="93.75" x14ac:dyDescent="0.25">
      <c r="A293" s="380" t="s">
        <v>1917</v>
      </c>
      <c r="B293" s="495" t="s">
        <v>1894</v>
      </c>
      <c r="C293" s="230"/>
      <c r="D293" s="378"/>
      <c r="E293" s="230"/>
      <c r="F293" s="230"/>
      <c r="G293" s="377"/>
      <c r="H293" s="229"/>
      <c r="I293" s="177"/>
      <c r="J293" s="177"/>
      <c r="K293" s="177"/>
      <c r="L293" s="177"/>
      <c r="M293" s="374"/>
      <c r="N293" s="377"/>
      <c r="O293" s="340"/>
      <c r="P293" s="340"/>
      <c r="Q293" s="177"/>
      <c r="R293" s="177"/>
      <c r="S293" s="176">
        <f t="shared" si="84"/>
        <v>700</v>
      </c>
      <c r="T293" s="176"/>
      <c r="U293" s="478">
        <f t="shared" si="78"/>
        <v>700</v>
      </c>
      <c r="V293" s="478">
        <v>700</v>
      </c>
      <c r="W293" s="177"/>
      <c r="X293" s="177"/>
      <c r="Y293" s="177"/>
      <c r="Z293" s="177"/>
      <c r="AA293" s="177"/>
      <c r="AB293" s="177"/>
      <c r="AC293" s="177"/>
      <c r="AD293" s="177"/>
      <c r="AE293" s="177"/>
      <c r="AF293" s="177"/>
      <c r="AG293" s="177"/>
      <c r="AH293" s="177"/>
      <c r="AI293" s="185" t="s">
        <v>84</v>
      </c>
      <c r="AJ293" s="173">
        <f t="shared" si="85"/>
        <v>1</v>
      </c>
    </row>
    <row r="294" spans="1:36" ht="56.25" x14ac:dyDescent="0.25">
      <c r="A294" s="380" t="s">
        <v>1918</v>
      </c>
      <c r="B294" s="495" t="s">
        <v>1895</v>
      </c>
      <c r="C294" s="230"/>
      <c r="D294" s="378"/>
      <c r="E294" s="230"/>
      <c r="F294" s="230"/>
      <c r="G294" s="377"/>
      <c r="H294" s="229"/>
      <c r="I294" s="177"/>
      <c r="J294" s="177"/>
      <c r="K294" s="177"/>
      <c r="L294" s="177"/>
      <c r="M294" s="374"/>
      <c r="N294" s="377"/>
      <c r="O294" s="340"/>
      <c r="P294" s="340"/>
      <c r="Q294" s="177"/>
      <c r="R294" s="177"/>
      <c r="S294" s="176">
        <f t="shared" si="84"/>
        <v>1200</v>
      </c>
      <c r="T294" s="176"/>
      <c r="U294" s="478">
        <f t="shared" si="78"/>
        <v>1200</v>
      </c>
      <c r="V294" s="478">
        <v>1200</v>
      </c>
      <c r="W294" s="177"/>
      <c r="X294" s="177"/>
      <c r="Y294" s="177"/>
      <c r="Z294" s="177"/>
      <c r="AA294" s="177"/>
      <c r="AB294" s="177"/>
      <c r="AC294" s="177"/>
      <c r="AD294" s="177"/>
      <c r="AE294" s="177"/>
      <c r="AF294" s="177"/>
      <c r="AG294" s="177"/>
      <c r="AH294" s="177"/>
      <c r="AI294" s="185" t="s">
        <v>84</v>
      </c>
      <c r="AJ294" s="173">
        <f t="shared" si="85"/>
        <v>1</v>
      </c>
    </row>
    <row r="295" spans="1:36" ht="93.75" x14ac:dyDescent="0.25">
      <c r="A295" s="380" t="s">
        <v>1919</v>
      </c>
      <c r="B295" s="497" t="s">
        <v>1896</v>
      </c>
      <c r="C295" s="230"/>
      <c r="D295" s="378"/>
      <c r="E295" s="230"/>
      <c r="F295" s="230"/>
      <c r="G295" s="377"/>
      <c r="H295" s="229"/>
      <c r="I295" s="177"/>
      <c r="J295" s="177"/>
      <c r="K295" s="177"/>
      <c r="L295" s="177"/>
      <c r="M295" s="374"/>
      <c r="N295" s="377"/>
      <c r="O295" s="340"/>
      <c r="P295" s="340"/>
      <c r="Q295" s="177"/>
      <c r="R295" s="177"/>
      <c r="S295" s="176">
        <f t="shared" si="84"/>
        <v>550</v>
      </c>
      <c r="T295" s="176"/>
      <c r="U295" s="478">
        <f t="shared" si="78"/>
        <v>550</v>
      </c>
      <c r="V295" s="478">
        <v>550</v>
      </c>
      <c r="W295" s="177"/>
      <c r="X295" s="177"/>
      <c r="Y295" s="177"/>
      <c r="Z295" s="177"/>
      <c r="AA295" s="177"/>
      <c r="AB295" s="177"/>
      <c r="AC295" s="177"/>
      <c r="AD295" s="177"/>
      <c r="AE295" s="177"/>
      <c r="AF295" s="177"/>
      <c r="AG295" s="177"/>
      <c r="AH295" s="177"/>
      <c r="AI295" s="185" t="s">
        <v>84</v>
      </c>
      <c r="AJ295" s="173">
        <f t="shared" si="85"/>
        <v>1</v>
      </c>
    </row>
    <row r="296" spans="1:36" ht="37.5" x14ac:dyDescent="0.25">
      <c r="A296" s="380" t="s">
        <v>1920</v>
      </c>
      <c r="B296" s="495" t="s">
        <v>1897</v>
      </c>
      <c r="C296" s="230"/>
      <c r="D296" s="378"/>
      <c r="E296" s="230"/>
      <c r="F296" s="230"/>
      <c r="G296" s="377"/>
      <c r="H296" s="229"/>
      <c r="I296" s="177"/>
      <c r="J296" s="177"/>
      <c r="K296" s="177"/>
      <c r="L296" s="177"/>
      <c r="M296" s="374"/>
      <c r="N296" s="377"/>
      <c r="O296" s="340"/>
      <c r="P296" s="340"/>
      <c r="Q296" s="177"/>
      <c r="R296" s="177"/>
      <c r="S296" s="176">
        <f t="shared" si="84"/>
        <v>2200</v>
      </c>
      <c r="T296" s="176"/>
      <c r="U296" s="478">
        <f t="shared" si="78"/>
        <v>2200</v>
      </c>
      <c r="V296" s="478">
        <v>2200</v>
      </c>
      <c r="W296" s="177"/>
      <c r="X296" s="177"/>
      <c r="Y296" s="177"/>
      <c r="Z296" s="177"/>
      <c r="AA296" s="177"/>
      <c r="AB296" s="177"/>
      <c r="AC296" s="177"/>
      <c r="AD296" s="177"/>
      <c r="AE296" s="177"/>
      <c r="AF296" s="177"/>
      <c r="AG296" s="177"/>
      <c r="AH296" s="177"/>
      <c r="AI296" s="185" t="s">
        <v>84</v>
      </c>
      <c r="AJ296" s="173">
        <f t="shared" si="85"/>
        <v>1</v>
      </c>
    </row>
    <row r="297" spans="1:36" ht="37.5" x14ac:dyDescent="0.25">
      <c r="A297" s="380" t="s">
        <v>1921</v>
      </c>
      <c r="B297" s="495" t="s">
        <v>1898</v>
      </c>
      <c r="C297" s="230"/>
      <c r="D297" s="378"/>
      <c r="E297" s="230"/>
      <c r="F297" s="230"/>
      <c r="G297" s="377"/>
      <c r="H297" s="229"/>
      <c r="I297" s="177"/>
      <c r="J297" s="177"/>
      <c r="K297" s="177"/>
      <c r="L297" s="177"/>
      <c r="M297" s="374"/>
      <c r="N297" s="377"/>
      <c r="O297" s="340"/>
      <c r="P297" s="340"/>
      <c r="Q297" s="177"/>
      <c r="R297" s="177"/>
      <c r="S297" s="176">
        <f t="shared" si="84"/>
        <v>1500</v>
      </c>
      <c r="T297" s="176"/>
      <c r="U297" s="478">
        <f t="shared" si="78"/>
        <v>1500</v>
      </c>
      <c r="V297" s="478">
        <v>1500</v>
      </c>
      <c r="W297" s="177"/>
      <c r="X297" s="177"/>
      <c r="Y297" s="177"/>
      <c r="Z297" s="177"/>
      <c r="AA297" s="177"/>
      <c r="AB297" s="177"/>
      <c r="AC297" s="177"/>
      <c r="AD297" s="177"/>
      <c r="AE297" s="177"/>
      <c r="AF297" s="177"/>
      <c r="AG297" s="177"/>
      <c r="AH297" s="177"/>
      <c r="AI297" s="185" t="s">
        <v>84</v>
      </c>
      <c r="AJ297" s="173">
        <f t="shared" si="85"/>
        <v>1</v>
      </c>
    </row>
    <row r="298" spans="1:36" ht="75" x14ac:dyDescent="0.25">
      <c r="A298" s="380" t="s">
        <v>1922</v>
      </c>
      <c r="B298" s="495" t="s">
        <v>1899</v>
      </c>
      <c r="C298" s="230"/>
      <c r="D298" s="378"/>
      <c r="E298" s="230"/>
      <c r="F298" s="230"/>
      <c r="G298" s="377"/>
      <c r="H298" s="229"/>
      <c r="I298" s="177"/>
      <c r="J298" s="177"/>
      <c r="K298" s="177"/>
      <c r="L298" s="177"/>
      <c r="M298" s="374"/>
      <c r="N298" s="377"/>
      <c r="O298" s="340"/>
      <c r="P298" s="340"/>
      <c r="Q298" s="177"/>
      <c r="R298" s="177"/>
      <c r="S298" s="176">
        <f t="shared" si="84"/>
        <v>950</v>
      </c>
      <c r="T298" s="176"/>
      <c r="U298" s="478">
        <f t="shared" si="78"/>
        <v>950</v>
      </c>
      <c r="V298" s="478">
        <v>950</v>
      </c>
      <c r="W298" s="177"/>
      <c r="X298" s="177"/>
      <c r="Y298" s="177"/>
      <c r="Z298" s="177"/>
      <c r="AA298" s="177"/>
      <c r="AB298" s="177"/>
      <c r="AC298" s="177"/>
      <c r="AD298" s="177"/>
      <c r="AE298" s="177"/>
      <c r="AF298" s="177"/>
      <c r="AG298" s="177"/>
      <c r="AH298" s="177"/>
      <c r="AI298" s="185" t="s">
        <v>84</v>
      </c>
      <c r="AJ298" s="173">
        <f t="shared" si="85"/>
        <v>1</v>
      </c>
    </row>
    <row r="299" spans="1:36" ht="56.25" x14ac:dyDescent="0.25">
      <c r="A299" s="380" t="s">
        <v>1923</v>
      </c>
      <c r="B299" s="495" t="s">
        <v>1900</v>
      </c>
      <c r="C299" s="230"/>
      <c r="D299" s="378"/>
      <c r="E299" s="230"/>
      <c r="F299" s="230"/>
      <c r="G299" s="377"/>
      <c r="H299" s="229"/>
      <c r="I299" s="177"/>
      <c r="J299" s="177"/>
      <c r="K299" s="177"/>
      <c r="L299" s="177"/>
      <c r="M299" s="374"/>
      <c r="N299" s="377"/>
      <c r="O299" s="340"/>
      <c r="P299" s="340"/>
      <c r="Q299" s="177"/>
      <c r="R299" s="177"/>
      <c r="S299" s="176">
        <f t="shared" si="84"/>
        <v>550</v>
      </c>
      <c r="T299" s="176"/>
      <c r="U299" s="478">
        <f t="shared" si="78"/>
        <v>550</v>
      </c>
      <c r="V299" s="478">
        <v>550</v>
      </c>
      <c r="W299" s="177"/>
      <c r="X299" s="177"/>
      <c r="Y299" s="177"/>
      <c r="Z299" s="177"/>
      <c r="AA299" s="177"/>
      <c r="AB299" s="177"/>
      <c r="AC299" s="177"/>
      <c r="AD299" s="177"/>
      <c r="AE299" s="177"/>
      <c r="AF299" s="177"/>
      <c r="AG299" s="177"/>
      <c r="AH299" s="177"/>
      <c r="AI299" s="185" t="s">
        <v>84</v>
      </c>
      <c r="AJ299" s="173">
        <f t="shared" si="85"/>
        <v>1</v>
      </c>
    </row>
    <row r="300" spans="1:36" ht="37.5" x14ac:dyDescent="0.25">
      <c r="A300" s="380" t="s">
        <v>1924</v>
      </c>
      <c r="B300" s="495" t="s">
        <v>1901</v>
      </c>
      <c r="C300" s="230"/>
      <c r="D300" s="378"/>
      <c r="E300" s="230"/>
      <c r="F300" s="230"/>
      <c r="G300" s="377"/>
      <c r="H300" s="229"/>
      <c r="I300" s="177"/>
      <c r="J300" s="177"/>
      <c r="K300" s="177"/>
      <c r="L300" s="177"/>
      <c r="M300" s="374"/>
      <c r="N300" s="377"/>
      <c r="O300" s="340"/>
      <c r="P300" s="340"/>
      <c r="Q300" s="177"/>
      <c r="R300" s="177"/>
      <c r="S300" s="176">
        <f t="shared" si="84"/>
        <v>800</v>
      </c>
      <c r="T300" s="176"/>
      <c r="U300" s="478">
        <f t="shared" si="78"/>
        <v>800</v>
      </c>
      <c r="V300" s="478">
        <v>800</v>
      </c>
      <c r="W300" s="177"/>
      <c r="X300" s="177"/>
      <c r="Y300" s="177"/>
      <c r="Z300" s="177"/>
      <c r="AA300" s="177"/>
      <c r="AB300" s="177"/>
      <c r="AC300" s="177"/>
      <c r="AD300" s="177"/>
      <c r="AE300" s="177"/>
      <c r="AF300" s="177"/>
      <c r="AG300" s="177"/>
      <c r="AH300" s="177"/>
      <c r="AI300" s="185" t="s">
        <v>84</v>
      </c>
      <c r="AJ300" s="173">
        <f t="shared" si="85"/>
        <v>1</v>
      </c>
    </row>
    <row r="301" spans="1:36" ht="37.5" x14ac:dyDescent="0.25">
      <c r="A301" s="380" t="s">
        <v>1925</v>
      </c>
      <c r="B301" s="495" t="s">
        <v>1902</v>
      </c>
      <c r="C301" s="230"/>
      <c r="D301" s="378"/>
      <c r="E301" s="230"/>
      <c r="F301" s="230"/>
      <c r="G301" s="377"/>
      <c r="H301" s="229"/>
      <c r="I301" s="177"/>
      <c r="J301" s="177"/>
      <c r="K301" s="177"/>
      <c r="L301" s="177"/>
      <c r="M301" s="374"/>
      <c r="N301" s="377"/>
      <c r="O301" s="340"/>
      <c r="P301" s="340"/>
      <c r="Q301" s="177"/>
      <c r="R301" s="177"/>
      <c r="S301" s="176">
        <f t="shared" si="84"/>
        <v>350</v>
      </c>
      <c r="T301" s="176"/>
      <c r="U301" s="478">
        <f t="shared" si="78"/>
        <v>350</v>
      </c>
      <c r="V301" s="478">
        <v>350</v>
      </c>
      <c r="W301" s="177"/>
      <c r="X301" s="177"/>
      <c r="Y301" s="177"/>
      <c r="Z301" s="177"/>
      <c r="AA301" s="177"/>
      <c r="AB301" s="177"/>
      <c r="AC301" s="177"/>
      <c r="AD301" s="177"/>
      <c r="AE301" s="177"/>
      <c r="AF301" s="177"/>
      <c r="AG301" s="177"/>
      <c r="AH301" s="177"/>
      <c r="AI301" s="185" t="s">
        <v>84</v>
      </c>
      <c r="AJ301" s="173">
        <f t="shared" si="85"/>
        <v>1</v>
      </c>
    </row>
    <row r="302" spans="1:36" s="362" customFormat="1" ht="49.5" x14ac:dyDescent="0.25">
      <c r="A302" s="368" t="s">
        <v>879</v>
      </c>
      <c r="B302" s="367" t="s">
        <v>1292</v>
      </c>
      <c r="C302" s="366"/>
      <c r="D302" s="373"/>
      <c r="E302" s="372" t="s">
        <v>101</v>
      </c>
      <c r="F302" s="366"/>
      <c r="G302" s="371">
        <f>SUM(G303:G313)</f>
        <v>146540</v>
      </c>
      <c r="H302" s="371">
        <f>SUM(H303:H313)</f>
        <v>146540</v>
      </c>
      <c r="I302" s="365"/>
      <c r="J302" s="365"/>
      <c r="K302" s="365"/>
      <c r="L302" s="365"/>
      <c r="M302" s="371">
        <f t="shared" ref="M302:AH302" si="86">SUM(M303:M313)</f>
        <v>124500</v>
      </c>
      <c r="N302" s="371">
        <f t="shared" si="86"/>
        <v>124500</v>
      </c>
      <c r="O302" s="376">
        <f t="shared" si="86"/>
        <v>124500</v>
      </c>
      <c r="P302" s="376">
        <f t="shared" si="86"/>
        <v>124500</v>
      </c>
      <c r="Q302" s="371">
        <f t="shared" si="86"/>
        <v>0</v>
      </c>
      <c r="R302" s="371">
        <f t="shared" si="86"/>
        <v>0</v>
      </c>
      <c r="S302" s="371">
        <f t="shared" si="86"/>
        <v>0</v>
      </c>
      <c r="T302" s="371">
        <f t="shared" si="86"/>
        <v>0</v>
      </c>
      <c r="U302" s="481">
        <f t="shared" si="86"/>
        <v>124500</v>
      </c>
      <c r="V302" s="481">
        <v>124500</v>
      </c>
      <c r="W302" s="376">
        <f t="shared" si="86"/>
        <v>0</v>
      </c>
      <c r="X302" s="376">
        <f t="shared" si="86"/>
        <v>0</v>
      </c>
      <c r="Y302" s="376">
        <f t="shared" si="86"/>
        <v>9030</v>
      </c>
      <c r="Z302" s="376">
        <f t="shared" si="86"/>
        <v>9030</v>
      </c>
      <c r="AA302" s="376">
        <f t="shared" si="86"/>
        <v>0</v>
      </c>
      <c r="AB302" s="376">
        <f t="shared" si="86"/>
        <v>0</v>
      </c>
      <c r="AC302" s="376">
        <f t="shared" si="86"/>
        <v>0</v>
      </c>
      <c r="AD302" s="376">
        <f t="shared" si="86"/>
        <v>0</v>
      </c>
      <c r="AE302" s="376">
        <f t="shared" si="86"/>
        <v>0</v>
      </c>
      <c r="AF302" s="376">
        <f t="shared" si="86"/>
        <v>0</v>
      </c>
      <c r="AG302" s="376">
        <f t="shared" si="86"/>
        <v>0</v>
      </c>
      <c r="AH302" s="376">
        <f t="shared" si="86"/>
        <v>0</v>
      </c>
      <c r="AI302" s="363"/>
      <c r="AJ302" s="173">
        <f t="shared" si="85"/>
        <v>0</v>
      </c>
    </row>
    <row r="303" spans="1:36" ht="33" x14ac:dyDescent="0.25">
      <c r="A303" s="184">
        <v>1</v>
      </c>
      <c r="B303" s="375" t="s">
        <v>1291</v>
      </c>
      <c r="C303" s="188" t="s">
        <v>194</v>
      </c>
      <c r="D303" s="182" t="s">
        <v>1290</v>
      </c>
      <c r="E303" s="188" t="s">
        <v>248</v>
      </c>
      <c r="F303" s="180"/>
      <c r="G303" s="374">
        <v>7313</v>
      </c>
      <c r="H303" s="374">
        <v>7313</v>
      </c>
      <c r="I303" s="175"/>
      <c r="J303" s="175"/>
      <c r="K303" s="175"/>
      <c r="L303" s="175"/>
      <c r="M303" s="179">
        <f>N303</f>
        <v>6000</v>
      </c>
      <c r="N303" s="179">
        <v>6000</v>
      </c>
      <c r="O303" s="178">
        <f>P303</f>
        <v>6000</v>
      </c>
      <c r="P303" s="178">
        <v>6000</v>
      </c>
      <c r="Q303" s="177">
        <f t="shared" ref="Q303:R315" si="87">O303-M303</f>
        <v>0</v>
      </c>
      <c r="R303" s="177">
        <f t="shared" si="87"/>
        <v>0</v>
      </c>
      <c r="S303" s="176"/>
      <c r="T303" s="176"/>
      <c r="U303" s="456">
        <f>V303</f>
        <v>6000</v>
      </c>
      <c r="V303" s="456">
        <v>6000</v>
      </c>
      <c r="W303" s="175"/>
      <c r="X303" s="175"/>
      <c r="Y303" s="175">
        <f>Z303</f>
        <v>5950</v>
      </c>
      <c r="Z303" s="175">
        <v>5950</v>
      </c>
      <c r="AA303" s="175"/>
      <c r="AB303" s="175"/>
      <c r="AC303" s="175"/>
      <c r="AD303" s="175"/>
      <c r="AE303" s="175"/>
      <c r="AF303" s="175"/>
      <c r="AG303" s="175"/>
      <c r="AH303" s="175"/>
      <c r="AI303" s="174"/>
      <c r="AJ303" s="173">
        <f t="shared" si="85"/>
        <v>0</v>
      </c>
    </row>
    <row r="304" spans="1:36" ht="16.5" x14ac:dyDescent="0.25">
      <c r="A304" s="184">
        <v>2</v>
      </c>
      <c r="B304" s="375" t="s">
        <v>1289</v>
      </c>
      <c r="C304" s="188" t="s">
        <v>194</v>
      </c>
      <c r="D304" s="182" t="s">
        <v>1288</v>
      </c>
      <c r="E304" s="188" t="s">
        <v>248</v>
      </c>
      <c r="F304" s="180"/>
      <c r="G304" s="374">
        <v>3734</v>
      </c>
      <c r="H304" s="374">
        <v>3734</v>
      </c>
      <c r="I304" s="175"/>
      <c r="J304" s="175"/>
      <c r="K304" s="175"/>
      <c r="L304" s="175"/>
      <c r="M304" s="179">
        <f>N304</f>
        <v>3200</v>
      </c>
      <c r="N304" s="179">
        <v>3200</v>
      </c>
      <c r="O304" s="178">
        <f>P304</f>
        <v>3200</v>
      </c>
      <c r="P304" s="178">
        <v>3200</v>
      </c>
      <c r="Q304" s="177">
        <f t="shared" si="87"/>
        <v>0</v>
      </c>
      <c r="R304" s="177">
        <f t="shared" si="87"/>
        <v>0</v>
      </c>
      <c r="S304" s="176"/>
      <c r="T304" s="176"/>
      <c r="U304" s="456">
        <f>V304</f>
        <v>3200</v>
      </c>
      <c r="V304" s="456">
        <v>3200</v>
      </c>
      <c r="W304" s="175"/>
      <c r="X304" s="175"/>
      <c r="Y304" s="175">
        <f>Z304</f>
        <v>3080</v>
      </c>
      <c r="Z304" s="175">
        <v>3080</v>
      </c>
      <c r="AA304" s="175"/>
      <c r="AB304" s="175"/>
      <c r="AC304" s="175"/>
      <c r="AD304" s="175"/>
      <c r="AE304" s="175"/>
      <c r="AF304" s="175"/>
      <c r="AG304" s="175"/>
      <c r="AH304" s="175"/>
      <c r="AI304" s="174"/>
      <c r="AJ304" s="173">
        <f t="shared" si="85"/>
        <v>0</v>
      </c>
    </row>
    <row r="305" spans="1:36" ht="33" x14ac:dyDescent="0.25">
      <c r="A305" s="184">
        <v>3</v>
      </c>
      <c r="B305" s="375" t="s">
        <v>1287</v>
      </c>
      <c r="C305" s="188" t="s">
        <v>194</v>
      </c>
      <c r="D305" s="182" t="s">
        <v>1286</v>
      </c>
      <c r="E305" s="188" t="s">
        <v>248</v>
      </c>
      <c r="F305" s="180"/>
      <c r="G305" s="374">
        <v>6342</v>
      </c>
      <c r="H305" s="374">
        <v>6342</v>
      </c>
      <c r="I305" s="175"/>
      <c r="J305" s="175"/>
      <c r="K305" s="175"/>
      <c r="L305" s="175"/>
      <c r="M305" s="179">
        <f>N305</f>
        <v>4800</v>
      </c>
      <c r="N305" s="179">
        <v>4800</v>
      </c>
      <c r="O305" s="178">
        <f>P305</f>
        <v>4800</v>
      </c>
      <c r="P305" s="178">
        <v>4800</v>
      </c>
      <c r="Q305" s="177">
        <f t="shared" si="87"/>
        <v>0</v>
      </c>
      <c r="R305" s="177">
        <f t="shared" si="87"/>
        <v>0</v>
      </c>
      <c r="S305" s="176"/>
      <c r="T305" s="176"/>
      <c r="U305" s="456">
        <f>V305</f>
        <v>4800</v>
      </c>
      <c r="V305" s="456">
        <v>4800</v>
      </c>
      <c r="W305" s="175"/>
      <c r="X305" s="175"/>
      <c r="Y305" s="175"/>
      <c r="Z305" s="175"/>
      <c r="AA305" s="175"/>
      <c r="AB305" s="175"/>
      <c r="AC305" s="175"/>
      <c r="AD305" s="175"/>
      <c r="AE305" s="175"/>
      <c r="AF305" s="175"/>
      <c r="AG305" s="175"/>
      <c r="AH305" s="175"/>
      <c r="AI305" s="174"/>
      <c r="AJ305" s="173">
        <f t="shared" si="85"/>
        <v>0</v>
      </c>
    </row>
    <row r="306" spans="1:36" ht="66" x14ac:dyDescent="0.25">
      <c r="A306" s="184">
        <v>4</v>
      </c>
      <c r="B306" s="375" t="s">
        <v>1285</v>
      </c>
      <c r="C306" s="188" t="s">
        <v>1284</v>
      </c>
      <c r="D306" s="182"/>
      <c r="E306" s="188" t="s">
        <v>116</v>
      </c>
      <c r="F306" s="180"/>
      <c r="G306" s="341">
        <v>15500</v>
      </c>
      <c r="H306" s="341">
        <v>15500</v>
      </c>
      <c r="I306" s="175"/>
      <c r="J306" s="175"/>
      <c r="K306" s="175"/>
      <c r="L306" s="175"/>
      <c r="M306" s="179">
        <v>15000</v>
      </c>
      <c r="N306" s="179">
        <v>15000</v>
      </c>
      <c r="O306" s="178">
        <v>15000</v>
      </c>
      <c r="P306" s="178">
        <v>15000</v>
      </c>
      <c r="Q306" s="177">
        <f t="shared" si="87"/>
        <v>0</v>
      </c>
      <c r="R306" s="177">
        <f t="shared" si="87"/>
        <v>0</v>
      </c>
      <c r="S306" s="176"/>
      <c r="T306" s="176"/>
      <c r="U306" s="456">
        <v>15000</v>
      </c>
      <c r="V306" s="456">
        <v>15000</v>
      </c>
      <c r="W306" s="175"/>
      <c r="X306" s="175"/>
      <c r="Y306" s="175"/>
      <c r="Z306" s="175"/>
      <c r="AA306" s="175"/>
      <c r="AB306" s="175"/>
      <c r="AC306" s="175"/>
      <c r="AD306" s="175"/>
      <c r="AE306" s="175"/>
      <c r="AF306" s="175"/>
      <c r="AG306" s="175"/>
      <c r="AH306" s="175"/>
      <c r="AI306" s="174"/>
      <c r="AJ306" s="173">
        <f t="shared" si="85"/>
        <v>0</v>
      </c>
    </row>
    <row r="307" spans="1:36" ht="33" x14ac:dyDescent="0.25">
      <c r="A307" s="184">
        <v>5</v>
      </c>
      <c r="B307" s="375" t="s">
        <v>1283</v>
      </c>
      <c r="C307" s="188" t="s">
        <v>1282</v>
      </c>
      <c r="D307" s="182"/>
      <c r="E307" s="188" t="s">
        <v>116</v>
      </c>
      <c r="F307" s="180"/>
      <c r="G307" s="341">
        <v>15000</v>
      </c>
      <c r="H307" s="341">
        <v>15000</v>
      </c>
      <c r="I307" s="175"/>
      <c r="J307" s="175"/>
      <c r="K307" s="175"/>
      <c r="L307" s="175"/>
      <c r="M307" s="179">
        <v>15000</v>
      </c>
      <c r="N307" s="179">
        <v>15000</v>
      </c>
      <c r="O307" s="178">
        <v>15000</v>
      </c>
      <c r="P307" s="178">
        <v>15000</v>
      </c>
      <c r="Q307" s="177">
        <f t="shared" si="87"/>
        <v>0</v>
      </c>
      <c r="R307" s="177">
        <f t="shared" si="87"/>
        <v>0</v>
      </c>
      <c r="S307" s="176"/>
      <c r="T307" s="176"/>
      <c r="U307" s="456">
        <v>15000</v>
      </c>
      <c r="V307" s="456">
        <v>15000</v>
      </c>
      <c r="W307" s="175"/>
      <c r="X307" s="175"/>
      <c r="Y307" s="175"/>
      <c r="Z307" s="175"/>
      <c r="AA307" s="175"/>
      <c r="AB307" s="175"/>
      <c r="AC307" s="175"/>
      <c r="AD307" s="175"/>
      <c r="AE307" s="175"/>
      <c r="AF307" s="175"/>
      <c r="AG307" s="175"/>
      <c r="AH307" s="175"/>
      <c r="AI307" s="174"/>
      <c r="AJ307" s="173">
        <f t="shared" si="85"/>
        <v>0</v>
      </c>
    </row>
    <row r="308" spans="1:36" ht="49.5" x14ac:dyDescent="0.25">
      <c r="A308" s="184">
        <v>6</v>
      </c>
      <c r="B308" s="375" t="s">
        <v>1281</v>
      </c>
      <c r="C308" s="188" t="s">
        <v>1280</v>
      </c>
      <c r="D308" s="182"/>
      <c r="E308" s="188" t="s">
        <v>116</v>
      </c>
      <c r="F308" s="180"/>
      <c r="G308" s="341">
        <v>15000</v>
      </c>
      <c r="H308" s="341">
        <v>15000</v>
      </c>
      <c r="I308" s="175"/>
      <c r="J308" s="175"/>
      <c r="K308" s="175"/>
      <c r="L308" s="175"/>
      <c r="M308" s="179">
        <v>15000</v>
      </c>
      <c r="N308" s="179">
        <v>15000</v>
      </c>
      <c r="O308" s="178">
        <v>15000</v>
      </c>
      <c r="P308" s="178">
        <v>15000</v>
      </c>
      <c r="Q308" s="177">
        <f t="shared" si="87"/>
        <v>0</v>
      </c>
      <c r="R308" s="177">
        <f t="shared" si="87"/>
        <v>0</v>
      </c>
      <c r="S308" s="176"/>
      <c r="T308" s="176"/>
      <c r="U308" s="456">
        <v>15000</v>
      </c>
      <c r="V308" s="456">
        <v>15000</v>
      </c>
      <c r="W308" s="175"/>
      <c r="X308" s="175"/>
      <c r="Y308" s="175"/>
      <c r="Z308" s="175"/>
      <c r="AA308" s="175"/>
      <c r="AB308" s="175"/>
      <c r="AC308" s="175"/>
      <c r="AD308" s="175"/>
      <c r="AE308" s="175"/>
      <c r="AF308" s="175"/>
      <c r="AG308" s="175"/>
      <c r="AH308" s="175"/>
      <c r="AI308" s="174"/>
      <c r="AJ308" s="173">
        <f t="shared" si="85"/>
        <v>0</v>
      </c>
    </row>
    <row r="309" spans="1:36" ht="49.5" x14ac:dyDescent="0.25">
      <c r="A309" s="184">
        <v>7</v>
      </c>
      <c r="B309" s="375" t="s">
        <v>1279</v>
      </c>
      <c r="C309" s="188" t="s">
        <v>1278</v>
      </c>
      <c r="D309" s="182"/>
      <c r="E309" s="188" t="s">
        <v>116</v>
      </c>
      <c r="F309" s="188" t="s">
        <v>1277</v>
      </c>
      <c r="G309" s="341">
        <v>13747</v>
      </c>
      <c r="H309" s="341">
        <v>13747</v>
      </c>
      <c r="I309" s="175"/>
      <c r="J309" s="175"/>
      <c r="K309" s="175"/>
      <c r="L309" s="175"/>
      <c r="M309" s="179">
        <v>12500</v>
      </c>
      <c r="N309" s="179">
        <v>12500</v>
      </c>
      <c r="O309" s="178">
        <v>12500</v>
      </c>
      <c r="P309" s="178">
        <v>12500</v>
      </c>
      <c r="Q309" s="177">
        <f t="shared" si="87"/>
        <v>0</v>
      </c>
      <c r="R309" s="177">
        <f t="shared" si="87"/>
        <v>0</v>
      </c>
      <c r="S309" s="176"/>
      <c r="T309" s="176"/>
      <c r="U309" s="456">
        <v>12500</v>
      </c>
      <c r="V309" s="456">
        <v>12500</v>
      </c>
      <c r="W309" s="175"/>
      <c r="X309" s="175"/>
      <c r="Y309" s="175"/>
      <c r="Z309" s="175"/>
      <c r="AA309" s="175"/>
      <c r="AB309" s="175"/>
      <c r="AC309" s="175"/>
      <c r="AD309" s="175"/>
      <c r="AE309" s="175"/>
      <c r="AF309" s="175"/>
      <c r="AG309" s="175"/>
      <c r="AH309" s="175"/>
      <c r="AI309" s="174"/>
      <c r="AJ309" s="173">
        <f t="shared" si="85"/>
        <v>0</v>
      </c>
    </row>
    <row r="310" spans="1:36" ht="49.5" x14ac:dyDescent="0.25">
      <c r="A310" s="184">
        <v>8</v>
      </c>
      <c r="B310" s="375" t="s">
        <v>1276</v>
      </c>
      <c r="C310" s="188" t="s">
        <v>1275</v>
      </c>
      <c r="D310" s="182"/>
      <c r="E310" s="188" t="s">
        <v>116</v>
      </c>
      <c r="F310" s="180"/>
      <c r="G310" s="341">
        <v>15000</v>
      </c>
      <c r="H310" s="341">
        <v>15000</v>
      </c>
      <c r="I310" s="175"/>
      <c r="J310" s="175"/>
      <c r="K310" s="175"/>
      <c r="L310" s="175"/>
      <c r="M310" s="179">
        <v>15000</v>
      </c>
      <c r="N310" s="179">
        <v>15000</v>
      </c>
      <c r="O310" s="178">
        <v>15000</v>
      </c>
      <c r="P310" s="178">
        <v>15000</v>
      </c>
      <c r="Q310" s="177">
        <f t="shared" si="87"/>
        <v>0</v>
      </c>
      <c r="R310" s="177">
        <f t="shared" si="87"/>
        <v>0</v>
      </c>
      <c r="S310" s="176"/>
      <c r="T310" s="176"/>
      <c r="U310" s="456">
        <v>15000</v>
      </c>
      <c r="V310" s="456">
        <v>15000</v>
      </c>
      <c r="W310" s="175"/>
      <c r="X310" s="175"/>
      <c r="Y310" s="175"/>
      <c r="Z310" s="175"/>
      <c r="AA310" s="175"/>
      <c r="AB310" s="175"/>
      <c r="AC310" s="175"/>
      <c r="AD310" s="175"/>
      <c r="AE310" s="175"/>
      <c r="AF310" s="175"/>
      <c r="AG310" s="175"/>
      <c r="AH310" s="175"/>
      <c r="AI310" s="174"/>
      <c r="AJ310" s="173">
        <f t="shared" si="85"/>
        <v>0</v>
      </c>
    </row>
    <row r="311" spans="1:36" ht="33" x14ac:dyDescent="0.25">
      <c r="A311" s="184">
        <v>9</v>
      </c>
      <c r="B311" s="375" t="s">
        <v>1274</v>
      </c>
      <c r="C311" s="188" t="s">
        <v>1273</v>
      </c>
      <c r="D311" s="182"/>
      <c r="E311" s="188" t="s">
        <v>116</v>
      </c>
      <c r="F311" s="180"/>
      <c r="G311" s="341">
        <v>12000</v>
      </c>
      <c r="H311" s="341">
        <v>12000</v>
      </c>
      <c r="I311" s="175"/>
      <c r="J311" s="175"/>
      <c r="K311" s="175"/>
      <c r="L311" s="175"/>
      <c r="M311" s="179">
        <v>12000</v>
      </c>
      <c r="N311" s="179">
        <v>12000</v>
      </c>
      <c r="O311" s="178">
        <v>12000</v>
      </c>
      <c r="P311" s="178">
        <v>12000</v>
      </c>
      <c r="Q311" s="177">
        <f t="shared" si="87"/>
        <v>0</v>
      </c>
      <c r="R311" s="177">
        <f t="shared" si="87"/>
        <v>0</v>
      </c>
      <c r="S311" s="176"/>
      <c r="T311" s="176"/>
      <c r="U311" s="456">
        <v>12000</v>
      </c>
      <c r="V311" s="456">
        <v>12000</v>
      </c>
      <c r="W311" s="175"/>
      <c r="X311" s="175"/>
      <c r="Y311" s="175"/>
      <c r="Z311" s="175"/>
      <c r="AA311" s="175"/>
      <c r="AB311" s="175"/>
      <c r="AC311" s="175"/>
      <c r="AD311" s="175"/>
      <c r="AE311" s="175"/>
      <c r="AF311" s="175"/>
      <c r="AG311" s="175"/>
      <c r="AH311" s="175"/>
      <c r="AI311" s="174"/>
      <c r="AJ311" s="173">
        <f t="shared" si="85"/>
        <v>0</v>
      </c>
    </row>
    <row r="312" spans="1:36" ht="49.5" x14ac:dyDescent="0.25">
      <c r="A312" s="184">
        <v>10</v>
      </c>
      <c r="B312" s="375" t="s">
        <v>1272</v>
      </c>
      <c r="C312" s="188" t="s">
        <v>1271</v>
      </c>
      <c r="D312" s="182"/>
      <c r="E312" s="188" t="s">
        <v>116</v>
      </c>
      <c r="F312" s="180"/>
      <c r="G312" s="341">
        <v>11000</v>
      </c>
      <c r="H312" s="341">
        <v>11000</v>
      </c>
      <c r="I312" s="175"/>
      <c r="J312" s="175"/>
      <c r="K312" s="175"/>
      <c r="L312" s="175"/>
      <c r="M312" s="179">
        <v>11000</v>
      </c>
      <c r="N312" s="179">
        <v>11000</v>
      </c>
      <c r="O312" s="178">
        <v>11000</v>
      </c>
      <c r="P312" s="178">
        <v>11000</v>
      </c>
      <c r="Q312" s="177">
        <f t="shared" si="87"/>
        <v>0</v>
      </c>
      <c r="R312" s="177">
        <f t="shared" si="87"/>
        <v>0</v>
      </c>
      <c r="S312" s="176"/>
      <c r="T312" s="176"/>
      <c r="U312" s="456">
        <v>11000</v>
      </c>
      <c r="V312" s="456">
        <v>11000</v>
      </c>
      <c r="W312" s="175"/>
      <c r="X312" s="175"/>
      <c r="Y312" s="175"/>
      <c r="Z312" s="175"/>
      <c r="AA312" s="175"/>
      <c r="AB312" s="175"/>
      <c r="AC312" s="175"/>
      <c r="AD312" s="175"/>
      <c r="AE312" s="175"/>
      <c r="AF312" s="175"/>
      <c r="AG312" s="175"/>
      <c r="AH312" s="175"/>
      <c r="AI312" s="174"/>
      <c r="AJ312" s="173">
        <f t="shared" si="85"/>
        <v>0</v>
      </c>
    </row>
    <row r="313" spans="1:36" ht="16.5" x14ac:dyDescent="0.25">
      <c r="A313" s="184">
        <v>11</v>
      </c>
      <c r="B313" s="375" t="s">
        <v>1270</v>
      </c>
      <c r="C313" s="188" t="s">
        <v>58</v>
      </c>
      <c r="D313" s="182"/>
      <c r="E313" s="188" t="s">
        <v>116</v>
      </c>
      <c r="F313" s="180"/>
      <c r="G313" s="374">
        <v>31904</v>
      </c>
      <c r="H313" s="374">
        <v>31904</v>
      </c>
      <c r="I313" s="175"/>
      <c r="J313" s="175"/>
      <c r="K313" s="175"/>
      <c r="L313" s="175"/>
      <c r="M313" s="179">
        <v>15000</v>
      </c>
      <c r="N313" s="179">
        <v>15000</v>
      </c>
      <c r="O313" s="178">
        <v>15000</v>
      </c>
      <c r="P313" s="178">
        <v>15000</v>
      </c>
      <c r="Q313" s="177">
        <f t="shared" si="87"/>
        <v>0</v>
      </c>
      <c r="R313" s="177">
        <f t="shared" si="87"/>
        <v>0</v>
      </c>
      <c r="S313" s="176"/>
      <c r="T313" s="176"/>
      <c r="U313" s="456">
        <v>15000</v>
      </c>
      <c r="V313" s="456">
        <v>15000</v>
      </c>
      <c r="W313" s="175"/>
      <c r="X313" s="175"/>
      <c r="Y313" s="175"/>
      <c r="Z313" s="175"/>
      <c r="AA313" s="175"/>
      <c r="AB313" s="175"/>
      <c r="AC313" s="175"/>
      <c r="AD313" s="175"/>
      <c r="AE313" s="175"/>
      <c r="AF313" s="175"/>
      <c r="AG313" s="175"/>
      <c r="AH313" s="175"/>
      <c r="AI313" s="174"/>
      <c r="AJ313" s="173">
        <f t="shared" si="85"/>
        <v>0</v>
      </c>
    </row>
    <row r="314" spans="1:36" s="362" customFormat="1" ht="49.5" x14ac:dyDescent="0.25">
      <c r="A314" s="368" t="s">
        <v>881</v>
      </c>
      <c r="B314" s="367" t="s">
        <v>1269</v>
      </c>
      <c r="C314" s="366"/>
      <c r="D314" s="373" t="s">
        <v>488</v>
      </c>
      <c r="E314" s="372" t="s">
        <v>101</v>
      </c>
      <c r="F314" s="366"/>
      <c r="G314" s="371">
        <v>75560</v>
      </c>
      <c r="H314" s="371">
        <v>20000</v>
      </c>
      <c r="I314" s="365"/>
      <c r="J314" s="365"/>
      <c r="K314" s="365"/>
      <c r="L314" s="365"/>
      <c r="M314" s="371">
        <f>48000+N314</f>
        <v>68000</v>
      </c>
      <c r="N314" s="371">
        <v>20000</v>
      </c>
      <c r="O314" s="364"/>
      <c r="P314" s="364"/>
      <c r="Q314" s="370">
        <f t="shared" si="87"/>
        <v>-68000</v>
      </c>
      <c r="R314" s="370">
        <f t="shared" si="87"/>
        <v>-20000</v>
      </c>
      <c r="S314" s="369"/>
      <c r="T314" s="371">
        <f>N314</f>
        <v>20000</v>
      </c>
      <c r="U314" s="472"/>
      <c r="V314" s="472"/>
      <c r="W314" s="365"/>
      <c r="X314" s="365"/>
      <c r="Y314" s="365"/>
      <c r="Z314" s="365"/>
      <c r="AA314" s="365"/>
      <c r="AB314" s="365"/>
      <c r="AC314" s="365"/>
      <c r="AD314" s="365"/>
      <c r="AE314" s="365"/>
      <c r="AF314" s="365"/>
      <c r="AG314" s="365"/>
      <c r="AH314" s="365"/>
      <c r="AI314" s="366" t="s">
        <v>1268</v>
      </c>
      <c r="AJ314" s="173">
        <f t="shared" si="85"/>
        <v>1</v>
      </c>
    </row>
    <row r="315" spans="1:36" s="362" customFormat="1" ht="108.75" customHeight="1" x14ac:dyDescent="0.25">
      <c r="A315" s="368" t="s">
        <v>1267</v>
      </c>
      <c r="B315" s="367" t="s">
        <v>1266</v>
      </c>
      <c r="C315" s="366"/>
      <c r="D315" s="373"/>
      <c r="E315" s="372"/>
      <c r="F315" s="366"/>
      <c r="G315" s="371"/>
      <c r="H315" s="371"/>
      <c r="I315" s="365"/>
      <c r="J315" s="365"/>
      <c r="K315" s="365"/>
      <c r="L315" s="365"/>
      <c r="M315" s="371">
        <v>98000</v>
      </c>
      <c r="N315" s="371">
        <f>M315</f>
        <v>98000</v>
      </c>
      <c r="O315" s="364">
        <f>P315</f>
        <v>98000</v>
      </c>
      <c r="P315" s="364">
        <v>98000</v>
      </c>
      <c r="Q315" s="370">
        <f t="shared" si="87"/>
        <v>0</v>
      </c>
      <c r="R315" s="370">
        <f t="shared" si="87"/>
        <v>0</v>
      </c>
      <c r="S315" s="369"/>
      <c r="T315" s="369"/>
      <c r="U315" s="472">
        <f>V315</f>
        <v>98000</v>
      </c>
      <c r="V315" s="472">
        <v>98000</v>
      </c>
      <c r="W315" s="365"/>
      <c r="X315" s="365"/>
      <c r="Y315" s="365"/>
      <c r="Z315" s="365">
        <v>25000</v>
      </c>
      <c r="AA315" s="365"/>
      <c r="AB315" s="365"/>
      <c r="AC315" s="365"/>
      <c r="AD315" s="365"/>
      <c r="AE315" s="365"/>
      <c r="AF315" s="365"/>
      <c r="AG315" s="365"/>
      <c r="AH315" s="365"/>
      <c r="AI315" s="363"/>
      <c r="AJ315" s="173">
        <f t="shared" si="85"/>
        <v>0</v>
      </c>
    </row>
    <row r="316" spans="1:36" s="362" customFormat="1" ht="27" customHeight="1" x14ac:dyDescent="0.25">
      <c r="A316" s="368" t="s">
        <v>1265</v>
      </c>
      <c r="B316" s="367" t="s">
        <v>1264</v>
      </c>
      <c r="C316" s="366"/>
      <c r="D316" s="366"/>
      <c r="E316" s="366"/>
      <c r="F316" s="366"/>
      <c r="G316" s="472">
        <f t="shared" ref="G316:T316" si="88">G317+G333+G349+G378+G398+G411+G458+G478+G431</f>
        <v>1009454</v>
      </c>
      <c r="H316" s="472">
        <f t="shared" si="88"/>
        <v>985413</v>
      </c>
      <c r="I316" s="472">
        <f t="shared" si="88"/>
        <v>132200</v>
      </c>
      <c r="J316" s="472">
        <f t="shared" si="88"/>
        <v>132200</v>
      </c>
      <c r="K316" s="472">
        <f t="shared" si="88"/>
        <v>132200</v>
      </c>
      <c r="L316" s="472">
        <f t="shared" si="88"/>
        <v>132200</v>
      </c>
      <c r="M316" s="472">
        <f t="shared" si="88"/>
        <v>730000</v>
      </c>
      <c r="N316" s="472">
        <f t="shared" si="88"/>
        <v>730000</v>
      </c>
      <c r="O316" s="472">
        <f t="shared" si="88"/>
        <v>730000</v>
      </c>
      <c r="P316" s="472">
        <f t="shared" si="88"/>
        <v>730000</v>
      </c>
      <c r="Q316" s="472">
        <f t="shared" si="88"/>
        <v>12210</v>
      </c>
      <c r="R316" s="472">
        <f t="shared" si="88"/>
        <v>13710</v>
      </c>
      <c r="S316" s="472">
        <f t="shared" si="88"/>
        <v>123685</v>
      </c>
      <c r="T316" s="472">
        <f t="shared" si="88"/>
        <v>123685</v>
      </c>
      <c r="U316" s="472">
        <f>U317+U333+U349+U378+U398+U411+U458+U478+U431</f>
        <v>730000</v>
      </c>
      <c r="V316" s="472">
        <f t="shared" ref="V316:Z316" si="89">V317+V333+V349+V378+V398+V411+V458+V478+V431</f>
        <v>730000</v>
      </c>
      <c r="W316" s="472">
        <f t="shared" si="89"/>
        <v>201918</v>
      </c>
      <c r="X316" s="472">
        <f t="shared" si="89"/>
        <v>201918</v>
      </c>
      <c r="Y316" s="472">
        <f t="shared" si="89"/>
        <v>135125</v>
      </c>
      <c r="Z316" s="472">
        <f t="shared" si="89"/>
        <v>135125</v>
      </c>
      <c r="AA316" s="364">
        <f t="shared" ref="AA316:AH316" si="90">AA317+AA333+AA349+AA378+AA398+AA411+AA431+AA458+AA478</f>
        <v>273890</v>
      </c>
      <c r="AB316" s="364">
        <f t="shared" si="90"/>
        <v>273890</v>
      </c>
      <c r="AC316" s="364">
        <f t="shared" si="90"/>
        <v>273890</v>
      </c>
      <c r="AD316" s="364">
        <f t="shared" si="90"/>
        <v>273890</v>
      </c>
      <c r="AE316" s="364">
        <f t="shared" si="90"/>
        <v>273890</v>
      </c>
      <c r="AF316" s="364">
        <f t="shared" si="90"/>
        <v>273890</v>
      </c>
      <c r="AG316" s="364">
        <f t="shared" si="90"/>
        <v>273890</v>
      </c>
      <c r="AH316" s="364">
        <f t="shared" si="90"/>
        <v>273890</v>
      </c>
      <c r="AI316" s="363"/>
      <c r="AJ316" s="173">
        <f t="shared" si="85"/>
        <v>0</v>
      </c>
    </row>
    <row r="317" spans="1:36" s="203" customFormat="1" ht="28.5" customHeight="1" x14ac:dyDescent="0.25">
      <c r="A317" s="210" t="s">
        <v>43</v>
      </c>
      <c r="B317" s="361" t="s">
        <v>1263</v>
      </c>
      <c r="C317" s="208"/>
      <c r="D317" s="207"/>
      <c r="E317" s="207"/>
      <c r="F317" s="207"/>
      <c r="G317" s="271">
        <f>G324</f>
        <v>95243</v>
      </c>
      <c r="H317" s="271">
        <f>H324</f>
        <v>95243</v>
      </c>
      <c r="I317" s="271">
        <f>I318+I324</f>
        <v>31200</v>
      </c>
      <c r="J317" s="271">
        <f>J318+J324</f>
        <v>31200</v>
      </c>
      <c r="K317" s="271">
        <f t="shared" ref="K317:L317" si="91">K318+K324</f>
        <v>31200</v>
      </c>
      <c r="L317" s="271">
        <f t="shared" si="91"/>
        <v>31200</v>
      </c>
      <c r="M317" s="271">
        <f>M318+M324</f>
        <v>80000</v>
      </c>
      <c r="N317" s="271">
        <f t="shared" ref="N317:AH317" si="92">N318+N324</f>
        <v>80000</v>
      </c>
      <c r="O317" s="271">
        <f t="shared" si="92"/>
        <v>80000</v>
      </c>
      <c r="P317" s="271">
        <f t="shared" si="92"/>
        <v>80000</v>
      </c>
      <c r="Q317" s="271">
        <f t="shared" si="92"/>
        <v>0</v>
      </c>
      <c r="R317" s="271">
        <f t="shared" si="92"/>
        <v>0</v>
      </c>
      <c r="S317" s="271">
        <f t="shared" si="92"/>
        <v>9088</v>
      </c>
      <c r="T317" s="271">
        <f t="shared" si="92"/>
        <v>9088</v>
      </c>
      <c r="U317" s="271">
        <f t="shared" si="92"/>
        <v>80000</v>
      </c>
      <c r="V317" s="271">
        <f t="shared" si="92"/>
        <v>80000</v>
      </c>
      <c r="W317" s="271">
        <f t="shared" si="92"/>
        <v>10000</v>
      </c>
      <c r="X317" s="271">
        <f t="shared" si="92"/>
        <v>10000</v>
      </c>
      <c r="Y317" s="271">
        <f t="shared" si="92"/>
        <v>16000</v>
      </c>
      <c r="Z317" s="271">
        <f t="shared" si="92"/>
        <v>16000</v>
      </c>
      <c r="AA317" s="269">
        <f t="shared" si="92"/>
        <v>11880</v>
      </c>
      <c r="AB317" s="269">
        <f t="shared" si="92"/>
        <v>11880</v>
      </c>
      <c r="AC317" s="269">
        <f t="shared" si="92"/>
        <v>11880</v>
      </c>
      <c r="AD317" s="269">
        <f t="shared" si="92"/>
        <v>11880</v>
      </c>
      <c r="AE317" s="269">
        <f t="shared" si="92"/>
        <v>11880</v>
      </c>
      <c r="AF317" s="269">
        <f t="shared" si="92"/>
        <v>11880</v>
      </c>
      <c r="AG317" s="269">
        <f t="shared" si="92"/>
        <v>11880</v>
      </c>
      <c r="AH317" s="269">
        <f t="shared" si="92"/>
        <v>11880</v>
      </c>
      <c r="AI317" s="318"/>
      <c r="AJ317" s="173">
        <v>1</v>
      </c>
    </row>
    <row r="318" spans="1:36" ht="51.75" x14ac:dyDescent="0.25">
      <c r="A318" s="195" t="s">
        <v>45</v>
      </c>
      <c r="B318" s="193" t="s">
        <v>46</v>
      </c>
      <c r="C318" s="192"/>
      <c r="D318" s="192"/>
      <c r="E318" s="192"/>
      <c r="F318" s="192"/>
      <c r="G318" s="191">
        <f t="shared" ref="G318:X318" si="93">G319</f>
        <v>53470</v>
      </c>
      <c r="H318" s="191">
        <f t="shared" si="93"/>
        <v>53470</v>
      </c>
      <c r="I318" s="191">
        <f t="shared" si="93"/>
        <v>31200</v>
      </c>
      <c r="J318" s="191">
        <f t="shared" si="93"/>
        <v>31200</v>
      </c>
      <c r="K318" s="191">
        <f t="shared" si="93"/>
        <v>31200</v>
      </c>
      <c r="L318" s="191">
        <f t="shared" si="93"/>
        <v>31200</v>
      </c>
      <c r="M318" s="191">
        <f t="shared" si="93"/>
        <v>11880</v>
      </c>
      <c r="N318" s="191">
        <f t="shared" si="93"/>
        <v>11880</v>
      </c>
      <c r="O318" s="191">
        <f t="shared" si="93"/>
        <v>11880</v>
      </c>
      <c r="P318" s="191">
        <f t="shared" si="93"/>
        <v>11880</v>
      </c>
      <c r="Q318" s="191">
        <f t="shared" si="93"/>
        <v>0</v>
      </c>
      <c r="R318" s="191">
        <f t="shared" si="93"/>
        <v>0</v>
      </c>
      <c r="S318" s="191">
        <f t="shared" si="93"/>
        <v>0</v>
      </c>
      <c r="T318" s="191">
        <f t="shared" si="93"/>
        <v>0</v>
      </c>
      <c r="U318" s="474">
        <f t="shared" si="93"/>
        <v>11880</v>
      </c>
      <c r="V318" s="474">
        <v>11880</v>
      </c>
      <c r="W318" s="190">
        <f t="shared" si="93"/>
        <v>10000</v>
      </c>
      <c r="X318" s="190">
        <f t="shared" si="93"/>
        <v>10000</v>
      </c>
      <c r="Y318" s="190"/>
      <c r="Z318" s="190"/>
      <c r="AA318" s="190">
        <v>11880</v>
      </c>
      <c r="AB318" s="190">
        <v>11880</v>
      </c>
      <c r="AC318" s="190">
        <v>11880</v>
      </c>
      <c r="AD318" s="190">
        <v>11880</v>
      </c>
      <c r="AE318" s="190">
        <v>11880</v>
      </c>
      <c r="AF318" s="190">
        <v>11880</v>
      </c>
      <c r="AG318" s="190">
        <v>11880</v>
      </c>
      <c r="AH318" s="190">
        <v>11880</v>
      </c>
      <c r="AI318" s="189"/>
      <c r="AJ318" s="173">
        <f t="shared" si="85"/>
        <v>0</v>
      </c>
    </row>
    <row r="319" spans="1:36" ht="34.5" x14ac:dyDescent="0.25">
      <c r="A319" s="194" t="s">
        <v>47</v>
      </c>
      <c r="B319" s="193" t="s">
        <v>48</v>
      </c>
      <c r="C319" s="192"/>
      <c r="D319" s="192"/>
      <c r="E319" s="192"/>
      <c r="F319" s="192"/>
      <c r="G319" s="191">
        <f t="shared" ref="G319:U319" si="94">SUM(G322:G323)</f>
        <v>53470</v>
      </c>
      <c r="H319" s="191">
        <f t="shared" si="94"/>
        <v>53470</v>
      </c>
      <c r="I319" s="191">
        <f t="shared" si="94"/>
        <v>31200</v>
      </c>
      <c r="J319" s="191">
        <f t="shared" si="94"/>
        <v>31200</v>
      </c>
      <c r="K319" s="191">
        <f t="shared" si="94"/>
        <v>31200</v>
      </c>
      <c r="L319" s="191">
        <f t="shared" si="94"/>
        <v>31200</v>
      </c>
      <c r="M319" s="191">
        <f t="shared" si="94"/>
        <v>11880</v>
      </c>
      <c r="N319" s="191">
        <f t="shared" si="94"/>
        <v>11880</v>
      </c>
      <c r="O319" s="191">
        <f t="shared" si="94"/>
        <v>11880</v>
      </c>
      <c r="P319" s="191">
        <f t="shared" si="94"/>
        <v>11880</v>
      </c>
      <c r="Q319" s="191">
        <f t="shared" si="94"/>
        <v>0</v>
      </c>
      <c r="R319" s="191">
        <f t="shared" si="94"/>
        <v>0</v>
      </c>
      <c r="S319" s="191">
        <f t="shared" si="94"/>
        <v>0</v>
      </c>
      <c r="T319" s="191">
        <f t="shared" si="94"/>
        <v>0</v>
      </c>
      <c r="U319" s="474">
        <f t="shared" si="94"/>
        <v>11880</v>
      </c>
      <c r="V319" s="474">
        <v>11880</v>
      </c>
      <c r="W319" s="190">
        <f>W322+W323</f>
        <v>10000</v>
      </c>
      <c r="X319" s="190">
        <f>X322+X323</f>
        <v>10000</v>
      </c>
      <c r="Y319" s="190"/>
      <c r="Z319" s="190"/>
      <c r="AA319" s="190">
        <v>11880</v>
      </c>
      <c r="AB319" s="190">
        <v>11880</v>
      </c>
      <c r="AC319" s="190">
        <v>11880</v>
      </c>
      <c r="AD319" s="190">
        <v>11880</v>
      </c>
      <c r="AE319" s="190">
        <v>11880</v>
      </c>
      <c r="AF319" s="190">
        <v>11880</v>
      </c>
      <c r="AG319" s="190">
        <v>11880</v>
      </c>
      <c r="AH319" s="190">
        <v>11880</v>
      </c>
      <c r="AI319" s="189"/>
      <c r="AJ319" s="173">
        <f t="shared" si="85"/>
        <v>0</v>
      </c>
    </row>
    <row r="320" spans="1:36" ht="17.25" x14ac:dyDescent="0.25">
      <c r="A320" s="194"/>
      <c r="B320" s="193" t="s">
        <v>49</v>
      </c>
      <c r="C320" s="202"/>
      <c r="D320" s="202"/>
      <c r="E320" s="202"/>
      <c r="F320" s="202"/>
      <c r="G320" s="200"/>
      <c r="H320" s="200"/>
      <c r="I320" s="200"/>
      <c r="J320" s="200"/>
      <c r="K320" s="200"/>
      <c r="L320" s="200"/>
      <c r="M320" s="200"/>
      <c r="N320" s="200"/>
      <c r="O320" s="201"/>
      <c r="P320" s="201"/>
      <c r="Q320" s="177">
        <f t="shared" ref="Q320:R323" si="95">O320-M320</f>
        <v>0</v>
      </c>
      <c r="R320" s="177">
        <f t="shared" si="95"/>
        <v>0</v>
      </c>
      <c r="S320" s="176">
        <f>IF(R320&gt;0,R320,0)</f>
        <v>0</v>
      </c>
      <c r="T320" s="176">
        <f>IF(R320&lt;0,-R320,0)</f>
        <v>0</v>
      </c>
      <c r="U320" s="475"/>
      <c r="V320" s="475"/>
      <c r="W320" s="200"/>
      <c r="X320" s="200"/>
      <c r="Y320" s="200"/>
      <c r="Z320" s="200"/>
      <c r="AA320" s="200"/>
      <c r="AB320" s="200"/>
      <c r="AC320" s="200"/>
      <c r="AD320" s="200"/>
      <c r="AE320" s="200"/>
      <c r="AF320" s="200"/>
      <c r="AG320" s="200"/>
      <c r="AH320" s="200"/>
      <c r="AI320" s="264"/>
      <c r="AJ320" s="173">
        <f t="shared" si="85"/>
        <v>0</v>
      </c>
    </row>
    <row r="321" spans="1:36" ht="51.75" x14ac:dyDescent="0.25">
      <c r="A321" s="194"/>
      <c r="B321" s="199" t="s">
        <v>50</v>
      </c>
      <c r="C321" s="192"/>
      <c r="D321" s="192"/>
      <c r="E321" s="192"/>
      <c r="F321" s="192"/>
      <c r="G321" s="191"/>
      <c r="H321" s="191"/>
      <c r="I321" s="191"/>
      <c r="J321" s="191"/>
      <c r="K321" s="191"/>
      <c r="L321" s="191"/>
      <c r="M321" s="191"/>
      <c r="N321" s="191"/>
      <c r="O321" s="190"/>
      <c r="P321" s="190"/>
      <c r="Q321" s="177">
        <f t="shared" si="95"/>
        <v>0</v>
      </c>
      <c r="R321" s="177">
        <f t="shared" si="95"/>
        <v>0</v>
      </c>
      <c r="S321" s="176">
        <f>IF(R321&gt;0,R321,0)</f>
        <v>0</v>
      </c>
      <c r="T321" s="176">
        <f>IF(R321&lt;0,-R321,0)</f>
        <v>0</v>
      </c>
      <c r="U321" s="474"/>
      <c r="V321" s="474"/>
      <c r="W321" s="191"/>
      <c r="X321" s="191"/>
      <c r="Y321" s="191"/>
      <c r="Z321" s="191"/>
      <c r="AA321" s="191"/>
      <c r="AB321" s="191"/>
      <c r="AC321" s="191"/>
      <c r="AD321" s="191"/>
      <c r="AE321" s="191"/>
      <c r="AF321" s="191"/>
      <c r="AG321" s="191"/>
      <c r="AH321" s="191"/>
      <c r="AI321" s="189"/>
      <c r="AJ321" s="173">
        <f t="shared" si="85"/>
        <v>0</v>
      </c>
    </row>
    <row r="322" spans="1:36" ht="49.5" x14ac:dyDescent="0.25">
      <c r="A322" s="221">
        <v>1</v>
      </c>
      <c r="B322" s="183" t="s">
        <v>1262</v>
      </c>
      <c r="C322" s="188" t="s">
        <v>1249</v>
      </c>
      <c r="D322" s="188"/>
      <c r="E322" s="197" t="s">
        <v>97</v>
      </c>
      <c r="F322" s="188" t="s">
        <v>1261</v>
      </c>
      <c r="G322" s="356">
        <v>47970</v>
      </c>
      <c r="H322" s="239">
        <f>G322</f>
        <v>47970</v>
      </c>
      <c r="I322" s="177">
        <f>J322</f>
        <v>30000</v>
      </c>
      <c r="J322" s="177">
        <v>30000</v>
      </c>
      <c r="K322" s="177">
        <f>L322</f>
        <v>30000</v>
      </c>
      <c r="L322" s="177">
        <v>30000</v>
      </c>
      <c r="M322" s="341">
        <v>8400</v>
      </c>
      <c r="N322" s="341">
        <f>M322</f>
        <v>8400</v>
      </c>
      <c r="O322" s="220">
        <v>8400</v>
      </c>
      <c r="P322" s="220">
        <v>8400</v>
      </c>
      <c r="Q322" s="177">
        <f t="shared" si="95"/>
        <v>0</v>
      </c>
      <c r="R322" s="177">
        <f t="shared" si="95"/>
        <v>0</v>
      </c>
      <c r="S322" s="176"/>
      <c r="T322" s="176"/>
      <c r="U322" s="454">
        <v>8400</v>
      </c>
      <c r="V322" s="454">
        <v>8400</v>
      </c>
      <c r="W322" s="177">
        <f>X322</f>
        <v>8400</v>
      </c>
      <c r="X322" s="177">
        <v>8400</v>
      </c>
      <c r="Y322" s="177"/>
      <c r="Z322" s="177"/>
      <c r="AA322" s="177"/>
      <c r="AB322" s="177"/>
      <c r="AC322" s="177"/>
      <c r="AD322" s="177"/>
      <c r="AE322" s="177"/>
      <c r="AF322" s="177"/>
      <c r="AG322" s="177"/>
      <c r="AH322" s="177"/>
      <c r="AI322" s="198"/>
      <c r="AJ322" s="173">
        <f t="shared" si="85"/>
        <v>0</v>
      </c>
    </row>
    <row r="323" spans="1:36" ht="49.5" x14ac:dyDescent="0.25">
      <c r="A323" s="221">
        <v>2</v>
      </c>
      <c r="B323" s="183" t="s">
        <v>1260</v>
      </c>
      <c r="C323" s="188" t="s">
        <v>1259</v>
      </c>
      <c r="D323" s="188" t="s">
        <v>1258</v>
      </c>
      <c r="E323" s="197" t="s">
        <v>248</v>
      </c>
      <c r="F323" s="188"/>
      <c r="G323" s="356">
        <v>5500</v>
      </c>
      <c r="H323" s="239">
        <f>G323</f>
        <v>5500</v>
      </c>
      <c r="I323" s="177">
        <v>1200</v>
      </c>
      <c r="J323" s="177">
        <f>I323</f>
        <v>1200</v>
      </c>
      <c r="K323" s="177">
        <v>1200</v>
      </c>
      <c r="L323" s="177">
        <f>K323</f>
        <v>1200</v>
      </c>
      <c r="M323" s="341">
        <f>N323</f>
        <v>3480</v>
      </c>
      <c r="N323" s="341">
        <v>3480</v>
      </c>
      <c r="O323" s="220">
        <v>3480</v>
      </c>
      <c r="P323" s="220">
        <v>3480</v>
      </c>
      <c r="Q323" s="177">
        <f t="shared" si="95"/>
        <v>0</v>
      </c>
      <c r="R323" s="177">
        <f t="shared" si="95"/>
        <v>0</v>
      </c>
      <c r="S323" s="176"/>
      <c r="T323" s="176"/>
      <c r="U323" s="454">
        <v>3480</v>
      </c>
      <c r="V323" s="454">
        <v>3480</v>
      </c>
      <c r="W323" s="177">
        <f>X323</f>
        <v>1600</v>
      </c>
      <c r="X323" s="177">
        <v>1600</v>
      </c>
      <c r="Y323" s="177"/>
      <c r="Z323" s="177"/>
      <c r="AA323" s="177"/>
      <c r="AB323" s="177"/>
      <c r="AC323" s="177"/>
      <c r="AD323" s="177"/>
      <c r="AE323" s="177"/>
      <c r="AF323" s="177"/>
      <c r="AG323" s="177"/>
      <c r="AH323" s="177"/>
      <c r="AI323" s="198"/>
      <c r="AJ323" s="173">
        <f t="shared" si="85"/>
        <v>0</v>
      </c>
    </row>
    <row r="324" spans="1:36" ht="34.5" x14ac:dyDescent="0.25">
      <c r="A324" s="195" t="s">
        <v>85</v>
      </c>
      <c r="B324" s="193" t="s">
        <v>86</v>
      </c>
      <c r="C324" s="192"/>
      <c r="D324" s="192"/>
      <c r="E324" s="192"/>
      <c r="F324" s="192"/>
      <c r="G324" s="191">
        <f>G325</f>
        <v>95243</v>
      </c>
      <c r="H324" s="191">
        <f>H325</f>
        <v>95243</v>
      </c>
      <c r="I324" s="191"/>
      <c r="J324" s="191"/>
      <c r="K324" s="191">
        <f t="shared" ref="K324:AH324" si="96">K325</f>
        <v>0</v>
      </c>
      <c r="L324" s="191">
        <f t="shared" si="96"/>
        <v>0</v>
      </c>
      <c r="M324" s="191">
        <f t="shared" si="96"/>
        <v>68120</v>
      </c>
      <c r="N324" s="191">
        <f t="shared" si="96"/>
        <v>68120</v>
      </c>
      <c r="O324" s="190">
        <f t="shared" si="96"/>
        <v>68120</v>
      </c>
      <c r="P324" s="190">
        <f t="shared" si="96"/>
        <v>68120</v>
      </c>
      <c r="Q324" s="191">
        <f t="shared" si="96"/>
        <v>0</v>
      </c>
      <c r="R324" s="191">
        <f t="shared" si="96"/>
        <v>0</v>
      </c>
      <c r="S324" s="191">
        <f t="shared" si="96"/>
        <v>9088</v>
      </c>
      <c r="T324" s="191">
        <f t="shared" si="96"/>
        <v>9088</v>
      </c>
      <c r="U324" s="474">
        <f t="shared" si="96"/>
        <v>68120</v>
      </c>
      <c r="V324" s="768">
        <f t="shared" si="96"/>
        <v>68120</v>
      </c>
      <c r="W324" s="176">
        <f t="shared" si="96"/>
        <v>0</v>
      </c>
      <c r="X324" s="176">
        <f t="shared" si="96"/>
        <v>0</v>
      </c>
      <c r="Y324" s="190">
        <f t="shared" si="96"/>
        <v>16000</v>
      </c>
      <c r="Z324" s="190">
        <f t="shared" si="96"/>
        <v>16000</v>
      </c>
      <c r="AA324" s="190">
        <f t="shared" si="96"/>
        <v>0</v>
      </c>
      <c r="AB324" s="190">
        <f t="shared" si="96"/>
        <v>0</v>
      </c>
      <c r="AC324" s="190">
        <f t="shared" si="96"/>
        <v>0</v>
      </c>
      <c r="AD324" s="190">
        <f t="shared" si="96"/>
        <v>0</v>
      </c>
      <c r="AE324" s="190">
        <f t="shared" si="96"/>
        <v>0</v>
      </c>
      <c r="AF324" s="190">
        <f t="shared" si="96"/>
        <v>0</v>
      </c>
      <c r="AG324" s="190">
        <f t="shared" si="96"/>
        <v>0</v>
      </c>
      <c r="AH324" s="190">
        <f t="shared" si="96"/>
        <v>0</v>
      </c>
      <c r="AI324" s="189"/>
      <c r="AJ324" s="173">
        <v>1</v>
      </c>
    </row>
    <row r="325" spans="1:36" ht="51.75" x14ac:dyDescent="0.25">
      <c r="A325" s="194" t="s">
        <v>87</v>
      </c>
      <c r="B325" s="193" t="s">
        <v>88</v>
      </c>
      <c r="C325" s="192"/>
      <c r="D325" s="192"/>
      <c r="E325" s="192"/>
      <c r="F325" s="192"/>
      <c r="G325" s="191">
        <f>G327+G328+G329+G330+G331+G332</f>
        <v>95243</v>
      </c>
      <c r="H325" s="191">
        <f>H327+H328+H329+H330+H331+H332</f>
        <v>95243</v>
      </c>
      <c r="I325" s="191"/>
      <c r="J325" s="191"/>
      <c r="K325" s="191">
        <f t="shared" ref="K325:L325" si="97">K327+K328+K329+K330+K331+K332</f>
        <v>0</v>
      </c>
      <c r="L325" s="191">
        <f t="shared" si="97"/>
        <v>0</v>
      </c>
      <c r="M325" s="191">
        <f>SUM(M326:M332)</f>
        <v>68120</v>
      </c>
      <c r="N325" s="191">
        <f t="shared" ref="N325:Z325" si="98">SUM(N326:N332)</f>
        <v>68120</v>
      </c>
      <c r="O325" s="191">
        <f t="shared" si="98"/>
        <v>68120</v>
      </c>
      <c r="P325" s="191">
        <f t="shared" si="98"/>
        <v>68120</v>
      </c>
      <c r="Q325" s="191">
        <f t="shared" si="98"/>
        <v>0</v>
      </c>
      <c r="R325" s="191">
        <f t="shared" si="98"/>
        <v>0</v>
      </c>
      <c r="S325" s="191">
        <f t="shared" si="98"/>
        <v>9088</v>
      </c>
      <c r="T325" s="191">
        <f t="shared" si="98"/>
        <v>9088</v>
      </c>
      <c r="U325" s="191">
        <f t="shared" si="98"/>
        <v>68120</v>
      </c>
      <c r="V325" s="191">
        <f t="shared" si="98"/>
        <v>68120</v>
      </c>
      <c r="W325" s="191">
        <f t="shared" si="98"/>
        <v>0</v>
      </c>
      <c r="X325" s="191">
        <f t="shared" si="98"/>
        <v>0</v>
      </c>
      <c r="Y325" s="191">
        <f t="shared" si="98"/>
        <v>16000</v>
      </c>
      <c r="Z325" s="191">
        <f t="shared" si="98"/>
        <v>16000</v>
      </c>
      <c r="AA325" s="190">
        <f t="shared" ref="AA325:AH325" si="99">SUM(AA326:AA332)</f>
        <v>0</v>
      </c>
      <c r="AB325" s="190">
        <f t="shared" si="99"/>
        <v>0</v>
      </c>
      <c r="AC325" s="190">
        <f t="shared" si="99"/>
        <v>0</v>
      </c>
      <c r="AD325" s="190">
        <f t="shared" si="99"/>
        <v>0</v>
      </c>
      <c r="AE325" s="190">
        <f t="shared" si="99"/>
        <v>0</v>
      </c>
      <c r="AF325" s="190">
        <f t="shared" si="99"/>
        <v>0</v>
      </c>
      <c r="AG325" s="190">
        <f t="shared" si="99"/>
        <v>0</v>
      </c>
      <c r="AH325" s="190">
        <f t="shared" si="99"/>
        <v>0</v>
      </c>
      <c r="AI325" s="189"/>
      <c r="AJ325" s="173">
        <v>1</v>
      </c>
    </row>
    <row r="326" spans="1:36" ht="69" x14ac:dyDescent="0.25">
      <c r="A326" s="267" t="s">
        <v>1196</v>
      </c>
      <c r="B326" s="183" t="s">
        <v>1257</v>
      </c>
      <c r="C326" s="188" t="s">
        <v>1256</v>
      </c>
      <c r="D326" s="182" t="s">
        <v>1255</v>
      </c>
      <c r="E326" s="197" t="s">
        <v>116</v>
      </c>
      <c r="F326" s="188"/>
      <c r="G326" s="356">
        <v>4591</v>
      </c>
      <c r="H326" s="356">
        <v>4591</v>
      </c>
      <c r="I326" s="360"/>
      <c r="J326" s="360"/>
      <c r="K326" s="360"/>
      <c r="L326" s="360"/>
      <c r="M326" s="179">
        <v>4000</v>
      </c>
      <c r="N326" s="196">
        <f>M326</f>
        <v>4000</v>
      </c>
      <c r="O326" s="340">
        <v>4000</v>
      </c>
      <c r="P326" s="340">
        <v>4000</v>
      </c>
      <c r="Q326" s="177">
        <f t="shared" ref="Q326:R332" si="100">O326-M326</f>
        <v>0</v>
      </c>
      <c r="R326" s="177">
        <f t="shared" si="100"/>
        <v>0</v>
      </c>
      <c r="S326" s="176"/>
      <c r="T326" s="176"/>
      <c r="U326" s="459">
        <v>4000</v>
      </c>
      <c r="V326" s="459">
        <v>4000</v>
      </c>
      <c r="W326" s="196"/>
      <c r="X326" s="196"/>
      <c r="Y326" s="196">
        <f>Z326</f>
        <v>4000</v>
      </c>
      <c r="Z326" s="196">
        <v>4000</v>
      </c>
      <c r="AA326" s="196"/>
      <c r="AB326" s="196"/>
      <c r="AC326" s="196"/>
      <c r="AD326" s="196"/>
      <c r="AE326" s="196"/>
      <c r="AF326" s="196"/>
      <c r="AG326" s="196"/>
      <c r="AH326" s="196"/>
      <c r="AI326" s="359"/>
      <c r="AJ326" s="173">
        <f t="shared" si="85"/>
        <v>0</v>
      </c>
    </row>
    <row r="327" spans="1:36" ht="66" x14ac:dyDescent="0.25">
      <c r="A327" s="267" t="s">
        <v>1254</v>
      </c>
      <c r="B327" s="358" t="s">
        <v>1253</v>
      </c>
      <c r="C327" s="188" t="s">
        <v>1252</v>
      </c>
      <c r="D327" s="182" t="s">
        <v>1251</v>
      </c>
      <c r="E327" s="197" t="s">
        <v>248</v>
      </c>
      <c r="F327" s="188"/>
      <c r="G327" s="357">
        <v>24000</v>
      </c>
      <c r="H327" s="357">
        <v>24000</v>
      </c>
      <c r="I327" s="177"/>
      <c r="J327" s="177"/>
      <c r="K327" s="177"/>
      <c r="L327" s="177"/>
      <c r="M327" s="179">
        <v>20000</v>
      </c>
      <c r="N327" s="196">
        <f>M327</f>
        <v>20000</v>
      </c>
      <c r="O327" s="220">
        <f>20000-1830</f>
        <v>18170</v>
      </c>
      <c r="P327" s="220">
        <f>20000-1830</f>
        <v>18170</v>
      </c>
      <c r="Q327" s="177">
        <f t="shared" si="100"/>
        <v>-1830</v>
      </c>
      <c r="R327" s="177">
        <f t="shared" si="100"/>
        <v>-1830</v>
      </c>
      <c r="S327" s="176"/>
      <c r="T327" s="176">
        <f>N327-V327</f>
        <v>5168</v>
      </c>
      <c r="U327" s="454">
        <f t="shared" ref="U327:U332" si="101">V327</f>
        <v>14832</v>
      </c>
      <c r="V327" s="454">
        <v>14832</v>
      </c>
      <c r="W327" s="196"/>
      <c r="X327" s="196"/>
      <c r="Y327" s="196">
        <f>Z327</f>
        <v>6700</v>
      </c>
      <c r="Z327" s="196">
        <v>6700</v>
      </c>
      <c r="AA327" s="196"/>
      <c r="AB327" s="196"/>
      <c r="AC327" s="196"/>
      <c r="AD327" s="196"/>
      <c r="AE327" s="196"/>
      <c r="AF327" s="196"/>
      <c r="AG327" s="196"/>
      <c r="AH327" s="196"/>
      <c r="AI327" s="198"/>
      <c r="AJ327" s="173">
        <f t="shared" si="85"/>
        <v>1</v>
      </c>
    </row>
    <row r="328" spans="1:36" ht="49.5" x14ac:dyDescent="0.25">
      <c r="A328" s="267" t="s">
        <v>414</v>
      </c>
      <c r="B328" s="358" t="s">
        <v>1250</v>
      </c>
      <c r="C328" s="188" t="s">
        <v>1249</v>
      </c>
      <c r="D328" s="182" t="s">
        <v>1248</v>
      </c>
      <c r="E328" s="197" t="s">
        <v>248</v>
      </c>
      <c r="F328" s="188"/>
      <c r="G328" s="357">
        <v>13874</v>
      </c>
      <c r="H328" s="357">
        <v>13874</v>
      </c>
      <c r="I328" s="177"/>
      <c r="J328" s="177"/>
      <c r="K328" s="177"/>
      <c r="L328" s="177"/>
      <c r="M328" s="179">
        <v>11600</v>
      </c>
      <c r="N328" s="196">
        <f>M328</f>
        <v>11600</v>
      </c>
      <c r="O328" s="220">
        <f>P328</f>
        <v>11000</v>
      </c>
      <c r="P328" s="220">
        <v>11000</v>
      </c>
      <c r="Q328" s="177">
        <f t="shared" si="100"/>
        <v>-600</v>
      </c>
      <c r="R328" s="177">
        <f t="shared" si="100"/>
        <v>-600</v>
      </c>
      <c r="S328" s="176"/>
      <c r="T328" s="176">
        <f t="shared" ref="T328:T330" si="102">N328-V328</f>
        <v>600</v>
      </c>
      <c r="U328" s="454">
        <f t="shared" si="101"/>
        <v>11000</v>
      </c>
      <c r="V328" s="454">
        <v>11000</v>
      </c>
      <c r="W328" s="196"/>
      <c r="X328" s="196"/>
      <c r="Y328" s="196">
        <f>Z328</f>
        <v>5300</v>
      </c>
      <c r="Z328" s="196">
        <v>5300</v>
      </c>
      <c r="AA328" s="196"/>
      <c r="AB328" s="196"/>
      <c r="AC328" s="196"/>
      <c r="AD328" s="196"/>
      <c r="AE328" s="196"/>
      <c r="AF328" s="196"/>
      <c r="AG328" s="196"/>
      <c r="AH328" s="196"/>
      <c r="AI328" s="198"/>
      <c r="AJ328" s="173">
        <f t="shared" si="85"/>
        <v>1</v>
      </c>
    </row>
    <row r="329" spans="1:36" ht="49.5" x14ac:dyDescent="0.25">
      <c r="A329" s="267" t="s">
        <v>419</v>
      </c>
      <c r="B329" s="358" t="s">
        <v>1247</v>
      </c>
      <c r="C329" s="188" t="s">
        <v>1246</v>
      </c>
      <c r="D329" s="182" t="s">
        <v>1245</v>
      </c>
      <c r="E329" s="197" t="s">
        <v>248</v>
      </c>
      <c r="F329" s="188"/>
      <c r="G329" s="357">
        <v>32000</v>
      </c>
      <c r="H329" s="357">
        <v>32000</v>
      </c>
      <c r="I329" s="177"/>
      <c r="J329" s="177"/>
      <c r="K329" s="177"/>
      <c r="L329" s="177"/>
      <c r="M329" s="179">
        <v>23000</v>
      </c>
      <c r="N329" s="196">
        <f>M329</f>
        <v>23000</v>
      </c>
      <c r="O329" s="220">
        <f>P329</f>
        <v>20200</v>
      </c>
      <c r="P329" s="220">
        <v>20200</v>
      </c>
      <c r="Q329" s="177">
        <f t="shared" si="100"/>
        <v>-2800</v>
      </c>
      <c r="R329" s="177">
        <f t="shared" si="100"/>
        <v>-2800</v>
      </c>
      <c r="S329" s="176"/>
      <c r="T329" s="176">
        <f t="shared" si="102"/>
        <v>2800</v>
      </c>
      <c r="U329" s="454">
        <f t="shared" si="101"/>
        <v>20200</v>
      </c>
      <c r="V329" s="454">
        <v>20200</v>
      </c>
      <c r="W329" s="196"/>
      <c r="X329" s="196"/>
      <c r="Y329" s="196"/>
      <c r="Z329" s="196"/>
      <c r="AA329" s="196"/>
      <c r="AB329" s="196"/>
      <c r="AC329" s="196"/>
      <c r="AD329" s="196"/>
      <c r="AE329" s="196"/>
      <c r="AF329" s="196"/>
      <c r="AG329" s="196"/>
      <c r="AH329" s="196"/>
      <c r="AI329" s="198"/>
      <c r="AJ329" s="173">
        <f t="shared" si="85"/>
        <v>1</v>
      </c>
    </row>
    <row r="330" spans="1:36" ht="19.5" customHeight="1" x14ac:dyDescent="0.25">
      <c r="A330" s="267" t="s">
        <v>423</v>
      </c>
      <c r="B330" s="183" t="s">
        <v>1244</v>
      </c>
      <c r="C330" s="188" t="s">
        <v>1241</v>
      </c>
      <c r="D330" s="197" t="s">
        <v>1240</v>
      </c>
      <c r="E330" s="197" t="s">
        <v>116</v>
      </c>
      <c r="F330" s="188"/>
      <c r="G330" s="356">
        <v>14869</v>
      </c>
      <c r="H330" s="356">
        <v>14869</v>
      </c>
      <c r="I330" s="177"/>
      <c r="J330" s="177"/>
      <c r="K330" s="177"/>
      <c r="L330" s="177"/>
      <c r="M330" s="179">
        <v>9520</v>
      </c>
      <c r="N330" s="196">
        <f>M330</f>
        <v>9520</v>
      </c>
      <c r="O330" s="220">
        <f>P330</f>
        <v>5300</v>
      </c>
      <c r="P330" s="220">
        <v>5300</v>
      </c>
      <c r="Q330" s="177">
        <f t="shared" si="100"/>
        <v>-4220</v>
      </c>
      <c r="R330" s="177">
        <f t="shared" si="100"/>
        <v>-4220</v>
      </c>
      <c r="S330" s="176"/>
      <c r="T330" s="176">
        <f t="shared" si="102"/>
        <v>520</v>
      </c>
      <c r="U330" s="454">
        <f t="shared" si="101"/>
        <v>9000</v>
      </c>
      <c r="V330" s="454">
        <v>9000</v>
      </c>
      <c r="W330" s="196"/>
      <c r="X330" s="196"/>
      <c r="Y330" s="196"/>
      <c r="Z330" s="196"/>
      <c r="AA330" s="196"/>
      <c r="AB330" s="196"/>
      <c r="AC330" s="196"/>
      <c r="AD330" s="196"/>
      <c r="AE330" s="196"/>
      <c r="AF330" s="196"/>
      <c r="AG330" s="196"/>
      <c r="AH330" s="196"/>
      <c r="AI330" s="198"/>
      <c r="AJ330" s="173">
        <f t="shared" si="85"/>
        <v>1</v>
      </c>
    </row>
    <row r="331" spans="1:36" ht="19.5" customHeight="1" x14ac:dyDescent="0.25">
      <c r="A331" s="267" t="s">
        <v>427</v>
      </c>
      <c r="B331" s="183" t="s">
        <v>1243</v>
      </c>
      <c r="C331" s="188" t="s">
        <v>1241</v>
      </c>
      <c r="D331" s="197" t="s">
        <v>1240</v>
      </c>
      <c r="E331" s="197" t="s">
        <v>116</v>
      </c>
      <c r="F331" s="188"/>
      <c r="G331" s="356">
        <f>H331</f>
        <v>6500</v>
      </c>
      <c r="H331" s="356">
        <v>6500</v>
      </c>
      <c r="I331" s="177"/>
      <c r="J331" s="177"/>
      <c r="K331" s="177"/>
      <c r="L331" s="177"/>
      <c r="M331" s="179"/>
      <c r="N331" s="196"/>
      <c r="O331" s="220">
        <f>P331</f>
        <v>5850</v>
      </c>
      <c r="P331" s="220">
        <f>H331*0.9</f>
        <v>5850</v>
      </c>
      <c r="Q331" s="177">
        <f t="shared" si="100"/>
        <v>5850</v>
      </c>
      <c r="R331" s="177">
        <f t="shared" si="100"/>
        <v>5850</v>
      </c>
      <c r="S331" s="176">
        <f>V331-N331</f>
        <v>5850</v>
      </c>
      <c r="T331" s="176"/>
      <c r="U331" s="454">
        <f t="shared" si="101"/>
        <v>5850</v>
      </c>
      <c r="V331" s="454">
        <v>5850</v>
      </c>
      <c r="W331" s="196"/>
      <c r="X331" s="196"/>
      <c r="Y331" s="196"/>
      <c r="Z331" s="196"/>
      <c r="AA331" s="196"/>
      <c r="AB331" s="196"/>
      <c r="AC331" s="196"/>
      <c r="AD331" s="196"/>
      <c r="AE331" s="196"/>
      <c r="AF331" s="196"/>
      <c r="AG331" s="196"/>
      <c r="AH331" s="196"/>
      <c r="AI331" s="198"/>
      <c r="AJ331" s="173">
        <f t="shared" si="85"/>
        <v>1</v>
      </c>
    </row>
    <row r="332" spans="1:36" ht="19.5" customHeight="1" x14ac:dyDescent="0.25">
      <c r="A332" s="267" t="s">
        <v>431</v>
      </c>
      <c r="B332" s="183" t="s">
        <v>1242</v>
      </c>
      <c r="C332" s="188" t="s">
        <v>1241</v>
      </c>
      <c r="D332" s="197" t="s">
        <v>1240</v>
      </c>
      <c r="E332" s="197" t="s">
        <v>116</v>
      </c>
      <c r="F332" s="188"/>
      <c r="G332" s="356">
        <f>H332</f>
        <v>4000</v>
      </c>
      <c r="H332" s="356">
        <v>4000</v>
      </c>
      <c r="I332" s="177"/>
      <c r="J332" s="177"/>
      <c r="K332" s="177"/>
      <c r="L332" s="177"/>
      <c r="M332" s="179"/>
      <c r="N332" s="196"/>
      <c r="O332" s="220">
        <f>P332</f>
        <v>3600</v>
      </c>
      <c r="P332" s="220">
        <f>H332*0.9</f>
        <v>3600</v>
      </c>
      <c r="Q332" s="177">
        <f t="shared" si="100"/>
        <v>3600</v>
      </c>
      <c r="R332" s="177">
        <f t="shared" si="100"/>
        <v>3600</v>
      </c>
      <c r="S332" s="176">
        <f>V332-N332</f>
        <v>3238</v>
      </c>
      <c r="T332" s="176"/>
      <c r="U332" s="454">
        <f t="shared" si="101"/>
        <v>3238</v>
      </c>
      <c r="V332" s="454">
        <v>3238</v>
      </c>
      <c r="W332" s="196"/>
      <c r="X332" s="196"/>
      <c r="Y332" s="196"/>
      <c r="Z332" s="196"/>
      <c r="AA332" s="196"/>
      <c r="AB332" s="196"/>
      <c r="AC332" s="196"/>
      <c r="AD332" s="196"/>
      <c r="AE332" s="196"/>
      <c r="AF332" s="196"/>
      <c r="AG332" s="196"/>
      <c r="AH332" s="196"/>
      <c r="AI332" s="198"/>
      <c r="AJ332" s="173">
        <f t="shared" si="85"/>
        <v>1</v>
      </c>
    </row>
    <row r="333" spans="1:36" s="203" customFormat="1" ht="16.5" x14ac:dyDescent="0.25">
      <c r="A333" s="210" t="s">
        <v>173</v>
      </c>
      <c r="B333" s="209" t="s">
        <v>1239</v>
      </c>
      <c r="C333" s="208"/>
      <c r="D333" s="207"/>
      <c r="E333" s="207"/>
      <c r="F333" s="207"/>
      <c r="G333" s="355">
        <f t="shared" ref="G333:AH334" si="103">G334</f>
        <v>111318</v>
      </c>
      <c r="H333" s="355">
        <f t="shared" si="103"/>
        <v>111318</v>
      </c>
      <c r="I333" s="355">
        <f t="shared" si="103"/>
        <v>0</v>
      </c>
      <c r="J333" s="355">
        <f t="shared" si="103"/>
        <v>0</v>
      </c>
      <c r="K333" s="355">
        <f t="shared" si="103"/>
        <v>0</v>
      </c>
      <c r="L333" s="355">
        <f t="shared" si="103"/>
        <v>0</v>
      </c>
      <c r="M333" s="355">
        <f t="shared" si="103"/>
        <v>80000</v>
      </c>
      <c r="N333" s="355">
        <f t="shared" si="103"/>
        <v>80000</v>
      </c>
      <c r="O333" s="355">
        <f t="shared" si="103"/>
        <v>80000</v>
      </c>
      <c r="P333" s="355">
        <f t="shared" si="103"/>
        <v>80000</v>
      </c>
      <c r="Q333" s="355">
        <f t="shared" si="103"/>
        <v>0</v>
      </c>
      <c r="R333" s="355">
        <f t="shared" si="103"/>
        <v>0</v>
      </c>
      <c r="S333" s="355">
        <f t="shared" si="103"/>
        <v>19540</v>
      </c>
      <c r="T333" s="355">
        <f t="shared" si="103"/>
        <v>19540</v>
      </c>
      <c r="U333" s="465">
        <f t="shared" si="103"/>
        <v>80000</v>
      </c>
      <c r="V333" s="465">
        <v>80000</v>
      </c>
      <c r="W333" s="355">
        <f t="shared" si="103"/>
        <v>13700</v>
      </c>
      <c r="X333" s="355">
        <f t="shared" si="103"/>
        <v>13700</v>
      </c>
      <c r="Y333" s="355">
        <f t="shared" si="103"/>
        <v>16337</v>
      </c>
      <c r="Z333" s="355">
        <f t="shared" si="103"/>
        <v>16337</v>
      </c>
      <c r="AA333" s="355">
        <f t="shared" si="103"/>
        <v>80000</v>
      </c>
      <c r="AB333" s="355">
        <f t="shared" si="103"/>
        <v>80000</v>
      </c>
      <c r="AC333" s="355">
        <f t="shared" si="103"/>
        <v>80000</v>
      </c>
      <c r="AD333" s="355">
        <f t="shared" si="103"/>
        <v>80000</v>
      </c>
      <c r="AE333" s="355">
        <f t="shared" si="103"/>
        <v>80000</v>
      </c>
      <c r="AF333" s="355">
        <f t="shared" si="103"/>
        <v>80000</v>
      </c>
      <c r="AG333" s="355">
        <f t="shared" si="103"/>
        <v>80000</v>
      </c>
      <c r="AH333" s="355">
        <f t="shared" si="103"/>
        <v>80000</v>
      </c>
      <c r="AI333" s="318"/>
      <c r="AJ333" s="173">
        <f t="shared" si="85"/>
        <v>0</v>
      </c>
    </row>
    <row r="334" spans="1:36" ht="34.5" x14ac:dyDescent="0.25">
      <c r="A334" s="195" t="s">
        <v>85</v>
      </c>
      <c r="B334" s="193" t="s">
        <v>86</v>
      </c>
      <c r="C334" s="192"/>
      <c r="D334" s="192"/>
      <c r="E334" s="192"/>
      <c r="F334" s="192"/>
      <c r="G334" s="191">
        <f t="shared" si="103"/>
        <v>111318</v>
      </c>
      <c r="H334" s="191">
        <f t="shared" si="103"/>
        <v>111318</v>
      </c>
      <c r="I334" s="191">
        <f t="shared" si="103"/>
        <v>0</v>
      </c>
      <c r="J334" s="191">
        <f t="shared" si="103"/>
        <v>0</v>
      </c>
      <c r="K334" s="191">
        <f t="shared" si="103"/>
        <v>0</v>
      </c>
      <c r="L334" s="191">
        <f t="shared" si="103"/>
        <v>0</v>
      </c>
      <c r="M334" s="191">
        <f t="shared" si="103"/>
        <v>80000</v>
      </c>
      <c r="N334" s="191">
        <f t="shared" si="103"/>
        <v>80000</v>
      </c>
      <c r="O334" s="191">
        <f t="shared" si="103"/>
        <v>80000</v>
      </c>
      <c r="P334" s="191">
        <f t="shared" si="103"/>
        <v>80000</v>
      </c>
      <c r="Q334" s="191">
        <f t="shared" si="103"/>
        <v>0</v>
      </c>
      <c r="R334" s="191">
        <f t="shared" si="103"/>
        <v>0</v>
      </c>
      <c r="S334" s="191">
        <f t="shared" si="103"/>
        <v>19540</v>
      </c>
      <c r="T334" s="191">
        <f t="shared" si="103"/>
        <v>19540</v>
      </c>
      <c r="U334" s="474">
        <f t="shared" si="103"/>
        <v>80000</v>
      </c>
      <c r="V334" s="474">
        <v>80000</v>
      </c>
      <c r="W334" s="191">
        <f t="shared" si="103"/>
        <v>13700</v>
      </c>
      <c r="X334" s="191">
        <f t="shared" si="103"/>
        <v>13700</v>
      </c>
      <c r="Y334" s="191">
        <f t="shared" si="103"/>
        <v>16337</v>
      </c>
      <c r="Z334" s="191">
        <f t="shared" si="103"/>
        <v>16337</v>
      </c>
      <c r="AA334" s="190">
        <v>80000</v>
      </c>
      <c r="AB334" s="190">
        <v>80000</v>
      </c>
      <c r="AC334" s="190">
        <v>80000</v>
      </c>
      <c r="AD334" s="190">
        <v>80000</v>
      </c>
      <c r="AE334" s="190">
        <v>80000</v>
      </c>
      <c r="AF334" s="190">
        <v>80000</v>
      </c>
      <c r="AG334" s="190">
        <v>80000</v>
      </c>
      <c r="AH334" s="190">
        <v>80000</v>
      </c>
      <c r="AI334" s="189"/>
      <c r="AJ334" s="173">
        <f t="shared" si="85"/>
        <v>0</v>
      </c>
    </row>
    <row r="335" spans="1:36" ht="51.75" x14ac:dyDescent="0.25">
      <c r="A335" s="194" t="s">
        <v>87</v>
      </c>
      <c r="B335" s="193" t="s">
        <v>88</v>
      </c>
      <c r="C335" s="192"/>
      <c r="D335" s="192"/>
      <c r="E335" s="192"/>
      <c r="F335" s="192"/>
      <c r="G335" s="191">
        <f t="shared" ref="G335:Z335" si="104">SUM(G336:G348)</f>
        <v>111318</v>
      </c>
      <c r="H335" s="191">
        <f t="shared" si="104"/>
        <v>111318</v>
      </c>
      <c r="I335" s="191">
        <f t="shared" si="104"/>
        <v>0</v>
      </c>
      <c r="J335" s="191">
        <f t="shared" si="104"/>
        <v>0</v>
      </c>
      <c r="K335" s="191">
        <f t="shared" si="104"/>
        <v>0</v>
      </c>
      <c r="L335" s="191">
        <f t="shared" si="104"/>
        <v>0</v>
      </c>
      <c r="M335" s="191">
        <f t="shared" si="104"/>
        <v>80000</v>
      </c>
      <c r="N335" s="191">
        <f t="shared" si="104"/>
        <v>80000</v>
      </c>
      <c r="O335" s="191">
        <f t="shared" si="104"/>
        <v>80000</v>
      </c>
      <c r="P335" s="191">
        <f t="shared" si="104"/>
        <v>80000</v>
      </c>
      <c r="Q335" s="191">
        <f t="shared" si="104"/>
        <v>0</v>
      </c>
      <c r="R335" s="191">
        <f t="shared" si="104"/>
        <v>0</v>
      </c>
      <c r="S335" s="191">
        <f t="shared" si="104"/>
        <v>19540</v>
      </c>
      <c r="T335" s="191">
        <f t="shared" si="104"/>
        <v>19540</v>
      </c>
      <c r="U335" s="474">
        <f t="shared" si="104"/>
        <v>80000</v>
      </c>
      <c r="V335" s="474">
        <v>80000</v>
      </c>
      <c r="W335" s="191">
        <f t="shared" si="104"/>
        <v>13700</v>
      </c>
      <c r="X335" s="191">
        <f t="shared" si="104"/>
        <v>13700</v>
      </c>
      <c r="Y335" s="191">
        <f t="shared" si="104"/>
        <v>16337</v>
      </c>
      <c r="Z335" s="191">
        <f t="shared" si="104"/>
        <v>16337</v>
      </c>
      <c r="AA335" s="190">
        <v>80000</v>
      </c>
      <c r="AB335" s="190">
        <v>80000</v>
      </c>
      <c r="AC335" s="190">
        <v>80000</v>
      </c>
      <c r="AD335" s="190">
        <v>80000</v>
      </c>
      <c r="AE335" s="190">
        <v>80000</v>
      </c>
      <c r="AF335" s="190">
        <v>80000</v>
      </c>
      <c r="AG335" s="190">
        <v>80000</v>
      </c>
      <c r="AH335" s="190">
        <v>80000</v>
      </c>
      <c r="AI335" s="189"/>
      <c r="AJ335" s="173">
        <f t="shared" si="85"/>
        <v>0</v>
      </c>
    </row>
    <row r="336" spans="1:36" ht="49.5" x14ac:dyDescent="0.25">
      <c r="A336" s="221">
        <v>1</v>
      </c>
      <c r="B336" s="183" t="s">
        <v>1238</v>
      </c>
      <c r="C336" s="180" t="s">
        <v>1237</v>
      </c>
      <c r="D336" s="188" t="s">
        <v>1236</v>
      </c>
      <c r="E336" s="181" t="s">
        <v>97</v>
      </c>
      <c r="F336" s="180" t="s">
        <v>1235</v>
      </c>
      <c r="G336" s="196">
        <v>13296</v>
      </c>
      <c r="H336" s="196">
        <v>13296</v>
      </c>
      <c r="I336" s="177"/>
      <c r="J336" s="177"/>
      <c r="K336" s="177"/>
      <c r="L336" s="177"/>
      <c r="M336" s="179">
        <v>12000</v>
      </c>
      <c r="N336" s="212">
        <f t="shared" ref="N336:N346" si="105">M336</f>
        <v>12000</v>
      </c>
      <c r="O336" s="178">
        <f>P336</f>
        <v>11040</v>
      </c>
      <c r="P336" s="220">
        <v>11040</v>
      </c>
      <c r="Q336" s="177">
        <f t="shared" ref="Q336:R348" si="106">O336-M336</f>
        <v>-960</v>
      </c>
      <c r="R336" s="177">
        <f t="shared" si="106"/>
        <v>-960</v>
      </c>
      <c r="S336" s="176"/>
      <c r="T336" s="176">
        <f>N336-V336</f>
        <v>960</v>
      </c>
      <c r="U336" s="456">
        <f>V336</f>
        <v>11040</v>
      </c>
      <c r="V336" s="454">
        <v>11040</v>
      </c>
      <c r="W336" s="177">
        <f>X336</f>
        <v>6400</v>
      </c>
      <c r="X336" s="177">
        <v>6400</v>
      </c>
      <c r="Y336" s="177">
        <f>Z336</f>
        <v>3437</v>
      </c>
      <c r="Z336" s="177">
        <v>3437</v>
      </c>
      <c r="AA336" s="177"/>
      <c r="AB336" s="177"/>
      <c r="AC336" s="177"/>
      <c r="AD336" s="177"/>
      <c r="AE336" s="177"/>
      <c r="AF336" s="177"/>
      <c r="AG336" s="177"/>
      <c r="AH336" s="177"/>
      <c r="AI336" s="198"/>
      <c r="AJ336" s="173">
        <f t="shared" si="85"/>
        <v>1</v>
      </c>
    </row>
    <row r="337" spans="1:38" ht="66" x14ac:dyDescent="0.25">
      <c r="A337" s="221">
        <v>2</v>
      </c>
      <c r="B337" s="183" t="s">
        <v>1234</v>
      </c>
      <c r="C337" s="180" t="s">
        <v>1233</v>
      </c>
      <c r="D337" s="182" t="s">
        <v>1232</v>
      </c>
      <c r="E337" s="181" t="s">
        <v>97</v>
      </c>
      <c r="F337" s="180" t="s">
        <v>1231</v>
      </c>
      <c r="G337" s="196">
        <v>8514</v>
      </c>
      <c r="H337" s="196">
        <v>8514</v>
      </c>
      <c r="I337" s="177"/>
      <c r="J337" s="177"/>
      <c r="K337" s="177"/>
      <c r="L337" s="177"/>
      <c r="M337" s="179">
        <v>6470</v>
      </c>
      <c r="N337" s="212">
        <f t="shared" si="105"/>
        <v>6470</v>
      </c>
      <c r="O337" s="178">
        <f>P337</f>
        <v>7160</v>
      </c>
      <c r="P337" s="220">
        <v>7160</v>
      </c>
      <c r="Q337" s="177">
        <f t="shared" si="106"/>
        <v>690</v>
      </c>
      <c r="R337" s="177">
        <f t="shared" si="106"/>
        <v>690</v>
      </c>
      <c r="S337" s="176">
        <f>V337-N337</f>
        <v>690</v>
      </c>
      <c r="T337" s="176"/>
      <c r="U337" s="456">
        <f>V337</f>
        <v>7160</v>
      </c>
      <c r="V337" s="454">
        <v>7160</v>
      </c>
      <c r="W337" s="177">
        <f>X337</f>
        <v>5300</v>
      </c>
      <c r="X337" s="177">
        <v>5300</v>
      </c>
      <c r="Y337" s="177">
        <f>Z337</f>
        <v>1100</v>
      </c>
      <c r="Z337" s="177">
        <v>1100</v>
      </c>
      <c r="AA337" s="177"/>
      <c r="AB337" s="177"/>
      <c r="AC337" s="177"/>
      <c r="AD337" s="177"/>
      <c r="AE337" s="177"/>
      <c r="AF337" s="177"/>
      <c r="AG337" s="177"/>
      <c r="AH337" s="177"/>
      <c r="AI337" s="198"/>
      <c r="AJ337" s="173">
        <f t="shared" si="85"/>
        <v>1</v>
      </c>
    </row>
    <row r="338" spans="1:38" ht="49.5" x14ac:dyDescent="0.25">
      <c r="A338" s="221">
        <v>3</v>
      </c>
      <c r="B338" s="233" t="s">
        <v>1230</v>
      </c>
      <c r="C338" s="180" t="s">
        <v>1202</v>
      </c>
      <c r="D338" s="181" t="s">
        <v>1229</v>
      </c>
      <c r="E338" s="187" t="s">
        <v>1073</v>
      </c>
      <c r="F338" s="180" t="s">
        <v>1228</v>
      </c>
      <c r="G338" s="179">
        <v>3137</v>
      </c>
      <c r="H338" s="179">
        <v>3137</v>
      </c>
      <c r="I338" s="177"/>
      <c r="J338" s="177"/>
      <c r="K338" s="177"/>
      <c r="L338" s="177"/>
      <c r="M338" s="179">
        <v>2860</v>
      </c>
      <c r="N338" s="212">
        <f t="shared" si="105"/>
        <v>2860</v>
      </c>
      <c r="O338" s="178">
        <f>P338</f>
        <v>2700</v>
      </c>
      <c r="P338" s="220">
        <v>2700</v>
      </c>
      <c r="Q338" s="177">
        <f t="shared" si="106"/>
        <v>-160</v>
      </c>
      <c r="R338" s="177">
        <f t="shared" si="106"/>
        <v>-160</v>
      </c>
      <c r="S338" s="176"/>
      <c r="T338" s="176">
        <f t="shared" ref="T338:T346" si="107">N338-V338</f>
        <v>160</v>
      </c>
      <c r="U338" s="456">
        <f>V338</f>
        <v>2700</v>
      </c>
      <c r="V338" s="454">
        <v>2700</v>
      </c>
      <c r="W338" s="177">
        <f>X338</f>
        <v>2000</v>
      </c>
      <c r="X338" s="177">
        <v>2000</v>
      </c>
      <c r="Y338" s="177">
        <f>Z338</f>
        <v>630</v>
      </c>
      <c r="Z338" s="177">
        <v>630</v>
      </c>
      <c r="AA338" s="177"/>
      <c r="AB338" s="177"/>
      <c r="AC338" s="177"/>
      <c r="AD338" s="177"/>
      <c r="AE338" s="177"/>
      <c r="AF338" s="177"/>
      <c r="AG338" s="177"/>
      <c r="AH338" s="177"/>
      <c r="AI338" s="198"/>
      <c r="AJ338" s="173">
        <f t="shared" ref="AJ338:AJ401" si="108">IF(N338-V338=0,0,1)</f>
        <v>1</v>
      </c>
    </row>
    <row r="339" spans="1:38" s="157" customFormat="1" ht="23.25" customHeight="1" x14ac:dyDescent="0.25">
      <c r="A339" s="152">
        <v>4</v>
      </c>
      <c r="B339" s="351" t="s">
        <v>1227</v>
      </c>
      <c r="C339" s="1" t="s">
        <v>1226</v>
      </c>
      <c r="D339" s="335" t="s">
        <v>1225</v>
      </c>
      <c r="E339" s="246">
        <v>2017</v>
      </c>
      <c r="F339" s="336"/>
      <c r="G339" s="349">
        <v>639</v>
      </c>
      <c r="H339" s="349">
        <v>639</v>
      </c>
      <c r="I339" s="244"/>
      <c r="J339" s="244"/>
      <c r="K339" s="244"/>
      <c r="L339" s="244"/>
      <c r="M339" s="4">
        <v>570</v>
      </c>
      <c r="N339" s="3">
        <f t="shared" si="105"/>
        <v>570</v>
      </c>
      <c r="O339" s="354"/>
      <c r="P339" s="354"/>
      <c r="Q339" s="244">
        <f t="shared" si="106"/>
        <v>-570</v>
      </c>
      <c r="R339" s="244">
        <f t="shared" si="106"/>
        <v>-570</v>
      </c>
      <c r="S339" s="8"/>
      <c r="T339" s="176">
        <f t="shared" si="107"/>
        <v>570</v>
      </c>
      <c r="U339" s="476"/>
      <c r="V339" s="476"/>
      <c r="W339" s="244"/>
      <c r="X339" s="244"/>
      <c r="Y339" s="244"/>
      <c r="Z339" s="244"/>
      <c r="AA339" s="244"/>
      <c r="AB339" s="244"/>
      <c r="AC339" s="244"/>
      <c r="AD339" s="244"/>
      <c r="AE339" s="244"/>
      <c r="AF339" s="244"/>
      <c r="AG339" s="244"/>
      <c r="AH339" s="244"/>
      <c r="AI339" s="242"/>
      <c r="AJ339" s="173">
        <f t="shared" si="108"/>
        <v>1</v>
      </c>
    </row>
    <row r="340" spans="1:38" s="157" customFormat="1" ht="33" x14ac:dyDescent="0.25">
      <c r="A340" s="152">
        <v>5</v>
      </c>
      <c r="B340" s="351" t="s">
        <v>1224</v>
      </c>
      <c r="C340" s="1"/>
      <c r="D340" s="335" t="s">
        <v>1223</v>
      </c>
      <c r="E340" s="246">
        <v>2017</v>
      </c>
      <c r="F340" s="336"/>
      <c r="G340" s="349">
        <v>14979</v>
      </c>
      <c r="H340" s="349">
        <v>14979</v>
      </c>
      <c r="I340" s="353"/>
      <c r="J340" s="353"/>
      <c r="K340" s="353"/>
      <c r="L340" s="353"/>
      <c r="M340" s="4">
        <v>14260</v>
      </c>
      <c r="N340" s="3">
        <f t="shared" si="105"/>
        <v>14260</v>
      </c>
      <c r="O340" s="347">
        <f>P340</f>
        <v>12750</v>
      </c>
      <c r="P340" s="347">
        <v>12750</v>
      </c>
      <c r="Q340" s="244">
        <f t="shared" si="106"/>
        <v>-1510</v>
      </c>
      <c r="R340" s="244">
        <f t="shared" si="106"/>
        <v>-1510</v>
      </c>
      <c r="S340" s="8"/>
      <c r="T340" s="176">
        <f t="shared" si="107"/>
        <v>1510</v>
      </c>
      <c r="U340" s="482">
        <f>V340</f>
        <v>12750</v>
      </c>
      <c r="V340" s="482">
        <v>12750</v>
      </c>
      <c r="W340" s="332"/>
      <c r="X340" s="332"/>
      <c r="Y340" s="332"/>
      <c r="Z340" s="332"/>
      <c r="AA340" s="332"/>
      <c r="AB340" s="332"/>
      <c r="AC340" s="332"/>
      <c r="AD340" s="332"/>
      <c r="AE340" s="332"/>
      <c r="AF340" s="332"/>
      <c r="AG340" s="332"/>
      <c r="AH340" s="332"/>
      <c r="AI340" s="352"/>
      <c r="AJ340" s="173">
        <f t="shared" si="108"/>
        <v>1</v>
      </c>
    </row>
    <row r="341" spans="1:38" s="157" customFormat="1" ht="33" x14ac:dyDescent="0.25">
      <c r="A341" s="152">
        <v>6</v>
      </c>
      <c r="B341" s="351" t="s">
        <v>1222</v>
      </c>
      <c r="C341" s="350" t="s">
        <v>1202</v>
      </c>
      <c r="D341" s="335" t="s">
        <v>1221</v>
      </c>
      <c r="E341" s="246">
        <v>2017</v>
      </c>
      <c r="F341" s="336"/>
      <c r="G341" s="349">
        <v>5808</v>
      </c>
      <c r="H341" s="349">
        <v>5808</v>
      </c>
      <c r="I341" s="348"/>
      <c r="J341" s="348"/>
      <c r="K341" s="348"/>
      <c r="L341" s="348"/>
      <c r="M341" s="4">
        <v>4930</v>
      </c>
      <c r="N341" s="3">
        <f t="shared" si="105"/>
        <v>4930</v>
      </c>
      <c r="O341" s="347"/>
      <c r="P341" s="347"/>
      <c r="Q341" s="244">
        <f t="shared" si="106"/>
        <v>-4930</v>
      </c>
      <c r="R341" s="244">
        <f t="shared" si="106"/>
        <v>-4930</v>
      </c>
      <c r="S341" s="8"/>
      <c r="T341" s="176">
        <f t="shared" si="107"/>
        <v>4930</v>
      </c>
      <c r="U341" s="482"/>
      <c r="V341" s="482"/>
      <c r="W341" s="332"/>
      <c r="X341" s="332"/>
      <c r="Y341" s="332"/>
      <c r="Z341" s="332"/>
      <c r="AA341" s="332"/>
      <c r="AB341" s="332"/>
      <c r="AC341" s="332"/>
      <c r="AD341" s="332"/>
      <c r="AE341" s="332"/>
      <c r="AF341" s="332"/>
      <c r="AG341" s="332"/>
      <c r="AH341" s="332"/>
      <c r="AI341" s="346"/>
      <c r="AJ341" s="173">
        <f t="shared" si="108"/>
        <v>1</v>
      </c>
    </row>
    <row r="342" spans="1:38" ht="33" x14ac:dyDescent="0.25">
      <c r="A342" s="221">
        <v>7</v>
      </c>
      <c r="B342" s="237" t="s">
        <v>1220</v>
      </c>
      <c r="C342" s="344"/>
      <c r="D342" s="182" t="s">
        <v>1219</v>
      </c>
      <c r="E342" s="197" t="s">
        <v>116</v>
      </c>
      <c r="F342" s="344"/>
      <c r="G342" s="343">
        <v>6229</v>
      </c>
      <c r="H342" s="343">
        <v>6229</v>
      </c>
      <c r="I342" s="191"/>
      <c r="J342" s="191"/>
      <c r="K342" s="191"/>
      <c r="L342" s="191"/>
      <c r="M342" s="179">
        <v>5340</v>
      </c>
      <c r="N342" s="212">
        <f t="shared" si="105"/>
        <v>5340</v>
      </c>
      <c r="O342" s="345">
        <f>P342</f>
        <v>5300</v>
      </c>
      <c r="P342" s="345">
        <v>5300</v>
      </c>
      <c r="Q342" s="177">
        <f t="shared" si="106"/>
        <v>-40</v>
      </c>
      <c r="R342" s="177">
        <f t="shared" si="106"/>
        <v>-40</v>
      </c>
      <c r="S342" s="176"/>
      <c r="T342" s="176">
        <f t="shared" si="107"/>
        <v>40</v>
      </c>
      <c r="U342" s="478">
        <f>V342</f>
        <v>5300</v>
      </c>
      <c r="V342" s="478">
        <v>5300</v>
      </c>
      <c r="W342" s="191"/>
      <c r="X342" s="191"/>
      <c r="Y342" s="176">
        <f>Z342</f>
        <v>3325</v>
      </c>
      <c r="Z342" s="176">
        <v>3325</v>
      </c>
      <c r="AA342" s="191"/>
      <c r="AB342" s="191"/>
      <c r="AC342" s="191"/>
      <c r="AD342" s="191"/>
      <c r="AE342" s="191"/>
      <c r="AF342" s="191"/>
      <c r="AG342" s="191"/>
      <c r="AH342" s="191"/>
      <c r="AI342" s="189"/>
      <c r="AJ342" s="173">
        <f t="shared" si="108"/>
        <v>1</v>
      </c>
    </row>
    <row r="343" spans="1:38" ht="49.5" x14ac:dyDescent="0.25">
      <c r="A343" s="221">
        <v>8</v>
      </c>
      <c r="B343" s="237" t="s">
        <v>1218</v>
      </c>
      <c r="C343" s="180" t="s">
        <v>1202</v>
      </c>
      <c r="D343" s="182" t="s">
        <v>1217</v>
      </c>
      <c r="E343" s="197" t="s">
        <v>116</v>
      </c>
      <c r="F343" s="344"/>
      <c r="G343" s="343">
        <v>14989</v>
      </c>
      <c r="H343" s="343">
        <v>14989</v>
      </c>
      <c r="I343" s="200"/>
      <c r="J343" s="200"/>
      <c r="K343" s="200"/>
      <c r="L343" s="200"/>
      <c r="M343" s="179">
        <v>14120</v>
      </c>
      <c r="N343" s="212">
        <f t="shared" si="105"/>
        <v>14120</v>
      </c>
      <c r="O343" s="340">
        <f>P343</f>
        <v>13200</v>
      </c>
      <c r="P343" s="340">
        <v>13200</v>
      </c>
      <c r="Q343" s="177">
        <f t="shared" si="106"/>
        <v>-920</v>
      </c>
      <c r="R343" s="177">
        <f t="shared" si="106"/>
        <v>-920</v>
      </c>
      <c r="S343" s="176"/>
      <c r="T343" s="176">
        <f t="shared" si="107"/>
        <v>920</v>
      </c>
      <c r="U343" s="459">
        <f>V343</f>
        <v>13200</v>
      </c>
      <c r="V343" s="459">
        <v>13200</v>
      </c>
      <c r="W343" s="200"/>
      <c r="X343" s="200"/>
      <c r="Y343" s="176">
        <f>Z343</f>
        <v>7845</v>
      </c>
      <c r="Z343" s="176">
        <v>7845</v>
      </c>
      <c r="AA343" s="200"/>
      <c r="AB343" s="200"/>
      <c r="AC343" s="200"/>
      <c r="AD343" s="200"/>
      <c r="AE343" s="200"/>
      <c r="AF343" s="200"/>
      <c r="AG343" s="200"/>
      <c r="AH343" s="200"/>
      <c r="AI343" s="264"/>
      <c r="AJ343" s="173">
        <f t="shared" si="108"/>
        <v>1</v>
      </c>
    </row>
    <row r="344" spans="1:38" ht="49.5" x14ac:dyDescent="0.25">
      <c r="A344" s="221">
        <v>9</v>
      </c>
      <c r="B344" s="233" t="s">
        <v>1216</v>
      </c>
      <c r="C344" s="188" t="s">
        <v>1215</v>
      </c>
      <c r="D344" s="188" t="s">
        <v>1214</v>
      </c>
      <c r="E344" s="185" t="s">
        <v>290</v>
      </c>
      <c r="F344" s="342" t="s">
        <v>1213</v>
      </c>
      <c r="G344" s="341">
        <f>H344</f>
        <v>14034</v>
      </c>
      <c r="H344" s="341">
        <v>14034</v>
      </c>
      <c r="I344" s="191"/>
      <c r="J344" s="191"/>
      <c r="K344" s="191"/>
      <c r="L344" s="191"/>
      <c r="M344" s="179">
        <v>9000</v>
      </c>
      <c r="N344" s="212">
        <f t="shared" si="105"/>
        <v>9000</v>
      </c>
      <c r="O344" s="340">
        <f>P344</f>
        <v>11700</v>
      </c>
      <c r="P344" s="340">
        <v>11700</v>
      </c>
      <c r="Q344" s="177">
        <f t="shared" si="106"/>
        <v>2700</v>
      </c>
      <c r="R344" s="177">
        <f t="shared" si="106"/>
        <v>2700</v>
      </c>
      <c r="S344" s="176">
        <f>V344-N344</f>
        <v>2700</v>
      </c>
      <c r="T344" s="176"/>
      <c r="U344" s="459">
        <f>V344</f>
        <v>11700</v>
      </c>
      <c r="V344" s="459">
        <v>11700</v>
      </c>
      <c r="W344" s="191"/>
      <c r="X344" s="191"/>
      <c r="Y344" s="191"/>
      <c r="Z344" s="191"/>
      <c r="AA344" s="191"/>
      <c r="AB344" s="191"/>
      <c r="AC344" s="191"/>
      <c r="AD344" s="191"/>
      <c r="AE344" s="191"/>
      <c r="AF344" s="191"/>
      <c r="AG344" s="191"/>
      <c r="AH344" s="191"/>
      <c r="AI344" s="339" t="s">
        <v>1212</v>
      </c>
      <c r="AJ344" s="173">
        <f t="shared" si="108"/>
        <v>1</v>
      </c>
    </row>
    <row r="345" spans="1:38" s="157" customFormat="1" ht="33" x14ac:dyDescent="0.25">
      <c r="A345" s="152">
        <v>10</v>
      </c>
      <c r="B345" s="337" t="s">
        <v>1211</v>
      </c>
      <c r="C345" s="1"/>
      <c r="D345" s="335" t="s">
        <v>1210</v>
      </c>
      <c r="E345" s="334" t="s">
        <v>290</v>
      </c>
      <c r="F345" s="336"/>
      <c r="G345" s="332">
        <v>10000</v>
      </c>
      <c r="H345" s="332">
        <v>10000</v>
      </c>
      <c r="I345" s="244"/>
      <c r="J345" s="338"/>
      <c r="K345" s="244"/>
      <c r="L345" s="338"/>
      <c r="M345" s="4">
        <v>9500</v>
      </c>
      <c r="N345" s="3">
        <f t="shared" si="105"/>
        <v>9500</v>
      </c>
      <c r="O345" s="330"/>
      <c r="P345" s="330"/>
      <c r="Q345" s="244">
        <f t="shared" si="106"/>
        <v>-9500</v>
      </c>
      <c r="R345" s="244">
        <f t="shared" si="106"/>
        <v>-9500</v>
      </c>
      <c r="S345" s="8"/>
      <c r="T345" s="176">
        <f t="shared" si="107"/>
        <v>9500</v>
      </c>
      <c r="U345" s="483"/>
      <c r="V345" s="483"/>
      <c r="W345" s="244"/>
      <c r="X345" s="244"/>
      <c r="Y345" s="244"/>
      <c r="Z345" s="244"/>
      <c r="AA345" s="244"/>
      <c r="AB345" s="244"/>
      <c r="AC345" s="244"/>
      <c r="AD345" s="244"/>
      <c r="AE345" s="244"/>
      <c r="AF345" s="244"/>
      <c r="AG345" s="244"/>
      <c r="AH345" s="244"/>
      <c r="AI345" s="242"/>
      <c r="AJ345" s="173">
        <f t="shared" si="108"/>
        <v>1</v>
      </c>
    </row>
    <row r="346" spans="1:38" s="157" customFormat="1" ht="33" x14ac:dyDescent="0.25">
      <c r="A346" s="152">
        <v>11</v>
      </c>
      <c r="B346" s="337" t="s">
        <v>1209</v>
      </c>
      <c r="C346" s="1"/>
      <c r="D346" s="335" t="s">
        <v>1208</v>
      </c>
      <c r="E346" s="334">
        <v>2020</v>
      </c>
      <c r="F346" s="336"/>
      <c r="G346" s="332">
        <v>1000</v>
      </c>
      <c r="H346" s="332">
        <v>1000</v>
      </c>
      <c r="I346" s="244"/>
      <c r="J346" s="331"/>
      <c r="K346" s="244"/>
      <c r="L346" s="331"/>
      <c r="M346" s="4">
        <v>950</v>
      </c>
      <c r="N346" s="3">
        <f t="shared" si="105"/>
        <v>950</v>
      </c>
      <c r="O346" s="330"/>
      <c r="P346" s="330"/>
      <c r="Q346" s="244">
        <f t="shared" si="106"/>
        <v>-950</v>
      </c>
      <c r="R346" s="244">
        <f t="shared" si="106"/>
        <v>-950</v>
      </c>
      <c r="S346" s="8"/>
      <c r="T346" s="176">
        <f t="shared" si="107"/>
        <v>950</v>
      </c>
      <c r="U346" s="483"/>
      <c r="V346" s="483"/>
      <c r="W346" s="244"/>
      <c r="X346" s="244"/>
      <c r="Y346" s="244"/>
      <c r="Z346" s="244"/>
      <c r="AA346" s="244"/>
      <c r="AB346" s="244"/>
      <c r="AC346" s="244"/>
      <c r="AD346" s="244"/>
      <c r="AE346" s="244"/>
      <c r="AF346" s="244"/>
      <c r="AG346" s="244"/>
      <c r="AH346" s="244"/>
      <c r="AI346" s="242"/>
      <c r="AJ346" s="173">
        <f t="shared" si="108"/>
        <v>1</v>
      </c>
    </row>
    <row r="347" spans="1:38" s="157" customFormat="1" ht="49.5" x14ac:dyDescent="0.25">
      <c r="A347" s="152">
        <v>12</v>
      </c>
      <c r="B347" s="153" t="s">
        <v>1207</v>
      </c>
      <c r="C347" s="1" t="s">
        <v>1206</v>
      </c>
      <c r="D347" s="335" t="s">
        <v>1205</v>
      </c>
      <c r="E347" s="334" t="s">
        <v>116</v>
      </c>
      <c r="F347" s="333" t="s">
        <v>1204</v>
      </c>
      <c r="G347" s="332">
        <f>H347</f>
        <v>3944</v>
      </c>
      <c r="H347" s="332">
        <v>3944</v>
      </c>
      <c r="I347" s="244"/>
      <c r="J347" s="331"/>
      <c r="K347" s="244"/>
      <c r="L347" s="331"/>
      <c r="M347" s="4"/>
      <c r="N347" s="3"/>
      <c r="O347" s="330">
        <f>P347</f>
        <v>3550</v>
      </c>
      <c r="P347" s="330">
        <v>3550</v>
      </c>
      <c r="Q347" s="244">
        <f t="shared" si="106"/>
        <v>3550</v>
      </c>
      <c r="R347" s="244">
        <f t="shared" si="106"/>
        <v>3550</v>
      </c>
      <c r="S347" s="176">
        <f t="shared" ref="S347:S348" si="109">V347-N347</f>
        <v>3550</v>
      </c>
      <c r="T347" s="176"/>
      <c r="U347" s="483">
        <f>V347</f>
        <v>3550</v>
      </c>
      <c r="V347" s="483">
        <v>3550</v>
      </c>
      <c r="W347" s="244"/>
      <c r="X347" s="244"/>
      <c r="Y347" s="244"/>
      <c r="Z347" s="244"/>
      <c r="AA347" s="244"/>
      <c r="AB347" s="244"/>
      <c r="AC347" s="244"/>
      <c r="AD347" s="244"/>
      <c r="AE347" s="244"/>
      <c r="AF347" s="244"/>
      <c r="AG347" s="244"/>
      <c r="AH347" s="244"/>
      <c r="AI347" s="242"/>
      <c r="AJ347" s="173">
        <f t="shared" si="108"/>
        <v>1</v>
      </c>
    </row>
    <row r="348" spans="1:38" s="157" customFormat="1" ht="49.5" x14ac:dyDescent="0.25">
      <c r="A348" s="329">
        <v>13</v>
      </c>
      <c r="B348" s="328" t="s">
        <v>1203</v>
      </c>
      <c r="C348" s="327" t="s">
        <v>1202</v>
      </c>
      <c r="D348" s="326" t="s">
        <v>1201</v>
      </c>
      <c r="E348" s="325" t="s">
        <v>290</v>
      </c>
      <c r="F348" s="324"/>
      <c r="G348" s="323">
        <v>14749</v>
      </c>
      <c r="H348" s="323">
        <v>14749</v>
      </c>
      <c r="I348" s="320"/>
      <c r="J348" s="322"/>
      <c r="K348" s="320"/>
      <c r="L348" s="322"/>
      <c r="M348" s="4"/>
      <c r="N348" s="3"/>
      <c r="O348" s="321">
        <f>P348</f>
        <v>12600</v>
      </c>
      <c r="P348" s="321">
        <v>12600</v>
      </c>
      <c r="Q348" s="244">
        <f t="shared" si="106"/>
        <v>12600</v>
      </c>
      <c r="R348" s="244">
        <f t="shared" si="106"/>
        <v>12600</v>
      </c>
      <c r="S348" s="176">
        <f t="shared" si="109"/>
        <v>12600</v>
      </c>
      <c r="T348" s="176"/>
      <c r="U348" s="484">
        <f>V348</f>
        <v>12600</v>
      </c>
      <c r="V348" s="484">
        <v>12600</v>
      </c>
      <c r="W348" s="320"/>
      <c r="X348" s="320"/>
      <c r="Y348" s="320"/>
      <c r="Z348" s="320"/>
      <c r="AA348" s="244"/>
      <c r="AB348" s="244"/>
      <c r="AC348" s="244"/>
      <c r="AD348" s="244"/>
      <c r="AE348" s="244"/>
      <c r="AF348" s="244"/>
      <c r="AG348" s="244"/>
      <c r="AH348" s="244"/>
      <c r="AI348" s="319"/>
      <c r="AJ348" s="173">
        <f t="shared" si="108"/>
        <v>1</v>
      </c>
    </row>
    <row r="349" spans="1:38" s="203" customFormat="1" ht="16.5" x14ac:dyDescent="0.25">
      <c r="A349" s="210" t="s">
        <v>333</v>
      </c>
      <c r="B349" s="209" t="s">
        <v>1200</v>
      </c>
      <c r="C349" s="208"/>
      <c r="D349" s="207"/>
      <c r="E349" s="207"/>
      <c r="F349" s="207"/>
      <c r="G349" s="271">
        <f>G357</f>
        <v>113218</v>
      </c>
      <c r="H349" s="271">
        <f>H357</f>
        <v>113120</v>
      </c>
      <c r="I349" s="271">
        <f t="shared" ref="I349:AH349" si="110">I350+I357</f>
        <v>32000</v>
      </c>
      <c r="J349" s="271">
        <f t="shared" si="110"/>
        <v>32000</v>
      </c>
      <c r="K349" s="271">
        <f t="shared" si="110"/>
        <v>32000</v>
      </c>
      <c r="L349" s="271">
        <f t="shared" si="110"/>
        <v>32000</v>
      </c>
      <c r="M349" s="271">
        <f t="shared" si="110"/>
        <v>85000</v>
      </c>
      <c r="N349" s="271">
        <f t="shared" si="110"/>
        <v>85000</v>
      </c>
      <c r="O349" s="271">
        <f t="shared" si="110"/>
        <v>85000</v>
      </c>
      <c r="P349" s="271">
        <f t="shared" si="110"/>
        <v>85000</v>
      </c>
      <c r="Q349" s="271">
        <f t="shared" si="110"/>
        <v>12210</v>
      </c>
      <c r="R349" s="271">
        <f t="shared" si="110"/>
        <v>12210</v>
      </c>
      <c r="S349" s="271">
        <f t="shared" si="110"/>
        <v>28340</v>
      </c>
      <c r="T349" s="271">
        <f>T350+T357</f>
        <v>28340</v>
      </c>
      <c r="U349" s="271">
        <f t="shared" ref="U349:Z349" si="111">U350+U357</f>
        <v>85000</v>
      </c>
      <c r="V349" s="271">
        <f t="shared" si="111"/>
        <v>85000</v>
      </c>
      <c r="W349" s="271">
        <f t="shared" si="111"/>
        <v>45996</v>
      </c>
      <c r="X349" s="271">
        <f t="shared" si="111"/>
        <v>45996</v>
      </c>
      <c r="Y349" s="271">
        <f t="shared" si="111"/>
        <v>9203</v>
      </c>
      <c r="Z349" s="271">
        <f t="shared" si="111"/>
        <v>9203</v>
      </c>
      <c r="AA349" s="269">
        <f t="shared" si="110"/>
        <v>0</v>
      </c>
      <c r="AB349" s="269">
        <f t="shared" si="110"/>
        <v>0</v>
      </c>
      <c r="AC349" s="269">
        <f t="shared" si="110"/>
        <v>0</v>
      </c>
      <c r="AD349" s="269">
        <f t="shared" si="110"/>
        <v>0</v>
      </c>
      <c r="AE349" s="269">
        <f t="shared" si="110"/>
        <v>0</v>
      </c>
      <c r="AF349" s="269">
        <f t="shared" si="110"/>
        <v>0</v>
      </c>
      <c r="AG349" s="269">
        <f t="shared" si="110"/>
        <v>0</v>
      </c>
      <c r="AH349" s="269">
        <f t="shared" si="110"/>
        <v>0</v>
      </c>
      <c r="AI349" s="318"/>
      <c r="AJ349" s="173">
        <f t="shared" si="108"/>
        <v>0</v>
      </c>
      <c r="AL349" s="317"/>
    </row>
    <row r="350" spans="1:38" ht="51.75" x14ac:dyDescent="0.25">
      <c r="A350" s="195" t="s">
        <v>45</v>
      </c>
      <c r="B350" s="193" t="s">
        <v>46</v>
      </c>
      <c r="C350" s="192"/>
      <c r="D350" s="192"/>
      <c r="E350" s="192"/>
      <c r="F350" s="192"/>
      <c r="G350" s="191">
        <f t="shared" ref="G350:AH350" si="112">G351</f>
        <v>50564</v>
      </c>
      <c r="H350" s="191">
        <f t="shared" si="112"/>
        <v>50564</v>
      </c>
      <c r="I350" s="191">
        <f t="shared" si="112"/>
        <v>32000</v>
      </c>
      <c r="J350" s="191">
        <f t="shared" si="112"/>
        <v>32000</v>
      </c>
      <c r="K350" s="191">
        <f t="shared" si="112"/>
        <v>32000</v>
      </c>
      <c r="L350" s="191">
        <f t="shared" si="112"/>
        <v>32000</v>
      </c>
      <c r="M350" s="191">
        <f t="shared" si="112"/>
        <v>27370</v>
      </c>
      <c r="N350" s="191">
        <f t="shared" si="112"/>
        <v>27370</v>
      </c>
      <c r="O350" s="190">
        <f t="shared" si="112"/>
        <v>15750</v>
      </c>
      <c r="P350" s="190">
        <f t="shared" si="112"/>
        <v>15750</v>
      </c>
      <c r="Q350" s="190">
        <f t="shared" si="112"/>
        <v>-11620</v>
      </c>
      <c r="R350" s="190">
        <f t="shared" si="112"/>
        <v>-11620</v>
      </c>
      <c r="S350" s="190">
        <f t="shared" si="112"/>
        <v>0</v>
      </c>
      <c r="T350" s="190">
        <f t="shared" si="112"/>
        <v>11620</v>
      </c>
      <c r="U350" s="474">
        <f t="shared" si="112"/>
        <v>15750</v>
      </c>
      <c r="V350" s="474">
        <f t="shared" si="112"/>
        <v>15750</v>
      </c>
      <c r="W350" s="190">
        <f t="shared" si="112"/>
        <v>15448</v>
      </c>
      <c r="X350" s="190">
        <f t="shared" si="112"/>
        <v>15448</v>
      </c>
      <c r="Y350" s="191">
        <f t="shared" si="112"/>
        <v>0</v>
      </c>
      <c r="Z350" s="191">
        <f t="shared" si="112"/>
        <v>0</v>
      </c>
      <c r="AA350" s="190">
        <f t="shared" si="112"/>
        <v>0</v>
      </c>
      <c r="AB350" s="190">
        <f t="shared" si="112"/>
        <v>0</v>
      </c>
      <c r="AC350" s="190">
        <f t="shared" si="112"/>
        <v>0</v>
      </c>
      <c r="AD350" s="190">
        <f t="shared" si="112"/>
        <v>0</v>
      </c>
      <c r="AE350" s="190">
        <f t="shared" si="112"/>
        <v>0</v>
      </c>
      <c r="AF350" s="190">
        <f t="shared" si="112"/>
        <v>0</v>
      </c>
      <c r="AG350" s="190">
        <f t="shared" si="112"/>
        <v>0</v>
      </c>
      <c r="AH350" s="190">
        <f t="shared" si="112"/>
        <v>0</v>
      </c>
      <c r="AI350" s="189"/>
      <c r="AJ350" s="173">
        <f t="shared" si="108"/>
        <v>1</v>
      </c>
    </row>
    <row r="351" spans="1:38" ht="34.5" x14ac:dyDescent="0.25">
      <c r="A351" s="194" t="s">
        <v>47</v>
      </c>
      <c r="B351" s="193" t="s">
        <v>48</v>
      </c>
      <c r="C351" s="192"/>
      <c r="D351" s="192"/>
      <c r="E351" s="192"/>
      <c r="F351" s="192"/>
      <c r="G351" s="191">
        <f t="shared" ref="G351:R351" si="113">G355+G356</f>
        <v>50564</v>
      </c>
      <c r="H351" s="191">
        <f t="shared" si="113"/>
        <v>50564</v>
      </c>
      <c r="I351" s="191">
        <f t="shared" si="113"/>
        <v>32000</v>
      </c>
      <c r="J351" s="191">
        <f t="shared" si="113"/>
        <v>32000</v>
      </c>
      <c r="K351" s="191">
        <f t="shared" ref="K351:P351" si="114">SUM(K354:K356)</f>
        <v>32000</v>
      </c>
      <c r="L351" s="191">
        <f t="shared" si="114"/>
        <v>32000</v>
      </c>
      <c r="M351" s="191">
        <f t="shared" si="114"/>
        <v>27370</v>
      </c>
      <c r="N351" s="191">
        <f t="shared" si="114"/>
        <v>27370</v>
      </c>
      <c r="O351" s="191">
        <f t="shared" si="114"/>
        <v>15750</v>
      </c>
      <c r="P351" s="191">
        <f t="shared" si="114"/>
        <v>15750</v>
      </c>
      <c r="Q351" s="191">
        <f t="shared" si="113"/>
        <v>-11620</v>
      </c>
      <c r="R351" s="191">
        <f t="shared" si="113"/>
        <v>-11620</v>
      </c>
      <c r="S351" s="191">
        <f>SUM(S354:S356)</f>
        <v>0</v>
      </c>
      <c r="T351" s="191">
        <f t="shared" ref="T351:AH351" si="115">SUM(T354:T356)</f>
        <v>11620</v>
      </c>
      <c r="U351" s="191">
        <f t="shared" si="115"/>
        <v>15750</v>
      </c>
      <c r="V351" s="191">
        <f t="shared" si="115"/>
        <v>15750</v>
      </c>
      <c r="W351" s="191">
        <f t="shared" si="115"/>
        <v>15448</v>
      </c>
      <c r="X351" s="191">
        <f t="shared" si="115"/>
        <v>15448</v>
      </c>
      <c r="Y351" s="191">
        <f t="shared" si="115"/>
        <v>0</v>
      </c>
      <c r="Z351" s="191">
        <f t="shared" si="115"/>
        <v>0</v>
      </c>
      <c r="AA351" s="190">
        <f t="shared" si="115"/>
        <v>0</v>
      </c>
      <c r="AB351" s="190">
        <f t="shared" si="115"/>
        <v>0</v>
      </c>
      <c r="AC351" s="190">
        <f t="shared" si="115"/>
        <v>0</v>
      </c>
      <c r="AD351" s="190">
        <f t="shared" si="115"/>
        <v>0</v>
      </c>
      <c r="AE351" s="190">
        <f t="shared" si="115"/>
        <v>0</v>
      </c>
      <c r="AF351" s="190">
        <f t="shared" si="115"/>
        <v>0</v>
      </c>
      <c r="AG351" s="190">
        <f t="shared" si="115"/>
        <v>0</v>
      </c>
      <c r="AH351" s="190">
        <f t="shared" si="115"/>
        <v>0</v>
      </c>
      <c r="AI351" s="189"/>
      <c r="AJ351" s="173">
        <f t="shared" si="108"/>
        <v>1</v>
      </c>
    </row>
    <row r="352" spans="1:38" ht="17.25" x14ac:dyDescent="0.25">
      <c r="A352" s="316"/>
      <c r="B352" s="315" t="s">
        <v>49</v>
      </c>
      <c r="C352" s="314"/>
      <c r="D352" s="314"/>
      <c r="E352" s="314"/>
      <c r="F352" s="314"/>
      <c r="G352" s="312"/>
      <c r="H352" s="312"/>
      <c r="I352" s="312"/>
      <c r="J352" s="312"/>
      <c r="K352" s="312"/>
      <c r="L352" s="312"/>
      <c r="M352" s="200"/>
      <c r="N352" s="200"/>
      <c r="O352" s="313"/>
      <c r="P352" s="313"/>
      <c r="Q352" s="177">
        <f t="shared" ref="Q352:R356" si="116">O352-M352</f>
        <v>0</v>
      </c>
      <c r="R352" s="177">
        <f t="shared" si="116"/>
        <v>0</v>
      </c>
      <c r="S352" s="176">
        <f>IF(R352&gt;0,R352,0)</f>
        <v>0</v>
      </c>
      <c r="T352" s="176">
        <f>IF(R352&lt;0,-R352,0)</f>
        <v>0</v>
      </c>
      <c r="U352" s="485"/>
      <c r="V352" s="485"/>
      <c r="W352" s="312"/>
      <c r="X352" s="312"/>
      <c r="Y352" s="312"/>
      <c r="Z352" s="312"/>
      <c r="AA352" s="200"/>
      <c r="AB352" s="200"/>
      <c r="AC352" s="200"/>
      <c r="AD352" s="200"/>
      <c r="AE352" s="200"/>
      <c r="AF352" s="200"/>
      <c r="AG352" s="200"/>
      <c r="AH352" s="200"/>
      <c r="AI352" s="311"/>
      <c r="AJ352" s="173">
        <f t="shared" si="108"/>
        <v>0</v>
      </c>
    </row>
    <row r="353" spans="1:36" ht="51.75" x14ac:dyDescent="0.25">
      <c r="A353" s="194"/>
      <c r="B353" s="199" t="s">
        <v>50</v>
      </c>
      <c r="C353" s="192"/>
      <c r="D353" s="192"/>
      <c r="E353" s="192"/>
      <c r="F353" s="192"/>
      <c r="G353" s="191"/>
      <c r="H353" s="191"/>
      <c r="I353" s="191"/>
      <c r="J353" s="191"/>
      <c r="K353" s="191"/>
      <c r="L353" s="191"/>
      <c r="M353" s="191"/>
      <c r="N353" s="191"/>
      <c r="O353" s="190"/>
      <c r="P353" s="190"/>
      <c r="Q353" s="177">
        <f t="shared" si="116"/>
        <v>0</v>
      </c>
      <c r="R353" s="177">
        <f t="shared" si="116"/>
        <v>0</v>
      </c>
      <c r="S353" s="176">
        <f>IF(R353&gt;0,R353,0)</f>
        <v>0</v>
      </c>
      <c r="T353" s="176">
        <f>IF(R353&lt;0,-R353,0)</f>
        <v>0</v>
      </c>
      <c r="U353" s="474"/>
      <c r="V353" s="474"/>
      <c r="W353" s="191"/>
      <c r="X353" s="191"/>
      <c r="Y353" s="191"/>
      <c r="Z353" s="191"/>
      <c r="AA353" s="191"/>
      <c r="AB353" s="191"/>
      <c r="AC353" s="191"/>
      <c r="AD353" s="191"/>
      <c r="AE353" s="191"/>
      <c r="AF353" s="191"/>
      <c r="AG353" s="191"/>
      <c r="AH353" s="191"/>
      <c r="AI353" s="189"/>
      <c r="AJ353" s="173">
        <f t="shared" si="108"/>
        <v>0</v>
      </c>
    </row>
    <row r="354" spans="1:36" ht="33" x14ac:dyDescent="0.25">
      <c r="A354" s="310" t="s">
        <v>1142</v>
      </c>
      <c r="B354" s="309" t="s">
        <v>1008</v>
      </c>
      <c r="C354" s="308"/>
      <c r="D354" s="307"/>
      <c r="E354" s="307"/>
      <c r="F354" s="307"/>
      <c r="G354" s="306"/>
      <c r="H354" s="303"/>
      <c r="I354" s="303"/>
      <c r="J354" s="303"/>
      <c r="K354" s="303"/>
      <c r="L354" s="303"/>
      <c r="M354" s="179">
        <v>1550</v>
      </c>
      <c r="N354" s="217">
        <f>M354</f>
        <v>1550</v>
      </c>
      <c r="O354" s="305">
        <f>P354</f>
        <v>1550</v>
      </c>
      <c r="P354" s="304">
        <v>1550</v>
      </c>
      <c r="Q354" s="177">
        <f t="shared" si="116"/>
        <v>0</v>
      </c>
      <c r="R354" s="177">
        <f t="shared" si="116"/>
        <v>0</v>
      </c>
      <c r="S354" s="176"/>
      <c r="T354" s="176">
        <f>N354-V354</f>
        <v>0</v>
      </c>
      <c r="U354" s="486">
        <f>V354</f>
        <v>1550</v>
      </c>
      <c r="V354" s="461">
        <v>1550</v>
      </c>
      <c r="W354" s="305">
        <f>X354</f>
        <v>1545</v>
      </c>
      <c r="X354" s="304">
        <v>1545</v>
      </c>
      <c r="Y354" s="303"/>
      <c r="Z354" s="303"/>
      <c r="AA354" s="191"/>
      <c r="AB354" s="191"/>
      <c r="AC354" s="191"/>
      <c r="AD354" s="191"/>
      <c r="AE354" s="191"/>
      <c r="AF354" s="191"/>
      <c r="AG354" s="191"/>
      <c r="AH354" s="191"/>
      <c r="AI354" s="302"/>
      <c r="AJ354" s="173">
        <f t="shared" si="108"/>
        <v>0</v>
      </c>
    </row>
    <row r="355" spans="1:36" ht="132" x14ac:dyDescent="0.25">
      <c r="A355" s="267" t="s">
        <v>56</v>
      </c>
      <c r="B355" s="183" t="s">
        <v>1199</v>
      </c>
      <c r="C355" s="188" t="s">
        <v>1198</v>
      </c>
      <c r="D355" s="180"/>
      <c r="E355" s="181" t="s">
        <v>738</v>
      </c>
      <c r="F355" s="180" t="s">
        <v>1197</v>
      </c>
      <c r="G355" s="212">
        <f>H355</f>
        <v>38069</v>
      </c>
      <c r="H355" s="212">
        <v>38069</v>
      </c>
      <c r="I355" s="196">
        <f>J355</f>
        <v>26000</v>
      </c>
      <c r="J355" s="196">
        <f>25000+1000</f>
        <v>26000</v>
      </c>
      <c r="K355" s="196">
        <f>L355</f>
        <v>26000</v>
      </c>
      <c r="L355" s="196">
        <f>25000+1000</f>
        <v>26000</v>
      </c>
      <c r="M355" s="179">
        <f>N355</f>
        <v>19070</v>
      </c>
      <c r="N355" s="217">
        <v>19070</v>
      </c>
      <c r="O355" s="218">
        <f>P355</f>
        <v>8300</v>
      </c>
      <c r="P355" s="178">
        <v>8300</v>
      </c>
      <c r="Q355" s="177">
        <f t="shared" si="116"/>
        <v>-10770</v>
      </c>
      <c r="R355" s="177">
        <f t="shared" si="116"/>
        <v>-10770</v>
      </c>
      <c r="S355" s="176"/>
      <c r="T355" s="176">
        <f t="shared" ref="T355:T356" si="117">N355-V355</f>
        <v>10770</v>
      </c>
      <c r="U355" s="467">
        <f>V355</f>
        <v>8300</v>
      </c>
      <c r="V355" s="456">
        <v>8300</v>
      </c>
      <c r="W355" s="266">
        <f>X355</f>
        <v>8000</v>
      </c>
      <c r="X355" s="243">
        <v>8000</v>
      </c>
      <c r="Y355" s="217"/>
      <c r="Z355" s="217"/>
      <c r="AA355" s="217"/>
      <c r="AB355" s="217"/>
      <c r="AC355" s="217"/>
      <c r="AD355" s="217"/>
      <c r="AE355" s="217"/>
      <c r="AF355" s="217"/>
      <c r="AG355" s="217"/>
      <c r="AH355" s="217"/>
      <c r="AI355" s="184" t="s">
        <v>1171</v>
      </c>
      <c r="AJ355" s="173">
        <f t="shared" si="108"/>
        <v>1</v>
      </c>
    </row>
    <row r="356" spans="1:36" ht="132" x14ac:dyDescent="0.25">
      <c r="A356" s="267" t="s">
        <v>1196</v>
      </c>
      <c r="B356" s="183" t="s">
        <v>1195</v>
      </c>
      <c r="C356" s="188"/>
      <c r="D356" s="197"/>
      <c r="E356" s="181" t="s">
        <v>72</v>
      </c>
      <c r="F356" s="180" t="s">
        <v>1194</v>
      </c>
      <c r="G356" s="213">
        <f>H356</f>
        <v>12495</v>
      </c>
      <c r="H356" s="213">
        <v>12495</v>
      </c>
      <c r="I356" s="177">
        <f>J356</f>
        <v>6000</v>
      </c>
      <c r="J356" s="196">
        <v>6000</v>
      </c>
      <c r="K356" s="177">
        <f>L356</f>
        <v>6000</v>
      </c>
      <c r="L356" s="196">
        <v>6000</v>
      </c>
      <c r="M356" s="179">
        <f>N356</f>
        <v>6750</v>
      </c>
      <c r="N356" s="217">
        <v>6750</v>
      </c>
      <c r="O356" s="218">
        <f>P356</f>
        <v>5900</v>
      </c>
      <c r="P356" s="178">
        <v>5900</v>
      </c>
      <c r="Q356" s="177">
        <f t="shared" si="116"/>
        <v>-850</v>
      </c>
      <c r="R356" s="177">
        <f t="shared" si="116"/>
        <v>-850</v>
      </c>
      <c r="S356" s="176"/>
      <c r="T356" s="176">
        <f t="shared" si="117"/>
        <v>850</v>
      </c>
      <c r="U356" s="467">
        <f>V356</f>
        <v>5900</v>
      </c>
      <c r="V356" s="456">
        <v>5900</v>
      </c>
      <c r="W356" s="283">
        <f>X356</f>
        <v>5903</v>
      </c>
      <c r="X356" s="299">
        <v>5903</v>
      </c>
      <c r="Y356" s="217"/>
      <c r="Z356" s="217"/>
      <c r="AA356" s="217"/>
      <c r="AB356" s="217"/>
      <c r="AC356" s="217"/>
      <c r="AD356" s="217"/>
      <c r="AE356" s="217"/>
      <c r="AF356" s="217"/>
      <c r="AG356" s="217"/>
      <c r="AH356" s="217"/>
      <c r="AI356" s="184" t="s">
        <v>1171</v>
      </c>
      <c r="AJ356" s="173">
        <f t="shared" si="108"/>
        <v>1</v>
      </c>
    </row>
    <row r="357" spans="1:36" ht="34.5" x14ac:dyDescent="0.25">
      <c r="A357" s="195" t="s">
        <v>85</v>
      </c>
      <c r="B357" s="193" t="s">
        <v>86</v>
      </c>
      <c r="C357" s="192"/>
      <c r="D357" s="192"/>
      <c r="E357" s="192"/>
      <c r="F357" s="192"/>
      <c r="G357" s="191">
        <f t="shared" ref="G357:AH357" si="118">G358+G376</f>
        <v>113218</v>
      </c>
      <c r="H357" s="191">
        <f t="shared" si="118"/>
        <v>113120</v>
      </c>
      <c r="I357" s="191">
        <f t="shared" si="118"/>
        <v>0</v>
      </c>
      <c r="J357" s="191">
        <f t="shared" si="118"/>
        <v>0</v>
      </c>
      <c r="K357" s="191">
        <f t="shared" si="118"/>
        <v>0</v>
      </c>
      <c r="L357" s="191">
        <f t="shared" si="118"/>
        <v>0</v>
      </c>
      <c r="M357" s="191">
        <f t="shared" si="118"/>
        <v>57630</v>
      </c>
      <c r="N357" s="191">
        <f t="shared" si="118"/>
        <v>57630</v>
      </c>
      <c r="O357" s="191">
        <f t="shared" si="118"/>
        <v>69250</v>
      </c>
      <c r="P357" s="191">
        <f t="shared" si="118"/>
        <v>69250</v>
      </c>
      <c r="Q357" s="191">
        <f t="shared" si="118"/>
        <v>23830</v>
      </c>
      <c r="R357" s="191">
        <f t="shared" si="118"/>
        <v>23830</v>
      </c>
      <c r="S357" s="191">
        <f t="shared" si="118"/>
        <v>28340</v>
      </c>
      <c r="T357" s="191">
        <f t="shared" si="118"/>
        <v>16720</v>
      </c>
      <c r="U357" s="191">
        <f t="shared" si="118"/>
        <v>69250</v>
      </c>
      <c r="V357" s="191">
        <f t="shared" si="118"/>
        <v>69250</v>
      </c>
      <c r="W357" s="191">
        <f t="shared" si="118"/>
        <v>30548</v>
      </c>
      <c r="X357" s="191">
        <f t="shared" si="118"/>
        <v>30548</v>
      </c>
      <c r="Y357" s="191">
        <f t="shared" si="118"/>
        <v>9203</v>
      </c>
      <c r="Z357" s="191">
        <f t="shared" si="118"/>
        <v>9203</v>
      </c>
      <c r="AA357" s="190">
        <f t="shared" si="118"/>
        <v>0</v>
      </c>
      <c r="AB357" s="190">
        <f t="shared" si="118"/>
        <v>0</v>
      </c>
      <c r="AC357" s="190">
        <f t="shared" si="118"/>
        <v>0</v>
      </c>
      <c r="AD357" s="190">
        <f t="shared" si="118"/>
        <v>0</v>
      </c>
      <c r="AE357" s="190">
        <f t="shared" si="118"/>
        <v>0</v>
      </c>
      <c r="AF357" s="190">
        <f t="shared" si="118"/>
        <v>0</v>
      </c>
      <c r="AG357" s="190">
        <f t="shared" si="118"/>
        <v>0</v>
      </c>
      <c r="AH357" s="190">
        <f t="shared" si="118"/>
        <v>0</v>
      </c>
      <c r="AI357" s="189"/>
      <c r="AJ357" s="173">
        <f t="shared" si="108"/>
        <v>1</v>
      </c>
    </row>
    <row r="358" spans="1:36" ht="51.75" x14ac:dyDescent="0.25">
      <c r="A358" s="194" t="s">
        <v>87</v>
      </c>
      <c r="B358" s="193" t="s">
        <v>88</v>
      </c>
      <c r="C358" s="192"/>
      <c r="D358" s="192"/>
      <c r="E358" s="192"/>
      <c r="F358" s="192"/>
      <c r="G358" s="191">
        <f t="shared" ref="G358:L358" si="119">SUM(G359:G365)+SUM(G367:G375)</f>
        <v>72329</v>
      </c>
      <c r="H358" s="191">
        <f t="shared" si="119"/>
        <v>72231</v>
      </c>
      <c r="I358" s="191">
        <f t="shared" si="119"/>
        <v>0</v>
      </c>
      <c r="J358" s="191">
        <f t="shared" si="119"/>
        <v>0</v>
      </c>
      <c r="K358" s="191">
        <f t="shared" si="119"/>
        <v>0</v>
      </c>
      <c r="L358" s="191">
        <f t="shared" si="119"/>
        <v>0</v>
      </c>
      <c r="M358" s="191">
        <f>SUM(M359:M375)</f>
        <v>47310</v>
      </c>
      <c r="N358" s="191">
        <f>SUM(N359:N375)</f>
        <v>47310</v>
      </c>
      <c r="O358" s="191">
        <f t="shared" ref="O358:Z358" si="120">SUM(O359:O375)</f>
        <v>69250</v>
      </c>
      <c r="P358" s="191">
        <f t="shared" si="120"/>
        <v>69250</v>
      </c>
      <c r="Q358" s="191">
        <f t="shared" si="120"/>
        <v>21940</v>
      </c>
      <c r="R358" s="191">
        <f t="shared" si="120"/>
        <v>21940</v>
      </c>
      <c r="S358" s="191">
        <f t="shared" si="120"/>
        <v>28340</v>
      </c>
      <c r="T358" s="191">
        <f t="shared" si="120"/>
        <v>6400</v>
      </c>
      <c r="U358" s="191">
        <f t="shared" si="120"/>
        <v>69250</v>
      </c>
      <c r="V358" s="191">
        <f t="shared" si="120"/>
        <v>69250</v>
      </c>
      <c r="W358" s="191">
        <f t="shared" si="120"/>
        <v>30548</v>
      </c>
      <c r="X358" s="191">
        <f t="shared" si="120"/>
        <v>30548</v>
      </c>
      <c r="Y358" s="191">
        <f t="shared" si="120"/>
        <v>9203</v>
      </c>
      <c r="Z358" s="191">
        <f t="shared" si="120"/>
        <v>9203</v>
      </c>
      <c r="AA358" s="190">
        <f t="shared" ref="AA358:AH358" si="121">SUM(AA359:AA373)</f>
        <v>0</v>
      </c>
      <c r="AB358" s="190">
        <f t="shared" si="121"/>
        <v>0</v>
      </c>
      <c r="AC358" s="190">
        <f t="shared" si="121"/>
        <v>0</v>
      </c>
      <c r="AD358" s="190">
        <f t="shared" si="121"/>
        <v>0</v>
      </c>
      <c r="AE358" s="190">
        <f t="shared" si="121"/>
        <v>0</v>
      </c>
      <c r="AF358" s="190">
        <f t="shared" si="121"/>
        <v>0</v>
      </c>
      <c r="AG358" s="190">
        <f t="shared" si="121"/>
        <v>0</v>
      </c>
      <c r="AH358" s="190">
        <f t="shared" si="121"/>
        <v>0</v>
      </c>
      <c r="AI358" s="189"/>
      <c r="AJ358" s="173">
        <f t="shared" si="108"/>
        <v>1</v>
      </c>
    </row>
    <row r="359" spans="1:36" s="13" customFormat="1" ht="115.5" x14ac:dyDescent="0.25">
      <c r="A359" s="60">
        <v>4</v>
      </c>
      <c r="B359" s="290" t="s">
        <v>1193</v>
      </c>
      <c r="C359" s="61"/>
      <c r="D359" s="118" t="s">
        <v>1192</v>
      </c>
      <c r="E359" s="126" t="s">
        <v>72</v>
      </c>
      <c r="F359" s="118" t="s">
        <v>1191</v>
      </c>
      <c r="G359" s="130">
        <f>H359</f>
        <v>5466</v>
      </c>
      <c r="H359" s="130">
        <v>5466</v>
      </c>
      <c r="I359" s="282"/>
      <c r="J359" s="282"/>
      <c r="K359" s="282"/>
      <c r="L359" s="282"/>
      <c r="M359" s="68">
        <f t="shared" ref="M359:M367" si="122">N359</f>
        <v>6200</v>
      </c>
      <c r="N359" s="288">
        <v>6200</v>
      </c>
      <c r="O359" s="300">
        <f t="shared" ref="O359:O375" si="123">P359</f>
        <v>5410</v>
      </c>
      <c r="P359" s="283">
        <v>5410</v>
      </c>
      <c r="Q359" s="282">
        <f t="shared" ref="Q359:R375" si="124">O359-M359</f>
        <v>-790</v>
      </c>
      <c r="R359" s="282">
        <f t="shared" si="124"/>
        <v>-790</v>
      </c>
      <c r="S359" s="54"/>
      <c r="T359" s="176">
        <f t="shared" ref="T359:T367" si="125">N359-V359</f>
        <v>790</v>
      </c>
      <c r="U359" s="462">
        <f t="shared" ref="U359:U375" si="126">V359</f>
        <v>5410</v>
      </c>
      <c r="V359" s="487">
        <v>5410</v>
      </c>
      <c r="W359" s="283">
        <f t="shared" ref="W359:W365" si="127">X359</f>
        <v>4917</v>
      </c>
      <c r="X359" s="299">
        <v>4917</v>
      </c>
      <c r="Y359" s="283">
        <v>490</v>
      </c>
      <c r="Z359" s="283">
        <v>490</v>
      </c>
      <c r="AA359" s="288"/>
      <c r="AB359" s="288"/>
      <c r="AC359" s="288"/>
      <c r="AD359" s="288"/>
      <c r="AE359" s="288"/>
      <c r="AF359" s="288"/>
      <c r="AG359" s="288"/>
      <c r="AH359" s="288"/>
      <c r="AI359" s="25" t="s">
        <v>1171</v>
      </c>
      <c r="AJ359" s="173">
        <f t="shared" si="108"/>
        <v>1</v>
      </c>
    </row>
    <row r="360" spans="1:36" s="13" customFormat="1" ht="198" x14ac:dyDescent="0.25">
      <c r="A360" s="60">
        <v>5</v>
      </c>
      <c r="B360" s="290" t="s">
        <v>1190</v>
      </c>
      <c r="C360" s="61"/>
      <c r="D360" s="118" t="s">
        <v>1189</v>
      </c>
      <c r="E360" s="126" t="s">
        <v>252</v>
      </c>
      <c r="F360" s="118" t="s">
        <v>1188</v>
      </c>
      <c r="G360" s="130">
        <f>H360</f>
        <v>8337</v>
      </c>
      <c r="H360" s="130">
        <v>8337</v>
      </c>
      <c r="I360" s="282"/>
      <c r="J360" s="282"/>
      <c r="K360" s="282"/>
      <c r="L360" s="282"/>
      <c r="M360" s="68">
        <f t="shared" si="122"/>
        <v>9100</v>
      </c>
      <c r="N360" s="288">
        <v>9100</v>
      </c>
      <c r="O360" s="300">
        <f t="shared" si="123"/>
        <v>8000</v>
      </c>
      <c r="P360" s="283">
        <v>8000</v>
      </c>
      <c r="Q360" s="282">
        <f t="shared" si="124"/>
        <v>-1100</v>
      </c>
      <c r="R360" s="282">
        <f t="shared" si="124"/>
        <v>-1100</v>
      </c>
      <c r="S360" s="54"/>
      <c r="T360" s="176">
        <f t="shared" si="125"/>
        <v>1100</v>
      </c>
      <c r="U360" s="462">
        <f t="shared" si="126"/>
        <v>8000</v>
      </c>
      <c r="V360" s="487">
        <v>8000</v>
      </c>
      <c r="W360" s="283">
        <f t="shared" si="127"/>
        <v>7000</v>
      </c>
      <c r="X360" s="299">
        <v>7000</v>
      </c>
      <c r="Y360" s="283">
        <v>997</v>
      </c>
      <c r="Z360" s="283">
        <v>997</v>
      </c>
      <c r="AA360" s="288"/>
      <c r="AB360" s="288"/>
      <c r="AC360" s="288"/>
      <c r="AD360" s="288"/>
      <c r="AE360" s="288"/>
      <c r="AF360" s="288"/>
      <c r="AG360" s="288"/>
      <c r="AH360" s="288"/>
      <c r="AI360" s="25" t="s">
        <v>1171</v>
      </c>
      <c r="AJ360" s="173">
        <f t="shared" si="108"/>
        <v>1</v>
      </c>
    </row>
    <row r="361" spans="1:36" s="13" customFormat="1" ht="115.5" x14ac:dyDescent="0.25">
      <c r="A361" s="60">
        <v>6</v>
      </c>
      <c r="B361" s="290" t="s">
        <v>1187</v>
      </c>
      <c r="C361" s="61"/>
      <c r="D361" s="70"/>
      <c r="E361" s="126">
        <v>2016</v>
      </c>
      <c r="F361" s="118" t="s">
        <v>1186</v>
      </c>
      <c r="G361" s="130">
        <f>H361</f>
        <v>3762</v>
      </c>
      <c r="H361" s="130">
        <v>3762</v>
      </c>
      <c r="I361" s="282"/>
      <c r="J361" s="282"/>
      <c r="K361" s="282"/>
      <c r="L361" s="282"/>
      <c r="M361" s="68">
        <f t="shared" si="122"/>
        <v>4100</v>
      </c>
      <c r="N361" s="288">
        <v>4100</v>
      </c>
      <c r="O361" s="300">
        <f t="shared" si="123"/>
        <v>3700</v>
      </c>
      <c r="P361" s="283">
        <v>3700</v>
      </c>
      <c r="Q361" s="282">
        <f t="shared" si="124"/>
        <v>-400</v>
      </c>
      <c r="R361" s="282">
        <f t="shared" si="124"/>
        <v>-400</v>
      </c>
      <c r="S361" s="54"/>
      <c r="T361" s="176">
        <f t="shared" si="125"/>
        <v>400</v>
      </c>
      <c r="U361" s="462">
        <f t="shared" si="126"/>
        <v>3700</v>
      </c>
      <c r="V361" s="487">
        <v>3700</v>
      </c>
      <c r="W361" s="283">
        <f t="shared" si="127"/>
        <v>3000</v>
      </c>
      <c r="X361" s="299">
        <v>3000</v>
      </c>
      <c r="Y361" s="283">
        <v>700</v>
      </c>
      <c r="Z361" s="283">
        <v>700</v>
      </c>
      <c r="AA361" s="288"/>
      <c r="AB361" s="288"/>
      <c r="AC361" s="288"/>
      <c r="AD361" s="288"/>
      <c r="AE361" s="288"/>
      <c r="AF361" s="288"/>
      <c r="AG361" s="288"/>
      <c r="AH361" s="288"/>
      <c r="AI361" s="25" t="s">
        <v>1171</v>
      </c>
      <c r="AJ361" s="173">
        <f t="shared" si="108"/>
        <v>1</v>
      </c>
    </row>
    <row r="362" spans="1:36" s="13" customFormat="1" ht="115.5" x14ac:dyDescent="0.25">
      <c r="A362" s="60">
        <v>7</v>
      </c>
      <c r="B362" s="290" t="s">
        <v>1185</v>
      </c>
      <c r="C362" s="61"/>
      <c r="D362" s="70"/>
      <c r="E362" s="126">
        <v>2016</v>
      </c>
      <c r="F362" s="118" t="s">
        <v>1184</v>
      </c>
      <c r="G362" s="130">
        <f>H362</f>
        <v>4451</v>
      </c>
      <c r="H362" s="130">
        <v>4451</v>
      </c>
      <c r="I362" s="282"/>
      <c r="J362" s="282"/>
      <c r="K362" s="282"/>
      <c r="L362" s="282"/>
      <c r="M362" s="68">
        <f t="shared" si="122"/>
        <v>4530</v>
      </c>
      <c r="N362" s="288">
        <v>4530</v>
      </c>
      <c r="O362" s="300">
        <f t="shared" si="123"/>
        <v>4300</v>
      </c>
      <c r="P362" s="283">
        <v>4300</v>
      </c>
      <c r="Q362" s="282">
        <f t="shared" si="124"/>
        <v>-230</v>
      </c>
      <c r="R362" s="282">
        <f t="shared" si="124"/>
        <v>-230</v>
      </c>
      <c r="S362" s="54"/>
      <c r="T362" s="176">
        <f t="shared" si="125"/>
        <v>230</v>
      </c>
      <c r="U362" s="462">
        <f t="shared" si="126"/>
        <v>4300</v>
      </c>
      <c r="V362" s="487">
        <v>4300</v>
      </c>
      <c r="W362" s="283">
        <f t="shared" si="127"/>
        <v>3750</v>
      </c>
      <c r="X362" s="299">
        <v>3750</v>
      </c>
      <c r="Y362" s="283">
        <f>Z362</f>
        <v>420</v>
      </c>
      <c r="Z362" s="283">
        <v>420</v>
      </c>
      <c r="AA362" s="288"/>
      <c r="AB362" s="288"/>
      <c r="AC362" s="288"/>
      <c r="AD362" s="288"/>
      <c r="AE362" s="288"/>
      <c r="AF362" s="288"/>
      <c r="AG362" s="288"/>
      <c r="AH362" s="288"/>
      <c r="AI362" s="25" t="s">
        <v>1171</v>
      </c>
      <c r="AJ362" s="173">
        <f t="shared" si="108"/>
        <v>1</v>
      </c>
    </row>
    <row r="363" spans="1:36" s="13" customFormat="1" ht="115.5" x14ac:dyDescent="0.25">
      <c r="A363" s="60">
        <v>8</v>
      </c>
      <c r="B363" s="290" t="s">
        <v>1183</v>
      </c>
      <c r="C363" s="61"/>
      <c r="D363" s="70"/>
      <c r="E363" s="301">
        <v>2016</v>
      </c>
      <c r="F363" s="118" t="s">
        <v>1182</v>
      </c>
      <c r="G363" s="130">
        <f>H363</f>
        <v>2744</v>
      </c>
      <c r="H363" s="130">
        <v>2744</v>
      </c>
      <c r="I363" s="282"/>
      <c r="J363" s="282"/>
      <c r="K363" s="282"/>
      <c r="L363" s="282"/>
      <c r="M363" s="68">
        <f t="shared" si="122"/>
        <v>2810</v>
      </c>
      <c r="N363" s="288">
        <v>2810</v>
      </c>
      <c r="O363" s="300">
        <f t="shared" si="123"/>
        <v>2730</v>
      </c>
      <c r="P363" s="283">
        <v>2730</v>
      </c>
      <c r="Q363" s="282">
        <f t="shared" si="124"/>
        <v>-80</v>
      </c>
      <c r="R363" s="282">
        <f t="shared" si="124"/>
        <v>-80</v>
      </c>
      <c r="S363" s="54"/>
      <c r="T363" s="176">
        <f t="shared" si="125"/>
        <v>80</v>
      </c>
      <c r="U363" s="462">
        <f t="shared" si="126"/>
        <v>2730</v>
      </c>
      <c r="V363" s="487">
        <v>2730</v>
      </c>
      <c r="W363" s="283">
        <f t="shared" si="127"/>
        <v>2733</v>
      </c>
      <c r="X363" s="299">
        <v>2733</v>
      </c>
      <c r="Y363" s="283"/>
      <c r="Z363" s="283"/>
      <c r="AA363" s="288"/>
      <c r="AB363" s="288"/>
      <c r="AC363" s="288"/>
      <c r="AD363" s="288"/>
      <c r="AE363" s="288"/>
      <c r="AF363" s="288"/>
      <c r="AG363" s="288"/>
      <c r="AH363" s="288"/>
      <c r="AI363" s="25" t="s">
        <v>1171</v>
      </c>
      <c r="AJ363" s="173">
        <f t="shared" si="108"/>
        <v>1</v>
      </c>
    </row>
    <row r="364" spans="1:36" s="13" customFormat="1" ht="181.5" x14ac:dyDescent="0.25">
      <c r="A364" s="60">
        <v>9</v>
      </c>
      <c r="B364" s="290" t="s">
        <v>1181</v>
      </c>
      <c r="C364" s="61"/>
      <c r="D364" s="70"/>
      <c r="E364" s="126" t="s">
        <v>199</v>
      </c>
      <c r="F364" s="118" t="s">
        <v>1180</v>
      </c>
      <c r="G364" s="130">
        <v>6692</v>
      </c>
      <c r="H364" s="130">
        <v>6594</v>
      </c>
      <c r="I364" s="282"/>
      <c r="J364" s="282"/>
      <c r="K364" s="282"/>
      <c r="L364" s="282"/>
      <c r="M364" s="68">
        <f t="shared" si="122"/>
        <v>6370</v>
      </c>
      <c r="N364" s="288">
        <v>6370</v>
      </c>
      <c r="O364" s="283">
        <f t="shared" si="123"/>
        <v>6400</v>
      </c>
      <c r="P364" s="299">
        <v>6400</v>
      </c>
      <c r="Q364" s="282">
        <f t="shared" si="124"/>
        <v>30</v>
      </c>
      <c r="R364" s="282">
        <f t="shared" si="124"/>
        <v>30</v>
      </c>
      <c r="S364" s="176">
        <f>V364-N364</f>
        <v>30</v>
      </c>
      <c r="T364" s="176"/>
      <c r="U364" s="487">
        <f t="shared" si="126"/>
        <v>6400</v>
      </c>
      <c r="V364" s="462">
        <v>6400</v>
      </c>
      <c r="W364" s="283">
        <f t="shared" si="127"/>
        <v>5800</v>
      </c>
      <c r="X364" s="299">
        <v>5800</v>
      </c>
      <c r="Y364" s="283">
        <v>596</v>
      </c>
      <c r="Z364" s="283">
        <v>596</v>
      </c>
      <c r="AA364" s="288"/>
      <c r="AB364" s="288"/>
      <c r="AC364" s="288"/>
      <c r="AD364" s="288"/>
      <c r="AE364" s="288"/>
      <c r="AF364" s="288"/>
      <c r="AG364" s="288"/>
      <c r="AH364" s="288"/>
      <c r="AI364" s="25" t="s">
        <v>1171</v>
      </c>
      <c r="AJ364" s="173">
        <f t="shared" si="108"/>
        <v>1</v>
      </c>
    </row>
    <row r="365" spans="1:36" s="13" customFormat="1" ht="247.5" x14ac:dyDescent="0.25">
      <c r="A365" s="60">
        <v>10</v>
      </c>
      <c r="B365" s="290" t="s">
        <v>1179</v>
      </c>
      <c r="C365" s="61"/>
      <c r="D365" s="70"/>
      <c r="E365" s="126" t="s">
        <v>97</v>
      </c>
      <c r="F365" s="118" t="s">
        <v>1178</v>
      </c>
      <c r="G365" s="75">
        <f>H365</f>
        <v>3939</v>
      </c>
      <c r="H365" s="75">
        <v>3939</v>
      </c>
      <c r="I365" s="282"/>
      <c r="J365" s="282"/>
      <c r="K365" s="282"/>
      <c r="L365" s="282"/>
      <c r="M365" s="68">
        <f t="shared" si="122"/>
        <v>5150</v>
      </c>
      <c r="N365" s="288">
        <v>5150</v>
      </c>
      <c r="O365" s="283">
        <f t="shared" si="123"/>
        <v>3550</v>
      </c>
      <c r="P365" s="284">
        <v>3550</v>
      </c>
      <c r="Q365" s="282">
        <f t="shared" si="124"/>
        <v>-1600</v>
      </c>
      <c r="R365" s="282">
        <f t="shared" si="124"/>
        <v>-1600</v>
      </c>
      <c r="S365" s="54"/>
      <c r="T365" s="176">
        <f t="shared" si="125"/>
        <v>1600</v>
      </c>
      <c r="U365" s="487">
        <f t="shared" si="126"/>
        <v>3550</v>
      </c>
      <c r="V365" s="488">
        <v>3550</v>
      </c>
      <c r="W365" s="283">
        <f t="shared" si="127"/>
        <v>3348</v>
      </c>
      <c r="X365" s="129">
        <v>3348</v>
      </c>
      <c r="Y365" s="283"/>
      <c r="Z365" s="283"/>
      <c r="AA365" s="288"/>
      <c r="AB365" s="288"/>
      <c r="AC365" s="288"/>
      <c r="AD365" s="288"/>
      <c r="AE365" s="288"/>
      <c r="AF365" s="288"/>
      <c r="AG365" s="288"/>
      <c r="AH365" s="288"/>
      <c r="AI365" s="25" t="s">
        <v>1171</v>
      </c>
      <c r="AJ365" s="173">
        <f t="shared" si="108"/>
        <v>1</v>
      </c>
    </row>
    <row r="366" spans="1:36" s="13" customFormat="1" ht="115.5" x14ac:dyDescent="0.25">
      <c r="A366" s="298">
        <v>11</v>
      </c>
      <c r="B366" s="297" t="s">
        <v>1177</v>
      </c>
      <c r="C366" s="740" t="s">
        <v>578</v>
      </c>
      <c r="D366" s="740" t="s">
        <v>1176</v>
      </c>
      <c r="E366" s="296" t="s">
        <v>248</v>
      </c>
      <c r="F366" s="295" t="s">
        <v>1175</v>
      </c>
      <c r="G366" s="294">
        <v>5026</v>
      </c>
      <c r="H366" s="294">
        <v>5026</v>
      </c>
      <c r="I366" s="293"/>
      <c r="J366" s="293"/>
      <c r="K366" s="293"/>
      <c r="L366" s="293"/>
      <c r="M366" s="68">
        <f t="shared" si="122"/>
        <v>4550</v>
      </c>
      <c r="N366" s="288">
        <v>4550</v>
      </c>
      <c r="O366" s="292">
        <f t="shared" si="123"/>
        <v>4550</v>
      </c>
      <c r="P366" s="292">
        <f>N366</f>
        <v>4550</v>
      </c>
      <c r="Q366" s="282">
        <f t="shared" si="124"/>
        <v>0</v>
      </c>
      <c r="R366" s="282">
        <f t="shared" si="124"/>
        <v>0</v>
      </c>
      <c r="S366" s="54"/>
      <c r="T366" s="176"/>
      <c r="U366" s="489">
        <f t="shared" si="126"/>
        <v>4550</v>
      </c>
      <c r="V366" s="489">
        <v>4550</v>
      </c>
      <c r="W366" s="291"/>
      <c r="X366" s="291"/>
      <c r="Y366" s="291">
        <v>4000</v>
      </c>
      <c r="Z366" s="291">
        <v>4000</v>
      </c>
      <c r="AA366" s="282"/>
      <c r="AB366" s="282"/>
      <c r="AC366" s="282"/>
      <c r="AD366" s="282"/>
      <c r="AE366" s="282"/>
      <c r="AF366" s="282"/>
      <c r="AG366" s="282"/>
      <c r="AH366" s="282"/>
      <c r="AI366" s="740" t="s">
        <v>1171</v>
      </c>
      <c r="AJ366" s="173">
        <f t="shared" si="108"/>
        <v>0</v>
      </c>
    </row>
    <row r="367" spans="1:36" s="13" customFormat="1" ht="49.5" x14ac:dyDescent="0.25">
      <c r="A367" s="60">
        <v>12</v>
      </c>
      <c r="B367" s="290" t="s">
        <v>1174</v>
      </c>
      <c r="C367" s="61" t="s">
        <v>578</v>
      </c>
      <c r="D367" s="70" t="s">
        <v>1173</v>
      </c>
      <c r="E367" s="126" t="s">
        <v>290</v>
      </c>
      <c r="F367" s="118" t="s">
        <v>1172</v>
      </c>
      <c r="G367" s="75">
        <f>H367</f>
        <v>2564</v>
      </c>
      <c r="H367" s="75">
        <v>2564</v>
      </c>
      <c r="I367" s="282"/>
      <c r="J367" s="282"/>
      <c r="K367" s="282"/>
      <c r="L367" s="282"/>
      <c r="M367" s="68">
        <f t="shared" si="122"/>
        <v>4500</v>
      </c>
      <c r="N367" s="288">
        <v>4500</v>
      </c>
      <c r="O367" s="283">
        <f t="shared" si="123"/>
        <v>2300</v>
      </c>
      <c r="P367" s="284">
        <v>2300</v>
      </c>
      <c r="Q367" s="282">
        <f t="shared" si="124"/>
        <v>-2200</v>
      </c>
      <c r="R367" s="282">
        <f t="shared" si="124"/>
        <v>-2200</v>
      </c>
      <c r="S367" s="54"/>
      <c r="T367" s="176">
        <f t="shared" si="125"/>
        <v>2200</v>
      </c>
      <c r="U367" s="487">
        <f t="shared" si="126"/>
        <v>2300</v>
      </c>
      <c r="V367" s="488">
        <v>2300</v>
      </c>
      <c r="W367" s="283"/>
      <c r="X367" s="129"/>
      <c r="Y367" s="129">
        <v>2000</v>
      </c>
      <c r="Z367" s="129">
        <v>2000</v>
      </c>
      <c r="AA367" s="288"/>
      <c r="AB367" s="288"/>
      <c r="AC367" s="288"/>
      <c r="AD367" s="288"/>
      <c r="AE367" s="288"/>
      <c r="AF367" s="288"/>
      <c r="AG367" s="288"/>
      <c r="AH367" s="288"/>
      <c r="AI367" s="25" t="s">
        <v>1171</v>
      </c>
      <c r="AJ367" s="173">
        <f t="shared" si="108"/>
        <v>1</v>
      </c>
    </row>
    <row r="368" spans="1:36" s="13" customFormat="1" ht="47.25" x14ac:dyDescent="0.25">
      <c r="A368" s="60">
        <v>13</v>
      </c>
      <c r="B368" s="9" t="s">
        <v>1170</v>
      </c>
      <c r="C368" s="25" t="s">
        <v>1157</v>
      </c>
      <c r="D368" s="25"/>
      <c r="E368" s="286" t="s">
        <v>116</v>
      </c>
      <c r="F368" s="289" t="s">
        <v>1169</v>
      </c>
      <c r="G368" s="288">
        <v>2500</v>
      </c>
      <c r="H368" s="288">
        <v>2500</v>
      </c>
      <c r="I368" s="282"/>
      <c r="J368" s="282"/>
      <c r="K368" s="282"/>
      <c r="L368" s="282"/>
      <c r="M368" s="68"/>
      <c r="N368" s="288"/>
      <c r="O368" s="284">
        <f t="shared" si="123"/>
        <v>2000</v>
      </c>
      <c r="P368" s="284">
        <v>2000</v>
      </c>
      <c r="Q368" s="282">
        <f t="shared" si="124"/>
        <v>2000</v>
      </c>
      <c r="R368" s="282">
        <f t="shared" si="124"/>
        <v>2000</v>
      </c>
      <c r="S368" s="176">
        <f>V368-N368</f>
        <v>2000</v>
      </c>
      <c r="T368" s="176"/>
      <c r="U368" s="488">
        <f t="shared" si="126"/>
        <v>2000</v>
      </c>
      <c r="V368" s="488">
        <v>2000</v>
      </c>
      <c r="W368" s="282"/>
      <c r="X368" s="282"/>
      <c r="Y368" s="282"/>
      <c r="Z368" s="282"/>
      <c r="AA368" s="281"/>
      <c r="AB368" s="281"/>
      <c r="AC368" s="281"/>
      <c r="AD368" s="281"/>
      <c r="AE368" s="281"/>
      <c r="AF368" s="281"/>
      <c r="AG368" s="281"/>
      <c r="AH368" s="281"/>
      <c r="AI368" s="25" t="s">
        <v>84</v>
      </c>
      <c r="AJ368" s="173">
        <f t="shared" si="108"/>
        <v>1</v>
      </c>
    </row>
    <row r="369" spans="1:36" s="13" customFormat="1" ht="49.5" x14ac:dyDescent="0.25">
      <c r="A369" s="60">
        <v>14</v>
      </c>
      <c r="B369" s="9" t="s">
        <v>1168</v>
      </c>
      <c r="C369" s="25" t="s">
        <v>1164</v>
      </c>
      <c r="D369" s="25" t="s">
        <v>1167</v>
      </c>
      <c r="E369" s="286" t="s">
        <v>116</v>
      </c>
      <c r="F369" s="289" t="s">
        <v>1166</v>
      </c>
      <c r="G369" s="288">
        <f>H369</f>
        <v>4128</v>
      </c>
      <c r="H369" s="288">
        <v>4128</v>
      </c>
      <c r="I369" s="282"/>
      <c r="J369" s="282"/>
      <c r="K369" s="282"/>
      <c r="L369" s="282"/>
      <c r="M369" s="68"/>
      <c r="N369" s="288"/>
      <c r="O369" s="284">
        <f t="shared" si="123"/>
        <v>3300</v>
      </c>
      <c r="P369" s="284">
        <v>3300</v>
      </c>
      <c r="Q369" s="282">
        <f t="shared" si="124"/>
        <v>3300</v>
      </c>
      <c r="R369" s="282">
        <f t="shared" si="124"/>
        <v>3300</v>
      </c>
      <c r="S369" s="176">
        <f t="shared" ref="S369:S374" si="128">V369-N369</f>
        <v>3300</v>
      </c>
      <c r="T369" s="176"/>
      <c r="U369" s="488">
        <f t="shared" si="126"/>
        <v>3300</v>
      </c>
      <c r="V369" s="488">
        <v>3300</v>
      </c>
      <c r="W369" s="282"/>
      <c r="X369" s="282"/>
      <c r="Y369" s="282"/>
      <c r="Z369" s="282"/>
      <c r="AA369" s="281"/>
      <c r="AB369" s="281"/>
      <c r="AC369" s="281"/>
      <c r="AD369" s="281"/>
      <c r="AE369" s="281"/>
      <c r="AF369" s="281"/>
      <c r="AG369" s="281"/>
      <c r="AH369" s="281"/>
      <c r="AI369" s="25" t="s">
        <v>84</v>
      </c>
      <c r="AJ369" s="173">
        <f t="shared" si="108"/>
        <v>1</v>
      </c>
    </row>
    <row r="370" spans="1:36" s="13" customFormat="1" ht="56.25" x14ac:dyDescent="0.25">
      <c r="A370" s="60">
        <v>15</v>
      </c>
      <c r="B370" s="9" t="s">
        <v>1165</v>
      </c>
      <c r="C370" s="25" t="s">
        <v>1164</v>
      </c>
      <c r="D370" s="25" t="s">
        <v>1163</v>
      </c>
      <c r="E370" s="286" t="s">
        <v>116</v>
      </c>
      <c r="F370" s="285" t="s">
        <v>1162</v>
      </c>
      <c r="G370" s="288">
        <f>H370</f>
        <v>4354</v>
      </c>
      <c r="H370" s="288">
        <v>4354</v>
      </c>
      <c r="I370" s="282"/>
      <c r="J370" s="282"/>
      <c r="K370" s="282"/>
      <c r="L370" s="282"/>
      <c r="M370" s="68"/>
      <c r="N370" s="288"/>
      <c r="O370" s="284">
        <f t="shared" si="123"/>
        <v>3700</v>
      </c>
      <c r="P370" s="284">
        <v>3700</v>
      </c>
      <c r="Q370" s="282">
        <f t="shared" si="124"/>
        <v>3700</v>
      </c>
      <c r="R370" s="282">
        <f t="shared" si="124"/>
        <v>3700</v>
      </c>
      <c r="S370" s="176">
        <f t="shared" si="128"/>
        <v>3700</v>
      </c>
      <c r="T370" s="176"/>
      <c r="U370" s="488">
        <f t="shared" si="126"/>
        <v>3700</v>
      </c>
      <c r="V370" s="488">
        <v>3700</v>
      </c>
      <c r="W370" s="282"/>
      <c r="X370" s="282"/>
      <c r="Y370" s="282"/>
      <c r="Z370" s="282"/>
      <c r="AA370" s="281"/>
      <c r="AB370" s="281"/>
      <c r="AC370" s="281"/>
      <c r="AD370" s="281"/>
      <c r="AE370" s="281"/>
      <c r="AF370" s="281"/>
      <c r="AG370" s="281"/>
      <c r="AH370" s="281"/>
      <c r="AI370" s="25" t="s">
        <v>84</v>
      </c>
      <c r="AJ370" s="173">
        <f t="shared" si="108"/>
        <v>1</v>
      </c>
    </row>
    <row r="371" spans="1:36" s="13" customFormat="1" ht="56.25" x14ac:dyDescent="0.25">
      <c r="A371" s="60">
        <v>16</v>
      </c>
      <c r="B371" s="9" t="s">
        <v>1161</v>
      </c>
      <c r="C371" s="25" t="s">
        <v>1157</v>
      </c>
      <c r="D371" s="25" t="s">
        <v>1160</v>
      </c>
      <c r="E371" s="286" t="s">
        <v>116</v>
      </c>
      <c r="F371" s="285" t="s">
        <v>1159</v>
      </c>
      <c r="G371" s="288">
        <f>H371</f>
        <v>1437</v>
      </c>
      <c r="H371" s="288">
        <v>1437</v>
      </c>
      <c r="I371" s="282"/>
      <c r="J371" s="282"/>
      <c r="K371" s="282"/>
      <c r="L371" s="282"/>
      <c r="M371" s="68"/>
      <c r="N371" s="288"/>
      <c r="O371" s="284">
        <f t="shared" si="123"/>
        <v>1150</v>
      </c>
      <c r="P371" s="284">
        <v>1150</v>
      </c>
      <c r="Q371" s="282">
        <f t="shared" si="124"/>
        <v>1150</v>
      </c>
      <c r="R371" s="282">
        <f t="shared" si="124"/>
        <v>1150</v>
      </c>
      <c r="S371" s="176">
        <f t="shared" si="128"/>
        <v>1150</v>
      </c>
      <c r="T371" s="176"/>
      <c r="U371" s="488">
        <f t="shared" si="126"/>
        <v>1150</v>
      </c>
      <c r="V371" s="488">
        <v>1150</v>
      </c>
      <c r="W371" s="282"/>
      <c r="X371" s="282"/>
      <c r="Y371" s="282"/>
      <c r="Z371" s="282"/>
      <c r="AA371" s="281"/>
      <c r="AB371" s="281"/>
      <c r="AC371" s="281"/>
      <c r="AD371" s="281"/>
      <c r="AE371" s="281"/>
      <c r="AF371" s="281"/>
      <c r="AG371" s="281"/>
      <c r="AH371" s="281"/>
      <c r="AI371" s="25" t="s">
        <v>84</v>
      </c>
      <c r="AJ371" s="173">
        <f t="shared" si="108"/>
        <v>1</v>
      </c>
    </row>
    <row r="372" spans="1:36" s="13" customFormat="1" ht="56.25" x14ac:dyDescent="0.25">
      <c r="A372" s="60">
        <v>17</v>
      </c>
      <c r="B372" s="9" t="s">
        <v>1158</v>
      </c>
      <c r="C372" s="25" t="s">
        <v>1157</v>
      </c>
      <c r="D372" s="25"/>
      <c r="E372" s="286" t="s">
        <v>116</v>
      </c>
      <c r="F372" s="285" t="s">
        <v>1156</v>
      </c>
      <c r="G372" s="288">
        <f>H372</f>
        <v>1900</v>
      </c>
      <c r="H372" s="288">
        <v>1900</v>
      </c>
      <c r="I372" s="282"/>
      <c r="J372" s="282"/>
      <c r="K372" s="282"/>
      <c r="L372" s="282"/>
      <c r="M372" s="68"/>
      <c r="N372" s="288"/>
      <c r="O372" s="284">
        <f t="shared" si="123"/>
        <v>1450</v>
      </c>
      <c r="P372" s="284">
        <v>1450</v>
      </c>
      <c r="Q372" s="282">
        <f t="shared" si="124"/>
        <v>1450</v>
      </c>
      <c r="R372" s="282">
        <f t="shared" si="124"/>
        <v>1450</v>
      </c>
      <c r="S372" s="176">
        <f t="shared" si="128"/>
        <v>1450</v>
      </c>
      <c r="T372" s="176"/>
      <c r="U372" s="488">
        <f t="shared" si="126"/>
        <v>1450</v>
      </c>
      <c r="V372" s="488">
        <v>1450</v>
      </c>
      <c r="W372" s="282"/>
      <c r="X372" s="282"/>
      <c r="Y372" s="282"/>
      <c r="Z372" s="282"/>
      <c r="AA372" s="281"/>
      <c r="AB372" s="281"/>
      <c r="AC372" s="281"/>
      <c r="AD372" s="281"/>
      <c r="AE372" s="281"/>
      <c r="AF372" s="281"/>
      <c r="AG372" s="281"/>
      <c r="AH372" s="281"/>
      <c r="AI372" s="25" t="s">
        <v>84</v>
      </c>
      <c r="AJ372" s="173">
        <f t="shared" si="108"/>
        <v>1</v>
      </c>
    </row>
    <row r="373" spans="1:36" s="13" customFormat="1" ht="148.5" x14ac:dyDescent="0.25">
      <c r="A373" s="60">
        <v>18</v>
      </c>
      <c r="B373" s="9" t="s">
        <v>1155</v>
      </c>
      <c r="C373" s="25" t="s">
        <v>1147</v>
      </c>
      <c r="D373" s="25" t="s">
        <v>1154</v>
      </c>
      <c r="E373" s="286" t="s">
        <v>116</v>
      </c>
      <c r="F373" s="285" t="s">
        <v>1153</v>
      </c>
      <c r="G373" s="288">
        <f>H373</f>
        <v>5000</v>
      </c>
      <c r="H373" s="288">
        <v>5000</v>
      </c>
      <c r="I373" s="282"/>
      <c r="J373" s="282"/>
      <c r="K373" s="282"/>
      <c r="L373" s="282"/>
      <c r="M373" s="68"/>
      <c r="N373" s="288"/>
      <c r="O373" s="284">
        <f t="shared" si="123"/>
        <v>3500</v>
      </c>
      <c r="P373" s="284">
        <f>H373*0.7</f>
        <v>3500</v>
      </c>
      <c r="Q373" s="282">
        <f t="shared" si="124"/>
        <v>3500</v>
      </c>
      <c r="R373" s="282">
        <f t="shared" si="124"/>
        <v>3500</v>
      </c>
      <c r="S373" s="176">
        <f t="shared" si="128"/>
        <v>3500</v>
      </c>
      <c r="T373" s="176"/>
      <c r="U373" s="488">
        <f t="shared" si="126"/>
        <v>3500</v>
      </c>
      <c r="V373" s="488">
        <v>3500</v>
      </c>
      <c r="W373" s="282"/>
      <c r="X373" s="282"/>
      <c r="Y373" s="282"/>
      <c r="Z373" s="282"/>
      <c r="AA373" s="281"/>
      <c r="AB373" s="281"/>
      <c r="AC373" s="281"/>
      <c r="AD373" s="281"/>
      <c r="AE373" s="281"/>
      <c r="AF373" s="281"/>
      <c r="AG373" s="281"/>
      <c r="AH373" s="281"/>
      <c r="AI373" s="25" t="s">
        <v>1152</v>
      </c>
      <c r="AJ373" s="173">
        <f t="shared" si="108"/>
        <v>1</v>
      </c>
    </row>
    <row r="374" spans="1:36" s="13" customFormat="1" ht="56.25" x14ac:dyDescent="0.25">
      <c r="A374" s="60">
        <v>19</v>
      </c>
      <c r="B374" s="287" t="s">
        <v>1151</v>
      </c>
      <c r="C374" s="285" t="s">
        <v>1147</v>
      </c>
      <c r="D374" s="285" t="s">
        <v>1150</v>
      </c>
      <c r="E374" s="286" t="s">
        <v>116</v>
      </c>
      <c r="F374" s="285" t="s">
        <v>1149</v>
      </c>
      <c r="G374" s="285">
        <v>1131</v>
      </c>
      <c r="H374" s="285">
        <f>G374</f>
        <v>1131</v>
      </c>
      <c r="I374" s="284"/>
      <c r="J374" s="284"/>
      <c r="K374" s="284"/>
      <c r="L374" s="284"/>
      <c r="M374" s="283"/>
      <c r="N374" s="283"/>
      <c r="O374" s="283">
        <f t="shared" si="123"/>
        <v>1000</v>
      </c>
      <c r="P374" s="129">
        <v>1000</v>
      </c>
      <c r="Q374" s="283">
        <f t="shared" si="124"/>
        <v>1000</v>
      </c>
      <c r="R374" s="282">
        <f t="shared" si="124"/>
        <v>1000</v>
      </c>
      <c r="S374" s="176">
        <f t="shared" si="128"/>
        <v>1000</v>
      </c>
      <c r="T374" s="176"/>
      <c r="U374" s="487">
        <f t="shared" si="126"/>
        <v>1000</v>
      </c>
      <c r="V374" s="488">
        <v>1000</v>
      </c>
      <c r="W374" s="282"/>
      <c r="X374" s="282"/>
      <c r="Y374" s="282"/>
      <c r="Z374" s="282"/>
      <c r="AA374" s="281"/>
      <c r="AB374" s="281"/>
      <c r="AC374" s="281"/>
      <c r="AD374" s="281"/>
      <c r="AE374" s="281"/>
      <c r="AF374" s="281"/>
      <c r="AG374" s="281"/>
      <c r="AH374" s="281"/>
      <c r="AI374" s="25" t="s">
        <v>84</v>
      </c>
      <c r="AJ374" s="173">
        <f t="shared" si="108"/>
        <v>1</v>
      </c>
    </row>
    <row r="375" spans="1:36" ht="57.75" customHeight="1" x14ac:dyDescent="0.25">
      <c r="A375" s="221">
        <v>20</v>
      </c>
      <c r="B375" s="211" t="s">
        <v>1148</v>
      </c>
      <c r="C375" s="185" t="s">
        <v>1147</v>
      </c>
      <c r="D375" s="185"/>
      <c r="E375" s="185" t="s">
        <v>116</v>
      </c>
      <c r="F375" s="185" t="s">
        <v>1146</v>
      </c>
      <c r="G375" s="217">
        <f>H375</f>
        <v>13924</v>
      </c>
      <c r="H375" s="217">
        <v>13924</v>
      </c>
      <c r="I375" s="177"/>
      <c r="J375" s="177"/>
      <c r="K375" s="177"/>
      <c r="L375" s="177"/>
      <c r="M375" s="179"/>
      <c r="N375" s="217"/>
      <c r="O375" s="220">
        <f t="shared" si="123"/>
        <v>12210</v>
      </c>
      <c r="P375" s="220">
        <v>12210</v>
      </c>
      <c r="Q375" s="177">
        <f t="shared" si="124"/>
        <v>12210</v>
      </c>
      <c r="R375" s="177">
        <f t="shared" si="124"/>
        <v>12210</v>
      </c>
      <c r="S375" s="176">
        <f>V375-N375</f>
        <v>12210</v>
      </c>
      <c r="T375" s="176"/>
      <c r="U375" s="454">
        <f t="shared" si="126"/>
        <v>12210</v>
      </c>
      <c r="V375" s="454">
        <v>12210</v>
      </c>
      <c r="W375" s="177"/>
      <c r="X375" s="177"/>
      <c r="Y375" s="177"/>
      <c r="Z375" s="177"/>
      <c r="AA375" s="277"/>
      <c r="AB375" s="277"/>
      <c r="AC375" s="277"/>
      <c r="AD375" s="277"/>
      <c r="AE375" s="277"/>
      <c r="AF375" s="277"/>
      <c r="AG375" s="277"/>
      <c r="AH375" s="277"/>
      <c r="AI375" s="185" t="s">
        <v>84</v>
      </c>
      <c r="AJ375" s="173">
        <f t="shared" si="108"/>
        <v>1</v>
      </c>
    </row>
    <row r="376" spans="1:36" ht="34.5" x14ac:dyDescent="0.25">
      <c r="A376" s="194" t="s">
        <v>47</v>
      </c>
      <c r="B376" s="193" t="s">
        <v>1011</v>
      </c>
      <c r="C376" s="188"/>
      <c r="D376" s="197"/>
      <c r="E376" s="197"/>
      <c r="F376" s="188"/>
      <c r="G376" s="279">
        <f>SUM(G377:G377)</f>
        <v>40889</v>
      </c>
      <c r="H376" s="279">
        <f>SUM(H377:H377)</f>
        <v>40889</v>
      </c>
      <c r="I376" s="212"/>
      <c r="J376" s="177"/>
      <c r="K376" s="212"/>
      <c r="L376" s="177"/>
      <c r="M376" s="279">
        <f>SUM(M377:M377)</f>
        <v>10320</v>
      </c>
      <c r="N376" s="279">
        <f>SUM(N377:N377)</f>
        <v>10320</v>
      </c>
      <c r="O376" s="279">
        <f>SUM(O377:O377)</f>
        <v>0</v>
      </c>
      <c r="P376" s="279">
        <f>SUM(P377:P377)</f>
        <v>0</v>
      </c>
      <c r="Q376" s="280">
        <f>Q377+Q375</f>
        <v>1890</v>
      </c>
      <c r="R376" s="280">
        <f>R377+R375</f>
        <v>1890</v>
      </c>
      <c r="S376" s="279">
        <f>SUM(S377:S377)</f>
        <v>0</v>
      </c>
      <c r="T376" s="279">
        <f>SUM(T377:T377)</f>
        <v>10320</v>
      </c>
      <c r="U376" s="463">
        <f>SUM(U377:U377)</f>
        <v>0</v>
      </c>
      <c r="V376" s="463">
        <v>0</v>
      </c>
      <c r="W376" s="278">
        <f t="shared" ref="W376:AH376" si="129">W377+W375</f>
        <v>0</v>
      </c>
      <c r="X376" s="278">
        <f t="shared" si="129"/>
        <v>0</v>
      </c>
      <c r="Y376" s="278">
        <f t="shared" si="129"/>
        <v>0</v>
      </c>
      <c r="Z376" s="278">
        <f t="shared" si="129"/>
        <v>0</v>
      </c>
      <c r="AA376" s="278">
        <f t="shared" si="129"/>
        <v>0</v>
      </c>
      <c r="AB376" s="278">
        <f t="shared" si="129"/>
        <v>0</v>
      </c>
      <c r="AC376" s="278">
        <f t="shared" si="129"/>
        <v>0</v>
      </c>
      <c r="AD376" s="278">
        <f t="shared" si="129"/>
        <v>0</v>
      </c>
      <c r="AE376" s="278">
        <f t="shared" si="129"/>
        <v>0</v>
      </c>
      <c r="AF376" s="278">
        <f t="shared" si="129"/>
        <v>0</v>
      </c>
      <c r="AG376" s="278">
        <f t="shared" si="129"/>
        <v>0</v>
      </c>
      <c r="AH376" s="278">
        <f t="shared" si="129"/>
        <v>0</v>
      </c>
      <c r="AI376" s="198"/>
      <c r="AJ376" s="173">
        <f t="shared" si="108"/>
        <v>1</v>
      </c>
    </row>
    <row r="377" spans="1:36" ht="99" x14ac:dyDescent="0.25">
      <c r="A377" s="221">
        <v>21</v>
      </c>
      <c r="B377" s="211" t="s">
        <v>1145</v>
      </c>
      <c r="C377" s="185" t="s">
        <v>576</v>
      </c>
      <c r="D377" s="185"/>
      <c r="E377" s="185" t="s">
        <v>155</v>
      </c>
      <c r="F377" s="197"/>
      <c r="G377" s="217">
        <f>H377</f>
        <v>40889</v>
      </c>
      <c r="H377" s="217">
        <v>40889</v>
      </c>
      <c r="I377" s="177"/>
      <c r="J377" s="177"/>
      <c r="K377" s="177"/>
      <c r="L377" s="177"/>
      <c r="M377" s="179">
        <f>N377</f>
        <v>10320</v>
      </c>
      <c r="N377" s="217">
        <v>10320</v>
      </c>
      <c r="O377" s="220"/>
      <c r="P377" s="220"/>
      <c r="Q377" s="177">
        <f>O377-M377</f>
        <v>-10320</v>
      </c>
      <c r="R377" s="177">
        <f>P377-N377</f>
        <v>-10320</v>
      </c>
      <c r="S377" s="176"/>
      <c r="T377" s="176">
        <f>N377-V377</f>
        <v>10320</v>
      </c>
      <c r="U377" s="454"/>
      <c r="V377" s="454"/>
      <c r="W377" s="177"/>
      <c r="X377" s="177"/>
      <c r="Y377" s="177"/>
      <c r="Z377" s="177"/>
      <c r="AA377" s="277"/>
      <c r="AB377" s="277"/>
      <c r="AC377" s="277"/>
      <c r="AD377" s="277"/>
      <c r="AE377" s="277"/>
      <c r="AF377" s="277"/>
      <c r="AG377" s="277"/>
      <c r="AH377" s="277"/>
      <c r="AI377" s="185" t="s">
        <v>1144</v>
      </c>
      <c r="AJ377" s="173">
        <f t="shared" si="108"/>
        <v>1</v>
      </c>
    </row>
    <row r="378" spans="1:36" s="203" customFormat="1" ht="33" x14ac:dyDescent="0.25">
      <c r="A378" s="276" t="s">
        <v>399</v>
      </c>
      <c r="B378" s="275" t="s">
        <v>1143</v>
      </c>
      <c r="C378" s="274"/>
      <c r="D378" s="273"/>
      <c r="E378" s="273"/>
      <c r="F378" s="273"/>
      <c r="G378" s="272">
        <f t="shared" ref="G378:AH378" si="130">G379+G385</f>
        <v>112246</v>
      </c>
      <c r="H378" s="272">
        <f t="shared" si="130"/>
        <v>107865</v>
      </c>
      <c r="I378" s="272">
        <f t="shared" si="130"/>
        <v>22000</v>
      </c>
      <c r="J378" s="272">
        <f t="shared" si="130"/>
        <v>22000</v>
      </c>
      <c r="K378" s="272">
        <f t="shared" si="130"/>
        <v>22000</v>
      </c>
      <c r="L378" s="272">
        <f t="shared" si="130"/>
        <v>22000</v>
      </c>
      <c r="M378" s="271">
        <f t="shared" si="130"/>
        <v>80000</v>
      </c>
      <c r="N378" s="271">
        <f t="shared" si="130"/>
        <v>80000</v>
      </c>
      <c r="O378" s="272">
        <f t="shared" si="130"/>
        <v>80000</v>
      </c>
      <c r="P378" s="272">
        <f t="shared" si="130"/>
        <v>80000</v>
      </c>
      <c r="Q378" s="271">
        <f t="shared" si="130"/>
        <v>0</v>
      </c>
      <c r="R378" s="271">
        <f t="shared" si="130"/>
        <v>0</v>
      </c>
      <c r="S378" s="271">
        <f t="shared" si="130"/>
        <v>14089</v>
      </c>
      <c r="T378" s="271">
        <f t="shared" si="130"/>
        <v>14089</v>
      </c>
      <c r="U378" s="271">
        <f t="shared" si="130"/>
        <v>80000</v>
      </c>
      <c r="V378" s="271">
        <f t="shared" si="130"/>
        <v>80000</v>
      </c>
      <c r="W378" s="271">
        <f t="shared" si="130"/>
        <v>23600</v>
      </c>
      <c r="X378" s="271">
        <f t="shared" si="130"/>
        <v>23600</v>
      </c>
      <c r="Y378" s="271">
        <f t="shared" si="130"/>
        <v>16000</v>
      </c>
      <c r="Z378" s="270">
        <f t="shared" si="130"/>
        <v>16000</v>
      </c>
      <c r="AA378" s="269">
        <f t="shared" si="130"/>
        <v>0</v>
      </c>
      <c r="AB378" s="269">
        <f t="shared" si="130"/>
        <v>0</v>
      </c>
      <c r="AC378" s="269">
        <f t="shared" si="130"/>
        <v>0</v>
      </c>
      <c r="AD378" s="269">
        <f t="shared" si="130"/>
        <v>0</v>
      </c>
      <c r="AE378" s="269">
        <f t="shared" si="130"/>
        <v>0</v>
      </c>
      <c r="AF378" s="269">
        <f t="shared" si="130"/>
        <v>0</v>
      </c>
      <c r="AG378" s="269">
        <f t="shared" si="130"/>
        <v>0</v>
      </c>
      <c r="AH378" s="269">
        <f t="shared" si="130"/>
        <v>0</v>
      </c>
      <c r="AI378" s="268"/>
      <c r="AJ378" s="173">
        <f t="shared" si="108"/>
        <v>0</v>
      </c>
    </row>
    <row r="379" spans="1:36" ht="51.75" x14ac:dyDescent="0.25">
      <c r="A379" s="195" t="s">
        <v>45</v>
      </c>
      <c r="B379" s="193" t="s">
        <v>46</v>
      </c>
      <c r="C379" s="192"/>
      <c r="D379" s="192"/>
      <c r="E379" s="192"/>
      <c r="F379" s="192"/>
      <c r="G379" s="191">
        <f t="shared" ref="G379:AH379" si="131">G380</f>
        <v>39506</v>
      </c>
      <c r="H379" s="191">
        <f t="shared" si="131"/>
        <v>39506</v>
      </c>
      <c r="I379" s="191">
        <f t="shared" si="131"/>
        <v>22000</v>
      </c>
      <c r="J379" s="191">
        <f t="shared" si="131"/>
        <v>22000</v>
      </c>
      <c r="K379" s="191">
        <f t="shared" si="131"/>
        <v>22000</v>
      </c>
      <c r="L379" s="191">
        <f t="shared" si="131"/>
        <v>22000</v>
      </c>
      <c r="M379" s="191">
        <f t="shared" si="131"/>
        <v>25250</v>
      </c>
      <c r="N379" s="191">
        <f t="shared" si="131"/>
        <v>25250</v>
      </c>
      <c r="O379" s="191">
        <f t="shared" si="131"/>
        <v>17235</v>
      </c>
      <c r="P379" s="191">
        <f t="shared" si="131"/>
        <v>17235</v>
      </c>
      <c r="Q379" s="191">
        <f t="shared" si="131"/>
        <v>-8015</v>
      </c>
      <c r="R379" s="191">
        <f t="shared" si="131"/>
        <v>-8015</v>
      </c>
      <c r="S379" s="191">
        <f t="shared" si="131"/>
        <v>140</v>
      </c>
      <c r="T379" s="191">
        <f t="shared" si="131"/>
        <v>8155</v>
      </c>
      <c r="U379" s="191">
        <f t="shared" si="131"/>
        <v>17235</v>
      </c>
      <c r="V379" s="191">
        <f t="shared" si="131"/>
        <v>17235</v>
      </c>
      <c r="W379" s="191">
        <f t="shared" si="131"/>
        <v>16600</v>
      </c>
      <c r="X379" s="191">
        <f t="shared" si="131"/>
        <v>16600</v>
      </c>
      <c r="Y379" s="191">
        <f t="shared" si="131"/>
        <v>631</v>
      </c>
      <c r="Z379" s="191">
        <f t="shared" si="131"/>
        <v>631</v>
      </c>
      <c r="AA379" s="190">
        <f t="shared" si="131"/>
        <v>0</v>
      </c>
      <c r="AB379" s="190">
        <f t="shared" si="131"/>
        <v>0</v>
      </c>
      <c r="AC379" s="190">
        <f t="shared" si="131"/>
        <v>0</v>
      </c>
      <c r="AD379" s="190">
        <f t="shared" si="131"/>
        <v>0</v>
      </c>
      <c r="AE379" s="190">
        <f t="shared" si="131"/>
        <v>0</v>
      </c>
      <c r="AF379" s="190">
        <f t="shared" si="131"/>
        <v>0</v>
      </c>
      <c r="AG379" s="190">
        <f t="shared" si="131"/>
        <v>0</v>
      </c>
      <c r="AH379" s="190">
        <f t="shared" si="131"/>
        <v>0</v>
      </c>
      <c r="AI379" s="185"/>
      <c r="AJ379" s="173">
        <f t="shared" si="108"/>
        <v>1</v>
      </c>
    </row>
    <row r="380" spans="1:36" ht="34.5" x14ac:dyDescent="0.25">
      <c r="A380" s="194" t="s">
        <v>47</v>
      </c>
      <c r="B380" s="193" t="s">
        <v>48</v>
      </c>
      <c r="C380" s="192"/>
      <c r="D380" s="192"/>
      <c r="E380" s="192"/>
      <c r="F380" s="192"/>
      <c r="G380" s="191">
        <f t="shared" ref="G380:J380" si="132">G384+G383</f>
        <v>39506</v>
      </c>
      <c r="H380" s="191">
        <f t="shared" si="132"/>
        <v>39506</v>
      </c>
      <c r="I380" s="191">
        <f t="shared" si="132"/>
        <v>22000</v>
      </c>
      <c r="J380" s="191">
        <f t="shared" si="132"/>
        <v>22000</v>
      </c>
      <c r="K380" s="191">
        <f t="shared" ref="K380:L380" si="133">SUM(K383:K384)</f>
        <v>22000</v>
      </c>
      <c r="L380" s="191">
        <f t="shared" si="133"/>
        <v>22000</v>
      </c>
      <c r="M380" s="191">
        <f>SUM(M383:M384)</f>
        <v>25250</v>
      </c>
      <c r="N380" s="191">
        <f t="shared" ref="N380:Z380" si="134">SUM(N383:N384)</f>
        <v>25250</v>
      </c>
      <c r="O380" s="191">
        <f t="shared" si="134"/>
        <v>17235</v>
      </c>
      <c r="P380" s="191">
        <f t="shared" si="134"/>
        <v>17235</v>
      </c>
      <c r="Q380" s="191">
        <f t="shared" si="134"/>
        <v>-8015</v>
      </c>
      <c r="R380" s="191">
        <f t="shared" si="134"/>
        <v>-8015</v>
      </c>
      <c r="S380" s="191">
        <f t="shared" si="134"/>
        <v>140</v>
      </c>
      <c r="T380" s="191">
        <f t="shared" si="134"/>
        <v>8155</v>
      </c>
      <c r="U380" s="191">
        <f t="shared" si="134"/>
        <v>17235</v>
      </c>
      <c r="V380" s="191">
        <f t="shared" si="134"/>
        <v>17235</v>
      </c>
      <c r="W380" s="191">
        <f t="shared" si="134"/>
        <v>16600</v>
      </c>
      <c r="X380" s="191">
        <f t="shared" si="134"/>
        <v>16600</v>
      </c>
      <c r="Y380" s="191">
        <f t="shared" si="134"/>
        <v>631</v>
      </c>
      <c r="Z380" s="191">
        <f t="shared" si="134"/>
        <v>631</v>
      </c>
      <c r="AA380" s="191">
        <f t="shared" ref="AA380:AH380" si="135">AA384</f>
        <v>0</v>
      </c>
      <c r="AB380" s="191">
        <f t="shared" si="135"/>
        <v>0</v>
      </c>
      <c r="AC380" s="191">
        <f t="shared" si="135"/>
        <v>0</v>
      </c>
      <c r="AD380" s="191">
        <f t="shared" si="135"/>
        <v>0</v>
      </c>
      <c r="AE380" s="191">
        <f t="shared" si="135"/>
        <v>0</v>
      </c>
      <c r="AF380" s="191">
        <f t="shared" si="135"/>
        <v>0</v>
      </c>
      <c r="AG380" s="191">
        <f t="shared" si="135"/>
        <v>0</v>
      </c>
      <c r="AH380" s="191">
        <f t="shared" si="135"/>
        <v>0</v>
      </c>
      <c r="AI380" s="185"/>
      <c r="AJ380" s="173">
        <f t="shared" si="108"/>
        <v>1</v>
      </c>
    </row>
    <row r="381" spans="1:36" ht="17.25" x14ac:dyDescent="0.25">
      <c r="A381" s="194"/>
      <c r="B381" s="193" t="s">
        <v>49</v>
      </c>
      <c r="C381" s="202"/>
      <c r="D381" s="202"/>
      <c r="E381" s="202"/>
      <c r="F381" s="202"/>
      <c r="G381" s="200"/>
      <c r="H381" s="200"/>
      <c r="I381" s="200"/>
      <c r="J381" s="200"/>
      <c r="K381" s="200"/>
      <c r="L381" s="200"/>
      <c r="M381" s="200"/>
      <c r="N381" s="200"/>
      <c r="O381" s="201"/>
      <c r="P381" s="201"/>
      <c r="Q381" s="177">
        <f t="shared" ref="Q381:R384" si="136">O381-M381</f>
        <v>0</v>
      </c>
      <c r="R381" s="177">
        <f t="shared" si="136"/>
        <v>0</v>
      </c>
      <c r="S381" s="176">
        <f>IF(R381&gt;0,R381,0)</f>
        <v>0</v>
      </c>
      <c r="T381" s="176">
        <f>IF(R381&lt;0,-R381,0)</f>
        <v>0</v>
      </c>
      <c r="U381" s="475"/>
      <c r="V381" s="475"/>
      <c r="W381" s="200"/>
      <c r="X381" s="200"/>
      <c r="Y381" s="200"/>
      <c r="Z381" s="200"/>
      <c r="AA381" s="200"/>
      <c r="AB381" s="200"/>
      <c r="AC381" s="200"/>
      <c r="AD381" s="200"/>
      <c r="AE381" s="200"/>
      <c r="AF381" s="200"/>
      <c r="AG381" s="200"/>
      <c r="AH381" s="200"/>
      <c r="AI381" s="185"/>
      <c r="AJ381" s="173">
        <f t="shared" si="108"/>
        <v>0</v>
      </c>
    </row>
    <row r="382" spans="1:36" ht="51.75" x14ac:dyDescent="0.25">
      <c r="A382" s="194"/>
      <c r="B382" s="199" t="s">
        <v>50</v>
      </c>
      <c r="C382" s="192"/>
      <c r="D382" s="192"/>
      <c r="E382" s="192"/>
      <c r="F382" s="192"/>
      <c r="G382" s="191"/>
      <c r="H382" s="191"/>
      <c r="I382" s="191"/>
      <c r="J382" s="191"/>
      <c r="K382" s="191"/>
      <c r="L382" s="191"/>
      <c r="M382" s="191"/>
      <c r="N382" s="191"/>
      <c r="O382" s="190"/>
      <c r="P382" s="190"/>
      <c r="Q382" s="177">
        <f t="shared" si="136"/>
        <v>0</v>
      </c>
      <c r="R382" s="177">
        <f t="shared" si="136"/>
        <v>0</v>
      </c>
      <c r="S382" s="176">
        <f>IF(R382&gt;0,R382,0)</f>
        <v>0</v>
      </c>
      <c r="T382" s="176">
        <f>IF(R382&lt;0,-R382,0)</f>
        <v>0</v>
      </c>
      <c r="U382" s="474"/>
      <c r="V382" s="474"/>
      <c r="W382" s="191"/>
      <c r="X382" s="191"/>
      <c r="Y382" s="191"/>
      <c r="Z382" s="191"/>
      <c r="AA382" s="191"/>
      <c r="AB382" s="191"/>
      <c r="AC382" s="191"/>
      <c r="AD382" s="191"/>
      <c r="AE382" s="191"/>
      <c r="AF382" s="191"/>
      <c r="AG382" s="191"/>
      <c r="AH382" s="191"/>
      <c r="AI382" s="185"/>
      <c r="AJ382" s="173">
        <f t="shared" si="108"/>
        <v>0</v>
      </c>
    </row>
    <row r="383" spans="1:36" ht="66" x14ac:dyDescent="0.25">
      <c r="A383" s="267" t="s">
        <v>1142</v>
      </c>
      <c r="B383" s="263" t="s">
        <v>1141</v>
      </c>
      <c r="C383" s="188"/>
      <c r="D383" s="197"/>
      <c r="E383" s="181" t="s">
        <v>738</v>
      </c>
      <c r="F383" s="180" t="s">
        <v>1140</v>
      </c>
      <c r="G383" s="213">
        <f>H383</f>
        <v>12371</v>
      </c>
      <c r="H383" s="213">
        <v>12371</v>
      </c>
      <c r="I383" s="196">
        <v>7000</v>
      </c>
      <c r="J383" s="196">
        <v>7000</v>
      </c>
      <c r="K383" s="196">
        <v>7000</v>
      </c>
      <c r="L383" s="196">
        <v>7000</v>
      </c>
      <c r="M383" s="179">
        <v>5000</v>
      </c>
      <c r="N383" s="217">
        <f>M383</f>
        <v>5000</v>
      </c>
      <c r="O383" s="243">
        <f>P383</f>
        <v>5140</v>
      </c>
      <c r="P383" s="266">
        <v>5140</v>
      </c>
      <c r="Q383" s="177">
        <f t="shared" si="136"/>
        <v>140</v>
      </c>
      <c r="R383" s="177">
        <f t="shared" si="136"/>
        <v>140</v>
      </c>
      <c r="S383" s="176">
        <f>V383-N383</f>
        <v>140</v>
      </c>
      <c r="T383" s="176"/>
      <c r="U383" s="457">
        <f>V383</f>
        <v>5140</v>
      </c>
      <c r="V383" s="490">
        <v>5140</v>
      </c>
      <c r="W383" s="217">
        <f>X383</f>
        <v>4600</v>
      </c>
      <c r="X383" s="217">
        <v>4600</v>
      </c>
      <c r="Y383" s="217">
        <f>Z383</f>
        <v>536</v>
      </c>
      <c r="Z383" s="217">
        <v>536</v>
      </c>
      <c r="AA383" s="217"/>
      <c r="AB383" s="217"/>
      <c r="AC383" s="217"/>
      <c r="AD383" s="217"/>
      <c r="AE383" s="217"/>
      <c r="AF383" s="217"/>
      <c r="AG383" s="217"/>
      <c r="AH383" s="217"/>
      <c r="AI383" s="185" t="s">
        <v>404</v>
      </c>
      <c r="AJ383" s="173">
        <f t="shared" si="108"/>
        <v>1</v>
      </c>
    </row>
    <row r="384" spans="1:36" ht="49.5" x14ac:dyDescent="0.25">
      <c r="A384" s="221">
        <v>2</v>
      </c>
      <c r="B384" s="263" t="s">
        <v>1139</v>
      </c>
      <c r="C384" s="188"/>
      <c r="D384" s="197"/>
      <c r="E384" s="181" t="s">
        <v>199</v>
      </c>
      <c r="F384" s="180" t="s">
        <v>1138</v>
      </c>
      <c r="G384" s="213">
        <v>27135</v>
      </c>
      <c r="H384" s="213">
        <f>G384</f>
        <v>27135</v>
      </c>
      <c r="I384" s="196">
        <v>15000</v>
      </c>
      <c r="J384" s="196">
        <v>15000</v>
      </c>
      <c r="K384" s="196">
        <v>15000</v>
      </c>
      <c r="L384" s="196">
        <v>15000</v>
      </c>
      <c r="M384" s="179">
        <v>20250</v>
      </c>
      <c r="N384" s="177">
        <f>M384</f>
        <v>20250</v>
      </c>
      <c r="O384" s="178">
        <v>12095</v>
      </c>
      <c r="P384" s="220">
        <f>O384</f>
        <v>12095</v>
      </c>
      <c r="Q384" s="177">
        <f t="shared" si="136"/>
        <v>-8155</v>
      </c>
      <c r="R384" s="177">
        <f t="shared" si="136"/>
        <v>-8155</v>
      </c>
      <c r="S384" s="176"/>
      <c r="T384" s="176">
        <f>N384-V384</f>
        <v>8155</v>
      </c>
      <c r="U384" s="456">
        <v>12095</v>
      </c>
      <c r="V384" s="454">
        <v>12095</v>
      </c>
      <c r="W384" s="217">
        <f>X384</f>
        <v>12000</v>
      </c>
      <c r="X384" s="217">
        <v>12000</v>
      </c>
      <c r="Y384" s="217">
        <f>Z384</f>
        <v>95</v>
      </c>
      <c r="Z384" s="217">
        <v>95</v>
      </c>
      <c r="AA384" s="217"/>
      <c r="AB384" s="217"/>
      <c r="AC384" s="217"/>
      <c r="AD384" s="217"/>
      <c r="AE384" s="217"/>
      <c r="AF384" s="217"/>
      <c r="AG384" s="217"/>
      <c r="AH384" s="217"/>
      <c r="AI384" s="185" t="s">
        <v>404</v>
      </c>
      <c r="AJ384" s="173">
        <f t="shared" si="108"/>
        <v>1</v>
      </c>
    </row>
    <row r="385" spans="1:36" ht="34.5" x14ac:dyDescent="0.25">
      <c r="A385" s="195" t="s">
        <v>85</v>
      </c>
      <c r="B385" s="193" t="s">
        <v>86</v>
      </c>
      <c r="C385" s="192"/>
      <c r="D385" s="192"/>
      <c r="E385" s="192"/>
      <c r="F385" s="192"/>
      <c r="G385" s="191">
        <f>G386+G396</f>
        <v>72740</v>
      </c>
      <c r="H385" s="191">
        <f>H386+H396</f>
        <v>68359</v>
      </c>
      <c r="I385" s="191"/>
      <c r="J385" s="191"/>
      <c r="K385" s="191"/>
      <c r="L385" s="191"/>
      <c r="M385" s="474">
        <f t="shared" ref="M385:AH385" si="137">M386+M396</f>
        <v>54750</v>
      </c>
      <c r="N385" s="474">
        <f t="shared" si="137"/>
        <v>54750</v>
      </c>
      <c r="O385" s="474">
        <f t="shared" si="137"/>
        <v>62765</v>
      </c>
      <c r="P385" s="474">
        <f t="shared" si="137"/>
        <v>62765</v>
      </c>
      <c r="Q385" s="474">
        <f t="shared" si="137"/>
        <v>8015</v>
      </c>
      <c r="R385" s="474">
        <f t="shared" si="137"/>
        <v>8015</v>
      </c>
      <c r="S385" s="474">
        <f t="shared" si="137"/>
        <v>13949</v>
      </c>
      <c r="T385" s="474">
        <f t="shared" si="137"/>
        <v>5934</v>
      </c>
      <c r="U385" s="474">
        <f t="shared" ref="U385" si="138">U386+U396</f>
        <v>62765</v>
      </c>
      <c r="V385" s="474">
        <f t="shared" si="137"/>
        <v>62765</v>
      </c>
      <c r="W385" s="474">
        <f t="shared" si="137"/>
        <v>7000</v>
      </c>
      <c r="X385" s="474">
        <f t="shared" si="137"/>
        <v>7000</v>
      </c>
      <c r="Y385" s="474">
        <f t="shared" si="137"/>
        <v>15369</v>
      </c>
      <c r="Z385" s="474">
        <f t="shared" si="137"/>
        <v>15369</v>
      </c>
      <c r="AA385" s="190">
        <f t="shared" si="137"/>
        <v>0</v>
      </c>
      <c r="AB385" s="190">
        <f t="shared" si="137"/>
        <v>0</v>
      </c>
      <c r="AC385" s="190">
        <f t="shared" si="137"/>
        <v>0</v>
      </c>
      <c r="AD385" s="190">
        <f t="shared" si="137"/>
        <v>0</v>
      </c>
      <c r="AE385" s="190">
        <f t="shared" si="137"/>
        <v>0</v>
      </c>
      <c r="AF385" s="190">
        <f t="shared" si="137"/>
        <v>0</v>
      </c>
      <c r="AG385" s="190">
        <f t="shared" si="137"/>
        <v>0</v>
      </c>
      <c r="AH385" s="190">
        <f t="shared" si="137"/>
        <v>0</v>
      </c>
      <c r="AI385" s="189"/>
      <c r="AJ385" s="173">
        <f t="shared" si="108"/>
        <v>1</v>
      </c>
    </row>
    <row r="386" spans="1:36" ht="51.75" x14ac:dyDescent="0.25">
      <c r="A386" s="194" t="s">
        <v>87</v>
      </c>
      <c r="B386" s="193" t="s">
        <v>88</v>
      </c>
      <c r="C386" s="192"/>
      <c r="D386" s="192"/>
      <c r="E386" s="192"/>
      <c r="F386" s="192"/>
      <c r="G386" s="191">
        <f>G387+G388+G390+G392+G395</f>
        <v>54372</v>
      </c>
      <c r="H386" s="191">
        <f>H387+H388+H390+H392+H395</f>
        <v>49991</v>
      </c>
      <c r="I386" s="191"/>
      <c r="J386" s="191"/>
      <c r="K386" s="191"/>
      <c r="L386" s="191"/>
      <c r="M386" s="191">
        <f>SUM(M387:M392)+SUM(M395)</f>
        <v>44970</v>
      </c>
      <c r="N386" s="191">
        <f t="shared" ref="N386:Z386" si="139">SUM(N387:N392)+SUM(N395)</f>
        <v>44970</v>
      </c>
      <c r="O386" s="191">
        <f t="shared" si="139"/>
        <v>51205</v>
      </c>
      <c r="P386" s="191">
        <f t="shared" si="139"/>
        <v>51205</v>
      </c>
      <c r="Q386" s="191">
        <f t="shared" si="139"/>
        <v>6235</v>
      </c>
      <c r="R386" s="191">
        <f t="shared" si="139"/>
        <v>6235</v>
      </c>
      <c r="S386" s="191">
        <f t="shared" si="139"/>
        <v>10250</v>
      </c>
      <c r="T386" s="191">
        <f t="shared" si="139"/>
        <v>5934</v>
      </c>
      <c r="U386" s="191">
        <f t="shared" ref="U386" si="140">SUM(U387:U392)+SUM(U395)</f>
        <v>49286</v>
      </c>
      <c r="V386" s="191">
        <f t="shared" si="139"/>
        <v>49286</v>
      </c>
      <c r="W386" s="191">
        <f t="shared" si="139"/>
        <v>7000</v>
      </c>
      <c r="X386" s="191">
        <f t="shared" si="139"/>
        <v>7000</v>
      </c>
      <c r="Y386" s="191">
        <f t="shared" si="139"/>
        <v>15369</v>
      </c>
      <c r="Z386" s="191">
        <f t="shared" si="139"/>
        <v>15369</v>
      </c>
      <c r="AA386" s="190">
        <f t="shared" ref="AA386:AH386" si="141">SUM(AA387:AA395)</f>
        <v>0</v>
      </c>
      <c r="AB386" s="190">
        <f t="shared" si="141"/>
        <v>0</v>
      </c>
      <c r="AC386" s="190">
        <f t="shared" si="141"/>
        <v>0</v>
      </c>
      <c r="AD386" s="190">
        <f t="shared" si="141"/>
        <v>0</v>
      </c>
      <c r="AE386" s="190">
        <f t="shared" si="141"/>
        <v>0</v>
      </c>
      <c r="AF386" s="190">
        <f t="shared" si="141"/>
        <v>0</v>
      </c>
      <c r="AG386" s="190">
        <f t="shared" si="141"/>
        <v>0</v>
      </c>
      <c r="AH386" s="190">
        <f t="shared" si="141"/>
        <v>0</v>
      </c>
      <c r="AI386" s="189"/>
      <c r="AJ386" s="173">
        <f t="shared" si="108"/>
        <v>1</v>
      </c>
    </row>
    <row r="387" spans="1:36" ht="49.5" x14ac:dyDescent="0.25">
      <c r="A387" s="184">
        <v>3</v>
      </c>
      <c r="B387" s="263" t="s">
        <v>1137</v>
      </c>
      <c r="C387" s="188"/>
      <c r="D387" s="181" t="s">
        <v>1136</v>
      </c>
      <c r="E387" s="181" t="s">
        <v>97</v>
      </c>
      <c r="F387" s="180" t="s">
        <v>1135</v>
      </c>
      <c r="G387" s="213">
        <f>H387</f>
        <v>3738</v>
      </c>
      <c r="H387" s="213">
        <v>3738</v>
      </c>
      <c r="I387" s="265"/>
      <c r="J387" s="265"/>
      <c r="K387" s="265"/>
      <c r="L387" s="265"/>
      <c r="M387" s="179">
        <v>4360</v>
      </c>
      <c r="N387" s="179">
        <v>4360</v>
      </c>
      <c r="O387" s="178">
        <f>P387</f>
        <v>3850</v>
      </c>
      <c r="P387" s="178">
        <v>3850</v>
      </c>
      <c r="Q387" s="177">
        <f t="shared" ref="Q387:R391" si="142">O387-M387</f>
        <v>-510</v>
      </c>
      <c r="R387" s="177">
        <f t="shared" si="142"/>
        <v>-510</v>
      </c>
      <c r="S387" s="176"/>
      <c r="T387" s="176">
        <f t="shared" ref="T387:T393" si="143">N387-V387</f>
        <v>633</v>
      </c>
      <c r="U387" s="456">
        <f>V387</f>
        <v>3727</v>
      </c>
      <c r="V387" s="456">
        <v>3727</v>
      </c>
      <c r="W387" s="217">
        <f>X387</f>
        <v>3200</v>
      </c>
      <c r="X387" s="217">
        <v>3200</v>
      </c>
      <c r="Y387" s="217">
        <f t="shared" ref="Y387:Y392" si="144">Z387</f>
        <v>650</v>
      </c>
      <c r="Z387" s="217">
        <v>650</v>
      </c>
      <c r="AA387" s="217"/>
      <c r="AB387" s="217"/>
      <c r="AC387" s="217"/>
      <c r="AD387" s="217"/>
      <c r="AE387" s="217"/>
      <c r="AF387" s="217"/>
      <c r="AG387" s="217"/>
      <c r="AH387" s="217"/>
      <c r="AI387" s="184"/>
      <c r="AJ387" s="173">
        <f t="shared" si="108"/>
        <v>1</v>
      </c>
    </row>
    <row r="388" spans="1:36" ht="49.5" x14ac:dyDescent="0.25">
      <c r="A388" s="184">
        <v>4</v>
      </c>
      <c r="B388" s="263" t="s">
        <v>1134</v>
      </c>
      <c r="C388" s="188"/>
      <c r="D388" s="181" t="s">
        <v>1133</v>
      </c>
      <c r="E388" s="181" t="s">
        <v>199</v>
      </c>
      <c r="F388" s="180" t="s">
        <v>1132</v>
      </c>
      <c r="G388" s="213">
        <f>H388</f>
        <v>3877</v>
      </c>
      <c r="H388" s="213">
        <v>3877</v>
      </c>
      <c r="I388" s="191"/>
      <c r="J388" s="191"/>
      <c r="K388" s="191"/>
      <c r="L388" s="191"/>
      <c r="M388" s="179">
        <v>4710</v>
      </c>
      <c r="N388" s="179">
        <v>4710</v>
      </c>
      <c r="O388" s="178">
        <f>P388</f>
        <v>3875</v>
      </c>
      <c r="P388" s="178">
        <v>3875</v>
      </c>
      <c r="Q388" s="177">
        <f t="shared" si="142"/>
        <v>-835</v>
      </c>
      <c r="R388" s="177">
        <f t="shared" si="142"/>
        <v>-835</v>
      </c>
      <c r="S388" s="176"/>
      <c r="T388" s="176">
        <f t="shared" si="143"/>
        <v>835</v>
      </c>
      <c r="U388" s="456">
        <f>V388</f>
        <v>3875</v>
      </c>
      <c r="V388" s="456">
        <v>3875</v>
      </c>
      <c r="W388" s="217">
        <f>X388</f>
        <v>3800</v>
      </c>
      <c r="X388" s="217">
        <v>3800</v>
      </c>
      <c r="Y388" s="217">
        <f t="shared" si="144"/>
        <v>75</v>
      </c>
      <c r="Z388" s="217">
        <v>75</v>
      </c>
      <c r="AA388" s="217"/>
      <c r="AB388" s="217"/>
      <c r="AC388" s="217"/>
      <c r="AD388" s="217"/>
      <c r="AE388" s="217"/>
      <c r="AF388" s="217"/>
      <c r="AG388" s="217"/>
      <c r="AH388" s="217"/>
      <c r="AI388" s="184"/>
      <c r="AJ388" s="173">
        <f t="shared" si="108"/>
        <v>1</v>
      </c>
    </row>
    <row r="389" spans="1:36" ht="49.5" x14ac:dyDescent="0.25">
      <c r="A389" s="184">
        <v>5</v>
      </c>
      <c r="B389" s="251" t="s">
        <v>1131</v>
      </c>
      <c r="C389" s="188"/>
      <c r="D389" s="197"/>
      <c r="E389" s="197" t="s">
        <v>109</v>
      </c>
      <c r="F389" s="188" t="s">
        <v>1130</v>
      </c>
      <c r="G389" s="250">
        <v>995</v>
      </c>
      <c r="H389" s="250">
        <v>995</v>
      </c>
      <c r="I389" s="200"/>
      <c r="J389" s="200"/>
      <c r="K389" s="200"/>
      <c r="L389" s="200"/>
      <c r="M389" s="179">
        <v>900</v>
      </c>
      <c r="N389" s="179">
        <v>900</v>
      </c>
      <c r="O389" s="178">
        <v>900</v>
      </c>
      <c r="P389" s="178">
        <v>900</v>
      </c>
      <c r="Q389" s="177">
        <f t="shared" si="142"/>
        <v>0</v>
      </c>
      <c r="R389" s="177">
        <f t="shared" si="142"/>
        <v>0</v>
      </c>
      <c r="S389" s="176"/>
      <c r="T389" s="176">
        <f t="shared" si="143"/>
        <v>58</v>
      </c>
      <c r="U389" s="456">
        <f>V389</f>
        <v>842</v>
      </c>
      <c r="V389" s="456">
        <v>842</v>
      </c>
      <c r="W389" s="217"/>
      <c r="X389" s="217"/>
      <c r="Y389" s="217">
        <f t="shared" si="144"/>
        <v>830</v>
      </c>
      <c r="Z389" s="217">
        <v>830</v>
      </c>
      <c r="AA389" s="217"/>
      <c r="AB389" s="217"/>
      <c r="AC389" s="217"/>
      <c r="AD389" s="217"/>
      <c r="AE389" s="217"/>
      <c r="AF389" s="217"/>
      <c r="AG389" s="217"/>
      <c r="AH389" s="217"/>
      <c r="AI389" s="264"/>
      <c r="AJ389" s="173">
        <f t="shared" si="108"/>
        <v>1</v>
      </c>
    </row>
    <row r="390" spans="1:36" ht="49.5" x14ac:dyDescent="0.25">
      <c r="A390" s="184">
        <v>6</v>
      </c>
      <c r="B390" s="251" t="s">
        <v>1129</v>
      </c>
      <c r="C390" s="188"/>
      <c r="D390" s="197"/>
      <c r="E390" s="197" t="s">
        <v>248</v>
      </c>
      <c r="F390" s="188" t="s">
        <v>1128</v>
      </c>
      <c r="G390" s="250">
        <v>20735</v>
      </c>
      <c r="H390" s="250">
        <v>16354</v>
      </c>
      <c r="I390" s="191"/>
      <c r="J390" s="191"/>
      <c r="K390" s="191"/>
      <c r="L390" s="191"/>
      <c r="M390" s="179">
        <v>18000</v>
      </c>
      <c r="N390" s="179">
        <v>18000</v>
      </c>
      <c r="O390" s="178">
        <f>P390</f>
        <v>13980</v>
      </c>
      <c r="P390" s="178">
        <f>7980+6000</f>
        <v>13980</v>
      </c>
      <c r="Q390" s="177">
        <f t="shared" si="142"/>
        <v>-4020</v>
      </c>
      <c r="R390" s="177">
        <f t="shared" si="142"/>
        <v>-4020</v>
      </c>
      <c r="S390" s="176"/>
      <c r="T390" s="176">
        <f t="shared" si="143"/>
        <v>4376</v>
      </c>
      <c r="U390" s="456">
        <f>V390</f>
        <v>13624</v>
      </c>
      <c r="V390" s="456">
        <v>13624</v>
      </c>
      <c r="W390" s="217"/>
      <c r="X390" s="217"/>
      <c r="Y390" s="217">
        <f t="shared" si="144"/>
        <v>6000</v>
      </c>
      <c r="Z390" s="217">
        <v>6000</v>
      </c>
      <c r="AA390" s="217"/>
      <c r="AB390" s="217"/>
      <c r="AC390" s="217"/>
      <c r="AD390" s="217"/>
      <c r="AE390" s="217"/>
      <c r="AF390" s="217"/>
      <c r="AG390" s="217"/>
      <c r="AH390" s="217"/>
      <c r="AI390" s="189"/>
      <c r="AJ390" s="173">
        <f t="shared" si="108"/>
        <v>1</v>
      </c>
    </row>
    <row r="391" spans="1:36" ht="49.5" x14ac:dyDescent="0.25">
      <c r="A391" s="184">
        <v>7</v>
      </c>
      <c r="B391" s="263" t="s">
        <v>1127</v>
      </c>
      <c r="C391" s="188"/>
      <c r="D391" s="197" t="s">
        <v>1126</v>
      </c>
      <c r="E391" s="197" t="s">
        <v>116</v>
      </c>
      <c r="F391" s="188" t="s">
        <v>1125</v>
      </c>
      <c r="G391" s="250">
        <v>5132</v>
      </c>
      <c r="H391" s="250">
        <v>5132</v>
      </c>
      <c r="I391" s="212"/>
      <c r="J391" s="177"/>
      <c r="K391" s="212"/>
      <c r="L391" s="177"/>
      <c r="M391" s="179">
        <v>4500</v>
      </c>
      <c r="N391" s="179">
        <v>4500</v>
      </c>
      <c r="O391" s="178">
        <v>4500</v>
      </c>
      <c r="P391" s="178">
        <v>4500</v>
      </c>
      <c r="Q391" s="177">
        <f t="shared" si="142"/>
        <v>0</v>
      </c>
      <c r="R391" s="177">
        <f t="shared" si="142"/>
        <v>0</v>
      </c>
      <c r="S391" s="176"/>
      <c r="T391" s="176">
        <f t="shared" si="143"/>
        <v>32</v>
      </c>
      <c r="U391" s="456">
        <f>V391</f>
        <v>4468</v>
      </c>
      <c r="V391" s="456">
        <v>4468</v>
      </c>
      <c r="W391" s="217"/>
      <c r="X391" s="217"/>
      <c r="Y391" s="217">
        <f t="shared" si="144"/>
        <v>4000</v>
      </c>
      <c r="Z391" s="217">
        <v>4000</v>
      </c>
      <c r="AA391" s="217"/>
      <c r="AB391" s="217"/>
      <c r="AC391" s="217"/>
      <c r="AD391" s="217"/>
      <c r="AE391" s="217"/>
      <c r="AF391" s="217"/>
      <c r="AG391" s="217"/>
      <c r="AH391" s="217"/>
      <c r="AI391" s="198"/>
      <c r="AJ391" s="173">
        <f t="shared" si="108"/>
        <v>1</v>
      </c>
    </row>
    <row r="392" spans="1:36" ht="49.5" x14ac:dyDescent="0.25">
      <c r="A392" s="184">
        <v>8</v>
      </c>
      <c r="B392" s="251" t="s">
        <v>1124</v>
      </c>
      <c r="C392" s="188"/>
      <c r="D392" s="197"/>
      <c r="E392" s="197" t="s">
        <v>116</v>
      </c>
      <c r="F392" s="188"/>
      <c r="G392" s="250">
        <f>G393+G394</f>
        <v>18648</v>
      </c>
      <c r="H392" s="250">
        <f>H393+H394</f>
        <v>18648</v>
      </c>
      <c r="I392" s="212"/>
      <c r="J392" s="177"/>
      <c r="K392" s="212"/>
      <c r="L392" s="177"/>
      <c r="M392" s="250">
        <f t="shared" ref="M392:R392" si="145">M393+M394</f>
        <v>12500</v>
      </c>
      <c r="N392" s="250">
        <f t="shared" si="145"/>
        <v>12500</v>
      </c>
      <c r="O392" s="262">
        <f t="shared" si="145"/>
        <v>17400</v>
      </c>
      <c r="P392" s="262">
        <f t="shared" si="145"/>
        <v>17400</v>
      </c>
      <c r="Q392" s="250">
        <f t="shared" si="145"/>
        <v>4900</v>
      </c>
      <c r="R392" s="250">
        <f t="shared" si="145"/>
        <v>4900</v>
      </c>
      <c r="S392" s="176">
        <f>V392-N392</f>
        <v>4267</v>
      </c>
      <c r="T392" s="491"/>
      <c r="U392" s="491">
        <f>U393+U394</f>
        <v>16767</v>
      </c>
      <c r="V392" s="491">
        <f>V393+V394</f>
        <v>16767</v>
      </c>
      <c r="W392" s="217"/>
      <c r="X392" s="217"/>
      <c r="Y392" s="217">
        <f t="shared" si="144"/>
        <v>3814</v>
      </c>
      <c r="Z392" s="217">
        <v>3814</v>
      </c>
      <c r="AA392" s="217"/>
      <c r="AB392" s="217"/>
      <c r="AC392" s="217"/>
      <c r="AD392" s="217"/>
      <c r="AE392" s="217"/>
      <c r="AF392" s="217"/>
      <c r="AG392" s="217"/>
      <c r="AH392" s="217"/>
      <c r="AI392" s="185" t="s">
        <v>926</v>
      </c>
      <c r="AJ392" s="173">
        <f t="shared" si="108"/>
        <v>1</v>
      </c>
    </row>
    <row r="393" spans="1:36" s="252" customFormat="1" ht="66" x14ac:dyDescent="0.25">
      <c r="A393" s="261" t="s">
        <v>1123</v>
      </c>
      <c r="B393" s="260" t="s">
        <v>1122</v>
      </c>
      <c r="C393" s="258"/>
      <c r="D393" s="259"/>
      <c r="E393" s="259" t="s">
        <v>116</v>
      </c>
      <c r="F393" s="258"/>
      <c r="G393" s="257">
        <f>H393</f>
        <v>6503</v>
      </c>
      <c r="H393" s="257">
        <v>6503</v>
      </c>
      <c r="I393" s="216"/>
      <c r="J393" s="215"/>
      <c r="K393" s="216"/>
      <c r="L393" s="215"/>
      <c r="M393" s="256">
        <f>N393</f>
        <v>6500</v>
      </c>
      <c r="N393" s="256">
        <v>6500</v>
      </c>
      <c r="O393" s="255">
        <f>M393</f>
        <v>6500</v>
      </c>
      <c r="P393" s="255">
        <f>N393</f>
        <v>6500</v>
      </c>
      <c r="Q393" s="215">
        <f t="shared" ref="Q393:R397" si="146">O393-M393</f>
        <v>0</v>
      </c>
      <c r="R393" s="215">
        <f t="shared" si="146"/>
        <v>0</v>
      </c>
      <c r="S393" s="254"/>
      <c r="T393" s="176">
        <f t="shared" si="143"/>
        <v>633</v>
      </c>
      <c r="U393" s="464">
        <f>V393</f>
        <v>5867</v>
      </c>
      <c r="V393" s="464">
        <v>5867</v>
      </c>
      <c r="W393" s="200"/>
      <c r="X393" s="200"/>
      <c r="Y393" s="200"/>
      <c r="Z393" s="200"/>
      <c r="AA393" s="200"/>
      <c r="AB393" s="200"/>
      <c r="AC393" s="200"/>
      <c r="AD393" s="200"/>
      <c r="AE393" s="200"/>
      <c r="AF393" s="200"/>
      <c r="AG393" s="200"/>
      <c r="AH393" s="200"/>
      <c r="AI393" s="253"/>
      <c r="AJ393" s="173">
        <f t="shared" si="108"/>
        <v>1</v>
      </c>
    </row>
    <row r="394" spans="1:36" s="252" customFormat="1" ht="66" x14ac:dyDescent="0.25">
      <c r="A394" s="261" t="s">
        <v>1121</v>
      </c>
      <c r="B394" s="260" t="s">
        <v>1120</v>
      </c>
      <c r="C394" s="258"/>
      <c r="D394" s="259"/>
      <c r="E394" s="259" t="s">
        <v>116</v>
      </c>
      <c r="F394" s="258"/>
      <c r="G394" s="257">
        <f>H394</f>
        <v>12145</v>
      </c>
      <c r="H394" s="257">
        <v>12145</v>
      </c>
      <c r="I394" s="216"/>
      <c r="J394" s="215"/>
      <c r="K394" s="216"/>
      <c r="L394" s="215"/>
      <c r="M394" s="256">
        <v>6000</v>
      </c>
      <c r="N394" s="256">
        <f>M394</f>
        <v>6000</v>
      </c>
      <c r="O394" s="255">
        <f>P394</f>
        <v>10900</v>
      </c>
      <c r="P394" s="255">
        <v>10900</v>
      </c>
      <c r="Q394" s="215">
        <f t="shared" si="146"/>
        <v>4900</v>
      </c>
      <c r="R394" s="215">
        <f t="shared" si="146"/>
        <v>4900</v>
      </c>
      <c r="S394" s="255">
        <f>V394-N394</f>
        <v>4900</v>
      </c>
      <c r="T394" s="176"/>
      <c r="U394" s="464">
        <f>V394</f>
        <v>10900</v>
      </c>
      <c r="V394" s="464">
        <v>10900</v>
      </c>
      <c r="W394" s="200"/>
      <c r="X394" s="200"/>
      <c r="Y394" s="200"/>
      <c r="Z394" s="200"/>
      <c r="AA394" s="200"/>
      <c r="AB394" s="200"/>
      <c r="AC394" s="200"/>
      <c r="AD394" s="200"/>
      <c r="AE394" s="200"/>
      <c r="AF394" s="200"/>
      <c r="AG394" s="200"/>
      <c r="AH394" s="200"/>
      <c r="AI394" s="253"/>
      <c r="AJ394" s="173">
        <f t="shared" si="108"/>
        <v>1</v>
      </c>
    </row>
    <row r="395" spans="1:36" ht="33" x14ac:dyDescent="0.25">
      <c r="A395" s="221">
        <v>9</v>
      </c>
      <c r="B395" s="251" t="s">
        <v>1119</v>
      </c>
      <c r="C395" s="188"/>
      <c r="D395" s="197" t="s">
        <v>1118</v>
      </c>
      <c r="E395" s="197" t="s">
        <v>248</v>
      </c>
      <c r="F395" s="188"/>
      <c r="G395" s="250">
        <f>H395</f>
        <v>7374</v>
      </c>
      <c r="H395" s="250">
        <v>7374</v>
      </c>
      <c r="I395" s="212"/>
      <c r="J395" s="177"/>
      <c r="K395" s="212"/>
      <c r="L395" s="177"/>
      <c r="M395" s="179"/>
      <c r="N395" s="179"/>
      <c r="O395" s="178">
        <f>P395</f>
        <v>6700</v>
      </c>
      <c r="P395" s="178">
        <v>6700</v>
      </c>
      <c r="Q395" s="177">
        <f t="shared" si="146"/>
        <v>6700</v>
      </c>
      <c r="R395" s="177">
        <f t="shared" si="146"/>
        <v>6700</v>
      </c>
      <c r="S395" s="176">
        <f>V395-N395</f>
        <v>5983</v>
      </c>
      <c r="T395" s="176"/>
      <c r="U395" s="456">
        <f>V395</f>
        <v>5983</v>
      </c>
      <c r="V395" s="456">
        <v>5983</v>
      </c>
      <c r="W395" s="217"/>
      <c r="X395" s="217"/>
      <c r="Y395" s="217"/>
      <c r="Z395" s="217"/>
      <c r="AA395" s="217"/>
      <c r="AB395" s="217"/>
      <c r="AC395" s="217"/>
      <c r="AD395" s="217"/>
      <c r="AE395" s="217"/>
      <c r="AF395" s="217"/>
      <c r="AG395" s="217"/>
      <c r="AH395" s="217"/>
      <c r="AI395" s="185" t="s">
        <v>1117</v>
      </c>
      <c r="AJ395" s="173">
        <f t="shared" si="108"/>
        <v>1</v>
      </c>
    </row>
    <row r="396" spans="1:36" ht="34.5" x14ac:dyDescent="0.25">
      <c r="A396" s="194" t="s">
        <v>47</v>
      </c>
      <c r="B396" s="193" t="s">
        <v>1011</v>
      </c>
      <c r="C396" s="188"/>
      <c r="D396" s="197"/>
      <c r="E396" s="197"/>
      <c r="F396" s="188"/>
      <c r="G396" s="249">
        <f>G397</f>
        <v>18368</v>
      </c>
      <c r="H396" s="249">
        <f>H397</f>
        <v>18368</v>
      </c>
      <c r="I396" s="212"/>
      <c r="J396" s="177"/>
      <c r="K396" s="212"/>
      <c r="L396" s="177"/>
      <c r="M396" s="249">
        <f>M397</f>
        <v>9780</v>
      </c>
      <c r="N396" s="249">
        <f>N397</f>
        <v>9780</v>
      </c>
      <c r="O396" s="249">
        <f>O397</f>
        <v>11560</v>
      </c>
      <c r="P396" s="249">
        <f>P397</f>
        <v>11560</v>
      </c>
      <c r="Q396" s="177">
        <f t="shared" si="146"/>
        <v>1780</v>
      </c>
      <c r="R396" s="177">
        <f t="shared" si="146"/>
        <v>1780</v>
      </c>
      <c r="S396" s="249">
        <f>S397</f>
        <v>3699</v>
      </c>
      <c r="T396" s="249">
        <f>T397</f>
        <v>0</v>
      </c>
      <c r="U396" s="492">
        <f>U397</f>
        <v>13479</v>
      </c>
      <c r="V396" s="492">
        <f>V397</f>
        <v>13479</v>
      </c>
      <c r="W396" s="248"/>
      <c r="X396" s="248"/>
      <c r="Y396" s="248"/>
      <c r="Z396" s="248"/>
      <c r="AA396" s="248"/>
      <c r="AB396" s="248"/>
      <c r="AC396" s="248"/>
      <c r="AD396" s="248"/>
      <c r="AE396" s="248"/>
      <c r="AF396" s="248"/>
      <c r="AG396" s="248"/>
      <c r="AH396" s="248"/>
      <c r="AI396" s="198"/>
      <c r="AJ396" s="173">
        <f t="shared" si="108"/>
        <v>1</v>
      </c>
    </row>
    <row r="397" spans="1:36" s="157" customFormat="1" ht="49.5" x14ac:dyDescent="0.25">
      <c r="A397" s="152">
        <v>10</v>
      </c>
      <c r="B397" s="247" t="s">
        <v>1116</v>
      </c>
      <c r="C397" s="1"/>
      <c r="D397" s="246" t="s">
        <v>1115</v>
      </c>
      <c r="E397" s="246" t="s">
        <v>168</v>
      </c>
      <c r="F397" s="1"/>
      <c r="G397" s="245">
        <v>18368</v>
      </c>
      <c r="H397" s="245">
        <v>18368</v>
      </c>
      <c r="I397" s="3"/>
      <c r="J397" s="244"/>
      <c r="K397" s="3"/>
      <c r="L397" s="244"/>
      <c r="M397" s="179">
        <v>9780</v>
      </c>
      <c r="N397" s="179">
        <v>9780</v>
      </c>
      <c r="O397" s="243">
        <f>P397</f>
        <v>11560</v>
      </c>
      <c r="P397" s="243">
        <f>11700-140</f>
        <v>11560</v>
      </c>
      <c r="Q397" s="177">
        <f t="shared" si="146"/>
        <v>1780</v>
      </c>
      <c r="R397" s="177">
        <f t="shared" si="146"/>
        <v>1780</v>
      </c>
      <c r="S397" s="176">
        <f>U397-N397</f>
        <v>3699</v>
      </c>
      <c r="T397" s="176"/>
      <c r="U397" s="457">
        <f>V397</f>
        <v>13479</v>
      </c>
      <c r="V397" s="457">
        <f>11560+1919</f>
        <v>13479</v>
      </c>
      <c r="W397" s="217"/>
      <c r="X397" s="217"/>
      <c r="Y397" s="217"/>
      <c r="Z397" s="217"/>
      <c r="AA397" s="217"/>
      <c r="AB397" s="217"/>
      <c r="AC397" s="217"/>
      <c r="AD397" s="217"/>
      <c r="AE397" s="217"/>
      <c r="AF397" s="217"/>
      <c r="AG397" s="217"/>
      <c r="AH397" s="217"/>
      <c r="AI397" s="242"/>
      <c r="AJ397" s="173">
        <f t="shared" si="108"/>
        <v>1</v>
      </c>
    </row>
    <row r="398" spans="1:36" s="203" customFormat="1" ht="16.5" x14ac:dyDescent="0.25">
      <c r="A398" s="210" t="s">
        <v>500</v>
      </c>
      <c r="B398" s="209" t="s">
        <v>1114</v>
      </c>
      <c r="C398" s="208"/>
      <c r="D398" s="207"/>
      <c r="E398" s="207"/>
      <c r="F398" s="207"/>
      <c r="G398" s="206">
        <f>G399</f>
        <v>93413</v>
      </c>
      <c r="H398" s="206">
        <f>H399</f>
        <v>93413</v>
      </c>
      <c r="I398" s="241"/>
      <c r="J398" s="240"/>
      <c r="K398" s="241"/>
      <c r="L398" s="240"/>
      <c r="M398" s="206">
        <f t="shared" ref="M398:AB399" si="147">M399</f>
        <v>80000</v>
      </c>
      <c r="N398" s="206">
        <f t="shared" si="147"/>
        <v>80000</v>
      </c>
      <c r="O398" s="465">
        <f t="shared" si="147"/>
        <v>80000</v>
      </c>
      <c r="P398" s="465">
        <f t="shared" si="147"/>
        <v>80000</v>
      </c>
      <c r="Q398" s="206">
        <f t="shared" si="147"/>
        <v>0</v>
      </c>
      <c r="R398" s="206">
        <f t="shared" si="147"/>
        <v>1500</v>
      </c>
      <c r="S398" s="206">
        <f t="shared" si="147"/>
        <v>28933</v>
      </c>
      <c r="T398" s="206">
        <f t="shared" si="147"/>
        <v>28933</v>
      </c>
      <c r="U398" s="465">
        <f t="shared" si="147"/>
        <v>80000</v>
      </c>
      <c r="V398" s="465">
        <f t="shared" si="147"/>
        <v>80000</v>
      </c>
      <c r="W398" s="465">
        <f t="shared" si="147"/>
        <v>19300</v>
      </c>
      <c r="X398" s="465">
        <f t="shared" si="147"/>
        <v>19300</v>
      </c>
      <c r="Y398" s="465">
        <f t="shared" si="147"/>
        <v>13385</v>
      </c>
      <c r="Z398" s="465">
        <f t="shared" si="147"/>
        <v>13385</v>
      </c>
      <c r="AA398" s="205">
        <f t="shared" si="147"/>
        <v>0</v>
      </c>
      <c r="AB398" s="205">
        <f t="shared" si="147"/>
        <v>0</v>
      </c>
      <c r="AC398" s="205">
        <f t="shared" ref="AC398:AH399" si="148">AC399</f>
        <v>0</v>
      </c>
      <c r="AD398" s="205">
        <f t="shared" si="148"/>
        <v>0</v>
      </c>
      <c r="AE398" s="205">
        <f t="shared" si="148"/>
        <v>0</v>
      </c>
      <c r="AF398" s="205">
        <f t="shared" si="148"/>
        <v>0</v>
      </c>
      <c r="AG398" s="205">
        <f t="shared" si="148"/>
        <v>0</v>
      </c>
      <c r="AH398" s="205">
        <f t="shared" si="148"/>
        <v>0</v>
      </c>
      <c r="AI398" s="235"/>
      <c r="AJ398" s="173">
        <v>1</v>
      </c>
    </row>
    <row r="399" spans="1:36" ht="34.5" x14ac:dyDescent="0.25">
      <c r="A399" s="195" t="s">
        <v>85</v>
      </c>
      <c r="B399" s="193" t="s">
        <v>86</v>
      </c>
      <c r="C399" s="192"/>
      <c r="D399" s="192"/>
      <c r="E399" s="192"/>
      <c r="F399" s="192"/>
      <c r="G399" s="191">
        <f>G400</f>
        <v>93413</v>
      </c>
      <c r="H399" s="191">
        <f>H400</f>
        <v>93413</v>
      </c>
      <c r="I399" s="191"/>
      <c r="J399" s="191"/>
      <c r="K399" s="191"/>
      <c r="L399" s="191"/>
      <c r="M399" s="191">
        <f t="shared" si="147"/>
        <v>80000</v>
      </c>
      <c r="N399" s="191">
        <f t="shared" si="147"/>
        <v>80000</v>
      </c>
      <c r="O399" s="191">
        <f t="shared" si="147"/>
        <v>80000</v>
      </c>
      <c r="P399" s="191">
        <f t="shared" si="147"/>
        <v>80000</v>
      </c>
      <c r="Q399" s="191">
        <f t="shared" si="147"/>
        <v>0</v>
      </c>
      <c r="R399" s="191">
        <f t="shared" si="147"/>
        <v>1500</v>
      </c>
      <c r="S399" s="191">
        <f t="shared" si="147"/>
        <v>28933</v>
      </c>
      <c r="T399" s="191">
        <f t="shared" si="147"/>
        <v>28933</v>
      </c>
      <c r="U399" s="474">
        <f t="shared" si="147"/>
        <v>80000</v>
      </c>
      <c r="V399" s="474">
        <f t="shared" si="147"/>
        <v>80000</v>
      </c>
      <c r="W399" s="474">
        <f t="shared" si="147"/>
        <v>19300</v>
      </c>
      <c r="X399" s="474">
        <f t="shared" si="147"/>
        <v>19300</v>
      </c>
      <c r="Y399" s="474">
        <f t="shared" si="147"/>
        <v>13385</v>
      </c>
      <c r="Z399" s="474">
        <f t="shared" si="147"/>
        <v>13385</v>
      </c>
      <c r="AA399" s="190">
        <f t="shared" si="147"/>
        <v>0</v>
      </c>
      <c r="AB399" s="190">
        <f t="shared" si="147"/>
        <v>0</v>
      </c>
      <c r="AC399" s="190">
        <f t="shared" si="148"/>
        <v>0</v>
      </c>
      <c r="AD399" s="190">
        <f t="shared" si="148"/>
        <v>0</v>
      </c>
      <c r="AE399" s="190">
        <f t="shared" si="148"/>
        <v>0</v>
      </c>
      <c r="AF399" s="190">
        <f t="shared" si="148"/>
        <v>0</v>
      </c>
      <c r="AG399" s="190">
        <f t="shared" si="148"/>
        <v>0</v>
      </c>
      <c r="AH399" s="190">
        <f t="shared" si="148"/>
        <v>0</v>
      </c>
      <c r="AI399" s="189"/>
      <c r="AJ399" s="173">
        <v>1</v>
      </c>
    </row>
    <row r="400" spans="1:36" ht="51.75" x14ac:dyDescent="0.25">
      <c r="A400" s="194" t="s">
        <v>87</v>
      </c>
      <c r="B400" s="193" t="s">
        <v>88</v>
      </c>
      <c r="C400" s="192"/>
      <c r="D400" s="192"/>
      <c r="E400" s="192"/>
      <c r="F400" s="192"/>
      <c r="G400" s="191">
        <f>G402+G404+G405+G406+G407+G408+G409+G410</f>
        <v>93413</v>
      </c>
      <c r="H400" s="191">
        <f>H402+H404+H405+H406+H407+H408+H409+H410</f>
        <v>93413</v>
      </c>
      <c r="I400" s="191"/>
      <c r="J400" s="191"/>
      <c r="K400" s="191"/>
      <c r="L400" s="191"/>
      <c r="M400" s="191">
        <f>SUM(M401:M410)</f>
        <v>80000</v>
      </c>
      <c r="N400" s="191">
        <f t="shared" ref="N400:Z400" si="149">SUM(N401:N410)</f>
        <v>80000</v>
      </c>
      <c r="O400" s="191">
        <f t="shared" si="149"/>
        <v>80000</v>
      </c>
      <c r="P400" s="191">
        <f t="shared" si="149"/>
        <v>80000</v>
      </c>
      <c r="Q400" s="191">
        <f t="shared" si="149"/>
        <v>0</v>
      </c>
      <c r="R400" s="191">
        <f t="shared" si="149"/>
        <v>1500</v>
      </c>
      <c r="S400" s="191">
        <f t="shared" si="149"/>
        <v>28933</v>
      </c>
      <c r="T400" s="191">
        <f t="shared" si="149"/>
        <v>28933</v>
      </c>
      <c r="U400" s="191">
        <f t="shared" si="149"/>
        <v>80000</v>
      </c>
      <c r="V400" s="191">
        <f t="shared" si="149"/>
        <v>80000</v>
      </c>
      <c r="W400" s="191">
        <f t="shared" si="149"/>
        <v>19300</v>
      </c>
      <c r="X400" s="191">
        <f t="shared" si="149"/>
        <v>19300</v>
      </c>
      <c r="Y400" s="191">
        <f t="shared" si="149"/>
        <v>13385</v>
      </c>
      <c r="Z400" s="191">
        <f t="shared" si="149"/>
        <v>13385</v>
      </c>
      <c r="AA400" s="190">
        <f t="shared" ref="AA400:AH400" si="150">SUM(AA401:AA410)</f>
        <v>0</v>
      </c>
      <c r="AB400" s="190">
        <f t="shared" si="150"/>
        <v>0</v>
      </c>
      <c r="AC400" s="190">
        <f t="shared" si="150"/>
        <v>0</v>
      </c>
      <c r="AD400" s="190">
        <f t="shared" si="150"/>
        <v>0</v>
      </c>
      <c r="AE400" s="190">
        <f t="shared" si="150"/>
        <v>0</v>
      </c>
      <c r="AF400" s="190">
        <f t="shared" si="150"/>
        <v>0</v>
      </c>
      <c r="AG400" s="190">
        <f t="shared" si="150"/>
        <v>0</v>
      </c>
      <c r="AH400" s="190">
        <f t="shared" si="150"/>
        <v>0</v>
      </c>
      <c r="AI400" s="189"/>
      <c r="AJ400" s="173">
        <v>1</v>
      </c>
    </row>
    <row r="401" spans="1:36" ht="33" x14ac:dyDescent="0.25">
      <c r="A401" s="221">
        <v>1</v>
      </c>
      <c r="B401" s="183" t="s">
        <v>1008</v>
      </c>
      <c r="C401" s="188"/>
      <c r="D401" s="197"/>
      <c r="E401" s="197"/>
      <c r="F401" s="197"/>
      <c r="G401" s="179"/>
      <c r="H401" s="239"/>
      <c r="I401" s="212"/>
      <c r="J401" s="177"/>
      <c r="K401" s="212"/>
      <c r="L401" s="177"/>
      <c r="M401" s="212">
        <f>N401</f>
        <v>800</v>
      </c>
      <c r="N401" s="179">
        <v>800</v>
      </c>
      <c r="O401" s="178">
        <v>800</v>
      </c>
      <c r="P401" s="220">
        <v>800</v>
      </c>
      <c r="Q401" s="177">
        <f t="shared" ref="Q401:R405" si="151">O401-M401</f>
        <v>0</v>
      </c>
      <c r="R401" s="177">
        <f t="shared" si="151"/>
        <v>0</v>
      </c>
      <c r="S401" s="176"/>
      <c r="T401" s="176">
        <f>N401-V401</f>
        <v>0</v>
      </c>
      <c r="U401" s="456">
        <v>800</v>
      </c>
      <c r="V401" s="454">
        <v>800</v>
      </c>
      <c r="W401" s="220">
        <v>800</v>
      </c>
      <c r="X401" s="220">
        <v>800</v>
      </c>
      <c r="Y401" s="177"/>
      <c r="Z401" s="177"/>
      <c r="AA401" s="177"/>
      <c r="AB401" s="177"/>
      <c r="AC401" s="177"/>
      <c r="AD401" s="177"/>
      <c r="AE401" s="177"/>
      <c r="AF401" s="177"/>
      <c r="AG401" s="177"/>
      <c r="AH401" s="177"/>
      <c r="AI401" s="198"/>
      <c r="AJ401" s="173">
        <f t="shared" si="108"/>
        <v>0</v>
      </c>
    </row>
    <row r="402" spans="1:36" ht="66" x14ac:dyDescent="0.25">
      <c r="A402" s="221">
        <v>2</v>
      </c>
      <c r="B402" s="183" t="s">
        <v>1113</v>
      </c>
      <c r="C402" s="188" t="s">
        <v>1112</v>
      </c>
      <c r="D402" s="182" t="s">
        <v>1111</v>
      </c>
      <c r="E402" s="181" t="s">
        <v>97</v>
      </c>
      <c r="F402" s="180" t="s">
        <v>1110</v>
      </c>
      <c r="G402" s="196">
        <v>7116</v>
      </c>
      <c r="H402" s="196">
        <v>7116</v>
      </c>
      <c r="I402" s="212"/>
      <c r="J402" s="177"/>
      <c r="K402" s="212"/>
      <c r="L402" s="177"/>
      <c r="M402" s="212">
        <f>N402</f>
        <v>6300</v>
      </c>
      <c r="N402" s="179">
        <v>6300</v>
      </c>
      <c r="O402" s="178">
        <f>P402</f>
        <v>6085</v>
      </c>
      <c r="P402" s="220">
        <v>6085</v>
      </c>
      <c r="Q402" s="177">
        <f t="shared" si="151"/>
        <v>-215</v>
      </c>
      <c r="R402" s="177">
        <f t="shared" si="151"/>
        <v>-215</v>
      </c>
      <c r="S402" s="176"/>
      <c r="T402" s="176">
        <f t="shared" ref="T402:T409" si="152">N402-V402</f>
        <v>215</v>
      </c>
      <c r="U402" s="456">
        <f>V402</f>
        <v>6085</v>
      </c>
      <c r="V402" s="454">
        <v>6085</v>
      </c>
      <c r="W402" s="220">
        <v>5000</v>
      </c>
      <c r="X402" s="220">
        <v>5000</v>
      </c>
      <c r="Y402" s="177">
        <f>Z402</f>
        <v>1085</v>
      </c>
      <c r="Z402" s="177">
        <v>1085</v>
      </c>
      <c r="AA402" s="177"/>
      <c r="AB402" s="177"/>
      <c r="AC402" s="177"/>
      <c r="AD402" s="177"/>
      <c r="AE402" s="177"/>
      <c r="AF402" s="177"/>
      <c r="AG402" s="177"/>
      <c r="AH402" s="177"/>
      <c r="AI402" s="185" t="s">
        <v>404</v>
      </c>
      <c r="AJ402" s="173">
        <f t="shared" ref="AJ402:AJ464" si="153">IF(N402-V402=0,0,1)</f>
        <v>1</v>
      </c>
    </row>
    <row r="403" spans="1:36" ht="49.5" x14ac:dyDescent="0.25">
      <c r="A403" s="221">
        <v>3</v>
      </c>
      <c r="B403" s="183" t="s">
        <v>1109</v>
      </c>
      <c r="C403" s="188" t="s">
        <v>1108</v>
      </c>
      <c r="D403" s="238" t="s">
        <v>1107</v>
      </c>
      <c r="E403" s="181" t="s">
        <v>97</v>
      </c>
      <c r="F403" s="180" t="s">
        <v>1106</v>
      </c>
      <c r="G403" s="196">
        <v>23231</v>
      </c>
      <c r="H403" s="196">
        <v>23231</v>
      </c>
      <c r="I403" s="212"/>
      <c r="J403" s="177"/>
      <c r="K403" s="212"/>
      <c r="L403" s="177"/>
      <c r="M403" s="212">
        <f>N403</f>
        <v>21000</v>
      </c>
      <c r="N403" s="179">
        <v>21000</v>
      </c>
      <c r="O403" s="178">
        <v>21000</v>
      </c>
      <c r="P403" s="220">
        <v>21000</v>
      </c>
      <c r="Q403" s="177">
        <f t="shared" si="151"/>
        <v>0</v>
      </c>
      <c r="R403" s="177">
        <f t="shared" si="151"/>
        <v>0</v>
      </c>
      <c r="S403" s="176"/>
      <c r="T403" s="176">
        <f t="shared" si="152"/>
        <v>0</v>
      </c>
      <c r="U403" s="456">
        <v>21000</v>
      </c>
      <c r="V403" s="454">
        <v>21000</v>
      </c>
      <c r="W403" s="220">
        <v>6000</v>
      </c>
      <c r="X403" s="220">
        <v>6000</v>
      </c>
      <c r="Y403" s="177">
        <f>Z403</f>
        <v>10400</v>
      </c>
      <c r="Z403" s="177">
        <v>10400</v>
      </c>
      <c r="AA403" s="177"/>
      <c r="AB403" s="177"/>
      <c r="AC403" s="177"/>
      <c r="AD403" s="177"/>
      <c r="AE403" s="177"/>
      <c r="AF403" s="177"/>
      <c r="AG403" s="177"/>
      <c r="AH403" s="177"/>
      <c r="AI403" s="198"/>
      <c r="AJ403" s="173">
        <f t="shared" si="153"/>
        <v>0</v>
      </c>
    </row>
    <row r="404" spans="1:36" ht="49.5" x14ac:dyDescent="0.25">
      <c r="A404" s="221">
        <v>4</v>
      </c>
      <c r="B404" s="183" t="s">
        <v>1105</v>
      </c>
      <c r="C404" s="188"/>
      <c r="D404" s="182" t="s">
        <v>1104</v>
      </c>
      <c r="E404" s="181" t="s">
        <v>97</v>
      </c>
      <c r="F404" s="180" t="s">
        <v>1103</v>
      </c>
      <c r="G404" s="196">
        <f>H404</f>
        <v>9802</v>
      </c>
      <c r="H404" s="196">
        <v>9802</v>
      </c>
      <c r="I404" s="212"/>
      <c r="J404" s="177"/>
      <c r="K404" s="212"/>
      <c r="L404" s="177"/>
      <c r="M404" s="212">
        <f>N404</f>
        <v>12400</v>
      </c>
      <c r="N404" s="179">
        <v>12400</v>
      </c>
      <c r="O404" s="178">
        <f>P404</f>
        <v>9802</v>
      </c>
      <c r="P404" s="220">
        <f>H404</f>
        <v>9802</v>
      </c>
      <c r="Q404" s="177">
        <f t="shared" si="151"/>
        <v>-2598</v>
      </c>
      <c r="R404" s="177">
        <f t="shared" si="151"/>
        <v>-2598</v>
      </c>
      <c r="S404" s="176"/>
      <c r="T404" s="176">
        <f t="shared" si="152"/>
        <v>2598</v>
      </c>
      <c r="U404" s="456">
        <f>V404</f>
        <v>9802</v>
      </c>
      <c r="V404" s="454">
        <v>9802</v>
      </c>
      <c r="W404" s="220">
        <v>7500</v>
      </c>
      <c r="X404" s="220">
        <v>7500</v>
      </c>
      <c r="Y404" s="177">
        <f>Z404</f>
        <v>1900</v>
      </c>
      <c r="Z404" s="177">
        <v>1900</v>
      </c>
      <c r="AA404" s="177"/>
      <c r="AB404" s="177"/>
      <c r="AC404" s="177"/>
      <c r="AD404" s="177"/>
      <c r="AE404" s="177"/>
      <c r="AF404" s="177"/>
      <c r="AG404" s="177"/>
      <c r="AH404" s="177"/>
      <c r="AI404" s="185" t="s">
        <v>404</v>
      </c>
      <c r="AJ404" s="173">
        <f t="shared" si="153"/>
        <v>1</v>
      </c>
    </row>
    <row r="405" spans="1:36" ht="82.5" x14ac:dyDescent="0.25">
      <c r="A405" s="221">
        <v>5</v>
      </c>
      <c r="B405" s="237" t="s">
        <v>1102</v>
      </c>
      <c r="C405" s="188"/>
      <c r="D405" s="182" t="s">
        <v>1101</v>
      </c>
      <c r="E405" s="197" t="s">
        <v>461</v>
      </c>
      <c r="F405" s="180" t="s">
        <v>1100</v>
      </c>
      <c r="G405" s="179">
        <f>H405</f>
        <v>7358</v>
      </c>
      <c r="H405" s="179">
        <v>7358</v>
      </c>
      <c r="I405" s="212"/>
      <c r="J405" s="177"/>
      <c r="K405" s="212"/>
      <c r="L405" s="177"/>
      <c r="M405" s="179">
        <v>9700</v>
      </c>
      <c r="N405" s="179">
        <v>9700</v>
      </c>
      <c r="O405" s="178">
        <f>P405</f>
        <v>6880</v>
      </c>
      <c r="P405" s="178">
        <v>6880</v>
      </c>
      <c r="Q405" s="177">
        <f t="shared" si="151"/>
        <v>-2820</v>
      </c>
      <c r="R405" s="177">
        <f t="shared" si="151"/>
        <v>-2820</v>
      </c>
      <c r="S405" s="176"/>
      <c r="T405" s="176">
        <f t="shared" si="152"/>
        <v>2820</v>
      </c>
      <c r="U405" s="456">
        <f>V405</f>
        <v>6880</v>
      </c>
      <c r="V405" s="456">
        <v>6880</v>
      </c>
      <c r="W405" s="178"/>
      <c r="X405" s="178"/>
      <c r="Y405" s="177"/>
      <c r="Z405" s="177"/>
      <c r="AA405" s="177"/>
      <c r="AB405" s="177"/>
      <c r="AC405" s="177"/>
      <c r="AD405" s="177"/>
      <c r="AE405" s="177"/>
      <c r="AF405" s="177"/>
      <c r="AG405" s="177"/>
      <c r="AH405" s="177"/>
      <c r="AI405" s="198"/>
      <c r="AJ405" s="173">
        <f t="shared" si="153"/>
        <v>1</v>
      </c>
    </row>
    <row r="406" spans="1:36" ht="66" x14ac:dyDescent="0.25">
      <c r="A406" s="221">
        <v>6</v>
      </c>
      <c r="B406" s="237" t="s">
        <v>1099</v>
      </c>
      <c r="C406" s="188"/>
      <c r="D406" s="182" t="s">
        <v>1098</v>
      </c>
      <c r="E406" s="197" t="s">
        <v>461</v>
      </c>
      <c r="F406" s="180" t="s">
        <v>1097</v>
      </c>
      <c r="G406" s="179">
        <v>9377</v>
      </c>
      <c r="H406" s="179">
        <v>9377</v>
      </c>
      <c r="I406" s="212"/>
      <c r="J406" s="177"/>
      <c r="K406" s="212"/>
      <c r="L406" s="177"/>
      <c r="M406" s="179">
        <f>N406</f>
        <v>8000</v>
      </c>
      <c r="N406" s="179">
        <v>8000</v>
      </c>
      <c r="O406" s="178">
        <f>P406</f>
        <v>6500</v>
      </c>
      <c r="P406" s="178">
        <v>6500</v>
      </c>
      <c r="Q406" s="177">
        <f>O406-M406</f>
        <v>-1500</v>
      </c>
      <c r="R406" s="177" t="s">
        <v>1096</v>
      </c>
      <c r="S406" s="176"/>
      <c r="T406" s="176">
        <f t="shared" si="152"/>
        <v>1500</v>
      </c>
      <c r="U406" s="456">
        <f>V406</f>
        <v>6500</v>
      </c>
      <c r="V406" s="456">
        <v>6500</v>
      </c>
      <c r="W406" s="177"/>
      <c r="X406" s="177"/>
      <c r="Y406" s="177"/>
      <c r="Z406" s="177"/>
      <c r="AA406" s="177"/>
      <c r="AB406" s="177"/>
      <c r="AC406" s="177"/>
      <c r="AD406" s="177"/>
      <c r="AE406" s="177"/>
      <c r="AF406" s="177"/>
      <c r="AG406" s="177"/>
      <c r="AH406" s="177"/>
      <c r="AI406" s="198"/>
      <c r="AJ406" s="173">
        <f t="shared" si="153"/>
        <v>1</v>
      </c>
    </row>
    <row r="407" spans="1:36" ht="33" x14ac:dyDescent="0.25">
      <c r="A407" s="221">
        <v>7</v>
      </c>
      <c r="B407" s="237" t="s">
        <v>1095</v>
      </c>
      <c r="C407" s="188"/>
      <c r="D407" s="182" t="s">
        <v>1094</v>
      </c>
      <c r="E407" s="197" t="s">
        <v>290</v>
      </c>
      <c r="F407" s="197"/>
      <c r="G407" s="236">
        <v>12760</v>
      </c>
      <c r="H407" s="236">
        <v>12760</v>
      </c>
      <c r="I407" s="212"/>
      <c r="J407" s="177"/>
      <c r="K407" s="212"/>
      <c r="L407" s="177"/>
      <c r="M407" s="179">
        <v>9200</v>
      </c>
      <c r="N407" s="179">
        <v>9200</v>
      </c>
      <c r="O407" s="178"/>
      <c r="P407" s="178"/>
      <c r="Q407" s="177">
        <f>O407-M407</f>
        <v>-9200</v>
      </c>
      <c r="R407" s="177">
        <f>P407-N407</f>
        <v>-9200</v>
      </c>
      <c r="S407" s="176"/>
      <c r="T407" s="176">
        <f t="shared" si="152"/>
        <v>9200</v>
      </c>
      <c r="U407" s="456"/>
      <c r="V407" s="456"/>
      <c r="W407" s="177"/>
      <c r="X407" s="177"/>
      <c r="Y407" s="177"/>
      <c r="Z407" s="177"/>
      <c r="AA407" s="177"/>
      <c r="AB407" s="177"/>
      <c r="AC407" s="177"/>
      <c r="AD407" s="177"/>
      <c r="AE407" s="177"/>
      <c r="AF407" s="177"/>
      <c r="AG407" s="177"/>
      <c r="AH407" s="177"/>
      <c r="AI407" s="185" t="s">
        <v>284</v>
      </c>
      <c r="AJ407" s="173">
        <f t="shared" si="153"/>
        <v>1</v>
      </c>
    </row>
    <row r="408" spans="1:36" ht="33" x14ac:dyDescent="0.25">
      <c r="A408" s="221">
        <v>8</v>
      </c>
      <c r="B408" s="237" t="s">
        <v>1093</v>
      </c>
      <c r="C408" s="188"/>
      <c r="D408" s="182" t="s">
        <v>1092</v>
      </c>
      <c r="E408" s="197" t="s">
        <v>290</v>
      </c>
      <c r="F408" s="197"/>
      <c r="G408" s="236">
        <v>10000</v>
      </c>
      <c r="H408" s="236">
        <v>10000</v>
      </c>
      <c r="I408" s="212"/>
      <c r="J408" s="177"/>
      <c r="K408" s="212"/>
      <c r="L408" s="177"/>
      <c r="M408" s="179">
        <v>9000</v>
      </c>
      <c r="N408" s="179">
        <v>9000</v>
      </c>
      <c r="O408" s="178"/>
      <c r="P408" s="178"/>
      <c r="Q408" s="177">
        <f>O408-M408</f>
        <v>-9000</v>
      </c>
      <c r="R408" s="177">
        <f>P408-N408</f>
        <v>-9000</v>
      </c>
      <c r="S408" s="176"/>
      <c r="T408" s="176">
        <f t="shared" si="152"/>
        <v>9000</v>
      </c>
      <c r="U408" s="456"/>
      <c r="V408" s="456"/>
      <c r="W408" s="177"/>
      <c r="X408" s="177"/>
      <c r="Y408" s="177"/>
      <c r="Z408" s="177"/>
      <c r="AA408" s="177"/>
      <c r="AB408" s="177"/>
      <c r="AC408" s="177"/>
      <c r="AD408" s="177"/>
      <c r="AE408" s="177"/>
      <c r="AF408" s="177"/>
      <c r="AG408" s="177"/>
      <c r="AH408" s="177"/>
      <c r="AI408" s="185" t="s">
        <v>284</v>
      </c>
      <c r="AJ408" s="173">
        <f t="shared" si="153"/>
        <v>1</v>
      </c>
    </row>
    <row r="409" spans="1:36" ht="33" x14ac:dyDescent="0.25">
      <c r="A409" s="221">
        <v>9</v>
      </c>
      <c r="B409" s="237" t="s">
        <v>1091</v>
      </c>
      <c r="C409" s="188"/>
      <c r="D409" s="182" t="s">
        <v>1090</v>
      </c>
      <c r="E409" s="197" t="s">
        <v>290</v>
      </c>
      <c r="F409" s="197"/>
      <c r="G409" s="236">
        <v>4000</v>
      </c>
      <c r="H409" s="236">
        <v>4000</v>
      </c>
      <c r="I409" s="212"/>
      <c r="J409" s="177"/>
      <c r="K409" s="212"/>
      <c r="L409" s="177"/>
      <c r="M409" s="179">
        <v>3600</v>
      </c>
      <c r="N409" s="179">
        <v>3600</v>
      </c>
      <c r="O409" s="178"/>
      <c r="P409" s="178"/>
      <c r="Q409" s="177">
        <f>O409-M409</f>
        <v>-3600</v>
      </c>
      <c r="R409" s="177">
        <f>P409-N409</f>
        <v>-3600</v>
      </c>
      <c r="S409" s="176"/>
      <c r="T409" s="176">
        <f t="shared" si="152"/>
        <v>3600</v>
      </c>
      <c r="U409" s="456"/>
      <c r="V409" s="456"/>
      <c r="W409" s="177"/>
      <c r="X409" s="177"/>
      <c r="Y409" s="177"/>
      <c r="Z409" s="177"/>
      <c r="AA409" s="177"/>
      <c r="AB409" s="177"/>
      <c r="AC409" s="177"/>
      <c r="AD409" s="177"/>
      <c r="AE409" s="177"/>
      <c r="AF409" s="177"/>
      <c r="AG409" s="177"/>
      <c r="AH409" s="177"/>
      <c r="AI409" s="185" t="s">
        <v>284</v>
      </c>
      <c r="AJ409" s="173">
        <f t="shared" si="153"/>
        <v>1</v>
      </c>
    </row>
    <row r="410" spans="1:36" ht="33" x14ac:dyDescent="0.25">
      <c r="A410" s="221">
        <v>10</v>
      </c>
      <c r="B410" s="237" t="s">
        <v>1089</v>
      </c>
      <c r="C410" s="188" t="s">
        <v>1088</v>
      </c>
      <c r="D410" s="182" t="s">
        <v>1087</v>
      </c>
      <c r="E410" s="197" t="s">
        <v>116</v>
      </c>
      <c r="F410" s="197"/>
      <c r="G410" s="236">
        <f>H410</f>
        <v>33000</v>
      </c>
      <c r="H410" s="236">
        <v>33000</v>
      </c>
      <c r="I410" s="212"/>
      <c r="J410" s="177"/>
      <c r="K410" s="212"/>
      <c r="L410" s="177"/>
      <c r="M410" s="179"/>
      <c r="N410" s="179"/>
      <c r="O410" s="178">
        <f>P410</f>
        <v>28933</v>
      </c>
      <c r="P410" s="178">
        <v>28933</v>
      </c>
      <c r="Q410" s="177">
        <f>O410-M410</f>
        <v>28933</v>
      </c>
      <c r="R410" s="177">
        <f>P410-N410</f>
        <v>28933</v>
      </c>
      <c r="S410" s="176">
        <v>28933</v>
      </c>
      <c r="T410" s="176"/>
      <c r="U410" s="456">
        <f>V410</f>
        <v>28933</v>
      </c>
      <c r="V410" s="456">
        <v>28933</v>
      </c>
      <c r="W410" s="177"/>
      <c r="X410" s="177"/>
      <c r="Y410" s="177"/>
      <c r="Z410" s="177"/>
      <c r="AA410" s="177"/>
      <c r="AB410" s="177"/>
      <c r="AC410" s="177"/>
      <c r="AD410" s="177"/>
      <c r="AE410" s="177"/>
      <c r="AF410" s="177"/>
      <c r="AG410" s="177"/>
      <c r="AH410" s="177"/>
      <c r="AI410" s="185" t="s">
        <v>84</v>
      </c>
      <c r="AJ410" s="173">
        <f t="shared" si="153"/>
        <v>1</v>
      </c>
    </row>
    <row r="411" spans="1:36" s="203" customFormat="1" ht="16.5" x14ac:dyDescent="0.25">
      <c r="A411" s="210" t="s">
        <v>554</v>
      </c>
      <c r="B411" s="209" t="s">
        <v>1086</v>
      </c>
      <c r="C411" s="208"/>
      <c r="D411" s="207"/>
      <c r="E411" s="207"/>
      <c r="F411" s="207"/>
      <c r="G411" s="769">
        <f t="shared" ref="G411:AH411" si="154">G412+G419</f>
        <v>194908</v>
      </c>
      <c r="H411" s="769">
        <f t="shared" si="154"/>
        <v>194908</v>
      </c>
      <c r="I411" s="769">
        <f t="shared" si="154"/>
        <v>18500</v>
      </c>
      <c r="J411" s="769">
        <f t="shared" si="154"/>
        <v>18500</v>
      </c>
      <c r="K411" s="769">
        <f t="shared" si="154"/>
        <v>18500</v>
      </c>
      <c r="L411" s="769">
        <f t="shared" si="154"/>
        <v>18500</v>
      </c>
      <c r="M411" s="769">
        <f t="shared" si="154"/>
        <v>80000</v>
      </c>
      <c r="N411" s="769">
        <f t="shared" si="154"/>
        <v>80000</v>
      </c>
      <c r="O411" s="769">
        <f t="shared" si="154"/>
        <v>80000</v>
      </c>
      <c r="P411" s="769">
        <f t="shared" si="154"/>
        <v>80000</v>
      </c>
      <c r="Q411" s="769">
        <f t="shared" si="154"/>
        <v>0</v>
      </c>
      <c r="R411" s="769">
        <f t="shared" si="154"/>
        <v>0</v>
      </c>
      <c r="S411" s="769">
        <f t="shared" si="154"/>
        <v>3615</v>
      </c>
      <c r="T411" s="769">
        <f t="shared" si="154"/>
        <v>3615</v>
      </c>
      <c r="U411" s="465">
        <f t="shared" si="154"/>
        <v>80000</v>
      </c>
      <c r="V411" s="465">
        <f t="shared" si="154"/>
        <v>80000</v>
      </c>
      <c r="W411" s="465">
        <f t="shared" si="154"/>
        <v>40272</v>
      </c>
      <c r="X411" s="465">
        <f t="shared" si="154"/>
        <v>40272</v>
      </c>
      <c r="Y411" s="465">
        <f t="shared" si="154"/>
        <v>16000</v>
      </c>
      <c r="Z411" s="465">
        <f t="shared" si="154"/>
        <v>16000</v>
      </c>
      <c r="AA411" s="205">
        <f t="shared" si="154"/>
        <v>17010</v>
      </c>
      <c r="AB411" s="205">
        <f t="shared" si="154"/>
        <v>17010</v>
      </c>
      <c r="AC411" s="205">
        <f t="shared" si="154"/>
        <v>17010</v>
      </c>
      <c r="AD411" s="205">
        <f t="shared" si="154"/>
        <v>17010</v>
      </c>
      <c r="AE411" s="205">
        <f t="shared" si="154"/>
        <v>17010</v>
      </c>
      <c r="AF411" s="205">
        <f t="shared" si="154"/>
        <v>17010</v>
      </c>
      <c r="AG411" s="205">
        <f t="shared" si="154"/>
        <v>17010</v>
      </c>
      <c r="AH411" s="205">
        <f t="shared" si="154"/>
        <v>17010</v>
      </c>
      <c r="AI411" s="235"/>
      <c r="AJ411" s="173">
        <f t="shared" si="153"/>
        <v>0</v>
      </c>
    </row>
    <row r="412" spans="1:36" ht="51.75" x14ac:dyDescent="0.25">
      <c r="A412" s="195" t="s">
        <v>45</v>
      </c>
      <c r="B412" s="193" t="s">
        <v>46</v>
      </c>
      <c r="C412" s="192"/>
      <c r="D412" s="192"/>
      <c r="E412" s="192"/>
      <c r="F412" s="192"/>
      <c r="G412" s="191">
        <f t="shared" ref="G412:Z412" si="155">G413</f>
        <v>51169</v>
      </c>
      <c r="H412" s="191">
        <f t="shared" si="155"/>
        <v>51169</v>
      </c>
      <c r="I412" s="191">
        <f t="shared" si="155"/>
        <v>18500</v>
      </c>
      <c r="J412" s="191">
        <f t="shared" si="155"/>
        <v>18500</v>
      </c>
      <c r="K412" s="191">
        <f t="shared" si="155"/>
        <v>18500</v>
      </c>
      <c r="L412" s="191">
        <f t="shared" si="155"/>
        <v>18500</v>
      </c>
      <c r="M412" s="191">
        <f t="shared" si="155"/>
        <v>17010</v>
      </c>
      <c r="N412" s="191">
        <f t="shared" si="155"/>
        <v>17010</v>
      </c>
      <c r="O412" s="191">
        <f t="shared" si="155"/>
        <v>16910</v>
      </c>
      <c r="P412" s="191">
        <f t="shared" si="155"/>
        <v>16910</v>
      </c>
      <c r="Q412" s="191">
        <f t="shared" si="155"/>
        <v>-100</v>
      </c>
      <c r="R412" s="191">
        <f t="shared" si="155"/>
        <v>-100</v>
      </c>
      <c r="S412" s="191">
        <f t="shared" si="155"/>
        <v>0</v>
      </c>
      <c r="T412" s="191">
        <f t="shared" si="155"/>
        <v>0</v>
      </c>
      <c r="U412" s="191">
        <f t="shared" si="155"/>
        <v>16910</v>
      </c>
      <c r="V412" s="191">
        <f t="shared" si="155"/>
        <v>16910</v>
      </c>
      <c r="W412" s="191">
        <f t="shared" si="155"/>
        <v>13910</v>
      </c>
      <c r="X412" s="191">
        <f t="shared" si="155"/>
        <v>13910</v>
      </c>
      <c r="Y412" s="191">
        <f t="shared" si="155"/>
        <v>3230</v>
      </c>
      <c r="Z412" s="191">
        <f t="shared" si="155"/>
        <v>3230</v>
      </c>
      <c r="AA412" s="190">
        <v>17010</v>
      </c>
      <c r="AB412" s="190">
        <v>17010</v>
      </c>
      <c r="AC412" s="190">
        <v>17010</v>
      </c>
      <c r="AD412" s="190">
        <v>17010</v>
      </c>
      <c r="AE412" s="190">
        <v>17010</v>
      </c>
      <c r="AF412" s="190">
        <v>17010</v>
      </c>
      <c r="AG412" s="190">
        <v>17010</v>
      </c>
      <c r="AH412" s="190">
        <v>17010</v>
      </c>
      <c r="AI412" s="198"/>
      <c r="AJ412" s="173">
        <f t="shared" si="153"/>
        <v>1</v>
      </c>
    </row>
    <row r="413" spans="1:36" ht="34.5" x14ac:dyDescent="0.25">
      <c r="A413" s="194" t="s">
        <v>47</v>
      </c>
      <c r="B413" s="193" t="s">
        <v>48</v>
      </c>
      <c r="C413" s="192"/>
      <c r="D413" s="192"/>
      <c r="E413" s="192"/>
      <c r="F413" s="192"/>
      <c r="G413" s="191">
        <f>G416+G417+G418</f>
        <v>51169</v>
      </c>
      <c r="H413" s="191">
        <f t="shared" ref="H413:Z413" si="156">H416+H417+H418</f>
        <v>51169</v>
      </c>
      <c r="I413" s="191">
        <f t="shared" si="156"/>
        <v>18500</v>
      </c>
      <c r="J413" s="191">
        <f t="shared" si="156"/>
        <v>18500</v>
      </c>
      <c r="K413" s="191">
        <f t="shared" si="156"/>
        <v>18500</v>
      </c>
      <c r="L413" s="191">
        <f t="shared" si="156"/>
        <v>18500</v>
      </c>
      <c r="M413" s="191">
        <f t="shared" si="156"/>
        <v>17010</v>
      </c>
      <c r="N413" s="191">
        <f t="shared" si="156"/>
        <v>17010</v>
      </c>
      <c r="O413" s="191">
        <f t="shared" si="156"/>
        <v>16910</v>
      </c>
      <c r="P413" s="191">
        <f t="shared" si="156"/>
        <v>16910</v>
      </c>
      <c r="Q413" s="191">
        <f t="shared" si="156"/>
        <v>-100</v>
      </c>
      <c r="R413" s="191">
        <f t="shared" si="156"/>
        <v>-100</v>
      </c>
      <c r="S413" s="191">
        <f t="shared" si="156"/>
        <v>0</v>
      </c>
      <c r="T413" s="191">
        <f t="shared" si="156"/>
        <v>0</v>
      </c>
      <c r="U413" s="191">
        <f t="shared" si="156"/>
        <v>16910</v>
      </c>
      <c r="V413" s="191">
        <f t="shared" si="156"/>
        <v>16910</v>
      </c>
      <c r="W413" s="191">
        <f t="shared" si="156"/>
        <v>13910</v>
      </c>
      <c r="X413" s="191">
        <f t="shared" si="156"/>
        <v>13910</v>
      </c>
      <c r="Y413" s="191">
        <f t="shared" si="156"/>
        <v>3230</v>
      </c>
      <c r="Z413" s="191">
        <f t="shared" si="156"/>
        <v>3230</v>
      </c>
      <c r="AA413" s="190">
        <f t="shared" ref="AA413:AH413" si="157">SUM(AA416:AA418)</f>
        <v>0</v>
      </c>
      <c r="AB413" s="190">
        <f t="shared" si="157"/>
        <v>0</v>
      </c>
      <c r="AC413" s="190">
        <f t="shared" si="157"/>
        <v>0</v>
      </c>
      <c r="AD413" s="190">
        <f t="shared" si="157"/>
        <v>0</v>
      </c>
      <c r="AE413" s="190">
        <f t="shared" si="157"/>
        <v>0</v>
      </c>
      <c r="AF413" s="190">
        <f t="shared" si="157"/>
        <v>0</v>
      </c>
      <c r="AG413" s="190">
        <f t="shared" si="157"/>
        <v>0</v>
      </c>
      <c r="AH413" s="190">
        <f t="shared" si="157"/>
        <v>0</v>
      </c>
      <c r="AI413" s="198"/>
      <c r="AJ413" s="173">
        <f t="shared" si="153"/>
        <v>1</v>
      </c>
    </row>
    <row r="414" spans="1:36" ht="17.25" x14ac:dyDescent="0.25">
      <c r="A414" s="194"/>
      <c r="B414" s="193" t="s">
        <v>49</v>
      </c>
      <c r="C414" s="202"/>
      <c r="D414" s="202"/>
      <c r="E414" s="202"/>
      <c r="F414" s="202"/>
      <c r="G414" s="200"/>
      <c r="H414" s="200"/>
      <c r="I414" s="200"/>
      <c r="J414" s="200"/>
      <c r="K414" s="200"/>
      <c r="L414" s="200"/>
      <c r="M414" s="200"/>
      <c r="N414" s="200"/>
      <c r="O414" s="201"/>
      <c r="P414" s="201"/>
      <c r="Q414" s="177">
        <f t="shared" ref="Q414:R418" si="158">O414-M414</f>
        <v>0</v>
      </c>
      <c r="R414" s="177">
        <f t="shared" si="158"/>
        <v>0</v>
      </c>
      <c r="S414" s="176">
        <f>IF(R414&gt;0,R414,0)</f>
        <v>0</v>
      </c>
      <c r="T414" s="176">
        <f>IF(R414&lt;0,-R414,0)</f>
        <v>0</v>
      </c>
      <c r="U414" s="475"/>
      <c r="V414" s="475"/>
      <c r="W414" s="200"/>
      <c r="X414" s="200"/>
      <c r="Y414" s="200"/>
      <c r="Z414" s="200"/>
      <c r="AA414" s="200"/>
      <c r="AB414" s="200"/>
      <c r="AC414" s="200"/>
      <c r="AD414" s="200"/>
      <c r="AE414" s="200"/>
      <c r="AF414" s="200"/>
      <c r="AG414" s="200"/>
      <c r="AH414" s="200"/>
      <c r="AI414" s="198"/>
      <c r="AJ414" s="173">
        <f t="shared" si="153"/>
        <v>0</v>
      </c>
    </row>
    <row r="415" spans="1:36" ht="51.75" x14ac:dyDescent="0.25">
      <c r="A415" s="194"/>
      <c r="B415" s="199" t="s">
        <v>50</v>
      </c>
      <c r="C415" s="192"/>
      <c r="D415" s="192"/>
      <c r="E415" s="192"/>
      <c r="F415" s="192"/>
      <c r="G415" s="191"/>
      <c r="H415" s="191"/>
      <c r="I415" s="191"/>
      <c r="J415" s="191"/>
      <c r="K415" s="191"/>
      <c r="L415" s="191"/>
      <c r="M415" s="191"/>
      <c r="N415" s="191"/>
      <c r="O415" s="190"/>
      <c r="P415" s="190"/>
      <c r="Q415" s="177">
        <f t="shared" si="158"/>
        <v>0</v>
      </c>
      <c r="R415" s="177">
        <f t="shared" si="158"/>
        <v>0</v>
      </c>
      <c r="S415" s="176">
        <f>IF(R415&gt;0,R415,0)</f>
        <v>0</v>
      </c>
      <c r="T415" s="176">
        <f>IF(R415&lt;0,-R415,0)</f>
        <v>0</v>
      </c>
      <c r="U415" s="474"/>
      <c r="V415" s="474"/>
      <c r="W415" s="191"/>
      <c r="X415" s="191"/>
      <c r="Y415" s="191"/>
      <c r="Z415" s="191"/>
      <c r="AA415" s="191"/>
      <c r="AB415" s="191"/>
      <c r="AC415" s="191"/>
      <c r="AD415" s="191"/>
      <c r="AE415" s="191"/>
      <c r="AF415" s="191"/>
      <c r="AG415" s="191"/>
      <c r="AH415" s="191"/>
      <c r="AI415" s="198"/>
      <c r="AJ415" s="173">
        <f t="shared" si="153"/>
        <v>0</v>
      </c>
    </row>
    <row r="416" spans="1:36" ht="33" x14ac:dyDescent="0.25">
      <c r="A416" s="221">
        <v>1</v>
      </c>
      <c r="B416" s="183" t="s">
        <v>1008</v>
      </c>
      <c r="C416" s="188"/>
      <c r="D416" s="197"/>
      <c r="E416" s="197"/>
      <c r="F416" s="197"/>
      <c r="G416" s="179"/>
      <c r="H416" s="179"/>
      <c r="I416" s="212"/>
      <c r="J416" s="177"/>
      <c r="K416" s="212"/>
      <c r="L416" s="177"/>
      <c r="M416" s="179">
        <v>810</v>
      </c>
      <c r="N416" s="179">
        <v>810</v>
      </c>
      <c r="O416" s="220">
        <v>810</v>
      </c>
      <c r="P416" s="220">
        <v>810</v>
      </c>
      <c r="Q416" s="177">
        <f t="shared" si="158"/>
        <v>0</v>
      </c>
      <c r="R416" s="177">
        <f t="shared" si="158"/>
        <v>0</v>
      </c>
      <c r="S416" s="176"/>
      <c r="T416" s="176"/>
      <c r="U416" s="454">
        <v>810</v>
      </c>
      <c r="V416" s="454">
        <v>810</v>
      </c>
      <c r="W416" s="177">
        <f>X416</f>
        <v>810</v>
      </c>
      <c r="X416" s="177">
        <v>810</v>
      </c>
      <c r="Y416" s="177"/>
      <c r="Z416" s="177"/>
      <c r="AA416" s="177"/>
      <c r="AB416" s="177"/>
      <c r="AC416" s="177"/>
      <c r="AD416" s="177"/>
      <c r="AE416" s="177"/>
      <c r="AF416" s="177"/>
      <c r="AG416" s="177"/>
      <c r="AH416" s="177"/>
      <c r="AI416" s="234"/>
      <c r="AJ416" s="173">
        <f t="shared" si="153"/>
        <v>0</v>
      </c>
    </row>
    <row r="417" spans="1:36" ht="49.5" x14ac:dyDescent="0.25">
      <c r="A417" s="221">
        <v>2</v>
      </c>
      <c r="B417" s="233" t="s">
        <v>1085</v>
      </c>
      <c r="C417" s="188" t="s">
        <v>1066</v>
      </c>
      <c r="D417" s="197"/>
      <c r="E417" s="181" t="s">
        <v>72</v>
      </c>
      <c r="F417" s="180" t="s">
        <v>1084</v>
      </c>
      <c r="G417" s="179">
        <v>20032</v>
      </c>
      <c r="H417" s="179">
        <v>20032</v>
      </c>
      <c r="I417" s="196">
        <v>7500</v>
      </c>
      <c r="J417" s="177">
        <f>I417</f>
        <v>7500</v>
      </c>
      <c r="K417" s="196">
        <v>7500</v>
      </c>
      <c r="L417" s="177">
        <f>K417</f>
        <v>7500</v>
      </c>
      <c r="M417" s="179">
        <v>9200</v>
      </c>
      <c r="N417" s="179">
        <v>9200</v>
      </c>
      <c r="O417" s="178">
        <f>P417</f>
        <v>9100</v>
      </c>
      <c r="P417" s="220">
        <v>9100</v>
      </c>
      <c r="Q417" s="177">
        <f t="shared" si="158"/>
        <v>-100</v>
      </c>
      <c r="R417" s="177">
        <f t="shared" si="158"/>
        <v>-100</v>
      </c>
      <c r="S417" s="176"/>
      <c r="T417" s="176"/>
      <c r="U417" s="456">
        <f>V417</f>
        <v>9100</v>
      </c>
      <c r="V417" s="454">
        <v>9100</v>
      </c>
      <c r="W417" s="177">
        <f>X417</f>
        <v>6100</v>
      </c>
      <c r="X417" s="177">
        <v>6100</v>
      </c>
      <c r="Y417" s="177">
        <f>Z417</f>
        <v>3000</v>
      </c>
      <c r="Z417" s="177">
        <v>3000</v>
      </c>
      <c r="AA417" s="177"/>
      <c r="AB417" s="177"/>
      <c r="AC417" s="177"/>
      <c r="AD417" s="177"/>
      <c r="AE417" s="177"/>
      <c r="AF417" s="177"/>
      <c r="AG417" s="177"/>
      <c r="AH417" s="177"/>
      <c r="AI417" s="234"/>
      <c r="AJ417" s="173">
        <f t="shared" si="153"/>
        <v>1</v>
      </c>
    </row>
    <row r="418" spans="1:36" ht="49.5" x14ac:dyDescent="0.25">
      <c r="A418" s="221">
        <v>3</v>
      </c>
      <c r="B418" s="211" t="s">
        <v>1083</v>
      </c>
      <c r="C418" s="188" t="s">
        <v>1082</v>
      </c>
      <c r="D418" s="197"/>
      <c r="E418" s="181" t="s">
        <v>199</v>
      </c>
      <c r="F418" s="180" t="s">
        <v>1081</v>
      </c>
      <c r="G418" s="179">
        <v>31137</v>
      </c>
      <c r="H418" s="179">
        <v>31137</v>
      </c>
      <c r="I418" s="196">
        <f>10000+1000</f>
        <v>11000</v>
      </c>
      <c r="J418" s="177">
        <f>I418</f>
        <v>11000</v>
      </c>
      <c r="K418" s="196">
        <f>10000+1000</f>
        <v>11000</v>
      </c>
      <c r="L418" s="177">
        <f>K418</f>
        <v>11000</v>
      </c>
      <c r="M418" s="179">
        <v>7000</v>
      </c>
      <c r="N418" s="179">
        <v>7000</v>
      </c>
      <c r="O418" s="178">
        <v>7000</v>
      </c>
      <c r="P418" s="220">
        <v>7000</v>
      </c>
      <c r="Q418" s="177">
        <f t="shared" si="158"/>
        <v>0</v>
      </c>
      <c r="R418" s="177">
        <f t="shared" si="158"/>
        <v>0</v>
      </c>
      <c r="S418" s="176"/>
      <c r="T418" s="176"/>
      <c r="U418" s="456">
        <v>7000</v>
      </c>
      <c r="V418" s="454">
        <v>7000</v>
      </c>
      <c r="W418" s="177">
        <f>X418</f>
        <v>7000</v>
      </c>
      <c r="X418" s="177">
        <v>7000</v>
      </c>
      <c r="Y418" s="177">
        <f>Z418</f>
        <v>230</v>
      </c>
      <c r="Z418" s="177">
        <v>230</v>
      </c>
      <c r="AA418" s="177"/>
      <c r="AB418" s="177"/>
      <c r="AC418" s="177"/>
      <c r="AD418" s="177"/>
      <c r="AE418" s="177"/>
      <c r="AF418" s="177"/>
      <c r="AG418" s="177"/>
      <c r="AH418" s="177"/>
      <c r="AI418" s="198"/>
      <c r="AJ418" s="173">
        <f t="shared" si="153"/>
        <v>0</v>
      </c>
    </row>
    <row r="419" spans="1:36" ht="34.5" x14ac:dyDescent="0.25">
      <c r="A419" s="195" t="s">
        <v>85</v>
      </c>
      <c r="B419" s="193" t="s">
        <v>86</v>
      </c>
      <c r="C419" s="192"/>
      <c r="D419" s="192"/>
      <c r="E419" s="192"/>
      <c r="F419" s="192"/>
      <c r="G419" s="191">
        <f t="shared" ref="G419:AH419" si="159">G420+G428</f>
        <v>143739</v>
      </c>
      <c r="H419" s="191">
        <f>H420+H428</f>
        <v>143739</v>
      </c>
      <c r="I419" s="191">
        <f t="shared" ref="I419:Z419" si="160">I420+I428</f>
        <v>0</v>
      </c>
      <c r="J419" s="191">
        <f t="shared" si="160"/>
        <v>0</v>
      </c>
      <c r="K419" s="191">
        <f t="shared" si="160"/>
        <v>0</v>
      </c>
      <c r="L419" s="191">
        <f t="shared" si="160"/>
        <v>0</v>
      </c>
      <c r="M419" s="191">
        <f t="shared" si="160"/>
        <v>62990</v>
      </c>
      <c r="N419" s="191">
        <f t="shared" si="160"/>
        <v>62990</v>
      </c>
      <c r="O419" s="191">
        <f t="shared" si="160"/>
        <v>63090</v>
      </c>
      <c r="P419" s="191">
        <f t="shared" si="160"/>
        <v>63090</v>
      </c>
      <c r="Q419" s="191">
        <f t="shared" si="160"/>
        <v>100</v>
      </c>
      <c r="R419" s="191">
        <f t="shared" si="160"/>
        <v>100</v>
      </c>
      <c r="S419" s="191">
        <f t="shared" si="160"/>
        <v>3615</v>
      </c>
      <c r="T419" s="191">
        <f t="shared" si="160"/>
        <v>3615</v>
      </c>
      <c r="U419" s="191">
        <f t="shared" si="160"/>
        <v>63090</v>
      </c>
      <c r="V419" s="191">
        <f t="shared" si="160"/>
        <v>63090</v>
      </c>
      <c r="W419" s="191">
        <f t="shared" si="160"/>
        <v>26362</v>
      </c>
      <c r="X419" s="191">
        <f t="shared" si="160"/>
        <v>26362</v>
      </c>
      <c r="Y419" s="191">
        <f t="shared" si="160"/>
        <v>12770</v>
      </c>
      <c r="Z419" s="191">
        <f t="shared" si="160"/>
        <v>12770</v>
      </c>
      <c r="AA419" s="190">
        <f t="shared" si="159"/>
        <v>0</v>
      </c>
      <c r="AB419" s="190">
        <f t="shared" si="159"/>
        <v>0</v>
      </c>
      <c r="AC419" s="190">
        <f t="shared" si="159"/>
        <v>0</v>
      </c>
      <c r="AD419" s="190">
        <f t="shared" si="159"/>
        <v>0</v>
      </c>
      <c r="AE419" s="190">
        <f t="shared" si="159"/>
        <v>0</v>
      </c>
      <c r="AF419" s="190">
        <f t="shared" si="159"/>
        <v>0</v>
      </c>
      <c r="AG419" s="190">
        <f t="shared" si="159"/>
        <v>0</v>
      </c>
      <c r="AH419" s="190">
        <f t="shared" si="159"/>
        <v>0</v>
      </c>
      <c r="AI419" s="189"/>
      <c r="AJ419" s="173">
        <f t="shared" si="153"/>
        <v>1</v>
      </c>
    </row>
    <row r="420" spans="1:36" ht="51.75" x14ac:dyDescent="0.25">
      <c r="A420" s="194" t="s">
        <v>87</v>
      </c>
      <c r="B420" s="193" t="s">
        <v>88</v>
      </c>
      <c r="C420" s="192"/>
      <c r="D420" s="192"/>
      <c r="E420" s="192"/>
      <c r="F420" s="192"/>
      <c r="G420" s="191">
        <f>SUM(G421:G427)</f>
        <v>81472</v>
      </c>
      <c r="H420" s="191">
        <f t="shared" ref="H420:Z420" si="161">SUM(H421:H427)</f>
        <v>81472</v>
      </c>
      <c r="I420" s="191">
        <f t="shared" si="161"/>
        <v>0</v>
      </c>
      <c r="J420" s="191">
        <f t="shared" si="161"/>
        <v>0</v>
      </c>
      <c r="K420" s="191">
        <f t="shared" si="161"/>
        <v>0</v>
      </c>
      <c r="L420" s="191">
        <f t="shared" si="161"/>
        <v>0</v>
      </c>
      <c r="M420" s="191">
        <f t="shared" si="161"/>
        <v>53000</v>
      </c>
      <c r="N420" s="191">
        <f t="shared" si="161"/>
        <v>53000</v>
      </c>
      <c r="O420" s="191">
        <f t="shared" si="161"/>
        <v>57560</v>
      </c>
      <c r="P420" s="191">
        <f t="shared" si="161"/>
        <v>57560</v>
      </c>
      <c r="Q420" s="191">
        <f t="shared" si="161"/>
        <v>4560</v>
      </c>
      <c r="R420" s="191">
        <f t="shared" si="161"/>
        <v>4560</v>
      </c>
      <c r="S420" s="191">
        <f t="shared" si="161"/>
        <v>0</v>
      </c>
      <c r="T420" s="191">
        <f t="shared" si="161"/>
        <v>2285</v>
      </c>
      <c r="U420" s="191">
        <f t="shared" si="161"/>
        <v>55275</v>
      </c>
      <c r="V420" s="191">
        <f t="shared" si="161"/>
        <v>55275</v>
      </c>
      <c r="W420" s="191">
        <f t="shared" si="161"/>
        <v>26362</v>
      </c>
      <c r="X420" s="191">
        <f t="shared" si="161"/>
        <v>26362</v>
      </c>
      <c r="Y420" s="191">
        <f t="shared" si="161"/>
        <v>12770</v>
      </c>
      <c r="Z420" s="191">
        <f t="shared" si="161"/>
        <v>12770</v>
      </c>
      <c r="AA420" s="190">
        <f t="shared" ref="AA420:AH420" si="162">SUM(AA421:AA430)</f>
        <v>0</v>
      </c>
      <c r="AB420" s="190">
        <f t="shared" si="162"/>
        <v>0</v>
      </c>
      <c r="AC420" s="190">
        <f t="shared" si="162"/>
        <v>0</v>
      </c>
      <c r="AD420" s="190">
        <f t="shared" si="162"/>
        <v>0</v>
      </c>
      <c r="AE420" s="190">
        <f t="shared" si="162"/>
        <v>0</v>
      </c>
      <c r="AF420" s="190">
        <f t="shared" si="162"/>
        <v>0</v>
      </c>
      <c r="AG420" s="190">
        <f t="shared" si="162"/>
        <v>0</v>
      </c>
      <c r="AH420" s="190">
        <f t="shared" si="162"/>
        <v>0</v>
      </c>
      <c r="AI420" s="189"/>
      <c r="AJ420" s="173">
        <f t="shared" si="153"/>
        <v>1</v>
      </c>
    </row>
    <row r="421" spans="1:36" ht="66" x14ac:dyDescent="0.25">
      <c r="A421" s="221">
        <v>4</v>
      </c>
      <c r="B421" s="233" t="s">
        <v>1080</v>
      </c>
      <c r="C421" s="188" t="s">
        <v>1079</v>
      </c>
      <c r="D421" s="232" t="s">
        <v>1078</v>
      </c>
      <c r="E421" s="187" t="s">
        <v>1073</v>
      </c>
      <c r="F421" s="180" t="s">
        <v>1077</v>
      </c>
      <c r="G421" s="179">
        <v>12899</v>
      </c>
      <c r="H421" s="179">
        <v>12899</v>
      </c>
      <c r="I421" s="212"/>
      <c r="J421" s="177"/>
      <c r="K421" s="212"/>
      <c r="L421" s="177"/>
      <c r="M421" s="179">
        <v>11500</v>
      </c>
      <c r="N421" s="179">
        <v>11500</v>
      </c>
      <c r="O421" s="178">
        <f>P421</f>
        <v>11230</v>
      </c>
      <c r="P421" s="220">
        <v>11230</v>
      </c>
      <c r="Q421" s="177">
        <f t="shared" ref="Q421:R427" si="163">O421-M421</f>
        <v>-270</v>
      </c>
      <c r="R421" s="177">
        <f t="shared" si="163"/>
        <v>-270</v>
      </c>
      <c r="S421" s="176"/>
      <c r="T421" s="176"/>
      <c r="U421" s="456">
        <f>V421</f>
        <v>11230</v>
      </c>
      <c r="V421" s="454">
        <v>11230</v>
      </c>
      <c r="W421" s="177">
        <f>X421</f>
        <v>11000</v>
      </c>
      <c r="X421" s="177">
        <v>11000</v>
      </c>
      <c r="Y421" s="177"/>
      <c r="Z421" s="177"/>
      <c r="AA421" s="177"/>
      <c r="AB421" s="177"/>
      <c r="AC421" s="177"/>
      <c r="AD421" s="177"/>
      <c r="AE421" s="177"/>
      <c r="AF421" s="177"/>
      <c r="AG421" s="177"/>
      <c r="AH421" s="177"/>
      <c r="AI421" s="198"/>
      <c r="AJ421" s="173">
        <f t="shared" si="153"/>
        <v>1</v>
      </c>
    </row>
    <row r="422" spans="1:36" ht="49.5" x14ac:dyDescent="0.25">
      <c r="A422" s="221">
        <v>5</v>
      </c>
      <c r="B422" s="183" t="s">
        <v>1076</v>
      </c>
      <c r="C422" s="188" t="s">
        <v>1075</v>
      </c>
      <c r="D422" s="180" t="s">
        <v>1074</v>
      </c>
      <c r="E422" s="187" t="s">
        <v>1073</v>
      </c>
      <c r="F422" s="180" t="s">
        <v>1072</v>
      </c>
      <c r="G422" s="179">
        <v>5784</v>
      </c>
      <c r="H422" s="179">
        <v>5784</v>
      </c>
      <c r="I422" s="212"/>
      <c r="J422" s="177"/>
      <c r="K422" s="212"/>
      <c r="L422" s="177"/>
      <c r="M422" s="179">
        <v>5060</v>
      </c>
      <c r="N422" s="179">
        <v>5060</v>
      </c>
      <c r="O422" s="178">
        <v>5060</v>
      </c>
      <c r="P422" s="220">
        <v>5060</v>
      </c>
      <c r="Q422" s="177">
        <f t="shared" si="163"/>
        <v>0</v>
      </c>
      <c r="R422" s="177">
        <f t="shared" si="163"/>
        <v>0</v>
      </c>
      <c r="S422" s="176"/>
      <c r="T422" s="176"/>
      <c r="U422" s="456">
        <v>5060</v>
      </c>
      <c r="V422" s="454">
        <v>5060</v>
      </c>
      <c r="W422" s="177">
        <f>X422</f>
        <v>5062</v>
      </c>
      <c r="X422" s="177">
        <v>5062</v>
      </c>
      <c r="Y422" s="177"/>
      <c r="Z422" s="177"/>
      <c r="AA422" s="177"/>
      <c r="AB422" s="177"/>
      <c r="AC422" s="177"/>
      <c r="AD422" s="177"/>
      <c r="AE422" s="177"/>
      <c r="AF422" s="177"/>
      <c r="AG422" s="177"/>
      <c r="AH422" s="177"/>
      <c r="AI422" s="198"/>
      <c r="AJ422" s="173">
        <f t="shared" si="153"/>
        <v>0</v>
      </c>
    </row>
    <row r="423" spans="1:36" ht="49.5" x14ac:dyDescent="0.25">
      <c r="A423" s="221">
        <v>6</v>
      </c>
      <c r="B423" s="183" t="s">
        <v>1071</v>
      </c>
      <c r="C423" s="180" t="s">
        <v>1070</v>
      </c>
      <c r="D423" s="180" t="s">
        <v>1069</v>
      </c>
      <c r="E423" s="181" t="s">
        <v>97</v>
      </c>
      <c r="F423" s="180" t="s">
        <v>1068</v>
      </c>
      <c r="G423" s="196">
        <v>12349</v>
      </c>
      <c r="H423" s="196">
        <v>12349</v>
      </c>
      <c r="I423" s="177"/>
      <c r="J423" s="177"/>
      <c r="K423" s="177"/>
      <c r="L423" s="177"/>
      <c r="M423" s="179">
        <v>10740</v>
      </c>
      <c r="N423" s="179">
        <v>10740</v>
      </c>
      <c r="O423" s="178">
        <f>P423</f>
        <v>10600</v>
      </c>
      <c r="P423" s="220">
        <v>10600</v>
      </c>
      <c r="Q423" s="177">
        <f t="shared" si="163"/>
        <v>-140</v>
      </c>
      <c r="R423" s="177">
        <f t="shared" si="163"/>
        <v>-140</v>
      </c>
      <c r="S423" s="176"/>
      <c r="T423" s="176"/>
      <c r="U423" s="456">
        <f>V423</f>
        <v>10600</v>
      </c>
      <c r="V423" s="454">
        <v>10600</v>
      </c>
      <c r="W423" s="177">
        <f>X423</f>
        <v>10300</v>
      </c>
      <c r="X423" s="177">
        <v>10300</v>
      </c>
      <c r="Y423" s="177">
        <f>Z423</f>
        <v>300</v>
      </c>
      <c r="Z423" s="177">
        <v>300</v>
      </c>
      <c r="AA423" s="177"/>
      <c r="AB423" s="177"/>
      <c r="AC423" s="177"/>
      <c r="AD423" s="177"/>
      <c r="AE423" s="177"/>
      <c r="AF423" s="177"/>
      <c r="AG423" s="177"/>
      <c r="AH423" s="177"/>
      <c r="AI423" s="198"/>
      <c r="AJ423" s="173">
        <f t="shared" si="153"/>
        <v>1</v>
      </c>
    </row>
    <row r="424" spans="1:36" s="157" customFormat="1" ht="66" x14ac:dyDescent="0.25">
      <c r="A424" s="152">
        <v>7</v>
      </c>
      <c r="B424" s="992" t="s">
        <v>1067</v>
      </c>
      <c r="C424" s="424" t="s">
        <v>1066</v>
      </c>
      <c r="D424" s="424" t="s">
        <v>1065</v>
      </c>
      <c r="E424" s="424" t="s">
        <v>109</v>
      </c>
      <c r="F424" s="423" t="s">
        <v>1064</v>
      </c>
      <c r="G424" s="3">
        <f>H424</f>
        <v>29974</v>
      </c>
      <c r="H424" s="422">
        <v>29974</v>
      </c>
      <c r="I424" s="244"/>
      <c r="J424" s="244"/>
      <c r="K424" s="244"/>
      <c r="L424" s="244"/>
      <c r="M424" s="4">
        <f>N424</f>
        <v>12200</v>
      </c>
      <c r="N424" s="4">
        <v>12200</v>
      </c>
      <c r="O424" s="243">
        <v>12200</v>
      </c>
      <c r="P424" s="354">
        <v>12200</v>
      </c>
      <c r="Q424" s="244">
        <f t="shared" si="163"/>
        <v>0</v>
      </c>
      <c r="R424" s="244">
        <f t="shared" si="163"/>
        <v>0</v>
      </c>
      <c r="S424" s="8"/>
      <c r="T424" s="8">
        <v>2000</v>
      </c>
      <c r="U424" s="457">
        <f>V424</f>
        <v>10200</v>
      </c>
      <c r="V424" s="476">
        <f>P424-T424</f>
        <v>10200</v>
      </c>
      <c r="W424" s="244"/>
      <c r="X424" s="244"/>
      <c r="Y424" s="244">
        <f>Z424</f>
        <v>6000</v>
      </c>
      <c r="Z424" s="244">
        <v>6000</v>
      </c>
      <c r="AA424" s="244"/>
      <c r="AB424" s="244"/>
      <c r="AC424" s="244"/>
      <c r="AD424" s="244"/>
      <c r="AE424" s="244"/>
      <c r="AF424" s="244"/>
      <c r="AG424" s="244"/>
      <c r="AH424" s="244"/>
      <c r="AI424" s="334" t="s">
        <v>1063</v>
      </c>
      <c r="AJ424" s="933">
        <f t="shared" si="153"/>
        <v>1</v>
      </c>
    </row>
    <row r="425" spans="1:36" ht="66" x14ac:dyDescent="0.25">
      <c r="A425" s="221">
        <v>8</v>
      </c>
      <c r="B425" s="227" t="s">
        <v>1062</v>
      </c>
      <c r="C425" s="188"/>
      <c r="D425" s="197"/>
      <c r="E425" s="197" t="s">
        <v>248</v>
      </c>
      <c r="F425" s="226" t="s">
        <v>1061</v>
      </c>
      <c r="G425" s="225">
        <f>H425</f>
        <v>14698</v>
      </c>
      <c r="H425" s="225">
        <v>14698</v>
      </c>
      <c r="I425" s="177"/>
      <c r="J425" s="177"/>
      <c r="K425" s="177"/>
      <c r="L425" s="177"/>
      <c r="M425" s="179">
        <v>13500</v>
      </c>
      <c r="N425" s="179">
        <v>13500</v>
      </c>
      <c r="O425" s="220">
        <f>P425</f>
        <v>13470</v>
      </c>
      <c r="P425" s="220">
        <v>13470</v>
      </c>
      <c r="Q425" s="177">
        <f t="shared" si="163"/>
        <v>-30</v>
      </c>
      <c r="R425" s="177">
        <f t="shared" si="163"/>
        <v>-30</v>
      </c>
      <c r="S425" s="176"/>
      <c r="T425" s="176">
        <v>45</v>
      </c>
      <c r="U425" s="454">
        <f>V425</f>
        <v>13425</v>
      </c>
      <c r="V425" s="454">
        <v>13425</v>
      </c>
      <c r="W425" s="177"/>
      <c r="X425" s="177"/>
      <c r="Y425" s="177">
        <f>Z425</f>
        <v>6470</v>
      </c>
      <c r="Z425" s="177">
        <v>6470</v>
      </c>
      <c r="AA425" s="177"/>
      <c r="AB425" s="177"/>
      <c r="AC425" s="177"/>
      <c r="AD425" s="177"/>
      <c r="AE425" s="177"/>
      <c r="AF425" s="177"/>
      <c r="AG425" s="177"/>
      <c r="AH425" s="177"/>
      <c r="AI425" s="198"/>
      <c r="AJ425" s="173">
        <f t="shared" si="153"/>
        <v>1</v>
      </c>
    </row>
    <row r="426" spans="1:36" ht="49.5" x14ac:dyDescent="0.25">
      <c r="A426" s="221">
        <v>9</v>
      </c>
      <c r="B426" s="227" t="s">
        <v>1060</v>
      </c>
      <c r="C426" s="188"/>
      <c r="D426" s="197"/>
      <c r="E426" s="197">
        <v>2018</v>
      </c>
      <c r="F426" s="226" t="s">
        <v>1059</v>
      </c>
      <c r="G426" s="225">
        <f>H426</f>
        <v>2881</v>
      </c>
      <c r="H426" s="225">
        <v>2881</v>
      </c>
      <c r="I426" s="177"/>
      <c r="J426" s="177"/>
      <c r="K426" s="177"/>
      <c r="L426" s="177"/>
      <c r="M426" s="179"/>
      <c r="N426" s="179"/>
      <c r="O426" s="220">
        <f>P426</f>
        <v>2500</v>
      </c>
      <c r="P426" s="220">
        <v>2500</v>
      </c>
      <c r="Q426" s="177">
        <f t="shared" si="163"/>
        <v>2500</v>
      </c>
      <c r="R426" s="177">
        <f t="shared" si="163"/>
        <v>2500</v>
      </c>
      <c r="S426" s="176"/>
      <c r="T426" s="176">
        <v>120</v>
      </c>
      <c r="U426" s="454">
        <f>V426</f>
        <v>2380</v>
      </c>
      <c r="V426" s="454">
        <f>P426-T426</f>
        <v>2380</v>
      </c>
      <c r="W426" s="177"/>
      <c r="X426" s="177"/>
      <c r="Y426" s="177"/>
      <c r="Z426" s="177"/>
      <c r="AA426" s="177"/>
      <c r="AB426" s="177"/>
      <c r="AC426" s="177"/>
      <c r="AD426" s="177"/>
      <c r="AE426" s="177"/>
      <c r="AF426" s="177"/>
      <c r="AG426" s="177"/>
      <c r="AH426" s="177"/>
      <c r="AI426" s="185" t="s">
        <v>84</v>
      </c>
      <c r="AJ426" s="173">
        <f t="shared" si="153"/>
        <v>1</v>
      </c>
    </row>
    <row r="427" spans="1:36" ht="49.5" x14ac:dyDescent="0.25">
      <c r="A427" s="221">
        <v>10</v>
      </c>
      <c r="B427" s="227" t="s">
        <v>1058</v>
      </c>
      <c r="C427" s="188"/>
      <c r="D427" s="197"/>
      <c r="E427" s="197">
        <v>2018</v>
      </c>
      <c r="F427" s="226" t="s">
        <v>1057</v>
      </c>
      <c r="G427" s="225">
        <f>H427</f>
        <v>2887</v>
      </c>
      <c r="H427" s="225">
        <v>2887</v>
      </c>
      <c r="I427" s="177"/>
      <c r="J427" s="177"/>
      <c r="K427" s="177"/>
      <c r="L427" s="177"/>
      <c r="M427" s="179"/>
      <c r="N427" s="179"/>
      <c r="O427" s="220">
        <f>P427</f>
        <v>2500</v>
      </c>
      <c r="P427" s="220">
        <v>2500</v>
      </c>
      <c r="Q427" s="177">
        <f t="shared" si="163"/>
        <v>2500</v>
      </c>
      <c r="R427" s="177">
        <f t="shared" si="163"/>
        <v>2500</v>
      </c>
      <c r="S427" s="176"/>
      <c r="T427" s="176">
        <v>120</v>
      </c>
      <c r="U427" s="454">
        <f>V427</f>
        <v>2380</v>
      </c>
      <c r="V427" s="454">
        <v>2380</v>
      </c>
      <c r="W427" s="177"/>
      <c r="X427" s="177"/>
      <c r="Y427" s="177"/>
      <c r="Z427" s="177"/>
      <c r="AA427" s="177"/>
      <c r="AB427" s="177"/>
      <c r="AC427" s="177"/>
      <c r="AD427" s="177"/>
      <c r="AE427" s="177"/>
      <c r="AF427" s="177"/>
      <c r="AG427" s="177"/>
      <c r="AH427" s="177"/>
      <c r="AI427" s="185" t="s">
        <v>84</v>
      </c>
      <c r="AJ427" s="173">
        <f t="shared" si="153"/>
        <v>1</v>
      </c>
    </row>
    <row r="428" spans="1:36" ht="34.5" x14ac:dyDescent="0.25">
      <c r="A428" s="194" t="s">
        <v>47</v>
      </c>
      <c r="B428" s="193" t="s">
        <v>1011</v>
      </c>
      <c r="C428" s="188"/>
      <c r="D428" s="182"/>
      <c r="E428" s="197"/>
      <c r="F428" s="197"/>
      <c r="G428" s="214">
        <f>SUM(G429:G430)</f>
        <v>62267</v>
      </c>
      <c r="H428" s="214">
        <f t="shared" ref="H428:Z428" si="164">SUM(H429:H430)</f>
        <v>62267</v>
      </c>
      <c r="I428" s="214">
        <f t="shared" si="164"/>
        <v>0</v>
      </c>
      <c r="J428" s="214">
        <f t="shared" si="164"/>
        <v>0</v>
      </c>
      <c r="K428" s="214">
        <f t="shared" si="164"/>
        <v>0</v>
      </c>
      <c r="L428" s="214">
        <f t="shared" si="164"/>
        <v>0</v>
      </c>
      <c r="M428" s="214">
        <f t="shared" si="164"/>
        <v>9990</v>
      </c>
      <c r="N428" s="214">
        <f t="shared" si="164"/>
        <v>9990</v>
      </c>
      <c r="O428" s="214">
        <f t="shared" si="164"/>
        <v>5530</v>
      </c>
      <c r="P428" s="214">
        <f t="shared" si="164"/>
        <v>5530</v>
      </c>
      <c r="Q428" s="214">
        <f t="shared" si="164"/>
        <v>-4460</v>
      </c>
      <c r="R428" s="214">
        <f t="shared" si="164"/>
        <v>-4460</v>
      </c>
      <c r="S428" s="214">
        <f t="shared" si="164"/>
        <v>3615</v>
      </c>
      <c r="T428" s="214">
        <f t="shared" si="164"/>
        <v>1330</v>
      </c>
      <c r="U428" s="214">
        <f t="shared" si="164"/>
        <v>7815</v>
      </c>
      <c r="V428" s="214">
        <f t="shared" si="164"/>
        <v>7815</v>
      </c>
      <c r="W428" s="214">
        <f t="shared" si="164"/>
        <v>0</v>
      </c>
      <c r="X428" s="214">
        <f t="shared" si="164"/>
        <v>0</v>
      </c>
      <c r="Y428" s="214">
        <f t="shared" si="164"/>
        <v>0</v>
      </c>
      <c r="Z428" s="214">
        <f t="shared" si="164"/>
        <v>0</v>
      </c>
      <c r="AA428" s="228"/>
      <c r="AB428" s="228"/>
      <c r="AC428" s="228"/>
      <c r="AD428" s="228"/>
      <c r="AE428" s="228"/>
      <c r="AF428" s="228"/>
      <c r="AG428" s="228"/>
      <c r="AH428" s="228"/>
      <c r="AI428" s="198"/>
      <c r="AJ428" s="173">
        <f t="shared" si="153"/>
        <v>1</v>
      </c>
    </row>
    <row r="429" spans="1:36" ht="66" x14ac:dyDescent="0.25">
      <c r="A429" s="221">
        <v>11</v>
      </c>
      <c r="B429" s="227" t="s">
        <v>1056</v>
      </c>
      <c r="C429" s="188"/>
      <c r="D429" s="197" t="s">
        <v>1055</v>
      </c>
      <c r="E429" s="197" t="s">
        <v>141</v>
      </c>
      <c r="F429" s="197"/>
      <c r="G429" s="225">
        <f>H429</f>
        <v>49892</v>
      </c>
      <c r="H429" s="225">
        <v>49892</v>
      </c>
      <c r="I429" s="177"/>
      <c r="J429" s="177"/>
      <c r="K429" s="177"/>
      <c r="L429" s="177"/>
      <c r="M429" s="179">
        <f>N429</f>
        <v>9990</v>
      </c>
      <c r="N429" s="179">
        <f>22190-12200</f>
        <v>9990</v>
      </c>
      <c r="O429" s="220">
        <f>P429</f>
        <v>1330</v>
      </c>
      <c r="P429" s="220">
        <v>1330</v>
      </c>
      <c r="Q429" s="177">
        <f>O429-M429</f>
        <v>-8660</v>
      </c>
      <c r="R429" s="177">
        <f>P429-N429</f>
        <v>-8660</v>
      </c>
      <c r="S429" s="176"/>
      <c r="T429" s="176">
        <v>1330</v>
      </c>
      <c r="U429" s="454"/>
      <c r="V429" s="454"/>
      <c r="W429" s="177"/>
      <c r="X429" s="177"/>
      <c r="Y429" s="177"/>
      <c r="Z429" s="177"/>
      <c r="AA429" s="177"/>
      <c r="AB429" s="177"/>
      <c r="AC429" s="177"/>
      <c r="AD429" s="177"/>
      <c r="AE429" s="177"/>
      <c r="AF429" s="177"/>
      <c r="AG429" s="177"/>
      <c r="AH429" s="177"/>
      <c r="AI429" s="185"/>
      <c r="AJ429" s="173">
        <f t="shared" si="153"/>
        <v>1</v>
      </c>
    </row>
    <row r="430" spans="1:36" s="157" customFormat="1" ht="49.5" x14ac:dyDescent="0.25">
      <c r="A430" s="152">
        <v>12</v>
      </c>
      <c r="B430" s="993" t="s">
        <v>1054</v>
      </c>
      <c r="C430" s="1"/>
      <c r="D430" s="246"/>
      <c r="E430" s="246">
        <v>2018</v>
      </c>
      <c r="F430" s="423" t="s">
        <v>1053</v>
      </c>
      <c r="G430" s="994">
        <f>H430</f>
        <v>12375</v>
      </c>
      <c r="H430" s="994">
        <v>12375</v>
      </c>
      <c r="I430" s="244"/>
      <c r="J430" s="244"/>
      <c r="K430" s="244"/>
      <c r="L430" s="244"/>
      <c r="M430" s="4"/>
      <c r="N430" s="4"/>
      <c r="O430" s="354">
        <f>P430</f>
        <v>4200</v>
      </c>
      <c r="P430" s="354">
        <v>4200</v>
      </c>
      <c r="Q430" s="244">
        <f>O430-M430</f>
        <v>4200</v>
      </c>
      <c r="R430" s="244">
        <f>P430-N430</f>
        <v>4200</v>
      </c>
      <c r="S430" s="8">
        <v>3615</v>
      </c>
      <c r="T430" s="8"/>
      <c r="U430" s="476">
        <f>V430</f>
        <v>7815</v>
      </c>
      <c r="V430" s="476">
        <f>S430+P430</f>
        <v>7815</v>
      </c>
      <c r="W430" s="244"/>
      <c r="X430" s="244"/>
      <c r="Y430" s="244"/>
      <c r="Z430" s="244"/>
      <c r="AA430" s="244"/>
      <c r="AB430" s="244"/>
      <c r="AC430" s="244"/>
      <c r="AD430" s="244"/>
      <c r="AE430" s="244"/>
      <c r="AF430" s="244"/>
      <c r="AG430" s="244"/>
      <c r="AH430" s="244"/>
      <c r="AI430" s="334" t="s">
        <v>84</v>
      </c>
      <c r="AJ430" s="933">
        <f t="shared" si="153"/>
        <v>1</v>
      </c>
    </row>
    <row r="431" spans="1:36" s="203" customFormat="1" ht="16.5" x14ac:dyDescent="0.25">
      <c r="A431" s="210" t="s">
        <v>582</v>
      </c>
      <c r="B431" s="209" t="s">
        <v>1052</v>
      </c>
      <c r="C431" s="208"/>
      <c r="D431" s="207"/>
      <c r="E431" s="207"/>
      <c r="F431" s="207"/>
      <c r="G431" s="206">
        <f t="shared" ref="G431:Z431" si="165">G432+G439</f>
        <v>108990</v>
      </c>
      <c r="H431" s="206">
        <f t="shared" si="165"/>
        <v>108990</v>
      </c>
      <c r="I431" s="206">
        <f t="shared" si="165"/>
        <v>5700</v>
      </c>
      <c r="J431" s="206">
        <f t="shared" si="165"/>
        <v>5700</v>
      </c>
      <c r="K431" s="206">
        <f t="shared" si="165"/>
        <v>5700</v>
      </c>
      <c r="L431" s="206">
        <f t="shared" si="165"/>
        <v>5700</v>
      </c>
      <c r="M431" s="206">
        <f t="shared" si="165"/>
        <v>85000</v>
      </c>
      <c r="N431" s="206">
        <f t="shared" si="165"/>
        <v>85000</v>
      </c>
      <c r="O431" s="206">
        <f t="shared" si="165"/>
        <v>85000</v>
      </c>
      <c r="P431" s="206">
        <f t="shared" si="165"/>
        <v>85000</v>
      </c>
      <c r="Q431" s="206">
        <f t="shared" si="165"/>
        <v>0</v>
      </c>
      <c r="R431" s="206">
        <f t="shared" si="165"/>
        <v>0</v>
      </c>
      <c r="S431" s="206">
        <f t="shared" si="165"/>
        <v>0</v>
      </c>
      <c r="T431" s="206">
        <f t="shared" si="165"/>
        <v>0</v>
      </c>
      <c r="U431" s="465">
        <f t="shared" si="165"/>
        <v>85000</v>
      </c>
      <c r="V431" s="465">
        <v>85000</v>
      </c>
      <c r="W431" s="205">
        <f t="shared" si="165"/>
        <v>11550</v>
      </c>
      <c r="X431" s="205">
        <f t="shared" si="165"/>
        <v>11550</v>
      </c>
      <c r="Y431" s="205">
        <f t="shared" si="165"/>
        <v>16200</v>
      </c>
      <c r="Z431" s="205">
        <f t="shared" si="165"/>
        <v>16200</v>
      </c>
      <c r="AA431" s="205">
        <v>85000</v>
      </c>
      <c r="AB431" s="205">
        <v>85000</v>
      </c>
      <c r="AC431" s="205">
        <v>85000</v>
      </c>
      <c r="AD431" s="205">
        <v>85000</v>
      </c>
      <c r="AE431" s="205">
        <v>85000</v>
      </c>
      <c r="AF431" s="205">
        <v>85000</v>
      </c>
      <c r="AG431" s="205">
        <v>85000</v>
      </c>
      <c r="AH431" s="205">
        <v>85000</v>
      </c>
      <c r="AI431" s="204"/>
      <c r="AJ431" s="173">
        <f t="shared" si="153"/>
        <v>0</v>
      </c>
    </row>
    <row r="432" spans="1:36" ht="51.75" x14ac:dyDescent="0.25">
      <c r="A432" s="195" t="s">
        <v>45</v>
      </c>
      <c r="B432" s="193" t="s">
        <v>46</v>
      </c>
      <c r="C432" s="192"/>
      <c r="D432" s="192"/>
      <c r="E432" s="192"/>
      <c r="F432" s="192"/>
      <c r="G432" s="191">
        <f t="shared" ref="G432:Z432" si="166">G433</f>
        <v>12297</v>
      </c>
      <c r="H432" s="191">
        <f t="shared" si="166"/>
        <v>12297</v>
      </c>
      <c r="I432" s="191">
        <f t="shared" si="166"/>
        <v>5700</v>
      </c>
      <c r="J432" s="191">
        <f t="shared" si="166"/>
        <v>5700</v>
      </c>
      <c r="K432" s="191">
        <f t="shared" si="166"/>
        <v>5700</v>
      </c>
      <c r="L432" s="191">
        <f t="shared" si="166"/>
        <v>5700</v>
      </c>
      <c r="M432" s="191">
        <f t="shared" si="166"/>
        <v>6720</v>
      </c>
      <c r="N432" s="191">
        <f t="shared" si="166"/>
        <v>6720</v>
      </c>
      <c r="O432" s="191">
        <f t="shared" si="166"/>
        <v>6720</v>
      </c>
      <c r="P432" s="191">
        <f t="shared" si="166"/>
        <v>6720</v>
      </c>
      <c r="Q432" s="191">
        <f t="shared" si="166"/>
        <v>0</v>
      </c>
      <c r="R432" s="191">
        <f t="shared" si="166"/>
        <v>0</v>
      </c>
      <c r="S432" s="191">
        <f t="shared" si="166"/>
        <v>0</v>
      </c>
      <c r="T432" s="191">
        <f t="shared" si="166"/>
        <v>0</v>
      </c>
      <c r="U432" s="474">
        <f t="shared" si="166"/>
        <v>6720</v>
      </c>
      <c r="V432" s="474">
        <v>6720</v>
      </c>
      <c r="W432" s="190">
        <f t="shared" si="166"/>
        <v>6650</v>
      </c>
      <c r="X432" s="190">
        <f t="shared" si="166"/>
        <v>6650</v>
      </c>
      <c r="Y432" s="190">
        <f t="shared" si="166"/>
        <v>0</v>
      </c>
      <c r="Z432" s="190">
        <f t="shared" si="166"/>
        <v>0</v>
      </c>
      <c r="AA432" s="190">
        <v>6720</v>
      </c>
      <c r="AB432" s="190">
        <v>6720</v>
      </c>
      <c r="AC432" s="190">
        <v>6720</v>
      </c>
      <c r="AD432" s="190">
        <v>6720</v>
      </c>
      <c r="AE432" s="190">
        <v>6720</v>
      </c>
      <c r="AF432" s="190">
        <v>6720</v>
      </c>
      <c r="AG432" s="190">
        <v>6720</v>
      </c>
      <c r="AH432" s="190">
        <v>6720</v>
      </c>
      <c r="AI432" s="198"/>
      <c r="AJ432" s="173">
        <f t="shared" si="153"/>
        <v>0</v>
      </c>
    </row>
    <row r="433" spans="1:36" ht="34.5" x14ac:dyDescent="0.25">
      <c r="A433" s="194" t="s">
        <v>47</v>
      </c>
      <c r="B433" s="193" t="s">
        <v>48</v>
      </c>
      <c r="C433" s="192"/>
      <c r="D433" s="192"/>
      <c r="E433" s="192"/>
      <c r="F433" s="192"/>
      <c r="G433" s="191">
        <f t="shared" ref="G433:Z433" si="167">SUM(G436:G438)</f>
        <v>12297</v>
      </c>
      <c r="H433" s="191">
        <f t="shared" si="167"/>
        <v>12297</v>
      </c>
      <c r="I433" s="191">
        <f t="shared" si="167"/>
        <v>5700</v>
      </c>
      <c r="J433" s="191">
        <f t="shared" si="167"/>
        <v>5700</v>
      </c>
      <c r="K433" s="191">
        <f t="shared" si="167"/>
        <v>5700</v>
      </c>
      <c r="L433" s="191">
        <f t="shared" si="167"/>
        <v>5700</v>
      </c>
      <c r="M433" s="191">
        <f t="shared" si="167"/>
        <v>6720</v>
      </c>
      <c r="N433" s="191">
        <f t="shared" si="167"/>
        <v>6720</v>
      </c>
      <c r="O433" s="191">
        <f t="shared" si="167"/>
        <v>6720</v>
      </c>
      <c r="P433" s="191">
        <f t="shared" si="167"/>
        <v>6720</v>
      </c>
      <c r="Q433" s="191">
        <f t="shared" si="167"/>
        <v>0</v>
      </c>
      <c r="R433" s="191">
        <f t="shared" si="167"/>
        <v>0</v>
      </c>
      <c r="S433" s="191">
        <f t="shared" si="167"/>
        <v>0</v>
      </c>
      <c r="T433" s="191">
        <f t="shared" si="167"/>
        <v>0</v>
      </c>
      <c r="U433" s="474">
        <f t="shared" si="167"/>
        <v>6720</v>
      </c>
      <c r="V433" s="474">
        <v>6720</v>
      </c>
      <c r="W433" s="190">
        <f t="shared" si="167"/>
        <v>6650</v>
      </c>
      <c r="X433" s="190">
        <f t="shared" si="167"/>
        <v>6650</v>
      </c>
      <c r="Y433" s="190">
        <f t="shared" si="167"/>
        <v>0</v>
      </c>
      <c r="Z433" s="190">
        <f t="shared" si="167"/>
        <v>0</v>
      </c>
      <c r="AA433" s="190">
        <v>6720</v>
      </c>
      <c r="AB433" s="190">
        <v>6720</v>
      </c>
      <c r="AC433" s="190">
        <v>6720</v>
      </c>
      <c r="AD433" s="190">
        <v>6720</v>
      </c>
      <c r="AE433" s="190">
        <v>6720</v>
      </c>
      <c r="AF433" s="190">
        <v>6720</v>
      </c>
      <c r="AG433" s="190">
        <v>6720</v>
      </c>
      <c r="AH433" s="190">
        <v>6720</v>
      </c>
      <c r="AI433" s="198"/>
      <c r="AJ433" s="173">
        <f t="shared" si="153"/>
        <v>0</v>
      </c>
    </row>
    <row r="434" spans="1:36" ht="17.25" x14ac:dyDescent="0.25">
      <c r="A434" s="194"/>
      <c r="B434" s="193" t="s">
        <v>49</v>
      </c>
      <c r="C434" s="202"/>
      <c r="D434" s="202"/>
      <c r="E434" s="202"/>
      <c r="F434" s="202"/>
      <c r="G434" s="200"/>
      <c r="H434" s="200"/>
      <c r="I434" s="200"/>
      <c r="J434" s="200"/>
      <c r="K434" s="200"/>
      <c r="L434" s="200"/>
      <c r="M434" s="200"/>
      <c r="N434" s="200"/>
      <c r="O434" s="201"/>
      <c r="P434" s="201"/>
      <c r="Q434" s="177">
        <f t="shared" ref="Q434:R438" si="168">O434-M434</f>
        <v>0</v>
      </c>
      <c r="R434" s="177">
        <f t="shared" si="168"/>
        <v>0</v>
      </c>
      <c r="S434" s="176">
        <f>IF(R434&gt;0,R434,0)</f>
        <v>0</v>
      </c>
      <c r="T434" s="176">
        <f>IF(R434&lt;0,-R434,0)</f>
        <v>0</v>
      </c>
      <c r="U434" s="475"/>
      <c r="V434" s="475"/>
      <c r="W434" s="200"/>
      <c r="X434" s="200"/>
      <c r="Y434" s="200"/>
      <c r="Z434" s="200"/>
      <c r="AA434" s="200"/>
      <c r="AB434" s="200"/>
      <c r="AC434" s="200"/>
      <c r="AD434" s="200"/>
      <c r="AE434" s="200"/>
      <c r="AF434" s="200"/>
      <c r="AG434" s="200"/>
      <c r="AH434" s="200"/>
      <c r="AI434" s="198"/>
      <c r="AJ434" s="173">
        <f t="shared" si="153"/>
        <v>0</v>
      </c>
    </row>
    <row r="435" spans="1:36" ht="51.75" x14ac:dyDescent="0.25">
      <c r="A435" s="194"/>
      <c r="B435" s="199" t="s">
        <v>50</v>
      </c>
      <c r="C435" s="192"/>
      <c r="D435" s="192"/>
      <c r="E435" s="192"/>
      <c r="F435" s="192"/>
      <c r="G435" s="191"/>
      <c r="H435" s="191"/>
      <c r="I435" s="191"/>
      <c r="J435" s="191"/>
      <c r="K435" s="191"/>
      <c r="L435" s="191"/>
      <c r="M435" s="191"/>
      <c r="N435" s="191"/>
      <c r="O435" s="190"/>
      <c r="P435" s="190"/>
      <c r="Q435" s="177">
        <f t="shared" si="168"/>
        <v>0</v>
      </c>
      <c r="R435" s="177">
        <f t="shared" si="168"/>
        <v>0</v>
      </c>
      <c r="S435" s="176">
        <f>IF(R435&gt;0,R435,0)</f>
        <v>0</v>
      </c>
      <c r="T435" s="176">
        <f>IF(R435&lt;0,-R435,0)</f>
        <v>0</v>
      </c>
      <c r="U435" s="474"/>
      <c r="V435" s="474"/>
      <c r="W435" s="191"/>
      <c r="X435" s="191"/>
      <c r="Y435" s="191"/>
      <c r="Z435" s="191"/>
      <c r="AA435" s="191"/>
      <c r="AB435" s="191"/>
      <c r="AC435" s="191"/>
      <c r="AD435" s="191"/>
      <c r="AE435" s="191"/>
      <c r="AF435" s="191"/>
      <c r="AG435" s="191"/>
      <c r="AH435" s="191"/>
      <c r="AI435" s="198"/>
      <c r="AJ435" s="173">
        <f t="shared" si="153"/>
        <v>0</v>
      </c>
    </row>
    <row r="436" spans="1:36" ht="33" x14ac:dyDescent="0.25">
      <c r="A436" s="221">
        <v>1</v>
      </c>
      <c r="B436" s="183" t="s">
        <v>1008</v>
      </c>
      <c r="C436" s="188"/>
      <c r="D436" s="197"/>
      <c r="E436" s="197"/>
      <c r="F436" s="197"/>
      <c r="G436" s="179"/>
      <c r="H436" s="224"/>
      <c r="I436" s="177"/>
      <c r="J436" s="177"/>
      <c r="K436" s="177"/>
      <c r="L436" s="177"/>
      <c r="M436" s="179">
        <v>1650</v>
      </c>
      <c r="N436" s="179">
        <v>1650</v>
      </c>
      <c r="O436" s="220">
        <v>1650</v>
      </c>
      <c r="P436" s="220">
        <v>1650</v>
      </c>
      <c r="Q436" s="177">
        <f t="shared" si="168"/>
        <v>0</v>
      </c>
      <c r="R436" s="177">
        <f t="shared" si="168"/>
        <v>0</v>
      </c>
      <c r="S436" s="176"/>
      <c r="T436" s="176"/>
      <c r="U436" s="454">
        <v>1650</v>
      </c>
      <c r="V436" s="454">
        <v>1650</v>
      </c>
      <c r="W436" s="177">
        <f>X436</f>
        <v>1650</v>
      </c>
      <c r="X436" s="177">
        <v>1650</v>
      </c>
      <c r="Y436" s="177"/>
      <c r="Z436" s="177"/>
      <c r="AA436" s="177"/>
      <c r="AB436" s="177"/>
      <c r="AC436" s="177"/>
      <c r="AD436" s="177"/>
      <c r="AE436" s="177"/>
      <c r="AF436" s="177"/>
      <c r="AG436" s="177"/>
      <c r="AH436" s="177"/>
      <c r="AI436" s="198"/>
      <c r="AJ436" s="173">
        <f t="shared" si="153"/>
        <v>0</v>
      </c>
    </row>
    <row r="437" spans="1:36" ht="49.5" x14ac:dyDescent="0.25">
      <c r="A437" s="221">
        <v>2</v>
      </c>
      <c r="B437" s="183" t="s">
        <v>1051</v>
      </c>
      <c r="C437" s="180" t="s">
        <v>1040</v>
      </c>
      <c r="D437" s="181"/>
      <c r="E437" s="181" t="s">
        <v>199</v>
      </c>
      <c r="F437" s="180" t="s">
        <v>1050</v>
      </c>
      <c r="G437" s="179">
        <v>2986</v>
      </c>
      <c r="H437" s="179">
        <v>2986</v>
      </c>
      <c r="I437" s="177">
        <v>1500</v>
      </c>
      <c r="J437" s="177">
        <f>I437</f>
        <v>1500</v>
      </c>
      <c r="K437" s="177">
        <v>1500</v>
      </c>
      <c r="L437" s="177">
        <f>K437</f>
        <v>1500</v>
      </c>
      <c r="M437" s="179">
        <v>570</v>
      </c>
      <c r="N437" s="179">
        <v>570</v>
      </c>
      <c r="O437" s="220">
        <v>570</v>
      </c>
      <c r="P437" s="220">
        <v>570</v>
      </c>
      <c r="Q437" s="177">
        <f t="shared" si="168"/>
        <v>0</v>
      </c>
      <c r="R437" s="177">
        <f t="shared" si="168"/>
        <v>0</v>
      </c>
      <c r="S437" s="176"/>
      <c r="T437" s="176"/>
      <c r="U437" s="454">
        <v>570</v>
      </c>
      <c r="V437" s="454">
        <v>570</v>
      </c>
      <c r="W437" s="177">
        <f>X437</f>
        <v>500</v>
      </c>
      <c r="X437" s="177">
        <v>500</v>
      </c>
      <c r="Y437" s="177"/>
      <c r="Z437" s="177"/>
      <c r="AA437" s="177"/>
      <c r="AB437" s="177"/>
      <c r="AC437" s="177"/>
      <c r="AD437" s="177"/>
      <c r="AE437" s="177"/>
      <c r="AF437" s="177"/>
      <c r="AG437" s="177"/>
      <c r="AH437" s="177"/>
      <c r="AI437" s="198"/>
      <c r="AJ437" s="173">
        <f t="shared" si="153"/>
        <v>0</v>
      </c>
    </row>
    <row r="438" spans="1:36" ht="49.5" x14ac:dyDescent="0.25">
      <c r="A438" s="221">
        <v>3</v>
      </c>
      <c r="B438" s="183" t="s">
        <v>1049</v>
      </c>
      <c r="C438" s="180" t="s">
        <v>1048</v>
      </c>
      <c r="D438" s="181" t="s">
        <v>1047</v>
      </c>
      <c r="E438" s="181" t="s">
        <v>738</v>
      </c>
      <c r="F438" s="180" t="s">
        <v>1046</v>
      </c>
      <c r="G438" s="213">
        <v>9311</v>
      </c>
      <c r="H438" s="213">
        <v>9311</v>
      </c>
      <c r="I438" s="177">
        <v>4200</v>
      </c>
      <c r="J438" s="177">
        <v>4200</v>
      </c>
      <c r="K438" s="177">
        <v>4200</v>
      </c>
      <c r="L438" s="177">
        <v>4200</v>
      </c>
      <c r="M438" s="179">
        <f>N438</f>
        <v>4500</v>
      </c>
      <c r="N438" s="179">
        <v>4500</v>
      </c>
      <c r="O438" s="220">
        <v>4500</v>
      </c>
      <c r="P438" s="220">
        <v>4500</v>
      </c>
      <c r="Q438" s="177">
        <f t="shared" si="168"/>
        <v>0</v>
      </c>
      <c r="R438" s="177">
        <f t="shared" si="168"/>
        <v>0</v>
      </c>
      <c r="S438" s="176"/>
      <c r="T438" s="176"/>
      <c r="U438" s="454">
        <v>4500</v>
      </c>
      <c r="V438" s="454">
        <v>4500</v>
      </c>
      <c r="W438" s="177">
        <f>X438</f>
        <v>4500</v>
      </c>
      <c r="X438" s="177">
        <v>4500</v>
      </c>
      <c r="Y438" s="177"/>
      <c r="Z438" s="177"/>
      <c r="AA438" s="177"/>
      <c r="AB438" s="177"/>
      <c r="AC438" s="177"/>
      <c r="AD438" s="177"/>
      <c r="AE438" s="177"/>
      <c r="AF438" s="177"/>
      <c r="AG438" s="177"/>
      <c r="AH438" s="177"/>
      <c r="AI438" s="188"/>
      <c r="AJ438" s="173">
        <f t="shared" si="153"/>
        <v>0</v>
      </c>
    </row>
    <row r="439" spans="1:36" ht="34.5" x14ac:dyDescent="0.25">
      <c r="A439" s="195" t="s">
        <v>85</v>
      </c>
      <c r="B439" s="193" t="s">
        <v>86</v>
      </c>
      <c r="C439" s="192"/>
      <c r="D439" s="192"/>
      <c r="E439" s="192"/>
      <c r="F439" s="192"/>
      <c r="G439" s="191">
        <f>G440+G456</f>
        <v>96693</v>
      </c>
      <c r="H439" s="191">
        <f>H440+H456</f>
        <v>96693</v>
      </c>
      <c r="I439" s="191"/>
      <c r="J439" s="191"/>
      <c r="K439" s="191"/>
      <c r="L439" s="191"/>
      <c r="M439" s="191">
        <f t="shared" ref="M439:Z439" si="169">M440+M456</f>
        <v>78280</v>
      </c>
      <c r="N439" s="191">
        <f t="shared" si="169"/>
        <v>78280</v>
      </c>
      <c r="O439" s="191">
        <f t="shared" si="169"/>
        <v>78280</v>
      </c>
      <c r="P439" s="191">
        <f t="shared" si="169"/>
        <v>78280</v>
      </c>
      <c r="Q439" s="191">
        <f t="shared" si="169"/>
        <v>0</v>
      </c>
      <c r="R439" s="191">
        <f t="shared" si="169"/>
        <v>0</v>
      </c>
      <c r="S439" s="191">
        <f t="shared" si="169"/>
        <v>0</v>
      </c>
      <c r="T439" s="191">
        <f t="shared" si="169"/>
        <v>0</v>
      </c>
      <c r="U439" s="474">
        <f t="shared" si="169"/>
        <v>78280</v>
      </c>
      <c r="V439" s="474">
        <v>78280</v>
      </c>
      <c r="W439" s="190">
        <f t="shared" si="169"/>
        <v>4900</v>
      </c>
      <c r="X439" s="190">
        <f t="shared" si="169"/>
        <v>4900</v>
      </c>
      <c r="Y439" s="190">
        <f t="shared" si="169"/>
        <v>16200</v>
      </c>
      <c r="Z439" s="190">
        <f t="shared" si="169"/>
        <v>16200</v>
      </c>
      <c r="AA439" s="190">
        <v>78280</v>
      </c>
      <c r="AB439" s="190">
        <v>78280</v>
      </c>
      <c r="AC439" s="190">
        <v>78280</v>
      </c>
      <c r="AD439" s="190">
        <v>78280</v>
      </c>
      <c r="AE439" s="190">
        <v>78280</v>
      </c>
      <c r="AF439" s="190">
        <v>78280</v>
      </c>
      <c r="AG439" s="190">
        <v>78280</v>
      </c>
      <c r="AH439" s="190">
        <v>78280</v>
      </c>
      <c r="AI439" s="189"/>
      <c r="AJ439" s="173">
        <f t="shared" si="153"/>
        <v>0</v>
      </c>
    </row>
    <row r="440" spans="1:36" ht="51.75" x14ac:dyDescent="0.25">
      <c r="A440" s="194" t="s">
        <v>87</v>
      </c>
      <c r="B440" s="193" t="s">
        <v>88</v>
      </c>
      <c r="C440" s="192"/>
      <c r="D440" s="192"/>
      <c r="E440" s="192"/>
      <c r="F440" s="192"/>
      <c r="G440" s="191">
        <f>SUM(G441:G455)</f>
        <v>56693</v>
      </c>
      <c r="H440" s="191">
        <f>SUM(H441:H455)</f>
        <v>56693</v>
      </c>
      <c r="I440" s="191"/>
      <c r="J440" s="191"/>
      <c r="K440" s="191"/>
      <c r="L440" s="191"/>
      <c r="M440" s="191">
        <f t="shared" ref="M440:Z440" si="170">SUM(M441:M455)</f>
        <v>50710</v>
      </c>
      <c r="N440" s="191">
        <f t="shared" si="170"/>
        <v>50710</v>
      </c>
      <c r="O440" s="191">
        <f t="shared" si="170"/>
        <v>50710</v>
      </c>
      <c r="P440" s="191">
        <f t="shared" si="170"/>
        <v>50710</v>
      </c>
      <c r="Q440" s="191">
        <f t="shared" si="170"/>
        <v>0</v>
      </c>
      <c r="R440" s="191">
        <f t="shared" si="170"/>
        <v>0</v>
      </c>
      <c r="S440" s="191">
        <f t="shared" si="170"/>
        <v>0</v>
      </c>
      <c r="T440" s="191">
        <f t="shared" si="170"/>
        <v>0</v>
      </c>
      <c r="U440" s="474">
        <f t="shared" si="170"/>
        <v>50710</v>
      </c>
      <c r="V440" s="474">
        <v>50710</v>
      </c>
      <c r="W440" s="190">
        <f t="shared" si="170"/>
        <v>4900</v>
      </c>
      <c r="X440" s="190">
        <f t="shared" si="170"/>
        <v>4900</v>
      </c>
      <c r="Y440" s="190">
        <f t="shared" si="170"/>
        <v>16200</v>
      </c>
      <c r="Z440" s="190">
        <f t="shared" si="170"/>
        <v>16200</v>
      </c>
      <c r="AA440" s="190">
        <v>50710</v>
      </c>
      <c r="AB440" s="190">
        <v>50710</v>
      </c>
      <c r="AC440" s="190">
        <v>50710</v>
      </c>
      <c r="AD440" s="190">
        <v>50710</v>
      </c>
      <c r="AE440" s="190">
        <v>50710</v>
      </c>
      <c r="AF440" s="190">
        <v>50710</v>
      </c>
      <c r="AG440" s="190">
        <v>50710</v>
      </c>
      <c r="AH440" s="190">
        <v>50710</v>
      </c>
      <c r="AI440" s="189"/>
      <c r="AJ440" s="173">
        <f t="shared" si="153"/>
        <v>0</v>
      </c>
    </row>
    <row r="441" spans="1:36" ht="49.5" x14ac:dyDescent="0.25">
      <c r="A441" s="221">
        <v>4</v>
      </c>
      <c r="B441" s="223" t="s">
        <v>1045</v>
      </c>
      <c r="C441" s="180" t="s">
        <v>1044</v>
      </c>
      <c r="D441" s="181" t="s">
        <v>1043</v>
      </c>
      <c r="E441" s="181" t="s">
        <v>183</v>
      </c>
      <c r="F441" s="180" t="s">
        <v>1042</v>
      </c>
      <c r="G441" s="213">
        <v>2976</v>
      </c>
      <c r="H441" s="213">
        <v>2976</v>
      </c>
      <c r="I441" s="177"/>
      <c r="J441" s="177"/>
      <c r="K441" s="177"/>
      <c r="L441" s="177"/>
      <c r="M441" s="179">
        <v>2500</v>
      </c>
      <c r="N441" s="179">
        <v>2500</v>
      </c>
      <c r="O441" s="220">
        <v>2500</v>
      </c>
      <c r="P441" s="220">
        <v>2500</v>
      </c>
      <c r="Q441" s="177">
        <f t="shared" ref="Q441:R457" si="171">O441-M441</f>
        <v>0</v>
      </c>
      <c r="R441" s="177">
        <f t="shared" si="171"/>
        <v>0</v>
      </c>
      <c r="S441" s="176"/>
      <c r="T441" s="176"/>
      <c r="U441" s="454">
        <v>2500</v>
      </c>
      <c r="V441" s="454">
        <v>2500</v>
      </c>
      <c r="W441" s="177">
        <f>X441</f>
        <v>1900</v>
      </c>
      <c r="X441" s="177">
        <v>1900</v>
      </c>
      <c r="Y441" s="177">
        <f>Z441</f>
        <v>680</v>
      </c>
      <c r="Z441" s="177">
        <v>680</v>
      </c>
      <c r="AA441" s="177"/>
      <c r="AB441" s="177"/>
      <c r="AC441" s="177"/>
      <c r="AD441" s="177"/>
      <c r="AE441" s="177"/>
      <c r="AF441" s="177"/>
      <c r="AG441" s="177"/>
      <c r="AH441" s="177"/>
      <c r="AI441" s="198"/>
      <c r="AJ441" s="173">
        <f t="shared" si="153"/>
        <v>0</v>
      </c>
    </row>
    <row r="442" spans="1:36" ht="49.5" x14ac:dyDescent="0.25">
      <c r="A442" s="221">
        <v>5</v>
      </c>
      <c r="B442" s="183" t="s">
        <v>1041</v>
      </c>
      <c r="C442" s="180" t="s">
        <v>1040</v>
      </c>
      <c r="D442" s="181" t="s">
        <v>1039</v>
      </c>
      <c r="E442" s="181" t="s">
        <v>183</v>
      </c>
      <c r="F442" s="180" t="s">
        <v>1038</v>
      </c>
      <c r="G442" s="213">
        <v>4610</v>
      </c>
      <c r="H442" s="213">
        <v>4610</v>
      </c>
      <c r="I442" s="177"/>
      <c r="J442" s="177"/>
      <c r="K442" s="177"/>
      <c r="L442" s="177"/>
      <c r="M442" s="179">
        <v>4200</v>
      </c>
      <c r="N442" s="179">
        <v>4200</v>
      </c>
      <c r="O442" s="220">
        <v>4200</v>
      </c>
      <c r="P442" s="220">
        <v>4200</v>
      </c>
      <c r="Q442" s="177">
        <f t="shared" si="171"/>
        <v>0</v>
      </c>
      <c r="R442" s="177">
        <f t="shared" si="171"/>
        <v>0</v>
      </c>
      <c r="S442" s="176"/>
      <c r="T442" s="176"/>
      <c r="U442" s="454">
        <v>4200</v>
      </c>
      <c r="V442" s="454">
        <v>4200</v>
      </c>
      <c r="W442" s="177">
        <f>X442</f>
        <v>3000</v>
      </c>
      <c r="X442" s="177">
        <v>3000</v>
      </c>
      <c r="Y442" s="177"/>
      <c r="Z442" s="177"/>
      <c r="AA442" s="177"/>
      <c r="AB442" s="177"/>
      <c r="AC442" s="177"/>
      <c r="AD442" s="177"/>
      <c r="AE442" s="177"/>
      <c r="AF442" s="177"/>
      <c r="AG442" s="177"/>
      <c r="AH442" s="177"/>
      <c r="AI442" s="198"/>
      <c r="AJ442" s="173">
        <f t="shared" si="153"/>
        <v>0</v>
      </c>
    </row>
    <row r="443" spans="1:36" ht="49.5" x14ac:dyDescent="0.25">
      <c r="A443" s="221">
        <v>6</v>
      </c>
      <c r="B443" s="183" t="s">
        <v>1037</v>
      </c>
      <c r="C443" s="180"/>
      <c r="D443" s="180" t="s">
        <v>1036</v>
      </c>
      <c r="E443" s="181" t="s">
        <v>109</v>
      </c>
      <c r="F443" s="180"/>
      <c r="G443" s="213">
        <v>1426</v>
      </c>
      <c r="H443" s="213">
        <v>1426</v>
      </c>
      <c r="I443" s="177"/>
      <c r="J443" s="177"/>
      <c r="K443" s="177"/>
      <c r="L443" s="177"/>
      <c r="M443" s="179">
        <v>1200</v>
      </c>
      <c r="N443" s="212">
        <v>1200</v>
      </c>
      <c r="O443" s="220">
        <v>1200</v>
      </c>
      <c r="P443" s="220">
        <v>1200</v>
      </c>
      <c r="Q443" s="177">
        <f t="shared" si="171"/>
        <v>0</v>
      </c>
      <c r="R443" s="177">
        <f t="shared" si="171"/>
        <v>0</v>
      </c>
      <c r="S443" s="176"/>
      <c r="T443" s="176"/>
      <c r="U443" s="454">
        <v>1200</v>
      </c>
      <c r="V443" s="454">
        <v>1200</v>
      </c>
      <c r="W443" s="177"/>
      <c r="X443" s="177"/>
      <c r="Y443" s="177">
        <f>Z443</f>
        <v>1100</v>
      </c>
      <c r="Z443" s="177">
        <v>1100</v>
      </c>
      <c r="AA443" s="177"/>
      <c r="AB443" s="177"/>
      <c r="AC443" s="177"/>
      <c r="AD443" s="177"/>
      <c r="AE443" s="177"/>
      <c r="AF443" s="177"/>
      <c r="AG443" s="177"/>
      <c r="AH443" s="177"/>
      <c r="AI443" s="198"/>
      <c r="AJ443" s="173">
        <f t="shared" si="153"/>
        <v>0</v>
      </c>
    </row>
    <row r="444" spans="1:36" ht="66" x14ac:dyDescent="0.25">
      <c r="A444" s="221">
        <v>7</v>
      </c>
      <c r="B444" s="183" t="s">
        <v>1035</v>
      </c>
      <c r="C444" s="180"/>
      <c r="D444" s="180" t="s">
        <v>1034</v>
      </c>
      <c r="E444" s="181" t="s">
        <v>109</v>
      </c>
      <c r="F444" s="180"/>
      <c r="G444" s="213">
        <v>2356</v>
      </c>
      <c r="H444" s="213">
        <v>2356</v>
      </c>
      <c r="I444" s="177"/>
      <c r="J444" s="177"/>
      <c r="K444" s="177"/>
      <c r="L444" s="177"/>
      <c r="M444" s="179">
        <v>2000</v>
      </c>
      <c r="N444" s="212">
        <f>M444</f>
        <v>2000</v>
      </c>
      <c r="O444" s="220">
        <v>2000</v>
      </c>
      <c r="P444" s="220">
        <v>2000</v>
      </c>
      <c r="Q444" s="177">
        <f t="shared" si="171"/>
        <v>0</v>
      </c>
      <c r="R444" s="177">
        <f t="shared" si="171"/>
        <v>0</v>
      </c>
      <c r="S444" s="176"/>
      <c r="T444" s="176"/>
      <c r="U444" s="454">
        <v>2000</v>
      </c>
      <c r="V444" s="454">
        <v>2000</v>
      </c>
      <c r="W444" s="177"/>
      <c r="X444" s="177"/>
      <c r="Y444" s="177">
        <f>Z444</f>
        <v>1830</v>
      </c>
      <c r="Z444" s="177">
        <v>1830</v>
      </c>
      <c r="AA444" s="177"/>
      <c r="AB444" s="177"/>
      <c r="AC444" s="177"/>
      <c r="AD444" s="177"/>
      <c r="AE444" s="177"/>
      <c r="AF444" s="177"/>
      <c r="AG444" s="177"/>
      <c r="AH444" s="177"/>
      <c r="AI444" s="198"/>
      <c r="AJ444" s="173">
        <f t="shared" si="153"/>
        <v>0</v>
      </c>
    </row>
    <row r="445" spans="1:36" ht="49.5" x14ac:dyDescent="0.25">
      <c r="A445" s="221">
        <v>8</v>
      </c>
      <c r="B445" s="183" t="s">
        <v>1033</v>
      </c>
      <c r="C445" s="180"/>
      <c r="D445" s="180" t="s">
        <v>1032</v>
      </c>
      <c r="E445" s="181" t="s">
        <v>109</v>
      </c>
      <c r="F445" s="180"/>
      <c r="G445" s="213">
        <v>2007</v>
      </c>
      <c r="H445" s="213">
        <v>2007</v>
      </c>
      <c r="I445" s="177"/>
      <c r="J445" s="177"/>
      <c r="K445" s="177"/>
      <c r="L445" s="177"/>
      <c r="M445" s="179">
        <v>1800</v>
      </c>
      <c r="N445" s="212">
        <f>M445</f>
        <v>1800</v>
      </c>
      <c r="O445" s="220">
        <v>1800</v>
      </c>
      <c r="P445" s="220">
        <v>1800</v>
      </c>
      <c r="Q445" s="177">
        <f t="shared" si="171"/>
        <v>0</v>
      </c>
      <c r="R445" s="177">
        <f t="shared" si="171"/>
        <v>0</v>
      </c>
      <c r="S445" s="176"/>
      <c r="T445" s="176"/>
      <c r="U445" s="454">
        <v>1800</v>
      </c>
      <c r="V445" s="454">
        <v>1800</v>
      </c>
      <c r="W445" s="177"/>
      <c r="X445" s="177"/>
      <c r="Y445" s="177"/>
      <c r="Z445" s="177"/>
      <c r="AA445" s="177"/>
      <c r="AB445" s="177"/>
      <c r="AC445" s="177"/>
      <c r="AD445" s="177"/>
      <c r="AE445" s="177"/>
      <c r="AF445" s="177"/>
      <c r="AG445" s="177"/>
      <c r="AH445" s="177"/>
      <c r="AI445" s="198"/>
      <c r="AJ445" s="173">
        <f t="shared" si="153"/>
        <v>0</v>
      </c>
    </row>
    <row r="446" spans="1:36" ht="16.5" x14ac:dyDescent="0.25">
      <c r="A446" s="221">
        <v>9</v>
      </c>
      <c r="B446" s="183" t="s">
        <v>1031</v>
      </c>
      <c r="C446" s="180"/>
      <c r="D446" s="180" t="s">
        <v>1030</v>
      </c>
      <c r="E446" s="181" t="s">
        <v>109</v>
      </c>
      <c r="F446" s="180"/>
      <c r="G446" s="213">
        <v>1511</v>
      </c>
      <c r="H446" s="213">
        <v>1511</v>
      </c>
      <c r="I446" s="177"/>
      <c r="J446" s="177"/>
      <c r="K446" s="177"/>
      <c r="L446" s="177"/>
      <c r="M446" s="179">
        <f>N446</f>
        <v>1300</v>
      </c>
      <c r="N446" s="212">
        <v>1300</v>
      </c>
      <c r="O446" s="220">
        <v>1300</v>
      </c>
      <c r="P446" s="220">
        <v>1300</v>
      </c>
      <c r="Q446" s="177">
        <f t="shared" si="171"/>
        <v>0</v>
      </c>
      <c r="R446" s="177">
        <f t="shared" si="171"/>
        <v>0</v>
      </c>
      <c r="S446" s="176"/>
      <c r="T446" s="176"/>
      <c r="U446" s="454">
        <v>1300</v>
      </c>
      <c r="V446" s="454">
        <v>1300</v>
      </c>
      <c r="W446" s="177"/>
      <c r="X446" s="177"/>
      <c r="Y446" s="177"/>
      <c r="Z446" s="177"/>
      <c r="AA446" s="177"/>
      <c r="AB446" s="177"/>
      <c r="AC446" s="177"/>
      <c r="AD446" s="177"/>
      <c r="AE446" s="177"/>
      <c r="AF446" s="177"/>
      <c r="AG446" s="177"/>
      <c r="AH446" s="177"/>
      <c r="AI446" s="198"/>
      <c r="AJ446" s="173">
        <f t="shared" si="153"/>
        <v>0</v>
      </c>
    </row>
    <row r="447" spans="1:36" ht="49.5" x14ac:dyDescent="0.25">
      <c r="A447" s="221">
        <v>10</v>
      </c>
      <c r="B447" s="183" t="s">
        <v>1029</v>
      </c>
      <c r="C447" s="180"/>
      <c r="D447" s="180" t="s">
        <v>1028</v>
      </c>
      <c r="E447" s="181" t="s">
        <v>109</v>
      </c>
      <c r="F447" s="180"/>
      <c r="G447" s="213">
        <v>1063</v>
      </c>
      <c r="H447" s="213">
        <v>1063</v>
      </c>
      <c r="I447" s="177"/>
      <c r="J447" s="177"/>
      <c r="K447" s="177"/>
      <c r="L447" s="177"/>
      <c r="M447" s="179">
        <v>960</v>
      </c>
      <c r="N447" s="212">
        <f t="shared" ref="N447:N455" si="172">M447</f>
        <v>960</v>
      </c>
      <c r="O447" s="220">
        <v>960</v>
      </c>
      <c r="P447" s="220">
        <v>960</v>
      </c>
      <c r="Q447" s="177">
        <f t="shared" si="171"/>
        <v>0</v>
      </c>
      <c r="R447" s="177">
        <f t="shared" si="171"/>
        <v>0</v>
      </c>
      <c r="S447" s="176"/>
      <c r="T447" s="176"/>
      <c r="U447" s="454">
        <v>960</v>
      </c>
      <c r="V447" s="454">
        <v>960</v>
      </c>
      <c r="W447" s="177"/>
      <c r="X447" s="177"/>
      <c r="Y447" s="177"/>
      <c r="Z447" s="177"/>
      <c r="AA447" s="177"/>
      <c r="AB447" s="177"/>
      <c r="AC447" s="177"/>
      <c r="AD447" s="177"/>
      <c r="AE447" s="177"/>
      <c r="AF447" s="177"/>
      <c r="AG447" s="177"/>
      <c r="AH447" s="177"/>
      <c r="AI447" s="198"/>
      <c r="AJ447" s="173">
        <f t="shared" si="153"/>
        <v>0</v>
      </c>
    </row>
    <row r="448" spans="1:36" ht="49.5" x14ac:dyDescent="0.25">
      <c r="A448" s="221">
        <v>11</v>
      </c>
      <c r="B448" s="183" t="s">
        <v>1027</v>
      </c>
      <c r="C448" s="180"/>
      <c r="D448" s="180" t="s">
        <v>1026</v>
      </c>
      <c r="E448" s="181" t="s">
        <v>116</v>
      </c>
      <c r="F448" s="180"/>
      <c r="G448" s="213">
        <v>1444</v>
      </c>
      <c r="H448" s="213">
        <v>1444</v>
      </c>
      <c r="I448" s="177"/>
      <c r="J448" s="177"/>
      <c r="K448" s="177"/>
      <c r="L448" s="177"/>
      <c r="M448" s="179">
        <v>1280</v>
      </c>
      <c r="N448" s="212">
        <f t="shared" si="172"/>
        <v>1280</v>
      </c>
      <c r="O448" s="220">
        <v>1280</v>
      </c>
      <c r="P448" s="220">
        <v>1280</v>
      </c>
      <c r="Q448" s="177">
        <f t="shared" si="171"/>
        <v>0</v>
      </c>
      <c r="R448" s="177">
        <f t="shared" si="171"/>
        <v>0</v>
      </c>
      <c r="S448" s="176"/>
      <c r="T448" s="176"/>
      <c r="U448" s="454">
        <v>1280</v>
      </c>
      <c r="V448" s="454">
        <v>1280</v>
      </c>
      <c r="W448" s="177"/>
      <c r="X448" s="177"/>
      <c r="Y448" s="177"/>
      <c r="Z448" s="177"/>
      <c r="AA448" s="177"/>
      <c r="AB448" s="177"/>
      <c r="AC448" s="177"/>
      <c r="AD448" s="177"/>
      <c r="AE448" s="177"/>
      <c r="AF448" s="177"/>
      <c r="AG448" s="177"/>
      <c r="AH448" s="177"/>
      <c r="AI448" s="198"/>
      <c r="AJ448" s="173">
        <f t="shared" si="153"/>
        <v>0</v>
      </c>
    </row>
    <row r="449" spans="1:36" ht="82.5" x14ac:dyDescent="0.25">
      <c r="A449" s="221">
        <v>12</v>
      </c>
      <c r="B449" s="183" t="s">
        <v>1025</v>
      </c>
      <c r="C449" s="180"/>
      <c r="D449" s="222" t="s">
        <v>1024</v>
      </c>
      <c r="E449" s="181" t="s">
        <v>116</v>
      </c>
      <c r="F449" s="180"/>
      <c r="G449" s="213">
        <v>3858</v>
      </c>
      <c r="H449" s="213">
        <v>3858</v>
      </c>
      <c r="I449" s="177"/>
      <c r="J449" s="177"/>
      <c r="K449" s="177"/>
      <c r="L449" s="177"/>
      <c r="M449" s="179">
        <v>3500</v>
      </c>
      <c r="N449" s="212">
        <f t="shared" si="172"/>
        <v>3500</v>
      </c>
      <c r="O449" s="220">
        <v>3500</v>
      </c>
      <c r="P449" s="220">
        <v>3500</v>
      </c>
      <c r="Q449" s="177">
        <f t="shared" si="171"/>
        <v>0</v>
      </c>
      <c r="R449" s="177">
        <f t="shared" si="171"/>
        <v>0</v>
      </c>
      <c r="S449" s="176"/>
      <c r="T449" s="176"/>
      <c r="U449" s="454">
        <v>3500</v>
      </c>
      <c r="V449" s="454">
        <v>3500</v>
      </c>
      <c r="W449" s="177"/>
      <c r="X449" s="177"/>
      <c r="Y449" s="177"/>
      <c r="Z449" s="177"/>
      <c r="AA449" s="177"/>
      <c r="AB449" s="177"/>
      <c r="AC449" s="177"/>
      <c r="AD449" s="177"/>
      <c r="AE449" s="177"/>
      <c r="AF449" s="177"/>
      <c r="AG449" s="177"/>
      <c r="AH449" s="177"/>
      <c r="AI449" s="198"/>
      <c r="AJ449" s="173">
        <f t="shared" si="153"/>
        <v>0</v>
      </c>
    </row>
    <row r="450" spans="1:36" ht="49.5" x14ac:dyDescent="0.25">
      <c r="A450" s="221">
        <v>13</v>
      </c>
      <c r="B450" s="183" t="s">
        <v>1023</v>
      </c>
      <c r="C450" s="180"/>
      <c r="D450" s="180" t="s">
        <v>1022</v>
      </c>
      <c r="E450" s="181" t="s">
        <v>116</v>
      </c>
      <c r="F450" s="180"/>
      <c r="G450" s="213">
        <v>6016</v>
      </c>
      <c r="H450" s="213">
        <v>6016</v>
      </c>
      <c r="I450" s="177"/>
      <c r="J450" s="177"/>
      <c r="K450" s="177"/>
      <c r="L450" s="177"/>
      <c r="M450" s="179">
        <v>5400</v>
      </c>
      <c r="N450" s="212">
        <f t="shared" si="172"/>
        <v>5400</v>
      </c>
      <c r="O450" s="220">
        <v>5400</v>
      </c>
      <c r="P450" s="220">
        <v>5400</v>
      </c>
      <c r="Q450" s="177">
        <f t="shared" si="171"/>
        <v>0</v>
      </c>
      <c r="R450" s="177">
        <f t="shared" si="171"/>
        <v>0</v>
      </c>
      <c r="S450" s="176"/>
      <c r="T450" s="176"/>
      <c r="U450" s="454">
        <v>5400</v>
      </c>
      <c r="V450" s="454">
        <v>5400</v>
      </c>
      <c r="W450" s="177"/>
      <c r="X450" s="177"/>
      <c r="Y450" s="177">
        <f>Z450</f>
        <v>4700</v>
      </c>
      <c r="Z450" s="177">
        <v>4700</v>
      </c>
      <c r="AA450" s="177"/>
      <c r="AB450" s="177"/>
      <c r="AC450" s="177"/>
      <c r="AD450" s="177"/>
      <c r="AE450" s="177"/>
      <c r="AF450" s="177"/>
      <c r="AG450" s="177"/>
      <c r="AH450" s="177"/>
      <c r="AI450" s="198"/>
      <c r="AJ450" s="173">
        <f t="shared" si="153"/>
        <v>0</v>
      </c>
    </row>
    <row r="451" spans="1:36" ht="49.5" x14ac:dyDescent="0.25">
      <c r="A451" s="221">
        <v>14</v>
      </c>
      <c r="B451" s="183" t="s">
        <v>1021</v>
      </c>
      <c r="C451" s="180"/>
      <c r="D451" s="180" t="s">
        <v>1020</v>
      </c>
      <c r="E451" s="181" t="s">
        <v>116</v>
      </c>
      <c r="F451" s="180"/>
      <c r="G451" s="213">
        <v>5604</v>
      </c>
      <c r="H451" s="213">
        <v>5604</v>
      </c>
      <c r="I451" s="177"/>
      <c r="J451" s="177"/>
      <c r="K451" s="177"/>
      <c r="L451" s="177"/>
      <c r="M451" s="179">
        <v>5000</v>
      </c>
      <c r="N451" s="212">
        <f t="shared" si="172"/>
        <v>5000</v>
      </c>
      <c r="O451" s="220">
        <v>5000</v>
      </c>
      <c r="P451" s="220">
        <v>5000</v>
      </c>
      <c r="Q451" s="177">
        <f t="shared" si="171"/>
        <v>0</v>
      </c>
      <c r="R451" s="177">
        <f t="shared" si="171"/>
        <v>0</v>
      </c>
      <c r="S451" s="176"/>
      <c r="T451" s="176"/>
      <c r="U451" s="454">
        <v>5000</v>
      </c>
      <c r="V451" s="454">
        <v>5000</v>
      </c>
      <c r="W451" s="177"/>
      <c r="X451" s="177"/>
      <c r="Y451" s="177">
        <f>Z451</f>
        <v>4400</v>
      </c>
      <c r="Z451" s="177">
        <v>4400</v>
      </c>
      <c r="AA451" s="177"/>
      <c r="AB451" s="177"/>
      <c r="AC451" s="177"/>
      <c r="AD451" s="177"/>
      <c r="AE451" s="177"/>
      <c r="AF451" s="177"/>
      <c r="AG451" s="177"/>
      <c r="AH451" s="177"/>
      <c r="AI451" s="198"/>
      <c r="AJ451" s="173">
        <f t="shared" si="153"/>
        <v>0</v>
      </c>
    </row>
    <row r="452" spans="1:36" ht="33" x14ac:dyDescent="0.25">
      <c r="A452" s="184">
        <v>15</v>
      </c>
      <c r="B452" s="183" t="s">
        <v>1019</v>
      </c>
      <c r="C452" s="180"/>
      <c r="D452" s="180" t="s">
        <v>1018</v>
      </c>
      <c r="E452" s="181" t="s">
        <v>116</v>
      </c>
      <c r="F452" s="180"/>
      <c r="G452" s="213">
        <v>1823</v>
      </c>
      <c r="H452" s="213">
        <v>1823</v>
      </c>
      <c r="I452" s="200"/>
      <c r="J452" s="200"/>
      <c r="K452" s="200"/>
      <c r="L452" s="200"/>
      <c r="M452" s="179">
        <v>1670</v>
      </c>
      <c r="N452" s="212">
        <f t="shared" si="172"/>
        <v>1670</v>
      </c>
      <c r="O452" s="201">
        <v>1670</v>
      </c>
      <c r="P452" s="201">
        <v>1670</v>
      </c>
      <c r="Q452" s="177">
        <f t="shared" si="171"/>
        <v>0</v>
      </c>
      <c r="R452" s="177">
        <f t="shared" si="171"/>
        <v>0</v>
      </c>
      <c r="S452" s="176"/>
      <c r="T452" s="176"/>
      <c r="U452" s="475">
        <v>1670</v>
      </c>
      <c r="V452" s="475">
        <v>1670</v>
      </c>
      <c r="W452" s="200"/>
      <c r="X452" s="200"/>
      <c r="Y452" s="177">
        <f>Z452</f>
        <v>1400</v>
      </c>
      <c r="Z452" s="177">
        <v>1400</v>
      </c>
      <c r="AA452" s="200"/>
      <c r="AB452" s="200"/>
      <c r="AC452" s="200"/>
      <c r="AD452" s="200"/>
      <c r="AE452" s="200"/>
      <c r="AF452" s="200"/>
      <c r="AG452" s="200"/>
      <c r="AH452" s="200"/>
      <c r="AI452" s="219"/>
      <c r="AJ452" s="173">
        <f t="shared" si="153"/>
        <v>0</v>
      </c>
    </row>
    <row r="453" spans="1:36" ht="33" x14ac:dyDescent="0.25">
      <c r="A453" s="184">
        <v>16</v>
      </c>
      <c r="B453" s="183" t="s">
        <v>1017</v>
      </c>
      <c r="C453" s="180"/>
      <c r="D453" s="180" t="s">
        <v>1016</v>
      </c>
      <c r="E453" s="181" t="s">
        <v>116</v>
      </c>
      <c r="F453" s="180"/>
      <c r="G453" s="213">
        <v>2261</v>
      </c>
      <c r="H453" s="213">
        <v>2261</v>
      </c>
      <c r="I453" s="217"/>
      <c r="J453" s="217"/>
      <c r="K453" s="217"/>
      <c r="L453" s="217"/>
      <c r="M453" s="179">
        <v>2000</v>
      </c>
      <c r="N453" s="212">
        <f t="shared" si="172"/>
        <v>2000</v>
      </c>
      <c r="O453" s="218">
        <v>2000</v>
      </c>
      <c r="P453" s="218">
        <v>2000</v>
      </c>
      <c r="Q453" s="177">
        <f t="shared" si="171"/>
        <v>0</v>
      </c>
      <c r="R453" s="177">
        <f t="shared" si="171"/>
        <v>0</v>
      </c>
      <c r="S453" s="176"/>
      <c r="T453" s="176"/>
      <c r="U453" s="467">
        <v>2000</v>
      </c>
      <c r="V453" s="467">
        <v>2000</v>
      </c>
      <c r="W453" s="217"/>
      <c r="X453" s="217"/>
      <c r="Y453" s="177">
        <f>Z453</f>
        <v>990</v>
      </c>
      <c r="Z453" s="217">
        <v>990</v>
      </c>
      <c r="AA453" s="217"/>
      <c r="AB453" s="217"/>
      <c r="AC453" s="217"/>
      <c r="AD453" s="217"/>
      <c r="AE453" s="217"/>
      <c r="AF453" s="217"/>
      <c r="AG453" s="217"/>
      <c r="AH453" s="217"/>
      <c r="AI453" s="174"/>
      <c r="AJ453" s="173">
        <f t="shared" si="153"/>
        <v>0</v>
      </c>
    </row>
    <row r="454" spans="1:36" ht="49.5" x14ac:dyDescent="0.25">
      <c r="A454" s="184">
        <v>17</v>
      </c>
      <c r="B454" s="183" t="s">
        <v>1015</v>
      </c>
      <c r="C454" s="180"/>
      <c r="D454" s="180" t="s">
        <v>1014</v>
      </c>
      <c r="E454" s="181" t="s">
        <v>116</v>
      </c>
      <c r="F454" s="180"/>
      <c r="G454" s="213">
        <v>9913</v>
      </c>
      <c r="H454" s="213">
        <v>9913</v>
      </c>
      <c r="I454" s="217"/>
      <c r="J454" s="217"/>
      <c r="K454" s="217"/>
      <c r="L454" s="217"/>
      <c r="M454" s="179">
        <v>9000</v>
      </c>
      <c r="N454" s="212">
        <f t="shared" si="172"/>
        <v>9000</v>
      </c>
      <c r="O454" s="218">
        <v>9000</v>
      </c>
      <c r="P454" s="218">
        <v>9000</v>
      </c>
      <c r="Q454" s="177">
        <f t="shared" si="171"/>
        <v>0</v>
      </c>
      <c r="R454" s="177">
        <f t="shared" si="171"/>
        <v>0</v>
      </c>
      <c r="S454" s="176"/>
      <c r="T454" s="176"/>
      <c r="U454" s="467">
        <v>9000</v>
      </c>
      <c r="V454" s="467">
        <v>9000</v>
      </c>
      <c r="W454" s="217"/>
      <c r="X454" s="217"/>
      <c r="Y454" s="177">
        <f>Z454</f>
        <v>1100</v>
      </c>
      <c r="Z454" s="217">
        <v>1100</v>
      </c>
      <c r="AA454" s="217"/>
      <c r="AB454" s="217"/>
      <c r="AC454" s="217"/>
      <c r="AD454" s="217"/>
      <c r="AE454" s="217"/>
      <c r="AF454" s="217"/>
      <c r="AG454" s="217"/>
      <c r="AH454" s="217"/>
      <c r="AI454" s="174"/>
      <c r="AJ454" s="173">
        <f t="shared" si="153"/>
        <v>0</v>
      </c>
    </row>
    <row r="455" spans="1:36" ht="33" x14ac:dyDescent="0.25">
      <c r="A455" s="184">
        <v>18</v>
      </c>
      <c r="B455" s="183" t="s">
        <v>1013</v>
      </c>
      <c r="C455" s="180"/>
      <c r="D455" s="180" t="s">
        <v>1012</v>
      </c>
      <c r="E455" s="181" t="s">
        <v>116</v>
      </c>
      <c r="F455" s="180"/>
      <c r="G455" s="213">
        <v>9825</v>
      </c>
      <c r="H455" s="213">
        <v>9825</v>
      </c>
      <c r="I455" s="175"/>
      <c r="J455" s="175"/>
      <c r="K455" s="175"/>
      <c r="L455" s="175"/>
      <c r="M455" s="179">
        <v>8900</v>
      </c>
      <c r="N455" s="212">
        <f t="shared" si="172"/>
        <v>8900</v>
      </c>
      <c r="O455" s="186">
        <v>8900</v>
      </c>
      <c r="P455" s="186">
        <v>8900</v>
      </c>
      <c r="Q455" s="177">
        <f t="shared" si="171"/>
        <v>0</v>
      </c>
      <c r="R455" s="177">
        <f t="shared" si="171"/>
        <v>0</v>
      </c>
      <c r="S455" s="176"/>
      <c r="T455" s="176"/>
      <c r="U455" s="467">
        <v>8900</v>
      </c>
      <c r="V455" s="467">
        <v>8900</v>
      </c>
      <c r="W455" s="175"/>
      <c r="X455" s="175"/>
      <c r="Y455" s="175"/>
      <c r="Z455" s="175"/>
      <c r="AA455" s="175"/>
      <c r="AB455" s="175"/>
      <c r="AC455" s="175"/>
      <c r="AD455" s="175"/>
      <c r="AE455" s="175"/>
      <c r="AF455" s="175"/>
      <c r="AG455" s="175"/>
      <c r="AH455" s="175"/>
      <c r="AI455" s="174"/>
      <c r="AJ455" s="173">
        <f t="shared" si="153"/>
        <v>0</v>
      </c>
    </row>
    <row r="456" spans="1:36" s="453" customFormat="1" ht="34.5" x14ac:dyDescent="0.25">
      <c r="A456" s="194" t="s">
        <v>47</v>
      </c>
      <c r="B456" s="193" t="s">
        <v>1011</v>
      </c>
      <c r="C456" s="447"/>
      <c r="D456" s="448"/>
      <c r="E456" s="449"/>
      <c r="F456" s="449"/>
      <c r="G456" s="214">
        <f>G457</f>
        <v>40000</v>
      </c>
      <c r="H456" s="214">
        <f>H457</f>
        <v>40000</v>
      </c>
      <c r="I456" s="450"/>
      <c r="J456" s="360"/>
      <c r="K456" s="450"/>
      <c r="L456" s="360"/>
      <c r="M456" s="214">
        <f>M457</f>
        <v>27570</v>
      </c>
      <c r="N456" s="214">
        <f>N457</f>
        <v>27570</v>
      </c>
      <c r="O456" s="451">
        <v>27570</v>
      </c>
      <c r="P456" s="451">
        <v>27570</v>
      </c>
      <c r="Q456" s="360">
        <f t="shared" si="171"/>
        <v>0</v>
      </c>
      <c r="R456" s="360">
        <f t="shared" si="171"/>
        <v>0</v>
      </c>
      <c r="S456" s="452">
        <f>IF(R456&gt;0,R456,0)</f>
        <v>0</v>
      </c>
      <c r="T456" s="452">
        <f>IF(R456&lt;0,-R456,0)</f>
        <v>0</v>
      </c>
      <c r="U456" s="466">
        <v>27570</v>
      </c>
      <c r="V456" s="466">
        <v>27570</v>
      </c>
      <c r="W456" s="360"/>
      <c r="X456" s="360"/>
      <c r="Y456" s="360"/>
      <c r="Z456" s="360"/>
      <c r="AA456" s="360"/>
      <c r="AB456" s="360"/>
      <c r="AC456" s="360"/>
      <c r="AD456" s="360"/>
      <c r="AE456" s="360"/>
      <c r="AF456" s="360"/>
      <c r="AG456" s="360"/>
      <c r="AH456" s="360"/>
      <c r="AI456" s="359"/>
      <c r="AJ456" s="173">
        <f t="shared" si="153"/>
        <v>0</v>
      </c>
    </row>
    <row r="457" spans="1:36" ht="66" x14ac:dyDescent="0.25">
      <c r="A457" s="184">
        <v>19</v>
      </c>
      <c r="B457" s="183" t="s">
        <v>1010</v>
      </c>
      <c r="C457" s="180"/>
      <c r="D457" s="180"/>
      <c r="E457" s="181" t="s">
        <v>116</v>
      </c>
      <c r="F457" s="180"/>
      <c r="G457" s="213">
        <v>40000</v>
      </c>
      <c r="H457" s="213">
        <v>40000</v>
      </c>
      <c r="I457" s="175"/>
      <c r="J457" s="175"/>
      <c r="K457" s="175"/>
      <c r="L457" s="175"/>
      <c r="M457" s="179">
        <v>27570</v>
      </c>
      <c r="N457" s="212">
        <f>M457</f>
        <v>27570</v>
      </c>
      <c r="O457" s="186">
        <v>27570</v>
      </c>
      <c r="P457" s="186">
        <v>27570</v>
      </c>
      <c r="Q457" s="177">
        <f t="shared" si="171"/>
        <v>0</v>
      </c>
      <c r="R457" s="177">
        <f t="shared" si="171"/>
        <v>0</v>
      </c>
      <c r="S457" s="176"/>
      <c r="T457" s="176"/>
      <c r="U457" s="467">
        <v>27570</v>
      </c>
      <c r="V457" s="467">
        <v>27570</v>
      </c>
      <c r="W457" s="175"/>
      <c r="X457" s="175"/>
      <c r="Y457" s="175"/>
      <c r="Z457" s="175"/>
      <c r="AA457" s="175"/>
      <c r="AB457" s="175"/>
      <c r="AC457" s="175"/>
      <c r="AD457" s="175"/>
      <c r="AE457" s="175"/>
      <c r="AF457" s="175"/>
      <c r="AG457" s="175"/>
      <c r="AH457" s="175"/>
      <c r="AI457" s="174"/>
      <c r="AJ457" s="173">
        <f t="shared" si="153"/>
        <v>0</v>
      </c>
    </row>
    <row r="458" spans="1:36" s="203" customFormat="1" ht="16.5" x14ac:dyDescent="0.25">
      <c r="A458" s="210" t="s">
        <v>658</v>
      </c>
      <c r="B458" s="209" t="s">
        <v>1009</v>
      </c>
      <c r="C458" s="208"/>
      <c r="D458" s="207"/>
      <c r="E458" s="207"/>
      <c r="F458" s="207"/>
      <c r="G458" s="206">
        <f>G459+G465</f>
        <v>104556</v>
      </c>
      <c r="H458" s="206">
        <f t="shared" ref="H458:Z458" si="173">H459+H465</f>
        <v>104556</v>
      </c>
      <c r="I458" s="206">
        <f t="shared" si="173"/>
        <v>8000</v>
      </c>
      <c r="J458" s="206">
        <f t="shared" si="173"/>
        <v>8000</v>
      </c>
      <c r="K458" s="206">
        <f t="shared" si="173"/>
        <v>8000</v>
      </c>
      <c r="L458" s="206">
        <f t="shared" si="173"/>
        <v>8000</v>
      </c>
      <c r="M458" s="206">
        <f t="shared" si="173"/>
        <v>80000</v>
      </c>
      <c r="N458" s="206">
        <f t="shared" si="173"/>
        <v>80000</v>
      </c>
      <c r="O458" s="206">
        <f t="shared" si="173"/>
        <v>80000</v>
      </c>
      <c r="P458" s="206">
        <f t="shared" si="173"/>
        <v>80000</v>
      </c>
      <c r="Q458" s="206">
        <f t="shared" si="173"/>
        <v>0</v>
      </c>
      <c r="R458" s="206">
        <f t="shared" si="173"/>
        <v>0</v>
      </c>
      <c r="S458" s="206">
        <f t="shared" si="173"/>
        <v>5700</v>
      </c>
      <c r="T458" s="206">
        <f t="shared" si="173"/>
        <v>5700</v>
      </c>
      <c r="U458" s="206">
        <f t="shared" si="173"/>
        <v>80000</v>
      </c>
      <c r="V458" s="206">
        <f t="shared" si="173"/>
        <v>80000</v>
      </c>
      <c r="W458" s="206">
        <f t="shared" si="173"/>
        <v>14600</v>
      </c>
      <c r="X458" s="206">
        <f t="shared" si="173"/>
        <v>14600</v>
      </c>
      <c r="Y458" s="206">
        <f t="shared" si="173"/>
        <v>16000</v>
      </c>
      <c r="Z458" s="206">
        <f t="shared" si="173"/>
        <v>16000</v>
      </c>
      <c r="AA458" s="205">
        <v>80000</v>
      </c>
      <c r="AB458" s="205">
        <v>80000</v>
      </c>
      <c r="AC458" s="205">
        <v>80000</v>
      </c>
      <c r="AD458" s="205">
        <v>80000</v>
      </c>
      <c r="AE458" s="205">
        <v>80000</v>
      </c>
      <c r="AF458" s="205">
        <v>80000</v>
      </c>
      <c r="AG458" s="205">
        <v>80000</v>
      </c>
      <c r="AH458" s="205">
        <v>80000</v>
      </c>
      <c r="AI458" s="205"/>
      <c r="AJ458" s="173">
        <v>1</v>
      </c>
    </row>
    <row r="459" spans="1:36" ht="51.75" x14ac:dyDescent="0.25">
      <c r="A459" s="195" t="s">
        <v>45</v>
      </c>
      <c r="B459" s="193" t="s">
        <v>46</v>
      </c>
      <c r="C459" s="192"/>
      <c r="D459" s="192"/>
      <c r="E459" s="192"/>
      <c r="F459" s="192"/>
      <c r="G459" s="191">
        <f t="shared" ref="G459:Z459" si="174">G460</f>
        <v>14997</v>
      </c>
      <c r="H459" s="191">
        <f t="shared" si="174"/>
        <v>14997</v>
      </c>
      <c r="I459" s="191">
        <f t="shared" si="174"/>
        <v>8000</v>
      </c>
      <c r="J459" s="191">
        <f t="shared" si="174"/>
        <v>8000</v>
      </c>
      <c r="K459" s="191">
        <f t="shared" si="174"/>
        <v>8000</v>
      </c>
      <c r="L459" s="191">
        <f t="shared" si="174"/>
        <v>8000</v>
      </c>
      <c r="M459" s="191">
        <f t="shared" si="174"/>
        <v>5500</v>
      </c>
      <c r="N459" s="191">
        <f t="shared" si="174"/>
        <v>5500</v>
      </c>
      <c r="O459" s="191">
        <f t="shared" si="174"/>
        <v>5500</v>
      </c>
      <c r="P459" s="191">
        <f t="shared" si="174"/>
        <v>5500</v>
      </c>
      <c r="Q459" s="191">
        <f t="shared" si="174"/>
        <v>0</v>
      </c>
      <c r="R459" s="191">
        <f t="shared" si="174"/>
        <v>0</v>
      </c>
      <c r="S459" s="191">
        <f t="shared" si="174"/>
        <v>0</v>
      </c>
      <c r="T459" s="191">
        <f t="shared" si="174"/>
        <v>0</v>
      </c>
      <c r="U459" s="474">
        <f t="shared" si="174"/>
        <v>5500</v>
      </c>
      <c r="V459" s="474">
        <v>5500</v>
      </c>
      <c r="W459" s="191">
        <f t="shared" si="174"/>
        <v>5500</v>
      </c>
      <c r="X459" s="191">
        <f t="shared" si="174"/>
        <v>5500</v>
      </c>
      <c r="Y459" s="191">
        <f t="shared" si="174"/>
        <v>0</v>
      </c>
      <c r="Z459" s="191">
        <f t="shared" si="174"/>
        <v>0</v>
      </c>
      <c r="AA459" s="190">
        <v>5500</v>
      </c>
      <c r="AB459" s="190">
        <v>5500</v>
      </c>
      <c r="AC459" s="190">
        <v>5500</v>
      </c>
      <c r="AD459" s="190">
        <v>5500</v>
      </c>
      <c r="AE459" s="190">
        <v>5500</v>
      </c>
      <c r="AF459" s="190">
        <v>5500</v>
      </c>
      <c r="AG459" s="190">
        <v>5500</v>
      </c>
      <c r="AH459" s="190">
        <v>5500</v>
      </c>
      <c r="AI459" s="190"/>
      <c r="AJ459" s="173">
        <f t="shared" si="153"/>
        <v>0</v>
      </c>
    </row>
    <row r="460" spans="1:36" ht="34.5" x14ac:dyDescent="0.25">
      <c r="A460" s="194" t="s">
        <v>47</v>
      </c>
      <c r="B460" s="193" t="s">
        <v>48</v>
      </c>
      <c r="C460" s="192"/>
      <c r="D460" s="192"/>
      <c r="E460" s="192"/>
      <c r="F460" s="192"/>
      <c r="G460" s="191">
        <f>G463+G464</f>
        <v>14997</v>
      </c>
      <c r="H460" s="191">
        <f t="shared" ref="H460:Z460" si="175">H463+H464</f>
        <v>14997</v>
      </c>
      <c r="I460" s="191">
        <f t="shared" si="175"/>
        <v>8000</v>
      </c>
      <c r="J460" s="191">
        <f t="shared" si="175"/>
        <v>8000</v>
      </c>
      <c r="K460" s="191">
        <f t="shared" si="175"/>
        <v>8000</v>
      </c>
      <c r="L460" s="191">
        <f t="shared" si="175"/>
        <v>8000</v>
      </c>
      <c r="M460" s="191">
        <f t="shared" si="175"/>
        <v>5500</v>
      </c>
      <c r="N460" s="191">
        <f t="shared" si="175"/>
        <v>5500</v>
      </c>
      <c r="O460" s="191">
        <f t="shared" si="175"/>
        <v>5500</v>
      </c>
      <c r="P460" s="191">
        <f t="shared" si="175"/>
        <v>5500</v>
      </c>
      <c r="Q460" s="191">
        <f t="shared" si="175"/>
        <v>0</v>
      </c>
      <c r="R460" s="191">
        <f t="shared" si="175"/>
        <v>0</v>
      </c>
      <c r="S460" s="191">
        <f t="shared" si="175"/>
        <v>0</v>
      </c>
      <c r="T460" s="191">
        <f t="shared" si="175"/>
        <v>0</v>
      </c>
      <c r="U460" s="191">
        <f t="shared" si="175"/>
        <v>5500</v>
      </c>
      <c r="V460" s="191">
        <f t="shared" si="175"/>
        <v>5500</v>
      </c>
      <c r="W460" s="191">
        <f t="shared" si="175"/>
        <v>5500</v>
      </c>
      <c r="X460" s="191">
        <f t="shared" si="175"/>
        <v>5500</v>
      </c>
      <c r="Y460" s="191">
        <f t="shared" si="175"/>
        <v>0</v>
      </c>
      <c r="Z460" s="191">
        <f t="shared" si="175"/>
        <v>0</v>
      </c>
      <c r="AA460" s="190">
        <v>5500</v>
      </c>
      <c r="AB460" s="190">
        <v>5500</v>
      </c>
      <c r="AC460" s="190">
        <v>5500</v>
      </c>
      <c r="AD460" s="190">
        <v>5500</v>
      </c>
      <c r="AE460" s="190">
        <v>5500</v>
      </c>
      <c r="AF460" s="190">
        <v>5500</v>
      </c>
      <c r="AG460" s="190">
        <v>5500</v>
      </c>
      <c r="AH460" s="190">
        <v>5500</v>
      </c>
      <c r="AI460" s="190"/>
      <c r="AJ460" s="173">
        <f t="shared" si="153"/>
        <v>0</v>
      </c>
    </row>
    <row r="461" spans="1:36" ht="17.25" x14ac:dyDescent="0.25">
      <c r="A461" s="194"/>
      <c r="B461" s="193" t="s">
        <v>49</v>
      </c>
      <c r="C461" s="202"/>
      <c r="D461" s="202"/>
      <c r="E461" s="202"/>
      <c r="F461" s="202"/>
      <c r="G461" s="200"/>
      <c r="H461" s="200"/>
      <c r="I461" s="200"/>
      <c r="J461" s="200"/>
      <c r="K461" s="200"/>
      <c r="L461" s="200"/>
      <c r="M461" s="200"/>
      <c r="N461" s="200"/>
      <c r="O461" s="201"/>
      <c r="P461" s="201"/>
      <c r="Q461" s="177">
        <f t="shared" ref="Q461:R464" si="176">O461-M461</f>
        <v>0</v>
      </c>
      <c r="R461" s="177">
        <f t="shared" si="176"/>
        <v>0</v>
      </c>
      <c r="S461" s="176">
        <f>IF(R461&gt;0,R461,0)</f>
        <v>0</v>
      </c>
      <c r="T461" s="176">
        <f>IF(R461&lt;0,-R461,0)</f>
        <v>0</v>
      </c>
      <c r="U461" s="475"/>
      <c r="V461" s="475"/>
      <c r="W461" s="200"/>
      <c r="X461" s="200"/>
      <c r="Y461" s="200"/>
      <c r="Z461" s="200"/>
      <c r="AA461" s="200"/>
      <c r="AB461" s="200"/>
      <c r="AC461" s="200"/>
      <c r="AD461" s="200"/>
      <c r="AE461" s="200"/>
      <c r="AF461" s="200"/>
      <c r="AG461" s="200"/>
      <c r="AH461" s="200"/>
      <c r="AI461" s="198"/>
      <c r="AJ461" s="173">
        <f t="shared" si="153"/>
        <v>0</v>
      </c>
    </row>
    <row r="462" spans="1:36" ht="51.75" x14ac:dyDescent="0.25">
      <c r="A462" s="194"/>
      <c r="B462" s="199" t="s">
        <v>50</v>
      </c>
      <c r="C462" s="192"/>
      <c r="D462" s="192"/>
      <c r="E462" s="192"/>
      <c r="F462" s="192"/>
      <c r="G462" s="191"/>
      <c r="H462" s="191"/>
      <c r="I462" s="191"/>
      <c r="J462" s="191"/>
      <c r="K462" s="191"/>
      <c r="L462" s="191"/>
      <c r="M462" s="191"/>
      <c r="N462" s="191"/>
      <c r="O462" s="190"/>
      <c r="P462" s="190"/>
      <c r="Q462" s="177">
        <f t="shared" si="176"/>
        <v>0</v>
      </c>
      <c r="R462" s="177">
        <f t="shared" si="176"/>
        <v>0</v>
      </c>
      <c r="S462" s="176">
        <f>IF(R462&gt;0,R462,0)</f>
        <v>0</v>
      </c>
      <c r="T462" s="176">
        <f>IF(R462&lt;0,-R462,0)</f>
        <v>0</v>
      </c>
      <c r="U462" s="474"/>
      <c r="V462" s="474"/>
      <c r="W462" s="191"/>
      <c r="X462" s="191"/>
      <c r="Y462" s="191"/>
      <c r="Z462" s="191"/>
      <c r="AA462" s="191"/>
      <c r="AB462" s="191"/>
      <c r="AC462" s="191"/>
      <c r="AD462" s="191"/>
      <c r="AE462" s="191"/>
      <c r="AF462" s="191"/>
      <c r="AG462" s="191"/>
      <c r="AH462" s="191"/>
      <c r="AI462" s="198"/>
      <c r="AJ462" s="173">
        <f t="shared" si="153"/>
        <v>0</v>
      </c>
    </row>
    <row r="463" spans="1:36" ht="33" x14ac:dyDescent="0.25">
      <c r="A463" s="184">
        <v>1</v>
      </c>
      <c r="B463" s="183" t="s">
        <v>1008</v>
      </c>
      <c r="C463" s="188"/>
      <c r="D463" s="197"/>
      <c r="E463" s="197"/>
      <c r="F463" s="197"/>
      <c r="G463" s="179"/>
      <c r="H463" s="175"/>
      <c r="I463" s="175"/>
      <c r="J463" s="175"/>
      <c r="K463" s="175"/>
      <c r="L463" s="175"/>
      <c r="M463" s="179">
        <v>2000</v>
      </c>
      <c r="N463" s="179">
        <v>2000</v>
      </c>
      <c r="O463" s="178">
        <v>2000</v>
      </c>
      <c r="P463" s="178">
        <v>2000</v>
      </c>
      <c r="Q463" s="177">
        <f t="shared" si="176"/>
        <v>0</v>
      </c>
      <c r="R463" s="177">
        <f t="shared" si="176"/>
        <v>0</v>
      </c>
      <c r="S463" s="176"/>
      <c r="T463" s="176"/>
      <c r="U463" s="456">
        <v>2000</v>
      </c>
      <c r="V463" s="456">
        <v>2000</v>
      </c>
      <c r="W463" s="175">
        <f>X463</f>
        <v>2000</v>
      </c>
      <c r="X463" s="175">
        <v>2000</v>
      </c>
      <c r="Y463" s="175"/>
      <c r="Z463" s="175"/>
      <c r="AA463" s="175"/>
      <c r="AB463" s="175"/>
      <c r="AC463" s="175"/>
      <c r="AD463" s="175"/>
      <c r="AE463" s="175"/>
      <c r="AF463" s="175"/>
      <c r="AG463" s="175"/>
      <c r="AH463" s="175"/>
      <c r="AI463" s="174"/>
      <c r="AJ463" s="173">
        <f t="shared" si="153"/>
        <v>0</v>
      </c>
    </row>
    <row r="464" spans="1:36" ht="49.5" x14ac:dyDescent="0.25">
      <c r="A464" s="184">
        <v>2</v>
      </c>
      <c r="B464" s="211" t="s">
        <v>1007</v>
      </c>
      <c r="C464" s="188"/>
      <c r="D464" s="197"/>
      <c r="E464" s="181" t="s">
        <v>199</v>
      </c>
      <c r="F464" s="180" t="s">
        <v>1006</v>
      </c>
      <c r="G464" s="179">
        <v>14997</v>
      </c>
      <c r="H464" s="179">
        <f>G464</f>
        <v>14997</v>
      </c>
      <c r="I464" s="179">
        <f>J464</f>
        <v>8000</v>
      </c>
      <c r="J464" s="179">
        <v>8000</v>
      </c>
      <c r="K464" s="179">
        <f>L464</f>
        <v>8000</v>
      </c>
      <c r="L464" s="179">
        <v>8000</v>
      </c>
      <c r="M464" s="179">
        <f>N464</f>
        <v>3500</v>
      </c>
      <c r="N464" s="179">
        <v>3500</v>
      </c>
      <c r="O464" s="178">
        <v>3500</v>
      </c>
      <c r="P464" s="178">
        <v>3500</v>
      </c>
      <c r="Q464" s="177">
        <f t="shared" si="176"/>
        <v>0</v>
      </c>
      <c r="R464" s="177">
        <f t="shared" si="176"/>
        <v>0</v>
      </c>
      <c r="S464" s="176"/>
      <c r="T464" s="176"/>
      <c r="U464" s="456">
        <v>3500</v>
      </c>
      <c r="V464" s="456">
        <v>3500</v>
      </c>
      <c r="W464" s="175">
        <f>X464</f>
        <v>3500</v>
      </c>
      <c r="X464" s="175">
        <v>3500</v>
      </c>
      <c r="Y464" s="175"/>
      <c r="Z464" s="175"/>
      <c r="AA464" s="175"/>
      <c r="AB464" s="175"/>
      <c r="AC464" s="175"/>
      <c r="AD464" s="175"/>
      <c r="AE464" s="175"/>
      <c r="AF464" s="175"/>
      <c r="AG464" s="175"/>
      <c r="AH464" s="175"/>
      <c r="AI464" s="174"/>
      <c r="AJ464" s="173">
        <f t="shared" si="153"/>
        <v>0</v>
      </c>
    </row>
    <row r="465" spans="1:36" ht="34.5" x14ac:dyDescent="0.25">
      <c r="A465" s="195" t="s">
        <v>85</v>
      </c>
      <c r="B465" s="193" t="s">
        <v>86</v>
      </c>
      <c r="C465" s="192"/>
      <c r="D465" s="192"/>
      <c r="E465" s="192"/>
      <c r="F465" s="192"/>
      <c r="G465" s="191">
        <f t="shared" ref="G465:Z465" si="177">G466</f>
        <v>89559</v>
      </c>
      <c r="H465" s="191">
        <f t="shared" si="177"/>
        <v>89559</v>
      </c>
      <c r="I465" s="191">
        <f t="shared" si="177"/>
        <v>0</v>
      </c>
      <c r="J465" s="191">
        <f t="shared" si="177"/>
        <v>0</v>
      </c>
      <c r="K465" s="191">
        <f t="shared" si="177"/>
        <v>0</v>
      </c>
      <c r="L465" s="191">
        <f t="shared" si="177"/>
        <v>0</v>
      </c>
      <c r="M465" s="191">
        <f t="shared" si="177"/>
        <v>74500</v>
      </c>
      <c r="N465" s="191">
        <f t="shared" si="177"/>
        <v>74500</v>
      </c>
      <c r="O465" s="191">
        <f t="shared" si="177"/>
        <v>74500</v>
      </c>
      <c r="P465" s="191">
        <f t="shared" si="177"/>
        <v>74500</v>
      </c>
      <c r="Q465" s="191">
        <f t="shared" si="177"/>
        <v>0</v>
      </c>
      <c r="R465" s="191">
        <f t="shared" si="177"/>
        <v>0</v>
      </c>
      <c r="S465" s="191">
        <f t="shared" si="177"/>
        <v>5700</v>
      </c>
      <c r="T465" s="191">
        <f t="shared" si="177"/>
        <v>5700</v>
      </c>
      <c r="U465" s="191">
        <f t="shared" si="177"/>
        <v>74500</v>
      </c>
      <c r="V465" s="191">
        <f t="shared" si="177"/>
        <v>74500</v>
      </c>
      <c r="W465" s="191">
        <f t="shared" si="177"/>
        <v>9100</v>
      </c>
      <c r="X465" s="191">
        <f t="shared" si="177"/>
        <v>9100</v>
      </c>
      <c r="Y465" s="191">
        <f t="shared" si="177"/>
        <v>16000</v>
      </c>
      <c r="Z465" s="191">
        <f t="shared" si="177"/>
        <v>16000</v>
      </c>
      <c r="AA465" s="190">
        <v>74500</v>
      </c>
      <c r="AB465" s="190">
        <v>74500</v>
      </c>
      <c r="AC465" s="190">
        <v>74500</v>
      </c>
      <c r="AD465" s="190">
        <v>74500</v>
      </c>
      <c r="AE465" s="190">
        <v>74500</v>
      </c>
      <c r="AF465" s="190">
        <v>74500</v>
      </c>
      <c r="AG465" s="190">
        <v>74500</v>
      </c>
      <c r="AH465" s="190">
        <v>74500</v>
      </c>
      <c r="AI465" s="190"/>
      <c r="AJ465" s="173">
        <v>1</v>
      </c>
    </row>
    <row r="466" spans="1:36" ht="51.75" x14ac:dyDescent="0.25">
      <c r="A466" s="194" t="s">
        <v>87</v>
      </c>
      <c r="B466" s="193" t="s">
        <v>88</v>
      </c>
      <c r="C466" s="192"/>
      <c r="D466" s="192"/>
      <c r="E466" s="192"/>
      <c r="F466" s="192"/>
      <c r="G466" s="191">
        <f>SUM(G467:G477)</f>
        <v>89559</v>
      </c>
      <c r="H466" s="191">
        <f t="shared" ref="H466:Z466" si="178">SUM(H467:H477)</f>
        <v>89559</v>
      </c>
      <c r="I466" s="191">
        <f t="shared" si="178"/>
        <v>0</v>
      </c>
      <c r="J466" s="191">
        <f t="shared" si="178"/>
        <v>0</v>
      </c>
      <c r="K466" s="191">
        <f t="shared" si="178"/>
        <v>0</v>
      </c>
      <c r="L466" s="191">
        <f t="shared" si="178"/>
        <v>0</v>
      </c>
      <c r="M466" s="191">
        <f t="shared" si="178"/>
        <v>74500</v>
      </c>
      <c r="N466" s="191">
        <f t="shared" si="178"/>
        <v>74500</v>
      </c>
      <c r="O466" s="191">
        <f t="shared" si="178"/>
        <v>74500</v>
      </c>
      <c r="P466" s="191">
        <f t="shared" si="178"/>
        <v>74500</v>
      </c>
      <c r="Q466" s="191">
        <f t="shared" si="178"/>
        <v>0</v>
      </c>
      <c r="R466" s="191">
        <f t="shared" si="178"/>
        <v>0</v>
      </c>
      <c r="S466" s="191">
        <f t="shared" si="178"/>
        <v>5700</v>
      </c>
      <c r="T466" s="191">
        <f t="shared" si="178"/>
        <v>5700</v>
      </c>
      <c r="U466" s="191">
        <f t="shared" si="178"/>
        <v>74500</v>
      </c>
      <c r="V466" s="191">
        <f t="shared" si="178"/>
        <v>74500</v>
      </c>
      <c r="W466" s="191">
        <f t="shared" si="178"/>
        <v>9100</v>
      </c>
      <c r="X466" s="191">
        <f t="shared" si="178"/>
        <v>9100</v>
      </c>
      <c r="Y466" s="191">
        <f t="shared" si="178"/>
        <v>16000</v>
      </c>
      <c r="Z466" s="191">
        <f t="shared" si="178"/>
        <v>16000</v>
      </c>
      <c r="AA466" s="190">
        <f t="shared" ref="AA466:AH466" si="179">SUM(AA467:AA477)</f>
        <v>0</v>
      </c>
      <c r="AB466" s="190">
        <f t="shared" si="179"/>
        <v>0</v>
      </c>
      <c r="AC466" s="190">
        <f t="shared" si="179"/>
        <v>0</v>
      </c>
      <c r="AD466" s="190">
        <f t="shared" si="179"/>
        <v>0</v>
      </c>
      <c r="AE466" s="190">
        <f t="shared" si="179"/>
        <v>0</v>
      </c>
      <c r="AF466" s="190">
        <f t="shared" si="179"/>
        <v>0</v>
      </c>
      <c r="AG466" s="190">
        <f t="shared" si="179"/>
        <v>0</v>
      </c>
      <c r="AH466" s="190">
        <f t="shared" si="179"/>
        <v>0</v>
      </c>
      <c r="AI466" s="190"/>
      <c r="AJ466" s="173">
        <v>1</v>
      </c>
    </row>
    <row r="467" spans="1:36" ht="49.5" x14ac:dyDescent="0.25">
      <c r="A467" s="184">
        <v>3</v>
      </c>
      <c r="B467" s="183" t="s">
        <v>1005</v>
      </c>
      <c r="C467" s="188"/>
      <c r="D467" s="180" t="s">
        <v>1004</v>
      </c>
      <c r="E467" s="181" t="s">
        <v>97</v>
      </c>
      <c r="F467" s="180" t="s">
        <v>1003</v>
      </c>
      <c r="G467" s="179">
        <v>14763</v>
      </c>
      <c r="H467" s="179">
        <f t="shared" ref="H467:H477" si="180">G467</f>
        <v>14763</v>
      </c>
      <c r="I467" s="175"/>
      <c r="J467" s="175"/>
      <c r="K467" s="175"/>
      <c r="L467" s="175"/>
      <c r="M467" s="179">
        <f t="shared" ref="M467:M476" si="181">N467</f>
        <v>12500</v>
      </c>
      <c r="N467" s="179">
        <v>12500</v>
      </c>
      <c r="O467" s="178">
        <v>12500</v>
      </c>
      <c r="P467" s="178">
        <v>12500</v>
      </c>
      <c r="Q467" s="177">
        <f t="shared" ref="Q467:R477" si="182">O467-M467</f>
        <v>0</v>
      </c>
      <c r="R467" s="177">
        <f t="shared" si="182"/>
        <v>0</v>
      </c>
      <c r="S467" s="176"/>
      <c r="T467" s="176"/>
      <c r="U467" s="456">
        <v>12500</v>
      </c>
      <c r="V467" s="456">
        <v>12500</v>
      </c>
      <c r="W467" s="179">
        <f>X467</f>
        <v>9100</v>
      </c>
      <c r="X467" s="179">
        <v>9100</v>
      </c>
      <c r="Y467" s="179"/>
      <c r="Z467" s="179"/>
      <c r="AA467" s="179"/>
      <c r="AB467" s="179"/>
      <c r="AC467" s="179"/>
      <c r="AD467" s="179"/>
      <c r="AE467" s="179"/>
      <c r="AF467" s="179"/>
      <c r="AG467" s="179"/>
      <c r="AH467" s="179"/>
      <c r="AI467" s="174"/>
      <c r="AJ467" s="173">
        <f t="shared" ref="AJ467:AJ502" si="183">IF(N467-V467=0,0,1)</f>
        <v>0</v>
      </c>
    </row>
    <row r="468" spans="1:36" ht="49.5" x14ac:dyDescent="0.25">
      <c r="A468" s="184">
        <v>4</v>
      </c>
      <c r="B468" s="183" t="s">
        <v>1002</v>
      </c>
      <c r="C468" s="188" t="s">
        <v>1001</v>
      </c>
      <c r="D468" s="188" t="s">
        <v>1000</v>
      </c>
      <c r="E468" s="197" t="s">
        <v>109</v>
      </c>
      <c r="F468" s="188" t="s">
        <v>999</v>
      </c>
      <c r="G468" s="196">
        <v>10991</v>
      </c>
      <c r="H468" s="179">
        <f t="shared" si="180"/>
        <v>10991</v>
      </c>
      <c r="I468" s="175"/>
      <c r="J468" s="175"/>
      <c r="K468" s="175"/>
      <c r="L468" s="175"/>
      <c r="M468" s="179">
        <f t="shared" si="181"/>
        <v>9980</v>
      </c>
      <c r="N468" s="179">
        <v>9980</v>
      </c>
      <c r="O468" s="178">
        <v>9980</v>
      </c>
      <c r="P468" s="178">
        <v>9980</v>
      </c>
      <c r="Q468" s="177">
        <f t="shared" si="182"/>
        <v>0</v>
      </c>
      <c r="R468" s="177">
        <f t="shared" si="182"/>
        <v>0</v>
      </c>
      <c r="S468" s="176"/>
      <c r="T468" s="176"/>
      <c r="U468" s="456">
        <v>9980</v>
      </c>
      <c r="V468" s="456">
        <v>9980</v>
      </c>
      <c r="W468" s="179"/>
      <c r="X468" s="179"/>
      <c r="Y468" s="179">
        <f>Z468</f>
        <v>7000</v>
      </c>
      <c r="Z468" s="179">
        <v>7000</v>
      </c>
      <c r="AA468" s="179"/>
      <c r="AB468" s="179"/>
      <c r="AC468" s="179"/>
      <c r="AD468" s="179"/>
      <c r="AE468" s="179"/>
      <c r="AF468" s="179"/>
      <c r="AG468" s="179"/>
      <c r="AH468" s="179"/>
      <c r="AI468" s="174"/>
      <c r="AJ468" s="173">
        <f t="shared" si="183"/>
        <v>0</v>
      </c>
    </row>
    <row r="469" spans="1:36" ht="49.5" x14ac:dyDescent="0.25">
      <c r="A469" s="184">
        <v>5</v>
      </c>
      <c r="B469" s="183" t="s">
        <v>998</v>
      </c>
      <c r="C469" s="188" t="s">
        <v>994</v>
      </c>
      <c r="D469" s="188" t="s">
        <v>997</v>
      </c>
      <c r="E469" s="197" t="s">
        <v>109</v>
      </c>
      <c r="F469" s="188" t="s">
        <v>996</v>
      </c>
      <c r="G469" s="196">
        <v>13008</v>
      </c>
      <c r="H469" s="179">
        <f t="shared" si="180"/>
        <v>13008</v>
      </c>
      <c r="I469" s="175"/>
      <c r="J469" s="175"/>
      <c r="K469" s="175"/>
      <c r="L469" s="175"/>
      <c r="M469" s="179">
        <f t="shared" si="181"/>
        <v>11500</v>
      </c>
      <c r="N469" s="179">
        <v>11500</v>
      </c>
      <c r="O469" s="178">
        <v>11500</v>
      </c>
      <c r="P469" s="178">
        <v>11500</v>
      </c>
      <c r="Q469" s="177">
        <f t="shared" si="182"/>
        <v>0</v>
      </c>
      <c r="R469" s="177">
        <f t="shared" si="182"/>
        <v>0</v>
      </c>
      <c r="S469" s="176"/>
      <c r="T469" s="176"/>
      <c r="U469" s="456">
        <v>11500</v>
      </c>
      <c r="V469" s="456">
        <v>11500</v>
      </c>
      <c r="W469" s="179"/>
      <c r="X469" s="179"/>
      <c r="Y469" s="179">
        <f>Z469</f>
        <v>9000</v>
      </c>
      <c r="Z469" s="179">
        <v>9000</v>
      </c>
      <c r="AA469" s="179"/>
      <c r="AB469" s="179"/>
      <c r="AC469" s="179"/>
      <c r="AD469" s="179"/>
      <c r="AE469" s="179"/>
      <c r="AF469" s="179"/>
      <c r="AG469" s="179"/>
      <c r="AH469" s="179"/>
      <c r="AI469" s="174"/>
      <c r="AJ469" s="173">
        <f t="shared" si="183"/>
        <v>0</v>
      </c>
    </row>
    <row r="470" spans="1:36" ht="49.5" x14ac:dyDescent="0.25">
      <c r="A470" s="184">
        <v>6</v>
      </c>
      <c r="B470" s="183" t="s">
        <v>995</v>
      </c>
      <c r="C470" s="188" t="s">
        <v>994</v>
      </c>
      <c r="D470" s="188" t="s">
        <v>993</v>
      </c>
      <c r="E470" s="197"/>
      <c r="F470" s="197"/>
      <c r="G470" s="196">
        <v>8798</v>
      </c>
      <c r="H470" s="179">
        <f t="shared" si="180"/>
        <v>8798</v>
      </c>
      <c r="I470" s="175"/>
      <c r="J470" s="175"/>
      <c r="K470" s="175"/>
      <c r="L470" s="175"/>
      <c r="M470" s="179">
        <f t="shared" si="181"/>
        <v>8400</v>
      </c>
      <c r="N470" s="179">
        <v>8400</v>
      </c>
      <c r="O470" s="178">
        <v>8400</v>
      </c>
      <c r="P470" s="178">
        <v>8400</v>
      </c>
      <c r="Q470" s="177">
        <f t="shared" si="182"/>
        <v>0</v>
      </c>
      <c r="R470" s="177">
        <f t="shared" si="182"/>
        <v>0</v>
      </c>
      <c r="S470" s="176"/>
      <c r="T470" s="176"/>
      <c r="U470" s="456">
        <v>8400</v>
      </c>
      <c r="V470" s="456">
        <v>8400</v>
      </c>
      <c r="W470" s="179"/>
      <c r="X470" s="179"/>
      <c r="Y470" s="179"/>
      <c r="Z470" s="179"/>
      <c r="AA470" s="179"/>
      <c r="AB470" s="179"/>
      <c r="AC470" s="179"/>
      <c r="AD470" s="179"/>
      <c r="AE470" s="179"/>
      <c r="AF470" s="179"/>
      <c r="AG470" s="179"/>
      <c r="AH470" s="179"/>
      <c r="AI470" s="174"/>
      <c r="AJ470" s="173">
        <f t="shared" si="183"/>
        <v>0</v>
      </c>
    </row>
    <row r="471" spans="1:36" ht="49.5" x14ac:dyDescent="0.25">
      <c r="A471" s="184">
        <v>7</v>
      </c>
      <c r="B471" s="183" t="s">
        <v>992</v>
      </c>
      <c r="C471" s="188" t="s">
        <v>991</v>
      </c>
      <c r="D471" s="188" t="s">
        <v>990</v>
      </c>
      <c r="E471" s="197"/>
      <c r="F471" s="197"/>
      <c r="G471" s="196">
        <v>8000</v>
      </c>
      <c r="H471" s="179">
        <f t="shared" si="180"/>
        <v>8000</v>
      </c>
      <c r="I471" s="175"/>
      <c r="J471" s="175"/>
      <c r="K471" s="175"/>
      <c r="L471" s="175"/>
      <c r="M471" s="179">
        <f t="shared" si="181"/>
        <v>7500</v>
      </c>
      <c r="N471" s="179">
        <v>7500</v>
      </c>
      <c r="O471" s="178">
        <v>7500</v>
      </c>
      <c r="P471" s="178">
        <v>7500</v>
      </c>
      <c r="Q471" s="177">
        <f t="shared" si="182"/>
        <v>0</v>
      </c>
      <c r="R471" s="177">
        <f t="shared" si="182"/>
        <v>0</v>
      </c>
      <c r="S471" s="176"/>
      <c r="T471" s="176"/>
      <c r="U471" s="456">
        <v>7500</v>
      </c>
      <c r="V471" s="456">
        <v>7500</v>
      </c>
      <c r="W471" s="179"/>
      <c r="X471" s="179"/>
      <c r="Y471" s="179"/>
      <c r="Z471" s="179"/>
      <c r="AA471" s="179"/>
      <c r="AB471" s="179"/>
      <c r="AC471" s="179"/>
      <c r="AD471" s="179"/>
      <c r="AE471" s="179"/>
      <c r="AF471" s="179"/>
      <c r="AG471" s="179"/>
      <c r="AH471" s="179"/>
      <c r="AI471" s="174"/>
      <c r="AJ471" s="173">
        <f t="shared" si="183"/>
        <v>0</v>
      </c>
    </row>
    <row r="472" spans="1:36" ht="29.25" customHeight="1" x14ac:dyDescent="0.25">
      <c r="A472" s="184">
        <v>8</v>
      </c>
      <c r="B472" s="183" t="s">
        <v>989</v>
      </c>
      <c r="C472" s="188" t="s">
        <v>982</v>
      </c>
      <c r="D472" s="197"/>
      <c r="E472" s="197"/>
      <c r="F472" s="197"/>
      <c r="G472" s="196">
        <v>8000</v>
      </c>
      <c r="H472" s="179">
        <f t="shared" si="180"/>
        <v>8000</v>
      </c>
      <c r="I472" s="175"/>
      <c r="J472" s="175"/>
      <c r="K472" s="175"/>
      <c r="L472" s="175"/>
      <c r="M472" s="179">
        <f t="shared" si="181"/>
        <v>7500</v>
      </c>
      <c r="N472" s="179">
        <v>7500</v>
      </c>
      <c r="O472" s="178">
        <v>7500</v>
      </c>
      <c r="P472" s="178">
        <v>7500</v>
      </c>
      <c r="Q472" s="177">
        <f t="shared" si="182"/>
        <v>0</v>
      </c>
      <c r="R472" s="177">
        <f t="shared" si="182"/>
        <v>0</v>
      </c>
      <c r="S472" s="176"/>
      <c r="T472" s="176"/>
      <c r="U472" s="456">
        <v>7500</v>
      </c>
      <c r="V472" s="456">
        <v>7500</v>
      </c>
      <c r="W472" s="179"/>
      <c r="X472" s="179"/>
      <c r="Y472" s="179"/>
      <c r="Z472" s="179"/>
      <c r="AA472" s="179"/>
      <c r="AB472" s="179"/>
      <c r="AC472" s="179"/>
      <c r="AD472" s="179"/>
      <c r="AE472" s="179"/>
      <c r="AF472" s="179"/>
      <c r="AG472" s="179"/>
      <c r="AH472" s="179"/>
      <c r="AI472" s="174"/>
      <c r="AJ472" s="173">
        <f t="shared" si="183"/>
        <v>0</v>
      </c>
    </row>
    <row r="473" spans="1:36" ht="33" x14ac:dyDescent="0.25">
      <c r="A473" s="184">
        <v>9</v>
      </c>
      <c r="B473" s="183" t="s">
        <v>988</v>
      </c>
      <c r="C473" s="188" t="s">
        <v>987</v>
      </c>
      <c r="D473" s="197"/>
      <c r="E473" s="197"/>
      <c r="F473" s="197"/>
      <c r="G473" s="196">
        <v>6000</v>
      </c>
      <c r="H473" s="179">
        <f t="shared" si="180"/>
        <v>6000</v>
      </c>
      <c r="I473" s="175"/>
      <c r="J473" s="175"/>
      <c r="K473" s="175"/>
      <c r="L473" s="175"/>
      <c r="M473" s="179">
        <f t="shared" si="181"/>
        <v>5700</v>
      </c>
      <c r="N473" s="179">
        <v>5700</v>
      </c>
      <c r="O473" s="178"/>
      <c r="P473" s="178"/>
      <c r="Q473" s="177">
        <f t="shared" si="182"/>
        <v>-5700</v>
      </c>
      <c r="R473" s="177">
        <f t="shared" si="182"/>
        <v>-5700</v>
      </c>
      <c r="S473" s="176"/>
      <c r="T473" s="176">
        <f>N473-V473</f>
        <v>5700</v>
      </c>
      <c r="U473" s="456"/>
      <c r="V473" s="456"/>
      <c r="W473" s="179"/>
      <c r="X473" s="179"/>
      <c r="Y473" s="179"/>
      <c r="Z473" s="179"/>
      <c r="AA473" s="179"/>
      <c r="AB473" s="179"/>
      <c r="AC473" s="179"/>
      <c r="AD473" s="179"/>
      <c r="AE473" s="179"/>
      <c r="AF473" s="179"/>
      <c r="AG473" s="179"/>
      <c r="AH473" s="179"/>
      <c r="AI473" s="185" t="s">
        <v>284</v>
      </c>
      <c r="AJ473" s="173">
        <f t="shared" si="183"/>
        <v>1</v>
      </c>
    </row>
    <row r="474" spans="1:36" ht="33" x14ac:dyDescent="0.25">
      <c r="A474" s="184">
        <v>10</v>
      </c>
      <c r="B474" s="183" t="s">
        <v>986</v>
      </c>
      <c r="C474" s="188" t="s">
        <v>985</v>
      </c>
      <c r="D474" s="197"/>
      <c r="E474" s="197"/>
      <c r="F474" s="197"/>
      <c r="G474" s="196">
        <v>3000</v>
      </c>
      <c r="H474" s="179">
        <f t="shared" si="180"/>
        <v>3000</v>
      </c>
      <c r="I474" s="175"/>
      <c r="J474" s="175"/>
      <c r="K474" s="175"/>
      <c r="L474" s="175"/>
      <c r="M474" s="179">
        <f t="shared" si="181"/>
        <v>2850</v>
      </c>
      <c r="N474" s="179">
        <v>2850</v>
      </c>
      <c r="O474" s="178">
        <v>2850</v>
      </c>
      <c r="P474" s="178">
        <v>2850</v>
      </c>
      <c r="Q474" s="177">
        <f t="shared" si="182"/>
        <v>0</v>
      </c>
      <c r="R474" s="177">
        <f t="shared" si="182"/>
        <v>0</v>
      </c>
      <c r="S474" s="176"/>
      <c r="T474" s="176"/>
      <c r="U474" s="456">
        <v>2850</v>
      </c>
      <c r="V474" s="456">
        <v>2850</v>
      </c>
      <c r="W474" s="179"/>
      <c r="X474" s="179"/>
      <c r="Y474" s="179"/>
      <c r="Z474" s="179"/>
      <c r="AA474" s="179"/>
      <c r="AB474" s="179"/>
      <c r="AC474" s="179"/>
      <c r="AD474" s="179"/>
      <c r="AE474" s="179"/>
      <c r="AF474" s="179"/>
      <c r="AG474" s="179"/>
      <c r="AH474" s="179"/>
      <c r="AI474" s="174"/>
      <c r="AJ474" s="173">
        <f t="shared" si="183"/>
        <v>0</v>
      </c>
    </row>
    <row r="475" spans="1:36" ht="22.5" customHeight="1" x14ac:dyDescent="0.25">
      <c r="A475" s="184">
        <v>11</v>
      </c>
      <c r="B475" s="183" t="s">
        <v>984</v>
      </c>
      <c r="C475" s="188" t="s">
        <v>982</v>
      </c>
      <c r="D475" s="197"/>
      <c r="E475" s="197"/>
      <c r="F475" s="197"/>
      <c r="G475" s="196">
        <v>4000</v>
      </c>
      <c r="H475" s="179">
        <f t="shared" si="180"/>
        <v>4000</v>
      </c>
      <c r="I475" s="175"/>
      <c r="J475" s="175"/>
      <c r="K475" s="175"/>
      <c r="L475" s="175"/>
      <c r="M475" s="179">
        <f t="shared" si="181"/>
        <v>3810</v>
      </c>
      <c r="N475" s="179">
        <v>3810</v>
      </c>
      <c r="O475" s="178">
        <v>3810</v>
      </c>
      <c r="P475" s="178">
        <v>3810</v>
      </c>
      <c r="Q475" s="177">
        <f t="shared" si="182"/>
        <v>0</v>
      </c>
      <c r="R475" s="177">
        <f t="shared" si="182"/>
        <v>0</v>
      </c>
      <c r="S475" s="176"/>
      <c r="T475" s="176"/>
      <c r="U475" s="456">
        <v>3810</v>
      </c>
      <c r="V475" s="456">
        <v>3810</v>
      </c>
      <c r="W475" s="179"/>
      <c r="X475" s="179"/>
      <c r="Y475" s="179"/>
      <c r="Z475" s="179"/>
      <c r="AA475" s="179"/>
      <c r="AB475" s="179"/>
      <c r="AC475" s="179"/>
      <c r="AD475" s="179"/>
      <c r="AE475" s="179"/>
      <c r="AF475" s="179"/>
      <c r="AG475" s="179"/>
      <c r="AH475" s="179"/>
      <c r="AI475" s="174"/>
      <c r="AJ475" s="173">
        <f t="shared" si="183"/>
        <v>0</v>
      </c>
    </row>
    <row r="476" spans="1:36" ht="22.5" customHeight="1" x14ac:dyDescent="0.25">
      <c r="A476" s="184">
        <v>12</v>
      </c>
      <c r="B476" s="183" t="s">
        <v>983</v>
      </c>
      <c r="C476" s="188" t="s">
        <v>982</v>
      </c>
      <c r="D476" s="197"/>
      <c r="E476" s="197"/>
      <c r="F476" s="197"/>
      <c r="G476" s="196">
        <v>5000</v>
      </c>
      <c r="H476" s="179">
        <f t="shared" si="180"/>
        <v>5000</v>
      </c>
      <c r="I476" s="175"/>
      <c r="J476" s="175"/>
      <c r="K476" s="175"/>
      <c r="L476" s="175"/>
      <c r="M476" s="179">
        <f t="shared" si="181"/>
        <v>4760</v>
      </c>
      <c r="N476" s="179">
        <v>4760</v>
      </c>
      <c r="O476" s="178">
        <v>4760</v>
      </c>
      <c r="P476" s="178">
        <v>4760</v>
      </c>
      <c r="Q476" s="177">
        <f t="shared" si="182"/>
        <v>0</v>
      </c>
      <c r="R476" s="177">
        <f t="shared" si="182"/>
        <v>0</v>
      </c>
      <c r="S476" s="176"/>
      <c r="T476" s="176"/>
      <c r="U476" s="456">
        <v>4760</v>
      </c>
      <c r="V476" s="456">
        <v>4760</v>
      </c>
      <c r="W476" s="179"/>
      <c r="X476" s="179"/>
      <c r="Y476" s="179"/>
      <c r="Z476" s="179"/>
      <c r="AA476" s="179"/>
      <c r="AB476" s="179"/>
      <c r="AC476" s="179"/>
      <c r="AD476" s="179"/>
      <c r="AE476" s="179"/>
      <c r="AF476" s="179"/>
      <c r="AG476" s="179"/>
      <c r="AH476" s="179"/>
      <c r="AI476" s="174"/>
      <c r="AJ476" s="173">
        <f t="shared" si="183"/>
        <v>0</v>
      </c>
    </row>
    <row r="477" spans="1:36" ht="49.5" x14ac:dyDescent="0.25">
      <c r="A477" s="184">
        <v>13</v>
      </c>
      <c r="B477" s="183" t="s">
        <v>981</v>
      </c>
      <c r="C477" s="188"/>
      <c r="D477" s="180"/>
      <c r="E477" s="181" t="s">
        <v>116</v>
      </c>
      <c r="F477" s="180"/>
      <c r="G477" s="179">
        <v>7999</v>
      </c>
      <c r="H477" s="179">
        <f t="shared" si="180"/>
        <v>7999</v>
      </c>
      <c r="I477" s="175"/>
      <c r="J477" s="175"/>
      <c r="K477" s="175"/>
      <c r="L477" s="175"/>
      <c r="M477" s="179"/>
      <c r="N477" s="179"/>
      <c r="O477" s="178">
        <f>P477</f>
        <v>5700</v>
      </c>
      <c r="P477" s="178">
        <v>5700</v>
      </c>
      <c r="Q477" s="177">
        <f t="shared" si="182"/>
        <v>5700</v>
      </c>
      <c r="R477" s="177">
        <f t="shared" si="182"/>
        <v>5700</v>
      </c>
      <c r="S477" s="176">
        <f>V477-N477</f>
        <v>5700</v>
      </c>
      <c r="T477" s="176"/>
      <c r="U477" s="456">
        <f>V477</f>
        <v>5700</v>
      </c>
      <c r="V477" s="456">
        <v>5700</v>
      </c>
      <c r="W477" s="179"/>
      <c r="X477" s="179"/>
      <c r="Y477" s="179"/>
      <c r="Z477" s="179"/>
      <c r="AA477" s="179"/>
      <c r="AB477" s="179"/>
      <c r="AC477" s="179"/>
      <c r="AD477" s="179"/>
      <c r="AE477" s="179"/>
      <c r="AF477" s="179"/>
      <c r="AG477" s="179"/>
      <c r="AH477" s="179"/>
      <c r="AI477" s="185" t="s">
        <v>980</v>
      </c>
      <c r="AJ477" s="173">
        <f t="shared" si="183"/>
        <v>1</v>
      </c>
    </row>
    <row r="478" spans="1:36" s="203" customFormat="1" ht="16.5" x14ac:dyDescent="0.25">
      <c r="A478" s="210" t="s">
        <v>730</v>
      </c>
      <c r="B478" s="209" t="s">
        <v>979</v>
      </c>
      <c r="C478" s="208"/>
      <c r="D478" s="207"/>
      <c r="E478" s="207"/>
      <c r="F478" s="207"/>
      <c r="G478" s="206">
        <f t="shared" ref="G478:AH478" si="184">G479+G488</f>
        <v>75562</v>
      </c>
      <c r="H478" s="206">
        <f t="shared" si="184"/>
        <v>56000</v>
      </c>
      <c r="I478" s="206">
        <f t="shared" si="184"/>
        <v>14800</v>
      </c>
      <c r="J478" s="206">
        <f t="shared" si="184"/>
        <v>14800</v>
      </c>
      <c r="K478" s="206">
        <f t="shared" si="184"/>
        <v>14800</v>
      </c>
      <c r="L478" s="206">
        <f t="shared" si="184"/>
        <v>14800</v>
      </c>
      <c r="M478" s="206">
        <f>M479+M488</f>
        <v>80000</v>
      </c>
      <c r="N478" s="206">
        <f t="shared" ref="N478:Z478" si="185">N479+N488</f>
        <v>80000</v>
      </c>
      <c r="O478" s="206">
        <f t="shared" si="185"/>
        <v>80000</v>
      </c>
      <c r="P478" s="206">
        <f t="shared" si="185"/>
        <v>80000</v>
      </c>
      <c r="Q478" s="206">
        <f t="shared" si="185"/>
        <v>0</v>
      </c>
      <c r="R478" s="206">
        <f t="shared" si="185"/>
        <v>0</v>
      </c>
      <c r="S478" s="206">
        <f t="shared" si="185"/>
        <v>14380</v>
      </c>
      <c r="T478" s="206">
        <f t="shared" si="185"/>
        <v>14380</v>
      </c>
      <c r="U478" s="206">
        <f t="shared" si="185"/>
        <v>80000</v>
      </c>
      <c r="V478" s="206">
        <f t="shared" si="185"/>
        <v>80000</v>
      </c>
      <c r="W478" s="206">
        <f t="shared" si="185"/>
        <v>22900</v>
      </c>
      <c r="X478" s="206">
        <f t="shared" si="185"/>
        <v>22900</v>
      </c>
      <c r="Y478" s="206">
        <f t="shared" si="185"/>
        <v>16000</v>
      </c>
      <c r="Z478" s="206">
        <f t="shared" si="185"/>
        <v>16000</v>
      </c>
      <c r="AA478" s="205">
        <f t="shared" si="184"/>
        <v>0</v>
      </c>
      <c r="AB478" s="205">
        <f t="shared" si="184"/>
        <v>0</v>
      </c>
      <c r="AC478" s="205">
        <f t="shared" si="184"/>
        <v>0</v>
      </c>
      <c r="AD478" s="205">
        <f t="shared" si="184"/>
        <v>0</v>
      </c>
      <c r="AE478" s="205">
        <f t="shared" si="184"/>
        <v>0</v>
      </c>
      <c r="AF478" s="205">
        <f t="shared" si="184"/>
        <v>0</v>
      </c>
      <c r="AG478" s="205">
        <f t="shared" si="184"/>
        <v>0</v>
      </c>
      <c r="AH478" s="205">
        <f t="shared" si="184"/>
        <v>0</v>
      </c>
      <c r="AI478" s="204"/>
      <c r="AJ478" s="173">
        <v>1</v>
      </c>
    </row>
    <row r="479" spans="1:36" ht="51.75" x14ac:dyDescent="0.25">
      <c r="A479" s="195" t="s">
        <v>45</v>
      </c>
      <c r="B479" s="193" t="s">
        <v>46</v>
      </c>
      <c r="C479" s="192"/>
      <c r="D479" s="192"/>
      <c r="E479" s="192"/>
      <c r="F479" s="192"/>
      <c r="G479" s="191">
        <f t="shared" ref="G479:AH479" si="186">G480</f>
        <v>6632</v>
      </c>
      <c r="H479" s="191">
        <f t="shared" si="186"/>
        <v>6632</v>
      </c>
      <c r="I479" s="191">
        <f t="shared" si="186"/>
        <v>14800</v>
      </c>
      <c r="J479" s="191">
        <f t="shared" si="186"/>
        <v>14800</v>
      </c>
      <c r="K479" s="191">
        <f t="shared" si="186"/>
        <v>14800</v>
      </c>
      <c r="L479" s="191">
        <f t="shared" si="186"/>
        <v>14800</v>
      </c>
      <c r="M479" s="191">
        <f t="shared" si="186"/>
        <v>14910</v>
      </c>
      <c r="N479" s="191">
        <f t="shared" si="186"/>
        <v>14910</v>
      </c>
      <c r="O479" s="190">
        <f t="shared" si="186"/>
        <v>14700</v>
      </c>
      <c r="P479" s="190">
        <f t="shared" si="186"/>
        <v>14700</v>
      </c>
      <c r="Q479" s="191">
        <f t="shared" si="186"/>
        <v>-210</v>
      </c>
      <c r="R479" s="191">
        <f t="shared" si="186"/>
        <v>-210</v>
      </c>
      <c r="S479" s="191">
        <f t="shared" si="186"/>
        <v>0</v>
      </c>
      <c r="T479" s="191">
        <f t="shared" si="186"/>
        <v>210</v>
      </c>
      <c r="U479" s="474">
        <f t="shared" si="186"/>
        <v>14700</v>
      </c>
      <c r="V479" s="474">
        <f t="shared" si="186"/>
        <v>14700</v>
      </c>
      <c r="W479" s="474">
        <f t="shared" si="186"/>
        <v>7500</v>
      </c>
      <c r="X479" s="474">
        <f t="shared" si="186"/>
        <v>7500</v>
      </c>
      <c r="Y479" s="474">
        <f t="shared" si="186"/>
        <v>37</v>
      </c>
      <c r="Z479" s="474">
        <f t="shared" si="186"/>
        <v>37</v>
      </c>
      <c r="AA479" s="190">
        <f t="shared" si="186"/>
        <v>0</v>
      </c>
      <c r="AB479" s="190">
        <f t="shared" si="186"/>
        <v>0</v>
      </c>
      <c r="AC479" s="190">
        <f t="shared" si="186"/>
        <v>0</v>
      </c>
      <c r="AD479" s="190">
        <f t="shared" si="186"/>
        <v>0</v>
      </c>
      <c r="AE479" s="190">
        <f t="shared" si="186"/>
        <v>0</v>
      </c>
      <c r="AF479" s="190">
        <f t="shared" si="186"/>
        <v>0</v>
      </c>
      <c r="AG479" s="190">
        <f t="shared" si="186"/>
        <v>0</v>
      </c>
      <c r="AH479" s="190">
        <f t="shared" si="186"/>
        <v>0</v>
      </c>
      <c r="AI479" s="198"/>
      <c r="AJ479" s="173">
        <f t="shared" si="183"/>
        <v>1</v>
      </c>
    </row>
    <row r="480" spans="1:36" ht="34.5" x14ac:dyDescent="0.25">
      <c r="A480" s="194" t="s">
        <v>47</v>
      </c>
      <c r="B480" s="193" t="s">
        <v>48</v>
      </c>
      <c r="C480" s="192"/>
      <c r="D480" s="192"/>
      <c r="E480" s="192"/>
      <c r="F480" s="192"/>
      <c r="G480" s="191">
        <f>G483+G486</f>
        <v>6632</v>
      </c>
      <c r="H480" s="191">
        <f>H483+H486</f>
        <v>6632</v>
      </c>
      <c r="I480" s="191">
        <f>SUM(I483:I487)</f>
        <v>14800</v>
      </c>
      <c r="J480" s="191">
        <f>SUM(J483:J487)</f>
        <v>14800</v>
      </c>
      <c r="K480" s="191">
        <f t="shared" ref="K480:L480" si="187">SUM(K483:K487)</f>
        <v>14800</v>
      </c>
      <c r="L480" s="191">
        <f t="shared" si="187"/>
        <v>14800</v>
      </c>
      <c r="M480" s="191">
        <f>SUM(M483:M487)</f>
        <v>14910</v>
      </c>
      <c r="N480" s="191">
        <f t="shared" ref="N480:AH480" si="188">SUM(N483:N487)</f>
        <v>14910</v>
      </c>
      <c r="O480" s="191">
        <f t="shared" si="188"/>
        <v>14700</v>
      </c>
      <c r="P480" s="191">
        <f t="shared" si="188"/>
        <v>14700</v>
      </c>
      <c r="Q480" s="191">
        <f t="shared" si="188"/>
        <v>-210</v>
      </c>
      <c r="R480" s="191">
        <f t="shared" si="188"/>
        <v>-210</v>
      </c>
      <c r="S480" s="191">
        <f t="shared" si="188"/>
        <v>0</v>
      </c>
      <c r="T480" s="191">
        <f t="shared" si="188"/>
        <v>210</v>
      </c>
      <c r="U480" s="191">
        <f t="shared" si="188"/>
        <v>14700</v>
      </c>
      <c r="V480" s="191">
        <f t="shared" si="188"/>
        <v>14700</v>
      </c>
      <c r="W480" s="191">
        <f t="shared" si="188"/>
        <v>7500</v>
      </c>
      <c r="X480" s="191">
        <f t="shared" si="188"/>
        <v>7500</v>
      </c>
      <c r="Y480" s="191">
        <f t="shared" si="188"/>
        <v>37</v>
      </c>
      <c r="Z480" s="191">
        <f t="shared" si="188"/>
        <v>37</v>
      </c>
      <c r="AA480" s="190">
        <f t="shared" si="188"/>
        <v>0</v>
      </c>
      <c r="AB480" s="190">
        <f t="shared" si="188"/>
        <v>0</v>
      </c>
      <c r="AC480" s="190">
        <f t="shared" si="188"/>
        <v>0</v>
      </c>
      <c r="AD480" s="190">
        <f t="shared" si="188"/>
        <v>0</v>
      </c>
      <c r="AE480" s="190">
        <f t="shared" si="188"/>
        <v>0</v>
      </c>
      <c r="AF480" s="190">
        <f t="shared" si="188"/>
        <v>0</v>
      </c>
      <c r="AG480" s="190">
        <f t="shared" si="188"/>
        <v>0</v>
      </c>
      <c r="AH480" s="190">
        <f t="shared" si="188"/>
        <v>0</v>
      </c>
      <c r="AI480" s="198"/>
      <c r="AJ480" s="173">
        <f t="shared" si="183"/>
        <v>1</v>
      </c>
    </row>
    <row r="481" spans="1:36" ht="17.25" x14ac:dyDescent="0.25">
      <c r="A481" s="194"/>
      <c r="B481" s="193" t="s">
        <v>49</v>
      </c>
      <c r="C481" s="202"/>
      <c r="D481" s="202"/>
      <c r="E481" s="202"/>
      <c r="F481" s="202"/>
      <c r="G481" s="200"/>
      <c r="H481" s="200"/>
      <c r="I481" s="200"/>
      <c r="J481" s="200"/>
      <c r="K481" s="200"/>
      <c r="L481" s="200"/>
      <c r="M481" s="200"/>
      <c r="N481" s="200"/>
      <c r="O481" s="201"/>
      <c r="P481" s="201"/>
      <c r="Q481" s="177">
        <f t="shared" ref="Q481:R487" si="189">O481-M481</f>
        <v>0</v>
      </c>
      <c r="R481" s="177">
        <f t="shared" si="189"/>
        <v>0</v>
      </c>
      <c r="S481" s="176">
        <f>IF(R481&gt;0,R481,0)</f>
        <v>0</v>
      </c>
      <c r="T481" s="176">
        <f>IF(R481&lt;0,-R481,0)</f>
        <v>0</v>
      </c>
      <c r="U481" s="475"/>
      <c r="V481" s="475"/>
      <c r="W481" s="200"/>
      <c r="X481" s="200"/>
      <c r="Y481" s="200"/>
      <c r="Z481" s="200"/>
      <c r="AA481" s="200"/>
      <c r="AB481" s="200"/>
      <c r="AC481" s="200"/>
      <c r="AD481" s="200"/>
      <c r="AE481" s="200"/>
      <c r="AF481" s="200"/>
      <c r="AG481" s="200"/>
      <c r="AH481" s="200"/>
      <c r="AI481" s="198"/>
      <c r="AJ481" s="173">
        <f t="shared" si="183"/>
        <v>0</v>
      </c>
    </row>
    <row r="482" spans="1:36" ht="51.75" x14ac:dyDescent="0.25">
      <c r="A482" s="194"/>
      <c r="B482" s="199" t="s">
        <v>50</v>
      </c>
      <c r="C482" s="192"/>
      <c r="D482" s="192"/>
      <c r="E482" s="192"/>
      <c r="F482" s="192"/>
      <c r="G482" s="191"/>
      <c r="H482" s="191"/>
      <c r="I482" s="191"/>
      <c r="J482" s="191"/>
      <c r="K482" s="191"/>
      <c r="L482" s="191"/>
      <c r="M482" s="191"/>
      <c r="N482" s="191"/>
      <c r="O482" s="190"/>
      <c r="P482" s="190"/>
      <c r="Q482" s="177">
        <f t="shared" si="189"/>
        <v>0</v>
      </c>
      <c r="R482" s="177">
        <f t="shared" si="189"/>
        <v>0</v>
      </c>
      <c r="S482" s="176">
        <f>IF(R482&gt;0,R482,0)</f>
        <v>0</v>
      </c>
      <c r="T482" s="176">
        <f>IF(R482&lt;0,-R482,0)</f>
        <v>0</v>
      </c>
      <c r="U482" s="474"/>
      <c r="V482" s="474"/>
      <c r="W482" s="191"/>
      <c r="X482" s="191"/>
      <c r="Y482" s="191"/>
      <c r="Z482" s="191"/>
      <c r="AA482" s="191"/>
      <c r="AB482" s="191"/>
      <c r="AC482" s="191"/>
      <c r="AD482" s="191"/>
      <c r="AE482" s="191"/>
      <c r="AF482" s="191"/>
      <c r="AG482" s="191"/>
      <c r="AH482" s="191"/>
      <c r="AI482" s="198"/>
      <c r="AJ482" s="173">
        <f t="shared" si="183"/>
        <v>0</v>
      </c>
    </row>
    <row r="483" spans="1:36" ht="49.5" x14ac:dyDescent="0.25">
      <c r="A483" s="184">
        <v>1</v>
      </c>
      <c r="B483" s="183" t="s">
        <v>978</v>
      </c>
      <c r="C483" s="188" t="s">
        <v>977</v>
      </c>
      <c r="D483" s="197" t="s">
        <v>976</v>
      </c>
      <c r="E483" s="197">
        <v>2015</v>
      </c>
      <c r="F483" s="180" t="s">
        <v>975</v>
      </c>
      <c r="G483" s="179">
        <v>5730</v>
      </c>
      <c r="H483" s="179">
        <f>G483</f>
        <v>5730</v>
      </c>
      <c r="I483" s="179">
        <f>J483</f>
        <v>2100</v>
      </c>
      <c r="J483" s="196">
        <v>2100</v>
      </c>
      <c r="K483" s="179">
        <f>L483</f>
        <v>2100</v>
      </c>
      <c r="L483" s="196">
        <v>2100</v>
      </c>
      <c r="M483" s="179">
        <f>N483</f>
        <v>2580</v>
      </c>
      <c r="N483" s="179">
        <v>2580</v>
      </c>
      <c r="O483" s="178">
        <f>P483</f>
        <v>2400</v>
      </c>
      <c r="P483" s="178">
        <v>2400</v>
      </c>
      <c r="Q483" s="177">
        <f t="shared" si="189"/>
        <v>-180</v>
      </c>
      <c r="R483" s="177">
        <f t="shared" si="189"/>
        <v>-180</v>
      </c>
      <c r="S483" s="176"/>
      <c r="T483" s="176">
        <f>N483-V483</f>
        <v>180</v>
      </c>
      <c r="U483" s="456">
        <f>V483</f>
        <v>2400</v>
      </c>
      <c r="V483" s="456">
        <v>2400</v>
      </c>
      <c r="W483" s="175"/>
      <c r="X483" s="175"/>
      <c r="Y483" s="175">
        <f>Z483</f>
        <v>22</v>
      </c>
      <c r="Z483" s="175">
        <v>22</v>
      </c>
      <c r="AA483" s="175"/>
      <c r="AB483" s="175"/>
      <c r="AC483" s="175"/>
      <c r="AD483" s="175"/>
      <c r="AE483" s="175"/>
      <c r="AF483" s="175"/>
      <c r="AG483" s="175"/>
      <c r="AH483" s="175"/>
      <c r="AI483" s="174" t="s">
        <v>404</v>
      </c>
      <c r="AJ483" s="173">
        <f t="shared" si="183"/>
        <v>1</v>
      </c>
    </row>
    <row r="484" spans="1:36" ht="49.5" x14ac:dyDescent="0.25">
      <c r="A484" s="184">
        <v>2</v>
      </c>
      <c r="B484" s="183" t="s">
        <v>974</v>
      </c>
      <c r="C484" s="188" t="s">
        <v>973</v>
      </c>
      <c r="D484" s="197" t="s">
        <v>972</v>
      </c>
      <c r="E484" s="197">
        <v>2015</v>
      </c>
      <c r="F484" s="180" t="s">
        <v>971</v>
      </c>
      <c r="G484" s="179">
        <v>14679</v>
      </c>
      <c r="H484" s="179">
        <f>G484</f>
        <v>14679</v>
      </c>
      <c r="I484" s="179">
        <f>J484</f>
        <v>5200</v>
      </c>
      <c r="J484" s="196">
        <v>5200</v>
      </c>
      <c r="K484" s="179">
        <f>L484</f>
        <v>5200</v>
      </c>
      <c r="L484" s="196">
        <v>5200</v>
      </c>
      <c r="M484" s="179">
        <v>7800</v>
      </c>
      <c r="N484" s="179">
        <v>7800</v>
      </c>
      <c r="O484" s="178">
        <v>7800</v>
      </c>
      <c r="P484" s="178">
        <v>7800</v>
      </c>
      <c r="Q484" s="177">
        <f t="shared" si="189"/>
        <v>0</v>
      </c>
      <c r="R484" s="177">
        <f t="shared" si="189"/>
        <v>0</v>
      </c>
      <c r="S484" s="176"/>
      <c r="T484" s="176">
        <f t="shared" ref="T484:T487" si="190">N484-V484</f>
        <v>0</v>
      </c>
      <c r="U484" s="456">
        <v>7800</v>
      </c>
      <c r="V484" s="456">
        <v>7800</v>
      </c>
      <c r="W484" s="175"/>
      <c r="X484" s="175"/>
      <c r="Y484" s="175"/>
      <c r="Z484" s="175"/>
      <c r="AA484" s="175"/>
      <c r="AB484" s="175"/>
      <c r="AC484" s="175"/>
      <c r="AD484" s="175"/>
      <c r="AE484" s="175"/>
      <c r="AF484" s="175"/>
      <c r="AG484" s="175"/>
      <c r="AH484" s="175"/>
      <c r="AI484" s="174"/>
      <c r="AJ484" s="173">
        <f t="shared" si="183"/>
        <v>0</v>
      </c>
    </row>
    <row r="485" spans="1:36" ht="49.5" x14ac:dyDescent="0.25">
      <c r="A485" s="184">
        <v>3</v>
      </c>
      <c r="B485" s="183" t="s">
        <v>970</v>
      </c>
      <c r="C485" s="180" t="s">
        <v>969</v>
      </c>
      <c r="D485" s="180"/>
      <c r="E485" s="181" t="s">
        <v>963</v>
      </c>
      <c r="F485" s="180" t="s">
        <v>968</v>
      </c>
      <c r="G485" s="179">
        <v>9092</v>
      </c>
      <c r="H485" s="179">
        <f>G485</f>
        <v>9092</v>
      </c>
      <c r="I485" s="179">
        <f>J485</f>
        <v>3500</v>
      </c>
      <c r="J485" s="179">
        <v>3500</v>
      </c>
      <c r="K485" s="179">
        <f>L485</f>
        <v>3500</v>
      </c>
      <c r="L485" s="179">
        <v>3500</v>
      </c>
      <c r="M485" s="179">
        <v>3850</v>
      </c>
      <c r="N485" s="179">
        <v>3850</v>
      </c>
      <c r="O485" s="178">
        <v>3850</v>
      </c>
      <c r="P485" s="178">
        <v>3850</v>
      </c>
      <c r="Q485" s="177">
        <f t="shared" si="189"/>
        <v>0</v>
      </c>
      <c r="R485" s="177">
        <f t="shared" si="189"/>
        <v>0</v>
      </c>
      <c r="S485" s="176"/>
      <c r="T485" s="176">
        <f t="shared" si="190"/>
        <v>0</v>
      </c>
      <c r="U485" s="456">
        <v>3850</v>
      </c>
      <c r="V485" s="456">
        <v>3850</v>
      </c>
      <c r="W485" s="175">
        <f>X485</f>
        <v>6850</v>
      </c>
      <c r="X485" s="175">
        <v>6850</v>
      </c>
      <c r="Y485" s="175"/>
      <c r="Z485" s="175"/>
      <c r="AA485" s="175"/>
      <c r="AB485" s="175"/>
      <c r="AC485" s="175"/>
      <c r="AD485" s="175"/>
      <c r="AE485" s="175"/>
      <c r="AF485" s="175"/>
      <c r="AG485" s="175"/>
      <c r="AH485" s="175"/>
      <c r="AI485" s="174"/>
      <c r="AJ485" s="173">
        <f t="shared" si="183"/>
        <v>0</v>
      </c>
    </row>
    <row r="486" spans="1:36" ht="49.5" x14ac:dyDescent="0.25">
      <c r="A486" s="184">
        <v>4</v>
      </c>
      <c r="B486" s="183" t="s">
        <v>967</v>
      </c>
      <c r="C486" s="180" t="s">
        <v>960</v>
      </c>
      <c r="D486" s="180"/>
      <c r="E486" s="181" t="s">
        <v>963</v>
      </c>
      <c r="F486" s="180" t="s">
        <v>966</v>
      </c>
      <c r="G486" s="179">
        <v>902</v>
      </c>
      <c r="H486" s="179">
        <f>G486</f>
        <v>902</v>
      </c>
      <c r="I486" s="175">
        <v>500</v>
      </c>
      <c r="J486" s="175">
        <v>500</v>
      </c>
      <c r="K486" s="175">
        <v>500</v>
      </c>
      <c r="L486" s="175">
        <v>500</v>
      </c>
      <c r="M486" s="179">
        <f>N486</f>
        <v>330</v>
      </c>
      <c r="N486" s="179">
        <v>330</v>
      </c>
      <c r="O486" s="178">
        <f>P486</f>
        <v>300</v>
      </c>
      <c r="P486" s="178">
        <v>300</v>
      </c>
      <c r="Q486" s="177">
        <f t="shared" si="189"/>
        <v>-30</v>
      </c>
      <c r="R486" s="177">
        <f t="shared" si="189"/>
        <v>-30</v>
      </c>
      <c r="S486" s="176"/>
      <c r="T486" s="176">
        <f t="shared" si="190"/>
        <v>30</v>
      </c>
      <c r="U486" s="456">
        <f>V486</f>
        <v>300</v>
      </c>
      <c r="V486" s="456">
        <v>300</v>
      </c>
      <c r="W486" s="175">
        <f>X486</f>
        <v>300</v>
      </c>
      <c r="X486" s="175">
        <v>300</v>
      </c>
      <c r="Y486" s="175">
        <f>Z486</f>
        <v>15</v>
      </c>
      <c r="Z486" s="175">
        <v>15</v>
      </c>
      <c r="AA486" s="175"/>
      <c r="AB486" s="175"/>
      <c r="AC486" s="175"/>
      <c r="AD486" s="175"/>
      <c r="AE486" s="175"/>
      <c r="AF486" s="175"/>
      <c r="AG486" s="175"/>
      <c r="AH486" s="175"/>
      <c r="AI486" s="174" t="s">
        <v>404</v>
      </c>
      <c r="AJ486" s="173">
        <f t="shared" si="183"/>
        <v>1</v>
      </c>
    </row>
    <row r="487" spans="1:36" ht="66" x14ac:dyDescent="0.25">
      <c r="A487" s="184">
        <v>5</v>
      </c>
      <c r="B487" s="183" t="s">
        <v>965</v>
      </c>
      <c r="C487" s="180" t="s">
        <v>964</v>
      </c>
      <c r="D487" s="180"/>
      <c r="E487" s="181" t="s">
        <v>963</v>
      </c>
      <c r="F487" s="180" t="s">
        <v>962</v>
      </c>
      <c r="G487" s="179">
        <v>4471</v>
      </c>
      <c r="H487" s="179">
        <f>G487</f>
        <v>4471</v>
      </c>
      <c r="I487" s="179">
        <v>3500</v>
      </c>
      <c r="J487" s="179">
        <f>I487</f>
        <v>3500</v>
      </c>
      <c r="K487" s="179">
        <v>3500</v>
      </c>
      <c r="L487" s="179">
        <f>K487</f>
        <v>3500</v>
      </c>
      <c r="M487" s="179">
        <v>350</v>
      </c>
      <c r="N487" s="179">
        <v>350</v>
      </c>
      <c r="O487" s="178">
        <v>350</v>
      </c>
      <c r="P487" s="178">
        <v>350</v>
      </c>
      <c r="Q487" s="177">
        <f t="shared" si="189"/>
        <v>0</v>
      </c>
      <c r="R487" s="177">
        <f t="shared" si="189"/>
        <v>0</v>
      </c>
      <c r="S487" s="176"/>
      <c r="T487" s="176">
        <f t="shared" si="190"/>
        <v>0</v>
      </c>
      <c r="U487" s="456">
        <v>350</v>
      </c>
      <c r="V487" s="456">
        <v>350</v>
      </c>
      <c r="W487" s="175">
        <f>X487</f>
        <v>350</v>
      </c>
      <c r="X487" s="175">
        <v>350</v>
      </c>
      <c r="Y487" s="175"/>
      <c r="Z487" s="175"/>
      <c r="AA487" s="175"/>
      <c r="AB487" s="175"/>
      <c r="AC487" s="175"/>
      <c r="AD487" s="175"/>
      <c r="AE487" s="175"/>
      <c r="AF487" s="175"/>
      <c r="AG487" s="175"/>
      <c r="AH487" s="175"/>
      <c r="AI487" s="174"/>
      <c r="AJ487" s="173">
        <f t="shared" si="183"/>
        <v>0</v>
      </c>
    </row>
    <row r="488" spans="1:36" ht="34.5" x14ac:dyDescent="0.25">
      <c r="A488" s="195" t="s">
        <v>85</v>
      </c>
      <c r="B488" s="193" t="s">
        <v>86</v>
      </c>
      <c r="C488" s="192"/>
      <c r="D488" s="192"/>
      <c r="E488" s="192"/>
      <c r="F488" s="192"/>
      <c r="G488" s="191">
        <f>G489</f>
        <v>68930</v>
      </c>
      <c r="H488" s="191">
        <f>H489</f>
        <v>49368</v>
      </c>
      <c r="I488" s="191"/>
      <c r="J488" s="191"/>
      <c r="K488" s="191"/>
      <c r="L488" s="191"/>
      <c r="M488" s="191">
        <f t="shared" ref="M488:AH488" si="191">M489</f>
        <v>65090</v>
      </c>
      <c r="N488" s="191">
        <f t="shared" si="191"/>
        <v>65090</v>
      </c>
      <c r="O488" s="191">
        <f t="shared" si="191"/>
        <v>65300</v>
      </c>
      <c r="P488" s="191">
        <f t="shared" si="191"/>
        <v>65300</v>
      </c>
      <c r="Q488" s="191">
        <f t="shared" si="191"/>
        <v>210</v>
      </c>
      <c r="R488" s="191">
        <f t="shared" si="191"/>
        <v>210</v>
      </c>
      <c r="S488" s="191">
        <f t="shared" si="191"/>
        <v>14380</v>
      </c>
      <c r="T488" s="191">
        <f t="shared" si="191"/>
        <v>14170</v>
      </c>
      <c r="U488" s="191">
        <f t="shared" si="191"/>
        <v>65300</v>
      </c>
      <c r="V488" s="191">
        <f t="shared" si="191"/>
        <v>65300</v>
      </c>
      <c r="W488" s="191">
        <f t="shared" si="191"/>
        <v>15400</v>
      </c>
      <c r="X488" s="191">
        <f t="shared" si="191"/>
        <v>15400</v>
      </c>
      <c r="Y488" s="191">
        <f t="shared" si="191"/>
        <v>15963</v>
      </c>
      <c r="Z488" s="191">
        <f t="shared" si="191"/>
        <v>15963</v>
      </c>
      <c r="AA488" s="190">
        <f t="shared" si="191"/>
        <v>0</v>
      </c>
      <c r="AB488" s="190">
        <f t="shared" si="191"/>
        <v>0</v>
      </c>
      <c r="AC488" s="190">
        <f t="shared" si="191"/>
        <v>0</v>
      </c>
      <c r="AD488" s="190">
        <f t="shared" si="191"/>
        <v>0</v>
      </c>
      <c r="AE488" s="190">
        <f t="shared" si="191"/>
        <v>0</v>
      </c>
      <c r="AF488" s="190">
        <f t="shared" si="191"/>
        <v>0</v>
      </c>
      <c r="AG488" s="190">
        <f t="shared" si="191"/>
        <v>0</v>
      </c>
      <c r="AH488" s="190">
        <f t="shared" si="191"/>
        <v>0</v>
      </c>
      <c r="AI488" s="189"/>
      <c r="AJ488" s="173">
        <f t="shared" si="183"/>
        <v>1</v>
      </c>
    </row>
    <row r="489" spans="1:36" ht="51.75" x14ac:dyDescent="0.25">
      <c r="A489" s="194" t="s">
        <v>87</v>
      </c>
      <c r="B489" s="193" t="s">
        <v>88</v>
      </c>
      <c r="C489" s="192"/>
      <c r="D489" s="192"/>
      <c r="E489" s="192"/>
      <c r="F489" s="192"/>
      <c r="G489" s="191">
        <f>G492+G493+G494+G496+G497+G498+G499+G500+G501+G502</f>
        <v>68930</v>
      </c>
      <c r="H489" s="191">
        <f>H492+H493+H494+H496+H497+H498+H499+H500+H501+H502</f>
        <v>49368</v>
      </c>
      <c r="I489" s="191"/>
      <c r="J489" s="191"/>
      <c r="K489" s="191"/>
      <c r="L489" s="191"/>
      <c r="M489" s="191">
        <f>SUM(M490:M502)</f>
        <v>65090</v>
      </c>
      <c r="N489" s="191">
        <f t="shared" ref="N489:Z489" si="192">SUM(N490:N502)</f>
        <v>65090</v>
      </c>
      <c r="O489" s="191">
        <f t="shared" si="192"/>
        <v>65300</v>
      </c>
      <c r="P489" s="191">
        <f t="shared" si="192"/>
        <v>65300</v>
      </c>
      <c r="Q489" s="191">
        <f t="shared" si="192"/>
        <v>210</v>
      </c>
      <c r="R489" s="191">
        <f t="shared" si="192"/>
        <v>210</v>
      </c>
      <c r="S489" s="191">
        <f t="shared" si="192"/>
        <v>14380</v>
      </c>
      <c r="T489" s="191">
        <f t="shared" si="192"/>
        <v>14170</v>
      </c>
      <c r="U489" s="191">
        <f t="shared" si="192"/>
        <v>65300</v>
      </c>
      <c r="V489" s="191">
        <f t="shared" si="192"/>
        <v>65300</v>
      </c>
      <c r="W489" s="191">
        <f t="shared" si="192"/>
        <v>15400</v>
      </c>
      <c r="X489" s="191">
        <f t="shared" si="192"/>
        <v>15400</v>
      </c>
      <c r="Y489" s="191">
        <f t="shared" si="192"/>
        <v>15963</v>
      </c>
      <c r="Z489" s="191">
        <f t="shared" si="192"/>
        <v>15963</v>
      </c>
      <c r="AA489" s="190">
        <f t="shared" ref="AA489:AH489" si="193">SUM(AA490:AA502)</f>
        <v>0</v>
      </c>
      <c r="AB489" s="190">
        <f t="shared" si="193"/>
        <v>0</v>
      </c>
      <c r="AC489" s="190">
        <f t="shared" si="193"/>
        <v>0</v>
      </c>
      <c r="AD489" s="190">
        <f t="shared" si="193"/>
        <v>0</v>
      </c>
      <c r="AE489" s="190">
        <f t="shared" si="193"/>
        <v>0</v>
      </c>
      <c r="AF489" s="190">
        <f t="shared" si="193"/>
        <v>0</v>
      </c>
      <c r="AG489" s="190">
        <f t="shared" si="193"/>
        <v>0</v>
      </c>
      <c r="AH489" s="190">
        <f t="shared" si="193"/>
        <v>0</v>
      </c>
      <c r="AI489" s="189"/>
      <c r="AJ489" s="173">
        <f t="shared" si="183"/>
        <v>1</v>
      </c>
    </row>
    <row r="490" spans="1:36" ht="49.5" x14ac:dyDescent="0.25">
      <c r="A490" s="184">
        <v>1</v>
      </c>
      <c r="B490" s="183" t="s">
        <v>961</v>
      </c>
      <c r="C490" s="180" t="s">
        <v>960</v>
      </c>
      <c r="D490" s="188" t="s">
        <v>959</v>
      </c>
      <c r="E490" s="181" t="s">
        <v>199</v>
      </c>
      <c r="F490" s="180" t="s">
        <v>958</v>
      </c>
      <c r="G490" s="179">
        <v>14898</v>
      </c>
      <c r="H490" s="179">
        <f t="shared" ref="H490:H495" si="194">G490</f>
        <v>14898</v>
      </c>
      <c r="I490" s="175"/>
      <c r="J490" s="175"/>
      <c r="K490" s="175"/>
      <c r="L490" s="175"/>
      <c r="M490" s="179">
        <v>13400</v>
      </c>
      <c r="N490" s="179">
        <v>13400</v>
      </c>
      <c r="O490" s="178">
        <v>13400</v>
      </c>
      <c r="P490" s="178">
        <v>13400</v>
      </c>
      <c r="Q490" s="177">
        <f t="shared" ref="Q490:R502" si="195">O490-M490</f>
        <v>0</v>
      </c>
      <c r="R490" s="177">
        <f t="shared" si="195"/>
        <v>0</v>
      </c>
      <c r="S490" s="176"/>
      <c r="T490" s="176">
        <f t="shared" ref="T490:T497" si="196">N490-V490</f>
        <v>0</v>
      </c>
      <c r="U490" s="456">
        <v>13400</v>
      </c>
      <c r="V490" s="456">
        <v>13400</v>
      </c>
      <c r="W490" s="175">
        <f>X490</f>
        <v>7400</v>
      </c>
      <c r="X490" s="175">
        <v>7400</v>
      </c>
      <c r="Y490" s="175">
        <f t="shared" ref="Y490:Y497" si="197">Z490</f>
        <v>4400</v>
      </c>
      <c r="Z490" s="175">
        <v>4400</v>
      </c>
      <c r="AA490" s="175"/>
      <c r="AB490" s="175"/>
      <c r="AC490" s="175"/>
      <c r="AD490" s="175"/>
      <c r="AE490" s="175"/>
      <c r="AF490" s="175"/>
      <c r="AG490" s="175"/>
      <c r="AH490" s="175"/>
      <c r="AI490" s="174"/>
      <c r="AJ490" s="173">
        <f t="shared" si="183"/>
        <v>0</v>
      </c>
    </row>
    <row r="491" spans="1:36" ht="49.5" x14ac:dyDescent="0.25">
      <c r="A491" s="184">
        <v>2</v>
      </c>
      <c r="B491" s="183" t="s">
        <v>957</v>
      </c>
      <c r="C491" s="180" t="s">
        <v>956</v>
      </c>
      <c r="D491" s="188" t="s">
        <v>955</v>
      </c>
      <c r="E491" s="181" t="s">
        <v>199</v>
      </c>
      <c r="F491" s="180" t="s">
        <v>954</v>
      </c>
      <c r="G491" s="179">
        <v>14978</v>
      </c>
      <c r="H491" s="179">
        <f t="shared" si="194"/>
        <v>14978</v>
      </c>
      <c r="I491" s="175"/>
      <c r="J491" s="175"/>
      <c r="K491" s="175"/>
      <c r="L491" s="175"/>
      <c r="M491" s="179">
        <v>10790</v>
      </c>
      <c r="N491" s="179">
        <v>10790</v>
      </c>
      <c r="O491" s="178">
        <v>10790</v>
      </c>
      <c r="P491" s="178">
        <v>10790</v>
      </c>
      <c r="Q491" s="177">
        <f t="shared" si="195"/>
        <v>0</v>
      </c>
      <c r="R491" s="177">
        <f t="shared" si="195"/>
        <v>0</v>
      </c>
      <c r="S491" s="176"/>
      <c r="T491" s="176">
        <f t="shared" si="196"/>
        <v>0</v>
      </c>
      <c r="U491" s="456">
        <v>10790</v>
      </c>
      <c r="V491" s="456">
        <v>10790</v>
      </c>
      <c r="W491" s="175">
        <f>X491</f>
        <v>8000</v>
      </c>
      <c r="X491" s="175">
        <v>8000</v>
      </c>
      <c r="Y491" s="175">
        <f t="shared" si="197"/>
        <v>2290</v>
      </c>
      <c r="Z491" s="175">
        <v>2290</v>
      </c>
      <c r="AA491" s="175"/>
      <c r="AB491" s="175"/>
      <c r="AC491" s="175"/>
      <c r="AD491" s="175"/>
      <c r="AE491" s="175"/>
      <c r="AF491" s="175"/>
      <c r="AG491" s="175"/>
      <c r="AH491" s="175"/>
      <c r="AI491" s="174"/>
      <c r="AJ491" s="173">
        <f t="shared" si="183"/>
        <v>0</v>
      </c>
    </row>
    <row r="492" spans="1:36" ht="82.5" x14ac:dyDescent="0.25">
      <c r="A492" s="184">
        <v>3</v>
      </c>
      <c r="B492" s="183" t="s">
        <v>953</v>
      </c>
      <c r="C492" s="180" t="s">
        <v>952</v>
      </c>
      <c r="D492" s="182" t="s">
        <v>951</v>
      </c>
      <c r="E492" s="187" t="s">
        <v>938</v>
      </c>
      <c r="F492" s="180" t="s">
        <v>950</v>
      </c>
      <c r="G492" s="179">
        <v>559</v>
      </c>
      <c r="H492" s="179">
        <f t="shared" si="194"/>
        <v>559</v>
      </c>
      <c r="I492" s="175"/>
      <c r="J492" s="175"/>
      <c r="K492" s="175"/>
      <c r="L492" s="175"/>
      <c r="M492" s="179">
        <f>N492</f>
        <v>530</v>
      </c>
      <c r="N492" s="175">
        <v>530</v>
      </c>
      <c r="O492" s="178">
        <f t="shared" ref="O492:O502" si="198">P492</f>
        <v>510</v>
      </c>
      <c r="P492" s="186">
        <v>510</v>
      </c>
      <c r="Q492" s="177">
        <f t="shared" si="195"/>
        <v>-20</v>
      </c>
      <c r="R492" s="177">
        <f t="shared" si="195"/>
        <v>-20</v>
      </c>
      <c r="S492" s="176"/>
      <c r="T492" s="176">
        <f t="shared" si="196"/>
        <v>20</v>
      </c>
      <c r="U492" s="456">
        <f t="shared" ref="U492:U502" si="199">V492</f>
        <v>510</v>
      </c>
      <c r="V492" s="467">
        <v>510</v>
      </c>
      <c r="W492" s="175"/>
      <c r="X492" s="175"/>
      <c r="Y492" s="175">
        <f t="shared" si="197"/>
        <v>480</v>
      </c>
      <c r="Z492" s="175">
        <v>480</v>
      </c>
      <c r="AA492" s="175"/>
      <c r="AB492" s="175"/>
      <c r="AC492" s="175"/>
      <c r="AD492" s="175"/>
      <c r="AE492" s="175"/>
      <c r="AF492" s="175"/>
      <c r="AG492" s="175"/>
      <c r="AH492" s="175"/>
      <c r="AI492" s="174"/>
      <c r="AJ492" s="173">
        <f t="shared" si="183"/>
        <v>1</v>
      </c>
    </row>
    <row r="493" spans="1:36" ht="49.5" x14ac:dyDescent="0.25">
      <c r="A493" s="184">
        <v>4</v>
      </c>
      <c r="B493" s="183" t="s">
        <v>949</v>
      </c>
      <c r="C493" s="180" t="s">
        <v>948</v>
      </c>
      <c r="D493" s="182" t="s">
        <v>947</v>
      </c>
      <c r="E493" s="187" t="s">
        <v>938</v>
      </c>
      <c r="F493" s="180" t="s">
        <v>946</v>
      </c>
      <c r="G493" s="179">
        <v>896</v>
      </c>
      <c r="H493" s="179">
        <f t="shared" si="194"/>
        <v>896</v>
      </c>
      <c r="I493" s="175"/>
      <c r="J493" s="175"/>
      <c r="K493" s="175"/>
      <c r="L493" s="175"/>
      <c r="M493" s="179">
        <f>N493</f>
        <v>850</v>
      </c>
      <c r="N493" s="175">
        <v>850</v>
      </c>
      <c r="O493" s="178">
        <f t="shared" si="198"/>
        <v>780</v>
      </c>
      <c r="P493" s="186">
        <v>780</v>
      </c>
      <c r="Q493" s="177">
        <f t="shared" si="195"/>
        <v>-70</v>
      </c>
      <c r="R493" s="177">
        <f t="shared" si="195"/>
        <v>-70</v>
      </c>
      <c r="S493" s="176"/>
      <c r="T493" s="176">
        <f t="shared" si="196"/>
        <v>70</v>
      </c>
      <c r="U493" s="456">
        <f t="shared" si="199"/>
        <v>780</v>
      </c>
      <c r="V493" s="467">
        <v>780</v>
      </c>
      <c r="W493" s="175"/>
      <c r="X493" s="175"/>
      <c r="Y493" s="175">
        <f t="shared" si="197"/>
        <v>780</v>
      </c>
      <c r="Z493" s="175">
        <v>780</v>
      </c>
      <c r="AA493" s="175"/>
      <c r="AB493" s="175"/>
      <c r="AC493" s="175"/>
      <c r="AD493" s="175"/>
      <c r="AE493" s="175"/>
      <c r="AF493" s="175"/>
      <c r="AG493" s="175"/>
      <c r="AH493" s="175"/>
      <c r="AI493" s="174"/>
      <c r="AJ493" s="173">
        <f t="shared" si="183"/>
        <v>1</v>
      </c>
    </row>
    <row r="494" spans="1:36" ht="49.5" x14ac:dyDescent="0.25">
      <c r="A494" s="184">
        <v>5</v>
      </c>
      <c r="B494" s="183" t="s">
        <v>945</v>
      </c>
      <c r="C494" s="180" t="s">
        <v>944</v>
      </c>
      <c r="D494" s="182" t="s">
        <v>943</v>
      </c>
      <c r="E494" s="187" t="s">
        <v>938</v>
      </c>
      <c r="F494" s="180" t="s">
        <v>942</v>
      </c>
      <c r="G494" s="179">
        <v>1156</v>
      </c>
      <c r="H494" s="179">
        <f t="shared" si="194"/>
        <v>1156</v>
      </c>
      <c r="I494" s="175"/>
      <c r="J494" s="175"/>
      <c r="K494" s="175"/>
      <c r="L494" s="175"/>
      <c r="M494" s="179">
        <f>N494</f>
        <v>1050</v>
      </c>
      <c r="N494" s="179">
        <v>1050</v>
      </c>
      <c r="O494" s="178">
        <f t="shared" si="198"/>
        <v>1100</v>
      </c>
      <c r="P494" s="178">
        <v>1100</v>
      </c>
      <c r="Q494" s="177">
        <f t="shared" si="195"/>
        <v>50</v>
      </c>
      <c r="R494" s="177">
        <f t="shared" si="195"/>
        <v>50</v>
      </c>
      <c r="S494" s="176">
        <f>V494-N494</f>
        <v>50</v>
      </c>
      <c r="T494" s="176"/>
      <c r="U494" s="456">
        <f t="shared" si="199"/>
        <v>1100</v>
      </c>
      <c r="V494" s="456">
        <v>1100</v>
      </c>
      <c r="W494" s="175"/>
      <c r="X494" s="175"/>
      <c r="Y494" s="175">
        <f t="shared" si="197"/>
        <v>1100</v>
      </c>
      <c r="Z494" s="175">
        <v>1100</v>
      </c>
      <c r="AA494" s="175"/>
      <c r="AB494" s="175"/>
      <c r="AC494" s="175"/>
      <c r="AD494" s="175"/>
      <c r="AE494" s="175"/>
      <c r="AF494" s="175"/>
      <c r="AG494" s="175"/>
      <c r="AH494" s="175"/>
      <c r="AI494" s="174"/>
      <c r="AJ494" s="173">
        <f t="shared" si="183"/>
        <v>1</v>
      </c>
    </row>
    <row r="495" spans="1:36" ht="49.5" x14ac:dyDescent="0.25">
      <c r="A495" s="184">
        <v>6</v>
      </c>
      <c r="B495" s="183" t="s">
        <v>941</v>
      </c>
      <c r="C495" s="180" t="s">
        <v>940</v>
      </c>
      <c r="D495" s="182" t="s">
        <v>939</v>
      </c>
      <c r="E495" s="187" t="s">
        <v>938</v>
      </c>
      <c r="F495" s="180" t="s">
        <v>937</v>
      </c>
      <c r="G495" s="179">
        <v>409</v>
      </c>
      <c r="H495" s="179">
        <f t="shared" si="194"/>
        <v>409</v>
      </c>
      <c r="I495" s="175"/>
      <c r="J495" s="175"/>
      <c r="K495" s="175"/>
      <c r="L495" s="175"/>
      <c r="M495" s="179">
        <f>N495</f>
        <v>390</v>
      </c>
      <c r="N495" s="175">
        <v>390</v>
      </c>
      <c r="O495" s="178">
        <f t="shared" si="198"/>
        <v>390</v>
      </c>
      <c r="P495" s="186">
        <v>390</v>
      </c>
      <c r="Q495" s="177">
        <f t="shared" si="195"/>
        <v>0</v>
      </c>
      <c r="R495" s="177">
        <f t="shared" si="195"/>
        <v>0</v>
      </c>
      <c r="S495" s="176"/>
      <c r="T495" s="176">
        <f t="shared" si="196"/>
        <v>0</v>
      </c>
      <c r="U495" s="456">
        <f t="shared" si="199"/>
        <v>390</v>
      </c>
      <c r="V495" s="467">
        <v>390</v>
      </c>
      <c r="W495" s="175"/>
      <c r="X495" s="175"/>
      <c r="Y495" s="175">
        <f t="shared" si="197"/>
        <v>365</v>
      </c>
      <c r="Z495" s="175">
        <v>365</v>
      </c>
      <c r="AA495" s="175"/>
      <c r="AB495" s="175"/>
      <c r="AC495" s="175"/>
      <c r="AD495" s="175"/>
      <c r="AE495" s="175"/>
      <c r="AF495" s="175"/>
      <c r="AG495" s="175"/>
      <c r="AH495" s="175"/>
      <c r="AI495" s="174"/>
      <c r="AJ495" s="173">
        <f t="shared" si="183"/>
        <v>0</v>
      </c>
    </row>
    <row r="496" spans="1:36" ht="121.5" x14ac:dyDescent="0.25">
      <c r="A496" s="184">
        <v>7</v>
      </c>
      <c r="B496" s="183" t="s">
        <v>936</v>
      </c>
      <c r="C496" s="180" t="s">
        <v>935</v>
      </c>
      <c r="D496" s="182" t="s">
        <v>934</v>
      </c>
      <c r="E496" s="181" t="s">
        <v>109</v>
      </c>
      <c r="F496" s="180" t="s">
        <v>930</v>
      </c>
      <c r="G496" s="179">
        <v>8900</v>
      </c>
      <c r="H496" s="179">
        <v>7506</v>
      </c>
      <c r="I496" s="175"/>
      <c r="J496" s="175"/>
      <c r="K496" s="175"/>
      <c r="L496" s="175"/>
      <c r="M496" s="179">
        <v>8000</v>
      </c>
      <c r="N496" s="179">
        <f>M496</f>
        <v>8000</v>
      </c>
      <c r="O496" s="178">
        <f t="shared" si="198"/>
        <v>6800</v>
      </c>
      <c r="P496" s="178">
        <v>6800</v>
      </c>
      <c r="Q496" s="177">
        <f t="shared" si="195"/>
        <v>-1200</v>
      </c>
      <c r="R496" s="177">
        <f t="shared" si="195"/>
        <v>-1200</v>
      </c>
      <c r="S496" s="176"/>
      <c r="T496" s="176">
        <f t="shared" si="196"/>
        <v>1200</v>
      </c>
      <c r="U496" s="456">
        <f t="shared" si="199"/>
        <v>6800</v>
      </c>
      <c r="V496" s="456">
        <v>6800</v>
      </c>
      <c r="W496" s="179"/>
      <c r="X496" s="179"/>
      <c r="Y496" s="175">
        <f t="shared" si="197"/>
        <v>3208</v>
      </c>
      <c r="Z496" s="179">
        <v>3208</v>
      </c>
      <c r="AA496" s="179"/>
      <c r="AB496" s="179"/>
      <c r="AC496" s="179"/>
      <c r="AD496" s="179"/>
      <c r="AE496" s="179"/>
      <c r="AF496" s="179"/>
      <c r="AG496" s="179"/>
      <c r="AH496" s="179"/>
      <c r="AI496" s="185" t="s">
        <v>926</v>
      </c>
      <c r="AJ496" s="173">
        <f t="shared" si="183"/>
        <v>1</v>
      </c>
    </row>
    <row r="497" spans="1:36" ht="121.5" x14ac:dyDescent="0.25">
      <c r="A497" s="184">
        <v>8</v>
      </c>
      <c r="B497" s="183" t="s">
        <v>933</v>
      </c>
      <c r="C497" s="180" t="s">
        <v>932</v>
      </c>
      <c r="D497" s="182" t="s">
        <v>931</v>
      </c>
      <c r="E497" s="181" t="s">
        <v>109</v>
      </c>
      <c r="F497" s="180" t="s">
        <v>930</v>
      </c>
      <c r="G497" s="179">
        <v>26100</v>
      </c>
      <c r="H497" s="179">
        <v>7932</v>
      </c>
      <c r="I497" s="175"/>
      <c r="J497" s="175"/>
      <c r="K497" s="175"/>
      <c r="L497" s="175"/>
      <c r="M497" s="179">
        <f>N497</f>
        <v>20080</v>
      </c>
      <c r="N497" s="179">
        <v>20080</v>
      </c>
      <c r="O497" s="178">
        <f t="shared" si="198"/>
        <v>7200</v>
      </c>
      <c r="P497" s="178">
        <v>7200</v>
      </c>
      <c r="Q497" s="177">
        <f t="shared" si="195"/>
        <v>-12880</v>
      </c>
      <c r="R497" s="177">
        <f t="shared" si="195"/>
        <v>-12880</v>
      </c>
      <c r="S497" s="176"/>
      <c r="T497" s="176">
        <f t="shared" si="196"/>
        <v>12880</v>
      </c>
      <c r="U497" s="456">
        <f t="shared" si="199"/>
        <v>7200</v>
      </c>
      <c r="V497" s="456">
        <v>7200</v>
      </c>
      <c r="W497" s="175"/>
      <c r="X497" s="175"/>
      <c r="Y497" s="175">
        <f t="shared" si="197"/>
        <v>3340</v>
      </c>
      <c r="Z497" s="175">
        <v>3340</v>
      </c>
      <c r="AA497" s="175"/>
      <c r="AB497" s="175"/>
      <c r="AC497" s="175"/>
      <c r="AD497" s="175"/>
      <c r="AE497" s="175"/>
      <c r="AF497" s="175"/>
      <c r="AG497" s="175"/>
      <c r="AH497" s="175"/>
      <c r="AI497" s="185" t="s">
        <v>926</v>
      </c>
      <c r="AJ497" s="173">
        <f t="shared" si="183"/>
        <v>1</v>
      </c>
    </row>
    <row r="498" spans="1:36" ht="49.5" x14ac:dyDescent="0.25">
      <c r="A498" s="184">
        <v>9</v>
      </c>
      <c r="B498" s="183" t="s">
        <v>929</v>
      </c>
      <c r="C498" s="180" t="s">
        <v>928</v>
      </c>
      <c r="D498" s="182" t="s">
        <v>927</v>
      </c>
      <c r="E498" s="181" t="s">
        <v>116</v>
      </c>
      <c r="F498" s="180"/>
      <c r="G498" s="179">
        <f>H498</f>
        <v>28000</v>
      </c>
      <c r="H498" s="179">
        <v>28000</v>
      </c>
      <c r="I498" s="175"/>
      <c r="J498" s="175"/>
      <c r="K498" s="175"/>
      <c r="L498" s="175"/>
      <c r="M498" s="179">
        <v>10000</v>
      </c>
      <c r="N498" s="179">
        <f>M498</f>
        <v>10000</v>
      </c>
      <c r="O498" s="178">
        <f t="shared" si="198"/>
        <v>21340</v>
      </c>
      <c r="P498" s="178">
        <f>23600-2260</f>
        <v>21340</v>
      </c>
      <c r="Q498" s="177">
        <f t="shared" si="195"/>
        <v>11340</v>
      </c>
      <c r="R498" s="177">
        <f t="shared" si="195"/>
        <v>11340</v>
      </c>
      <c r="S498" s="176">
        <f t="shared" ref="S498:S502" si="200">V498-N498</f>
        <v>11340</v>
      </c>
      <c r="T498" s="176"/>
      <c r="U498" s="456">
        <f t="shared" si="199"/>
        <v>21340</v>
      </c>
      <c r="V498" s="456">
        <v>21340</v>
      </c>
      <c r="W498" s="175"/>
      <c r="X498" s="175"/>
      <c r="Y498" s="175"/>
      <c r="Z498" s="175"/>
      <c r="AA498" s="175"/>
      <c r="AB498" s="175"/>
      <c r="AC498" s="175"/>
      <c r="AD498" s="175"/>
      <c r="AE498" s="175"/>
      <c r="AF498" s="175"/>
      <c r="AG498" s="175"/>
      <c r="AH498" s="175"/>
      <c r="AI498" s="185" t="s">
        <v>926</v>
      </c>
      <c r="AJ498" s="173">
        <f t="shared" si="183"/>
        <v>1</v>
      </c>
    </row>
    <row r="499" spans="1:36" ht="33" x14ac:dyDescent="0.25">
      <c r="A499" s="184">
        <v>10</v>
      </c>
      <c r="B499" s="183" t="s">
        <v>925</v>
      </c>
      <c r="C499" s="180" t="s">
        <v>924</v>
      </c>
      <c r="D499" s="182"/>
      <c r="E499" s="181"/>
      <c r="F499" s="180"/>
      <c r="G499" s="179">
        <f>H499</f>
        <v>1150</v>
      </c>
      <c r="H499" s="179">
        <v>1150</v>
      </c>
      <c r="I499" s="175"/>
      <c r="J499" s="175"/>
      <c r="K499" s="175"/>
      <c r="L499" s="175"/>
      <c r="M499" s="179"/>
      <c r="N499" s="179"/>
      <c r="O499" s="178">
        <f t="shared" si="198"/>
        <v>1030</v>
      </c>
      <c r="P499" s="178">
        <v>1030</v>
      </c>
      <c r="Q499" s="177">
        <f t="shared" si="195"/>
        <v>1030</v>
      </c>
      <c r="R499" s="177">
        <f t="shared" si="195"/>
        <v>1030</v>
      </c>
      <c r="S499" s="176">
        <f t="shared" si="200"/>
        <v>1030</v>
      </c>
      <c r="T499" s="176"/>
      <c r="U499" s="456">
        <f t="shared" si="199"/>
        <v>1030</v>
      </c>
      <c r="V499" s="456">
        <v>1030</v>
      </c>
      <c r="W499" s="175"/>
      <c r="X499" s="175"/>
      <c r="Y499" s="175"/>
      <c r="Z499" s="175"/>
      <c r="AA499" s="175"/>
      <c r="AB499" s="175"/>
      <c r="AC499" s="175"/>
      <c r="AD499" s="175"/>
      <c r="AE499" s="175"/>
      <c r="AF499" s="175"/>
      <c r="AG499" s="175"/>
      <c r="AH499" s="175"/>
      <c r="AI499" s="174"/>
      <c r="AJ499" s="173">
        <f t="shared" si="183"/>
        <v>1</v>
      </c>
    </row>
    <row r="500" spans="1:36" ht="33" x14ac:dyDescent="0.25">
      <c r="A500" s="184">
        <v>11</v>
      </c>
      <c r="B500" s="183" t="s">
        <v>923</v>
      </c>
      <c r="C500" s="180" t="s">
        <v>922</v>
      </c>
      <c r="D500" s="182"/>
      <c r="E500" s="181"/>
      <c r="F500" s="180"/>
      <c r="G500" s="179">
        <f>H500</f>
        <v>830</v>
      </c>
      <c r="H500" s="179">
        <v>830</v>
      </c>
      <c r="I500" s="175"/>
      <c r="J500" s="175"/>
      <c r="K500" s="175"/>
      <c r="L500" s="175"/>
      <c r="M500" s="179"/>
      <c r="N500" s="179"/>
      <c r="O500" s="178">
        <f t="shared" si="198"/>
        <v>750</v>
      </c>
      <c r="P500" s="178">
        <v>750</v>
      </c>
      <c r="Q500" s="177">
        <f t="shared" si="195"/>
        <v>750</v>
      </c>
      <c r="R500" s="177">
        <f t="shared" si="195"/>
        <v>750</v>
      </c>
      <c r="S500" s="176">
        <f t="shared" si="200"/>
        <v>750</v>
      </c>
      <c r="T500" s="176"/>
      <c r="U500" s="456">
        <f t="shared" si="199"/>
        <v>750</v>
      </c>
      <c r="V500" s="456">
        <v>750</v>
      </c>
      <c r="W500" s="175"/>
      <c r="X500" s="175"/>
      <c r="Y500" s="175"/>
      <c r="Z500" s="175"/>
      <c r="AA500" s="175"/>
      <c r="AB500" s="175"/>
      <c r="AC500" s="175"/>
      <c r="AD500" s="175"/>
      <c r="AE500" s="175"/>
      <c r="AF500" s="175"/>
      <c r="AG500" s="175"/>
      <c r="AH500" s="175"/>
      <c r="AI500" s="174"/>
      <c r="AJ500" s="173">
        <f t="shared" si="183"/>
        <v>1</v>
      </c>
    </row>
    <row r="501" spans="1:36" ht="49.5" x14ac:dyDescent="0.25">
      <c r="A501" s="184">
        <v>12</v>
      </c>
      <c r="B501" s="183" t="s">
        <v>921</v>
      </c>
      <c r="C501" s="180" t="s">
        <v>920</v>
      </c>
      <c r="D501" s="182"/>
      <c r="E501" s="181"/>
      <c r="F501" s="180"/>
      <c r="G501" s="179">
        <f>H501</f>
        <v>819</v>
      </c>
      <c r="H501" s="179">
        <v>819</v>
      </c>
      <c r="I501" s="175"/>
      <c r="J501" s="175"/>
      <c r="K501" s="175"/>
      <c r="L501" s="175"/>
      <c r="M501" s="179"/>
      <c r="N501" s="179"/>
      <c r="O501" s="178">
        <f t="shared" si="198"/>
        <v>740</v>
      </c>
      <c r="P501" s="178">
        <v>740</v>
      </c>
      <c r="Q501" s="177">
        <f t="shared" si="195"/>
        <v>740</v>
      </c>
      <c r="R501" s="177">
        <f t="shared" si="195"/>
        <v>740</v>
      </c>
      <c r="S501" s="176">
        <f t="shared" si="200"/>
        <v>740</v>
      </c>
      <c r="T501" s="176"/>
      <c r="U501" s="456">
        <f t="shared" si="199"/>
        <v>740</v>
      </c>
      <c r="V501" s="456">
        <v>740</v>
      </c>
      <c r="W501" s="175"/>
      <c r="X501" s="175"/>
      <c r="Y501" s="175"/>
      <c r="Z501" s="175"/>
      <c r="AA501" s="175"/>
      <c r="AB501" s="175"/>
      <c r="AC501" s="175"/>
      <c r="AD501" s="175"/>
      <c r="AE501" s="175"/>
      <c r="AF501" s="175"/>
      <c r="AG501" s="175"/>
      <c r="AH501" s="175"/>
      <c r="AI501" s="174"/>
      <c r="AJ501" s="173">
        <f t="shared" si="183"/>
        <v>1</v>
      </c>
    </row>
    <row r="502" spans="1:36" ht="33" x14ac:dyDescent="0.25">
      <c r="A502" s="184">
        <v>13</v>
      </c>
      <c r="B502" s="183" t="s">
        <v>919</v>
      </c>
      <c r="C502" s="180" t="s">
        <v>918</v>
      </c>
      <c r="D502" s="182"/>
      <c r="E502" s="181"/>
      <c r="F502" s="180"/>
      <c r="G502" s="179">
        <f>H502</f>
        <v>520</v>
      </c>
      <c r="H502" s="179">
        <v>520</v>
      </c>
      <c r="I502" s="175"/>
      <c r="J502" s="175"/>
      <c r="K502" s="175"/>
      <c r="L502" s="175"/>
      <c r="M502" s="179"/>
      <c r="N502" s="179"/>
      <c r="O502" s="178">
        <f t="shared" si="198"/>
        <v>470</v>
      </c>
      <c r="P502" s="178">
        <v>470</v>
      </c>
      <c r="Q502" s="177">
        <f t="shared" si="195"/>
        <v>470</v>
      </c>
      <c r="R502" s="177">
        <f t="shared" si="195"/>
        <v>470</v>
      </c>
      <c r="S502" s="176">
        <f t="shared" si="200"/>
        <v>470</v>
      </c>
      <c r="T502" s="176"/>
      <c r="U502" s="456">
        <f t="shared" si="199"/>
        <v>470</v>
      </c>
      <c r="V502" s="456">
        <v>470</v>
      </c>
      <c r="W502" s="175"/>
      <c r="X502" s="175"/>
      <c r="Y502" s="175"/>
      <c r="Z502" s="175"/>
      <c r="AA502" s="175"/>
      <c r="AB502" s="175"/>
      <c r="AC502" s="175"/>
      <c r="AD502" s="175"/>
      <c r="AE502" s="175"/>
      <c r="AF502" s="175"/>
      <c r="AG502" s="175"/>
      <c r="AH502" s="175"/>
      <c r="AI502" s="174"/>
      <c r="AJ502" s="173">
        <f t="shared" si="183"/>
        <v>1</v>
      </c>
    </row>
    <row r="503" spans="1:36" ht="16.5" x14ac:dyDescent="0.25">
      <c r="A503" s="171"/>
      <c r="B503" s="168"/>
      <c r="C503" s="172"/>
      <c r="D503" s="168"/>
      <c r="E503" s="171"/>
      <c r="F503" s="168"/>
      <c r="G503" s="168"/>
      <c r="H503" s="168"/>
      <c r="I503" s="168"/>
      <c r="J503" s="168"/>
      <c r="K503" s="168"/>
      <c r="L503" s="168"/>
      <c r="M503" s="168"/>
      <c r="N503" s="168"/>
      <c r="O503" s="170"/>
      <c r="P503" s="170"/>
      <c r="Q503" s="169"/>
      <c r="R503" s="169"/>
      <c r="S503" s="169"/>
      <c r="T503" s="169"/>
      <c r="U503" s="468"/>
      <c r="V503" s="468"/>
      <c r="W503" s="169"/>
      <c r="X503" s="169"/>
      <c r="Y503" s="169"/>
      <c r="Z503" s="169"/>
      <c r="AA503" s="169"/>
      <c r="AB503" s="169"/>
      <c r="AC503" s="169"/>
      <c r="AD503" s="169"/>
      <c r="AE503" s="169"/>
      <c r="AF503" s="169"/>
      <c r="AG503" s="169"/>
      <c r="AH503" s="169"/>
      <c r="AI503" s="168"/>
      <c r="AJ503" s="165">
        <v>1</v>
      </c>
    </row>
  </sheetData>
  <autoFilter ref="AJ14:AJ503"/>
  <mergeCells count="58">
    <mergeCell ref="A6:AI6"/>
    <mergeCell ref="A1:AI1"/>
    <mergeCell ref="A2:AI2"/>
    <mergeCell ref="A3:AI3"/>
    <mergeCell ref="A4:AI4"/>
    <mergeCell ref="A5:AI5"/>
    <mergeCell ref="W10:X11"/>
    <mergeCell ref="A7:AI7"/>
    <mergeCell ref="A9:AI9"/>
    <mergeCell ref="A10:A14"/>
    <mergeCell ref="B10:B14"/>
    <mergeCell ref="C10:C14"/>
    <mergeCell ref="D10:D14"/>
    <mergeCell ref="E10:E14"/>
    <mergeCell ref="F10:H11"/>
    <mergeCell ref="I10:J11"/>
    <mergeCell ref="K10:L11"/>
    <mergeCell ref="M10:N11"/>
    <mergeCell ref="O10:P11"/>
    <mergeCell ref="Q10:R11"/>
    <mergeCell ref="S10:T11"/>
    <mergeCell ref="U10:V11"/>
    <mergeCell ref="AI10:AI14"/>
    <mergeCell ref="Y12:Y14"/>
    <mergeCell ref="Z12:Z14"/>
    <mergeCell ref="AA12:AA14"/>
    <mergeCell ref="AB12:AB14"/>
    <mergeCell ref="Y10:Z11"/>
    <mergeCell ref="AA10:AB11"/>
    <mergeCell ref="AC10:AD11"/>
    <mergeCell ref="AE10:AF11"/>
    <mergeCell ref="AG10:AH11"/>
    <mergeCell ref="AH12:AH14"/>
    <mergeCell ref="AG12:AG14"/>
    <mergeCell ref="R12:R14"/>
    <mergeCell ref="F12:F14"/>
    <mergeCell ref="G12:H12"/>
    <mergeCell ref="I12:I14"/>
    <mergeCell ref="J12:J14"/>
    <mergeCell ref="K12:K14"/>
    <mergeCell ref="L12:L14"/>
    <mergeCell ref="G13:G14"/>
    <mergeCell ref="H13:H14"/>
    <mergeCell ref="M12:M14"/>
    <mergeCell ref="N12:N14"/>
    <mergeCell ref="O12:O14"/>
    <mergeCell ref="P12:P14"/>
    <mergeCell ref="Q12:Q14"/>
    <mergeCell ref="S12:S14"/>
    <mergeCell ref="T12:T14"/>
    <mergeCell ref="U12:U14"/>
    <mergeCell ref="V12:V14"/>
    <mergeCell ref="W12:W14"/>
    <mergeCell ref="X12:X14"/>
    <mergeCell ref="AC12:AC14"/>
    <mergeCell ref="AD12:AD14"/>
    <mergeCell ref="AE12:AE14"/>
    <mergeCell ref="AF12:AF14"/>
  </mergeCells>
  <pageMargins left="0.45" right="0.45" top="0.5" bottom="0.5" header="0.3" footer="0.3"/>
  <pageSetup paperSize="9" scale="36" fitToHeight="0" orientation="landscape" r:id="rId1"/>
  <headerFooter>
    <oddFooter>&amp;R&amp;"Times New Roman,Regular"&amp;12Trang &amp;P/&amp;N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38"/>
  <sheetViews>
    <sheetView topLeftCell="A15" zoomScale="70" zoomScaleNormal="70" workbookViewId="0">
      <selection activeCell="J21" sqref="J21"/>
    </sheetView>
  </sheetViews>
  <sheetFormatPr defaultRowHeight="18.75" x14ac:dyDescent="0.3"/>
  <cols>
    <col min="1" max="1" width="8.85546875" style="692" customWidth="1"/>
    <col min="2" max="2" width="43.140625" style="692" customWidth="1"/>
    <col min="3" max="3" width="18.5703125" style="695" hidden="1" customWidth="1"/>
    <col min="4" max="4" width="19.42578125" style="695" hidden="1" customWidth="1"/>
    <col min="5" max="5" width="20.140625" style="695" hidden="1" customWidth="1"/>
    <col min="6" max="6" width="16.85546875" style="695" hidden="1" customWidth="1"/>
    <col min="7" max="7" width="16.7109375" style="695" hidden="1" customWidth="1"/>
    <col min="8" max="8" width="16.85546875" style="695" hidden="1" customWidth="1"/>
    <col min="9" max="9" width="15.85546875" style="695" hidden="1" customWidth="1"/>
    <col min="10" max="10" width="20" style="695" customWidth="1"/>
    <col min="11" max="15" width="19.42578125" style="695" customWidth="1"/>
    <col min="16" max="16" width="20.140625" style="695" customWidth="1"/>
    <col min="17" max="17" width="20.85546875" style="695" hidden="1" customWidth="1"/>
    <col min="18" max="18" width="19.5703125" style="695" hidden="1" customWidth="1"/>
    <col min="19" max="19" width="13" style="692" customWidth="1"/>
    <col min="20" max="20" width="11.7109375" style="692" hidden="1" customWidth="1"/>
    <col min="21" max="21" width="13.7109375" style="692" hidden="1" customWidth="1"/>
    <col min="22" max="22" width="9.7109375" style="692" hidden="1" customWidth="1"/>
    <col min="23" max="24" width="14.5703125" style="692" hidden="1" customWidth="1"/>
    <col min="25" max="25" width="9.140625" style="692"/>
    <col min="26" max="29" width="18" style="692" customWidth="1"/>
    <col min="30" max="259" width="9.140625" style="692"/>
    <col min="260" max="260" width="37.28515625" style="692" customWidth="1"/>
    <col min="261" max="261" width="29.140625" style="692" customWidth="1"/>
    <col min="262" max="262" width="23.28515625" style="692" customWidth="1"/>
    <col min="263" max="263" width="15.140625" style="692" customWidth="1"/>
    <col min="264" max="264" width="16.28515625" style="692" customWidth="1"/>
    <col min="265" max="265" width="14.42578125" style="692" customWidth="1"/>
    <col min="266" max="266" width="21.7109375" style="692" customWidth="1"/>
    <col min="267" max="267" width="9.140625" style="692"/>
    <col min="268" max="268" width="10.28515625" style="692" bestFit="1" customWidth="1"/>
    <col min="269" max="515" width="9.140625" style="692"/>
    <col min="516" max="516" width="37.28515625" style="692" customWidth="1"/>
    <col min="517" max="517" width="29.140625" style="692" customWidth="1"/>
    <col min="518" max="518" width="23.28515625" style="692" customWidth="1"/>
    <col min="519" max="519" width="15.140625" style="692" customWidth="1"/>
    <col min="520" max="520" width="16.28515625" style="692" customWidth="1"/>
    <col min="521" max="521" width="14.42578125" style="692" customWidth="1"/>
    <col min="522" max="522" width="21.7109375" style="692" customWidth="1"/>
    <col min="523" max="523" width="9.140625" style="692"/>
    <col min="524" max="524" width="10.28515625" style="692" bestFit="1" customWidth="1"/>
    <col min="525" max="771" width="9.140625" style="692"/>
    <col min="772" max="772" width="37.28515625" style="692" customWidth="1"/>
    <col min="773" max="773" width="29.140625" style="692" customWidth="1"/>
    <col min="774" max="774" width="23.28515625" style="692" customWidth="1"/>
    <col min="775" max="775" width="15.140625" style="692" customWidth="1"/>
    <col min="776" max="776" width="16.28515625" style="692" customWidth="1"/>
    <col min="777" max="777" width="14.42578125" style="692" customWidth="1"/>
    <col min="778" max="778" width="21.7109375" style="692" customWidth="1"/>
    <col min="779" max="779" width="9.140625" style="692"/>
    <col min="780" max="780" width="10.28515625" style="692" bestFit="1" customWidth="1"/>
    <col min="781" max="1027" width="9.140625" style="692"/>
    <col min="1028" max="1028" width="37.28515625" style="692" customWidth="1"/>
    <col min="1029" max="1029" width="29.140625" style="692" customWidth="1"/>
    <col min="1030" max="1030" width="23.28515625" style="692" customWidth="1"/>
    <col min="1031" max="1031" width="15.140625" style="692" customWidth="1"/>
    <col min="1032" max="1032" width="16.28515625" style="692" customWidth="1"/>
    <col min="1033" max="1033" width="14.42578125" style="692" customWidth="1"/>
    <col min="1034" max="1034" width="21.7109375" style="692" customWidth="1"/>
    <col min="1035" max="1035" width="9.140625" style="692"/>
    <col min="1036" max="1036" width="10.28515625" style="692" bestFit="1" customWidth="1"/>
    <col min="1037" max="1283" width="9.140625" style="692"/>
    <col min="1284" max="1284" width="37.28515625" style="692" customWidth="1"/>
    <col min="1285" max="1285" width="29.140625" style="692" customWidth="1"/>
    <col min="1286" max="1286" width="23.28515625" style="692" customWidth="1"/>
    <col min="1287" max="1287" width="15.140625" style="692" customWidth="1"/>
    <col min="1288" max="1288" width="16.28515625" style="692" customWidth="1"/>
    <col min="1289" max="1289" width="14.42578125" style="692" customWidth="1"/>
    <col min="1290" max="1290" width="21.7109375" style="692" customWidth="1"/>
    <col min="1291" max="1291" width="9.140625" style="692"/>
    <col min="1292" max="1292" width="10.28515625" style="692" bestFit="1" customWidth="1"/>
    <col min="1293" max="1539" width="9.140625" style="692"/>
    <col min="1540" max="1540" width="37.28515625" style="692" customWidth="1"/>
    <col min="1541" max="1541" width="29.140625" style="692" customWidth="1"/>
    <col min="1542" max="1542" width="23.28515625" style="692" customWidth="1"/>
    <col min="1543" max="1543" width="15.140625" style="692" customWidth="1"/>
    <col min="1544" max="1544" width="16.28515625" style="692" customWidth="1"/>
    <col min="1545" max="1545" width="14.42578125" style="692" customWidth="1"/>
    <col min="1546" max="1546" width="21.7109375" style="692" customWidth="1"/>
    <col min="1547" max="1547" width="9.140625" style="692"/>
    <col min="1548" max="1548" width="10.28515625" style="692" bestFit="1" customWidth="1"/>
    <col min="1549" max="1795" width="9.140625" style="692"/>
    <col min="1796" max="1796" width="37.28515625" style="692" customWidth="1"/>
    <col min="1797" max="1797" width="29.140625" style="692" customWidth="1"/>
    <col min="1798" max="1798" width="23.28515625" style="692" customWidth="1"/>
    <col min="1799" max="1799" width="15.140625" style="692" customWidth="1"/>
    <col min="1800" max="1800" width="16.28515625" style="692" customWidth="1"/>
    <col min="1801" max="1801" width="14.42578125" style="692" customWidth="1"/>
    <col min="1802" max="1802" width="21.7109375" style="692" customWidth="1"/>
    <col min="1803" max="1803" width="9.140625" style="692"/>
    <col min="1804" max="1804" width="10.28515625" style="692" bestFit="1" customWidth="1"/>
    <col min="1805" max="2051" width="9.140625" style="692"/>
    <col min="2052" max="2052" width="37.28515625" style="692" customWidth="1"/>
    <col min="2053" max="2053" width="29.140625" style="692" customWidth="1"/>
    <col min="2054" max="2054" width="23.28515625" style="692" customWidth="1"/>
    <col min="2055" max="2055" width="15.140625" style="692" customWidth="1"/>
    <col min="2056" max="2056" width="16.28515625" style="692" customWidth="1"/>
    <col min="2057" max="2057" width="14.42578125" style="692" customWidth="1"/>
    <col min="2058" max="2058" width="21.7109375" style="692" customWidth="1"/>
    <col min="2059" max="2059" width="9.140625" style="692"/>
    <col min="2060" max="2060" width="10.28515625" style="692" bestFit="1" customWidth="1"/>
    <col min="2061" max="2307" width="9.140625" style="692"/>
    <col min="2308" max="2308" width="37.28515625" style="692" customWidth="1"/>
    <col min="2309" max="2309" width="29.140625" style="692" customWidth="1"/>
    <col min="2310" max="2310" width="23.28515625" style="692" customWidth="1"/>
    <col min="2311" max="2311" width="15.140625" style="692" customWidth="1"/>
    <col min="2312" max="2312" width="16.28515625" style="692" customWidth="1"/>
    <col min="2313" max="2313" width="14.42578125" style="692" customWidth="1"/>
    <col min="2314" max="2314" width="21.7109375" style="692" customWidth="1"/>
    <col min="2315" max="2315" width="9.140625" style="692"/>
    <col min="2316" max="2316" width="10.28515625" style="692" bestFit="1" customWidth="1"/>
    <col min="2317" max="2563" width="9.140625" style="692"/>
    <col min="2564" max="2564" width="37.28515625" style="692" customWidth="1"/>
    <col min="2565" max="2565" width="29.140625" style="692" customWidth="1"/>
    <col min="2566" max="2566" width="23.28515625" style="692" customWidth="1"/>
    <col min="2567" max="2567" width="15.140625" style="692" customWidth="1"/>
    <col min="2568" max="2568" width="16.28515625" style="692" customWidth="1"/>
    <col min="2569" max="2569" width="14.42578125" style="692" customWidth="1"/>
    <col min="2570" max="2570" width="21.7109375" style="692" customWidth="1"/>
    <col min="2571" max="2571" width="9.140625" style="692"/>
    <col min="2572" max="2572" width="10.28515625" style="692" bestFit="1" customWidth="1"/>
    <col min="2573" max="2819" width="9.140625" style="692"/>
    <col min="2820" max="2820" width="37.28515625" style="692" customWidth="1"/>
    <col min="2821" max="2821" width="29.140625" style="692" customWidth="1"/>
    <col min="2822" max="2822" width="23.28515625" style="692" customWidth="1"/>
    <col min="2823" max="2823" width="15.140625" style="692" customWidth="1"/>
    <col min="2824" max="2824" width="16.28515625" style="692" customWidth="1"/>
    <col min="2825" max="2825" width="14.42578125" style="692" customWidth="1"/>
    <col min="2826" max="2826" width="21.7109375" style="692" customWidth="1"/>
    <col min="2827" max="2827" width="9.140625" style="692"/>
    <col min="2828" max="2828" width="10.28515625" style="692" bestFit="1" customWidth="1"/>
    <col min="2829" max="3075" width="9.140625" style="692"/>
    <col min="3076" max="3076" width="37.28515625" style="692" customWidth="1"/>
    <col min="3077" max="3077" width="29.140625" style="692" customWidth="1"/>
    <col min="3078" max="3078" width="23.28515625" style="692" customWidth="1"/>
    <col min="3079" max="3079" width="15.140625" style="692" customWidth="1"/>
    <col min="3080" max="3080" width="16.28515625" style="692" customWidth="1"/>
    <col min="3081" max="3081" width="14.42578125" style="692" customWidth="1"/>
    <col min="3082" max="3082" width="21.7109375" style="692" customWidth="1"/>
    <col min="3083" max="3083" width="9.140625" style="692"/>
    <col min="3084" max="3084" width="10.28515625" style="692" bestFit="1" customWidth="1"/>
    <col min="3085" max="3331" width="9.140625" style="692"/>
    <col min="3332" max="3332" width="37.28515625" style="692" customWidth="1"/>
    <col min="3333" max="3333" width="29.140625" style="692" customWidth="1"/>
    <col min="3334" max="3334" width="23.28515625" style="692" customWidth="1"/>
    <col min="3335" max="3335" width="15.140625" style="692" customWidth="1"/>
    <col min="3336" max="3336" width="16.28515625" style="692" customWidth="1"/>
    <col min="3337" max="3337" width="14.42578125" style="692" customWidth="1"/>
    <col min="3338" max="3338" width="21.7109375" style="692" customWidth="1"/>
    <col min="3339" max="3339" width="9.140625" style="692"/>
    <col min="3340" max="3340" width="10.28515625" style="692" bestFit="1" customWidth="1"/>
    <col min="3341" max="3587" width="9.140625" style="692"/>
    <col min="3588" max="3588" width="37.28515625" style="692" customWidth="1"/>
    <col min="3589" max="3589" width="29.140625" style="692" customWidth="1"/>
    <col min="3590" max="3590" width="23.28515625" style="692" customWidth="1"/>
    <col min="3591" max="3591" width="15.140625" style="692" customWidth="1"/>
    <col min="3592" max="3592" width="16.28515625" style="692" customWidth="1"/>
    <col min="3593" max="3593" width="14.42578125" style="692" customWidth="1"/>
    <col min="3594" max="3594" width="21.7109375" style="692" customWidth="1"/>
    <col min="3595" max="3595" width="9.140625" style="692"/>
    <col min="3596" max="3596" width="10.28515625" style="692" bestFit="1" customWidth="1"/>
    <col min="3597" max="3843" width="9.140625" style="692"/>
    <col min="3844" max="3844" width="37.28515625" style="692" customWidth="1"/>
    <col min="3845" max="3845" width="29.140625" style="692" customWidth="1"/>
    <col min="3846" max="3846" width="23.28515625" style="692" customWidth="1"/>
    <col min="3847" max="3847" width="15.140625" style="692" customWidth="1"/>
    <col min="3848" max="3848" width="16.28515625" style="692" customWidth="1"/>
    <col min="3849" max="3849" width="14.42578125" style="692" customWidth="1"/>
    <col min="3850" max="3850" width="21.7109375" style="692" customWidth="1"/>
    <col min="3851" max="3851" width="9.140625" style="692"/>
    <col min="3852" max="3852" width="10.28515625" style="692" bestFit="1" customWidth="1"/>
    <col min="3853" max="4099" width="9.140625" style="692"/>
    <col min="4100" max="4100" width="37.28515625" style="692" customWidth="1"/>
    <col min="4101" max="4101" width="29.140625" style="692" customWidth="1"/>
    <col min="4102" max="4102" width="23.28515625" style="692" customWidth="1"/>
    <col min="4103" max="4103" width="15.140625" style="692" customWidth="1"/>
    <col min="4104" max="4104" width="16.28515625" style="692" customWidth="1"/>
    <col min="4105" max="4105" width="14.42578125" style="692" customWidth="1"/>
    <col min="4106" max="4106" width="21.7109375" style="692" customWidth="1"/>
    <col min="4107" max="4107" width="9.140625" style="692"/>
    <col min="4108" max="4108" width="10.28515625" style="692" bestFit="1" customWidth="1"/>
    <col min="4109" max="4355" width="9.140625" style="692"/>
    <col min="4356" max="4356" width="37.28515625" style="692" customWidth="1"/>
    <col min="4357" max="4357" width="29.140625" style="692" customWidth="1"/>
    <col min="4358" max="4358" width="23.28515625" style="692" customWidth="1"/>
    <col min="4359" max="4359" width="15.140625" style="692" customWidth="1"/>
    <col min="4360" max="4360" width="16.28515625" style="692" customWidth="1"/>
    <col min="4361" max="4361" width="14.42578125" style="692" customWidth="1"/>
    <col min="4362" max="4362" width="21.7109375" style="692" customWidth="1"/>
    <col min="4363" max="4363" width="9.140625" style="692"/>
    <col min="4364" max="4364" width="10.28515625" style="692" bestFit="1" customWidth="1"/>
    <col min="4365" max="4611" width="9.140625" style="692"/>
    <col min="4612" max="4612" width="37.28515625" style="692" customWidth="1"/>
    <col min="4613" max="4613" width="29.140625" style="692" customWidth="1"/>
    <col min="4614" max="4614" width="23.28515625" style="692" customWidth="1"/>
    <col min="4615" max="4615" width="15.140625" style="692" customWidth="1"/>
    <col min="4616" max="4616" width="16.28515625" style="692" customWidth="1"/>
    <col min="4617" max="4617" width="14.42578125" style="692" customWidth="1"/>
    <col min="4618" max="4618" width="21.7109375" style="692" customWidth="1"/>
    <col min="4619" max="4619" width="9.140625" style="692"/>
    <col min="4620" max="4620" width="10.28515625" style="692" bestFit="1" customWidth="1"/>
    <col min="4621" max="4867" width="9.140625" style="692"/>
    <col min="4868" max="4868" width="37.28515625" style="692" customWidth="1"/>
    <col min="4869" max="4869" width="29.140625" style="692" customWidth="1"/>
    <col min="4870" max="4870" width="23.28515625" style="692" customWidth="1"/>
    <col min="4871" max="4871" width="15.140625" style="692" customWidth="1"/>
    <col min="4872" max="4872" width="16.28515625" style="692" customWidth="1"/>
    <col min="4873" max="4873" width="14.42578125" style="692" customWidth="1"/>
    <col min="4874" max="4874" width="21.7109375" style="692" customWidth="1"/>
    <col min="4875" max="4875" width="9.140625" style="692"/>
    <col min="4876" max="4876" width="10.28515625" style="692" bestFit="1" customWidth="1"/>
    <col min="4877" max="5123" width="9.140625" style="692"/>
    <col min="5124" max="5124" width="37.28515625" style="692" customWidth="1"/>
    <col min="5125" max="5125" width="29.140625" style="692" customWidth="1"/>
    <col min="5126" max="5126" width="23.28515625" style="692" customWidth="1"/>
    <col min="5127" max="5127" width="15.140625" style="692" customWidth="1"/>
    <col min="5128" max="5128" width="16.28515625" style="692" customWidth="1"/>
    <col min="5129" max="5129" width="14.42578125" style="692" customWidth="1"/>
    <col min="5130" max="5130" width="21.7109375" style="692" customWidth="1"/>
    <col min="5131" max="5131" width="9.140625" style="692"/>
    <col min="5132" max="5132" width="10.28515625" style="692" bestFit="1" customWidth="1"/>
    <col min="5133" max="5379" width="9.140625" style="692"/>
    <col min="5380" max="5380" width="37.28515625" style="692" customWidth="1"/>
    <col min="5381" max="5381" width="29.140625" style="692" customWidth="1"/>
    <col min="5382" max="5382" width="23.28515625" style="692" customWidth="1"/>
    <col min="5383" max="5383" width="15.140625" style="692" customWidth="1"/>
    <col min="5384" max="5384" width="16.28515625" style="692" customWidth="1"/>
    <col min="5385" max="5385" width="14.42578125" style="692" customWidth="1"/>
    <col min="5386" max="5386" width="21.7109375" style="692" customWidth="1"/>
    <col min="5387" max="5387" width="9.140625" style="692"/>
    <col min="5388" max="5388" width="10.28515625" style="692" bestFit="1" customWidth="1"/>
    <col min="5389" max="5635" width="9.140625" style="692"/>
    <col min="5636" max="5636" width="37.28515625" style="692" customWidth="1"/>
    <col min="5637" max="5637" width="29.140625" style="692" customWidth="1"/>
    <col min="5638" max="5638" width="23.28515625" style="692" customWidth="1"/>
    <col min="5639" max="5639" width="15.140625" style="692" customWidth="1"/>
    <col min="5640" max="5640" width="16.28515625" style="692" customWidth="1"/>
    <col min="5641" max="5641" width="14.42578125" style="692" customWidth="1"/>
    <col min="5642" max="5642" width="21.7109375" style="692" customWidth="1"/>
    <col min="5643" max="5643" width="9.140625" style="692"/>
    <col min="5644" max="5644" width="10.28515625" style="692" bestFit="1" customWidth="1"/>
    <col min="5645" max="5891" width="9.140625" style="692"/>
    <col min="5892" max="5892" width="37.28515625" style="692" customWidth="1"/>
    <col min="5893" max="5893" width="29.140625" style="692" customWidth="1"/>
    <col min="5894" max="5894" width="23.28515625" style="692" customWidth="1"/>
    <col min="5895" max="5895" width="15.140625" style="692" customWidth="1"/>
    <col min="5896" max="5896" width="16.28515625" style="692" customWidth="1"/>
    <col min="5897" max="5897" width="14.42578125" style="692" customWidth="1"/>
    <col min="5898" max="5898" width="21.7109375" style="692" customWidth="1"/>
    <col min="5899" max="5899" width="9.140625" style="692"/>
    <col min="5900" max="5900" width="10.28515625" style="692" bestFit="1" customWidth="1"/>
    <col min="5901" max="6147" width="9.140625" style="692"/>
    <col min="6148" max="6148" width="37.28515625" style="692" customWidth="1"/>
    <col min="6149" max="6149" width="29.140625" style="692" customWidth="1"/>
    <col min="6150" max="6150" width="23.28515625" style="692" customWidth="1"/>
    <col min="6151" max="6151" width="15.140625" style="692" customWidth="1"/>
    <col min="6152" max="6152" width="16.28515625" style="692" customWidth="1"/>
    <col min="6153" max="6153" width="14.42578125" style="692" customWidth="1"/>
    <col min="6154" max="6154" width="21.7109375" style="692" customWidth="1"/>
    <col min="6155" max="6155" width="9.140625" style="692"/>
    <col min="6156" max="6156" width="10.28515625" style="692" bestFit="1" customWidth="1"/>
    <col min="6157" max="6403" width="9.140625" style="692"/>
    <col min="6404" max="6404" width="37.28515625" style="692" customWidth="1"/>
    <col min="6405" max="6405" width="29.140625" style="692" customWidth="1"/>
    <col min="6406" max="6406" width="23.28515625" style="692" customWidth="1"/>
    <col min="6407" max="6407" width="15.140625" style="692" customWidth="1"/>
    <col min="6408" max="6408" width="16.28515625" style="692" customWidth="1"/>
    <col min="6409" max="6409" width="14.42578125" style="692" customWidth="1"/>
    <col min="6410" max="6410" width="21.7109375" style="692" customWidth="1"/>
    <col min="6411" max="6411" width="9.140625" style="692"/>
    <col min="6412" max="6412" width="10.28515625" style="692" bestFit="1" customWidth="1"/>
    <col min="6413" max="6659" width="9.140625" style="692"/>
    <col min="6660" max="6660" width="37.28515625" style="692" customWidth="1"/>
    <col min="6661" max="6661" width="29.140625" style="692" customWidth="1"/>
    <col min="6662" max="6662" width="23.28515625" style="692" customWidth="1"/>
    <col min="6663" max="6663" width="15.140625" style="692" customWidth="1"/>
    <col min="6664" max="6664" width="16.28515625" style="692" customWidth="1"/>
    <col min="6665" max="6665" width="14.42578125" style="692" customWidth="1"/>
    <col min="6666" max="6666" width="21.7109375" style="692" customWidth="1"/>
    <col min="6667" max="6667" width="9.140625" style="692"/>
    <col min="6668" max="6668" width="10.28515625" style="692" bestFit="1" customWidth="1"/>
    <col min="6669" max="6915" width="9.140625" style="692"/>
    <col min="6916" max="6916" width="37.28515625" style="692" customWidth="1"/>
    <col min="6917" max="6917" width="29.140625" style="692" customWidth="1"/>
    <col min="6918" max="6918" width="23.28515625" style="692" customWidth="1"/>
    <col min="6919" max="6919" width="15.140625" style="692" customWidth="1"/>
    <col min="6920" max="6920" width="16.28515625" style="692" customWidth="1"/>
    <col min="6921" max="6921" width="14.42578125" style="692" customWidth="1"/>
    <col min="6922" max="6922" width="21.7109375" style="692" customWidth="1"/>
    <col min="6923" max="6923" width="9.140625" style="692"/>
    <col min="6924" max="6924" width="10.28515625" style="692" bestFit="1" customWidth="1"/>
    <col min="6925" max="7171" width="9.140625" style="692"/>
    <col min="7172" max="7172" width="37.28515625" style="692" customWidth="1"/>
    <col min="7173" max="7173" width="29.140625" style="692" customWidth="1"/>
    <col min="7174" max="7174" width="23.28515625" style="692" customWidth="1"/>
    <col min="7175" max="7175" width="15.140625" style="692" customWidth="1"/>
    <col min="7176" max="7176" width="16.28515625" style="692" customWidth="1"/>
    <col min="7177" max="7177" width="14.42578125" style="692" customWidth="1"/>
    <col min="7178" max="7178" width="21.7109375" style="692" customWidth="1"/>
    <col min="7179" max="7179" width="9.140625" style="692"/>
    <col min="7180" max="7180" width="10.28515625" style="692" bestFit="1" customWidth="1"/>
    <col min="7181" max="7427" width="9.140625" style="692"/>
    <col min="7428" max="7428" width="37.28515625" style="692" customWidth="1"/>
    <col min="7429" max="7429" width="29.140625" style="692" customWidth="1"/>
    <col min="7430" max="7430" width="23.28515625" style="692" customWidth="1"/>
    <col min="7431" max="7431" width="15.140625" style="692" customWidth="1"/>
    <col min="7432" max="7432" width="16.28515625" style="692" customWidth="1"/>
    <col min="7433" max="7433" width="14.42578125" style="692" customWidth="1"/>
    <col min="7434" max="7434" width="21.7109375" style="692" customWidth="1"/>
    <col min="7435" max="7435" width="9.140625" style="692"/>
    <col min="7436" max="7436" width="10.28515625" style="692" bestFit="1" customWidth="1"/>
    <col min="7437" max="7683" width="9.140625" style="692"/>
    <col min="7684" max="7684" width="37.28515625" style="692" customWidth="1"/>
    <col min="7685" max="7685" width="29.140625" style="692" customWidth="1"/>
    <col min="7686" max="7686" width="23.28515625" style="692" customWidth="1"/>
    <col min="7687" max="7687" width="15.140625" style="692" customWidth="1"/>
    <col min="7688" max="7688" width="16.28515625" style="692" customWidth="1"/>
    <col min="7689" max="7689" width="14.42578125" style="692" customWidth="1"/>
    <col min="7690" max="7690" width="21.7109375" style="692" customWidth="1"/>
    <col min="7691" max="7691" width="9.140625" style="692"/>
    <col min="7692" max="7692" width="10.28515625" style="692" bestFit="1" customWidth="1"/>
    <col min="7693" max="7939" width="9.140625" style="692"/>
    <col min="7940" max="7940" width="37.28515625" style="692" customWidth="1"/>
    <col min="7941" max="7941" width="29.140625" style="692" customWidth="1"/>
    <col min="7942" max="7942" width="23.28515625" style="692" customWidth="1"/>
    <col min="7943" max="7943" width="15.140625" style="692" customWidth="1"/>
    <col min="7944" max="7944" width="16.28515625" style="692" customWidth="1"/>
    <col min="7945" max="7945" width="14.42578125" style="692" customWidth="1"/>
    <col min="7946" max="7946" width="21.7109375" style="692" customWidth="1"/>
    <col min="7947" max="7947" width="9.140625" style="692"/>
    <col min="7948" max="7948" width="10.28515625" style="692" bestFit="1" customWidth="1"/>
    <col min="7949" max="8195" width="9.140625" style="692"/>
    <col min="8196" max="8196" width="37.28515625" style="692" customWidth="1"/>
    <col min="8197" max="8197" width="29.140625" style="692" customWidth="1"/>
    <col min="8198" max="8198" width="23.28515625" style="692" customWidth="1"/>
    <col min="8199" max="8199" width="15.140625" style="692" customWidth="1"/>
    <col min="8200" max="8200" width="16.28515625" style="692" customWidth="1"/>
    <col min="8201" max="8201" width="14.42578125" style="692" customWidth="1"/>
    <col min="8202" max="8202" width="21.7109375" style="692" customWidth="1"/>
    <col min="8203" max="8203" width="9.140625" style="692"/>
    <col min="8204" max="8204" width="10.28515625" style="692" bestFit="1" customWidth="1"/>
    <col min="8205" max="8451" width="9.140625" style="692"/>
    <col min="8452" max="8452" width="37.28515625" style="692" customWidth="1"/>
    <col min="8453" max="8453" width="29.140625" style="692" customWidth="1"/>
    <col min="8454" max="8454" width="23.28515625" style="692" customWidth="1"/>
    <col min="8455" max="8455" width="15.140625" style="692" customWidth="1"/>
    <col min="8456" max="8456" width="16.28515625" style="692" customWidth="1"/>
    <col min="8457" max="8457" width="14.42578125" style="692" customWidth="1"/>
    <col min="8458" max="8458" width="21.7109375" style="692" customWidth="1"/>
    <col min="8459" max="8459" width="9.140625" style="692"/>
    <col min="8460" max="8460" width="10.28515625" style="692" bestFit="1" customWidth="1"/>
    <col min="8461" max="8707" width="9.140625" style="692"/>
    <col min="8708" max="8708" width="37.28515625" style="692" customWidth="1"/>
    <col min="8709" max="8709" width="29.140625" style="692" customWidth="1"/>
    <col min="8710" max="8710" width="23.28515625" style="692" customWidth="1"/>
    <col min="8711" max="8711" width="15.140625" style="692" customWidth="1"/>
    <col min="8712" max="8712" width="16.28515625" style="692" customWidth="1"/>
    <col min="8713" max="8713" width="14.42578125" style="692" customWidth="1"/>
    <col min="8714" max="8714" width="21.7109375" style="692" customWidth="1"/>
    <col min="8715" max="8715" width="9.140625" style="692"/>
    <col min="8716" max="8716" width="10.28515625" style="692" bestFit="1" customWidth="1"/>
    <col min="8717" max="8963" width="9.140625" style="692"/>
    <col min="8964" max="8964" width="37.28515625" style="692" customWidth="1"/>
    <col min="8965" max="8965" width="29.140625" style="692" customWidth="1"/>
    <col min="8966" max="8966" width="23.28515625" style="692" customWidth="1"/>
    <col min="8967" max="8967" width="15.140625" style="692" customWidth="1"/>
    <col min="8968" max="8968" width="16.28515625" style="692" customWidth="1"/>
    <col min="8969" max="8969" width="14.42578125" style="692" customWidth="1"/>
    <col min="8970" max="8970" width="21.7109375" style="692" customWidth="1"/>
    <col min="8971" max="8971" width="9.140625" style="692"/>
    <col min="8972" max="8972" width="10.28515625" style="692" bestFit="1" customWidth="1"/>
    <col min="8973" max="9219" width="9.140625" style="692"/>
    <col min="9220" max="9220" width="37.28515625" style="692" customWidth="1"/>
    <col min="9221" max="9221" width="29.140625" style="692" customWidth="1"/>
    <col min="9222" max="9222" width="23.28515625" style="692" customWidth="1"/>
    <col min="9223" max="9223" width="15.140625" style="692" customWidth="1"/>
    <col min="9224" max="9224" width="16.28515625" style="692" customWidth="1"/>
    <col min="9225" max="9225" width="14.42578125" style="692" customWidth="1"/>
    <col min="9226" max="9226" width="21.7109375" style="692" customWidth="1"/>
    <col min="9227" max="9227" width="9.140625" style="692"/>
    <col min="9228" max="9228" width="10.28515625" style="692" bestFit="1" customWidth="1"/>
    <col min="9229" max="9475" width="9.140625" style="692"/>
    <col min="9476" max="9476" width="37.28515625" style="692" customWidth="1"/>
    <col min="9477" max="9477" width="29.140625" style="692" customWidth="1"/>
    <col min="9478" max="9478" width="23.28515625" style="692" customWidth="1"/>
    <col min="9479" max="9479" width="15.140625" style="692" customWidth="1"/>
    <col min="9480" max="9480" width="16.28515625" style="692" customWidth="1"/>
    <col min="9481" max="9481" width="14.42578125" style="692" customWidth="1"/>
    <col min="9482" max="9482" width="21.7109375" style="692" customWidth="1"/>
    <col min="9483" max="9483" width="9.140625" style="692"/>
    <col min="9484" max="9484" width="10.28515625" style="692" bestFit="1" customWidth="1"/>
    <col min="9485" max="9731" width="9.140625" style="692"/>
    <col min="9732" max="9732" width="37.28515625" style="692" customWidth="1"/>
    <col min="9733" max="9733" width="29.140625" style="692" customWidth="1"/>
    <col min="9734" max="9734" width="23.28515625" style="692" customWidth="1"/>
    <col min="9735" max="9735" width="15.140625" style="692" customWidth="1"/>
    <col min="9736" max="9736" width="16.28515625" style="692" customWidth="1"/>
    <col min="9737" max="9737" width="14.42578125" style="692" customWidth="1"/>
    <col min="9738" max="9738" width="21.7109375" style="692" customWidth="1"/>
    <col min="9739" max="9739" width="9.140625" style="692"/>
    <col min="9740" max="9740" width="10.28515625" style="692" bestFit="1" customWidth="1"/>
    <col min="9741" max="9987" width="9.140625" style="692"/>
    <col min="9988" max="9988" width="37.28515625" style="692" customWidth="1"/>
    <col min="9989" max="9989" width="29.140625" style="692" customWidth="1"/>
    <col min="9990" max="9990" width="23.28515625" style="692" customWidth="1"/>
    <col min="9991" max="9991" width="15.140625" style="692" customWidth="1"/>
    <col min="9992" max="9992" width="16.28515625" style="692" customWidth="1"/>
    <col min="9993" max="9993" width="14.42578125" style="692" customWidth="1"/>
    <col min="9994" max="9994" width="21.7109375" style="692" customWidth="1"/>
    <col min="9995" max="9995" width="9.140625" style="692"/>
    <col min="9996" max="9996" width="10.28515625" style="692" bestFit="1" customWidth="1"/>
    <col min="9997" max="10243" width="9.140625" style="692"/>
    <col min="10244" max="10244" width="37.28515625" style="692" customWidth="1"/>
    <col min="10245" max="10245" width="29.140625" style="692" customWidth="1"/>
    <col min="10246" max="10246" width="23.28515625" style="692" customWidth="1"/>
    <col min="10247" max="10247" width="15.140625" style="692" customWidth="1"/>
    <col min="10248" max="10248" width="16.28515625" style="692" customWidth="1"/>
    <col min="10249" max="10249" width="14.42578125" style="692" customWidth="1"/>
    <col min="10250" max="10250" width="21.7109375" style="692" customWidth="1"/>
    <col min="10251" max="10251" width="9.140625" style="692"/>
    <col min="10252" max="10252" width="10.28515625" style="692" bestFit="1" customWidth="1"/>
    <col min="10253" max="10499" width="9.140625" style="692"/>
    <col min="10500" max="10500" width="37.28515625" style="692" customWidth="1"/>
    <col min="10501" max="10501" width="29.140625" style="692" customWidth="1"/>
    <col min="10502" max="10502" width="23.28515625" style="692" customWidth="1"/>
    <col min="10503" max="10503" width="15.140625" style="692" customWidth="1"/>
    <col min="10504" max="10504" width="16.28515625" style="692" customWidth="1"/>
    <col min="10505" max="10505" width="14.42578125" style="692" customWidth="1"/>
    <col min="10506" max="10506" width="21.7109375" style="692" customWidth="1"/>
    <col min="10507" max="10507" width="9.140625" style="692"/>
    <col min="10508" max="10508" width="10.28515625" style="692" bestFit="1" customWidth="1"/>
    <col min="10509" max="10755" width="9.140625" style="692"/>
    <col min="10756" max="10756" width="37.28515625" style="692" customWidth="1"/>
    <col min="10757" max="10757" width="29.140625" style="692" customWidth="1"/>
    <col min="10758" max="10758" width="23.28515625" style="692" customWidth="1"/>
    <col min="10759" max="10759" width="15.140625" style="692" customWidth="1"/>
    <col min="10760" max="10760" width="16.28515625" style="692" customWidth="1"/>
    <col min="10761" max="10761" width="14.42578125" style="692" customWidth="1"/>
    <col min="10762" max="10762" width="21.7109375" style="692" customWidth="1"/>
    <col min="10763" max="10763" width="9.140625" style="692"/>
    <col min="10764" max="10764" width="10.28515625" style="692" bestFit="1" customWidth="1"/>
    <col min="10765" max="11011" width="9.140625" style="692"/>
    <col min="11012" max="11012" width="37.28515625" style="692" customWidth="1"/>
    <col min="11013" max="11013" width="29.140625" style="692" customWidth="1"/>
    <col min="11014" max="11014" width="23.28515625" style="692" customWidth="1"/>
    <col min="11015" max="11015" width="15.140625" style="692" customWidth="1"/>
    <col min="11016" max="11016" width="16.28515625" style="692" customWidth="1"/>
    <col min="11017" max="11017" width="14.42578125" style="692" customWidth="1"/>
    <col min="11018" max="11018" width="21.7109375" style="692" customWidth="1"/>
    <col min="11019" max="11019" width="9.140625" style="692"/>
    <col min="11020" max="11020" width="10.28515625" style="692" bestFit="1" customWidth="1"/>
    <col min="11021" max="11267" width="9.140625" style="692"/>
    <col min="11268" max="11268" width="37.28515625" style="692" customWidth="1"/>
    <col min="11269" max="11269" width="29.140625" style="692" customWidth="1"/>
    <col min="11270" max="11270" width="23.28515625" style="692" customWidth="1"/>
    <col min="11271" max="11271" width="15.140625" style="692" customWidth="1"/>
    <col min="11272" max="11272" width="16.28515625" style="692" customWidth="1"/>
    <col min="11273" max="11273" width="14.42578125" style="692" customWidth="1"/>
    <col min="11274" max="11274" width="21.7109375" style="692" customWidth="1"/>
    <col min="11275" max="11275" width="9.140625" style="692"/>
    <col min="11276" max="11276" width="10.28515625" style="692" bestFit="1" customWidth="1"/>
    <col min="11277" max="11523" width="9.140625" style="692"/>
    <col min="11524" max="11524" width="37.28515625" style="692" customWidth="1"/>
    <col min="11525" max="11525" width="29.140625" style="692" customWidth="1"/>
    <col min="11526" max="11526" width="23.28515625" style="692" customWidth="1"/>
    <col min="11527" max="11527" width="15.140625" style="692" customWidth="1"/>
    <col min="11528" max="11528" width="16.28515625" style="692" customWidth="1"/>
    <col min="11529" max="11529" width="14.42578125" style="692" customWidth="1"/>
    <col min="11530" max="11530" width="21.7109375" style="692" customWidth="1"/>
    <col min="11531" max="11531" width="9.140625" style="692"/>
    <col min="11532" max="11532" width="10.28515625" style="692" bestFit="1" customWidth="1"/>
    <col min="11533" max="11779" width="9.140625" style="692"/>
    <col min="11780" max="11780" width="37.28515625" style="692" customWidth="1"/>
    <col min="11781" max="11781" width="29.140625" style="692" customWidth="1"/>
    <col min="11782" max="11782" width="23.28515625" style="692" customWidth="1"/>
    <col min="11783" max="11783" width="15.140625" style="692" customWidth="1"/>
    <col min="11784" max="11784" width="16.28515625" style="692" customWidth="1"/>
    <col min="11785" max="11785" width="14.42578125" style="692" customWidth="1"/>
    <col min="11786" max="11786" width="21.7109375" style="692" customWidth="1"/>
    <col min="11787" max="11787" width="9.140625" style="692"/>
    <col min="11788" max="11788" width="10.28515625" style="692" bestFit="1" customWidth="1"/>
    <col min="11789" max="12035" width="9.140625" style="692"/>
    <col min="12036" max="12036" width="37.28515625" style="692" customWidth="1"/>
    <col min="12037" max="12037" width="29.140625" style="692" customWidth="1"/>
    <col min="12038" max="12038" width="23.28515625" style="692" customWidth="1"/>
    <col min="12039" max="12039" width="15.140625" style="692" customWidth="1"/>
    <col min="12040" max="12040" width="16.28515625" style="692" customWidth="1"/>
    <col min="12041" max="12041" width="14.42578125" style="692" customWidth="1"/>
    <col min="12042" max="12042" width="21.7109375" style="692" customWidth="1"/>
    <col min="12043" max="12043" width="9.140625" style="692"/>
    <col min="12044" max="12044" width="10.28515625" style="692" bestFit="1" customWidth="1"/>
    <col min="12045" max="12291" width="9.140625" style="692"/>
    <col min="12292" max="12292" width="37.28515625" style="692" customWidth="1"/>
    <col min="12293" max="12293" width="29.140625" style="692" customWidth="1"/>
    <col min="12294" max="12294" width="23.28515625" style="692" customWidth="1"/>
    <col min="12295" max="12295" width="15.140625" style="692" customWidth="1"/>
    <col min="12296" max="12296" width="16.28515625" style="692" customWidth="1"/>
    <col min="12297" max="12297" width="14.42578125" style="692" customWidth="1"/>
    <col min="12298" max="12298" width="21.7109375" style="692" customWidth="1"/>
    <col min="12299" max="12299" width="9.140625" style="692"/>
    <col min="12300" max="12300" width="10.28515625" style="692" bestFit="1" customWidth="1"/>
    <col min="12301" max="12547" width="9.140625" style="692"/>
    <col min="12548" max="12548" width="37.28515625" style="692" customWidth="1"/>
    <col min="12549" max="12549" width="29.140625" style="692" customWidth="1"/>
    <col min="12550" max="12550" width="23.28515625" style="692" customWidth="1"/>
    <col min="12551" max="12551" width="15.140625" style="692" customWidth="1"/>
    <col min="12552" max="12552" width="16.28515625" style="692" customWidth="1"/>
    <col min="12553" max="12553" width="14.42578125" style="692" customWidth="1"/>
    <col min="12554" max="12554" width="21.7109375" style="692" customWidth="1"/>
    <col min="12555" max="12555" width="9.140625" style="692"/>
    <col min="12556" max="12556" width="10.28515625" style="692" bestFit="1" customWidth="1"/>
    <col min="12557" max="12803" width="9.140625" style="692"/>
    <col min="12804" max="12804" width="37.28515625" style="692" customWidth="1"/>
    <col min="12805" max="12805" width="29.140625" style="692" customWidth="1"/>
    <col min="12806" max="12806" width="23.28515625" style="692" customWidth="1"/>
    <col min="12807" max="12807" width="15.140625" style="692" customWidth="1"/>
    <col min="12808" max="12808" width="16.28515625" style="692" customWidth="1"/>
    <col min="12809" max="12809" width="14.42578125" style="692" customWidth="1"/>
    <col min="12810" max="12810" width="21.7109375" style="692" customWidth="1"/>
    <col min="12811" max="12811" width="9.140625" style="692"/>
    <col min="12812" max="12812" width="10.28515625" style="692" bestFit="1" customWidth="1"/>
    <col min="12813" max="13059" width="9.140625" style="692"/>
    <col min="13060" max="13060" width="37.28515625" style="692" customWidth="1"/>
    <col min="13061" max="13061" width="29.140625" style="692" customWidth="1"/>
    <col min="13062" max="13062" width="23.28515625" style="692" customWidth="1"/>
    <col min="13063" max="13063" width="15.140625" style="692" customWidth="1"/>
    <col min="13064" max="13064" width="16.28515625" style="692" customWidth="1"/>
    <col min="13065" max="13065" width="14.42578125" style="692" customWidth="1"/>
    <col min="13066" max="13066" width="21.7109375" style="692" customWidth="1"/>
    <col min="13067" max="13067" width="9.140625" style="692"/>
    <col min="13068" max="13068" width="10.28515625" style="692" bestFit="1" customWidth="1"/>
    <col min="13069" max="13315" width="9.140625" style="692"/>
    <col min="13316" max="13316" width="37.28515625" style="692" customWidth="1"/>
    <col min="13317" max="13317" width="29.140625" style="692" customWidth="1"/>
    <col min="13318" max="13318" width="23.28515625" style="692" customWidth="1"/>
    <col min="13319" max="13319" width="15.140625" style="692" customWidth="1"/>
    <col min="13320" max="13320" width="16.28515625" style="692" customWidth="1"/>
    <col min="13321" max="13321" width="14.42578125" style="692" customWidth="1"/>
    <col min="13322" max="13322" width="21.7109375" style="692" customWidth="1"/>
    <col min="13323" max="13323" width="9.140625" style="692"/>
    <col min="13324" max="13324" width="10.28515625" style="692" bestFit="1" customWidth="1"/>
    <col min="13325" max="13571" width="9.140625" style="692"/>
    <col min="13572" max="13572" width="37.28515625" style="692" customWidth="1"/>
    <col min="13573" max="13573" width="29.140625" style="692" customWidth="1"/>
    <col min="13574" max="13574" width="23.28515625" style="692" customWidth="1"/>
    <col min="13575" max="13575" width="15.140625" style="692" customWidth="1"/>
    <col min="13576" max="13576" width="16.28515625" style="692" customWidth="1"/>
    <col min="13577" max="13577" width="14.42578125" style="692" customWidth="1"/>
    <col min="13578" max="13578" width="21.7109375" style="692" customWidth="1"/>
    <col min="13579" max="13579" width="9.140625" style="692"/>
    <col min="13580" max="13580" width="10.28515625" style="692" bestFit="1" customWidth="1"/>
    <col min="13581" max="13827" width="9.140625" style="692"/>
    <col min="13828" max="13828" width="37.28515625" style="692" customWidth="1"/>
    <col min="13829" max="13829" width="29.140625" style="692" customWidth="1"/>
    <col min="13830" max="13830" width="23.28515625" style="692" customWidth="1"/>
    <col min="13831" max="13831" width="15.140625" style="692" customWidth="1"/>
    <col min="13832" max="13832" width="16.28515625" style="692" customWidth="1"/>
    <col min="13833" max="13833" width="14.42578125" style="692" customWidth="1"/>
    <col min="13834" max="13834" width="21.7109375" style="692" customWidth="1"/>
    <col min="13835" max="13835" width="9.140625" style="692"/>
    <col min="13836" max="13836" width="10.28515625" style="692" bestFit="1" customWidth="1"/>
    <col min="13837" max="14083" width="9.140625" style="692"/>
    <col min="14084" max="14084" width="37.28515625" style="692" customWidth="1"/>
    <col min="14085" max="14085" width="29.140625" style="692" customWidth="1"/>
    <col min="14086" max="14086" width="23.28515625" style="692" customWidth="1"/>
    <col min="14087" max="14087" width="15.140625" style="692" customWidth="1"/>
    <col min="14088" max="14088" width="16.28515625" style="692" customWidth="1"/>
    <col min="14089" max="14089" width="14.42578125" style="692" customWidth="1"/>
    <col min="14090" max="14090" width="21.7109375" style="692" customWidth="1"/>
    <col min="14091" max="14091" width="9.140625" style="692"/>
    <col min="14092" max="14092" width="10.28515625" style="692" bestFit="1" customWidth="1"/>
    <col min="14093" max="14339" width="9.140625" style="692"/>
    <col min="14340" max="14340" width="37.28515625" style="692" customWidth="1"/>
    <col min="14341" max="14341" width="29.140625" style="692" customWidth="1"/>
    <col min="14342" max="14342" width="23.28515625" style="692" customWidth="1"/>
    <col min="14343" max="14343" width="15.140625" style="692" customWidth="1"/>
    <col min="14344" max="14344" width="16.28515625" style="692" customWidth="1"/>
    <col min="14345" max="14345" width="14.42578125" style="692" customWidth="1"/>
    <col min="14346" max="14346" width="21.7109375" style="692" customWidth="1"/>
    <col min="14347" max="14347" width="9.140625" style="692"/>
    <col min="14348" max="14348" width="10.28515625" style="692" bestFit="1" customWidth="1"/>
    <col min="14349" max="14595" width="9.140625" style="692"/>
    <col min="14596" max="14596" width="37.28515625" style="692" customWidth="1"/>
    <col min="14597" max="14597" width="29.140625" style="692" customWidth="1"/>
    <col min="14598" max="14598" width="23.28515625" style="692" customWidth="1"/>
    <col min="14599" max="14599" width="15.140625" style="692" customWidth="1"/>
    <col min="14600" max="14600" width="16.28515625" style="692" customWidth="1"/>
    <col min="14601" max="14601" width="14.42578125" style="692" customWidth="1"/>
    <col min="14602" max="14602" width="21.7109375" style="692" customWidth="1"/>
    <col min="14603" max="14603" width="9.140625" style="692"/>
    <col min="14604" max="14604" width="10.28515625" style="692" bestFit="1" customWidth="1"/>
    <col min="14605" max="14851" width="9.140625" style="692"/>
    <col min="14852" max="14852" width="37.28515625" style="692" customWidth="1"/>
    <col min="14853" max="14853" width="29.140625" style="692" customWidth="1"/>
    <col min="14854" max="14854" width="23.28515625" style="692" customWidth="1"/>
    <col min="14855" max="14855" width="15.140625" style="692" customWidth="1"/>
    <col min="14856" max="14856" width="16.28515625" style="692" customWidth="1"/>
    <col min="14857" max="14857" width="14.42578125" style="692" customWidth="1"/>
    <col min="14858" max="14858" width="21.7109375" style="692" customWidth="1"/>
    <col min="14859" max="14859" width="9.140625" style="692"/>
    <col min="14860" max="14860" width="10.28515625" style="692" bestFit="1" customWidth="1"/>
    <col min="14861" max="15107" width="9.140625" style="692"/>
    <col min="15108" max="15108" width="37.28515625" style="692" customWidth="1"/>
    <col min="15109" max="15109" width="29.140625" style="692" customWidth="1"/>
    <col min="15110" max="15110" width="23.28515625" style="692" customWidth="1"/>
    <col min="15111" max="15111" width="15.140625" style="692" customWidth="1"/>
    <col min="15112" max="15112" width="16.28515625" style="692" customWidth="1"/>
    <col min="15113" max="15113" width="14.42578125" style="692" customWidth="1"/>
    <col min="15114" max="15114" width="21.7109375" style="692" customWidth="1"/>
    <col min="15115" max="15115" width="9.140625" style="692"/>
    <col min="15116" max="15116" width="10.28515625" style="692" bestFit="1" customWidth="1"/>
    <col min="15117" max="15363" width="9.140625" style="692"/>
    <col min="15364" max="15364" width="37.28515625" style="692" customWidth="1"/>
    <col min="15365" max="15365" width="29.140625" style="692" customWidth="1"/>
    <col min="15366" max="15366" width="23.28515625" style="692" customWidth="1"/>
    <col min="15367" max="15367" width="15.140625" style="692" customWidth="1"/>
    <col min="15368" max="15368" width="16.28515625" style="692" customWidth="1"/>
    <col min="15369" max="15369" width="14.42578125" style="692" customWidth="1"/>
    <col min="15370" max="15370" width="21.7109375" style="692" customWidth="1"/>
    <col min="15371" max="15371" width="9.140625" style="692"/>
    <col min="15372" max="15372" width="10.28515625" style="692" bestFit="1" customWidth="1"/>
    <col min="15373" max="15619" width="9.140625" style="692"/>
    <col min="15620" max="15620" width="37.28515625" style="692" customWidth="1"/>
    <col min="15621" max="15621" width="29.140625" style="692" customWidth="1"/>
    <col min="15622" max="15622" width="23.28515625" style="692" customWidth="1"/>
    <col min="15623" max="15623" width="15.140625" style="692" customWidth="1"/>
    <col min="15624" max="15624" width="16.28515625" style="692" customWidth="1"/>
    <col min="15625" max="15625" width="14.42578125" style="692" customWidth="1"/>
    <col min="15626" max="15626" width="21.7109375" style="692" customWidth="1"/>
    <col min="15627" max="15627" width="9.140625" style="692"/>
    <col min="15628" max="15628" width="10.28515625" style="692" bestFit="1" customWidth="1"/>
    <col min="15629" max="15875" width="9.140625" style="692"/>
    <col min="15876" max="15876" width="37.28515625" style="692" customWidth="1"/>
    <col min="15877" max="15877" width="29.140625" style="692" customWidth="1"/>
    <col min="15878" max="15878" width="23.28515625" style="692" customWidth="1"/>
    <col min="15879" max="15879" width="15.140625" style="692" customWidth="1"/>
    <col min="15880" max="15880" width="16.28515625" style="692" customWidth="1"/>
    <col min="15881" max="15881" width="14.42578125" style="692" customWidth="1"/>
    <col min="15882" max="15882" width="21.7109375" style="692" customWidth="1"/>
    <col min="15883" max="15883" width="9.140625" style="692"/>
    <col min="15884" max="15884" width="10.28515625" style="692" bestFit="1" customWidth="1"/>
    <col min="15885" max="16131" width="9.140625" style="692"/>
    <col min="16132" max="16132" width="37.28515625" style="692" customWidth="1"/>
    <col min="16133" max="16133" width="29.140625" style="692" customWidth="1"/>
    <col min="16134" max="16134" width="23.28515625" style="692" customWidth="1"/>
    <col min="16135" max="16135" width="15.140625" style="692" customWidth="1"/>
    <col min="16136" max="16136" width="16.28515625" style="692" customWidth="1"/>
    <col min="16137" max="16137" width="14.42578125" style="692" customWidth="1"/>
    <col min="16138" max="16138" width="21.7109375" style="692" customWidth="1"/>
    <col min="16139" max="16139" width="9.140625" style="692"/>
    <col min="16140" max="16140" width="10.28515625" style="692" bestFit="1" customWidth="1"/>
    <col min="16141" max="16384" width="9.140625" style="692"/>
  </cols>
  <sheetData>
    <row r="1" spans="1:27" ht="42.6" customHeight="1" x14ac:dyDescent="0.3">
      <c r="A1" s="1992" t="s">
        <v>1927</v>
      </c>
      <c r="B1" s="1993"/>
      <c r="C1" s="1993"/>
      <c r="D1" s="1993"/>
      <c r="E1" s="1993"/>
      <c r="F1" s="1993"/>
      <c r="G1" s="1993"/>
      <c r="H1" s="1993"/>
      <c r="I1" s="1993"/>
      <c r="J1" s="1993"/>
      <c r="K1" s="1993"/>
      <c r="L1" s="1993"/>
      <c r="M1" s="1993"/>
      <c r="N1" s="1993"/>
      <c r="O1" s="1993"/>
      <c r="P1" s="1993"/>
      <c r="Q1" s="1993"/>
      <c r="R1" s="1993"/>
      <c r="S1" s="1993"/>
    </row>
    <row r="2" spans="1:27" ht="24" hidden="1" customHeight="1" x14ac:dyDescent="0.3">
      <c r="A2" s="1994" t="s">
        <v>4</v>
      </c>
      <c r="B2" s="1994"/>
      <c r="C2" s="1994"/>
      <c r="D2" s="1994"/>
      <c r="E2" s="1994"/>
      <c r="F2" s="1994"/>
      <c r="G2" s="1994"/>
      <c r="H2" s="1994"/>
      <c r="I2" s="1994"/>
      <c r="J2" s="1994"/>
      <c r="K2" s="1994"/>
      <c r="L2" s="1994"/>
      <c r="M2" s="1994"/>
      <c r="N2" s="1994"/>
      <c r="O2" s="1994"/>
      <c r="P2" s="1994"/>
      <c r="Q2" s="1994"/>
      <c r="R2" s="1994"/>
      <c r="S2" s="1994"/>
    </row>
    <row r="3" spans="1:27" ht="22.5" customHeight="1" x14ac:dyDescent="0.3">
      <c r="A3" s="1994" t="s">
        <v>1</v>
      </c>
      <c r="B3" s="1994"/>
      <c r="C3" s="1994"/>
      <c r="D3" s="1994"/>
      <c r="E3" s="1994"/>
      <c r="F3" s="1994"/>
      <c r="G3" s="1994"/>
      <c r="H3" s="1994"/>
      <c r="I3" s="1994"/>
      <c r="J3" s="1994"/>
      <c r="K3" s="1994"/>
      <c r="L3" s="1994"/>
      <c r="M3" s="1994"/>
      <c r="N3" s="1994"/>
      <c r="O3" s="1994"/>
      <c r="P3" s="1994"/>
      <c r="Q3" s="1994"/>
      <c r="R3" s="1994"/>
      <c r="S3" s="1994"/>
    </row>
    <row r="4" spans="1:27" ht="23.25" hidden="1" customHeight="1" x14ac:dyDescent="0.3">
      <c r="A4" s="1994" t="s">
        <v>1928</v>
      </c>
      <c r="B4" s="1994"/>
      <c r="C4" s="1994"/>
      <c r="D4" s="1994"/>
      <c r="E4" s="1994"/>
      <c r="F4" s="1994"/>
      <c r="G4" s="1994"/>
      <c r="H4" s="1994"/>
      <c r="I4" s="1994"/>
      <c r="J4" s="1994"/>
      <c r="K4" s="1994"/>
      <c r="L4" s="1994"/>
      <c r="M4" s="1994"/>
      <c r="N4" s="1994"/>
      <c r="O4" s="1994"/>
      <c r="P4" s="1994"/>
      <c r="Q4" s="1994"/>
      <c r="R4" s="1994"/>
      <c r="S4" s="1994"/>
    </row>
    <row r="5" spans="1:27" ht="17.25" hidden="1" customHeight="1" x14ac:dyDescent="0.3">
      <c r="A5" s="1994" t="s">
        <v>1929</v>
      </c>
      <c r="B5" s="1994"/>
      <c r="C5" s="1994"/>
      <c r="D5" s="1994"/>
      <c r="E5" s="1994"/>
      <c r="F5" s="1994"/>
      <c r="G5" s="1994"/>
      <c r="H5" s="1994"/>
      <c r="I5" s="1994"/>
      <c r="J5" s="1994"/>
      <c r="K5" s="1994"/>
      <c r="L5" s="1994"/>
      <c r="M5" s="1994"/>
      <c r="N5" s="1994"/>
      <c r="O5" s="1994"/>
      <c r="P5" s="1994"/>
      <c r="Q5" s="1994"/>
      <c r="R5" s="1994"/>
      <c r="S5" s="1994"/>
    </row>
    <row r="6" spans="1:27" ht="13.5" customHeight="1" x14ac:dyDescent="0.3">
      <c r="A6" s="693"/>
      <c r="B6" s="693"/>
      <c r="C6" s="693"/>
      <c r="D6" s="693"/>
      <c r="E6" s="693"/>
      <c r="F6" s="693"/>
      <c r="G6" s="693"/>
      <c r="H6" s="693"/>
      <c r="I6" s="693"/>
      <c r="J6" s="693"/>
      <c r="K6" s="693"/>
      <c r="L6" s="693"/>
      <c r="M6" s="693"/>
      <c r="N6" s="693"/>
      <c r="O6" s="935"/>
      <c r="P6" s="693"/>
      <c r="Q6" s="693"/>
      <c r="R6" s="694"/>
      <c r="S6" s="693"/>
    </row>
    <row r="7" spans="1:27" x14ac:dyDescent="0.3">
      <c r="S7" s="696" t="s">
        <v>6</v>
      </c>
    </row>
    <row r="8" spans="1:27" s="697" customFormat="1" ht="68.25" customHeight="1" x14ac:dyDescent="0.25">
      <c r="A8" s="1995" t="s">
        <v>7</v>
      </c>
      <c r="B8" s="1995" t="s">
        <v>1930</v>
      </c>
      <c r="C8" s="1981" t="s">
        <v>1931</v>
      </c>
      <c r="D8" s="1981" t="s">
        <v>1932</v>
      </c>
      <c r="E8" s="1981"/>
      <c r="F8" s="1981" t="s">
        <v>1933</v>
      </c>
      <c r="G8" s="1981"/>
      <c r="H8" s="1981" t="s">
        <v>1934</v>
      </c>
      <c r="I8" s="1981"/>
      <c r="J8" s="1981" t="s">
        <v>1935</v>
      </c>
      <c r="K8" s="1981"/>
      <c r="L8" s="1981"/>
      <c r="M8" s="1981"/>
      <c r="N8" s="1981"/>
      <c r="O8" s="1981"/>
      <c r="P8" s="1981"/>
      <c r="Q8" s="1981"/>
      <c r="R8" s="1982" t="s">
        <v>1936</v>
      </c>
      <c r="S8" s="1981" t="s">
        <v>1937</v>
      </c>
    </row>
    <row r="9" spans="1:27" s="697" customFormat="1" ht="27.75" customHeight="1" x14ac:dyDescent="0.25">
      <c r="A9" s="1996"/>
      <c r="B9" s="1996"/>
      <c r="C9" s="1985"/>
      <c r="D9" s="1987" t="s">
        <v>1938</v>
      </c>
      <c r="E9" s="698"/>
      <c r="F9" s="699"/>
      <c r="G9" s="699"/>
      <c r="H9" s="699"/>
      <c r="I9" s="699"/>
      <c r="J9" s="1987" t="s">
        <v>1938</v>
      </c>
      <c r="K9" s="1989" t="s">
        <v>49</v>
      </c>
      <c r="L9" s="1990"/>
      <c r="M9" s="1990"/>
      <c r="N9" s="1990"/>
      <c r="O9" s="1990"/>
      <c r="P9" s="1991"/>
      <c r="Q9" s="699"/>
      <c r="R9" s="1983"/>
      <c r="S9" s="1985"/>
    </row>
    <row r="10" spans="1:27" s="697" customFormat="1" ht="158.25" customHeight="1" x14ac:dyDescent="0.25">
      <c r="A10" s="1985"/>
      <c r="B10" s="1985"/>
      <c r="C10" s="1986"/>
      <c r="D10" s="1985"/>
      <c r="E10" s="700" t="s">
        <v>1939</v>
      </c>
      <c r="F10" s="700" t="s">
        <v>1940</v>
      </c>
      <c r="G10" s="700" t="s">
        <v>1941</v>
      </c>
      <c r="H10" s="700" t="s">
        <v>1940</v>
      </c>
      <c r="I10" s="700" t="s">
        <v>1941</v>
      </c>
      <c r="J10" s="1988"/>
      <c r="K10" s="700" t="s">
        <v>1942</v>
      </c>
      <c r="L10" s="700" t="s">
        <v>885</v>
      </c>
      <c r="M10" s="748" t="s">
        <v>1943</v>
      </c>
      <c r="N10" s="802" t="s">
        <v>2084</v>
      </c>
      <c r="O10" s="995" t="s">
        <v>2141</v>
      </c>
      <c r="P10" s="700" t="s">
        <v>1944</v>
      </c>
      <c r="Q10" s="700" t="s">
        <v>1939</v>
      </c>
      <c r="R10" s="1984"/>
      <c r="S10" s="1986"/>
    </row>
    <row r="11" spans="1:27" s="705" customFormat="1" ht="24.6" customHeight="1" x14ac:dyDescent="0.25">
      <c r="A11" s="701"/>
      <c r="B11" s="702" t="s">
        <v>1945</v>
      </c>
      <c r="C11" s="703">
        <f t="shared" ref="C11:I11" si="0">C12+C25+C31</f>
        <v>7230000</v>
      </c>
      <c r="D11" s="703" t="e">
        <f t="shared" si="0"/>
        <v>#REF!</v>
      </c>
      <c r="E11" s="704" t="e">
        <f t="shared" si="0"/>
        <v>#REF!</v>
      </c>
      <c r="F11" s="704" t="e">
        <f t="shared" si="0"/>
        <v>#REF!</v>
      </c>
      <c r="G11" s="704" t="e">
        <f t="shared" si="0"/>
        <v>#REF!</v>
      </c>
      <c r="H11" s="704" t="e">
        <f t="shared" si="0"/>
        <v>#REF!</v>
      </c>
      <c r="I11" s="704" t="e">
        <f t="shared" si="0"/>
        <v>#REF!</v>
      </c>
      <c r="J11" s="704">
        <f t="shared" ref="J11:J12" si="1">K11+L11+M11+N11+P11+O11</f>
        <v>8215947.0999999996</v>
      </c>
      <c r="K11" s="704">
        <f>K12+K25+K31</f>
        <v>1192000</v>
      </c>
      <c r="L11" s="704">
        <f>L12+L25+L31</f>
        <v>6068000.0999999996</v>
      </c>
      <c r="M11" s="704">
        <f>M12+M25+M31</f>
        <v>155000</v>
      </c>
      <c r="N11" s="704">
        <f>N12</f>
        <v>120000</v>
      </c>
      <c r="O11" s="704">
        <v>150000</v>
      </c>
      <c r="P11" s="704">
        <f>P12+P25+P31</f>
        <v>530947</v>
      </c>
      <c r="Q11" s="704" t="e">
        <f>Q12+Q25+Q31</f>
        <v>#REF!</v>
      </c>
      <c r="R11" s="704"/>
      <c r="S11" s="701"/>
      <c r="U11" s="703">
        <f>1192000-K11</f>
        <v>0</v>
      </c>
      <c r="W11" s="706">
        <f>P11+M11+L11+K11</f>
        <v>7945947.0999999996</v>
      </c>
      <c r="X11" s="707">
        <f>6068000-L11</f>
        <v>-9.999999962747097E-2</v>
      </c>
      <c r="Z11" s="707"/>
      <c r="AA11" s="707"/>
    </row>
    <row r="12" spans="1:27" s="705" customFormat="1" ht="24.6" customHeight="1" x14ac:dyDescent="0.25">
      <c r="A12" s="701" t="s">
        <v>43</v>
      </c>
      <c r="B12" s="702" t="s">
        <v>1946</v>
      </c>
      <c r="C12" s="703">
        <f t="shared" ref="C12" si="2">C13+C14+C24</f>
        <v>4720000</v>
      </c>
      <c r="D12" s="703" t="e">
        <f>D13+D14+D24+#REF!</f>
        <v>#REF!</v>
      </c>
      <c r="E12" s="704" t="e">
        <f>E13+E14+E24+#REF!</f>
        <v>#REF!</v>
      </c>
      <c r="F12" s="704" t="e">
        <f>F13+F14+F24+#REF!</f>
        <v>#REF!</v>
      </c>
      <c r="G12" s="704" t="e">
        <f>G13+G14+G24+#REF!</f>
        <v>#REF!</v>
      </c>
      <c r="H12" s="704" t="e">
        <f>H13+H14+H24+#REF!</f>
        <v>#REF!</v>
      </c>
      <c r="I12" s="704" t="e">
        <f>I13+I14+I24+#REF!</f>
        <v>#REF!</v>
      </c>
      <c r="J12" s="704">
        <f t="shared" si="1"/>
        <v>4837500.0999999996</v>
      </c>
      <c r="K12" s="704">
        <f>K13+K14+K24</f>
        <v>1012000</v>
      </c>
      <c r="L12" s="704">
        <f t="shared" ref="L12:P12" si="3">L13+L14+L24</f>
        <v>3400500.1</v>
      </c>
      <c r="M12" s="704">
        <f t="shared" si="3"/>
        <v>155000</v>
      </c>
      <c r="N12" s="704">
        <f>N14+N24</f>
        <v>120000</v>
      </c>
      <c r="O12" s="704">
        <v>150000</v>
      </c>
      <c r="P12" s="704">
        <f t="shared" si="3"/>
        <v>0</v>
      </c>
      <c r="Q12" s="704" t="e">
        <f>Q13+Q14+Q24+#REF!</f>
        <v>#REF!</v>
      </c>
      <c r="R12" s="708" t="e">
        <f>Q12-E12</f>
        <v>#REF!</v>
      </c>
      <c r="S12" s="701"/>
      <c r="U12" s="703"/>
      <c r="W12" s="706">
        <f>P12+M12+L12+K12</f>
        <v>4567500.0999999996</v>
      </c>
      <c r="X12" s="707"/>
    </row>
    <row r="13" spans="1:27" s="705" customFormat="1" ht="24.6" customHeight="1" x14ac:dyDescent="0.25">
      <c r="A13" s="701" t="s">
        <v>39</v>
      </c>
      <c r="B13" s="702" t="s">
        <v>40</v>
      </c>
      <c r="C13" s="703">
        <v>145000</v>
      </c>
      <c r="D13" s="703">
        <f>'[1]TH VON (ub)'!D12</f>
        <v>145000</v>
      </c>
      <c r="E13" s="704"/>
      <c r="F13" s="704"/>
      <c r="G13" s="704"/>
      <c r="H13" s="704"/>
      <c r="I13" s="704"/>
      <c r="J13" s="728">
        <f t="shared" ref="J13" si="4">SUM(K13:P13)</f>
        <v>80000</v>
      </c>
      <c r="K13" s="703">
        <v>40000</v>
      </c>
      <c r="L13" s="703">
        <f>80000-K13</f>
        <v>40000</v>
      </c>
      <c r="M13" s="703"/>
      <c r="N13" s="703"/>
      <c r="O13" s="703"/>
      <c r="P13" s="704"/>
      <c r="Q13" s="704"/>
      <c r="R13" s="709"/>
      <c r="S13" s="701"/>
      <c r="U13" s="703"/>
      <c r="W13" s="706">
        <f>P13+M13+L13+K13</f>
        <v>80000</v>
      </c>
      <c r="X13" s="707"/>
    </row>
    <row r="14" spans="1:27" s="705" customFormat="1" ht="24.6" customHeight="1" x14ac:dyDescent="0.25">
      <c r="A14" s="701" t="s">
        <v>41</v>
      </c>
      <c r="B14" s="702" t="s">
        <v>1947</v>
      </c>
      <c r="C14" s="703">
        <f t="shared" ref="C14:I14" si="5">SUM(C15:C23)</f>
        <v>3853000</v>
      </c>
      <c r="D14" s="703">
        <f>SUM(D15:D23)</f>
        <v>3620500</v>
      </c>
      <c r="E14" s="704">
        <f t="shared" si="5"/>
        <v>1123660.3999999999</v>
      </c>
      <c r="F14" s="704">
        <f t="shared" si="5"/>
        <v>2549469</v>
      </c>
      <c r="G14" s="704">
        <f t="shared" si="5"/>
        <v>376436.4</v>
      </c>
      <c r="H14" s="704">
        <f t="shared" si="5"/>
        <v>1137166</v>
      </c>
      <c r="I14" s="704">
        <f t="shared" si="5"/>
        <v>376436.4</v>
      </c>
      <c r="J14" s="728">
        <f>SUM(K14:P14)</f>
        <v>4520298.0999999996</v>
      </c>
      <c r="K14" s="704">
        <f>SUM(K15:K23)</f>
        <v>919798</v>
      </c>
      <c r="L14" s="704">
        <f t="shared" ref="L14:N14" si="6">SUM(L15:L23)</f>
        <v>3360500.1</v>
      </c>
      <c r="M14" s="704">
        <f t="shared" si="6"/>
        <v>155000</v>
      </c>
      <c r="N14" s="704">
        <f t="shared" si="6"/>
        <v>85000</v>
      </c>
      <c r="O14" s="704"/>
      <c r="P14" s="704"/>
      <c r="Q14" s="704">
        <f t="shared" ref="Q14" si="7">SUM(Q15:Q23)</f>
        <v>1884390</v>
      </c>
      <c r="R14" s="710">
        <f>Q14-E14</f>
        <v>760729.60000000009</v>
      </c>
      <c r="S14" s="701"/>
      <c r="T14" s="706"/>
      <c r="U14" s="703"/>
      <c r="W14" s="706">
        <f>P14+M14+L14+K14</f>
        <v>4435298.0999999996</v>
      </c>
      <c r="X14" s="707"/>
      <c r="Z14" s="707"/>
    </row>
    <row r="15" spans="1:27" s="697" customFormat="1" ht="27" customHeight="1" x14ac:dyDescent="0.25">
      <c r="A15" s="711">
        <v>1</v>
      </c>
      <c r="B15" s="712" t="s">
        <v>1948</v>
      </c>
      <c r="C15" s="713">
        <v>1240000</v>
      </c>
      <c r="D15" s="709">
        <f>'[1]TH VON (ub)'!D14</f>
        <v>1290000</v>
      </c>
      <c r="E15" s="714">
        <f>'[1]DC TINH-IN'!$N$21</f>
        <v>453200</v>
      </c>
      <c r="F15" s="714">
        <f>H15+'[1]da loai'!P15+'[1]da thieu von'!P17</f>
        <v>1627873</v>
      </c>
      <c r="G15" s="714">
        <f>I15</f>
        <v>90000</v>
      </c>
      <c r="H15" s="714">
        <f>'[1]DC TINH-IN'!$S$21</f>
        <v>882000</v>
      </c>
      <c r="I15" s="714">
        <f>'[1]DC TINH-IN'!$T$21</f>
        <v>90000</v>
      </c>
      <c r="J15" s="715">
        <f>'DC TINH'!T21</f>
        <v>2232210.1</v>
      </c>
      <c r="K15" s="709"/>
      <c r="L15" s="709">
        <f>J15-M15-N15</f>
        <v>1992210.1</v>
      </c>
      <c r="M15" s="709">
        <v>155000</v>
      </c>
      <c r="N15" s="709">
        <f>50000+35000</f>
        <v>85000</v>
      </c>
      <c r="O15" s="709"/>
      <c r="P15" s="714"/>
      <c r="Q15" s="714">
        <f>'[1]DC TINH-IN'!$P$21</f>
        <v>1245200</v>
      </c>
      <c r="R15" s="709">
        <f>Q15-E15</f>
        <v>792000</v>
      </c>
      <c r="S15" s="711"/>
      <c r="U15" s="716"/>
      <c r="V15" s="716"/>
      <c r="X15" s="717"/>
      <c r="Z15" s="716"/>
    </row>
    <row r="16" spans="1:27" s="722" customFormat="1" ht="27" customHeight="1" x14ac:dyDescent="0.25">
      <c r="A16" s="718">
        <v>2</v>
      </c>
      <c r="B16" s="719" t="s">
        <v>2142</v>
      </c>
      <c r="C16" s="720">
        <v>360000</v>
      </c>
      <c r="D16" s="709">
        <f>'[1]TH VON (ub)'!D15</f>
        <v>360000</v>
      </c>
      <c r="E16" s="721">
        <f>'[1]DC TINH-IN'!$N$58</f>
        <v>130260</v>
      </c>
      <c r="F16" s="721">
        <f>H16</f>
        <v>48656</v>
      </c>
      <c r="G16" s="714">
        <f t="shared" ref="G16:G23" si="8">I16</f>
        <v>48656</v>
      </c>
      <c r="H16" s="721">
        <f>'[1]DC TINH-IN'!$S$58</f>
        <v>48656</v>
      </c>
      <c r="I16" s="721">
        <f>'[1]DC TINH-IN'!$T$58</f>
        <v>48656</v>
      </c>
      <c r="J16" s="715">
        <f>'DC TINH'!T59</f>
        <v>329228</v>
      </c>
      <c r="K16" s="709">
        <f>100000-10248-524</f>
        <v>89228</v>
      </c>
      <c r="L16" s="709">
        <v>240000</v>
      </c>
      <c r="M16" s="709"/>
      <c r="N16" s="709"/>
      <c r="O16" s="709"/>
      <c r="P16" s="721"/>
      <c r="Q16" s="721">
        <f>'[1]DC TINH-IN'!$P$58</f>
        <v>130260</v>
      </c>
      <c r="R16" s="720"/>
      <c r="S16" s="718"/>
      <c r="U16" s="723"/>
      <c r="V16" s="723"/>
      <c r="X16" s="724"/>
      <c r="Z16" s="716"/>
    </row>
    <row r="17" spans="1:27" s="722" customFormat="1" ht="27" customHeight="1" x14ac:dyDescent="0.25">
      <c r="A17" s="718">
        <v>3</v>
      </c>
      <c r="B17" s="719" t="s">
        <v>1949</v>
      </c>
      <c r="C17" s="720">
        <v>510000</v>
      </c>
      <c r="D17" s="709">
        <f>'[1]TH VON (ub)'!D16</f>
        <v>510000</v>
      </c>
      <c r="E17" s="721">
        <f>'[1]DC TINH-IN'!$N$125</f>
        <v>82080</v>
      </c>
      <c r="F17" s="721">
        <f>H17+'[1]da thieu von'!P21</f>
        <v>499370</v>
      </c>
      <c r="G17" s="714">
        <f t="shared" si="8"/>
        <v>1450</v>
      </c>
      <c r="H17" s="721">
        <f>'[1]DC TINH-IN'!$S$125</f>
        <v>99370</v>
      </c>
      <c r="I17" s="721">
        <f>'[1]DC TINH-IN'!$T$125</f>
        <v>1450</v>
      </c>
      <c r="J17" s="715">
        <f>'DC TINH'!T126</f>
        <v>582920</v>
      </c>
      <c r="K17" s="725">
        <v>97920</v>
      </c>
      <c r="L17" s="709">
        <f>450000+35000</f>
        <v>485000</v>
      </c>
      <c r="M17" s="709"/>
      <c r="N17" s="709"/>
      <c r="O17" s="709"/>
      <c r="P17" s="721"/>
      <c r="Q17" s="721">
        <f>'[1]DC TINH-IN'!$P$125</f>
        <v>180000</v>
      </c>
      <c r="R17" s="720">
        <f t="shared" ref="R17:R24" si="9">Q17-E17</f>
        <v>97920</v>
      </c>
      <c r="S17" s="718"/>
      <c r="U17" s="723"/>
      <c r="V17" s="723"/>
      <c r="X17" s="724"/>
      <c r="Z17" s="716"/>
    </row>
    <row r="18" spans="1:27" s="722" customFormat="1" ht="27" customHeight="1" x14ac:dyDescent="0.25">
      <c r="A18" s="718">
        <v>4</v>
      </c>
      <c r="B18" s="719" t="s">
        <v>1950</v>
      </c>
      <c r="C18" s="720">
        <v>510000</v>
      </c>
      <c r="D18" s="709">
        <f>'[1]TH VON (ub)'!D17</f>
        <v>267500</v>
      </c>
      <c r="E18" s="721">
        <f>'[1]DC TINH-IN'!$N$157</f>
        <v>61840.4</v>
      </c>
      <c r="F18" s="721">
        <f t="shared" ref="F18" si="10">H18</f>
        <v>34350</v>
      </c>
      <c r="G18" s="714">
        <f t="shared" si="8"/>
        <v>16810.400000000001</v>
      </c>
      <c r="H18" s="721">
        <f>'[1]DC TINH-IN'!$S$157</f>
        <v>34350</v>
      </c>
      <c r="I18" s="721">
        <f>'[1]DC TINH-IN'!$T$157</f>
        <v>16810.400000000001</v>
      </c>
      <c r="J18" s="715">
        <f>'DC TINH'!T158</f>
        <v>312540</v>
      </c>
      <c r="K18" s="725">
        <v>218540</v>
      </c>
      <c r="L18" s="709">
        <v>94000</v>
      </c>
      <c r="M18" s="709"/>
      <c r="N18" s="709"/>
      <c r="O18" s="709"/>
      <c r="P18" s="721"/>
      <c r="Q18" s="721">
        <f>'[1]DC TINH-IN'!$P$157</f>
        <v>79380</v>
      </c>
      <c r="R18" s="720">
        <f t="shared" si="9"/>
        <v>17539.599999999999</v>
      </c>
      <c r="S18" s="718"/>
      <c r="U18" s="723"/>
      <c r="V18" s="723"/>
      <c r="W18" s="724"/>
      <c r="Z18" s="716"/>
      <c r="AA18" s="724"/>
    </row>
    <row r="19" spans="1:27" s="722" customFormat="1" ht="27" customHeight="1" x14ac:dyDescent="0.25">
      <c r="A19" s="718">
        <v>5</v>
      </c>
      <c r="B19" s="719" t="s">
        <v>1951</v>
      </c>
      <c r="C19" s="720">
        <v>220000</v>
      </c>
      <c r="D19" s="709">
        <f>'[1]TH VON (ub)'!D18</f>
        <v>220000</v>
      </c>
      <c r="E19" s="721">
        <f>'[1]DC TINH-IN'!$N$193</f>
        <v>80900</v>
      </c>
      <c r="F19" s="721">
        <f>'[1]da loai'!P19+'[1]da thieu von'!P23</f>
        <v>70900</v>
      </c>
      <c r="G19" s="714">
        <f>'[1]DC TINH-IN'!T193</f>
        <v>70900</v>
      </c>
      <c r="H19" s="721">
        <f>'[1]DC TONG THE'!S192</f>
        <v>0</v>
      </c>
      <c r="I19" s="721">
        <f>'[1]DC TINH-IN'!$T$193</f>
        <v>70900</v>
      </c>
      <c r="J19" s="715">
        <f>'DC TINH'!T194</f>
        <v>149100</v>
      </c>
      <c r="K19" s="725">
        <v>108060</v>
      </c>
      <c r="L19" s="709">
        <v>41040</v>
      </c>
      <c r="M19" s="709"/>
      <c r="N19" s="709"/>
      <c r="O19" s="709"/>
      <c r="P19" s="721"/>
      <c r="Q19" s="721">
        <f>'[1]DC TINH-IN'!$P$193</f>
        <v>10000</v>
      </c>
      <c r="R19" s="720">
        <f t="shared" si="9"/>
        <v>-70900</v>
      </c>
      <c r="S19" s="718"/>
      <c r="U19" s="723"/>
      <c r="V19" s="723"/>
      <c r="W19" s="723"/>
      <c r="X19" s="724"/>
      <c r="Z19" s="716"/>
    </row>
    <row r="20" spans="1:27" s="722" customFormat="1" ht="27" customHeight="1" x14ac:dyDescent="0.25">
      <c r="A20" s="718">
        <v>6</v>
      </c>
      <c r="B20" s="719" t="s">
        <v>1952</v>
      </c>
      <c r="C20" s="720">
        <v>290000</v>
      </c>
      <c r="D20" s="709">
        <f>'[1]TH VON (ub)'!D19</f>
        <v>150000</v>
      </c>
      <c r="E20" s="721">
        <f>'[1]DC TINH-IN'!$N$218</f>
        <v>125000</v>
      </c>
      <c r="F20" s="721"/>
      <c r="G20" s="714">
        <f>'[1]DC TINH-IN'!T218</f>
        <v>75000</v>
      </c>
      <c r="H20" s="721">
        <f>'[1]DC TONG THE'!S217</f>
        <v>0</v>
      </c>
      <c r="I20" s="721">
        <f>'[1]DC TINH-IN'!$T$218</f>
        <v>75000</v>
      </c>
      <c r="J20" s="715">
        <f>'DC TINH'!T219</f>
        <v>75000</v>
      </c>
      <c r="K20" s="725">
        <v>11000</v>
      </c>
      <c r="L20" s="709">
        <v>64000</v>
      </c>
      <c r="M20" s="709"/>
      <c r="N20" s="709"/>
      <c r="O20" s="709"/>
      <c r="P20" s="721"/>
      <c r="Q20" s="721">
        <f>'[1]DC TINH-IN'!$P$218</f>
        <v>50000</v>
      </c>
      <c r="R20" s="720">
        <f t="shared" si="9"/>
        <v>-75000</v>
      </c>
      <c r="S20" s="718"/>
      <c r="U20" s="723"/>
      <c r="V20" s="723"/>
      <c r="W20" s="723"/>
      <c r="Z20" s="716"/>
    </row>
    <row r="21" spans="1:27" s="722" customFormat="1" ht="27" customHeight="1" x14ac:dyDescent="0.25">
      <c r="A21" s="718">
        <v>7</v>
      </c>
      <c r="B21" s="719" t="s">
        <v>1953</v>
      </c>
      <c r="C21" s="720">
        <v>290000</v>
      </c>
      <c r="D21" s="709">
        <f>'[1]TH VON (ub)'!D20</f>
        <v>290000</v>
      </c>
      <c r="E21" s="721">
        <f>'[1]DC TINH-IN'!$N$235</f>
        <v>144020</v>
      </c>
      <c r="F21" s="721">
        <f>H21</f>
        <v>31300</v>
      </c>
      <c r="G21" s="714">
        <f t="shared" si="8"/>
        <v>39100</v>
      </c>
      <c r="H21" s="721">
        <f>'[1]DC TINH-IN'!$S$235</f>
        <v>31300</v>
      </c>
      <c r="I21" s="721">
        <f>'[1]DC TINH-IN'!$T$235</f>
        <v>39100</v>
      </c>
      <c r="J21" s="715">
        <f>'DC TINH'!T236</f>
        <v>262370</v>
      </c>
      <c r="K21" s="725">
        <f>35000-10830</f>
        <v>24170</v>
      </c>
      <c r="L21" s="709">
        <f>242200-4000</f>
        <v>238200</v>
      </c>
      <c r="M21" s="709"/>
      <c r="N21" s="709"/>
      <c r="O21" s="709"/>
      <c r="P21" s="721"/>
      <c r="Q21" s="721">
        <f>'[1]DC TINH-IN'!$P$235</f>
        <v>136220</v>
      </c>
      <c r="R21" s="720">
        <f t="shared" si="9"/>
        <v>-7800</v>
      </c>
      <c r="S21" s="718"/>
      <c r="U21" s="723"/>
      <c r="V21" s="723"/>
      <c r="Z21" s="716"/>
    </row>
    <row r="22" spans="1:27" s="722" customFormat="1" ht="27" customHeight="1" x14ac:dyDescent="0.25">
      <c r="A22" s="718">
        <v>8</v>
      </c>
      <c r="B22" s="719" t="s">
        <v>1954</v>
      </c>
      <c r="C22" s="720">
        <v>218000</v>
      </c>
      <c r="D22" s="709">
        <f>'[1]TH VON (ub)'!D21</f>
        <v>259000</v>
      </c>
      <c r="E22" s="721">
        <f>'[1]DC TINH-IN'!$N$280</f>
        <v>29150</v>
      </c>
      <c r="F22" s="721">
        <f>H22+'[1]da thieu von'!P26</f>
        <v>209260</v>
      </c>
      <c r="G22" s="714">
        <f t="shared" si="8"/>
        <v>22300</v>
      </c>
      <c r="H22" s="721">
        <f>'[1]DC TINH-IN'!$S$280</f>
        <v>22060</v>
      </c>
      <c r="I22" s="721">
        <f>'[1]DC TINH-IN'!$T$280</f>
        <v>22300</v>
      </c>
      <c r="J22" s="715">
        <f>'DC TINH'!T281</f>
        <v>278220</v>
      </c>
      <c r="K22" s="725">
        <f>200000</f>
        <v>200000</v>
      </c>
      <c r="L22" s="709">
        <v>78220</v>
      </c>
      <c r="M22" s="709"/>
      <c r="N22" s="709"/>
      <c r="O22" s="709"/>
      <c r="P22" s="721"/>
      <c r="Q22" s="721">
        <f>'[1]DC TINH-IN'!$P$280</f>
        <v>28910</v>
      </c>
      <c r="R22" s="720">
        <f t="shared" si="9"/>
        <v>-240</v>
      </c>
      <c r="S22" s="718"/>
      <c r="U22" s="723"/>
      <c r="V22" s="723"/>
      <c r="Z22" s="716"/>
    </row>
    <row r="23" spans="1:27" s="697" customFormat="1" ht="27" customHeight="1" x14ac:dyDescent="0.25">
      <c r="A23" s="711">
        <v>9</v>
      </c>
      <c r="B23" s="712" t="s">
        <v>2143</v>
      </c>
      <c r="C23" s="713">
        <v>215000</v>
      </c>
      <c r="D23" s="709">
        <f>'[1]TH VON (ub)'!D22</f>
        <v>274000</v>
      </c>
      <c r="E23" s="714">
        <f>'[1]DC TINH-IN'!$N$315</f>
        <v>17210</v>
      </c>
      <c r="F23" s="721">
        <f>H23+'[1]da loai'!P21</f>
        <v>27760</v>
      </c>
      <c r="G23" s="714">
        <f t="shared" si="8"/>
        <v>12220</v>
      </c>
      <c r="H23" s="714">
        <f>'[1]DC TINH-IN'!$S$315</f>
        <v>19430</v>
      </c>
      <c r="I23" s="714">
        <f>'[1]DC TINH-IN'!$T$315</f>
        <v>12220</v>
      </c>
      <c r="J23" s="715">
        <f>'DC TINH'!T316</f>
        <v>298710</v>
      </c>
      <c r="K23" s="725">
        <f>156210+17500-2830</f>
        <v>170880</v>
      </c>
      <c r="L23" s="709">
        <f>J23-K23</f>
        <v>127830</v>
      </c>
      <c r="M23" s="709"/>
      <c r="N23" s="709"/>
      <c r="O23" s="709"/>
      <c r="P23" s="714"/>
      <c r="Q23" s="714">
        <f>'[1]DC TINH-IN'!$P$315</f>
        <v>24420</v>
      </c>
      <c r="R23" s="709">
        <f t="shared" si="9"/>
        <v>7210</v>
      </c>
      <c r="S23" s="711"/>
      <c r="U23" s="716">
        <f>247-149</f>
        <v>98</v>
      </c>
      <c r="V23" s="716"/>
      <c r="Z23" s="716"/>
    </row>
    <row r="24" spans="1:27" s="705" customFormat="1" ht="27" customHeight="1" x14ac:dyDescent="0.25">
      <c r="A24" s="701" t="s">
        <v>879</v>
      </c>
      <c r="B24" s="726" t="s">
        <v>1956</v>
      </c>
      <c r="C24" s="703">
        <v>722000</v>
      </c>
      <c r="D24" s="703">
        <f>'[1]TH VON (ub)'!D23</f>
        <v>652000</v>
      </c>
      <c r="E24" s="704">
        <v>652000</v>
      </c>
      <c r="F24" s="704"/>
      <c r="G24" s="704"/>
      <c r="H24" s="704"/>
      <c r="I24" s="704">
        <v>615730</v>
      </c>
      <c r="J24" s="704">
        <f>K24+L24+M24+N24+P24+O24</f>
        <v>237202</v>
      </c>
      <c r="K24" s="727">
        <f>25600+15248+10830+524</f>
        <v>52202</v>
      </c>
      <c r="L24" s="703"/>
      <c r="M24" s="703"/>
      <c r="N24" s="703">
        <v>35000</v>
      </c>
      <c r="O24" s="703">
        <v>150000</v>
      </c>
      <c r="P24" s="704"/>
      <c r="Q24" s="728">
        <f>J24</f>
        <v>237202</v>
      </c>
      <c r="R24" s="710">
        <f t="shared" si="9"/>
        <v>-414798</v>
      </c>
      <c r="S24" s="701"/>
      <c r="U24" s="716"/>
      <c r="W24" s="706">
        <f t="shared" ref="W24:W31" si="11">P24+M24+L24+K24</f>
        <v>52202</v>
      </c>
    </row>
    <row r="25" spans="1:27" s="705" customFormat="1" ht="25.9" customHeight="1" x14ac:dyDescent="0.25">
      <c r="A25" s="701" t="s">
        <v>173</v>
      </c>
      <c r="B25" s="702" t="s">
        <v>1957</v>
      </c>
      <c r="C25" s="703">
        <f>SUM(C26:C28)</f>
        <v>1810000</v>
      </c>
      <c r="D25" s="703">
        <f t="shared" ref="D25:R25" si="12">SUM(D26:D30)</f>
        <v>2822500</v>
      </c>
      <c r="E25" s="703" t="e">
        <f t="shared" si="12"/>
        <v>#REF!</v>
      </c>
      <c r="F25" s="703" t="e">
        <f t="shared" si="12"/>
        <v>#REF!</v>
      </c>
      <c r="G25" s="703" t="e">
        <f t="shared" si="12"/>
        <v>#REF!</v>
      </c>
      <c r="H25" s="703" t="e">
        <f t="shared" si="12"/>
        <v>#REF!</v>
      </c>
      <c r="I25" s="703" t="e">
        <f t="shared" si="12"/>
        <v>#REF!</v>
      </c>
      <c r="J25" s="703">
        <f t="shared" si="12"/>
        <v>2847500</v>
      </c>
      <c r="K25" s="703">
        <v>180000</v>
      </c>
      <c r="L25" s="703">
        <f>J25-K25</f>
        <v>2667500</v>
      </c>
      <c r="M25" s="703"/>
      <c r="N25" s="703"/>
      <c r="O25" s="703"/>
      <c r="P25" s="703"/>
      <c r="Q25" s="703" t="e">
        <f t="shared" si="12"/>
        <v>#REF!</v>
      </c>
      <c r="R25" s="703" t="e">
        <f t="shared" si="12"/>
        <v>#REF!</v>
      </c>
      <c r="S25" s="701"/>
      <c r="T25" s="706"/>
      <c r="U25" s="716"/>
      <c r="W25" s="706">
        <f t="shared" si="11"/>
        <v>2847500</v>
      </c>
    </row>
    <row r="26" spans="1:27" s="697" customFormat="1" ht="24" customHeight="1" x14ac:dyDescent="0.25">
      <c r="A26" s="711">
        <v>1</v>
      </c>
      <c r="B26" s="712" t="s">
        <v>1958</v>
      </c>
      <c r="C26" s="713">
        <v>1230000</v>
      </c>
      <c r="D26" s="709">
        <f>'[1]TH VON (ub)'!D26</f>
        <v>1230000</v>
      </c>
      <c r="E26" s="714"/>
      <c r="F26" s="714">
        <f>'[1]da thieu von'!P28</f>
        <v>857000</v>
      </c>
      <c r="G26" s="714"/>
      <c r="H26" s="714"/>
      <c r="I26" s="714"/>
      <c r="J26" s="714">
        <f>'DC HTMT'!V17</f>
        <v>1230000</v>
      </c>
      <c r="K26" s="709"/>
      <c r="L26" s="709"/>
      <c r="M26" s="709"/>
      <c r="N26" s="709"/>
      <c r="O26" s="709"/>
      <c r="P26" s="714"/>
      <c r="Q26" s="714"/>
      <c r="R26" s="709"/>
      <c r="S26" s="711"/>
      <c r="U26" s="716"/>
      <c r="W26" s="706">
        <f t="shared" si="11"/>
        <v>0</v>
      </c>
    </row>
    <row r="27" spans="1:27" s="697" customFormat="1" x14ac:dyDescent="0.25">
      <c r="A27" s="711">
        <v>2</v>
      </c>
      <c r="B27" s="712" t="s">
        <v>1959</v>
      </c>
      <c r="C27" s="713">
        <v>580000</v>
      </c>
      <c r="D27" s="709">
        <f>'[1]TH VON (ub)'!D27</f>
        <v>640000</v>
      </c>
      <c r="E27" s="714" t="e">
        <f>#REF!</f>
        <v>#REF!</v>
      </c>
      <c r="F27" s="714" t="e">
        <f>H27</f>
        <v>#REF!</v>
      </c>
      <c r="G27" s="714" t="e">
        <f>I27</f>
        <v>#REF!</v>
      </c>
      <c r="H27" s="714" t="e">
        <f>#REF!</f>
        <v>#REF!</v>
      </c>
      <c r="I27" s="714" t="e">
        <f>#REF!</f>
        <v>#REF!</v>
      </c>
      <c r="J27" s="714">
        <f>'DC HTMT'!V18</f>
        <v>665000</v>
      </c>
      <c r="K27" s="709"/>
      <c r="L27" s="709"/>
      <c r="M27" s="709"/>
      <c r="N27" s="709"/>
      <c r="O27" s="709"/>
      <c r="P27" s="714"/>
      <c r="Q27" s="714" t="e">
        <f>#REF!</f>
        <v>#REF!</v>
      </c>
      <c r="R27" s="709" t="e">
        <f>Q27-E27</f>
        <v>#REF!</v>
      </c>
      <c r="S27" s="711"/>
      <c r="U27" s="716"/>
      <c r="W27" s="706">
        <f t="shared" si="11"/>
        <v>0</v>
      </c>
    </row>
    <row r="28" spans="1:27" s="697" customFormat="1" ht="37.5" x14ac:dyDescent="0.25">
      <c r="A28" s="711">
        <v>3</v>
      </c>
      <c r="B28" s="712" t="s">
        <v>1960</v>
      </c>
      <c r="C28" s="713"/>
      <c r="D28" s="709">
        <f>'[1]TH VON (ub)'!D28</f>
        <v>124500</v>
      </c>
      <c r="E28" s="711"/>
      <c r="F28" s="711"/>
      <c r="G28" s="711"/>
      <c r="H28" s="711"/>
      <c r="I28" s="711"/>
      <c r="J28" s="714">
        <f>'DC HTMT'!V302</f>
        <v>124500</v>
      </c>
      <c r="K28" s="709"/>
      <c r="L28" s="709"/>
      <c r="M28" s="709"/>
      <c r="N28" s="709"/>
      <c r="O28" s="709"/>
      <c r="P28" s="711"/>
      <c r="Q28" s="714"/>
      <c r="R28" s="711"/>
      <c r="S28" s="711"/>
      <c r="U28" s="716"/>
      <c r="W28" s="706">
        <f t="shared" si="11"/>
        <v>0</v>
      </c>
    </row>
    <row r="29" spans="1:27" s="697" customFormat="1" ht="75" x14ac:dyDescent="0.25">
      <c r="A29" s="711">
        <v>4</v>
      </c>
      <c r="B29" s="712" t="s">
        <v>1961</v>
      </c>
      <c r="C29" s="713"/>
      <c r="D29" s="709">
        <f>'[1]TH VON (ub)'!D30</f>
        <v>98000</v>
      </c>
      <c r="E29" s="714"/>
      <c r="F29" s="714"/>
      <c r="G29" s="714"/>
      <c r="H29" s="714"/>
      <c r="I29" s="714"/>
      <c r="J29" s="714">
        <f>'DC HTMT'!V315</f>
        <v>98000</v>
      </c>
      <c r="K29" s="709"/>
      <c r="L29" s="709"/>
      <c r="M29" s="709"/>
      <c r="N29" s="709"/>
      <c r="O29" s="709"/>
      <c r="P29" s="714"/>
      <c r="Q29" s="714"/>
      <c r="R29" s="709"/>
      <c r="S29" s="711"/>
      <c r="U29" s="716"/>
      <c r="W29" s="706">
        <f t="shared" si="11"/>
        <v>0</v>
      </c>
    </row>
    <row r="30" spans="1:27" s="697" customFormat="1" x14ac:dyDescent="0.25">
      <c r="A30" s="711">
        <v>5</v>
      </c>
      <c r="B30" s="712" t="s">
        <v>1962</v>
      </c>
      <c r="C30" s="713"/>
      <c r="D30" s="709">
        <f>'[1]TH VON (ub)'!D31</f>
        <v>730000</v>
      </c>
      <c r="E30" s="714" t="e">
        <f>#REF!</f>
        <v>#REF!</v>
      </c>
      <c r="F30" s="714" t="e">
        <f>H30+'[1]da loai'!P31+'[1]da thieu von'!P34</f>
        <v>#REF!</v>
      </c>
      <c r="G30" s="714" t="e">
        <f>I30</f>
        <v>#REF!</v>
      </c>
      <c r="H30" s="714" t="e">
        <f>#REF!</f>
        <v>#REF!</v>
      </c>
      <c r="I30" s="714" t="e">
        <f>#REF!</f>
        <v>#REF!</v>
      </c>
      <c r="J30" s="714">
        <f>'DC HTMT'!P316</f>
        <v>730000</v>
      </c>
      <c r="K30" s="709"/>
      <c r="L30" s="709"/>
      <c r="M30" s="709"/>
      <c r="N30" s="709"/>
      <c r="O30" s="709"/>
      <c r="P30" s="714"/>
      <c r="Q30" s="714" t="e">
        <f>#REF!</f>
        <v>#REF!</v>
      </c>
      <c r="R30" s="709"/>
      <c r="S30" s="711"/>
      <c r="U30" s="716"/>
      <c r="W30" s="706">
        <f t="shared" si="11"/>
        <v>0</v>
      </c>
    </row>
    <row r="31" spans="1:27" s="705" customFormat="1" ht="76.5" customHeight="1" x14ac:dyDescent="0.25">
      <c r="A31" s="701" t="s">
        <v>333</v>
      </c>
      <c r="B31" s="726" t="s">
        <v>1963</v>
      </c>
      <c r="C31" s="703">
        <v>700000</v>
      </c>
      <c r="D31" s="703">
        <f>'[1]TH VON (ub)'!D32</f>
        <v>530947</v>
      </c>
      <c r="E31" s="704">
        <v>530947</v>
      </c>
      <c r="F31" s="704">
        <f>'[1]HTCK-DC'!Y16</f>
        <v>11420</v>
      </c>
      <c r="G31" s="704">
        <f>'[1]HTCK-DC'!Z16</f>
        <v>11420</v>
      </c>
      <c r="H31" s="704">
        <f>F31</f>
        <v>11420</v>
      </c>
      <c r="I31" s="704">
        <f>G31</f>
        <v>11420</v>
      </c>
      <c r="J31" s="728">
        <f>'[1]TH VON (ub)'!I32</f>
        <v>530947</v>
      </c>
      <c r="K31" s="703"/>
      <c r="L31" s="703"/>
      <c r="M31" s="703"/>
      <c r="N31" s="703"/>
      <c r="O31" s="703"/>
      <c r="P31" s="704">
        <v>530947</v>
      </c>
      <c r="Q31" s="704">
        <f>E31</f>
        <v>530947</v>
      </c>
      <c r="R31" s="709"/>
      <c r="S31" s="701"/>
      <c r="U31" s="716"/>
      <c r="W31" s="706">
        <f t="shared" si="11"/>
        <v>530947</v>
      </c>
    </row>
    <row r="32" spans="1:27" s="733" customFormat="1" ht="25.15" hidden="1" customHeight="1" x14ac:dyDescent="0.25">
      <c r="A32" s="729"/>
      <c r="B32" s="730" t="s">
        <v>882</v>
      </c>
      <c r="C32" s="731"/>
      <c r="D32" s="731"/>
      <c r="E32" s="732"/>
      <c r="F32" s="732"/>
      <c r="G32" s="732"/>
      <c r="H32" s="732"/>
      <c r="I32" s="732"/>
      <c r="J32" s="732"/>
      <c r="K32" s="731"/>
      <c r="L32" s="731"/>
      <c r="M32" s="731"/>
      <c r="N32" s="731"/>
      <c r="O32" s="731"/>
      <c r="P32" s="732"/>
      <c r="Q32" s="732"/>
      <c r="R32" s="709">
        <f t="shared" ref="R32:R37" si="13">Q32-E32</f>
        <v>0</v>
      </c>
      <c r="S32" s="729"/>
      <c r="U32" s="716"/>
    </row>
    <row r="33" spans="1:21" s="697" customFormat="1" ht="25.9" hidden="1" customHeight="1" x14ac:dyDescent="0.25">
      <c r="A33" s="711">
        <v>1</v>
      </c>
      <c r="B33" s="712" t="s">
        <v>1948</v>
      </c>
      <c r="C33" s="713"/>
      <c r="D33" s="713"/>
      <c r="E33" s="714"/>
      <c r="F33" s="714"/>
      <c r="G33" s="714"/>
      <c r="H33" s="714"/>
      <c r="I33" s="714"/>
      <c r="J33" s="714"/>
      <c r="K33" s="713"/>
      <c r="L33" s="713"/>
      <c r="M33" s="713"/>
      <c r="N33" s="713"/>
      <c r="O33" s="713"/>
      <c r="P33" s="714"/>
      <c r="Q33" s="714"/>
      <c r="R33" s="709">
        <f t="shared" si="13"/>
        <v>0</v>
      </c>
      <c r="S33" s="711"/>
      <c r="U33" s="716"/>
    </row>
    <row r="34" spans="1:21" s="697" customFormat="1" ht="25.9" hidden="1" customHeight="1" x14ac:dyDescent="0.25">
      <c r="A34" s="711">
        <v>2</v>
      </c>
      <c r="B34" s="712" t="s">
        <v>1954</v>
      </c>
      <c r="C34" s="713"/>
      <c r="D34" s="713"/>
      <c r="E34" s="714"/>
      <c r="F34" s="714"/>
      <c r="G34" s="714"/>
      <c r="H34" s="714"/>
      <c r="I34" s="714"/>
      <c r="J34" s="714"/>
      <c r="K34" s="713"/>
      <c r="L34" s="713"/>
      <c r="M34" s="713"/>
      <c r="N34" s="713"/>
      <c r="O34" s="713"/>
      <c r="P34" s="714"/>
      <c r="Q34" s="714"/>
      <c r="R34" s="709">
        <f t="shared" si="13"/>
        <v>0</v>
      </c>
      <c r="S34" s="711"/>
      <c r="U34" s="716"/>
    </row>
    <row r="35" spans="1:21" s="697" customFormat="1" ht="25.9" hidden="1" customHeight="1" x14ac:dyDescent="0.25">
      <c r="A35" s="711">
        <v>3</v>
      </c>
      <c r="B35" s="712" t="s">
        <v>1955</v>
      </c>
      <c r="C35" s="713"/>
      <c r="D35" s="713"/>
      <c r="E35" s="714"/>
      <c r="F35" s="714"/>
      <c r="G35" s="714"/>
      <c r="H35" s="714"/>
      <c r="I35" s="714"/>
      <c r="J35" s="714"/>
      <c r="K35" s="713"/>
      <c r="L35" s="713"/>
      <c r="M35" s="713"/>
      <c r="N35" s="713"/>
      <c r="O35" s="713"/>
      <c r="P35" s="714"/>
      <c r="Q35" s="714"/>
      <c r="R35" s="709">
        <f t="shared" si="13"/>
        <v>0</v>
      </c>
      <c r="S35" s="711"/>
      <c r="U35" s="716"/>
    </row>
    <row r="36" spans="1:21" s="697" customFormat="1" ht="26.25" hidden="1" customHeight="1" x14ac:dyDescent="0.25">
      <c r="A36" s="711">
        <v>4</v>
      </c>
      <c r="B36" s="712" t="s">
        <v>1965</v>
      </c>
      <c r="C36" s="713"/>
      <c r="D36" s="713"/>
      <c r="E36" s="714"/>
      <c r="F36" s="714"/>
      <c r="G36" s="714"/>
      <c r="H36" s="714"/>
      <c r="I36" s="714"/>
      <c r="J36" s="714"/>
      <c r="K36" s="713"/>
      <c r="L36" s="713"/>
      <c r="M36" s="713"/>
      <c r="N36" s="713"/>
      <c r="O36" s="713"/>
      <c r="P36" s="714"/>
      <c r="Q36" s="714"/>
      <c r="R36" s="709">
        <f t="shared" si="13"/>
        <v>0</v>
      </c>
      <c r="S36" s="711"/>
      <c r="U36" s="716"/>
    </row>
    <row r="37" spans="1:21" s="737" customFormat="1" ht="12.75" hidden="1" customHeight="1" x14ac:dyDescent="0.35">
      <c r="A37" s="734"/>
      <c r="B37" s="734" t="s">
        <v>1966</v>
      </c>
      <c r="C37" s="735"/>
      <c r="D37" s="735"/>
      <c r="E37" s="736"/>
      <c r="F37" s="736"/>
      <c r="G37" s="736"/>
      <c r="H37" s="736"/>
      <c r="I37" s="736"/>
      <c r="J37" s="736"/>
      <c r="K37" s="735"/>
      <c r="L37" s="735"/>
      <c r="M37" s="735"/>
      <c r="N37" s="735"/>
      <c r="O37" s="735"/>
      <c r="P37" s="736"/>
      <c r="Q37" s="736"/>
      <c r="R37" s="709">
        <f t="shared" si="13"/>
        <v>0</v>
      </c>
      <c r="S37" s="734"/>
      <c r="U37" s="716"/>
    </row>
    <row r="38" spans="1:21" ht="13.15" customHeight="1" x14ac:dyDescent="0.3">
      <c r="A38" s="738"/>
      <c r="B38" s="738"/>
      <c r="C38" s="739"/>
      <c r="D38" s="739"/>
      <c r="E38" s="739"/>
      <c r="F38" s="739"/>
      <c r="G38" s="739"/>
      <c r="H38" s="739"/>
      <c r="I38" s="739"/>
      <c r="J38" s="739"/>
      <c r="K38" s="739"/>
      <c r="L38" s="739"/>
      <c r="M38" s="739"/>
      <c r="N38" s="739"/>
      <c r="O38" s="739"/>
      <c r="P38" s="739"/>
      <c r="Q38" s="739"/>
      <c r="R38" s="739"/>
      <c r="S38" s="738"/>
    </row>
  </sheetData>
  <mergeCells count="17">
    <mergeCell ref="A8:A10"/>
    <mergeCell ref="B8:B10"/>
    <mergeCell ref="C8:C10"/>
    <mergeCell ref="D8:E8"/>
    <mergeCell ref="F8:G8"/>
    <mergeCell ref="A1:S1"/>
    <mergeCell ref="A2:S2"/>
    <mergeCell ref="A3:S3"/>
    <mergeCell ref="A4:S4"/>
    <mergeCell ref="A5:S5"/>
    <mergeCell ref="H8:I8"/>
    <mergeCell ref="J8:Q8"/>
    <mergeCell ref="R8:R10"/>
    <mergeCell ref="S8:S10"/>
    <mergeCell ref="D9:D10"/>
    <mergeCell ref="J9:J10"/>
    <mergeCell ref="K9:P9"/>
  </mergeCells>
  <pageMargins left="0.54" right="0.32" top="0.6" bottom="0.49" header="0.3" footer="0.21"/>
  <pageSetup paperSize="9" scale="68" fitToHeight="0" orientation="landscape" r:id="rId1"/>
  <headerFooter>
    <oddFooter>&amp;C&amp;"Times New Roman,Regular"Trang &amp;P/&amp;N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XFB395"/>
  <sheetViews>
    <sheetView topLeftCell="B13" zoomScale="70" zoomScaleNormal="70" workbookViewId="0">
      <pane ySplit="2685" topLeftCell="A295"/>
      <selection activeCell="E18" sqref="E18"/>
      <selection pane="bottomLeft" activeCell="B316" sqref="B316"/>
    </sheetView>
  </sheetViews>
  <sheetFormatPr defaultColWidth="9.140625" defaultRowHeight="15" x14ac:dyDescent="0.25"/>
  <cols>
    <col min="1" max="1" width="9.28515625" style="13" bestFit="1" customWidth="1"/>
    <col min="2" max="2" width="31.7109375" style="13" customWidth="1"/>
    <col min="3" max="3" width="13" style="13" customWidth="1"/>
    <col min="4" max="4" width="24.28515625" style="13" customWidth="1"/>
    <col min="5" max="5" width="12.5703125" style="13" customWidth="1"/>
    <col min="6" max="6" width="14.140625" style="13" customWidth="1"/>
    <col min="7" max="7" width="15.42578125" style="13" customWidth="1"/>
    <col min="8" max="8" width="14.5703125" style="13" customWidth="1"/>
    <col min="9" max="9" width="14" style="13" hidden="1" customWidth="1"/>
    <col min="10" max="10" width="12.28515625" style="13" hidden="1" customWidth="1"/>
    <col min="11" max="11" width="14" style="13" hidden="1" customWidth="1"/>
    <col min="12" max="12" width="12.28515625" style="13" hidden="1" customWidth="1"/>
    <col min="13" max="13" width="13.7109375" style="13" customWidth="1"/>
    <col min="14" max="14" width="14" style="13" customWidth="1"/>
    <col min="15" max="16" width="14.140625" style="13" customWidth="1"/>
    <col min="17" max="17" width="14.28515625" style="89" customWidth="1"/>
    <col min="18" max="18" width="12.7109375" style="89" customWidth="1"/>
    <col min="19" max="19" width="14.140625" style="13" customWidth="1"/>
    <col min="20" max="20" width="14.85546875" style="13" customWidth="1"/>
    <col min="21" max="21" width="17.42578125" style="141" hidden="1" customWidth="1"/>
    <col min="22" max="28" width="12.7109375" style="13" hidden="1" customWidth="1"/>
    <col min="29" max="29" width="13.7109375" style="13" hidden="1" customWidth="1"/>
    <col min="30" max="30" width="13.28515625" style="13" hidden="1" customWidth="1"/>
    <col min="31" max="31" width="13.7109375" style="13" hidden="1" customWidth="1"/>
    <col min="32" max="32" width="13.28515625" style="13" hidden="1" customWidth="1"/>
    <col min="33" max="34" width="14.140625" style="13" hidden="1" customWidth="1"/>
    <col min="35" max="35" width="22.7109375" style="13" customWidth="1"/>
    <col min="36" max="36" width="11.140625" style="12" bestFit="1" customWidth="1"/>
    <col min="37" max="37" width="9.28515625" style="12" bestFit="1" customWidth="1"/>
    <col min="38" max="38" width="9.140625" style="12"/>
    <col min="39" max="39" width="9.28515625" style="12" bestFit="1" customWidth="1"/>
    <col min="40" max="40" width="9.140625" style="12"/>
    <col min="41" max="41" width="9.28515625" style="12" bestFit="1" customWidth="1"/>
    <col min="42" max="42" width="11" style="12" customWidth="1"/>
    <col min="43" max="43" width="9.28515625" style="12" bestFit="1" customWidth="1"/>
    <col min="44" max="44" width="9.28515625" style="12" customWidth="1"/>
    <col min="45" max="45" width="9.28515625" style="12" bestFit="1" customWidth="1"/>
    <col min="46" max="46" width="9.7109375" style="12" bestFit="1" customWidth="1"/>
    <col min="47" max="47" width="10.7109375" style="12" bestFit="1" customWidth="1"/>
    <col min="48" max="48" width="9.7109375" style="12" bestFit="1" customWidth="1"/>
    <col min="49" max="16384" width="9.140625" style="13"/>
  </cols>
  <sheetData>
    <row r="1" spans="1:48" ht="21.75" customHeight="1" x14ac:dyDescent="0.25">
      <c r="A1" s="1928" t="s">
        <v>0</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1"/>
    </row>
    <row r="2" spans="1:48" ht="45.75" customHeight="1" x14ac:dyDescent="0.25">
      <c r="A2" s="1929" t="s">
        <v>903</v>
      </c>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4"/>
    </row>
    <row r="3" spans="1:48" ht="20.25" customHeight="1" x14ac:dyDescent="0.25">
      <c r="A3" s="1930" t="s">
        <v>1</v>
      </c>
      <c r="B3" s="1930"/>
      <c r="C3" s="1930"/>
      <c r="D3" s="1930"/>
      <c r="E3" s="1930"/>
      <c r="F3" s="1930"/>
      <c r="G3" s="1930"/>
      <c r="H3" s="1930"/>
      <c r="I3" s="1927"/>
      <c r="J3" s="1927"/>
      <c r="K3" s="1927"/>
      <c r="L3" s="1927"/>
      <c r="M3" s="1930"/>
      <c r="N3" s="1930"/>
      <c r="O3" s="1930"/>
      <c r="P3" s="1930"/>
      <c r="Q3" s="1930"/>
      <c r="R3" s="1930"/>
      <c r="S3" s="1930"/>
      <c r="T3" s="1930"/>
      <c r="U3" s="1927"/>
      <c r="V3" s="1927"/>
      <c r="W3" s="1927"/>
      <c r="X3" s="1927"/>
      <c r="Y3" s="1927"/>
      <c r="Z3" s="1927"/>
      <c r="AA3" s="1927"/>
      <c r="AB3" s="1927"/>
      <c r="AC3" s="1927"/>
      <c r="AD3" s="1927"/>
      <c r="AE3" s="1927"/>
      <c r="AF3" s="1927"/>
      <c r="AG3" s="1927"/>
      <c r="AH3" s="1927"/>
      <c r="AI3" s="1930"/>
      <c r="AJ3" s="15"/>
    </row>
    <row r="4" spans="1:48" ht="20.25" hidden="1" customHeight="1" x14ac:dyDescent="0.25">
      <c r="A4" s="1927" t="s">
        <v>2</v>
      </c>
      <c r="B4" s="1927"/>
      <c r="C4" s="1927"/>
      <c r="D4" s="1927"/>
      <c r="E4" s="1927"/>
      <c r="F4" s="1927"/>
      <c r="G4" s="1927"/>
      <c r="H4" s="1927"/>
      <c r="I4" s="1927"/>
      <c r="J4" s="1927"/>
      <c r="K4" s="1927"/>
      <c r="L4" s="1927"/>
      <c r="M4" s="1927"/>
      <c r="N4" s="1927"/>
      <c r="O4" s="1927"/>
      <c r="P4" s="1927"/>
      <c r="Q4" s="1927"/>
      <c r="R4" s="1927"/>
      <c r="S4" s="1927"/>
      <c r="T4" s="1927"/>
      <c r="U4" s="1927"/>
      <c r="V4" s="1927"/>
      <c r="W4" s="1927"/>
      <c r="X4" s="1927"/>
      <c r="Y4" s="1927"/>
      <c r="Z4" s="1927"/>
      <c r="AA4" s="1927"/>
      <c r="AB4" s="1927"/>
      <c r="AC4" s="1927"/>
      <c r="AD4" s="1927"/>
      <c r="AE4" s="1927"/>
      <c r="AF4" s="1927"/>
      <c r="AG4" s="1927"/>
      <c r="AH4" s="1927"/>
      <c r="AI4" s="1927"/>
      <c r="AJ4" s="15"/>
    </row>
    <row r="5" spans="1:48" ht="16.5" hidden="1" x14ac:dyDescent="0.25">
      <c r="A5" s="1927" t="s">
        <v>3</v>
      </c>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5"/>
    </row>
    <row r="6" spans="1:48" ht="16.5" hidden="1" x14ac:dyDescent="0.25">
      <c r="A6" s="1927" t="s">
        <v>4</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5"/>
    </row>
    <row r="7" spans="1:48" ht="19.5" hidden="1" customHeight="1" x14ac:dyDescent="0.25">
      <c r="A7" s="1927" t="s">
        <v>5</v>
      </c>
      <c r="B7" s="1927"/>
      <c r="C7" s="1927"/>
      <c r="D7" s="1927"/>
      <c r="E7" s="1927"/>
      <c r="F7" s="1927"/>
      <c r="G7" s="1927"/>
      <c r="H7" s="1927"/>
      <c r="I7" s="1927"/>
      <c r="J7" s="1927"/>
      <c r="K7" s="1927"/>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5"/>
    </row>
    <row r="8" spans="1:48" ht="16.5" customHeight="1" x14ac:dyDescent="0.25">
      <c r="A8" s="160"/>
      <c r="B8" s="160"/>
      <c r="C8" s="160"/>
      <c r="D8" s="160"/>
      <c r="E8" s="160"/>
      <c r="F8" s="160"/>
      <c r="G8" s="160"/>
      <c r="H8" s="160"/>
      <c r="I8" s="160"/>
      <c r="J8" s="160"/>
      <c r="K8" s="160"/>
      <c r="L8" s="160"/>
      <c r="M8" s="160"/>
      <c r="N8" s="160"/>
      <c r="O8" s="160"/>
      <c r="P8" s="160"/>
      <c r="Q8" s="16"/>
      <c r="R8" s="16"/>
      <c r="S8" s="160"/>
      <c r="T8" s="160"/>
      <c r="U8" s="17"/>
      <c r="V8" s="16"/>
      <c r="W8" s="16"/>
      <c r="X8" s="16"/>
      <c r="Y8" s="16"/>
      <c r="Z8" s="16"/>
      <c r="AA8" s="16"/>
      <c r="AB8" s="16"/>
      <c r="AC8" s="16"/>
      <c r="AD8" s="16"/>
      <c r="AE8" s="16"/>
      <c r="AF8" s="16"/>
      <c r="AG8" s="16"/>
      <c r="AH8" s="16"/>
      <c r="AI8" s="160"/>
      <c r="AJ8" s="15"/>
    </row>
    <row r="9" spans="1:48" ht="16.5" hidden="1" customHeight="1" x14ac:dyDescent="0.25">
      <c r="A9" s="160"/>
      <c r="B9" s="160"/>
      <c r="C9" s="160"/>
      <c r="D9" s="160"/>
      <c r="E9" s="160"/>
      <c r="F9" s="160"/>
      <c r="G9" s="160"/>
      <c r="H9" s="160"/>
      <c r="I9" s="160"/>
      <c r="J9" s="160"/>
      <c r="K9" s="160"/>
      <c r="L9" s="160"/>
      <c r="M9" s="160"/>
      <c r="N9" s="160"/>
      <c r="O9" s="160"/>
      <c r="P9" s="160"/>
      <c r="Q9" s="16"/>
      <c r="R9" s="16"/>
      <c r="S9" s="160"/>
      <c r="T9" s="160"/>
      <c r="U9" s="17"/>
      <c r="V9" s="16"/>
      <c r="W9" s="16"/>
      <c r="X9" s="16"/>
      <c r="Y9" s="16"/>
      <c r="Z9" s="16"/>
      <c r="AA9" s="16"/>
      <c r="AB9" s="16"/>
      <c r="AC9" s="16"/>
      <c r="AD9" s="16"/>
      <c r="AE9" s="16"/>
      <c r="AF9" s="16"/>
      <c r="AG9" s="16"/>
      <c r="AH9" s="16"/>
      <c r="AI9" s="160"/>
      <c r="AJ9" s="15"/>
    </row>
    <row r="10" spans="1:48" ht="18" hidden="1" customHeight="1" x14ac:dyDescent="0.25">
      <c r="A10" s="160"/>
      <c r="B10" s="160"/>
      <c r="C10" s="160"/>
      <c r="D10" s="160"/>
      <c r="E10" s="160"/>
      <c r="F10" s="160"/>
      <c r="G10" s="160"/>
      <c r="H10" s="160"/>
      <c r="I10" s="160"/>
      <c r="J10" s="160"/>
      <c r="K10" s="160"/>
      <c r="L10" s="160"/>
      <c r="M10" s="160"/>
      <c r="N10" s="160"/>
      <c r="O10" s="160"/>
      <c r="P10" s="160"/>
      <c r="Q10" s="16"/>
      <c r="R10" s="16"/>
      <c r="S10" s="160"/>
      <c r="T10" s="160"/>
      <c r="U10" s="17"/>
      <c r="V10" s="16"/>
      <c r="W10" s="16"/>
      <c r="X10" s="16"/>
      <c r="Y10" s="16"/>
      <c r="Z10" s="16"/>
      <c r="AA10" s="16"/>
      <c r="AB10" s="16"/>
      <c r="AC10" s="16"/>
      <c r="AD10" s="16"/>
      <c r="AE10" s="16"/>
      <c r="AF10" s="16"/>
      <c r="AG10" s="16"/>
      <c r="AH10" s="16"/>
      <c r="AI10" s="160"/>
      <c r="AJ10" s="15"/>
    </row>
    <row r="11" spans="1:48" ht="16.5" x14ac:dyDescent="0.25">
      <c r="A11" s="1933" t="s">
        <v>6</v>
      </c>
      <c r="B11" s="1933"/>
      <c r="C11" s="1933"/>
      <c r="D11" s="1933"/>
      <c r="E11" s="1933"/>
      <c r="F11" s="1933"/>
      <c r="G11" s="1933"/>
      <c r="H11" s="1933"/>
      <c r="I11" s="1933"/>
      <c r="J11" s="1933"/>
      <c r="K11" s="1933"/>
      <c r="L11" s="1933"/>
      <c r="M11" s="1933"/>
      <c r="N11" s="1933"/>
      <c r="O11" s="1933"/>
      <c r="P11" s="1933"/>
      <c r="Q11" s="1933"/>
      <c r="R11" s="1933"/>
      <c r="S11" s="1933"/>
      <c r="T11" s="1933"/>
      <c r="U11" s="1933"/>
      <c r="V11" s="1933"/>
      <c r="W11" s="1933"/>
      <c r="X11" s="1933"/>
      <c r="Y11" s="1933"/>
      <c r="Z11" s="1933"/>
      <c r="AA11" s="1933"/>
      <c r="AB11" s="1933"/>
      <c r="AC11" s="1933"/>
      <c r="AD11" s="1933"/>
      <c r="AE11" s="1933"/>
      <c r="AF11" s="1933"/>
      <c r="AG11" s="1933"/>
      <c r="AH11" s="1933"/>
      <c r="AI11" s="1933"/>
      <c r="AJ11" s="15"/>
    </row>
    <row r="12" spans="1:48" ht="36" customHeight="1" x14ac:dyDescent="0.25">
      <c r="A12" s="1934" t="s">
        <v>7</v>
      </c>
      <c r="B12" s="1934" t="s">
        <v>8</v>
      </c>
      <c r="C12" s="1934" t="s">
        <v>9</v>
      </c>
      <c r="D12" s="1934" t="s">
        <v>10</v>
      </c>
      <c r="E12" s="1934" t="s">
        <v>11</v>
      </c>
      <c r="F12" s="1934" t="s">
        <v>12</v>
      </c>
      <c r="G12" s="1934"/>
      <c r="H12" s="1934"/>
      <c r="I12" s="1934" t="s">
        <v>891</v>
      </c>
      <c r="J12" s="1934"/>
      <c r="K12" s="1934" t="s">
        <v>13</v>
      </c>
      <c r="L12" s="1934"/>
      <c r="M12" s="1934" t="s">
        <v>14</v>
      </c>
      <c r="N12" s="1934"/>
      <c r="O12" s="1934" t="s">
        <v>907</v>
      </c>
      <c r="P12" s="1934"/>
      <c r="Q12" s="1931" t="s">
        <v>2080</v>
      </c>
      <c r="R12" s="1931"/>
      <c r="S12" s="1934" t="s">
        <v>2078</v>
      </c>
      <c r="T12" s="1934"/>
      <c r="U12" s="1931" t="s">
        <v>15</v>
      </c>
      <c r="V12" s="1931"/>
      <c r="W12" s="1931" t="s">
        <v>16</v>
      </c>
      <c r="X12" s="1931"/>
      <c r="Y12" s="1931" t="s">
        <v>17</v>
      </c>
      <c r="Z12" s="1931"/>
      <c r="AA12" s="1931" t="s">
        <v>18</v>
      </c>
      <c r="AB12" s="1931"/>
      <c r="AC12" s="1931" t="s">
        <v>19</v>
      </c>
      <c r="AD12" s="1931"/>
      <c r="AE12" s="1931" t="s">
        <v>20</v>
      </c>
      <c r="AF12" s="1931"/>
      <c r="AG12" s="1931" t="s">
        <v>21</v>
      </c>
      <c r="AH12" s="1931"/>
      <c r="AI12" s="1934" t="s">
        <v>904</v>
      </c>
      <c r="AJ12" s="1934" t="s">
        <v>22</v>
      </c>
      <c r="AK12" s="1934" t="s">
        <v>23</v>
      </c>
      <c r="AL12" s="161"/>
      <c r="AM12" s="1934" t="s">
        <v>24</v>
      </c>
      <c r="AN12" s="161"/>
      <c r="AO12" s="1936" t="s">
        <v>25</v>
      </c>
      <c r="AP12" s="1937"/>
      <c r="AQ12" s="1936" t="s">
        <v>26</v>
      </c>
      <c r="AR12" s="1937"/>
      <c r="AS12" s="1936" t="s">
        <v>27</v>
      </c>
      <c r="AT12" s="1937"/>
      <c r="AU12" s="1936" t="s">
        <v>28</v>
      </c>
      <c r="AV12" s="1937"/>
    </row>
    <row r="13" spans="1:48" ht="23.25" customHeight="1" x14ac:dyDescent="0.25">
      <c r="A13" s="1935"/>
      <c r="B13" s="1935"/>
      <c r="C13" s="1935"/>
      <c r="D13" s="1935"/>
      <c r="E13" s="1935"/>
      <c r="F13" s="1935"/>
      <c r="G13" s="1935"/>
      <c r="H13" s="1935"/>
      <c r="I13" s="1935"/>
      <c r="J13" s="1935"/>
      <c r="K13" s="1935"/>
      <c r="L13" s="1935"/>
      <c r="M13" s="1935"/>
      <c r="N13" s="1935"/>
      <c r="O13" s="1935"/>
      <c r="P13" s="1935"/>
      <c r="Q13" s="1932"/>
      <c r="R13" s="1932"/>
      <c r="S13" s="1935"/>
      <c r="T13" s="1935"/>
      <c r="U13" s="1932"/>
      <c r="V13" s="1932"/>
      <c r="W13" s="1932"/>
      <c r="X13" s="1932"/>
      <c r="Y13" s="1932"/>
      <c r="Z13" s="1932"/>
      <c r="AA13" s="1932"/>
      <c r="AB13" s="1932"/>
      <c r="AC13" s="1932"/>
      <c r="AD13" s="1932"/>
      <c r="AE13" s="1932"/>
      <c r="AF13" s="1932"/>
      <c r="AG13" s="1932"/>
      <c r="AH13" s="1932"/>
      <c r="AI13" s="1935"/>
      <c r="AJ13" s="1935"/>
      <c r="AK13" s="1935"/>
      <c r="AL13" s="162"/>
      <c r="AM13" s="1935"/>
      <c r="AN13" s="162"/>
      <c r="AO13" s="1938" t="s">
        <v>29</v>
      </c>
      <c r="AP13" s="1938" t="s">
        <v>30</v>
      </c>
      <c r="AQ13" s="1938" t="s">
        <v>29</v>
      </c>
      <c r="AR13" s="1938" t="s">
        <v>31</v>
      </c>
      <c r="AS13" s="1938" t="s">
        <v>29</v>
      </c>
      <c r="AT13" s="1938" t="s">
        <v>31</v>
      </c>
      <c r="AU13" s="1938" t="s">
        <v>29</v>
      </c>
      <c r="AV13" s="1938" t="s">
        <v>30</v>
      </c>
    </row>
    <row r="14" spans="1:48" ht="21" customHeight="1" x14ac:dyDescent="0.25">
      <c r="A14" s="1935"/>
      <c r="B14" s="1935"/>
      <c r="C14" s="1935"/>
      <c r="D14" s="1935"/>
      <c r="E14" s="1935"/>
      <c r="F14" s="1935" t="s">
        <v>32</v>
      </c>
      <c r="G14" s="1935" t="s">
        <v>33</v>
      </c>
      <c r="H14" s="1935"/>
      <c r="I14" s="1935" t="s">
        <v>34</v>
      </c>
      <c r="J14" s="1935" t="s">
        <v>35</v>
      </c>
      <c r="K14" s="1935" t="s">
        <v>34</v>
      </c>
      <c r="L14" s="1935" t="s">
        <v>35</v>
      </c>
      <c r="M14" s="1935" t="s">
        <v>34</v>
      </c>
      <c r="N14" s="1935" t="s">
        <v>35</v>
      </c>
      <c r="O14" s="1935" t="s">
        <v>34</v>
      </c>
      <c r="P14" s="1935" t="s">
        <v>35</v>
      </c>
      <c r="Q14" s="1932" t="s">
        <v>36</v>
      </c>
      <c r="R14" s="1932" t="s">
        <v>37</v>
      </c>
      <c r="S14" s="1935" t="s">
        <v>34</v>
      </c>
      <c r="T14" s="1935" t="s">
        <v>35</v>
      </c>
      <c r="U14" s="1941" t="s">
        <v>34</v>
      </c>
      <c r="V14" s="1932" t="s">
        <v>35</v>
      </c>
      <c r="W14" s="1932" t="s">
        <v>34</v>
      </c>
      <c r="X14" s="1932" t="s">
        <v>35</v>
      </c>
      <c r="Y14" s="1932" t="s">
        <v>34</v>
      </c>
      <c r="Z14" s="1932" t="s">
        <v>35</v>
      </c>
      <c r="AA14" s="1932" t="s">
        <v>34</v>
      </c>
      <c r="AB14" s="1932" t="s">
        <v>35</v>
      </c>
      <c r="AC14" s="1932" t="s">
        <v>34</v>
      </c>
      <c r="AD14" s="1932" t="s">
        <v>35</v>
      </c>
      <c r="AE14" s="1932" t="s">
        <v>34</v>
      </c>
      <c r="AF14" s="1932" t="s">
        <v>35</v>
      </c>
      <c r="AG14" s="1932" t="s">
        <v>34</v>
      </c>
      <c r="AH14" s="1932" t="s">
        <v>35</v>
      </c>
      <c r="AI14" s="1935"/>
      <c r="AJ14" s="1935"/>
      <c r="AK14" s="1935"/>
      <c r="AL14" s="162"/>
      <c r="AM14" s="1935"/>
      <c r="AN14" s="162"/>
      <c r="AO14" s="1939"/>
      <c r="AP14" s="1939"/>
      <c r="AQ14" s="1939"/>
      <c r="AR14" s="1939"/>
      <c r="AS14" s="1939"/>
      <c r="AT14" s="1939"/>
      <c r="AU14" s="1939"/>
      <c r="AV14" s="1939"/>
    </row>
    <row r="15" spans="1:48" ht="16.5" x14ac:dyDescent="0.25">
      <c r="A15" s="1935"/>
      <c r="B15" s="1935"/>
      <c r="C15" s="1935"/>
      <c r="D15" s="1935"/>
      <c r="E15" s="1935"/>
      <c r="F15" s="1935"/>
      <c r="G15" s="1935" t="s">
        <v>34</v>
      </c>
      <c r="H15" s="1935" t="s">
        <v>35</v>
      </c>
      <c r="I15" s="1935"/>
      <c r="J15" s="1935"/>
      <c r="K15" s="1935"/>
      <c r="L15" s="1935"/>
      <c r="M15" s="1935"/>
      <c r="N15" s="1935"/>
      <c r="O15" s="1935"/>
      <c r="P15" s="1935"/>
      <c r="Q15" s="1932"/>
      <c r="R15" s="1932"/>
      <c r="S15" s="1935"/>
      <c r="T15" s="1935"/>
      <c r="U15" s="1941"/>
      <c r="V15" s="1932"/>
      <c r="W15" s="1932"/>
      <c r="X15" s="1932"/>
      <c r="Y15" s="1932"/>
      <c r="Z15" s="1932"/>
      <c r="AA15" s="1932"/>
      <c r="AB15" s="1932"/>
      <c r="AC15" s="1932"/>
      <c r="AD15" s="1932"/>
      <c r="AE15" s="1932"/>
      <c r="AF15" s="1932"/>
      <c r="AG15" s="1932"/>
      <c r="AH15" s="1932"/>
      <c r="AI15" s="1935"/>
      <c r="AJ15" s="1935"/>
      <c r="AK15" s="1935"/>
      <c r="AL15" s="162"/>
      <c r="AM15" s="1935"/>
      <c r="AN15" s="162"/>
      <c r="AO15" s="1939"/>
      <c r="AP15" s="1939"/>
      <c r="AQ15" s="1939"/>
      <c r="AR15" s="1939"/>
      <c r="AS15" s="1939"/>
      <c r="AT15" s="1939"/>
      <c r="AU15" s="1939"/>
      <c r="AV15" s="1939"/>
    </row>
    <row r="16" spans="1:48" ht="32.25" customHeight="1" x14ac:dyDescent="0.25">
      <c r="A16" s="1935"/>
      <c r="B16" s="1935"/>
      <c r="C16" s="1935"/>
      <c r="D16" s="1935"/>
      <c r="E16" s="1935"/>
      <c r="F16" s="1935"/>
      <c r="G16" s="1935"/>
      <c r="H16" s="1935"/>
      <c r="I16" s="1935"/>
      <c r="J16" s="1935"/>
      <c r="K16" s="1935"/>
      <c r="L16" s="1935"/>
      <c r="M16" s="1935"/>
      <c r="N16" s="1935"/>
      <c r="O16" s="1935"/>
      <c r="P16" s="1935"/>
      <c r="Q16" s="1932"/>
      <c r="R16" s="1932"/>
      <c r="S16" s="1935"/>
      <c r="T16" s="1935"/>
      <c r="U16" s="1941"/>
      <c r="V16" s="1932"/>
      <c r="W16" s="1932"/>
      <c r="X16" s="1932"/>
      <c r="Y16" s="1932"/>
      <c r="Z16" s="1932"/>
      <c r="AA16" s="1932"/>
      <c r="AB16" s="1932"/>
      <c r="AC16" s="1932"/>
      <c r="AD16" s="1932"/>
      <c r="AE16" s="1932"/>
      <c r="AF16" s="1932"/>
      <c r="AG16" s="1932"/>
      <c r="AH16" s="1932"/>
      <c r="AI16" s="1935"/>
      <c r="AJ16" s="1935"/>
      <c r="AK16" s="1935"/>
      <c r="AL16" s="162"/>
      <c r="AM16" s="1935"/>
      <c r="AN16" s="162"/>
      <c r="AO16" s="1940"/>
      <c r="AP16" s="1940"/>
      <c r="AQ16" s="1940"/>
      <c r="AR16" s="1940"/>
      <c r="AS16" s="1940"/>
      <c r="AT16" s="1940"/>
      <c r="AU16" s="1940"/>
      <c r="AV16" s="1940"/>
    </row>
    <row r="17" spans="1:48" ht="15.75" customHeight="1" x14ac:dyDescent="0.25">
      <c r="A17" s="18">
        <v>1</v>
      </c>
      <c r="B17" s="18">
        <v>2</v>
      </c>
      <c r="C17" s="18">
        <v>3</v>
      </c>
      <c r="D17" s="18">
        <v>4</v>
      </c>
      <c r="E17" s="18">
        <v>5</v>
      </c>
      <c r="F17" s="18">
        <v>6</v>
      </c>
      <c r="G17" s="18">
        <v>7</v>
      </c>
      <c r="H17" s="18">
        <v>8</v>
      </c>
      <c r="I17" s="18">
        <v>9</v>
      </c>
      <c r="J17" s="18">
        <v>10</v>
      </c>
      <c r="K17" s="18">
        <v>11</v>
      </c>
      <c r="L17" s="18">
        <v>12</v>
      </c>
      <c r="M17" s="18">
        <v>9</v>
      </c>
      <c r="N17" s="18">
        <v>10</v>
      </c>
      <c r="O17" s="18">
        <v>11</v>
      </c>
      <c r="P17" s="18">
        <v>12</v>
      </c>
      <c r="Q17" s="18">
        <v>13</v>
      </c>
      <c r="R17" s="18">
        <v>14</v>
      </c>
      <c r="S17" s="18">
        <v>15</v>
      </c>
      <c r="T17" s="18">
        <v>16</v>
      </c>
      <c r="U17" s="18">
        <v>15</v>
      </c>
      <c r="V17" s="18">
        <v>16</v>
      </c>
      <c r="W17" s="18">
        <v>17</v>
      </c>
      <c r="X17" s="18">
        <v>18</v>
      </c>
      <c r="Y17" s="18">
        <v>25</v>
      </c>
      <c r="Z17" s="18">
        <v>26</v>
      </c>
      <c r="AA17" s="18">
        <v>25</v>
      </c>
      <c r="AB17" s="18">
        <v>26</v>
      </c>
      <c r="AC17" s="18">
        <v>25</v>
      </c>
      <c r="AD17" s="18">
        <v>26</v>
      </c>
      <c r="AE17" s="18">
        <v>25</v>
      </c>
      <c r="AF17" s="18">
        <v>26</v>
      </c>
      <c r="AG17" s="18">
        <v>25</v>
      </c>
      <c r="AH17" s="18">
        <v>26</v>
      </c>
      <c r="AI17" s="18">
        <v>17</v>
      </c>
      <c r="AJ17" s="19"/>
    </row>
    <row r="18" spans="1:48" ht="22.5" customHeight="1" x14ac:dyDescent="0.25">
      <c r="A18" s="18"/>
      <c r="B18" s="20" t="s">
        <v>38</v>
      </c>
      <c r="C18" s="18"/>
      <c r="D18" s="18"/>
      <c r="E18" s="18"/>
      <c r="F18" s="18"/>
      <c r="G18" s="21">
        <f>G20+G19</f>
        <v>5052698</v>
      </c>
      <c r="H18" s="21">
        <f>H20+H19</f>
        <v>3367359</v>
      </c>
      <c r="I18" s="21">
        <f t="shared" ref="I18:L18" si="0">I20</f>
        <v>718302</v>
      </c>
      <c r="J18" s="21">
        <f t="shared" si="0"/>
        <v>439616</v>
      </c>
      <c r="K18" s="21">
        <f t="shared" si="0"/>
        <v>649288</v>
      </c>
      <c r="L18" s="21">
        <f t="shared" si="0"/>
        <v>439616</v>
      </c>
      <c r="M18" s="21">
        <f t="shared" ref="M18:T18" si="1">M20+M19</f>
        <v>5874949</v>
      </c>
      <c r="N18" s="21">
        <f t="shared" si="1"/>
        <v>2574870</v>
      </c>
      <c r="O18" s="21">
        <f t="shared" si="1"/>
        <v>6080403</v>
      </c>
      <c r="P18" s="21">
        <f t="shared" si="1"/>
        <v>3509440</v>
      </c>
      <c r="Q18" s="21">
        <f t="shared" si="1"/>
        <v>273810</v>
      </c>
      <c r="R18" s="21">
        <f t="shared" si="1"/>
        <v>199742</v>
      </c>
      <c r="S18" s="21">
        <f t="shared" si="1"/>
        <v>2815600</v>
      </c>
      <c r="T18" s="21">
        <f t="shared" si="1"/>
        <v>1399270</v>
      </c>
      <c r="U18" s="21">
        <f t="shared" ref="U18:AH18" si="2">U20+U19</f>
        <v>211949</v>
      </c>
      <c r="V18" s="21">
        <f t="shared" si="2"/>
        <v>211949</v>
      </c>
      <c r="W18" s="21">
        <f t="shared" si="2"/>
        <v>283098</v>
      </c>
      <c r="X18" s="21">
        <f t="shared" si="2"/>
        <v>283098</v>
      </c>
      <c r="Y18" s="21">
        <f t="shared" si="2"/>
        <v>452739</v>
      </c>
      <c r="Z18" s="21">
        <f t="shared" si="2"/>
        <v>412979</v>
      </c>
      <c r="AA18" s="21">
        <f t="shared" si="2"/>
        <v>2136737</v>
      </c>
      <c r="AB18" s="21">
        <f t="shared" si="2"/>
        <v>1827047</v>
      </c>
      <c r="AC18" s="21">
        <f t="shared" si="2"/>
        <v>4592412</v>
      </c>
      <c r="AD18" s="21">
        <f t="shared" si="2"/>
        <v>2320147</v>
      </c>
      <c r="AE18" s="21">
        <f t="shared" si="2"/>
        <v>1798083</v>
      </c>
      <c r="AF18" s="21">
        <f t="shared" si="2"/>
        <v>1798083</v>
      </c>
      <c r="AG18" s="21">
        <f t="shared" si="2"/>
        <v>2354413.2999999998</v>
      </c>
      <c r="AH18" s="21">
        <f t="shared" si="2"/>
        <v>2258566.5999999996</v>
      </c>
      <c r="AI18" s="18"/>
      <c r="AJ18" s="19">
        <f>IF(P18-T18=0,0,1)</f>
        <v>1</v>
      </c>
      <c r="AK18" s="22"/>
      <c r="AL18" s="22"/>
    </row>
    <row r="19" spans="1:48" ht="24" customHeight="1" x14ac:dyDescent="0.25">
      <c r="A19" s="23" t="s">
        <v>39</v>
      </c>
      <c r="B19" s="24" t="s">
        <v>40</v>
      </c>
      <c r="C19" s="25"/>
      <c r="D19" s="25"/>
      <c r="E19" s="25"/>
      <c r="F19" s="25"/>
      <c r="G19" s="26"/>
      <c r="H19" s="26"/>
      <c r="I19" s="26"/>
      <c r="J19" s="26"/>
      <c r="K19" s="26"/>
      <c r="L19" s="26"/>
      <c r="M19" s="26">
        <f>N19</f>
        <v>145000</v>
      </c>
      <c r="N19" s="26">
        <v>145000</v>
      </c>
      <c r="O19" s="26">
        <f>P19</f>
        <v>145000</v>
      </c>
      <c r="P19" s="26">
        <v>145000</v>
      </c>
      <c r="Q19" s="26"/>
      <c r="R19" s="26">
        <v>65000</v>
      </c>
      <c r="S19" s="26">
        <f>T19</f>
        <v>80000</v>
      </c>
      <c r="T19" s="26">
        <f>P19-R19</f>
        <v>80000</v>
      </c>
      <c r="U19" s="26">
        <v>7710</v>
      </c>
      <c r="V19" s="26">
        <v>7710</v>
      </c>
      <c r="W19" s="26">
        <v>50000</v>
      </c>
      <c r="X19" s="26">
        <v>50000</v>
      </c>
      <c r="Y19" s="26">
        <v>50000</v>
      </c>
      <c r="Z19" s="26">
        <v>50000</v>
      </c>
      <c r="AA19" s="26"/>
      <c r="AB19" s="26"/>
      <c r="AC19" s="26"/>
      <c r="AD19" s="26"/>
      <c r="AE19" s="26"/>
      <c r="AF19" s="26"/>
      <c r="AG19" s="26"/>
      <c r="AH19" s="26"/>
      <c r="AI19" s="27"/>
      <c r="AJ19" s="19">
        <f t="shared" ref="AJ19:AJ82" si="3">IF(P19-T19=0,0,1)</f>
        <v>1</v>
      </c>
      <c r="AK19" s="22"/>
      <c r="AL19" s="22"/>
    </row>
    <row r="20" spans="1:48" ht="24" customHeight="1" x14ac:dyDescent="0.25">
      <c r="A20" s="23" t="s">
        <v>41</v>
      </c>
      <c r="B20" s="24" t="s">
        <v>42</v>
      </c>
      <c r="C20" s="25"/>
      <c r="D20" s="25"/>
      <c r="E20" s="25"/>
      <c r="F20" s="25"/>
      <c r="G20" s="26">
        <f t="shared" ref="G20:H20" si="4">G21+G59+G126+G158+G236+G281+G316</f>
        <v>5052698</v>
      </c>
      <c r="H20" s="26">
        <f t="shared" si="4"/>
        <v>3367359</v>
      </c>
      <c r="I20" s="26">
        <f t="shared" ref="I20:AH20" si="5">I21+I59+I126+I158+I194+I219+I236+I281+I316</f>
        <v>718302</v>
      </c>
      <c r="J20" s="26">
        <f t="shared" si="5"/>
        <v>439616</v>
      </c>
      <c r="K20" s="26">
        <f t="shared" si="5"/>
        <v>649288</v>
      </c>
      <c r="L20" s="26">
        <f t="shared" si="5"/>
        <v>439616</v>
      </c>
      <c r="M20" s="26">
        <f t="shared" ref="M20:P20" si="6">M21+M59+M126+M158+M236+M281+M316</f>
        <v>5729949</v>
      </c>
      <c r="N20" s="26">
        <f t="shared" si="6"/>
        <v>2429870</v>
      </c>
      <c r="O20" s="26">
        <f t="shared" si="6"/>
        <v>5935403</v>
      </c>
      <c r="P20" s="26">
        <f t="shared" si="6"/>
        <v>3364440</v>
      </c>
      <c r="Q20" s="26">
        <f>Q21+Q59+Q126+Q158+Q236+Q281+Q316</f>
        <v>273810</v>
      </c>
      <c r="R20" s="26">
        <f t="shared" ref="R20:T20" si="7">R21+R59+R126+R158+R236+R281+R316</f>
        <v>134742</v>
      </c>
      <c r="S20" s="26">
        <f t="shared" si="7"/>
        <v>2735600</v>
      </c>
      <c r="T20" s="26">
        <f t="shared" si="7"/>
        <v>1319270</v>
      </c>
      <c r="U20" s="26">
        <f t="shared" si="5"/>
        <v>204239</v>
      </c>
      <c r="V20" s="26">
        <f t="shared" si="5"/>
        <v>204239</v>
      </c>
      <c r="W20" s="26">
        <f t="shared" si="5"/>
        <v>233098</v>
      </c>
      <c r="X20" s="26">
        <f t="shared" si="5"/>
        <v>233098</v>
      </c>
      <c r="Y20" s="26">
        <f t="shared" si="5"/>
        <v>402739</v>
      </c>
      <c r="Z20" s="26">
        <f t="shared" si="5"/>
        <v>362979</v>
      </c>
      <c r="AA20" s="26">
        <f t="shared" si="5"/>
        <v>2136737</v>
      </c>
      <c r="AB20" s="26">
        <f t="shared" si="5"/>
        <v>1827047</v>
      </c>
      <c r="AC20" s="26">
        <f t="shared" si="5"/>
        <v>4592412</v>
      </c>
      <c r="AD20" s="26">
        <f t="shared" si="5"/>
        <v>2320147</v>
      </c>
      <c r="AE20" s="26">
        <f t="shared" si="5"/>
        <v>1798083</v>
      </c>
      <c r="AF20" s="26">
        <f t="shared" si="5"/>
        <v>1798083</v>
      </c>
      <c r="AG20" s="26">
        <f t="shared" si="5"/>
        <v>2354413.2999999998</v>
      </c>
      <c r="AH20" s="26">
        <f t="shared" si="5"/>
        <v>2258566.5999999996</v>
      </c>
      <c r="AI20" s="27"/>
      <c r="AJ20" s="19">
        <f t="shared" si="3"/>
        <v>1</v>
      </c>
      <c r="AK20" s="22"/>
      <c r="AL20" s="22"/>
    </row>
    <row r="21" spans="1:48" s="34" customFormat="1" ht="24" customHeight="1" x14ac:dyDescent="0.25">
      <c r="A21" s="28" t="s">
        <v>43</v>
      </c>
      <c r="B21" s="29" t="s">
        <v>44</v>
      </c>
      <c r="C21" s="30"/>
      <c r="D21" s="30"/>
      <c r="E21" s="30"/>
      <c r="F21" s="30"/>
      <c r="G21" s="31">
        <f t="shared" ref="G21:L21" si="8">G22+G32</f>
        <v>3835616</v>
      </c>
      <c r="H21" s="31">
        <f t="shared" si="8"/>
        <v>2655576</v>
      </c>
      <c r="I21" s="31">
        <f t="shared" si="8"/>
        <v>531389</v>
      </c>
      <c r="J21" s="31">
        <f t="shared" si="8"/>
        <v>285724</v>
      </c>
      <c r="K21" s="31">
        <f t="shared" si="8"/>
        <v>462375</v>
      </c>
      <c r="L21" s="31">
        <f t="shared" si="8"/>
        <v>285724</v>
      </c>
      <c r="M21" s="31">
        <f t="shared" ref="M21:AH21" si="9">ROUND(M22+M32,0)</f>
        <v>4096630</v>
      </c>
      <c r="N21" s="31">
        <f t="shared" si="9"/>
        <v>1290000</v>
      </c>
      <c r="O21" s="31">
        <f t="shared" si="9"/>
        <v>4004130</v>
      </c>
      <c r="P21" s="31">
        <f t="shared" si="9"/>
        <v>2082000</v>
      </c>
      <c r="Q21" s="31">
        <f t="shared" si="9"/>
        <v>193910</v>
      </c>
      <c r="R21" s="31">
        <f t="shared" si="9"/>
        <v>43700</v>
      </c>
      <c r="S21" s="31">
        <f t="shared" si="9"/>
        <v>2237840</v>
      </c>
      <c r="T21" s="31">
        <f t="shared" si="9"/>
        <v>990210</v>
      </c>
      <c r="U21" s="31">
        <f t="shared" si="9"/>
        <v>13000</v>
      </c>
      <c r="V21" s="31">
        <f t="shared" si="9"/>
        <v>13000</v>
      </c>
      <c r="W21" s="31">
        <f t="shared" si="9"/>
        <v>168243</v>
      </c>
      <c r="X21" s="31">
        <f t="shared" si="9"/>
        <v>168243</v>
      </c>
      <c r="Y21" s="31">
        <f t="shared" si="9"/>
        <v>35000</v>
      </c>
      <c r="Z21" s="31">
        <f t="shared" si="9"/>
        <v>35000</v>
      </c>
      <c r="AA21" s="31">
        <f t="shared" si="9"/>
        <v>783047</v>
      </c>
      <c r="AB21" s="31">
        <f t="shared" si="9"/>
        <v>513117</v>
      </c>
      <c r="AC21" s="31">
        <f t="shared" si="9"/>
        <v>3220579</v>
      </c>
      <c r="AD21" s="31">
        <f t="shared" si="9"/>
        <v>1568379</v>
      </c>
      <c r="AE21" s="31">
        <f t="shared" si="9"/>
        <v>1237700</v>
      </c>
      <c r="AF21" s="31">
        <f t="shared" si="9"/>
        <v>1237700</v>
      </c>
      <c r="AG21" s="31">
        <f t="shared" si="9"/>
        <v>1993129</v>
      </c>
      <c r="AH21" s="31">
        <f t="shared" si="9"/>
        <v>1993129</v>
      </c>
      <c r="AI21" s="32"/>
      <c r="AJ21" s="19">
        <f t="shared" si="3"/>
        <v>1</v>
      </c>
      <c r="AK21" s="22"/>
      <c r="AL21" s="22"/>
      <c r="AM21" s="12"/>
      <c r="AN21" s="12"/>
      <c r="AO21" s="12"/>
      <c r="AP21" s="12"/>
      <c r="AQ21" s="12"/>
      <c r="AR21" s="12"/>
      <c r="AS21" s="12"/>
      <c r="AT21" s="12"/>
      <c r="AU21" s="12"/>
      <c r="AV21" s="33"/>
    </row>
    <row r="22" spans="1:48" s="42" customFormat="1" ht="51.75" hidden="1" x14ac:dyDescent="0.25">
      <c r="A22" s="35" t="s">
        <v>45</v>
      </c>
      <c r="B22" s="36" t="s">
        <v>46</v>
      </c>
      <c r="C22" s="37"/>
      <c r="D22" s="37"/>
      <c r="E22" s="37"/>
      <c r="F22" s="37"/>
      <c r="G22" s="38">
        <f>G23</f>
        <v>2423367</v>
      </c>
      <c r="H22" s="38">
        <f t="shared" ref="H22:AH22" si="10">H23</f>
        <v>1243327</v>
      </c>
      <c r="I22" s="38">
        <f t="shared" si="10"/>
        <v>531389</v>
      </c>
      <c r="J22" s="38">
        <f t="shared" si="10"/>
        <v>285724</v>
      </c>
      <c r="K22" s="38">
        <f t="shared" si="10"/>
        <v>462375</v>
      </c>
      <c r="L22" s="38">
        <f t="shared" si="10"/>
        <v>285724</v>
      </c>
      <c r="M22" s="38">
        <f t="shared" si="10"/>
        <v>1583590.1</v>
      </c>
      <c r="N22" s="38">
        <f t="shared" si="10"/>
        <v>335960.1</v>
      </c>
      <c r="O22" s="38">
        <f t="shared" si="10"/>
        <v>1606090.1</v>
      </c>
      <c r="P22" s="38">
        <f t="shared" si="10"/>
        <v>358460.1</v>
      </c>
      <c r="Q22" s="38">
        <f t="shared" si="10"/>
        <v>0</v>
      </c>
      <c r="R22" s="38">
        <f t="shared" si="10"/>
        <v>0</v>
      </c>
      <c r="S22" s="38">
        <f t="shared" si="10"/>
        <v>1606090.1</v>
      </c>
      <c r="T22" s="38">
        <f t="shared" si="10"/>
        <v>358460.1</v>
      </c>
      <c r="U22" s="38">
        <f t="shared" si="10"/>
        <v>0</v>
      </c>
      <c r="V22" s="38">
        <f t="shared" si="10"/>
        <v>0</v>
      </c>
      <c r="W22" s="38">
        <f t="shared" si="10"/>
        <v>22500</v>
      </c>
      <c r="X22" s="38">
        <f t="shared" si="10"/>
        <v>22500</v>
      </c>
      <c r="Y22" s="38">
        <f t="shared" si="10"/>
        <v>35000</v>
      </c>
      <c r="Z22" s="38">
        <f t="shared" si="10"/>
        <v>35000</v>
      </c>
      <c r="AA22" s="38">
        <f t="shared" si="10"/>
        <v>448900</v>
      </c>
      <c r="AB22" s="38">
        <f t="shared" si="10"/>
        <v>203970</v>
      </c>
      <c r="AC22" s="38">
        <f t="shared" si="10"/>
        <v>1146686.1000000001</v>
      </c>
      <c r="AD22" s="38">
        <f t="shared" si="10"/>
        <v>143986.1</v>
      </c>
      <c r="AE22" s="38">
        <f t="shared" si="10"/>
        <v>0</v>
      </c>
      <c r="AF22" s="38">
        <f t="shared" si="10"/>
        <v>0</v>
      </c>
      <c r="AG22" s="38">
        <f t="shared" si="10"/>
        <v>0</v>
      </c>
      <c r="AH22" s="38">
        <f t="shared" si="10"/>
        <v>0</v>
      </c>
      <c r="AI22" s="40"/>
      <c r="AJ22" s="19">
        <f t="shared" si="3"/>
        <v>0</v>
      </c>
      <c r="AK22" s="22"/>
      <c r="AL22" s="22"/>
      <c r="AM22" s="12"/>
      <c r="AN22" s="12"/>
      <c r="AO22" s="12"/>
      <c r="AP22" s="12"/>
      <c r="AQ22" s="12"/>
      <c r="AR22" s="12"/>
      <c r="AS22" s="12"/>
      <c r="AT22" s="12"/>
      <c r="AU22" s="12"/>
      <c r="AV22" s="41"/>
    </row>
    <row r="23" spans="1:48" s="49" customFormat="1" ht="34.5" hidden="1" x14ac:dyDescent="0.25">
      <c r="A23" s="43" t="s">
        <v>47</v>
      </c>
      <c r="B23" s="44" t="s">
        <v>48</v>
      </c>
      <c r="C23" s="45"/>
      <c r="D23" s="45"/>
      <c r="E23" s="45"/>
      <c r="F23" s="45"/>
      <c r="G23" s="46">
        <f>SUM(G26:G31)</f>
        <v>2423367</v>
      </c>
      <c r="H23" s="46">
        <f t="shared" ref="H23:T23" si="11">SUM(H26:H31)</f>
        <v>1243327</v>
      </c>
      <c r="I23" s="46">
        <f t="shared" si="11"/>
        <v>531389</v>
      </c>
      <c r="J23" s="46">
        <f t="shared" si="11"/>
        <v>285724</v>
      </c>
      <c r="K23" s="46">
        <f t="shared" si="11"/>
        <v>462375</v>
      </c>
      <c r="L23" s="46">
        <f t="shared" si="11"/>
        <v>285724</v>
      </c>
      <c r="M23" s="46">
        <f t="shared" si="11"/>
        <v>1583590.1</v>
      </c>
      <c r="N23" s="46">
        <f t="shared" si="11"/>
        <v>335960.1</v>
      </c>
      <c r="O23" s="46">
        <f t="shared" si="11"/>
        <v>1606090.1</v>
      </c>
      <c r="P23" s="46">
        <f t="shared" si="11"/>
        <v>358460.1</v>
      </c>
      <c r="Q23" s="46">
        <f t="shared" si="11"/>
        <v>0</v>
      </c>
      <c r="R23" s="46">
        <f t="shared" si="11"/>
        <v>0</v>
      </c>
      <c r="S23" s="46">
        <f t="shared" si="11"/>
        <v>1606090.1</v>
      </c>
      <c r="T23" s="46">
        <f t="shared" si="11"/>
        <v>358460.1</v>
      </c>
      <c r="U23" s="46">
        <f t="shared" ref="U23:X23" si="12">U31</f>
        <v>0</v>
      </c>
      <c r="V23" s="46">
        <f t="shared" si="12"/>
        <v>0</v>
      </c>
      <c r="W23" s="46">
        <f t="shared" si="12"/>
        <v>22500</v>
      </c>
      <c r="X23" s="46">
        <f t="shared" si="12"/>
        <v>22500</v>
      </c>
      <c r="Y23" s="46">
        <f t="shared" ref="Y23:AH23" si="13">SUM(Y25:Y30)</f>
        <v>35000</v>
      </c>
      <c r="Z23" s="46">
        <f t="shared" si="13"/>
        <v>35000</v>
      </c>
      <c r="AA23" s="46">
        <f t="shared" si="13"/>
        <v>448900</v>
      </c>
      <c r="AB23" s="46">
        <f t="shared" si="13"/>
        <v>203970</v>
      </c>
      <c r="AC23" s="46">
        <f t="shared" si="13"/>
        <v>1146686.1000000001</v>
      </c>
      <c r="AD23" s="46">
        <f t="shared" si="13"/>
        <v>143986.1</v>
      </c>
      <c r="AE23" s="46">
        <f t="shared" si="13"/>
        <v>0</v>
      </c>
      <c r="AF23" s="46">
        <f t="shared" si="13"/>
        <v>0</v>
      </c>
      <c r="AG23" s="46">
        <f t="shared" si="13"/>
        <v>0</v>
      </c>
      <c r="AH23" s="46">
        <f t="shared" si="13"/>
        <v>0</v>
      </c>
      <c r="AI23" s="47"/>
      <c r="AJ23" s="19">
        <f t="shared" si="3"/>
        <v>0</v>
      </c>
      <c r="AK23" s="22"/>
      <c r="AL23" s="22"/>
      <c r="AM23" s="12"/>
      <c r="AN23" s="12"/>
      <c r="AO23" s="12"/>
      <c r="AP23" s="12"/>
      <c r="AQ23" s="12"/>
      <c r="AR23" s="12"/>
      <c r="AS23" s="12"/>
      <c r="AT23" s="12"/>
      <c r="AU23" s="12"/>
      <c r="AV23" s="48"/>
    </row>
    <row r="24" spans="1:48" ht="17.25" hidden="1" x14ac:dyDescent="0.25">
      <c r="A24" s="50"/>
      <c r="B24" s="51" t="s">
        <v>49</v>
      </c>
      <c r="C24" s="52"/>
      <c r="D24" s="52"/>
      <c r="E24" s="52"/>
      <c r="F24" s="52"/>
      <c r="G24" s="53"/>
      <c r="H24" s="53"/>
      <c r="I24" s="53"/>
      <c r="J24" s="53"/>
      <c r="K24" s="53"/>
      <c r="L24" s="53"/>
      <c r="M24" s="53"/>
      <c r="N24" s="53"/>
      <c r="O24" s="53"/>
      <c r="P24" s="53"/>
      <c r="Q24" s="54"/>
      <c r="R24" s="54"/>
      <c r="S24" s="53"/>
      <c r="T24" s="53"/>
      <c r="U24" s="53"/>
      <c r="V24" s="53"/>
      <c r="W24" s="53"/>
      <c r="X24" s="53"/>
      <c r="Y24" s="53"/>
      <c r="Z24" s="53"/>
      <c r="AA24" s="53"/>
      <c r="AB24" s="53"/>
      <c r="AC24" s="53"/>
      <c r="AD24" s="53"/>
      <c r="AE24" s="53"/>
      <c r="AF24" s="53"/>
      <c r="AG24" s="53"/>
      <c r="AH24" s="53"/>
      <c r="AI24" s="55"/>
      <c r="AJ24" s="19">
        <f t="shared" si="3"/>
        <v>0</v>
      </c>
      <c r="AK24" s="22"/>
      <c r="AL24" s="22"/>
    </row>
    <row r="25" spans="1:48" ht="69" hidden="1" x14ac:dyDescent="0.25">
      <c r="A25" s="50"/>
      <c r="B25" s="56" t="s">
        <v>50</v>
      </c>
      <c r="C25" s="57"/>
      <c r="D25" s="57"/>
      <c r="E25" s="57"/>
      <c r="F25" s="57"/>
      <c r="G25" s="58"/>
      <c r="H25" s="58"/>
      <c r="I25" s="58"/>
      <c r="J25" s="58"/>
      <c r="K25" s="58"/>
      <c r="L25" s="58"/>
      <c r="M25" s="58"/>
      <c r="N25" s="58"/>
      <c r="O25" s="58"/>
      <c r="P25" s="58"/>
      <c r="Q25" s="54"/>
      <c r="R25" s="54"/>
      <c r="S25" s="58"/>
      <c r="T25" s="58"/>
      <c r="U25" s="58"/>
      <c r="V25" s="58"/>
      <c r="W25" s="58"/>
      <c r="X25" s="58"/>
      <c r="Y25" s="58"/>
      <c r="Z25" s="58"/>
      <c r="AA25" s="58"/>
      <c r="AB25" s="58"/>
      <c r="AC25" s="58"/>
      <c r="AD25" s="58"/>
      <c r="AE25" s="58"/>
      <c r="AF25" s="58"/>
      <c r="AG25" s="58"/>
      <c r="AH25" s="58"/>
      <c r="AI25" s="59"/>
      <c r="AJ25" s="19">
        <f t="shared" si="3"/>
        <v>0</v>
      </c>
      <c r="AK25" s="22"/>
      <c r="AL25" s="22"/>
    </row>
    <row r="26" spans="1:48" ht="49.5" hidden="1" x14ac:dyDescent="0.25">
      <c r="A26" s="60">
        <v>1</v>
      </c>
      <c r="B26" s="9" t="s">
        <v>51</v>
      </c>
      <c r="C26" s="61" t="s">
        <v>52</v>
      </c>
      <c r="D26" s="61" t="s">
        <v>53</v>
      </c>
      <c r="E26" s="61" t="s">
        <v>54</v>
      </c>
      <c r="F26" s="61" t="s">
        <v>55</v>
      </c>
      <c r="G26" s="62">
        <v>372000</v>
      </c>
      <c r="H26" s="62">
        <f>G26</f>
        <v>372000</v>
      </c>
      <c r="I26" s="63">
        <v>127000</v>
      </c>
      <c r="J26" s="63">
        <f>I26</f>
        <v>127000</v>
      </c>
      <c r="K26" s="63">
        <v>127000</v>
      </c>
      <c r="L26" s="63">
        <f>K26</f>
        <v>127000</v>
      </c>
      <c r="M26" s="63">
        <f>N26</f>
        <v>73000</v>
      </c>
      <c r="N26" s="63">
        <v>73000</v>
      </c>
      <c r="O26" s="63">
        <f>P26</f>
        <v>73000</v>
      </c>
      <c r="P26" s="63">
        <v>73000</v>
      </c>
      <c r="Q26" s="54"/>
      <c r="R26" s="54"/>
      <c r="S26" s="63">
        <f>T26</f>
        <v>73000</v>
      </c>
      <c r="T26" s="63">
        <v>73000</v>
      </c>
      <c r="U26" s="63">
        <v>60000</v>
      </c>
      <c r="V26" s="63">
        <v>60000</v>
      </c>
      <c r="W26" s="63"/>
      <c r="X26" s="63"/>
      <c r="Y26" s="63"/>
      <c r="Z26" s="63"/>
      <c r="AA26" s="63">
        <f>U26+W26+Y26</f>
        <v>60000</v>
      </c>
      <c r="AB26" s="63">
        <f>V26+X26+Z26</f>
        <v>60000</v>
      </c>
      <c r="AC26" s="63">
        <f>O26-AA26</f>
        <v>13000</v>
      </c>
      <c r="AD26" s="63">
        <f>P26-AB26</f>
        <v>13000</v>
      </c>
      <c r="AE26" s="63">
        <f>AF26</f>
        <v>0</v>
      </c>
      <c r="AF26" s="63">
        <f>IF(AB26=0,AD26,0)</f>
        <v>0</v>
      </c>
      <c r="AG26" s="63"/>
      <c r="AH26" s="63"/>
      <c r="AI26" s="27"/>
      <c r="AJ26" s="19">
        <f t="shared" si="3"/>
        <v>0</v>
      </c>
      <c r="AK26" s="22">
        <f t="shared" ref="AK26:AK91" si="14">AJ26</f>
        <v>0</v>
      </c>
      <c r="AL26" s="22"/>
      <c r="AM26" s="12">
        <f>IF(AJ26=0,1,0)</f>
        <v>1</v>
      </c>
      <c r="AO26" s="12">
        <f>IF(P26=0,1,0)</f>
        <v>0</v>
      </c>
      <c r="AP26" s="12">
        <f t="shared" ref="AP26:AP64" si="15">IF(AO26=1,N26,0)</f>
        <v>0</v>
      </c>
      <c r="AQ26" s="12">
        <f>IF(N26=0,1,0)</f>
        <v>0</v>
      </c>
      <c r="AR26" s="12">
        <f t="shared" ref="AR26:AR64" si="16">IF(AQ26=1,P26,0)</f>
        <v>0</v>
      </c>
      <c r="AS26" s="12">
        <f>IF(Q26=0,0,1)</f>
        <v>0</v>
      </c>
      <c r="AT26" s="12">
        <f>IF(AS26=1,Q26,0)</f>
        <v>0</v>
      </c>
      <c r="AU26" s="12">
        <f>IF(R26=0,0,1)</f>
        <v>0</v>
      </c>
      <c r="AV26" s="12">
        <f>IF(AU26=1,R26,0)</f>
        <v>0</v>
      </c>
    </row>
    <row r="27" spans="1:48" ht="49.5" hidden="1" x14ac:dyDescent="0.25">
      <c r="A27" s="64" t="s">
        <v>56</v>
      </c>
      <c r="B27" s="9" t="s">
        <v>57</v>
      </c>
      <c r="C27" s="61" t="s">
        <v>58</v>
      </c>
      <c r="D27" s="65" t="s">
        <v>59</v>
      </c>
      <c r="E27" s="61" t="s">
        <v>60</v>
      </c>
      <c r="F27" s="61" t="s">
        <v>61</v>
      </c>
      <c r="G27" s="62">
        <v>528848</v>
      </c>
      <c r="H27" s="62">
        <f>G27-210000</f>
        <v>318848</v>
      </c>
      <c r="I27" s="63">
        <v>18700</v>
      </c>
      <c r="J27" s="5"/>
      <c r="K27" s="63">
        <v>18700</v>
      </c>
      <c r="L27" s="5"/>
      <c r="M27" s="63">
        <v>450000</v>
      </c>
      <c r="N27" s="63">
        <v>173000</v>
      </c>
      <c r="O27" s="63">
        <v>450000</v>
      </c>
      <c r="P27" s="63">
        <v>173000</v>
      </c>
      <c r="Q27" s="54"/>
      <c r="R27" s="54"/>
      <c r="S27" s="63">
        <v>450000</v>
      </c>
      <c r="T27" s="63">
        <v>173000</v>
      </c>
      <c r="U27" s="63">
        <v>113700</v>
      </c>
      <c r="V27" s="63">
        <v>16000</v>
      </c>
      <c r="W27" s="5">
        <v>92230</v>
      </c>
      <c r="X27" s="5">
        <v>50000</v>
      </c>
      <c r="Y27" s="5"/>
      <c r="Z27" s="5"/>
      <c r="AA27" s="63">
        <f t="shared" ref="AA27:AB30" si="17">U27+W27+Y27</f>
        <v>205930</v>
      </c>
      <c r="AB27" s="63">
        <f t="shared" si="17"/>
        <v>66000</v>
      </c>
      <c r="AC27" s="63">
        <f>O27-AA27</f>
        <v>244070</v>
      </c>
      <c r="AD27" s="63">
        <f>P27-AB27</f>
        <v>107000</v>
      </c>
      <c r="AE27" s="63">
        <f t="shared" ref="AE27:AE30" si="18">AF27</f>
        <v>0</v>
      </c>
      <c r="AF27" s="63">
        <f t="shared" ref="AF27:AF30" si="19">IF(AB27=0,AD27,0)</f>
        <v>0</v>
      </c>
      <c r="AG27" s="5"/>
      <c r="AH27" s="5"/>
      <c r="AI27" s="66" t="s">
        <v>62</v>
      </c>
      <c r="AJ27" s="19">
        <f t="shared" si="3"/>
        <v>0</v>
      </c>
      <c r="AK27" s="22">
        <f t="shared" si="14"/>
        <v>0</v>
      </c>
      <c r="AL27" s="22"/>
      <c r="AM27" s="12">
        <f>IF(AJ27=0,1,0)</f>
        <v>1</v>
      </c>
      <c r="AO27" s="12">
        <f>IF(P27=0,1,0)</f>
        <v>0</v>
      </c>
      <c r="AP27" s="12">
        <f t="shared" si="15"/>
        <v>0</v>
      </c>
      <c r="AQ27" s="12">
        <f>IF(N27=0,1,0)</f>
        <v>0</v>
      </c>
      <c r="AR27" s="12">
        <f t="shared" si="16"/>
        <v>0</v>
      </c>
      <c r="AS27" s="12">
        <f>IF(Q27=0,0,1)</f>
        <v>0</v>
      </c>
      <c r="AT27" s="12">
        <f t="shared" ref="AT27:AT93" si="20">IF(AS27=1,Q27,0)</f>
        <v>0</v>
      </c>
      <c r="AU27" s="12">
        <f>IF(R27=0,0,1)</f>
        <v>0</v>
      </c>
      <c r="AV27" s="12">
        <f t="shared" ref="AV27:AV93" si="21">IF(AU27=1,R27,0)</f>
        <v>0</v>
      </c>
    </row>
    <row r="28" spans="1:48" ht="49.5" hidden="1" x14ac:dyDescent="0.25">
      <c r="A28" s="60">
        <v>3</v>
      </c>
      <c r="B28" s="9" t="s">
        <v>63</v>
      </c>
      <c r="C28" s="61" t="s">
        <v>64</v>
      </c>
      <c r="D28" s="61" t="s">
        <v>65</v>
      </c>
      <c r="E28" s="61" t="s">
        <v>66</v>
      </c>
      <c r="F28" s="61" t="s">
        <v>67</v>
      </c>
      <c r="G28" s="62">
        <v>311027</v>
      </c>
      <c r="H28" s="62">
        <f>G28-108000</f>
        <v>203027</v>
      </c>
      <c r="I28" s="63">
        <v>106965</v>
      </c>
      <c r="J28" s="63">
        <v>3000</v>
      </c>
      <c r="K28" s="63">
        <v>106965</v>
      </c>
      <c r="L28" s="63">
        <v>3000</v>
      </c>
      <c r="M28" s="63">
        <f>N28+105000</f>
        <v>132000</v>
      </c>
      <c r="N28" s="63">
        <v>27000</v>
      </c>
      <c r="O28" s="63">
        <f>P28+105000</f>
        <v>132000</v>
      </c>
      <c r="P28" s="63">
        <v>27000</v>
      </c>
      <c r="Q28" s="54"/>
      <c r="R28" s="54"/>
      <c r="S28" s="63">
        <f>T28+105000</f>
        <v>132000</v>
      </c>
      <c r="T28" s="63">
        <v>27000</v>
      </c>
      <c r="U28" s="63">
        <v>105000</v>
      </c>
      <c r="V28" s="63"/>
      <c r="W28" s="63">
        <f>X28</f>
        <v>38996</v>
      </c>
      <c r="X28" s="63">
        <v>38996</v>
      </c>
      <c r="Y28" s="63"/>
      <c r="Z28" s="63"/>
      <c r="AA28" s="63">
        <f t="shared" si="17"/>
        <v>143996</v>
      </c>
      <c r="AB28" s="63">
        <f t="shared" si="17"/>
        <v>38996</v>
      </c>
      <c r="AC28" s="63"/>
      <c r="AD28" s="63"/>
      <c r="AE28" s="63">
        <f t="shared" si="18"/>
        <v>0</v>
      </c>
      <c r="AF28" s="63">
        <f t="shared" si="19"/>
        <v>0</v>
      </c>
      <c r="AG28" s="63"/>
      <c r="AH28" s="63"/>
      <c r="AI28" s="66" t="s">
        <v>68</v>
      </c>
      <c r="AJ28" s="19">
        <f t="shared" si="3"/>
        <v>0</v>
      </c>
      <c r="AK28" s="22">
        <f t="shared" si="14"/>
        <v>0</v>
      </c>
      <c r="AL28" s="22"/>
      <c r="AM28" s="12">
        <f>IF(AJ28=0,1,0)</f>
        <v>1</v>
      </c>
      <c r="AO28" s="12">
        <f>IF(P28=0,1,0)</f>
        <v>0</v>
      </c>
      <c r="AP28" s="12">
        <f t="shared" si="15"/>
        <v>0</v>
      </c>
      <c r="AQ28" s="12">
        <f>IF(N28=0,1,0)</f>
        <v>0</v>
      </c>
      <c r="AR28" s="12">
        <f t="shared" si="16"/>
        <v>0</v>
      </c>
      <c r="AS28" s="12">
        <f>IF(Q28=0,0,1)</f>
        <v>0</v>
      </c>
      <c r="AT28" s="12">
        <f t="shared" si="20"/>
        <v>0</v>
      </c>
      <c r="AU28" s="12">
        <f>IF(R28=0,0,1)</f>
        <v>0</v>
      </c>
      <c r="AV28" s="12">
        <f t="shared" si="21"/>
        <v>0</v>
      </c>
    </row>
    <row r="29" spans="1:48" ht="99" hidden="1" x14ac:dyDescent="0.25">
      <c r="A29" s="60">
        <v>4</v>
      </c>
      <c r="B29" s="67" t="s">
        <v>69</v>
      </c>
      <c r="C29" s="61" t="s">
        <v>70</v>
      </c>
      <c r="D29" s="61" t="s">
        <v>71</v>
      </c>
      <c r="E29" s="61" t="s">
        <v>72</v>
      </c>
      <c r="F29" s="61" t="s">
        <v>73</v>
      </c>
      <c r="G29" s="68">
        <v>34839</v>
      </c>
      <c r="H29" s="68">
        <f>G29</f>
        <v>34839</v>
      </c>
      <c r="I29" s="63">
        <f>J29</f>
        <v>15095</v>
      </c>
      <c r="J29" s="63">
        <v>15095</v>
      </c>
      <c r="K29" s="63">
        <f>L29</f>
        <v>15095</v>
      </c>
      <c r="L29" s="63">
        <f>J29</f>
        <v>15095</v>
      </c>
      <c r="M29" s="63">
        <f>N29</f>
        <v>16260.100000000002</v>
      </c>
      <c r="N29" s="63">
        <v>16260.100000000002</v>
      </c>
      <c r="O29" s="63">
        <f>P29</f>
        <v>16260.100000000002</v>
      </c>
      <c r="P29" s="63">
        <v>16260.100000000002</v>
      </c>
      <c r="Q29" s="54"/>
      <c r="R29" s="54"/>
      <c r="S29" s="63">
        <f>T29</f>
        <v>16260.100000000002</v>
      </c>
      <c r="T29" s="63">
        <v>16260.100000000002</v>
      </c>
      <c r="U29" s="63">
        <v>3000</v>
      </c>
      <c r="V29" s="63">
        <v>3000</v>
      </c>
      <c r="W29" s="63">
        <f>X29</f>
        <v>974</v>
      </c>
      <c r="X29" s="63">
        <v>974</v>
      </c>
      <c r="Y29" s="63"/>
      <c r="Z29" s="63"/>
      <c r="AA29" s="63">
        <f t="shared" si="17"/>
        <v>3974</v>
      </c>
      <c r="AB29" s="63">
        <f t="shared" si="17"/>
        <v>3974</v>
      </c>
      <c r="AC29" s="63">
        <f t="shared" ref="AC29:AD31" si="22">O29-AA29</f>
        <v>12286.100000000002</v>
      </c>
      <c r="AD29" s="63">
        <f t="shared" si="22"/>
        <v>12286.100000000002</v>
      </c>
      <c r="AE29" s="63">
        <f t="shared" si="18"/>
        <v>0</v>
      </c>
      <c r="AF29" s="63">
        <f t="shared" si="19"/>
        <v>0</v>
      </c>
      <c r="AG29" s="63"/>
      <c r="AH29" s="63"/>
      <c r="AI29" s="69"/>
      <c r="AJ29" s="19">
        <f t="shared" si="3"/>
        <v>0</v>
      </c>
      <c r="AK29" s="22">
        <f t="shared" si="14"/>
        <v>0</v>
      </c>
      <c r="AL29" s="22"/>
      <c r="AM29" s="12">
        <f>IF(AJ29=0,1,0)</f>
        <v>1</v>
      </c>
      <c r="AO29" s="12">
        <f>IF(P29=0,1,0)</f>
        <v>0</v>
      </c>
      <c r="AP29" s="12">
        <f t="shared" si="15"/>
        <v>0</v>
      </c>
      <c r="AQ29" s="12">
        <f>IF(N29=0,1,0)</f>
        <v>0</v>
      </c>
      <c r="AR29" s="12">
        <f t="shared" si="16"/>
        <v>0</v>
      </c>
      <c r="AS29" s="12">
        <f>IF(Q29=0,0,1)</f>
        <v>0</v>
      </c>
      <c r="AT29" s="12">
        <f t="shared" si="20"/>
        <v>0</v>
      </c>
      <c r="AU29" s="12">
        <f>IF(R29=0,0,1)</f>
        <v>0</v>
      </c>
      <c r="AV29" s="12">
        <f t="shared" si="21"/>
        <v>0</v>
      </c>
    </row>
    <row r="30" spans="1:48" ht="66" hidden="1" x14ac:dyDescent="0.25">
      <c r="A30" s="60">
        <v>5</v>
      </c>
      <c r="B30" s="67" t="s">
        <v>74</v>
      </c>
      <c r="C30" s="61" t="s">
        <v>75</v>
      </c>
      <c r="D30" s="61" t="s">
        <v>76</v>
      </c>
      <c r="E30" s="70" t="s">
        <v>77</v>
      </c>
      <c r="F30" s="61" t="s">
        <v>78</v>
      </c>
      <c r="G30" s="68">
        <v>945665</v>
      </c>
      <c r="H30" s="68">
        <v>107625</v>
      </c>
      <c r="I30" s="71">
        <v>102348</v>
      </c>
      <c r="J30" s="63">
        <v>3348</v>
      </c>
      <c r="K30" s="63">
        <v>33334</v>
      </c>
      <c r="L30" s="63">
        <v>3348</v>
      </c>
      <c r="M30" s="63">
        <v>912330</v>
      </c>
      <c r="N30" s="63">
        <v>46700</v>
      </c>
      <c r="O30" s="63">
        <v>912330</v>
      </c>
      <c r="P30" s="63">
        <v>46700</v>
      </c>
      <c r="Q30" s="54"/>
      <c r="R30" s="54"/>
      <c r="S30" s="63">
        <v>912330</v>
      </c>
      <c r="T30" s="63">
        <v>46700</v>
      </c>
      <c r="U30" s="63"/>
      <c r="V30" s="63"/>
      <c r="W30" s="63">
        <f>X30</f>
        <v>0</v>
      </c>
      <c r="X30" s="63"/>
      <c r="Y30" s="63">
        <f>Z30</f>
        <v>35000</v>
      </c>
      <c r="Z30" s="63">
        <v>35000</v>
      </c>
      <c r="AA30" s="63">
        <f t="shared" si="17"/>
        <v>35000</v>
      </c>
      <c r="AB30" s="63">
        <f t="shared" si="17"/>
        <v>35000</v>
      </c>
      <c r="AC30" s="63">
        <f t="shared" si="22"/>
        <v>877330</v>
      </c>
      <c r="AD30" s="63">
        <f t="shared" si="22"/>
        <v>11700</v>
      </c>
      <c r="AE30" s="63">
        <f t="shared" si="18"/>
        <v>0</v>
      </c>
      <c r="AF30" s="63">
        <f t="shared" si="19"/>
        <v>0</v>
      </c>
      <c r="AG30" s="63"/>
      <c r="AH30" s="63"/>
      <c r="AI30" s="25" t="s">
        <v>79</v>
      </c>
      <c r="AJ30" s="19">
        <f t="shared" si="3"/>
        <v>0</v>
      </c>
      <c r="AK30" s="22">
        <f t="shared" si="14"/>
        <v>0</v>
      </c>
      <c r="AL30" s="22"/>
      <c r="AM30" s="12">
        <f>IF(AJ30=0,1,0)</f>
        <v>1</v>
      </c>
      <c r="AO30" s="12">
        <f>IF(P30=0,1,0)</f>
        <v>0</v>
      </c>
      <c r="AP30" s="12">
        <f t="shared" si="15"/>
        <v>0</v>
      </c>
      <c r="AQ30" s="12">
        <f>IF(N30=0,1,0)</f>
        <v>0</v>
      </c>
      <c r="AR30" s="12">
        <f t="shared" si="16"/>
        <v>0</v>
      </c>
      <c r="AS30" s="12">
        <f>IF(Q30=0,0,1)</f>
        <v>0</v>
      </c>
      <c r="AT30" s="12">
        <f t="shared" si="20"/>
        <v>0</v>
      </c>
      <c r="AU30" s="12">
        <f>IF(R30=0,0,1)</f>
        <v>0</v>
      </c>
      <c r="AV30" s="12">
        <f t="shared" si="21"/>
        <v>0</v>
      </c>
    </row>
    <row r="31" spans="1:48" ht="99" hidden="1" x14ac:dyDescent="0.25">
      <c r="A31" s="60">
        <v>6</v>
      </c>
      <c r="B31" s="67" t="s">
        <v>80</v>
      </c>
      <c r="C31" s="61" t="s">
        <v>70</v>
      </c>
      <c r="D31" s="61" t="s">
        <v>81</v>
      </c>
      <c r="E31" s="61" t="s">
        <v>82</v>
      </c>
      <c r="F31" s="61" t="s">
        <v>83</v>
      </c>
      <c r="G31" s="68">
        <v>230988</v>
      </c>
      <c r="H31" s="68">
        <f>G31-24000</f>
        <v>206988</v>
      </c>
      <c r="I31" s="63">
        <f>J31+24000</f>
        <v>161281</v>
      </c>
      <c r="J31" s="63">
        <v>137281</v>
      </c>
      <c r="K31" s="63">
        <f>I31</f>
        <v>161281</v>
      </c>
      <c r="L31" s="63">
        <f>J31</f>
        <v>137281</v>
      </c>
      <c r="M31" s="63"/>
      <c r="N31" s="63"/>
      <c r="O31" s="63">
        <f>P31</f>
        <v>22500</v>
      </c>
      <c r="P31" s="63">
        <v>22500</v>
      </c>
      <c r="Q31" s="63"/>
      <c r="R31" s="54"/>
      <c r="S31" s="63">
        <f>T31</f>
        <v>22500</v>
      </c>
      <c r="T31" s="63">
        <v>22500</v>
      </c>
      <c r="U31" s="63"/>
      <c r="V31" s="63"/>
      <c r="W31" s="63">
        <f>X31</f>
        <v>22500</v>
      </c>
      <c r="X31" s="63">
        <v>22500</v>
      </c>
      <c r="Y31" s="63"/>
      <c r="Z31" s="63"/>
      <c r="AA31" s="63">
        <f>U31+W31+Y31</f>
        <v>22500</v>
      </c>
      <c r="AB31" s="63">
        <f>V31+X31+Z31</f>
        <v>22500</v>
      </c>
      <c r="AC31" s="63">
        <f t="shared" si="22"/>
        <v>0</v>
      </c>
      <c r="AD31" s="63">
        <f t="shared" si="22"/>
        <v>0</v>
      </c>
      <c r="AE31" s="63">
        <f>AF31</f>
        <v>0</v>
      </c>
      <c r="AF31" s="63">
        <f>IF(AB31=0,AD31,0)</f>
        <v>0</v>
      </c>
      <c r="AG31" s="63"/>
      <c r="AH31" s="63"/>
      <c r="AI31" s="25" t="s">
        <v>84</v>
      </c>
      <c r="AJ31" s="19">
        <f t="shared" si="3"/>
        <v>0</v>
      </c>
      <c r="AK31" s="22">
        <f>AJ31</f>
        <v>0</v>
      </c>
      <c r="AL31" s="22"/>
      <c r="AM31" s="12">
        <f t="shared" ref="AM31" si="23">IF(AJ31=0,1,0)</f>
        <v>1</v>
      </c>
      <c r="AO31" s="12">
        <f t="shared" ref="AO31" si="24">IF(P31=0,1,0)</f>
        <v>0</v>
      </c>
      <c r="AP31" s="12">
        <f t="shared" si="15"/>
        <v>0</v>
      </c>
      <c r="AQ31" s="12">
        <f t="shared" ref="AQ31" si="25">IF(N31=0,1,0)</f>
        <v>1</v>
      </c>
      <c r="AR31" s="12">
        <f t="shared" si="16"/>
        <v>22500</v>
      </c>
      <c r="AS31" s="12">
        <f t="shared" ref="AS31" si="26">IF(Q31=0,0,1)</f>
        <v>0</v>
      </c>
      <c r="AT31" s="12">
        <f>IF(AS31=1,Q31,0)</f>
        <v>0</v>
      </c>
      <c r="AU31" s="12">
        <f t="shared" ref="AU31" si="27">IF(R31=0,0,1)</f>
        <v>0</v>
      </c>
      <c r="AV31" s="12">
        <f>IF(AU31=1,R31,0)</f>
        <v>0</v>
      </c>
    </row>
    <row r="32" spans="1:48" s="42" customFormat="1" ht="34.5" x14ac:dyDescent="0.25">
      <c r="A32" s="35" t="s">
        <v>85</v>
      </c>
      <c r="B32" s="36" t="s">
        <v>86</v>
      </c>
      <c r="C32" s="37"/>
      <c r="D32" s="37"/>
      <c r="E32" s="37"/>
      <c r="F32" s="37"/>
      <c r="G32" s="38">
        <f>G33+G46</f>
        <v>1412249</v>
      </c>
      <c r="H32" s="38">
        <f>H33+H46</f>
        <v>1412249</v>
      </c>
      <c r="I32" s="38"/>
      <c r="J32" s="38"/>
      <c r="K32" s="38"/>
      <c r="L32" s="38"/>
      <c r="M32" s="38">
        <f t="shared" ref="M32:AH32" si="28">M33+M46</f>
        <v>2513040</v>
      </c>
      <c r="N32" s="38">
        <f t="shared" si="28"/>
        <v>954040</v>
      </c>
      <c r="O32" s="38">
        <f t="shared" si="28"/>
        <v>2398040</v>
      </c>
      <c r="P32" s="38">
        <f t="shared" si="28"/>
        <v>1723540</v>
      </c>
      <c r="Q32" s="38">
        <f t="shared" si="28"/>
        <v>193910</v>
      </c>
      <c r="R32" s="38">
        <f t="shared" si="28"/>
        <v>43700</v>
      </c>
      <c r="S32" s="38">
        <f t="shared" si="28"/>
        <v>631750</v>
      </c>
      <c r="T32" s="38">
        <f t="shared" si="28"/>
        <v>631750</v>
      </c>
      <c r="U32" s="38">
        <f t="shared" si="28"/>
        <v>13000</v>
      </c>
      <c r="V32" s="38">
        <f t="shared" si="28"/>
        <v>13000</v>
      </c>
      <c r="W32" s="38">
        <f t="shared" si="28"/>
        <v>145743</v>
      </c>
      <c r="X32" s="38">
        <f t="shared" si="28"/>
        <v>145743</v>
      </c>
      <c r="Y32" s="38">
        <f t="shared" si="28"/>
        <v>0</v>
      </c>
      <c r="Z32" s="38">
        <f t="shared" si="28"/>
        <v>0</v>
      </c>
      <c r="AA32" s="38">
        <f t="shared" si="28"/>
        <v>334147</v>
      </c>
      <c r="AB32" s="38">
        <f t="shared" si="28"/>
        <v>309147</v>
      </c>
      <c r="AC32" s="38">
        <f t="shared" si="28"/>
        <v>2073893</v>
      </c>
      <c r="AD32" s="38">
        <f t="shared" si="28"/>
        <v>1424393</v>
      </c>
      <c r="AE32" s="38">
        <f t="shared" si="28"/>
        <v>1237700</v>
      </c>
      <c r="AF32" s="38">
        <f t="shared" si="28"/>
        <v>1237700</v>
      </c>
      <c r="AG32" s="38">
        <f t="shared" si="28"/>
        <v>1993129</v>
      </c>
      <c r="AH32" s="38">
        <f t="shared" si="28"/>
        <v>1993129</v>
      </c>
      <c r="AI32" s="40"/>
      <c r="AJ32" s="19">
        <f t="shared" si="3"/>
        <v>1</v>
      </c>
      <c r="AK32" s="22"/>
      <c r="AL32" s="22"/>
      <c r="AM32" s="12"/>
      <c r="AN32" s="12"/>
      <c r="AO32" s="12"/>
      <c r="AP32" s="12">
        <f t="shared" si="15"/>
        <v>0</v>
      </c>
      <c r="AQ32" s="12"/>
      <c r="AR32" s="12">
        <f t="shared" si="16"/>
        <v>0</v>
      </c>
      <c r="AS32" s="12"/>
      <c r="AT32" s="12">
        <f t="shared" si="20"/>
        <v>0</v>
      </c>
      <c r="AU32" s="12"/>
      <c r="AV32" s="12">
        <f t="shared" si="21"/>
        <v>0</v>
      </c>
    </row>
    <row r="33" spans="1:48" s="49" customFormat="1" ht="51.75" x14ac:dyDescent="0.25">
      <c r="A33" s="43" t="s">
        <v>87</v>
      </c>
      <c r="B33" s="44" t="s">
        <v>88</v>
      </c>
      <c r="C33" s="72"/>
      <c r="D33" s="72"/>
      <c r="E33" s="72"/>
      <c r="F33" s="72"/>
      <c r="G33" s="46">
        <f>G35+G37+G39</f>
        <v>563881</v>
      </c>
      <c r="H33" s="46">
        <f t="shared" ref="H33:L33" si="29">H35+H37+H39</f>
        <v>563881</v>
      </c>
      <c r="I33" s="46">
        <f t="shared" si="29"/>
        <v>0</v>
      </c>
      <c r="J33" s="46">
        <f t="shared" si="29"/>
        <v>0</v>
      </c>
      <c r="K33" s="46">
        <f t="shared" si="29"/>
        <v>0</v>
      </c>
      <c r="L33" s="46">
        <f t="shared" si="29"/>
        <v>0</v>
      </c>
      <c r="M33" s="46">
        <f t="shared" ref="M33:R33" si="30">SUM(M34:M45)</f>
        <v>1937840</v>
      </c>
      <c r="N33" s="46">
        <f t="shared" si="30"/>
        <v>550840</v>
      </c>
      <c r="O33" s="46">
        <f t="shared" si="30"/>
        <v>1844340</v>
      </c>
      <c r="P33" s="46">
        <f t="shared" si="30"/>
        <v>1341840</v>
      </c>
      <c r="Q33" s="46">
        <f t="shared" si="30"/>
        <v>103910</v>
      </c>
      <c r="R33" s="46">
        <f t="shared" si="30"/>
        <v>0</v>
      </c>
      <c r="S33" s="46">
        <f t="shared" ref="S33:X33" si="31">S35+S37+S39</f>
        <v>386950</v>
      </c>
      <c r="T33" s="46">
        <f t="shared" si="31"/>
        <v>386950</v>
      </c>
      <c r="U33" s="46">
        <f t="shared" si="31"/>
        <v>13000</v>
      </c>
      <c r="V33" s="46">
        <f t="shared" si="31"/>
        <v>13000</v>
      </c>
      <c r="W33" s="46">
        <f t="shared" si="31"/>
        <v>145743</v>
      </c>
      <c r="X33" s="46">
        <f t="shared" si="31"/>
        <v>145743</v>
      </c>
      <c r="Y33" s="46">
        <f t="shared" ref="Y33:AH33" si="32">SUM(Y34:Y45)</f>
        <v>0</v>
      </c>
      <c r="Z33" s="46">
        <f t="shared" si="32"/>
        <v>0</v>
      </c>
      <c r="AA33" s="46">
        <f t="shared" si="32"/>
        <v>334147</v>
      </c>
      <c r="AB33" s="46">
        <f t="shared" si="32"/>
        <v>309147</v>
      </c>
      <c r="AC33" s="46">
        <f t="shared" si="32"/>
        <v>1520193</v>
      </c>
      <c r="AD33" s="46">
        <f t="shared" si="32"/>
        <v>1042693</v>
      </c>
      <c r="AE33" s="46">
        <f t="shared" si="32"/>
        <v>856000</v>
      </c>
      <c r="AF33" s="46">
        <f t="shared" si="32"/>
        <v>856000</v>
      </c>
      <c r="AG33" s="46">
        <f t="shared" si="32"/>
        <v>0</v>
      </c>
      <c r="AH33" s="46">
        <f t="shared" si="32"/>
        <v>0</v>
      </c>
      <c r="AI33" s="73"/>
      <c r="AJ33" s="19">
        <f t="shared" si="3"/>
        <v>1</v>
      </c>
      <c r="AK33" s="22"/>
      <c r="AL33" s="22"/>
      <c r="AM33" s="12"/>
      <c r="AN33" s="12"/>
      <c r="AO33" s="12"/>
      <c r="AP33" s="12">
        <f t="shared" si="15"/>
        <v>0</v>
      </c>
      <c r="AQ33" s="12"/>
      <c r="AR33" s="12">
        <f t="shared" si="16"/>
        <v>0</v>
      </c>
      <c r="AS33" s="12"/>
      <c r="AT33" s="12">
        <f t="shared" si="20"/>
        <v>0</v>
      </c>
      <c r="AU33" s="12"/>
      <c r="AV33" s="12">
        <f t="shared" si="21"/>
        <v>0</v>
      </c>
    </row>
    <row r="34" spans="1:48" ht="49.5" hidden="1" x14ac:dyDescent="0.25">
      <c r="A34" s="60">
        <v>7</v>
      </c>
      <c r="B34" s="9" t="s">
        <v>89</v>
      </c>
      <c r="C34" s="70" t="s">
        <v>58</v>
      </c>
      <c r="D34" s="70" t="s">
        <v>90</v>
      </c>
      <c r="E34" s="70" t="s">
        <v>91</v>
      </c>
      <c r="F34" s="61" t="s">
        <v>92</v>
      </c>
      <c r="G34" s="62">
        <f>H34</f>
        <v>120000</v>
      </c>
      <c r="H34" s="62">
        <v>120000</v>
      </c>
      <c r="I34" s="63"/>
      <c r="J34" s="63"/>
      <c r="K34" s="63"/>
      <c r="L34" s="63"/>
      <c r="M34" s="63">
        <v>115000</v>
      </c>
      <c r="N34" s="63">
        <v>90000</v>
      </c>
      <c r="O34" s="63">
        <v>115000</v>
      </c>
      <c r="P34" s="63">
        <v>90000</v>
      </c>
      <c r="Q34" s="54"/>
      <c r="R34" s="54"/>
      <c r="S34" s="63">
        <v>115000</v>
      </c>
      <c r="T34" s="63">
        <v>90000</v>
      </c>
      <c r="U34" s="63">
        <v>25000</v>
      </c>
      <c r="V34" s="63"/>
      <c r="W34" s="63">
        <f t="shared" ref="W34:W39" si="33">X34</f>
        <v>100000</v>
      </c>
      <c r="X34" s="63">
        <v>100000</v>
      </c>
      <c r="Y34" s="63"/>
      <c r="Z34" s="63"/>
      <c r="AA34" s="63">
        <f t="shared" ref="AA34:AB45" si="34">U34+W34+Y34</f>
        <v>125000</v>
      </c>
      <c r="AB34" s="63">
        <f t="shared" si="34"/>
        <v>100000</v>
      </c>
      <c r="AC34" s="63"/>
      <c r="AD34" s="63"/>
      <c r="AE34" s="63"/>
      <c r="AF34" s="63"/>
      <c r="AG34" s="63"/>
      <c r="AH34" s="63"/>
      <c r="AI34" s="66" t="s">
        <v>93</v>
      </c>
      <c r="AJ34" s="19">
        <f t="shared" si="3"/>
        <v>0</v>
      </c>
      <c r="AK34" s="22">
        <f t="shared" si="14"/>
        <v>0</v>
      </c>
      <c r="AL34" s="22"/>
      <c r="AM34" s="12">
        <f t="shared" ref="AM34:AM45" si="35">IF(AJ34=0,1,0)</f>
        <v>1</v>
      </c>
      <c r="AO34" s="12">
        <f t="shared" ref="AO34:AO45" si="36">IF(P34=0,1,0)</f>
        <v>0</v>
      </c>
      <c r="AP34" s="12">
        <f t="shared" si="15"/>
        <v>0</v>
      </c>
      <c r="AQ34" s="12">
        <f t="shared" ref="AQ34:AQ45" si="37">IF(N34=0,1,0)</f>
        <v>0</v>
      </c>
      <c r="AR34" s="12">
        <f t="shared" si="16"/>
        <v>0</v>
      </c>
      <c r="AS34" s="12">
        <f t="shared" ref="AS34:AS43" si="38">IF(Q34=0,0,1)</f>
        <v>0</v>
      </c>
      <c r="AT34" s="12">
        <f t="shared" si="20"/>
        <v>0</v>
      </c>
      <c r="AU34" s="12">
        <f t="shared" ref="AU34:AU45" si="39">IF(R34=0,0,1)</f>
        <v>0</v>
      </c>
      <c r="AV34" s="12">
        <f t="shared" si="21"/>
        <v>0</v>
      </c>
    </row>
    <row r="35" spans="1:48" ht="109.5" customHeight="1" x14ac:dyDescent="0.25">
      <c r="A35" s="60">
        <v>8</v>
      </c>
      <c r="B35" s="9" t="s">
        <v>94</v>
      </c>
      <c r="C35" s="61" t="s">
        <v>95</v>
      </c>
      <c r="D35" s="61" t="s">
        <v>96</v>
      </c>
      <c r="E35" s="70" t="s">
        <v>97</v>
      </c>
      <c r="F35" s="1" t="s">
        <v>896</v>
      </c>
      <c r="G35" s="2">
        <f>H35</f>
        <v>43206</v>
      </c>
      <c r="H35" s="6">
        <v>43206</v>
      </c>
      <c r="I35" s="63"/>
      <c r="J35" s="63"/>
      <c r="K35" s="63"/>
      <c r="L35" s="63"/>
      <c r="M35" s="63">
        <f>N35</f>
        <v>31550</v>
      </c>
      <c r="N35" s="63">
        <v>31550</v>
      </c>
      <c r="O35" s="63">
        <f>P35</f>
        <v>31550</v>
      </c>
      <c r="P35" s="63">
        <v>31550</v>
      </c>
      <c r="Q35" s="8">
        <v>10000</v>
      </c>
      <c r="R35" s="54"/>
      <c r="S35" s="3">
        <f>T35</f>
        <v>41550</v>
      </c>
      <c r="T35" s="3">
        <f>P35+Q35</f>
        <v>41550</v>
      </c>
      <c r="U35" s="63">
        <v>13000</v>
      </c>
      <c r="V35" s="63">
        <v>13000</v>
      </c>
      <c r="W35" s="63">
        <f t="shared" si="33"/>
        <v>13000</v>
      </c>
      <c r="X35" s="63">
        <v>13000</v>
      </c>
      <c r="Y35" s="63"/>
      <c r="Z35" s="63"/>
      <c r="AA35" s="63">
        <f t="shared" si="34"/>
        <v>26000</v>
      </c>
      <c r="AB35" s="63">
        <f t="shared" si="34"/>
        <v>26000</v>
      </c>
      <c r="AC35" s="63">
        <f t="shared" ref="AC35:AD45" si="40">O35-AA35</f>
        <v>5550</v>
      </c>
      <c r="AD35" s="63">
        <f t="shared" si="40"/>
        <v>5550</v>
      </c>
      <c r="AE35" s="63">
        <f t="shared" ref="AE35:AE45" si="41">AF35</f>
        <v>0</v>
      </c>
      <c r="AF35" s="63">
        <f t="shared" ref="AF35:AF45" si="42">IF(AB35=0,AD35,0)</f>
        <v>0</v>
      </c>
      <c r="AG35" s="63"/>
      <c r="AH35" s="63"/>
      <c r="AI35" s="25" t="s">
        <v>914</v>
      </c>
      <c r="AJ35" s="19">
        <f t="shared" si="3"/>
        <v>1</v>
      </c>
      <c r="AK35" s="22">
        <f t="shared" si="14"/>
        <v>1</v>
      </c>
      <c r="AL35" s="22"/>
      <c r="AM35" s="12">
        <f t="shared" si="35"/>
        <v>0</v>
      </c>
      <c r="AO35" s="12">
        <f t="shared" si="36"/>
        <v>0</v>
      </c>
      <c r="AP35" s="12">
        <f t="shared" si="15"/>
        <v>0</v>
      </c>
      <c r="AQ35" s="12">
        <f t="shared" si="37"/>
        <v>0</v>
      </c>
      <c r="AR35" s="12">
        <f t="shared" si="16"/>
        <v>0</v>
      </c>
      <c r="AS35" s="12">
        <f t="shared" si="38"/>
        <v>1</v>
      </c>
      <c r="AT35" s="12">
        <f t="shared" si="20"/>
        <v>10000</v>
      </c>
      <c r="AU35" s="12">
        <f t="shared" si="39"/>
        <v>0</v>
      </c>
      <c r="AV35" s="12">
        <f t="shared" si="21"/>
        <v>0</v>
      </c>
    </row>
    <row r="36" spans="1:48" ht="49.5" hidden="1" x14ac:dyDescent="0.25">
      <c r="A36" s="60">
        <v>9</v>
      </c>
      <c r="B36" s="9" t="s">
        <v>98</v>
      </c>
      <c r="C36" s="61" t="s">
        <v>99</v>
      </c>
      <c r="D36" s="61" t="s">
        <v>100</v>
      </c>
      <c r="E36" s="70" t="s">
        <v>101</v>
      </c>
      <c r="F36" s="61" t="s">
        <v>102</v>
      </c>
      <c r="G36" s="74">
        <v>37942</v>
      </c>
      <c r="H36" s="62">
        <f>G36</f>
        <v>37942</v>
      </c>
      <c r="I36" s="63"/>
      <c r="J36" s="63"/>
      <c r="K36" s="63"/>
      <c r="L36" s="63"/>
      <c r="M36" s="63">
        <f>N36</f>
        <v>32800</v>
      </c>
      <c r="N36" s="68">
        <v>32800</v>
      </c>
      <c r="O36" s="63">
        <f>P36</f>
        <v>32800</v>
      </c>
      <c r="P36" s="68">
        <v>32800</v>
      </c>
      <c r="Q36" s="54"/>
      <c r="R36" s="54"/>
      <c r="S36" s="63">
        <f>T36</f>
        <v>32800</v>
      </c>
      <c r="T36" s="68">
        <v>32800</v>
      </c>
      <c r="U36" s="63"/>
      <c r="V36" s="63"/>
      <c r="W36" s="63">
        <f t="shared" si="33"/>
        <v>20000</v>
      </c>
      <c r="X36" s="63">
        <v>20000</v>
      </c>
      <c r="Y36" s="63"/>
      <c r="Z36" s="63"/>
      <c r="AA36" s="63">
        <f t="shared" si="34"/>
        <v>20000</v>
      </c>
      <c r="AB36" s="63">
        <f t="shared" si="34"/>
        <v>20000</v>
      </c>
      <c r="AC36" s="63">
        <f t="shared" si="40"/>
        <v>12800</v>
      </c>
      <c r="AD36" s="63">
        <f t="shared" si="40"/>
        <v>12800</v>
      </c>
      <c r="AE36" s="63">
        <f t="shared" si="41"/>
        <v>0</v>
      </c>
      <c r="AF36" s="63">
        <f t="shared" si="42"/>
        <v>0</v>
      </c>
      <c r="AG36" s="63"/>
      <c r="AH36" s="63"/>
      <c r="AI36" s="69"/>
      <c r="AJ36" s="19">
        <f t="shared" si="3"/>
        <v>0</v>
      </c>
      <c r="AK36" s="22">
        <f t="shared" si="14"/>
        <v>0</v>
      </c>
      <c r="AL36" s="22"/>
      <c r="AM36" s="12">
        <f t="shared" si="35"/>
        <v>1</v>
      </c>
      <c r="AO36" s="12">
        <f t="shared" si="36"/>
        <v>0</v>
      </c>
      <c r="AP36" s="12">
        <f t="shared" si="15"/>
        <v>0</v>
      </c>
      <c r="AQ36" s="12">
        <f t="shared" si="37"/>
        <v>0</v>
      </c>
      <c r="AR36" s="12">
        <f t="shared" si="16"/>
        <v>0</v>
      </c>
      <c r="AS36" s="12">
        <f t="shared" si="38"/>
        <v>0</v>
      </c>
      <c r="AT36" s="12">
        <f t="shared" si="20"/>
        <v>0</v>
      </c>
      <c r="AU36" s="12">
        <f t="shared" si="39"/>
        <v>0</v>
      </c>
      <c r="AV36" s="12">
        <f t="shared" si="21"/>
        <v>0</v>
      </c>
    </row>
    <row r="37" spans="1:48" ht="75" customHeight="1" x14ac:dyDescent="0.25">
      <c r="A37" s="60">
        <v>10</v>
      </c>
      <c r="B37" s="9" t="s">
        <v>103</v>
      </c>
      <c r="C37" s="61" t="s">
        <v>104</v>
      </c>
      <c r="D37" s="61" t="s">
        <v>105</v>
      </c>
      <c r="E37" s="70" t="s">
        <v>101</v>
      </c>
      <c r="F37" s="61" t="s">
        <v>106</v>
      </c>
      <c r="G37" s="158">
        <f>H37</f>
        <v>475250</v>
      </c>
      <c r="H37" s="6">
        <v>475250</v>
      </c>
      <c r="I37" s="63"/>
      <c r="J37" s="63"/>
      <c r="K37" s="63"/>
      <c r="L37" s="63"/>
      <c r="M37" s="63">
        <f>N37</f>
        <v>224890</v>
      </c>
      <c r="N37" s="63">
        <v>224890</v>
      </c>
      <c r="O37" s="63">
        <f>P37</f>
        <v>224890</v>
      </c>
      <c r="P37" s="63">
        <v>224890</v>
      </c>
      <c r="Q37" s="8">
        <v>75110</v>
      </c>
      <c r="R37" s="8"/>
      <c r="S37" s="149">
        <f>T37</f>
        <v>300000</v>
      </c>
      <c r="T37" s="149">
        <f>Q37+P37</f>
        <v>300000</v>
      </c>
      <c r="U37" s="63"/>
      <c r="V37" s="63"/>
      <c r="W37" s="63">
        <f t="shared" si="33"/>
        <v>123620</v>
      </c>
      <c r="X37" s="63">
        <v>123620</v>
      </c>
      <c r="Y37" s="63"/>
      <c r="Z37" s="63"/>
      <c r="AA37" s="63">
        <f t="shared" si="34"/>
        <v>123620</v>
      </c>
      <c r="AB37" s="63">
        <f t="shared" si="34"/>
        <v>123620</v>
      </c>
      <c r="AC37" s="63">
        <f t="shared" si="40"/>
        <v>101270</v>
      </c>
      <c r="AD37" s="63">
        <f t="shared" si="40"/>
        <v>101270</v>
      </c>
      <c r="AE37" s="63">
        <f t="shared" si="41"/>
        <v>0</v>
      </c>
      <c r="AF37" s="63">
        <f t="shared" si="42"/>
        <v>0</v>
      </c>
      <c r="AG37" s="63"/>
      <c r="AH37" s="63"/>
      <c r="AI37" s="25" t="s">
        <v>905</v>
      </c>
      <c r="AJ37" s="19">
        <f t="shared" si="3"/>
        <v>1</v>
      </c>
      <c r="AK37" s="22">
        <f t="shared" si="14"/>
        <v>1</v>
      </c>
      <c r="AL37" s="22"/>
      <c r="AM37" s="12">
        <f t="shared" si="35"/>
        <v>0</v>
      </c>
      <c r="AO37" s="12">
        <f t="shared" si="36"/>
        <v>0</v>
      </c>
      <c r="AP37" s="12">
        <f t="shared" si="15"/>
        <v>0</v>
      </c>
      <c r="AQ37" s="12">
        <f t="shared" si="37"/>
        <v>0</v>
      </c>
      <c r="AR37" s="12">
        <f t="shared" si="16"/>
        <v>0</v>
      </c>
      <c r="AS37" s="12">
        <f t="shared" si="38"/>
        <v>1</v>
      </c>
      <c r="AT37" s="12">
        <f t="shared" si="20"/>
        <v>75110</v>
      </c>
      <c r="AU37" s="12">
        <f t="shared" si="39"/>
        <v>0</v>
      </c>
      <c r="AV37" s="12">
        <f t="shared" si="21"/>
        <v>0</v>
      </c>
    </row>
    <row r="38" spans="1:48" ht="49.5" hidden="1" x14ac:dyDescent="0.25">
      <c r="A38" s="60">
        <v>11</v>
      </c>
      <c r="B38" s="9" t="s">
        <v>107</v>
      </c>
      <c r="C38" s="61" t="s">
        <v>95</v>
      </c>
      <c r="D38" s="61" t="s">
        <v>108</v>
      </c>
      <c r="E38" s="70" t="s">
        <v>109</v>
      </c>
      <c r="F38" s="61" t="s">
        <v>110</v>
      </c>
      <c r="G38" s="74">
        <v>89000</v>
      </c>
      <c r="H38" s="62">
        <f>G38</f>
        <v>89000</v>
      </c>
      <c r="I38" s="63"/>
      <c r="J38" s="63"/>
      <c r="K38" s="63"/>
      <c r="L38" s="63"/>
      <c r="M38" s="63">
        <f>N38</f>
        <v>80000</v>
      </c>
      <c r="N38" s="68">
        <v>80000</v>
      </c>
      <c r="O38" s="63">
        <f>P38</f>
        <v>80000</v>
      </c>
      <c r="P38" s="68">
        <v>80000</v>
      </c>
      <c r="Q38" s="54"/>
      <c r="R38" s="54"/>
      <c r="S38" s="63">
        <f>T38</f>
        <v>80000</v>
      </c>
      <c r="T38" s="68">
        <v>80000</v>
      </c>
      <c r="U38" s="63"/>
      <c r="V38" s="63"/>
      <c r="W38" s="63">
        <f t="shared" si="33"/>
        <v>30404</v>
      </c>
      <c r="X38" s="63">
        <v>30404</v>
      </c>
      <c r="Y38" s="63"/>
      <c r="Z38" s="63"/>
      <c r="AA38" s="63">
        <f t="shared" si="34"/>
        <v>30404</v>
      </c>
      <c r="AB38" s="63">
        <f t="shared" si="34"/>
        <v>30404</v>
      </c>
      <c r="AC38" s="63">
        <f t="shared" si="40"/>
        <v>49596</v>
      </c>
      <c r="AD38" s="63">
        <f t="shared" si="40"/>
        <v>49596</v>
      </c>
      <c r="AE38" s="63">
        <f t="shared" si="41"/>
        <v>0</v>
      </c>
      <c r="AF38" s="63">
        <f t="shared" si="42"/>
        <v>0</v>
      </c>
      <c r="AG38" s="63"/>
      <c r="AH38" s="63"/>
      <c r="AI38" s="69"/>
      <c r="AJ38" s="19">
        <f t="shared" si="3"/>
        <v>0</v>
      </c>
      <c r="AK38" s="22">
        <f t="shared" si="14"/>
        <v>0</v>
      </c>
      <c r="AL38" s="22"/>
      <c r="AM38" s="12">
        <f t="shared" si="35"/>
        <v>1</v>
      </c>
      <c r="AO38" s="12">
        <f t="shared" si="36"/>
        <v>0</v>
      </c>
      <c r="AP38" s="12">
        <f t="shared" si="15"/>
        <v>0</v>
      </c>
      <c r="AQ38" s="12">
        <f t="shared" si="37"/>
        <v>0</v>
      </c>
      <c r="AR38" s="12">
        <f t="shared" si="16"/>
        <v>0</v>
      </c>
      <c r="AS38" s="12">
        <f t="shared" si="38"/>
        <v>0</v>
      </c>
      <c r="AT38" s="12">
        <f t="shared" si="20"/>
        <v>0</v>
      </c>
      <c r="AU38" s="12">
        <f t="shared" si="39"/>
        <v>0</v>
      </c>
      <c r="AV38" s="12">
        <f t="shared" si="21"/>
        <v>0</v>
      </c>
    </row>
    <row r="39" spans="1:48" ht="66" x14ac:dyDescent="0.25">
      <c r="A39" s="60">
        <v>12</v>
      </c>
      <c r="B39" s="9" t="s">
        <v>111</v>
      </c>
      <c r="C39" s="61" t="s">
        <v>112</v>
      </c>
      <c r="D39" s="61" t="s">
        <v>113</v>
      </c>
      <c r="E39" s="70" t="s">
        <v>109</v>
      </c>
      <c r="F39" s="61" t="s">
        <v>901</v>
      </c>
      <c r="G39" s="2">
        <f>H39</f>
        <v>45425</v>
      </c>
      <c r="H39" s="6">
        <v>45425</v>
      </c>
      <c r="I39" s="63"/>
      <c r="J39" s="63"/>
      <c r="K39" s="63"/>
      <c r="L39" s="63"/>
      <c r="M39" s="63">
        <f>N39</f>
        <v>26600</v>
      </c>
      <c r="N39" s="74">
        <v>26600</v>
      </c>
      <c r="O39" s="63">
        <f>P39</f>
        <v>26600</v>
      </c>
      <c r="P39" s="74">
        <v>26600</v>
      </c>
      <c r="Q39" s="8">
        <v>18800</v>
      </c>
      <c r="R39" s="8"/>
      <c r="S39" s="149">
        <f>T39</f>
        <v>45400</v>
      </c>
      <c r="T39" s="159">
        <f>Q39+P39</f>
        <v>45400</v>
      </c>
      <c r="U39" s="63"/>
      <c r="V39" s="63"/>
      <c r="W39" s="63">
        <f t="shared" si="33"/>
        <v>9123</v>
      </c>
      <c r="X39" s="63">
        <v>9123</v>
      </c>
      <c r="Y39" s="63"/>
      <c r="Z39" s="63"/>
      <c r="AA39" s="63">
        <f t="shared" si="34"/>
        <v>9123</v>
      </c>
      <c r="AB39" s="63">
        <f t="shared" si="34"/>
        <v>9123</v>
      </c>
      <c r="AC39" s="63">
        <f t="shared" si="40"/>
        <v>17477</v>
      </c>
      <c r="AD39" s="63">
        <f t="shared" si="40"/>
        <v>17477</v>
      </c>
      <c r="AE39" s="63">
        <f t="shared" si="41"/>
        <v>0</v>
      </c>
      <c r="AF39" s="63">
        <f t="shared" si="42"/>
        <v>0</v>
      </c>
      <c r="AG39" s="63"/>
      <c r="AH39" s="63"/>
      <c r="AI39" s="25" t="s">
        <v>906</v>
      </c>
      <c r="AJ39" s="19">
        <f t="shared" si="3"/>
        <v>1</v>
      </c>
      <c r="AK39" s="22">
        <f t="shared" si="14"/>
        <v>1</v>
      </c>
      <c r="AL39" s="22"/>
      <c r="AM39" s="12">
        <f t="shared" si="35"/>
        <v>0</v>
      </c>
      <c r="AO39" s="12">
        <f t="shared" si="36"/>
        <v>0</v>
      </c>
      <c r="AP39" s="12">
        <f t="shared" si="15"/>
        <v>0</v>
      </c>
      <c r="AQ39" s="12">
        <f t="shared" si="37"/>
        <v>0</v>
      </c>
      <c r="AR39" s="12">
        <f t="shared" si="16"/>
        <v>0</v>
      </c>
      <c r="AS39" s="12">
        <f t="shared" si="38"/>
        <v>1</v>
      </c>
      <c r="AT39" s="12">
        <f t="shared" si="20"/>
        <v>18800</v>
      </c>
      <c r="AU39" s="12">
        <f t="shared" si="39"/>
        <v>0</v>
      </c>
      <c r="AV39" s="12">
        <f t="shared" si="21"/>
        <v>0</v>
      </c>
    </row>
    <row r="40" spans="1:48" ht="49.5" hidden="1" x14ac:dyDescent="0.25">
      <c r="A40" s="60">
        <v>13</v>
      </c>
      <c r="B40" s="9" t="s">
        <v>114</v>
      </c>
      <c r="C40" s="61" t="s">
        <v>104</v>
      </c>
      <c r="D40" s="61" t="s">
        <v>115</v>
      </c>
      <c r="E40" s="70" t="s">
        <v>116</v>
      </c>
      <c r="F40" s="1" t="s">
        <v>897</v>
      </c>
      <c r="G40" s="150">
        <v>119655</v>
      </c>
      <c r="H40" s="68">
        <v>5000</v>
      </c>
      <c r="I40" s="63"/>
      <c r="J40" s="63"/>
      <c r="K40" s="63"/>
      <c r="L40" s="63"/>
      <c r="M40" s="68">
        <f>95000+N40</f>
        <v>100000</v>
      </c>
      <c r="N40" s="68">
        <v>5000</v>
      </c>
      <c r="O40" s="68">
        <f>95000+P40</f>
        <v>100000</v>
      </c>
      <c r="P40" s="68">
        <v>5000</v>
      </c>
      <c r="Q40" s="54"/>
      <c r="R40" s="54"/>
      <c r="S40" s="68">
        <f>95000+T40</f>
        <v>100000</v>
      </c>
      <c r="T40" s="68">
        <v>5000</v>
      </c>
      <c r="U40" s="63"/>
      <c r="V40" s="63"/>
      <c r="W40" s="63"/>
      <c r="X40" s="63"/>
      <c r="Y40" s="63"/>
      <c r="Z40" s="63"/>
      <c r="AA40" s="63">
        <f t="shared" si="34"/>
        <v>0</v>
      </c>
      <c r="AB40" s="63">
        <f t="shared" si="34"/>
        <v>0</v>
      </c>
      <c r="AC40" s="63">
        <f t="shared" si="40"/>
        <v>100000</v>
      </c>
      <c r="AD40" s="63">
        <f t="shared" si="40"/>
        <v>5000</v>
      </c>
      <c r="AE40" s="63">
        <f t="shared" si="41"/>
        <v>5000</v>
      </c>
      <c r="AF40" s="63">
        <f t="shared" si="42"/>
        <v>5000</v>
      </c>
      <c r="AG40" s="63"/>
      <c r="AH40" s="63"/>
      <c r="AI40" s="25" t="s">
        <v>117</v>
      </c>
      <c r="AJ40" s="19">
        <f t="shared" si="3"/>
        <v>0</v>
      </c>
      <c r="AK40" s="22">
        <f t="shared" si="14"/>
        <v>0</v>
      </c>
      <c r="AL40" s="22"/>
      <c r="AM40" s="12">
        <f t="shared" si="35"/>
        <v>1</v>
      </c>
      <c r="AO40" s="12">
        <f t="shared" si="36"/>
        <v>0</v>
      </c>
      <c r="AP40" s="12">
        <f t="shared" si="15"/>
        <v>0</v>
      </c>
      <c r="AQ40" s="12">
        <f t="shared" si="37"/>
        <v>0</v>
      </c>
      <c r="AR40" s="12">
        <f t="shared" si="16"/>
        <v>0</v>
      </c>
      <c r="AS40" s="12">
        <f t="shared" si="38"/>
        <v>0</v>
      </c>
      <c r="AT40" s="12">
        <f t="shared" si="20"/>
        <v>0</v>
      </c>
      <c r="AU40" s="12">
        <f t="shared" si="39"/>
        <v>0</v>
      </c>
      <c r="AV40" s="12">
        <f t="shared" si="21"/>
        <v>0</v>
      </c>
    </row>
    <row r="41" spans="1:48" ht="49.5" hidden="1" x14ac:dyDescent="0.25">
      <c r="A41" s="60">
        <v>14</v>
      </c>
      <c r="B41" s="9" t="s">
        <v>118</v>
      </c>
      <c r="C41" s="162" t="s">
        <v>119</v>
      </c>
      <c r="D41" s="61" t="s">
        <v>120</v>
      </c>
      <c r="E41" s="70" t="s">
        <v>116</v>
      </c>
      <c r="F41" s="61"/>
      <c r="G41" s="5">
        <v>108625</v>
      </c>
      <c r="H41" s="68">
        <v>5000</v>
      </c>
      <c r="I41" s="63"/>
      <c r="J41" s="63"/>
      <c r="K41" s="63"/>
      <c r="L41" s="63"/>
      <c r="M41" s="68">
        <f>77000+N41</f>
        <v>82000</v>
      </c>
      <c r="N41" s="68">
        <v>5000</v>
      </c>
      <c r="O41" s="68">
        <f>77000+P41</f>
        <v>82000</v>
      </c>
      <c r="P41" s="68">
        <v>5000</v>
      </c>
      <c r="Q41" s="54"/>
      <c r="R41" s="54"/>
      <c r="S41" s="68">
        <f>77000+T41</f>
        <v>82000</v>
      </c>
      <c r="T41" s="68">
        <v>5000</v>
      </c>
      <c r="U41" s="63"/>
      <c r="V41" s="63"/>
      <c r="W41" s="63"/>
      <c r="X41" s="63"/>
      <c r="Y41" s="63"/>
      <c r="Z41" s="63"/>
      <c r="AA41" s="63">
        <f t="shared" si="34"/>
        <v>0</v>
      </c>
      <c r="AB41" s="63">
        <f t="shared" si="34"/>
        <v>0</v>
      </c>
      <c r="AC41" s="63">
        <f t="shared" si="40"/>
        <v>82000</v>
      </c>
      <c r="AD41" s="63">
        <f t="shared" si="40"/>
        <v>5000</v>
      </c>
      <c r="AE41" s="63">
        <f t="shared" si="41"/>
        <v>5000</v>
      </c>
      <c r="AF41" s="63">
        <f t="shared" si="42"/>
        <v>5000</v>
      </c>
      <c r="AG41" s="63"/>
      <c r="AH41" s="63"/>
      <c r="AI41" s="25" t="s">
        <v>121</v>
      </c>
      <c r="AJ41" s="19">
        <f t="shared" si="3"/>
        <v>0</v>
      </c>
      <c r="AK41" s="22">
        <f t="shared" si="14"/>
        <v>0</v>
      </c>
      <c r="AL41" s="22"/>
      <c r="AM41" s="12">
        <f t="shared" si="35"/>
        <v>1</v>
      </c>
      <c r="AO41" s="12">
        <f t="shared" si="36"/>
        <v>0</v>
      </c>
      <c r="AP41" s="12">
        <f t="shared" si="15"/>
        <v>0</v>
      </c>
      <c r="AQ41" s="12">
        <f t="shared" si="37"/>
        <v>0</v>
      </c>
      <c r="AR41" s="12">
        <f t="shared" si="16"/>
        <v>0</v>
      </c>
      <c r="AS41" s="12">
        <f t="shared" si="38"/>
        <v>0</v>
      </c>
      <c r="AT41" s="12">
        <f t="shared" si="20"/>
        <v>0</v>
      </c>
      <c r="AU41" s="12">
        <f t="shared" si="39"/>
        <v>0</v>
      </c>
      <c r="AV41" s="12">
        <f t="shared" si="21"/>
        <v>0</v>
      </c>
    </row>
    <row r="42" spans="1:48" ht="50.25" hidden="1" customHeight="1" x14ac:dyDescent="0.25">
      <c r="A42" s="60">
        <v>15</v>
      </c>
      <c r="B42" s="9" t="s">
        <v>122</v>
      </c>
      <c r="C42" s="61" t="s">
        <v>112</v>
      </c>
      <c r="D42" s="61" t="s">
        <v>123</v>
      </c>
      <c r="E42" s="70" t="s">
        <v>116</v>
      </c>
      <c r="F42" s="61"/>
      <c r="G42" s="5">
        <v>86111</v>
      </c>
      <c r="H42" s="68">
        <v>5000</v>
      </c>
      <c r="I42" s="63"/>
      <c r="J42" s="63"/>
      <c r="K42" s="63"/>
      <c r="L42" s="63"/>
      <c r="M42" s="68">
        <f>70000+N42</f>
        <v>75000</v>
      </c>
      <c r="N42" s="68">
        <v>5000</v>
      </c>
      <c r="O42" s="68">
        <f>70000+P42</f>
        <v>75000</v>
      </c>
      <c r="P42" s="68">
        <v>5000</v>
      </c>
      <c r="Q42" s="54"/>
      <c r="R42" s="54"/>
      <c r="S42" s="68">
        <f>70000+T42</f>
        <v>75000</v>
      </c>
      <c r="T42" s="68">
        <v>5000</v>
      </c>
      <c r="U42" s="63"/>
      <c r="V42" s="63"/>
      <c r="W42" s="63"/>
      <c r="X42" s="63"/>
      <c r="Y42" s="63"/>
      <c r="Z42" s="63"/>
      <c r="AA42" s="63">
        <f t="shared" si="34"/>
        <v>0</v>
      </c>
      <c r="AB42" s="63">
        <f t="shared" si="34"/>
        <v>0</v>
      </c>
      <c r="AC42" s="63">
        <f t="shared" si="40"/>
        <v>75000</v>
      </c>
      <c r="AD42" s="63">
        <f t="shared" si="40"/>
        <v>5000</v>
      </c>
      <c r="AE42" s="63">
        <f t="shared" si="41"/>
        <v>5000</v>
      </c>
      <c r="AF42" s="63">
        <f t="shared" si="42"/>
        <v>5000</v>
      </c>
      <c r="AG42" s="63"/>
      <c r="AH42" s="63"/>
      <c r="AI42" s="25" t="s">
        <v>124</v>
      </c>
      <c r="AJ42" s="19">
        <f t="shared" si="3"/>
        <v>0</v>
      </c>
      <c r="AK42" s="22">
        <f t="shared" si="14"/>
        <v>0</v>
      </c>
      <c r="AL42" s="22"/>
      <c r="AM42" s="12">
        <f t="shared" si="35"/>
        <v>1</v>
      </c>
      <c r="AO42" s="12">
        <f t="shared" si="36"/>
        <v>0</v>
      </c>
      <c r="AP42" s="12">
        <f t="shared" si="15"/>
        <v>0</v>
      </c>
      <c r="AQ42" s="12">
        <f t="shared" si="37"/>
        <v>0</v>
      </c>
      <c r="AR42" s="12">
        <f t="shared" si="16"/>
        <v>0</v>
      </c>
      <c r="AS42" s="12">
        <f t="shared" si="38"/>
        <v>0</v>
      </c>
      <c r="AT42" s="12">
        <f t="shared" si="20"/>
        <v>0</v>
      </c>
      <c r="AU42" s="12">
        <f t="shared" si="39"/>
        <v>0</v>
      </c>
      <c r="AV42" s="12">
        <f t="shared" si="21"/>
        <v>0</v>
      </c>
    </row>
    <row r="43" spans="1:48" ht="294" hidden="1" customHeight="1" x14ac:dyDescent="0.25">
      <c r="A43" s="60">
        <v>16</v>
      </c>
      <c r="B43" s="9" t="s">
        <v>125</v>
      </c>
      <c r="C43" s="61" t="s">
        <v>126</v>
      </c>
      <c r="D43" s="61" t="s">
        <v>127</v>
      </c>
      <c r="E43" s="70" t="s">
        <v>116</v>
      </c>
      <c r="F43" s="61" t="s">
        <v>128</v>
      </c>
      <c r="G43" s="5">
        <v>1170000</v>
      </c>
      <c r="H43" s="74">
        <f>G43</f>
        <v>1170000</v>
      </c>
      <c r="I43" s="63"/>
      <c r="J43" s="63"/>
      <c r="K43" s="63"/>
      <c r="L43" s="63"/>
      <c r="M43" s="68">
        <f>G43</f>
        <v>1170000</v>
      </c>
      <c r="N43" s="68">
        <v>50000</v>
      </c>
      <c r="O43" s="68">
        <f>G43*0.9</f>
        <v>1053000</v>
      </c>
      <c r="P43" s="68">
        <v>817500</v>
      </c>
      <c r="Q43" s="68"/>
      <c r="R43" s="68"/>
      <c r="S43" s="68">
        <f>K43*0.9</f>
        <v>0</v>
      </c>
      <c r="T43" s="68">
        <v>817500</v>
      </c>
      <c r="U43" s="63"/>
      <c r="V43" s="63"/>
      <c r="W43" s="63"/>
      <c r="X43" s="63"/>
      <c r="Y43" s="63"/>
      <c r="Z43" s="63"/>
      <c r="AA43" s="63">
        <f t="shared" si="34"/>
        <v>0</v>
      </c>
      <c r="AB43" s="63">
        <f t="shared" si="34"/>
        <v>0</v>
      </c>
      <c r="AC43" s="63">
        <f t="shared" si="40"/>
        <v>1053000</v>
      </c>
      <c r="AD43" s="63">
        <f t="shared" si="40"/>
        <v>817500</v>
      </c>
      <c r="AE43" s="63">
        <f t="shared" si="41"/>
        <v>817500</v>
      </c>
      <c r="AF43" s="63">
        <f t="shared" si="42"/>
        <v>817500</v>
      </c>
      <c r="AG43" s="63"/>
      <c r="AH43" s="63"/>
      <c r="AI43" s="76" t="s">
        <v>129</v>
      </c>
      <c r="AJ43" s="19">
        <f t="shared" si="3"/>
        <v>0</v>
      </c>
      <c r="AK43" s="22">
        <f t="shared" si="14"/>
        <v>0</v>
      </c>
      <c r="AL43" s="22"/>
      <c r="AM43" s="12">
        <f t="shared" si="35"/>
        <v>1</v>
      </c>
      <c r="AO43" s="12">
        <f t="shared" si="36"/>
        <v>0</v>
      </c>
      <c r="AP43" s="12">
        <f t="shared" si="15"/>
        <v>0</v>
      </c>
      <c r="AQ43" s="12">
        <f t="shared" si="37"/>
        <v>0</v>
      </c>
      <c r="AR43" s="12">
        <f t="shared" si="16"/>
        <v>0</v>
      </c>
      <c r="AS43" s="12">
        <f t="shared" si="38"/>
        <v>0</v>
      </c>
      <c r="AT43" s="12">
        <f t="shared" si="20"/>
        <v>0</v>
      </c>
      <c r="AU43" s="12">
        <f t="shared" si="39"/>
        <v>0</v>
      </c>
      <c r="AV43" s="12">
        <f t="shared" si="21"/>
        <v>0</v>
      </c>
    </row>
    <row r="44" spans="1:48" ht="78.75" hidden="1" x14ac:dyDescent="0.25">
      <c r="A44" s="60">
        <v>17</v>
      </c>
      <c r="B44" s="9" t="s">
        <v>130</v>
      </c>
      <c r="C44" s="61" t="s">
        <v>131</v>
      </c>
      <c r="D44" s="61" t="s">
        <v>132</v>
      </c>
      <c r="E44" s="70" t="s">
        <v>116</v>
      </c>
      <c r="F44" s="61" t="s">
        <v>133</v>
      </c>
      <c r="G44" s="5">
        <f>H44</f>
        <v>14904</v>
      </c>
      <c r="H44" s="68">
        <v>14904</v>
      </c>
      <c r="I44" s="63"/>
      <c r="J44" s="63"/>
      <c r="K44" s="63"/>
      <c r="L44" s="63"/>
      <c r="M44" s="68"/>
      <c r="N44" s="68"/>
      <c r="O44" s="68">
        <f>P44</f>
        <v>13500</v>
      </c>
      <c r="P44" s="68">
        <v>13500</v>
      </c>
      <c r="Q44" s="68"/>
      <c r="R44" s="68"/>
      <c r="S44" s="68">
        <f>T44</f>
        <v>13500</v>
      </c>
      <c r="T44" s="68">
        <v>13500</v>
      </c>
      <c r="U44" s="63"/>
      <c r="V44" s="63"/>
      <c r="W44" s="63"/>
      <c r="X44" s="63"/>
      <c r="Y44" s="63"/>
      <c r="Z44" s="63"/>
      <c r="AA44" s="63">
        <f t="shared" si="34"/>
        <v>0</v>
      </c>
      <c r="AB44" s="63">
        <f t="shared" si="34"/>
        <v>0</v>
      </c>
      <c r="AC44" s="63">
        <f t="shared" si="40"/>
        <v>13500</v>
      </c>
      <c r="AD44" s="63">
        <f t="shared" si="40"/>
        <v>13500</v>
      </c>
      <c r="AE44" s="63">
        <f t="shared" si="41"/>
        <v>13500</v>
      </c>
      <c r="AF44" s="63">
        <f t="shared" si="42"/>
        <v>13500</v>
      </c>
      <c r="AG44" s="63"/>
      <c r="AH44" s="63"/>
      <c r="AI44" s="76" t="s">
        <v>134</v>
      </c>
      <c r="AJ44" s="19">
        <f t="shared" si="3"/>
        <v>0</v>
      </c>
      <c r="AK44" s="22">
        <f t="shared" si="14"/>
        <v>0</v>
      </c>
      <c r="AL44" s="22"/>
      <c r="AM44" s="12">
        <f t="shared" si="35"/>
        <v>1</v>
      </c>
      <c r="AO44" s="12">
        <f t="shared" si="36"/>
        <v>0</v>
      </c>
      <c r="AP44" s="12">
        <f t="shared" si="15"/>
        <v>0</v>
      </c>
      <c r="AQ44" s="12">
        <f t="shared" si="37"/>
        <v>1</v>
      </c>
      <c r="AR44" s="12">
        <f t="shared" si="16"/>
        <v>13500</v>
      </c>
      <c r="AU44" s="12">
        <f t="shared" si="39"/>
        <v>0</v>
      </c>
      <c r="AV44" s="12">
        <f t="shared" si="21"/>
        <v>0</v>
      </c>
    </row>
    <row r="45" spans="1:48" ht="49.5" hidden="1" x14ac:dyDescent="0.25">
      <c r="A45" s="60">
        <v>18</v>
      </c>
      <c r="B45" s="9" t="s">
        <v>135</v>
      </c>
      <c r="C45" s="61" t="s">
        <v>136</v>
      </c>
      <c r="D45" s="61" t="s">
        <v>137</v>
      </c>
      <c r="E45" s="70" t="s">
        <v>116</v>
      </c>
      <c r="F45" s="61"/>
      <c r="G45" s="5">
        <f>H45</f>
        <v>14700</v>
      </c>
      <c r="H45" s="68">
        <v>14700</v>
      </c>
      <c r="I45" s="63"/>
      <c r="J45" s="63"/>
      <c r="K45" s="63"/>
      <c r="L45" s="63"/>
      <c r="M45" s="68"/>
      <c r="N45" s="68"/>
      <c r="O45" s="68">
        <f>P45</f>
        <v>10000</v>
      </c>
      <c r="P45" s="68">
        <v>10000</v>
      </c>
      <c r="Q45" s="68"/>
      <c r="R45" s="68"/>
      <c r="S45" s="68">
        <f>T45</f>
        <v>10000</v>
      </c>
      <c r="T45" s="68">
        <v>10000</v>
      </c>
      <c r="U45" s="63"/>
      <c r="V45" s="63"/>
      <c r="W45" s="63"/>
      <c r="X45" s="63"/>
      <c r="Y45" s="63"/>
      <c r="Z45" s="63"/>
      <c r="AA45" s="63">
        <f t="shared" si="34"/>
        <v>0</v>
      </c>
      <c r="AB45" s="63">
        <f t="shared" si="34"/>
        <v>0</v>
      </c>
      <c r="AC45" s="63">
        <f t="shared" si="40"/>
        <v>10000</v>
      </c>
      <c r="AD45" s="63">
        <f t="shared" si="40"/>
        <v>10000</v>
      </c>
      <c r="AE45" s="63">
        <f t="shared" si="41"/>
        <v>10000</v>
      </c>
      <c r="AF45" s="63">
        <f t="shared" si="42"/>
        <v>10000</v>
      </c>
      <c r="AG45" s="63"/>
      <c r="AH45" s="63"/>
      <c r="AI45" s="76" t="s">
        <v>84</v>
      </c>
      <c r="AJ45" s="19">
        <f t="shared" si="3"/>
        <v>0</v>
      </c>
      <c r="AK45" s="22">
        <f t="shared" si="14"/>
        <v>0</v>
      </c>
      <c r="AL45" s="22"/>
      <c r="AM45" s="12">
        <f t="shared" si="35"/>
        <v>1</v>
      </c>
      <c r="AO45" s="12">
        <f t="shared" si="36"/>
        <v>0</v>
      </c>
      <c r="AP45" s="12">
        <f t="shared" si="15"/>
        <v>0</v>
      </c>
      <c r="AQ45" s="12">
        <f t="shared" si="37"/>
        <v>1</v>
      </c>
      <c r="AR45" s="12">
        <f t="shared" si="16"/>
        <v>10000</v>
      </c>
      <c r="AU45" s="12">
        <f t="shared" si="39"/>
        <v>0</v>
      </c>
      <c r="AV45" s="12">
        <f t="shared" si="21"/>
        <v>0</v>
      </c>
    </row>
    <row r="46" spans="1:48" s="49" customFormat="1" ht="34.5" x14ac:dyDescent="0.25">
      <c r="A46" s="45" t="s">
        <v>47</v>
      </c>
      <c r="B46" s="44" t="s">
        <v>138</v>
      </c>
      <c r="C46" s="77"/>
      <c r="D46" s="77"/>
      <c r="E46" s="77"/>
      <c r="F46" s="77"/>
      <c r="G46" s="78">
        <f>G48+G51+G54+G56+G58</f>
        <v>848368</v>
      </c>
      <c r="H46" s="78">
        <f t="shared" ref="H46:L46" si="43">H48+H51+H54+H56+H58</f>
        <v>848368</v>
      </c>
      <c r="I46" s="78">
        <f t="shared" si="43"/>
        <v>0</v>
      </c>
      <c r="J46" s="78">
        <f t="shared" si="43"/>
        <v>0</v>
      </c>
      <c r="K46" s="78">
        <f t="shared" si="43"/>
        <v>0</v>
      </c>
      <c r="L46" s="78">
        <f t="shared" si="43"/>
        <v>0</v>
      </c>
      <c r="M46" s="78">
        <f t="shared" ref="M46:R46" si="44">SUM(M47:M58)</f>
        <v>575200</v>
      </c>
      <c r="N46" s="78">
        <f t="shared" si="44"/>
        <v>403200</v>
      </c>
      <c r="O46" s="78">
        <f t="shared" si="44"/>
        <v>553700</v>
      </c>
      <c r="P46" s="78">
        <f t="shared" si="44"/>
        <v>381700</v>
      </c>
      <c r="Q46" s="78">
        <f t="shared" si="44"/>
        <v>90000</v>
      </c>
      <c r="R46" s="78">
        <f t="shared" si="44"/>
        <v>43700</v>
      </c>
      <c r="S46" s="78">
        <f t="shared" ref="S46:X46" si="45">S48+S51+S54+S56+S58</f>
        <v>244800</v>
      </c>
      <c r="T46" s="78">
        <f t="shared" si="45"/>
        <v>244800</v>
      </c>
      <c r="U46" s="78">
        <f t="shared" si="45"/>
        <v>0</v>
      </c>
      <c r="V46" s="78">
        <f t="shared" si="45"/>
        <v>0</v>
      </c>
      <c r="W46" s="78">
        <f t="shared" si="45"/>
        <v>0</v>
      </c>
      <c r="X46" s="78">
        <f t="shared" si="45"/>
        <v>0</v>
      </c>
      <c r="Y46" s="78">
        <f t="shared" ref="Y46:AH46" si="46">SUM(Y47:Y57)</f>
        <v>0</v>
      </c>
      <c r="Z46" s="78">
        <f t="shared" si="46"/>
        <v>0</v>
      </c>
      <c r="AA46" s="78">
        <f t="shared" si="46"/>
        <v>0</v>
      </c>
      <c r="AB46" s="78">
        <f t="shared" si="46"/>
        <v>0</v>
      </c>
      <c r="AC46" s="78">
        <f t="shared" si="46"/>
        <v>553700</v>
      </c>
      <c r="AD46" s="78">
        <f t="shared" si="46"/>
        <v>381700</v>
      </c>
      <c r="AE46" s="78">
        <f t="shared" si="46"/>
        <v>381700</v>
      </c>
      <c r="AF46" s="78">
        <f t="shared" si="46"/>
        <v>381700</v>
      </c>
      <c r="AG46" s="78">
        <f t="shared" si="46"/>
        <v>1993129</v>
      </c>
      <c r="AH46" s="78">
        <f t="shared" si="46"/>
        <v>1993129</v>
      </c>
      <c r="AI46" s="79"/>
      <c r="AJ46" s="19">
        <f t="shared" si="3"/>
        <v>1</v>
      </c>
      <c r="AK46" s="22"/>
      <c r="AL46" s="22"/>
      <c r="AM46" s="12"/>
      <c r="AN46" s="12"/>
      <c r="AO46" s="12"/>
      <c r="AP46" s="12">
        <f t="shared" si="15"/>
        <v>0</v>
      </c>
      <c r="AQ46" s="12"/>
      <c r="AR46" s="12">
        <f t="shared" si="16"/>
        <v>0</v>
      </c>
      <c r="AS46" s="12"/>
      <c r="AT46" s="12">
        <f t="shared" si="20"/>
        <v>0</v>
      </c>
      <c r="AU46" s="12"/>
      <c r="AV46" s="12">
        <f t="shared" si="21"/>
        <v>0</v>
      </c>
    </row>
    <row r="47" spans="1:48" ht="33" hidden="1" x14ac:dyDescent="0.25">
      <c r="A47" s="60">
        <v>19</v>
      </c>
      <c r="B47" s="9" t="s">
        <v>139</v>
      </c>
      <c r="C47" s="61" t="s">
        <v>99</v>
      </c>
      <c r="D47" s="61" t="s">
        <v>140</v>
      </c>
      <c r="E47" s="70" t="s">
        <v>141</v>
      </c>
      <c r="F47" s="61"/>
      <c r="G47" s="5">
        <v>164774</v>
      </c>
      <c r="H47" s="68">
        <v>10000</v>
      </c>
      <c r="I47" s="63"/>
      <c r="J47" s="63"/>
      <c r="K47" s="63"/>
      <c r="L47" s="63"/>
      <c r="M47" s="68">
        <f>90000+N47</f>
        <v>100000</v>
      </c>
      <c r="N47" s="68">
        <v>10000</v>
      </c>
      <c r="O47" s="68">
        <f>90000+P47</f>
        <v>100000</v>
      </c>
      <c r="P47" s="68">
        <v>10000</v>
      </c>
      <c r="Q47" s="54"/>
      <c r="R47" s="54"/>
      <c r="S47" s="68">
        <f>90000+T47</f>
        <v>100000</v>
      </c>
      <c r="T47" s="68">
        <v>10000</v>
      </c>
      <c r="U47" s="63"/>
      <c r="V47" s="63"/>
      <c r="W47" s="63"/>
      <c r="X47" s="63"/>
      <c r="Y47" s="63"/>
      <c r="Z47" s="63"/>
      <c r="AA47" s="63">
        <f t="shared" ref="AA47:AB57" si="47">U47+W47+Y47</f>
        <v>0</v>
      </c>
      <c r="AB47" s="63">
        <f t="shared" si="47"/>
        <v>0</v>
      </c>
      <c r="AC47" s="63">
        <f t="shared" ref="AC47:AD57" si="48">O47-AA47</f>
        <v>100000</v>
      </c>
      <c r="AD47" s="63">
        <f t="shared" si="48"/>
        <v>10000</v>
      </c>
      <c r="AE47" s="63">
        <f t="shared" ref="AE47:AE57" si="49">AF47</f>
        <v>10000</v>
      </c>
      <c r="AF47" s="63">
        <f t="shared" ref="AF47:AF57" si="50">IF(AB47=0,AD47,0)</f>
        <v>10000</v>
      </c>
      <c r="AG47" s="63">
        <f>AH47</f>
        <v>48296.600000000006</v>
      </c>
      <c r="AH47" s="63">
        <f>G47*0.9-O47</f>
        <v>48296.600000000006</v>
      </c>
      <c r="AI47" s="25" t="s">
        <v>142</v>
      </c>
      <c r="AJ47" s="19">
        <f t="shared" si="3"/>
        <v>0</v>
      </c>
      <c r="AK47" s="22">
        <f t="shared" si="14"/>
        <v>0</v>
      </c>
      <c r="AL47" s="22"/>
      <c r="AM47" s="12">
        <f t="shared" ref="AM47:AM57" si="51">IF(AJ47=0,1,0)</f>
        <v>1</v>
      </c>
      <c r="AO47" s="12">
        <f t="shared" ref="AO47:AO57" si="52">IF(P47=0,1,0)</f>
        <v>0</v>
      </c>
      <c r="AP47" s="12">
        <f t="shared" si="15"/>
        <v>0</v>
      </c>
      <c r="AQ47" s="12">
        <f t="shared" ref="AQ47:AQ57" si="53">IF(N47=0,1,0)</f>
        <v>0</v>
      </c>
      <c r="AR47" s="12">
        <f t="shared" si="16"/>
        <v>0</v>
      </c>
      <c r="AS47" s="12">
        <f t="shared" ref="AS47:AS55" si="54">IF(Q47=0,0,1)</f>
        <v>0</v>
      </c>
      <c r="AT47" s="12">
        <f t="shared" si="20"/>
        <v>0</v>
      </c>
      <c r="AU47" s="12">
        <f t="shared" ref="AU47:AU57" si="55">IF(R47=0,0,1)</f>
        <v>0</v>
      </c>
      <c r="AV47" s="12">
        <f t="shared" si="21"/>
        <v>0</v>
      </c>
    </row>
    <row r="48" spans="1:48" ht="82.5" x14ac:dyDescent="0.25">
      <c r="A48" s="60">
        <v>20</v>
      </c>
      <c r="B48" s="9" t="s">
        <v>143</v>
      </c>
      <c r="C48" s="61" t="s">
        <v>112</v>
      </c>
      <c r="D48" s="61" t="s">
        <v>144</v>
      </c>
      <c r="E48" s="70" t="s">
        <v>141</v>
      </c>
      <c r="F48" s="61"/>
      <c r="G48" s="5">
        <f>H48</f>
        <v>320000</v>
      </c>
      <c r="H48" s="74">
        <v>320000</v>
      </c>
      <c r="I48" s="63"/>
      <c r="J48" s="63"/>
      <c r="K48" s="63"/>
      <c r="L48" s="63"/>
      <c r="M48" s="68">
        <f>N48</f>
        <v>130000</v>
      </c>
      <c r="N48" s="68">
        <v>130000</v>
      </c>
      <c r="O48" s="68">
        <f>P48</f>
        <v>130000</v>
      </c>
      <c r="P48" s="68">
        <v>130000</v>
      </c>
      <c r="Q48" s="8">
        <v>70000</v>
      </c>
      <c r="R48" s="8"/>
      <c r="S48" s="151">
        <f>T48</f>
        <v>200000</v>
      </c>
      <c r="T48" s="151">
        <f>P48+Q48</f>
        <v>200000</v>
      </c>
      <c r="U48" s="63"/>
      <c r="V48" s="63"/>
      <c r="W48" s="63"/>
      <c r="X48" s="63"/>
      <c r="Y48" s="63"/>
      <c r="Z48" s="63"/>
      <c r="AA48" s="63">
        <f t="shared" si="47"/>
        <v>0</v>
      </c>
      <c r="AB48" s="63">
        <f t="shared" si="47"/>
        <v>0</v>
      </c>
      <c r="AC48" s="63">
        <f t="shared" si="48"/>
        <v>130000</v>
      </c>
      <c r="AD48" s="63">
        <f t="shared" si="48"/>
        <v>130000</v>
      </c>
      <c r="AE48" s="63">
        <f t="shared" si="49"/>
        <v>130000</v>
      </c>
      <c r="AF48" s="63">
        <f t="shared" si="50"/>
        <v>130000</v>
      </c>
      <c r="AG48" s="63">
        <f t="shared" ref="AG48:AG57" si="56">AH48</f>
        <v>158000</v>
      </c>
      <c r="AH48" s="63">
        <f>G48*0.9-O48</f>
        <v>158000</v>
      </c>
      <c r="AI48" s="25" t="s">
        <v>914</v>
      </c>
      <c r="AJ48" s="19">
        <f t="shared" si="3"/>
        <v>1</v>
      </c>
      <c r="AK48" s="22">
        <f t="shared" si="14"/>
        <v>1</v>
      </c>
      <c r="AL48" s="22"/>
      <c r="AM48" s="12">
        <f t="shared" si="51"/>
        <v>0</v>
      </c>
      <c r="AO48" s="12">
        <f t="shared" si="52"/>
        <v>0</v>
      </c>
      <c r="AP48" s="12">
        <f t="shared" si="15"/>
        <v>0</v>
      </c>
      <c r="AQ48" s="12">
        <f t="shared" si="53"/>
        <v>0</v>
      </c>
      <c r="AR48" s="12">
        <f t="shared" si="16"/>
        <v>0</v>
      </c>
      <c r="AS48" s="12">
        <f t="shared" si="54"/>
        <v>1</v>
      </c>
      <c r="AT48" s="12">
        <f t="shared" si="20"/>
        <v>70000</v>
      </c>
      <c r="AU48" s="12">
        <f t="shared" si="55"/>
        <v>0</v>
      </c>
      <c r="AV48" s="12">
        <f t="shared" si="21"/>
        <v>0</v>
      </c>
    </row>
    <row r="49" spans="1:48" ht="33" hidden="1" x14ac:dyDescent="0.25">
      <c r="A49" s="60">
        <v>21</v>
      </c>
      <c r="B49" s="9" t="s">
        <v>145</v>
      </c>
      <c r="C49" s="61" t="s">
        <v>146</v>
      </c>
      <c r="D49" s="61" t="s">
        <v>147</v>
      </c>
      <c r="E49" s="70" t="s">
        <v>141</v>
      </c>
      <c r="F49" s="61"/>
      <c r="G49" s="5">
        <f t="shared" ref="G49:G55" si="57">H49</f>
        <v>369000</v>
      </c>
      <c r="H49" s="74">
        <v>369000</v>
      </c>
      <c r="I49" s="63"/>
      <c r="J49" s="63"/>
      <c r="K49" s="63"/>
      <c r="L49" s="63"/>
      <c r="M49" s="68">
        <f t="shared" ref="M49:M55" si="58">N49</f>
        <v>150000</v>
      </c>
      <c r="N49" s="68">
        <v>150000</v>
      </c>
      <c r="O49" s="68">
        <f>P49</f>
        <v>150000</v>
      </c>
      <c r="P49" s="68">
        <v>150000</v>
      </c>
      <c r="Q49" s="54"/>
      <c r="R49" s="54"/>
      <c r="S49" s="68">
        <f>T49</f>
        <v>150000</v>
      </c>
      <c r="T49" s="68">
        <v>150000</v>
      </c>
      <c r="U49" s="63"/>
      <c r="V49" s="63"/>
      <c r="W49" s="63"/>
      <c r="X49" s="63"/>
      <c r="Y49" s="63"/>
      <c r="Z49" s="63"/>
      <c r="AA49" s="63">
        <f t="shared" si="47"/>
        <v>0</v>
      </c>
      <c r="AB49" s="63">
        <f t="shared" si="47"/>
        <v>0</v>
      </c>
      <c r="AC49" s="63">
        <f t="shared" si="48"/>
        <v>150000</v>
      </c>
      <c r="AD49" s="63">
        <f t="shared" si="48"/>
        <v>150000</v>
      </c>
      <c r="AE49" s="63">
        <f t="shared" si="49"/>
        <v>150000</v>
      </c>
      <c r="AF49" s="63">
        <f t="shared" si="50"/>
        <v>150000</v>
      </c>
      <c r="AG49" s="63">
        <f t="shared" si="56"/>
        <v>182100</v>
      </c>
      <c r="AH49" s="63">
        <f t="shared" ref="AH49:AH57" si="59">G49*0.9-O49</f>
        <v>182100</v>
      </c>
      <c r="AI49" s="69"/>
      <c r="AJ49" s="19">
        <f t="shared" si="3"/>
        <v>0</v>
      </c>
      <c r="AK49" s="22">
        <f t="shared" si="14"/>
        <v>0</v>
      </c>
      <c r="AL49" s="22"/>
      <c r="AM49" s="12">
        <f t="shared" si="51"/>
        <v>1</v>
      </c>
      <c r="AO49" s="12">
        <f t="shared" si="52"/>
        <v>0</v>
      </c>
      <c r="AP49" s="12">
        <f t="shared" si="15"/>
        <v>0</v>
      </c>
      <c r="AQ49" s="12">
        <f t="shared" si="53"/>
        <v>0</v>
      </c>
      <c r="AR49" s="12">
        <f t="shared" si="16"/>
        <v>0</v>
      </c>
      <c r="AS49" s="12">
        <f t="shared" si="54"/>
        <v>0</v>
      </c>
      <c r="AT49" s="12">
        <f t="shared" si="20"/>
        <v>0</v>
      </c>
      <c r="AU49" s="12">
        <f t="shared" si="55"/>
        <v>0</v>
      </c>
      <c r="AV49" s="12">
        <f t="shared" si="21"/>
        <v>0</v>
      </c>
    </row>
    <row r="50" spans="1:48" ht="49.5" hidden="1" x14ac:dyDescent="0.25">
      <c r="A50" s="60">
        <v>22</v>
      </c>
      <c r="B50" s="9" t="s">
        <v>148</v>
      </c>
      <c r="C50" s="162" t="s">
        <v>149</v>
      </c>
      <c r="D50" s="61" t="s">
        <v>150</v>
      </c>
      <c r="E50" s="70" t="s">
        <v>151</v>
      </c>
      <c r="F50" s="61"/>
      <c r="G50" s="5">
        <v>119677</v>
      </c>
      <c r="H50" s="68">
        <v>5000</v>
      </c>
      <c r="I50" s="63"/>
      <c r="J50" s="63"/>
      <c r="K50" s="63"/>
      <c r="L50" s="63"/>
      <c r="M50" s="68">
        <f>37000+N50+45000</f>
        <v>87000</v>
      </c>
      <c r="N50" s="68">
        <v>5000</v>
      </c>
      <c r="O50" s="68">
        <f>37000+P50+45000</f>
        <v>87000</v>
      </c>
      <c r="P50" s="68">
        <v>5000</v>
      </c>
      <c r="Q50" s="54"/>
      <c r="R50" s="54"/>
      <c r="S50" s="68">
        <f>37000+T50+45000</f>
        <v>87000</v>
      </c>
      <c r="T50" s="68">
        <v>5000</v>
      </c>
      <c r="U50" s="63"/>
      <c r="V50" s="63"/>
      <c r="W50" s="63"/>
      <c r="X50" s="63"/>
      <c r="Y50" s="63"/>
      <c r="Z50" s="63"/>
      <c r="AA50" s="63">
        <f t="shared" si="47"/>
        <v>0</v>
      </c>
      <c r="AB50" s="63">
        <f t="shared" si="47"/>
        <v>0</v>
      </c>
      <c r="AC50" s="63">
        <f t="shared" si="48"/>
        <v>87000</v>
      </c>
      <c r="AD50" s="63">
        <f t="shared" si="48"/>
        <v>5000</v>
      </c>
      <c r="AE50" s="63">
        <f t="shared" si="49"/>
        <v>5000</v>
      </c>
      <c r="AF50" s="63">
        <f t="shared" si="50"/>
        <v>5000</v>
      </c>
      <c r="AG50" s="63">
        <f t="shared" si="56"/>
        <v>20709.300000000003</v>
      </c>
      <c r="AH50" s="63">
        <f t="shared" si="59"/>
        <v>20709.300000000003</v>
      </c>
      <c r="AI50" s="25" t="s">
        <v>152</v>
      </c>
      <c r="AJ50" s="19">
        <f t="shared" si="3"/>
        <v>0</v>
      </c>
      <c r="AK50" s="22">
        <f t="shared" si="14"/>
        <v>0</v>
      </c>
      <c r="AL50" s="22"/>
      <c r="AM50" s="12">
        <f t="shared" si="51"/>
        <v>1</v>
      </c>
      <c r="AO50" s="12">
        <f t="shared" si="52"/>
        <v>0</v>
      </c>
      <c r="AP50" s="12">
        <f t="shared" si="15"/>
        <v>0</v>
      </c>
      <c r="AQ50" s="12">
        <f t="shared" si="53"/>
        <v>0</v>
      </c>
      <c r="AR50" s="12">
        <f t="shared" si="16"/>
        <v>0</v>
      </c>
      <c r="AS50" s="12">
        <f t="shared" si="54"/>
        <v>0</v>
      </c>
      <c r="AT50" s="12">
        <f t="shared" si="20"/>
        <v>0</v>
      </c>
      <c r="AU50" s="12">
        <f t="shared" si="55"/>
        <v>0</v>
      </c>
      <c r="AV50" s="12">
        <f t="shared" si="21"/>
        <v>0</v>
      </c>
    </row>
    <row r="51" spans="1:48" ht="69" customHeight="1" x14ac:dyDescent="0.25">
      <c r="A51" s="60">
        <v>23</v>
      </c>
      <c r="B51" s="9" t="s">
        <v>153</v>
      </c>
      <c r="C51" s="61" t="s">
        <v>95</v>
      </c>
      <c r="D51" s="61" t="s">
        <v>154</v>
      </c>
      <c r="E51" s="70" t="s">
        <v>155</v>
      </c>
      <c r="F51" s="61"/>
      <c r="G51" s="5">
        <f t="shared" si="57"/>
        <v>199795</v>
      </c>
      <c r="H51" s="74">
        <v>199795</v>
      </c>
      <c r="I51" s="63"/>
      <c r="J51" s="63"/>
      <c r="K51" s="63"/>
      <c r="L51" s="63"/>
      <c r="M51" s="68">
        <f t="shared" si="58"/>
        <v>40000</v>
      </c>
      <c r="N51" s="68">
        <v>40000</v>
      </c>
      <c r="O51" s="68">
        <f>P51</f>
        <v>5000</v>
      </c>
      <c r="P51" s="68">
        <v>5000</v>
      </c>
      <c r="Q51" s="54"/>
      <c r="R51" s="4">
        <v>2600</v>
      </c>
      <c r="S51" s="4">
        <f>T51</f>
        <v>2400</v>
      </c>
      <c r="T51" s="4">
        <f>P51-R51</f>
        <v>2400</v>
      </c>
      <c r="U51" s="63"/>
      <c r="V51" s="63"/>
      <c r="W51" s="63"/>
      <c r="X51" s="63"/>
      <c r="Y51" s="63"/>
      <c r="Z51" s="63"/>
      <c r="AA51" s="63">
        <f t="shared" si="47"/>
        <v>0</v>
      </c>
      <c r="AB51" s="63">
        <f t="shared" si="47"/>
        <v>0</v>
      </c>
      <c r="AC51" s="63">
        <f t="shared" si="48"/>
        <v>5000</v>
      </c>
      <c r="AD51" s="63">
        <f t="shared" si="48"/>
        <v>5000</v>
      </c>
      <c r="AE51" s="63">
        <f t="shared" si="49"/>
        <v>5000</v>
      </c>
      <c r="AF51" s="63">
        <f t="shared" si="50"/>
        <v>5000</v>
      </c>
      <c r="AG51" s="63">
        <f t="shared" si="56"/>
        <v>174815.5</v>
      </c>
      <c r="AH51" s="63">
        <f t="shared" si="59"/>
        <v>174815.5</v>
      </c>
      <c r="AI51" s="25" t="s">
        <v>915</v>
      </c>
      <c r="AJ51" s="19">
        <f t="shared" si="3"/>
        <v>1</v>
      </c>
      <c r="AK51" s="22">
        <f t="shared" si="14"/>
        <v>1</v>
      </c>
      <c r="AL51" s="22"/>
      <c r="AM51" s="12">
        <f t="shared" si="51"/>
        <v>0</v>
      </c>
      <c r="AO51" s="12">
        <f t="shared" si="52"/>
        <v>0</v>
      </c>
      <c r="AP51" s="12">
        <f t="shared" si="15"/>
        <v>0</v>
      </c>
      <c r="AQ51" s="12">
        <f t="shared" si="53"/>
        <v>0</v>
      </c>
      <c r="AR51" s="12">
        <f t="shared" si="16"/>
        <v>0</v>
      </c>
      <c r="AS51" s="12">
        <f t="shared" si="54"/>
        <v>0</v>
      </c>
      <c r="AT51" s="12">
        <f t="shared" si="20"/>
        <v>0</v>
      </c>
      <c r="AU51" s="12">
        <f t="shared" si="55"/>
        <v>1</v>
      </c>
      <c r="AV51" s="12">
        <f t="shared" si="21"/>
        <v>2600</v>
      </c>
    </row>
    <row r="52" spans="1:48" ht="61.5" hidden="1" customHeight="1" x14ac:dyDescent="0.25">
      <c r="A52" s="60">
        <v>24</v>
      </c>
      <c r="B52" s="9" t="s">
        <v>156</v>
      </c>
      <c r="C52" s="61" t="s">
        <v>99</v>
      </c>
      <c r="D52" s="61" t="s">
        <v>157</v>
      </c>
      <c r="E52" s="70" t="s">
        <v>155</v>
      </c>
      <c r="F52" s="61"/>
      <c r="G52" s="5">
        <f t="shared" si="57"/>
        <v>85000</v>
      </c>
      <c r="H52" s="74">
        <v>85000</v>
      </c>
      <c r="I52" s="63"/>
      <c r="J52" s="63"/>
      <c r="K52" s="63"/>
      <c r="L52" s="63"/>
      <c r="M52" s="68">
        <f t="shared" si="58"/>
        <v>56200</v>
      </c>
      <c r="N52" s="68">
        <v>56200</v>
      </c>
      <c r="O52" s="68">
        <f>P52</f>
        <v>1200</v>
      </c>
      <c r="P52" s="68">
        <v>1200</v>
      </c>
      <c r="Q52" s="54"/>
      <c r="R52" s="4"/>
      <c r="S52" s="68">
        <f>T52</f>
        <v>1200</v>
      </c>
      <c r="T52" s="68">
        <f>P52</f>
        <v>1200</v>
      </c>
      <c r="U52" s="63"/>
      <c r="V52" s="63"/>
      <c r="W52" s="63"/>
      <c r="X52" s="63"/>
      <c r="Y52" s="63"/>
      <c r="Z52" s="63"/>
      <c r="AA52" s="63">
        <f t="shared" si="47"/>
        <v>0</v>
      </c>
      <c r="AB52" s="63">
        <f t="shared" si="47"/>
        <v>0</v>
      </c>
      <c r="AC52" s="63">
        <f t="shared" si="48"/>
        <v>1200</v>
      </c>
      <c r="AD52" s="63">
        <f t="shared" si="48"/>
        <v>1200</v>
      </c>
      <c r="AE52" s="63">
        <f t="shared" si="49"/>
        <v>1200</v>
      </c>
      <c r="AF52" s="63">
        <f t="shared" si="50"/>
        <v>1200</v>
      </c>
      <c r="AG52" s="63">
        <f t="shared" si="56"/>
        <v>75300</v>
      </c>
      <c r="AH52" s="63">
        <f t="shared" si="59"/>
        <v>75300</v>
      </c>
      <c r="AI52" s="69"/>
      <c r="AJ52" s="19">
        <f t="shared" si="3"/>
        <v>0</v>
      </c>
      <c r="AK52" s="22">
        <f t="shared" si="14"/>
        <v>0</v>
      </c>
      <c r="AL52" s="22"/>
      <c r="AM52" s="12">
        <f t="shared" si="51"/>
        <v>1</v>
      </c>
      <c r="AO52" s="12">
        <f t="shared" si="52"/>
        <v>0</v>
      </c>
      <c r="AP52" s="12">
        <f t="shared" si="15"/>
        <v>0</v>
      </c>
      <c r="AQ52" s="12">
        <f t="shared" si="53"/>
        <v>0</v>
      </c>
      <c r="AR52" s="12">
        <f t="shared" si="16"/>
        <v>0</v>
      </c>
      <c r="AS52" s="12">
        <f t="shared" si="54"/>
        <v>0</v>
      </c>
      <c r="AT52" s="12">
        <f t="shared" si="20"/>
        <v>0</v>
      </c>
      <c r="AU52" s="12">
        <f t="shared" si="55"/>
        <v>0</v>
      </c>
      <c r="AV52" s="12">
        <f t="shared" si="21"/>
        <v>0</v>
      </c>
    </row>
    <row r="53" spans="1:48" ht="57.75" hidden="1" customHeight="1" x14ac:dyDescent="0.25">
      <c r="A53" s="60">
        <v>25</v>
      </c>
      <c r="B53" s="9" t="s">
        <v>158</v>
      </c>
      <c r="C53" s="61" t="s">
        <v>58</v>
      </c>
      <c r="D53" s="61" t="s">
        <v>159</v>
      </c>
      <c r="E53" s="70" t="s">
        <v>155</v>
      </c>
      <c r="F53" s="61"/>
      <c r="G53" s="5">
        <f t="shared" si="57"/>
        <v>500000</v>
      </c>
      <c r="H53" s="74">
        <v>500000</v>
      </c>
      <c r="I53" s="63"/>
      <c r="J53" s="63"/>
      <c r="K53" s="63"/>
      <c r="L53" s="63"/>
      <c r="M53" s="68">
        <f t="shared" si="58"/>
        <v>5000</v>
      </c>
      <c r="N53" s="68">
        <v>5000</v>
      </c>
      <c r="O53" s="68">
        <f t="shared" ref="O53:O55" si="60">P53</f>
        <v>5000</v>
      </c>
      <c r="P53" s="68">
        <v>5000</v>
      </c>
      <c r="Q53" s="54"/>
      <c r="R53" s="54"/>
      <c r="S53" s="68">
        <f t="shared" ref="S53:S55" si="61">T53</f>
        <v>5000</v>
      </c>
      <c r="T53" s="68">
        <v>5000</v>
      </c>
      <c r="U53" s="63"/>
      <c r="V53" s="63"/>
      <c r="W53" s="63"/>
      <c r="X53" s="63"/>
      <c r="Y53" s="63"/>
      <c r="Z53" s="63"/>
      <c r="AA53" s="63">
        <f t="shared" si="47"/>
        <v>0</v>
      </c>
      <c r="AB53" s="63">
        <f t="shared" si="47"/>
        <v>0</v>
      </c>
      <c r="AC53" s="63">
        <f t="shared" si="48"/>
        <v>5000</v>
      </c>
      <c r="AD53" s="63">
        <f t="shared" si="48"/>
        <v>5000</v>
      </c>
      <c r="AE53" s="63">
        <f t="shared" si="49"/>
        <v>5000</v>
      </c>
      <c r="AF53" s="63">
        <f t="shared" si="50"/>
        <v>5000</v>
      </c>
      <c r="AG53" s="63">
        <f t="shared" si="56"/>
        <v>445000</v>
      </c>
      <c r="AH53" s="63">
        <f t="shared" si="59"/>
        <v>445000</v>
      </c>
      <c r="AI53" s="69"/>
      <c r="AJ53" s="19">
        <f t="shared" si="3"/>
        <v>0</v>
      </c>
      <c r="AK53" s="22">
        <f t="shared" si="14"/>
        <v>0</v>
      </c>
      <c r="AL53" s="22"/>
      <c r="AM53" s="12">
        <f t="shared" si="51"/>
        <v>1</v>
      </c>
      <c r="AO53" s="12">
        <f t="shared" si="52"/>
        <v>0</v>
      </c>
      <c r="AP53" s="12">
        <f t="shared" si="15"/>
        <v>0</v>
      </c>
      <c r="AQ53" s="12">
        <f t="shared" si="53"/>
        <v>0</v>
      </c>
      <c r="AR53" s="12">
        <f t="shared" si="16"/>
        <v>0</v>
      </c>
      <c r="AS53" s="12">
        <f t="shared" si="54"/>
        <v>0</v>
      </c>
      <c r="AT53" s="12">
        <f t="shared" si="20"/>
        <v>0</v>
      </c>
      <c r="AU53" s="12">
        <f t="shared" si="55"/>
        <v>0</v>
      </c>
      <c r="AV53" s="12">
        <f t="shared" si="21"/>
        <v>0</v>
      </c>
    </row>
    <row r="54" spans="1:48" ht="49.5" x14ac:dyDescent="0.25">
      <c r="A54" s="60">
        <v>26</v>
      </c>
      <c r="B54" s="9" t="s">
        <v>160</v>
      </c>
      <c r="C54" s="61" t="s">
        <v>146</v>
      </c>
      <c r="D54" s="61" t="s">
        <v>161</v>
      </c>
      <c r="E54" s="70" t="s">
        <v>162</v>
      </c>
      <c r="F54" s="61"/>
      <c r="G54" s="5">
        <f t="shared" si="57"/>
        <v>193573</v>
      </c>
      <c r="H54" s="74">
        <v>193573</v>
      </c>
      <c r="I54" s="63"/>
      <c r="J54" s="63"/>
      <c r="K54" s="63"/>
      <c r="L54" s="63"/>
      <c r="M54" s="68">
        <f t="shared" si="58"/>
        <v>5000</v>
      </c>
      <c r="N54" s="68">
        <v>5000</v>
      </c>
      <c r="O54" s="68">
        <f t="shared" si="60"/>
        <v>5000</v>
      </c>
      <c r="P54" s="68">
        <v>5000</v>
      </c>
      <c r="Q54" s="54"/>
      <c r="R54" s="8">
        <v>2600</v>
      </c>
      <c r="S54" s="4">
        <f>T54</f>
        <v>2400</v>
      </c>
      <c r="T54" s="4">
        <f>P54-R54</f>
        <v>2400</v>
      </c>
      <c r="U54" s="63"/>
      <c r="V54" s="63"/>
      <c r="W54" s="63"/>
      <c r="X54" s="63"/>
      <c r="Y54" s="63"/>
      <c r="Z54" s="63"/>
      <c r="AA54" s="63">
        <f t="shared" si="47"/>
        <v>0</v>
      </c>
      <c r="AB54" s="63">
        <f t="shared" si="47"/>
        <v>0</v>
      </c>
      <c r="AC54" s="63">
        <f t="shared" si="48"/>
        <v>5000</v>
      </c>
      <c r="AD54" s="63">
        <f t="shared" si="48"/>
        <v>5000</v>
      </c>
      <c r="AE54" s="63">
        <f t="shared" si="49"/>
        <v>5000</v>
      </c>
      <c r="AF54" s="63">
        <f t="shared" si="50"/>
        <v>5000</v>
      </c>
      <c r="AG54" s="63">
        <f t="shared" si="56"/>
        <v>169215.7</v>
      </c>
      <c r="AH54" s="63">
        <f t="shared" si="59"/>
        <v>169215.7</v>
      </c>
      <c r="AI54" s="25" t="s">
        <v>915</v>
      </c>
      <c r="AJ54" s="19">
        <f t="shared" si="3"/>
        <v>1</v>
      </c>
      <c r="AK54" s="22">
        <f t="shared" si="14"/>
        <v>1</v>
      </c>
      <c r="AL54" s="22"/>
      <c r="AM54" s="12">
        <f t="shared" si="51"/>
        <v>0</v>
      </c>
      <c r="AO54" s="12">
        <f t="shared" si="52"/>
        <v>0</v>
      </c>
      <c r="AP54" s="12">
        <f t="shared" si="15"/>
        <v>0</v>
      </c>
      <c r="AQ54" s="12">
        <f t="shared" si="53"/>
        <v>0</v>
      </c>
      <c r="AR54" s="12">
        <f t="shared" si="16"/>
        <v>0</v>
      </c>
      <c r="AS54" s="12">
        <f t="shared" si="54"/>
        <v>0</v>
      </c>
      <c r="AT54" s="12">
        <f t="shared" si="20"/>
        <v>0</v>
      </c>
      <c r="AU54" s="12">
        <f t="shared" si="55"/>
        <v>1</v>
      </c>
      <c r="AV54" s="12">
        <f t="shared" si="21"/>
        <v>2600</v>
      </c>
    </row>
    <row r="55" spans="1:48" ht="33" hidden="1" x14ac:dyDescent="0.25">
      <c r="A55" s="60">
        <v>27</v>
      </c>
      <c r="B55" s="9" t="s">
        <v>163</v>
      </c>
      <c r="C55" s="61" t="s">
        <v>104</v>
      </c>
      <c r="D55" s="61" t="s">
        <v>164</v>
      </c>
      <c r="E55" s="70" t="s">
        <v>165</v>
      </c>
      <c r="F55" s="61"/>
      <c r="G55" s="5">
        <f t="shared" si="57"/>
        <v>446200</v>
      </c>
      <c r="H55" s="74">
        <v>446200</v>
      </c>
      <c r="I55" s="63"/>
      <c r="J55" s="63"/>
      <c r="K55" s="63"/>
      <c r="L55" s="63"/>
      <c r="M55" s="68">
        <f t="shared" si="58"/>
        <v>2000</v>
      </c>
      <c r="N55" s="68">
        <v>2000</v>
      </c>
      <c r="O55" s="68">
        <f t="shared" si="60"/>
        <v>2000</v>
      </c>
      <c r="P55" s="68">
        <v>2000</v>
      </c>
      <c r="Q55" s="54"/>
      <c r="R55" s="54"/>
      <c r="S55" s="68">
        <f t="shared" si="61"/>
        <v>2000</v>
      </c>
      <c r="T55" s="68">
        <v>2000</v>
      </c>
      <c r="U55" s="63"/>
      <c r="V55" s="63"/>
      <c r="W55" s="63"/>
      <c r="X55" s="63"/>
      <c r="Y55" s="63"/>
      <c r="Z55" s="63"/>
      <c r="AA55" s="63">
        <f t="shared" si="47"/>
        <v>0</v>
      </c>
      <c r="AB55" s="63">
        <f t="shared" si="47"/>
        <v>0</v>
      </c>
      <c r="AC55" s="63">
        <f t="shared" si="48"/>
        <v>2000</v>
      </c>
      <c r="AD55" s="63">
        <f t="shared" si="48"/>
        <v>2000</v>
      </c>
      <c r="AE55" s="63">
        <f t="shared" si="49"/>
        <v>2000</v>
      </c>
      <c r="AF55" s="63">
        <f t="shared" si="50"/>
        <v>2000</v>
      </c>
      <c r="AG55" s="63">
        <f t="shared" si="56"/>
        <v>399580</v>
      </c>
      <c r="AH55" s="63">
        <f t="shared" si="59"/>
        <v>399580</v>
      </c>
      <c r="AI55" s="69"/>
      <c r="AJ55" s="19">
        <f t="shared" si="3"/>
        <v>0</v>
      </c>
      <c r="AK55" s="22">
        <f t="shared" si="14"/>
        <v>0</v>
      </c>
      <c r="AL55" s="22"/>
      <c r="AM55" s="12">
        <f t="shared" si="51"/>
        <v>1</v>
      </c>
      <c r="AO55" s="12">
        <f t="shared" si="52"/>
        <v>0</v>
      </c>
      <c r="AP55" s="12">
        <f t="shared" si="15"/>
        <v>0</v>
      </c>
      <c r="AQ55" s="12">
        <f t="shared" si="53"/>
        <v>0</v>
      </c>
      <c r="AR55" s="12">
        <f t="shared" si="16"/>
        <v>0</v>
      </c>
      <c r="AS55" s="12">
        <f t="shared" si="54"/>
        <v>0</v>
      </c>
      <c r="AT55" s="12">
        <f t="shared" si="20"/>
        <v>0</v>
      </c>
      <c r="AU55" s="12">
        <f t="shared" si="55"/>
        <v>0</v>
      </c>
      <c r="AV55" s="12">
        <f t="shared" si="21"/>
        <v>0</v>
      </c>
    </row>
    <row r="56" spans="1:48" ht="49.5" x14ac:dyDescent="0.25">
      <c r="A56" s="60">
        <v>28</v>
      </c>
      <c r="B56" s="9" t="s">
        <v>166</v>
      </c>
      <c r="C56" s="61" t="s">
        <v>167</v>
      </c>
      <c r="D56" s="61"/>
      <c r="E56" s="61" t="s">
        <v>168</v>
      </c>
      <c r="F56" s="61"/>
      <c r="G56" s="5">
        <f>H56</f>
        <v>65000</v>
      </c>
      <c r="H56" s="74">
        <v>65000</v>
      </c>
      <c r="I56" s="63"/>
      <c r="J56" s="63"/>
      <c r="K56" s="63"/>
      <c r="L56" s="63"/>
      <c r="M56" s="68"/>
      <c r="N56" s="68"/>
      <c r="O56" s="68">
        <f>P56</f>
        <v>58500</v>
      </c>
      <c r="P56" s="68">
        <f>H56*0.9</f>
        <v>58500</v>
      </c>
      <c r="Q56" s="68"/>
      <c r="R56" s="8">
        <v>38500</v>
      </c>
      <c r="S56" s="151">
        <f>T56</f>
        <v>20000</v>
      </c>
      <c r="T56" s="151">
        <f>P56-R56</f>
        <v>20000</v>
      </c>
      <c r="U56" s="58"/>
      <c r="V56" s="58"/>
      <c r="W56" s="58"/>
      <c r="X56" s="58"/>
      <c r="Y56" s="58"/>
      <c r="Z56" s="58"/>
      <c r="AA56" s="63">
        <f t="shared" si="47"/>
        <v>0</v>
      </c>
      <c r="AB56" s="63">
        <f t="shared" si="47"/>
        <v>0</v>
      </c>
      <c r="AC56" s="63">
        <f t="shared" si="48"/>
        <v>58500</v>
      </c>
      <c r="AD56" s="63">
        <f t="shared" si="48"/>
        <v>58500</v>
      </c>
      <c r="AE56" s="63">
        <f t="shared" si="49"/>
        <v>58500</v>
      </c>
      <c r="AF56" s="63">
        <f t="shared" si="50"/>
        <v>58500</v>
      </c>
      <c r="AG56" s="63">
        <f t="shared" si="56"/>
        <v>0</v>
      </c>
      <c r="AH56" s="63">
        <f t="shared" si="59"/>
        <v>0</v>
      </c>
      <c r="AI56" s="25" t="s">
        <v>915</v>
      </c>
      <c r="AJ56" s="19">
        <f t="shared" si="3"/>
        <v>1</v>
      </c>
      <c r="AK56" s="22">
        <f t="shared" si="14"/>
        <v>1</v>
      </c>
      <c r="AL56" s="22"/>
      <c r="AM56" s="12">
        <f t="shared" si="51"/>
        <v>0</v>
      </c>
      <c r="AO56" s="12">
        <f t="shared" si="52"/>
        <v>0</v>
      </c>
      <c r="AP56" s="12">
        <f t="shared" si="15"/>
        <v>0</v>
      </c>
      <c r="AQ56" s="12">
        <f t="shared" si="53"/>
        <v>1</v>
      </c>
      <c r="AR56" s="12">
        <f t="shared" si="16"/>
        <v>58500</v>
      </c>
      <c r="AU56" s="12">
        <f t="shared" si="55"/>
        <v>1</v>
      </c>
      <c r="AV56" s="12">
        <f t="shared" si="21"/>
        <v>38500</v>
      </c>
    </row>
    <row r="57" spans="1:48" ht="76.5" hidden="1" customHeight="1" x14ac:dyDescent="0.25">
      <c r="A57" s="60">
        <v>29</v>
      </c>
      <c r="B57" s="9" t="s">
        <v>169</v>
      </c>
      <c r="C57" s="61" t="s">
        <v>170</v>
      </c>
      <c r="D57" s="61" t="s">
        <v>171</v>
      </c>
      <c r="E57" s="61" t="s">
        <v>172</v>
      </c>
      <c r="F57" s="61" t="s">
        <v>898</v>
      </c>
      <c r="G57" s="150">
        <f>H57</f>
        <v>366791</v>
      </c>
      <c r="H57" s="2">
        <v>366791</v>
      </c>
      <c r="I57" s="63"/>
      <c r="J57" s="63"/>
      <c r="K57" s="63"/>
      <c r="L57" s="63"/>
      <c r="M57" s="68"/>
      <c r="N57" s="68"/>
      <c r="O57" s="68">
        <f>P57</f>
        <v>10000</v>
      </c>
      <c r="P57" s="68">
        <v>10000</v>
      </c>
      <c r="Q57" s="68"/>
      <c r="R57" s="54"/>
      <c r="S57" s="68">
        <f>T57</f>
        <v>10000</v>
      </c>
      <c r="T57" s="68">
        <v>10000</v>
      </c>
      <c r="U57" s="58"/>
      <c r="V57" s="58"/>
      <c r="W57" s="58"/>
      <c r="X57" s="58"/>
      <c r="Y57" s="58"/>
      <c r="Z57" s="58"/>
      <c r="AA57" s="63">
        <f t="shared" si="47"/>
        <v>0</v>
      </c>
      <c r="AB57" s="63">
        <f t="shared" si="47"/>
        <v>0</v>
      </c>
      <c r="AC57" s="63">
        <f t="shared" si="48"/>
        <v>10000</v>
      </c>
      <c r="AD57" s="63">
        <f t="shared" si="48"/>
        <v>10000</v>
      </c>
      <c r="AE57" s="63">
        <f t="shared" si="49"/>
        <v>10000</v>
      </c>
      <c r="AF57" s="63">
        <f t="shared" si="50"/>
        <v>10000</v>
      </c>
      <c r="AG57" s="63">
        <f t="shared" si="56"/>
        <v>320111.90000000002</v>
      </c>
      <c r="AH57" s="63">
        <f t="shared" si="59"/>
        <v>320111.90000000002</v>
      </c>
      <c r="AI57" s="25" t="s">
        <v>84</v>
      </c>
      <c r="AJ57" s="19">
        <f t="shared" si="3"/>
        <v>0</v>
      </c>
      <c r="AK57" s="22">
        <f t="shared" si="14"/>
        <v>0</v>
      </c>
      <c r="AL57" s="22"/>
      <c r="AM57" s="12">
        <f t="shared" si="51"/>
        <v>1</v>
      </c>
      <c r="AO57" s="12">
        <f t="shared" si="52"/>
        <v>0</v>
      </c>
      <c r="AP57" s="12">
        <f t="shared" si="15"/>
        <v>0</v>
      </c>
      <c r="AQ57" s="12">
        <f t="shared" si="53"/>
        <v>1</v>
      </c>
      <c r="AR57" s="12">
        <f t="shared" si="16"/>
        <v>10000</v>
      </c>
      <c r="AU57" s="12">
        <f t="shared" si="55"/>
        <v>0</v>
      </c>
      <c r="AV57" s="12">
        <f t="shared" si="21"/>
        <v>0</v>
      </c>
    </row>
    <row r="58" spans="1:48" s="157" customFormat="1" ht="76.5" customHeight="1" x14ac:dyDescent="0.25">
      <c r="A58" s="152">
        <v>30</v>
      </c>
      <c r="B58" s="153" t="s">
        <v>902</v>
      </c>
      <c r="C58" s="1"/>
      <c r="D58" s="1"/>
      <c r="E58" s="1" t="s">
        <v>168</v>
      </c>
      <c r="F58" s="1"/>
      <c r="G58" s="150">
        <f>H58</f>
        <v>70000</v>
      </c>
      <c r="H58" s="2">
        <v>70000</v>
      </c>
      <c r="I58" s="3"/>
      <c r="J58" s="3"/>
      <c r="K58" s="3"/>
      <c r="L58" s="3"/>
      <c r="M58" s="4"/>
      <c r="N58" s="4"/>
      <c r="O58" s="4"/>
      <c r="P58" s="4"/>
      <c r="Q58" s="4">
        <v>20000</v>
      </c>
      <c r="R58" s="8"/>
      <c r="S58" s="4">
        <f>Q58+P58</f>
        <v>20000</v>
      </c>
      <c r="T58" s="4">
        <f>S58</f>
        <v>20000</v>
      </c>
      <c r="U58" s="154"/>
      <c r="V58" s="154"/>
      <c r="W58" s="154"/>
      <c r="X58" s="154"/>
      <c r="Y58" s="154"/>
      <c r="Z58" s="154"/>
      <c r="AA58" s="3"/>
      <c r="AB58" s="3"/>
      <c r="AC58" s="3"/>
      <c r="AD58" s="3"/>
      <c r="AE58" s="3"/>
      <c r="AF58" s="3"/>
      <c r="AG58" s="3"/>
      <c r="AH58" s="3"/>
      <c r="AI58" s="25" t="s">
        <v>908</v>
      </c>
      <c r="AJ58" s="19">
        <f t="shared" si="3"/>
        <v>1</v>
      </c>
      <c r="AK58" s="155"/>
      <c r="AL58" s="155"/>
      <c r="AM58" s="156"/>
      <c r="AN58" s="156"/>
      <c r="AO58" s="156"/>
      <c r="AP58" s="156"/>
      <c r="AQ58" s="156"/>
      <c r="AR58" s="156"/>
      <c r="AS58" s="156"/>
      <c r="AT58" s="156"/>
      <c r="AU58" s="156"/>
      <c r="AV58" s="156"/>
    </row>
    <row r="59" spans="1:48" s="34" customFormat="1" ht="41.25" customHeight="1" x14ac:dyDescent="0.25">
      <c r="A59" s="28" t="s">
        <v>173</v>
      </c>
      <c r="B59" s="29" t="s">
        <v>174</v>
      </c>
      <c r="C59" s="30"/>
      <c r="D59" s="30"/>
      <c r="E59" s="30"/>
      <c r="F59" s="30"/>
      <c r="G59" s="31">
        <f>G74</f>
        <v>109438</v>
      </c>
      <c r="H59" s="31">
        <f>H74</f>
        <v>109438</v>
      </c>
      <c r="I59" s="31">
        <f t="shared" ref="I59:AH59" si="62">I60+I74</f>
        <v>6460</v>
      </c>
      <c r="J59" s="31">
        <f t="shared" si="62"/>
        <v>3460</v>
      </c>
      <c r="K59" s="31">
        <f t="shared" si="62"/>
        <v>6460</v>
      </c>
      <c r="L59" s="31">
        <f t="shared" si="62"/>
        <v>3460</v>
      </c>
      <c r="M59" s="31">
        <f t="shared" ref="M59:T59" si="63">M74</f>
        <v>88730</v>
      </c>
      <c r="N59" s="31">
        <f t="shared" si="63"/>
        <v>88730</v>
      </c>
      <c r="O59" s="31">
        <f t="shared" si="63"/>
        <v>89860</v>
      </c>
      <c r="P59" s="31">
        <f t="shared" si="63"/>
        <v>89860</v>
      </c>
      <c r="Q59" s="31">
        <f t="shared" si="63"/>
        <v>2400</v>
      </c>
      <c r="R59" s="31">
        <f t="shared" si="63"/>
        <v>33172</v>
      </c>
      <c r="S59" s="31">
        <f t="shared" si="63"/>
        <v>38500</v>
      </c>
      <c r="T59" s="31">
        <f t="shared" si="63"/>
        <v>38500</v>
      </c>
      <c r="U59" s="31">
        <f t="shared" si="62"/>
        <v>14340</v>
      </c>
      <c r="V59" s="31">
        <f t="shared" si="62"/>
        <v>14340</v>
      </c>
      <c r="W59" s="31">
        <f t="shared" si="62"/>
        <v>4274</v>
      </c>
      <c r="X59" s="31">
        <f t="shared" si="62"/>
        <v>4274</v>
      </c>
      <c r="Y59" s="31">
        <f t="shared" si="62"/>
        <v>65293</v>
      </c>
      <c r="Z59" s="31">
        <f t="shared" si="62"/>
        <v>65293</v>
      </c>
      <c r="AA59" s="31">
        <f t="shared" si="62"/>
        <v>160538</v>
      </c>
      <c r="AB59" s="31">
        <f t="shared" si="62"/>
        <v>160538</v>
      </c>
      <c r="AC59" s="31">
        <f t="shared" si="62"/>
        <v>178874</v>
      </c>
      <c r="AD59" s="31">
        <f t="shared" si="62"/>
        <v>178874</v>
      </c>
      <c r="AE59" s="31">
        <f t="shared" si="62"/>
        <v>153038</v>
      </c>
      <c r="AF59" s="31">
        <f t="shared" si="62"/>
        <v>153038</v>
      </c>
      <c r="AG59" s="31">
        <f t="shared" si="62"/>
        <v>28244.200000000004</v>
      </c>
      <c r="AH59" s="31">
        <f t="shared" si="62"/>
        <v>28244.200000000004</v>
      </c>
      <c r="AI59" s="32"/>
      <c r="AJ59" s="19">
        <f t="shared" si="3"/>
        <v>1</v>
      </c>
      <c r="AK59" s="22"/>
      <c r="AL59" s="22"/>
      <c r="AM59" s="12"/>
      <c r="AN59" s="12"/>
      <c r="AO59" s="12"/>
      <c r="AP59" s="12">
        <f t="shared" si="15"/>
        <v>0</v>
      </c>
      <c r="AQ59" s="12"/>
      <c r="AR59" s="12">
        <f t="shared" si="16"/>
        <v>0</v>
      </c>
      <c r="AS59" s="12"/>
      <c r="AT59" s="12">
        <f t="shared" si="20"/>
        <v>0</v>
      </c>
      <c r="AU59" s="12"/>
      <c r="AV59" s="12">
        <f t="shared" si="21"/>
        <v>0</v>
      </c>
    </row>
    <row r="60" spans="1:48" s="42" customFormat="1" ht="51.75" hidden="1" x14ac:dyDescent="0.25">
      <c r="A60" s="35" t="s">
        <v>45</v>
      </c>
      <c r="B60" s="36" t="s">
        <v>46</v>
      </c>
      <c r="C60" s="37"/>
      <c r="D60" s="37"/>
      <c r="E60" s="37"/>
      <c r="F60" s="37"/>
      <c r="G60" s="38">
        <f t="shared" ref="G60:P60" si="64">G61</f>
        <v>55806</v>
      </c>
      <c r="H60" s="38">
        <f t="shared" si="64"/>
        <v>55806</v>
      </c>
      <c r="I60" s="38">
        <f t="shared" si="64"/>
        <v>6460</v>
      </c>
      <c r="J60" s="38">
        <f t="shared" si="64"/>
        <v>3460</v>
      </c>
      <c r="K60" s="38">
        <f t="shared" si="64"/>
        <v>6460</v>
      </c>
      <c r="L60" s="38">
        <f t="shared" si="64"/>
        <v>3460</v>
      </c>
      <c r="M60" s="38">
        <f t="shared" si="64"/>
        <v>37700</v>
      </c>
      <c r="N60" s="38">
        <f t="shared" si="64"/>
        <v>37700</v>
      </c>
      <c r="O60" s="38">
        <f t="shared" si="64"/>
        <v>39450</v>
      </c>
      <c r="P60" s="38">
        <f t="shared" si="64"/>
        <v>39450</v>
      </c>
      <c r="Q60" s="38"/>
      <c r="R60" s="39"/>
      <c r="S60" s="38">
        <f t="shared" ref="S60:AH60" si="65">S61</f>
        <v>39450</v>
      </c>
      <c r="T60" s="38">
        <f t="shared" si="65"/>
        <v>39450</v>
      </c>
      <c r="U60" s="38">
        <f t="shared" si="65"/>
        <v>14340</v>
      </c>
      <c r="V60" s="38">
        <f t="shared" si="65"/>
        <v>14340</v>
      </c>
      <c r="W60" s="38">
        <f t="shared" si="65"/>
        <v>4274</v>
      </c>
      <c r="X60" s="38">
        <f t="shared" si="65"/>
        <v>4274</v>
      </c>
      <c r="Y60" s="38">
        <f t="shared" si="65"/>
        <v>0</v>
      </c>
      <c r="Z60" s="38">
        <f t="shared" si="65"/>
        <v>0</v>
      </c>
      <c r="AA60" s="38">
        <f t="shared" si="65"/>
        <v>18614</v>
      </c>
      <c r="AB60" s="38">
        <f t="shared" si="65"/>
        <v>18614</v>
      </c>
      <c r="AC60" s="38">
        <f t="shared" si="65"/>
        <v>20836</v>
      </c>
      <c r="AD60" s="38">
        <f t="shared" si="65"/>
        <v>20836</v>
      </c>
      <c r="AE60" s="38">
        <f t="shared" si="65"/>
        <v>0</v>
      </c>
      <c r="AF60" s="38">
        <f t="shared" si="65"/>
        <v>0</v>
      </c>
      <c r="AG60" s="38">
        <f t="shared" si="65"/>
        <v>0</v>
      </c>
      <c r="AH60" s="38">
        <f t="shared" si="65"/>
        <v>0</v>
      </c>
      <c r="AI60" s="40"/>
      <c r="AJ60" s="19">
        <f t="shared" si="3"/>
        <v>0</v>
      </c>
      <c r="AK60" s="22"/>
      <c r="AL60" s="22"/>
      <c r="AM60" s="12"/>
      <c r="AN60" s="12"/>
      <c r="AO60" s="12"/>
      <c r="AP60" s="12">
        <f t="shared" si="15"/>
        <v>0</v>
      </c>
      <c r="AQ60" s="12"/>
      <c r="AR60" s="12">
        <f t="shared" si="16"/>
        <v>0</v>
      </c>
      <c r="AS60" s="12"/>
      <c r="AT60" s="12">
        <f t="shared" si="20"/>
        <v>0</v>
      </c>
      <c r="AU60" s="12"/>
      <c r="AV60" s="12">
        <f t="shared" si="21"/>
        <v>0</v>
      </c>
    </row>
    <row r="61" spans="1:48" s="49" customFormat="1" ht="34.5" hidden="1" x14ac:dyDescent="0.25">
      <c r="A61" s="43" t="s">
        <v>47</v>
      </c>
      <c r="B61" s="44" t="s">
        <v>48</v>
      </c>
      <c r="C61" s="45"/>
      <c r="D61" s="45"/>
      <c r="E61" s="45"/>
      <c r="F61" s="45"/>
      <c r="G61" s="46">
        <f>G64+G72+G73</f>
        <v>55806</v>
      </c>
      <c r="H61" s="46">
        <f t="shared" ref="H61:T61" si="66">H64+H72+H73</f>
        <v>55806</v>
      </c>
      <c r="I61" s="46">
        <f t="shared" si="66"/>
        <v>6460</v>
      </c>
      <c r="J61" s="46">
        <f t="shared" si="66"/>
        <v>3460</v>
      </c>
      <c r="K61" s="46">
        <f t="shared" si="66"/>
        <v>6460</v>
      </c>
      <c r="L61" s="46">
        <f t="shared" si="66"/>
        <v>3460</v>
      </c>
      <c r="M61" s="46">
        <f t="shared" si="66"/>
        <v>37700</v>
      </c>
      <c r="N61" s="46">
        <f t="shared" si="66"/>
        <v>37700</v>
      </c>
      <c r="O61" s="46">
        <f t="shared" si="66"/>
        <v>39450</v>
      </c>
      <c r="P61" s="46">
        <f t="shared" si="66"/>
        <v>39450</v>
      </c>
      <c r="Q61" s="46">
        <f t="shared" si="66"/>
        <v>0</v>
      </c>
      <c r="R61" s="46">
        <f t="shared" si="66"/>
        <v>0</v>
      </c>
      <c r="S61" s="46">
        <f t="shared" si="66"/>
        <v>39450</v>
      </c>
      <c r="T61" s="46">
        <f t="shared" si="66"/>
        <v>39450</v>
      </c>
      <c r="U61" s="46">
        <f t="shared" ref="U61:X61" si="67">U64+SUM(U72:U73)</f>
        <v>14340</v>
      </c>
      <c r="V61" s="46">
        <f t="shared" si="67"/>
        <v>14340</v>
      </c>
      <c r="W61" s="46">
        <f t="shared" si="67"/>
        <v>4274</v>
      </c>
      <c r="X61" s="46">
        <f t="shared" si="67"/>
        <v>4274</v>
      </c>
      <c r="Y61" s="46">
        <f t="shared" ref="Y61:AH61" si="68">Y64+SUM(Y72:Y73)</f>
        <v>0</v>
      </c>
      <c r="Z61" s="46">
        <f t="shared" si="68"/>
        <v>0</v>
      </c>
      <c r="AA61" s="46">
        <f t="shared" si="68"/>
        <v>18614</v>
      </c>
      <c r="AB61" s="46">
        <f t="shared" si="68"/>
        <v>18614</v>
      </c>
      <c r="AC61" s="46">
        <f t="shared" si="68"/>
        <v>20836</v>
      </c>
      <c r="AD61" s="46">
        <f t="shared" si="68"/>
        <v>20836</v>
      </c>
      <c r="AE61" s="46">
        <f t="shared" si="68"/>
        <v>0</v>
      </c>
      <c r="AF61" s="46">
        <f t="shared" si="68"/>
        <v>0</v>
      </c>
      <c r="AG61" s="46">
        <f t="shared" si="68"/>
        <v>0</v>
      </c>
      <c r="AH61" s="46">
        <f t="shared" si="68"/>
        <v>0</v>
      </c>
      <c r="AI61" s="47"/>
      <c r="AJ61" s="19">
        <f t="shared" si="3"/>
        <v>0</v>
      </c>
      <c r="AK61" s="22"/>
      <c r="AL61" s="22"/>
      <c r="AM61" s="12"/>
      <c r="AN61" s="12"/>
      <c r="AO61" s="12"/>
      <c r="AP61" s="12">
        <f t="shared" si="15"/>
        <v>0</v>
      </c>
      <c r="AQ61" s="12"/>
      <c r="AR61" s="12">
        <f t="shared" si="16"/>
        <v>0</v>
      </c>
      <c r="AS61" s="12"/>
      <c r="AT61" s="12">
        <f t="shared" si="20"/>
        <v>0</v>
      </c>
      <c r="AU61" s="12"/>
      <c r="AV61" s="12">
        <f t="shared" si="21"/>
        <v>0</v>
      </c>
    </row>
    <row r="62" spans="1:48" ht="17.25" hidden="1" x14ac:dyDescent="0.25">
      <c r="A62" s="50"/>
      <c r="B62" s="51" t="s">
        <v>49</v>
      </c>
      <c r="C62" s="52"/>
      <c r="D62" s="52"/>
      <c r="E62" s="52"/>
      <c r="F62" s="52"/>
      <c r="G62" s="53"/>
      <c r="H62" s="53"/>
      <c r="I62" s="53"/>
      <c r="J62" s="53"/>
      <c r="K62" s="53"/>
      <c r="L62" s="53"/>
      <c r="M62" s="53"/>
      <c r="N62" s="53"/>
      <c r="O62" s="53"/>
      <c r="P62" s="53"/>
      <c r="Q62" s="54"/>
      <c r="R62" s="54"/>
      <c r="S62" s="53"/>
      <c r="T62" s="53"/>
      <c r="U62" s="63"/>
      <c r="V62" s="63"/>
      <c r="W62" s="63"/>
      <c r="X62" s="63"/>
      <c r="Y62" s="63"/>
      <c r="Z62" s="63"/>
      <c r="AA62" s="63"/>
      <c r="AB62" s="63"/>
      <c r="AC62" s="63"/>
      <c r="AD62" s="63"/>
      <c r="AE62" s="63"/>
      <c r="AF62" s="63"/>
      <c r="AG62" s="63"/>
      <c r="AH62" s="63"/>
      <c r="AI62" s="55"/>
      <c r="AJ62" s="19">
        <f t="shared" si="3"/>
        <v>0</v>
      </c>
      <c r="AK62" s="22"/>
      <c r="AL62" s="22"/>
      <c r="AP62" s="12">
        <f t="shared" si="15"/>
        <v>0</v>
      </c>
      <c r="AR62" s="12">
        <f t="shared" si="16"/>
        <v>0</v>
      </c>
      <c r="AT62" s="12">
        <f t="shared" si="20"/>
        <v>0</v>
      </c>
      <c r="AV62" s="12">
        <f t="shared" si="21"/>
        <v>0</v>
      </c>
    </row>
    <row r="63" spans="1:48" ht="69" hidden="1" x14ac:dyDescent="0.25">
      <c r="A63" s="50"/>
      <c r="B63" s="56" t="s">
        <v>50</v>
      </c>
      <c r="C63" s="57"/>
      <c r="D63" s="57"/>
      <c r="E63" s="57"/>
      <c r="F63" s="57"/>
      <c r="G63" s="58"/>
      <c r="H63" s="58"/>
      <c r="I63" s="58"/>
      <c r="J63" s="58"/>
      <c r="K63" s="58"/>
      <c r="L63" s="58"/>
      <c r="M63" s="58"/>
      <c r="N63" s="58"/>
      <c r="O63" s="58"/>
      <c r="P63" s="58"/>
      <c r="Q63" s="54"/>
      <c r="R63" s="54"/>
      <c r="S63" s="58"/>
      <c r="T63" s="58"/>
      <c r="U63" s="58">
        <f t="shared" ref="U63:AH63" si="69">U64+U110</f>
        <v>7140</v>
      </c>
      <c r="V63" s="58">
        <f t="shared" si="69"/>
        <v>7140</v>
      </c>
      <c r="W63" s="58">
        <f t="shared" si="69"/>
        <v>4274</v>
      </c>
      <c r="X63" s="58">
        <f t="shared" si="69"/>
        <v>4274</v>
      </c>
      <c r="Y63" s="58">
        <f t="shared" si="69"/>
        <v>0</v>
      </c>
      <c r="Z63" s="58">
        <f t="shared" si="69"/>
        <v>0</v>
      </c>
      <c r="AA63" s="58">
        <f t="shared" si="69"/>
        <v>11414</v>
      </c>
      <c r="AB63" s="58">
        <f t="shared" si="69"/>
        <v>11414</v>
      </c>
      <c r="AC63" s="58">
        <f t="shared" si="69"/>
        <v>21986</v>
      </c>
      <c r="AD63" s="58">
        <f t="shared" si="69"/>
        <v>21986</v>
      </c>
      <c r="AE63" s="58">
        <f t="shared" si="69"/>
        <v>2900</v>
      </c>
      <c r="AF63" s="58">
        <f t="shared" si="69"/>
        <v>2900</v>
      </c>
      <c r="AG63" s="58">
        <f t="shared" si="69"/>
        <v>0</v>
      </c>
      <c r="AH63" s="58">
        <f t="shared" si="69"/>
        <v>0</v>
      </c>
      <c r="AI63" s="59"/>
      <c r="AJ63" s="19">
        <f t="shared" si="3"/>
        <v>0</v>
      </c>
      <c r="AK63" s="22"/>
      <c r="AL63" s="22"/>
      <c r="AP63" s="12">
        <f t="shared" si="15"/>
        <v>0</v>
      </c>
      <c r="AR63" s="12">
        <f t="shared" si="16"/>
        <v>0</v>
      </c>
      <c r="AT63" s="12">
        <f t="shared" si="20"/>
        <v>0</v>
      </c>
      <c r="AV63" s="12">
        <f t="shared" si="21"/>
        <v>0</v>
      </c>
    </row>
    <row r="64" spans="1:48" ht="33" hidden="1" x14ac:dyDescent="0.25">
      <c r="A64" s="60">
        <v>1</v>
      </c>
      <c r="B64" s="67" t="s">
        <v>175</v>
      </c>
      <c r="C64" s="61" t="s">
        <v>176</v>
      </c>
      <c r="D64" s="61"/>
      <c r="E64" s="61" t="s">
        <v>91</v>
      </c>
      <c r="F64" s="61"/>
      <c r="G64" s="80">
        <v>33500</v>
      </c>
      <c r="H64" s="80">
        <v>33500</v>
      </c>
      <c r="I64" s="63"/>
      <c r="J64" s="63"/>
      <c r="K64" s="63"/>
      <c r="L64" s="63"/>
      <c r="M64" s="68">
        <f t="shared" ref="M64:M73" si="70">N64</f>
        <v>30500</v>
      </c>
      <c r="N64" s="63">
        <v>30500</v>
      </c>
      <c r="O64" s="68">
        <f t="shared" ref="O64:O73" si="71">P64</f>
        <v>30500</v>
      </c>
      <c r="P64" s="63">
        <f>SUM(P65:P71)</f>
        <v>30500</v>
      </c>
      <c r="Q64" s="54"/>
      <c r="R64" s="54"/>
      <c r="S64" s="68">
        <f t="shared" ref="S64" si="72">T64</f>
        <v>30500</v>
      </c>
      <c r="T64" s="63">
        <f>SUM(T65:T71)</f>
        <v>30500</v>
      </c>
      <c r="U64" s="63">
        <f>V64</f>
        <v>7140</v>
      </c>
      <c r="V64" s="63">
        <v>7140</v>
      </c>
      <c r="W64" s="63">
        <f>X64</f>
        <v>4274</v>
      </c>
      <c r="X64" s="63">
        <v>4274</v>
      </c>
      <c r="Y64" s="63"/>
      <c r="Z64" s="63"/>
      <c r="AA64" s="63">
        <f t="shared" ref="AA64:AB64" si="73">U64+W64+Y64</f>
        <v>11414</v>
      </c>
      <c r="AB64" s="63">
        <f t="shared" si="73"/>
        <v>11414</v>
      </c>
      <c r="AC64" s="63">
        <f>O64-AA64</f>
        <v>19086</v>
      </c>
      <c r="AD64" s="63">
        <f>P64-AB64</f>
        <v>19086</v>
      </c>
      <c r="AE64" s="63">
        <f t="shared" ref="AE64" si="74">AF64</f>
        <v>0</v>
      </c>
      <c r="AF64" s="63">
        <f t="shared" ref="AF64" si="75">IF(AB64=0,AD64,0)</f>
        <v>0</v>
      </c>
      <c r="AG64" s="63"/>
      <c r="AH64" s="63"/>
      <c r="AI64" s="59"/>
      <c r="AJ64" s="19">
        <f t="shared" si="3"/>
        <v>0</v>
      </c>
      <c r="AK64" s="22">
        <f t="shared" si="14"/>
        <v>0</v>
      </c>
      <c r="AL64" s="22"/>
      <c r="AM64" s="12">
        <f>IF(AJ64=0,1,0)</f>
        <v>1</v>
      </c>
      <c r="AO64" s="12">
        <f>IF(P64=0,1,0)</f>
        <v>0</v>
      </c>
      <c r="AP64" s="12">
        <f t="shared" si="15"/>
        <v>0</v>
      </c>
      <c r="AQ64" s="12">
        <f>IF(N64=0,1,0)</f>
        <v>0</v>
      </c>
      <c r="AR64" s="12">
        <f t="shared" si="16"/>
        <v>0</v>
      </c>
      <c r="AS64" s="12">
        <f>IF(Q64=0,0,1)</f>
        <v>0</v>
      </c>
      <c r="AT64" s="12">
        <f t="shared" si="20"/>
        <v>0</v>
      </c>
      <c r="AU64" s="12">
        <f>IF(R64=0,0,1)</f>
        <v>0</v>
      </c>
      <c r="AV64" s="12">
        <f t="shared" si="21"/>
        <v>0</v>
      </c>
    </row>
    <row r="65" spans="1:48" ht="49.5" hidden="1" x14ac:dyDescent="0.25">
      <c r="A65" s="60"/>
      <c r="B65" s="81" t="s">
        <v>177</v>
      </c>
      <c r="C65" s="82"/>
      <c r="D65" s="61"/>
      <c r="E65" s="83" t="s">
        <v>91</v>
      </c>
      <c r="F65" s="83" t="s">
        <v>178</v>
      </c>
      <c r="G65" s="84">
        <v>237682</v>
      </c>
      <c r="H65" s="84">
        <v>237682</v>
      </c>
      <c r="I65" s="63"/>
      <c r="J65" s="63"/>
      <c r="K65" s="63"/>
      <c r="L65" s="63"/>
      <c r="M65" s="85">
        <f t="shared" si="70"/>
        <v>6038</v>
      </c>
      <c r="N65" s="86">
        <v>6038</v>
      </c>
      <c r="O65" s="85"/>
      <c r="P65" s="86"/>
      <c r="Q65" s="54"/>
      <c r="R65" s="54"/>
      <c r="S65" s="85"/>
      <c r="T65" s="86"/>
      <c r="U65" s="63"/>
      <c r="V65" s="63"/>
      <c r="W65" s="63"/>
      <c r="X65" s="63"/>
      <c r="Y65" s="63"/>
      <c r="Z65" s="63"/>
      <c r="AA65" s="63"/>
      <c r="AB65" s="63"/>
      <c r="AC65" s="63"/>
      <c r="AD65" s="63"/>
      <c r="AE65" s="63"/>
      <c r="AF65" s="63"/>
      <c r="AG65" s="63"/>
      <c r="AH65" s="63"/>
      <c r="AI65" s="69"/>
      <c r="AJ65" s="19">
        <f t="shared" si="3"/>
        <v>0</v>
      </c>
      <c r="AK65" s="22"/>
      <c r="AL65" s="22"/>
    </row>
    <row r="66" spans="1:48" ht="49.5" hidden="1" x14ac:dyDescent="0.25">
      <c r="A66" s="60"/>
      <c r="B66" s="81" t="s">
        <v>179</v>
      </c>
      <c r="C66" s="82"/>
      <c r="D66" s="61"/>
      <c r="E66" s="83" t="s">
        <v>180</v>
      </c>
      <c r="F66" s="83" t="s">
        <v>181</v>
      </c>
      <c r="G66" s="84">
        <v>431152</v>
      </c>
      <c r="H66" s="84">
        <v>431152</v>
      </c>
      <c r="I66" s="63"/>
      <c r="J66" s="63"/>
      <c r="K66" s="63"/>
      <c r="L66" s="63"/>
      <c r="M66" s="85">
        <f t="shared" si="70"/>
        <v>23865</v>
      </c>
      <c r="N66" s="86">
        <v>23865</v>
      </c>
      <c r="O66" s="85"/>
      <c r="P66" s="86"/>
      <c r="Q66" s="54"/>
      <c r="R66" s="54"/>
      <c r="S66" s="85"/>
      <c r="T66" s="86"/>
      <c r="U66" s="63"/>
      <c r="V66" s="63"/>
      <c r="W66" s="63"/>
      <c r="X66" s="63"/>
      <c r="Y66" s="63"/>
      <c r="Z66" s="63"/>
      <c r="AA66" s="63"/>
      <c r="AB66" s="63"/>
      <c r="AC66" s="63"/>
      <c r="AD66" s="63"/>
      <c r="AE66" s="63"/>
      <c r="AF66" s="63"/>
      <c r="AG66" s="63"/>
      <c r="AH66" s="63"/>
      <c r="AI66" s="69"/>
      <c r="AJ66" s="19">
        <f t="shared" si="3"/>
        <v>0</v>
      </c>
      <c r="AK66" s="22"/>
      <c r="AL66" s="22"/>
    </row>
    <row r="67" spans="1:48" ht="49.5" hidden="1" x14ac:dyDescent="0.25">
      <c r="A67" s="60"/>
      <c r="B67" s="81" t="s">
        <v>182</v>
      </c>
      <c r="C67" s="82"/>
      <c r="D67" s="61"/>
      <c r="E67" s="83" t="s">
        <v>183</v>
      </c>
      <c r="F67" s="83" t="s">
        <v>184</v>
      </c>
      <c r="G67" s="84">
        <v>1492</v>
      </c>
      <c r="H67" s="84">
        <v>1492</v>
      </c>
      <c r="I67" s="87">
        <v>522</v>
      </c>
      <c r="J67" s="87">
        <v>522</v>
      </c>
      <c r="K67" s="87">
        <v>522</v>
      </c>
      <c r="L67" s="87">
        <v>522</v>
      </c>
      <c r="M67" s="85">
        <f t="shared" si="70"/>
        <v>582</v>
      </c>
      <c r="N67" s="86">
        <v>582</v>
      </c>
      <c r="O67" s="85">
        <f>P67</f>
        <v>800</v>
      </c>
      <c r="P67" s="86">
        <v>800</v>
      </c>
      <c r="Q67" s="54"/>
      <c r="R67" s="54"/>
      <c r="S67" s="85">
        <f>T67</f>
        <v>800</v>
      </c>
      <c r="T67" s="86">
        <v>800</v>
      </c>
      <c r="U67" s="63"/>
      <c r="V67" s="63"/>
      <c r="W67" s="63"/>
      <c r="X67" s="63"/>
      <c r="Y67" s="63"/>
      <c r="Z67" s="63"/>
      <c r="AA67" s="63"/>
      <c r="AB67" s="63"/>
      <c r="AC67" s="63"/>
      <c r="AD67" s="63"/>
      <c r="AE67" s="63"/>
      <c r="AF67" s="63"/>
      <c r="AG67" s="63"/>
      <c r="AH67" s="63"/>
      <c r="AI67" s="69"/>
      <c r="AJ67" s="19">
        <f t="shared" si="3"/>
        <v>0</v>
      </c>
      <c r="AK67" s="22"/>
      <c r="AL67" s="22"/>
    </row>
    <row r="68" spans="1:48" ht="66" hidden="1" x14ac:dyDescent="0.25">
      <c r="A68" s="60"/>
      <c r="B68" s="81" t="s">
        <v>185</v>
      </c>
      <c r="C68" s="82"/>
      <c r="D68" s="61"/>
      <c r="E68" s="83" t="s">
        <v>180</v>
      </c>
      <c r="F68" s="83" t="s">
        <v>186</v>
      </c>
      <c r="G68" s="84">
        <v>64042</v>
      </c>
      <c r="H68" s="84">
        <f>G68</f>
        <v>64042</v>
      </c>
      <c r="I68" s="87">
        <f t="shared" ref="I68:K70" si="76">J68</f>
        <v>34045</v>
      </c>
      <c r="J68" s="87">
        <v>34045</v>
      </c>
      <c r="K68" s="87">
        <f t="shared" si="76"/>
        <v>34045</v>
      </c>
      <c r="L68" s="87">
        <v>34045</v>
      </c>
      <c r="M68" s="85"/>
      <c r="N68" s="86"/>
      <c r="O68" s="85">
        <f>P68</f>
        <v>18000</v>
      </c>
      <c r="P68" s="86">
        <v>18000</v>
      </c>
      <c r="Q68" s="54"/>
      <c r="R68" s="54"/>
      <c r="S68" s="85">
        <f>T68</f>
        <v>18000</v>
      </c>
      <c r="T68" s="86">
        <v>18000</v>
      </c>
      <c r="U68" s="63"/>
      <c r="V68" s="63"/>
      <c r="W68" s="63"/>
      <c r="X68" s="63"/>
      <c r="Y68" s="63"/>
      <c r="Z68" s="63"/>
      <c r="AA68" s="63"/>
      <c r="AB68" s="63"/>
      <c r="AC68" s="63"/>
      <c r="AD68" s="63"/>
      <c r="AE68" s="63"/>
      <c r="AF68" s="63"/>
      <c r="AG68" s="63"/>
      <c r="AH68" s="63"/>
      <c r="AI68" s="69"/>
      <c r="AJ68" s="19">
        <f t="shared" si="3"/>
        <v>0</v>
      </c>
      <c r="AK68" s="22"/>
      <c r="AL68" s="22"/>
    </row>
    <row r="69" spans="1:48" ht="66" hidden="1" x14ac:dyDescent="0.25">
      <c r="A69" s="60"/>
      <c r="B69" s="81" t="s">
        <v>187</v>
      </c>
      <c r="C69" s="82"/>
      <c r="D69" s="61"/>
      <c r="E69" s="83" t="s">
        <v>180</v>
      </c>
      <c r="F69" s="83" t="s">
        <v>188</v>
      </c>
      <c r="G69" s="84">
        <v>15983</v>
      </c>
      <c r="H69" s="84">
        <f t="shared" ref="H69:H71" si="77">G69</f>
        <v>15983</v>
      </c>
      <c r="I69" s="87">
        <f t="shared" si="76"/>
        <v>11573</v>
      </c>
      <c r="J69" s="87">
        <v>11573</v>
      </c>
      <c r="K69" s="87">
        <f t="shared" si="76"/>
        <v>11573</v>
      </c>
      <c r="L69" s="87">
        <v>11573</v>
      </c>
      <c r="M69" s="85"/>
      <c r="N69" s="86"/>
      <c r="O69" s="85">
        <f t="shared" ref="O69:O70" si="78">P69</f>
        <v>2800</v>
      </c>
      <c r="P69" s="86">
        <v>2800</v>
      </c>
      <c r="Q69" s="54"/>
      <c r="R69" s="54"/>
      <c r="S69" s="85">
        <f t="shared" ref="S69:S70" si="79">T69</f>
        <v>2800</v>
      </c>
      <c r="T69" s="86">
        <v>2800</v>
      </c>
      <c r="U69" s="63"/>
      <c r="V69" s="63"/>
      <c r="W69" s="63"/>
      <c r="X69" s="63"/>
      <c r="Y69" s="63"/>
      <c r="Z69" s="63"/>
      <c r="AA69" s="63"/>
      <c r="AB69" s="63"/>
      <c r="AC69" s="63"/>
      <c r="AD69" s="63"/>
      <c r="AE69" s="63"/>
      <c r="AF69" s="63"/>
      <c r="AG69" s="63"/>
      <c r="AH69" s="63"/>
      <c r="AI69" s="69"/>
      <c r="AJ69" s="19">
        <f t="shared" si="3"/>
        <v>0</v>
      </c>
      <c r="AK69" s="22"/>
      <c r="AL69" s="22"/>
    </row>
    <row r="70" spans="1:48" ht="66" hidden="1" x14ac:dyDescent="0.25">
      <c r="A70" s="60"/>
      <c r="B70" s="81" t="s">
        <v>189</v>
      </c>
      <c r="C70" s="82"/>
      <c r="D70" s="61"/>
      <c r="E70" s="83" t="s">
        <v>180</v>
      </c>
      <c r="F70" s="83" t="s">
        <v>190</v>
      </c>
      <c r="G70" s="84">
        <v>20599</v>
      </c>
      <c r="H70" s="84">
        <f t="shared" si="77"/>
        <v>20599</v>
      </c>
      <c r="I70" s="87">
        <f t="shared" si="76"/>
        <v>9559</v>
      </c>
      <c r="J70" s="87">
        <v>9559</v>
      </c>
      <c r="K70" s="87">
        <f t="shared" si="76"/>
        <v>9559</v>
      </c>
      <c r="L70" s="87">
        <v>9559</v>
      </c>
      <c r="M70" s="85"/>
      <c r="N70" s="86"/>
      <c r="O70" s="85">
        <f t="shared" si="78"/>
        <v>8900</v>
      </c>
      <c r="P70" s="86">
        <v>8900</v>
      </c>
      <c r="Q70" s="54"/>
      <c r="R70" s="54"/>
      <c r="S70" s="85">
        <f t="shared" si="79"/>
        <v>8900</v>
      </c>
      <c r="T70" s="86">
        <v>8900</v>
      </c>
      <c r="U70" s="63"/>
      <c r="V70" s="63"/>
      <c r="W70" s="63"/>
      <c r="X70" s="63"/>
      <c r="Y70" s="63"/>
      <c r="Z70" s="63"/>
      <c r="AA70" s="63"/>
      <c r="AB70" s="63"/>
      <c r="AC70" s="63"/>
      <c r="AD70" s="63"/>
      <c r="AE70" s="63"/>
      <c r="AF70" s="63"/>
      <c r="AG70" s="63"/>
      <c r="AH70" s="63"/>
      <c r="AI70" s="69"/>
      <c r="AJ70" s="19">
        <f t="shared" si="3"/>
        <v>0</v>
      </c>
      <c r="AK70" s="22"/>
      <c r="AL70" s="22"/>
    </row>
    <row r="71" spans="1:48" ht="66" hidden="1" x14ac:dyDescent="0.25">
      <c r="A71" s="60"/>
      <c r="B71" s="81" t="s">
        <v>191</v>
      </c>
      <c r="C71" s="82"/>
      <c r="D71" s="61"/>
      <c r="E71" s="83" t="s">
        <v>180</v>
      </c>
      <c r="F71" s="83" t="s">
        <v>192</v>
      </c>
      <c r="G71" s="84">
        <v>1743</v>
      </c>
      <c r="H71" s="84">
        <f t="shared" si="77"/>
        <v>1743</v>
      </c>
      <c r="I71" s="87">
        <f>J71</f>
        <v>1688</v>
      </c>
      <c r="J71" s="87">
        <v>1688</v>
      </c>
      <c r="K71" s="87">
        <f>L71</f>
        <v>1688</v>
      </c>
      <c r="L71" s="87">
        <v>1688</v>
      </c>
      <c r="M71" s="85"/>
      <c r="N71" s="86"/>
      <c r="O71" s="85"/>
      <c r="P71" s="86"/>
      <c r="Q71" s="54"/>
      <c r="R71" s="54"/>
      <c r="S71" s="85"/>
      <c r="T71" s="86"/>
      <c r="U71" s="63"/>
      <c r="V71" s="63"/>
      <c r="W71" s="63"/>
      <c r="X71" s="63"/>
      <c r="Y71" s="63"/>
      <c r="Z71" s="63"/>
      <c r="AA71" s="63"/>
      <c r="AB71" s="63"/>
      <c r="AC71" s="63"/>
      <c r="AD71" s="63"/>
      <c r="AE71" s="63"/>
      <c r="AF71" s="63"/>
      <c r="AG71" s="63"/>
      <c r="AH71" s="63"/>
      <c r="AI71" s="69"/>
      <c r="AJ71" s="19">
        <f t="shared" si="3"/>
        <v>0</v>
      </c>
      <c r="AK71" s="22"/>
      <c r="AL71" s="22"/>
    </row>
    <row r="72" spans="1:48" s="89" customFormat="1" ht="115.5" hidden="1" x14ac:dyDescent="0.25">
      <c r="A72" s="60">
        <v>2</v>
      </c>
      <c r="B72" s="67" t="s">
        <v>193</v>
      </c>
      <c r="C72" s="61" t="s">
        <v>194</v>
      </c>
      <c r="D72" s="61" t="s">
        <v>195</v>
      </c>
      <c r="E72" s="88" t="s">
        <v>72</v>
      </c>
      <c r="F72" s="61" t="s">
        <v>196</v>
      </c>
      <c r="G72" s="80">
        <f>H72</f>
        <v>14678</v>
      </c>
      <c r="H72" s="80">
        <v>14678</v>
      </c>
      <c r="I72" s="63">
        <f>J72</f>
        <v>3460</v>
      </c>
      <c r="J72" s="80">
        <v>3460</v>
      </c>
      <c r="K72" s="63">
        <f>L72</f>
        <v>3460</v>
      </c>
      <c r="L72" s="63">
        <f>J72</f>
        <v>3460</v>
      </c>
      <c r="M72" s="68">
        <f t="shared" si="70"/>
        <v>3900</v>
      </c>
      <c r="N72" s="63">
        <v>3900</v>
      </c>
      <c r="O72" s="68">
        <f t="shared" si="71"/>
        <v>4650</v>
      </c>
      <c r="P72" s="63">
        <v>4650</v>
      </c>
      <c r="Q72" s="54"/>
      <c r="R72" s="54"/>
      <c r="S72" s="68">
        <f t="shared" ref="S72:S73" si="80">T72</f>
        <v>4650</v>
      </c>
      <c r="T72" s="63">
        <v>4650</v>
      </c>
      <c r="U72" s="63">
        <f>V72</f>
        <v>3900</v>
      </c>
      <c r="V72" s="63">
        <v>3900</v>
      </c>
      <c r="W72" s="63"/>
      <c r="X72" s="63"/>
      <c r="Y72" s="63"/>
      <c r="Z72" s="63"/>
      <c r="AA72" s="63">
        <f t="shared" ref="AA72:AB73" si="81">U72+W72+Y72</f>
        <v>3900</v>
      </c>
      <c r="AB72" s="63">
        <f t="shared" si="81"/>
        <v>3900</v>
      </c>
      <c r="AC72" s="63">
        <f>O72-AA72</f>
        <v>750</v>
      </c>
      <c r="AD72" s="63">
        <f>P72-AB72</f>
        <v>750</v>
      </c>
      <c r="AE72" s="63">
        <f t="shared" ref="AE72:AE73" si="82">AF72</f>
        <v>0</v>
      </c>
      <c r="AF72" s="63">
        <f t="shared" ref="AF72:AF73" si="83">IF(AB72=0,AD72,0)</f>
        <v>0</v>
      </c>
      <c r="AG72" s="63"/>
      <c r="AH72" s="63"/>
      <c r="AI72" s="69"/>
      <c r="AJ72" s="19">
        <f t="shared" si="3"/>
        <v>0</v>
      </c>
      <c r="AK72" s="22">
        <f t="shared" si="14"/>
        <v>0</v>
      </c>
      <c r="AL72" s="22"/>
      <c r="AM72" s="12">
        <f>IF(AJ72=0,1,0)</f>
        <v>1</v>
      </c>
      <c r="AN72" s="12"/>
      <c r="AO72" s="12">
        <f>IF(P72=0,1,0)</f>
        <v>0</v>
      </c>
      <c r="AP72" s="12">
        <f t="shared" ref="AP72:AP87" si="84">IF(AO72=1,N72,0)</f>
        <v>0</v>
      </c>
      <c r="AQ72" s="12">
        <f>IF(N72=0,1,0)</f>
        <v>0</v>
      </c>
      <c r="AR72" s="12">
        <f t="shared" ref="AR72:AR135" si="85">IF(AQ72=1,P72,0)</f>
        <v>0</v>
      </c>
      <c r="AS72" s="12">
        <f>IF(Q72=0,0,1)</f>
        <v>0</v>
      </c>
      <c r="AT72" s="12">
        <f t="shared" si="20"/>
        <v>0</v>
      </c>
      <c r="AU72" s="12">
        <f>IF(R72=0,0,1)</f>
        <v>0</v>
      </c>
      <c r="AV72" s="12">
        <f t="shared" si="21"/>
        <v>0</v>
      </c>
    </row>
    <row r="73" spans="1:48" ht="49.5" hidden="1" x14ac:dyDescent="0.25">
      <c r="A73" s="60">
        <v>3</v>
      </c>
      <c r="B73" s="67" t="s">
        <v>197</v>
      </c>
      <c r="C73" s="61" t="s">
        <v>58</v>
      </c>
      <c r="D73" s="61" t="s">
        <v>198</v>
      </c>
      <c r="E73" s="88" t="s">
        <v>199</v>
      </c>
      <c r="F73" s="61" t="s">
        <v>200</v>
      </c>
      <c r="G73" s="80">
        <v>7628</v>
      </c>
      <c r="H73" s="80">
        <v>7628</v>
      </c>
      <c r="I73" s="63">
        <v>3000</v>
      </c>
      <c r="J73" s="80"/>
      <c r="K73" s="63">
        <v>3000</v>
      </c>
      <c r="L73" s="63"/>
      <c r="M73" s="68">
        <f t="shared" si="70"/>
        <v>3300</v>
      </c>
      <c r="N73" s="63">
        <v>3300</v>
      </c>
      <c r="O73" s="68">
        <f t="shared" si="71"/>
        <v>4300</v>
      </c>
      <c r="P73" s="63">
        <v>4300</v>
      </c>
      <c r="Q73" s="54"/>
      <c r="R73" s="54"/>
      <c r="S73" s="68">
        <f t="shared" si="80"/>
        <v>4300</v>
      </c>
      <c r="T73" s="63">
        <v>4300</v>
      </c>
      <c r="U73" s="63">
        <f>V73</f>
        <v>3300</v>
      </c>
      <c r="V73" s="63">
        <v>3300</v>
      </c>
      <c r="W73" s="63"/>
      <c r="X73" s="63"/>
      <c r="Y73" s="63"/>
      <c r="Z73" s="63"/>
      <c r="AA73" s="63">
        <f t="shared" si="81"/>
        <v>3300</v>
      </c>
      <c r="AB73" s="63">
        <f t="shared" si="81"/>
        <v>3300</v>
      </c>
      <c r="AC73" s="63">
        <f>O73-AA73</f>
        <v>1000</v>
      </c>
      <c r="AD73" s="63">
        <f>P73-AB73</f>
        <v>1000</v>
      </c>
      <c r="AE73" s="63">
        <f t="shared" si="82"/>
        <v>0</v>
      </c>
      <c r="AF73" s="63">
        <f t="shared" si="83"/>
        <v>0</v>
      </c>
      <c r="AG73" s="63"/>
      <c r="AH73" s="63"/>
      <c r="AI73" s="69"/>
      <c r="AJ73" s="19">
        <f t="shared" si="3"/>
        <v>0</v>
      </c>
      <c r="AK73" s="22">
        <f t="shared" si="14"/>
        <v>0</v>
      </c>
      <c r="AL73" s="22"/>
      <c r="AM73" s="12">
        <f>IF(AJ73=0,1,0)</f>
        <v>1</v>
      </c>
      <c r="AO73" s="12">
        <f>IF(P73=0,1,0)</f>
        <v>0</v>
      </c>
      <c r="AP73" s="12">
        <f t="shared" si="84"/>
        <v>0</v>
      </c>
      <c r="AQ73" s="12">
        <f>IF(N73=0,1,0)</f>
        <v>0</v>
      </c>
      <c r="AR73" s="12">
        <f t="shared" si="85"/>
        <v>0</v>
      </c>
      <c r="AS73" s="12">
        <f>IF(Q73=0,0,1)</f>
        <v>0</v>
      </c>
      <c r="AT73" s="12">
        <f t="shared" si="20"/>
        <v>0</v>
      </c>
      <c r="AU73" s="12">
        <f>IF(R73=0,0,1)</f>
        <v>0</v>
      </c>
      <c r="AV73" s="12">
        <f t="shared" si="21"/>
        <v>0</v>
      </c>
    </row>
    <row r="74" spans="1:48" s="42" customFormat="1" ht="40.5" customHeight="1" x14ac:dyDescent="0.25">
      <c r="A74" s="35" t="s">
        <v>85</v>
      </c>
      <c r="B74" s="36" t="s">
        <v>86</v>
      </c>
      <c r="C74" s="37"/>
      <c r="D74" s="37"/>
      <c r="E74" s="37"/>
      <c r="F74" s="37"/>
      <c r="G74" s="38">
        <f>G75</f>
        <v>109438</v>
      </c>
      <c r="H74" s="38">
        <f t="shared" ref="H74:L74" si="86">H75</f>
        <v>109438</v>
      </c>
      <c r="I74" s="38">
        <f t="shared" si="86"/>
        <v>0</v>
      </c>
      <c r="J74" s="38">
        <f t="shared" si="86"/>
        <v>0</v>
      </c>
      <c r="K74" s="38">
        <f t="shared" si="86"/>
        <v>0</v>
      </c>
      <c r="L74" s="38">
        <f t="shared" si="86"/>
        <v>0</v>
      </c>
      <c r="M74" s="38">
        <f t="shared" ref="M74:AH74" si="87">M75+M124</f>
        <v>88730</v>
      </c>
      <c r="N74" s="38">
        <f t="shared" si="87"/>
        <v>88730</v>
      </c>
      <c r="O74" s="38">
        <f t="shared" si="87"/>
        <v>89860</v>
      </c>
      <c r="P74" s="38">
        <f t="shared" si="87"/>
        <v>89860</v>
      </c>
      <c r="Q74" s="38">
        <f t="shared" si="87"/>
        <v>2400</v>
      </c>
      <c r="R74" s="38">
        <f t="shared" si="87"/>
        <v>33172</v>
      </c>
      <c r="S74" s="38">
        <f t="shared" ref="S74:X74" si="88">S75</f>
        <v>38500</v>
      </c>
      <c r="T74" s="38">
        <f t="shared" si="88"/>
        <v>38500</v>
      </c>
      <c r="U74" s="38">
        <f t="shared" si="88"/>
        <v>0</v>
      </c>
      <c r="V74" s="38">
        <f t="shared" si="88"/>
        <v>0</v>
      </c>
      <c r="W74" s="38">
        <f t="shared" si="88"/>
        <v>0</v>
      </c>
      <c r="X74" s="38">
        <f t="shared" si="88"/>
        <v>0</v>
      </c>
      <c r="Y74" s="38">
        <f t="shared" si="87"/>
        <v>65293</v>
      </c>
      <c r="Z74" s="38">
        <f t="shared" si="87"/>
        <v>65293</v>
      </c>
      <c r="AA74" s="38">
        <f t="shared" si="87"/>
        <v>141924</v>
      </c>
      <c r="AB74" s="38">
        <f t="shared" si="87"/>
        <v>141924</v>
      </c>
      <c r="AC74" s="38">
        <f t="shared" si="87"/>
        <v>158038</v>
      </c>
      <c r="AD74" s="38">
        <f t="shared" si="87"/>
        <v>158038</v>
      </c>
      <c r="AE74" s="38">
        <f t="shared" si="87"/>
        <v>153038</v>
      </c>
      <c r="AF74" s="38">
        <f t="shared" si="87"/>
        <v>153038</v>
      </c>
      <c r="AG74" s="38">
        <f t="shared" si="87"/>
        <v>28244.200000000004</v>
      </c>
      <c r="AH74" s="38">
        <f t="shared" si="87"/>
        <v>28244.200000000004</v>
      </c>
      <c r="AI74" s="40"/>
      <c r="AJ74" s="19">
        <f t="shared" si="3"/>
        <v>1</v>
      </c>
      <c r="AK74" s="22"/>
      <c r="AL74" s="22"/>
      <c r="AM74" s="12"/>
      <c r="AN74" s="12"/>
      <c r="AO74" s="12"/>
      <c r="AP74" s="12">
        <f t="shared" si="84"/>
        <v>0</v>
      </c>
      <c r="AQ74" s="12"/>
      <c r="AR74" s="12">
        <f t="shared" si="85"/>
        <v>0</v>
      </c>
      <c r="AS74" s="12"/>
      <c r="AT74" s="12">
        <f t="shared" si="20"/>
        <v>0</v>
      </c>
      <c r="AU74" s="12"/>
      <c r="AV74" s="12">
        <f t="shared" si="21"/>
        <v>0</v>
      </c>
    </row>
    <row r="75" spans="1:48" s="49" customFormat="1" ht="58.5" customHeight="1" x14ac:dyDescent="0.25">
      <c r="A75" s="43" t="s">
        <v>87</v>
      </c>
      <c r="B75" s="44" t="s">
        <v>88</v>
      </c>
      <c r="C75" s="72"/>
      <c r="D75" s="72"/>
      <c r="E75" s="72"/>
      <c r="F75" s="72"/>
      <c r="G75" s="46">
        <f t="shared" ref="G75:H75" si="89">G83+G104+G109+G112+G121+G88</f>
        <v>109438</v>
      </c>
      <c r="H75" s="46">
        <f t="shared" si="89"/>
        <v>109438</v>
      </c>
      <c r="I75" s="46">
        <f t="shared" ref="I75:AH75" si="90">SUM(I76:I123)</f>
        <v>0</v>
      </c>
      <c r="J75" s="46">
        <f t="shared" si="90"/>
        <v>0</v>
      </c>
      <c r="K75" s="46">
        <f t="shared" si="90"/>
        <v>0</v>
      </c>
      <c r="L75" s="46">
        <f t="shared" si="90"/>
        <v>0</v>
      </c>
      <c r="M75" s="46">
        <f t="shared" ref="M75:Q75" si="91">M83+M104+M109+M112+M121+M88</f>
        <v>73600</v>
      </c>
      <c r="N75" s="46">
        <f t="shared" si="91"/>
        <v>73600</v>
      </c>
      <c r="O75" s="46">
        <f t="shared" si="91"/>
        <v>69272</v>
      </c>
      <c r="P75" s="46">
        <f t="shared" si="91"/>
        <v>69272</v>
      </c>
      <c r="Q75" s="46">
        <f t="shared" si="91"/>
        <v>2400</v>
      </c>
      <c r="R75" s="46">
        <f>R83+R104+R109+R112+R121+R88</f>
        <v>33172</v>
      </c>
      <c r="S75" s="46">
        <f t="shared" ref="S75:T75" si="92">S83+S104+S109+S112+S121+S88</f>
        <v>38500</v>
      </c>
      <c r="T75" s="46">
        <f t="shared" si="92"/>
        <v>38500</v>
      </c>
      <c r="U75" s="46">
        <f t="shared" ref="U75:X75" si="93">U83</f>
        <v>0</v>
      </c>
      <c r="V75" s="46">
        <f t="shared" si="93"/>
        <v>0</v>
      </c>
      <c r="W75" s="46">
        <f t="shared" si="93"/>
        <v>0</v>
      </c>
      <c r="X75" s="46">
        <f t="shared" si="93"/>
        <v>0</v>
      </c>
      <c r="Y75" s="46">
        <f t="shared" si="90"/>
        <v>65293</v>
      </c>
      <c r="Z75" s="46">
        <f t="shared" si="90"/>
        <v>65293</v>
      </c>
      <c r="AA75" s="46">
        <f t="shared" si="90"/>
        <v>141924</v>
      </c>
      <c r="AB75" s="46">
        <f t="shared" si="90"/>
        <v>141924</v>
      </c>
      <c r="AC75" s="46">
        <f t="shared" si="90"/>
        <v>158038</v>
      </c>
      <c r="AD75" s="46">
        <f t="shared" si="90"/>
        <v>158038</v>
      </c>
      <c r="AE75" s="46">
        <f t="shared" si="90"/>
        <v>153038</v>
      </c>
      <c r="AF75" s="46">
        <f t="shared" si="90"/>
        <v>153038</v>
      </c>
      <c r="AG75" s="46">
        <f t="shared" si="90"/>
        <v>0</v>
      </c>
      <c r="AH75" s="46">
        <f t="shared" si="90"/>
        <v>0</v>
      </c>
      <c r="AI75" s="73"/>
      <c r="AJ75" s="19">
        <f t="shared" si="3"/>
        <v>1</v>
      </c>
      <c r="AK75" s="22"/>
      <c r="AL75" s="22"/>
      <c r="AM75" s="12"/>
      <c r="AN75" s="12"/>
      <c r="AO75" s="12"/>
      <c r="AP75" s="12">
        <f t="shared" si="84"/>
        <v>0</v>
      </c>
      <c r="AQ75" s="12"/>
      <c r="AR75" s="12">
        <f t="shared" si="85"/>
        <v>0</v>
      </c>
      <c r="AS75" s="12"/>
      <c r="AT75" s="12">
        <f t="shared" si="20"/>
        <v>0</v>
      </c>
      <c r="AU75" s="12"/>
      <c r="AV75" s="12">
        <f t="shared" si="21"/>
        <v>0</v>
      </c>
    </row>
    <row r="76" spans="1:48" ht="99" hidden="1" x14ac:dyDescent="0.25">
      <c r="A76" s="60">
        <v>4</v>
      </c>
      <c r="B76" s="9" t="s">
        <v>201</v>
      </c>
      <c r="C76" s="61" t="s">
        <v>202</v>
      </c>
      <c r="D76" s="61" t="s">
        <v>203</v>
      </c>
      <c r="E76" s="61" t="s">
        <v>97</v>
      </c>
      <c r="F76" s="1" t="s">
        <v>899</v>
      </c>
      <c r="G76" s="7">
        <f>H76</f>
        <v>8560</v>
      </c>
      <c r="H76" s="2">
        <v>8560</v>
      </c>
      <c r="I76" s="63"/>
      <c r="J76" s="63"/>
      <c r="K76" s="63"/>
      <c r="L76" s="63"/>
      <c r="M76" s="68">
        <f>N76</f>
        <v>7500</v>
      </c>
      <c r="N76" s="68">
        <v>7500</v>
      </c>
      <c r="O76" s="68">
        <f>P76</f>
        <v>8000</v>
      </c>
      <c r="P76" s="68">
        <v>8000</v>
      </c>
      <c r="Q76" s="68"/>
      <c r="R76" s="68"/>
      <c r="S76" s="68">
        <f>T76</f>
        <v>8000</v>
      </c>
      <c r="T76" s="68">
        <v>8000</v>
      </c>
      <c r="U76" s="63">
        <v>6000</v>
      </c>
      <c r="V76" s="63">
        <v>6000</v>
      </c>
      <c r="W76" s="63">
        <f>X76</f>
        <v>1700</v>
      </c>
      <c r="X76" s="63">
        <v>1700</v>
      </c>
      <c r="Y76" s="63">
        <f>Z76</f>
        <v>300</v>
      </c>
      <c r="Z76" s="63">
        <f t="shared" ref="Z76:Z82" si="94">P76-V76-X76</f>
        <v>300</v>
      </c>
      <c r="AA76" s="63">
        <f t="shared" ref="AA76:AB123" si="95">U76+W76+Y76</f>
        <v>8000</v>
      </c>
      <c r="AB76" s="63">
        <f t="shared" si="95"/>
        <v>8000</v>
      </c>
      <c r="AC76" s="63">
        <f t="shared" ref="AC76:AD123" si="96">O76-AA76</f>
        <v>0</v>
      </c>
      <c r="AD76" s="63">
        <f t="shared" si="96"/>
        <v>0</v>
      </c>
      <c r="AE76" s="63">
        <f t="shared" ref="AE76:AE123" si="97">AF76</f>
        <v>0</v>
      </c>
      <c r="AF76" s="63">
        <f t="shared" ref="AF76:AF123" si="98">IF(AB76=0,AD76,0)</f>
        <v>0</v>
      </c>
      <c r="AG76" s="63"/>
      <c r="AH76" s="63"/>
      <c r="AI76" s="69"/>
      <c r="AJ76" s="19">
        <f t="shared" si="3"/>
        <v>0</v>
      </c>
      <c r="AK76" s="22">
        <f t="shared" si="14"/>
        <v>0</v>
      </c>
      <c r="AL76" s="22"/>
      <c r="AM76" s="12">
        <f t="shared" ref="AM76:AM123" si="99">IF(AJ76=0,1,0)</f>
        <v>1</v>
      </c>
      <c r="AO76" s="12">
        <f t="shared" ref="AO76:AO97" si="100">IF(P76=0,1,0)</f>
        <v>0</v>
      </c>
      <c r="AP76" s="12">
        <f t="shared" si="84"/>
        <v>0</v>
      </c>
      <c r="AQ76" s="12">
        <f t="shared" ref="AQ76:AQ123" si="101">IF(N76=0,1,0)</f>
        <v>0</v>
      </c>
      <c r="AR76" s="12">
        <f t="shared" si="85"/>
        <v>0</v>
      </c>
      <c r="AS76" s="12">
        <f t="shared" ref="AS76:AS120" si="102">IF(Q76=0,0,1)</f>
        <v>0</v>
      </c>
      <c r="AT76" s="12">
        <f t="shared" si="20"/>
        <v>0</v>
      </c>
      <c r="AU76" s="12">
        <f t="shared" ref="AU76:AU95" si="103">IF(R76=0,0,1)</f>
        <v>0</v>
      </c>
      <c r="AV76" s="12">
        <f t="shared" si="21"/>
        <v>0</v>
      </c>
    </row>
    <row r="77" spans="1:48" ht="49.5" hidden="1" x14ac:dyDescent="0.25">
      <c r="A77" s="60">
        <v>5</v>
      </c>
      <c r="B77" s="9" t="s">
        <v>204</v>
      </c>
      <c r="C77" s="61" t="s">
        <v>205</v>
      </c>
      <c r="D77" s="61" t="s">
        <v>206</v>
      </c>
      <c r="E77" s="61" t="s">
        <v>97</v>
      </c>
      <c r="F77" s="61" t="s">
        <v>207</v>
      </c>
      <c r="G77" s="80">
        <v>26895</v>
      </c>
      <c r="H77" s="74">
        <f t="shared" ref="H77:H83" si="104">G77</f>
        <v>26895</v>
      </c>
      <c r="I77" s="63"/>
      <c r="J77" s="63"/>
      <c r="K77" s="63"/>
      <c r="L77" s="63"/>
      <c r="M77" s="68">
        <f t="shared" ref="M77:M83" si="105">N77</f>
        <v>5500</v>
      </c>
      <c r="N77" s="68">
        <v>5500</v>
      </c>
      <c r="O77" s="68">
        <f t="shared" ref="O77:O83" si="106">P77</f>
        <v>5500</v>
      </c>
      <c r="P77" s="68">
        <v>5500</v>
      </c>
      <c r="Q77" s="68"/>
      <c r="R77" s="68"/>
      <c r="S77" s="68">
        <f t="shared" ref="S77:S83" si="107">T77</f>
        <v>5500</v>
      </c>
      <c r="T77" s="68">
        <v>5500</v>
      </c>
      <c r="U77" s="63">
        <v>3740</v>
      </c>
      <c r="V77" s="63">
        <v>3740</v>
      </c>
      <c r="W77" s="63">
        <v>1000</v>
      </c>
      <c r="X77" s="63">
        <v>1000</v>
      </c>
      <c r="Y77" s="63">
        <f t="shared" ref="Y77:Y95" si="108">Z77</f>
        <v>760</v>
      </c>
      <c r="Z77" s="63">
        <f t="shared" si="94"/>
        <v>760</v>
      </c>
      <c r="AA77" s="63">
        <f t="shared" si="95"/>
        <v>5500</v>
      </c>
      <c r="AB77" s="63">
        <f t="shared" si="95"/>
        <v>5500</v>
      </c>
      <c r="AC77" s="63">
        <f t="shared" si="96"/>
        <v>0</v>
      </c>
      <c r="AD77" s="63">
        <f t="shared" si="96"/>
        <v>0</v>
      </c>
      <c r="AE77" s="63">
        <f t="shared" si="97"/>
        <v>0</v>
      </c>
      <c r="AF77" s="63">
        <f t="shared" si="98"/>
        <v>0</v>
      </c>
      <c r="AG77" s="63"/>
      <c r="AH77" s="63"/>
      <c r="AI77" s="69"/>
      <c r="AJ77" s="19">
        <f t="shared" si="3"/>
        <v>0</v>
      </c>
      <c r="AK77" s="22">
        <f t="shared" si="14"/>
        <v>0</v>
      </c>
      <c r="AL77" s="22"/>
      <c r="AM77" s="12">
        <f t="shared" si="99"/>
        <v>1</v>
      </c>
      <c r="AO77" s="12">
        <f t="shared" si="100"/>
        <v>0</v>
      </c>
      <c r="AP77" s="12">
        <f t="shared" si="84"/>
        <v>0</v>
      </c>
      <c r="AQ77" s="12">
        <f t="shared" si="101"/>
        <v>0</v>
      </c>
      <c r="AR77" s="12">
        <f t="shared" si="85"/>
        <v>0</v>
      </c>
      <c r="AS77" s="12">
        <f t="shared" si="102"/>
        <v>0</v>
      </c>
      <c r="AT77" s="12">
        <f t="shared" si="20"/>
        <v>0</v>
      </c>
      <c r="AU77" s="12">
        <f t="shared" si="103"/>
        <v>0</v>
      </c>
      <c r="AV77" s="12">
        <f t="shared" si="21"/>
        <v>0</v>
      </c>
    </row>
    <row r="78" spans="1:48" ht="49.5" hidden="1" x14ac:dyDescent="0.25">
      <c r="A78" s="60">
        <v>6</v>
      </c>
      <c r="B78" s="9" t="s">
        <v>208</v>
      </c>
      <c r="C78" s="61" t="s">
        <v>194</v>
      </c>
      <c r="D78" s="61" t="s">
        <v>209</v>
      </c>
      <c r="E78" s="61" t="s">
        <v>183</v>
      </c>
      <c r="F78" s="61" t="s">
        <v>210</v>
      </c>
      <c r="G78" s="80">
        <v>24984</v>
      </c>
      <c r="H78" s="74">
        <f t="shared" si="104"/>
        <v>24984</v>
      </c>
      <c r="I78" s="63"/>
      <c r="J78" s="63"/>
      <c r="K78" s="63"/>
      <c r="L78" s="63"/>
      <c r="M78" s="68">
        <f t="shared" si="105"/>
        <v>20500</v>
      </c>
      <c r="N78" s="68">
        <v>20500</v>
      </c>
      <c r="O78" s="68">
        <f t="shared" si="106"/>
        <v>12500</v>
      </c>
      <c r="P78" s="68">
        <v>12500</v>
      </c>
      <c r="Q78" s="68"/>
      <c r="R78" s="68"/>
      <c r="S78" s="68">
        <f t="shared" si="107"/>
        <v>12500</v>
      </c>
      <c r="T78" s="68">
        <v>12500</v>
      </c>
      <c r="U78" s="63">
        <v>6000</v>
      </c>
      <c r="V78" s="63">
        <v>6000</v>
      </c>
      <c r="W78" s="63">
        <f>X78</f>
        <v>200</v>
      </c>
      <c r="X78" s="63">
        <v>200</v>
      </c>
      <c r="Y78" s="63">
        <f t="shared" si="108"/>
        <v>6300</v>
      </c>
      <c r="Z78" s="63">
        <f t="shared" si="94"/>
        <v>6300</v>
      </c>
      <c r="AA78" s="63">
        <f t="shared" si="95"/>
        <v>12500</v>
      </c>
      <c r="AB78" s="63">
        <f t="shared" si="95"/>
        <v>12500</v>
      </c>
      <c r="AC78" s="63">
        <f t="shared" si="96"/>
        <v>0</v>
      </c>
      <c r="AD78" s="63">
        <f t="shared" si="96"/>
        <v>0</v>
      </c>
      <c r="AE78" s="63">
        <f t="shared" si="97"/>
        <v>0</v>
      </c>
      <c r="AF78" s="63">
        <f t="shared" si="98"/>
        <v>0</v>
      </c>
      <c r="AG78" s="63"/>
      <c r="AH78" s="63"/>
      <c r="AI78" s="25" t="s">
        <v>211</v>
      </c>
      <c r="AJ78" s="19">
        <f t="shared" si="3"/>
        <v>0</v>
      </c>
      <c r="AK78" s="22">
        <f t="shared" si="14"/>
        <v>0</v>
      </c>
      <c r="AL78" s="22"/>
      <c r="AM78" s="12">
        <f t="shared" si="99"/>
        <v>1</v>
      </c>
      <c r="AO78" s="12">
        <f t="shared" si="100"/>
        <v>0</v>
      </c>
      <c r="AP78" s="12">
        <f t="shared" si="84"/>
        <v>0</v>
      </c>
      <c r="AQ78" s="12">
        <f t="shared" si="101"/>
        <v>0</v>
      </c>
      <c r="AR78" s="12">
        <f t="shared" si="85"/>
        <v>0</v>
      </c>
      <c r="AS78" s="12">
        <f t="shared" si="102"/>
        <v>0</v>
      </c>
      <c r="AT78" s="12">
        <f t="shared" si="20"/>
        <v>0</v>
      </c>
      <c r="AU78" s="12">
        <f t="shared" si="103"/>
        <v>0</v>
      </c>
      <c r="AV78" s="12">
        <f t="shared" si="21"/>
        <v>0</v>
      </c>
    </row>
    <row r="79" spans="1:48" ht="49.5" hidden="1" x14ac:dyDescent="0.25">
      <c r="A79" s="60">
        <v>7</v>
      </c>
      <c r="B79" s="9" t="s">
        <v>212</v>
      </c>
      <c r="C79" s="61" t="s">
        <v>146</v>
      </c>
      <c r="D79" s="61" t="s">
        <v>213</v>
      </c>
      <c r="E79" s="61" t="s">
        <v>199</v>
      </c>
      <c r="F79" s="61" t="s">
        <v>214</v>
      </c>
      <c r="G79" s="80">
        <v>3945</v>
      </c>
      <c r="H79" s="74">
        <f t="shared" si="104"/>
        <v>3945</v>
      </c>
      <c r="I79" s="63"/>
      <c r="J79" s="63"/>
      <c r="K79" s="63"/>
      <c r="L79" s="63"/>
      <c r="M79" s="68">
        <f t="shared" si="105"/>
        <v>3750</v>
      </c>
      <c r="N79" s="68">
        <v>3750</v>
      </c>
      <c r="O79" s="68">
        <f t="shared" si="106"/>
        <v>3750</v>
      </c>
      <c r="P79" s="68">
        <v>3750</v>
      </c>
      <c r="Q79" s="68"/>
      <c r="R79" s="68"/>
      <c r="S79" s="68">
        <f t="shared" si="107"/>
        <v>3750</v>
      </c>
      <c r="T79" s="68">
        <v>3750</v>
      </c>
      <c r="U79" s="63">
        <v>2000</v>
      </c>
      <c r="V79" s="63">
        <v>2000</v>
      </c>
      <c r="W79" s="63">
        <f>X79</f>
        <v>1650</v>
      </c>
      <c r="X79" s="63">
        <v>1650</v>
      </c>
      <c r="Y79" s="63">
        <f t="shared" si="108"/>
        <v>100</v>
      </c>
      <c r="Z79" s="63">
        <f t="shared" si="94"/>
        <v>100</v>
      </c>
      <c r="AA79" s="63">
        <f t="shared" si="95"/>
        <v>3750</v>
      </c>
      <c r="AB79" s="63">
        <f t="shared" si="95"/>
        <v>3750</v>
      </c>
      <c r="AC79" s="63">
        <f t="shared" si="96"/>
        <v>0</v>
      </c>
      <c r="AD79" s="63">
        <f t="shared" si="96"/>
        <v>0</v>
      </c>
      <c r="AE79" s="63">
        <f t="shared" si="97"/>
        <v>0</v>
      </c>
      <c r="AF79" s="63">
        <f t="shared" si="98"/>
        <v>0</v>
      </c>
      <c r="AG79" s="63"/>
      <c r="AH79" s="63"/>
      <c r="AI79" s="69"/>
      <c r="AJ79" s="19">
        <f t="shared" si="3"/>
        <v>0</v>
      </c>
      <c r="AK79" s="22">
        <f t="shared" si="14"/>
        <v>0</v>
      </c>
      <c r="AL79" s="22"/>
      <c r="AM79" s="12">
        <f t="shared" si="99"/>
        <v>1</v>
      </c>
      <c r="AO79" s="12">
        <f t="shared" si="100"/>
        <v>0</v>
      </c>
      <c r="AP79" s="12">
        <f t="shared" si="84"/>
        <v>0</v>
      </c>
      <c r="AQ79" s="12">
        <f t="shared" si="101"/>
        <v>0</v>
      </c>
      <c r="AR79" s="12">
        <f t="shared" si="85"/>
        <v>0</v>
      </c>
      <c r="AS79" s="12">
        <f t="shared" si="102"/>
        <v>0</v>
      </c>
      <c r="AT79" s="12">
        <f t="shared" si="20"/>
        <v>0</v>
      </c>
      <c r="AU79" s="12">
        <f t="shared" si="103"/>
        <v>0</v>
      </c>
      <c r="AV79" s="12">
        <f t="shared" si="21"/>
        <v>0</v>
      </c>
    </row>
    <row r="80" spans="1:48" ht="115.5" hidden="1" x14ac:dyDescent="0.25">
      <c r="A80" s="60">
        <v>8</v>
      </c>
      <c r="B80" s="91" t="s">
        <v>215</v>
      </c>
      <c r="C80" s="61" t="s">
        <v>216</v>
      </c>
      <c r="D80" s="61" t="s">
        <v>217</v>
      </c>
      <c r="E80" s="61" t="s">
        <v>199</v>
      </c>
      <c r="F80" s="61" t="s">
        <v>218</v>
      </c>
      <c r="G80" s="75">
        <v>4185</v>
      </c>
      <c r="H80" s="74">
        <f t="shared" si="104"/>
        <v>4185</v>
      </c>
      <c r="I80" s="63"/>
      <c r="J80" s="63"/>
      <c r="K80" s="63"/>
      <c r="L80" s="63"/>
      <c r="M80" s="68">
        <f t="shared" si="105"/>
        <v>3650</v>
      </c>
      <c r="N80" s="68">
        <v>3650</v>
      </c>
      <c r="O80" s="68">
        <f t="shared" si="106"/>
        <v>3650</v>
      </c>
      <c r="P80" s="68">
        <v>3650</v>
      </c>
      <c r="Q80" s="68"/>
      <c r="R80" s="68"/>
      <c r="S80" s="68">
        <f t="shared" si="107"/>
        <v>3650</v>
      </c>
      <c r="T80" s="68">
        <v>3650</v>
      </c>
      <c r="U80" s="63">
        <v>3500</v>
      </c>
      <c r="V80" s="63">
        <v>3500</v>
      </c>
      <c r="W80" s="63"/>
      <c r="X80" s="63"/>
      <c r="Y80" s="63">
        <f t="shared" si="108"/>
        <v>150</v>
      </c>
      <c r="Z80" s="63">
        <f t="shared" si="94"/>
        <v>150</v>
      </c>
      <c r="AA80" s="63">
        <f t="shared" si="95"/>
        <v>3650</v>
      </c>
      <c r="AB80" s="63">
        <f t="shared" si="95"/>
        <v>3650</v>
      </c>
      <c r="AC80" s="63">
        <f t="shared" si="96"/>
        <v>0</v>
      </c>
      <c r="AD80" s="63">
        <f t="shared" si="96"/>
        <v>0</v>
      </c>
      <c r="AE80" s="63">
        <f t="shared" si="97"/>
        <v>0</v>
      </c>
      <c r="AF80" s="63">
        <f t="shared" si="98"/>
        <v>0</v>
      </c>
      <c r="AG80" s="63"/>
      <c r="AH80" s="63"/>
      <c r="AI80" s="69"/>
      <c r="AJ80" s="19">
        <f t="shared" si="3"/>
        <v>0</v>
      </c>
      <c r="AK80" s="22">
        <f t="shared" si="14"/>
        <v>0</v>
      </c>
      <c r="AL80" s="22"/>
      <c r="AM80" s="12">
        <f t="shared" si="99"/>
        <v>1</v>
      </c>
      <c r="AO80" s="12">
        <f t="shared" si="100"/>
        <v>0</v>
      </c>
      <c r="AP80" s="12">
        <f t="shared" si="84"/>
        <v>0</v>
      </c>
      <c r="AQ80" s="12">
        <f t="shared" si="101"/>
        <v>0</v>
      </c>
      <c r="AR80" s="12">
        <f t="shared" si="85"/>
        <v>0</v>
      </c>
      <c r="AS80" s="12">
        <f t="shared" si="102"/>
        <v>0</v>
      </c>
      <c r="AT80" s="12">
        <f t="shared" si="20"/>
        <v>0</v>
      </c>
      <c r="AU80" s="12">
        <f t="shared" si="103"/>
        <v>0</v>
      </c>
      <c r="AV80" s="12">
        <f t="shared" si="21"/>
        <v>0</v>
      </c>
    </row>
    <row r="81" spans="1:48" ht="49.5" hidden="1" x14ac:dyDescent="0.25">
      <c r="A81" s="60">
        <v>9</v>
      </c>
      <c r="B81" s="91" t="s">
        <v>219</v>
      </c>
      <c r="C81" s="61" t="s">
        <v>216</v>
      </c>
      <c r="D81" s="61" t="s">
        <v>220</v>
      </c>
      <c r="E81" s="61">
        <v>2016</v>
      </c>
      <c r="F81" s="61" t="s">
        <v>221</v>
      </c>
      <c r="G81" s="75">
        <v>932</v>
      </c>
      <c r="H81" s="74">
        <f t="shared" si="104"/>
        <v>932</v>
      </c>
      <c r="I81" s="63"/>
      <c r="J81" s="63"/>
      <c r="K81" s="63"/>
      <c r="L81" s="63"/>
      <c r="M81" s="68">
        <f t="shared" si="105"/>
        <v>900</v>
      </c>
      <c r="N81" s="68">
        <v>900</v>
      </c>
      <c r="O81" s="68">
        <f t="shared" si="106"/>
        <v>900</v>
      </c>
      <c r="P81" s="68">
        <v>900</v>
      </c>
      <c r="Q81" s="68"/>
      <c r="R81" s="68"/>
      <c r="S81" s="68">
        <f t="shared" si="107"/>
        <v>900</v>
      </c>
      <c r="T81" s="68">
        <v>900</v>
      </c>
      <c r="U81" s="63">
        <v>800</v>
      </c>
      <c r="V81" s="63">
        <v>800</v>
      </c>
      <c r="W81" s="63"/>
      <c r="X81" s="63"/>
      <c r="Y81" s="63">
        <f t="shared" si="108"/>
        <v>100</v>
      </c>
      <c r="Z81" s="63">
        <f t="shared" si="94"/>
        <v>100</v>
      </c>
      <c r="AA81" s="63">
        <f t="shared" si="95"/>
        <v>900</v>
      </c>
      <c r="AB81" s="63">
        <f t="shared" si="95"/>
        <v>900</v>
      </c>
      <c r="AC81" s="63">
        <f t="shared" si="96"/>
        <v>0</v>
      </c>
      <c r="AD81" s="63">
        <f t="shared" si="96"/>
        <v>0</v>
      </c>
      <c r="AE81" s="63">
        <f t="shared" si="97"/>
        <v>0</v>
      </c>
      <c r="AF81" s="63">
        <f t="shared" si="98"/>
        <v>0</v>
      </c>
      <c r="AG81" s="63"/>
      <c r="AH81" s="63"/>
      <c r="AI81" s="69"/>
      <c r="AJ81" s="19">
        <f t="shared" si="3"/>
        <v>0</v>
      </c>
      <c r="AK81" s="22">
        <f t="shared" si="14"/>
        <v>0</v>
      </c>
      <c r="AL81" s="22"/>
      <c r="AM81" s="12">
        <f t="shared" si="99"/>
        <v>1</v>
      </c>
      <c r="AO81" s="12">
        <f t="shared" si="100"/>
        <v>0</v>
      </c>
      <c r="AP81" s="12">
        <f t="shared" si="84"/>
        <v>0</v>
      </c>
      <c r="AQ81" s="12">
        <f t="shared" si="101"/>
        <v>0</v>
      </c>
      <c r="AR81" s="12">
        <f t="shared" si="85"/>
        <v>0</v>
      </c>
      <c r="AS81" s="12">
        <f t="shared" si="102"/>
        <v>0</v>
      </c>
      <c r="AT81" s="12">
        <f t="shared" si="20"/>
        <v>0</v>
      </c>
      <c r="AU81" s="12">
        <f t="shared" si="103"/>
        <v>0</v>
      </c>
      <c r="AV81" s="12">
        <f t="shared" si="21"/>
        <v>0</v>
      </c>
    </row>
    <row r="82" spans="1:48" ht="99" hidden="1" x14ac:dyDescent="0.25">
      <c r="A82" s="60">
        <v>10</v>
      </c>
      <c r="B82" s="91" t="s">
        <v>222</v>
      </c>
      <c r="C82" s="61" t="s">
        <v>216</v>
      </c>
      <c r="D82" s="61" t="s">
        <v>223</v>
      </c>
      <c r="E82" s="61">
        <v>2016</v>
      </c>
      <c r="F82" s="61" t="s">
        <v>224</v>
      </c>
      <c r="G82" s="75">
        <v>8241</v>
      </c>
      <c r="H82" s="74">
        <f t="shared" si="104"/>
        <v>8241</v>
      </c>
      <c r="I82" s="63"/>
      <c r="J82" s="63"/>
      <c r="K82" s="63"/>
      <c r="L82" s="63"/>
      <c r="M82" s="68">
        <f t="shared" si="105"/>
        <v>7500</v>
      </c>
      <c r="N82" s="5">
        <v>7500</v>
      </c>
      <c r="O82" s="68">
        <f t="shared" si="106"/>
        <v>7500</v>
      </c>
      <c r="P82" s="5">
        <v>7500</v>
      </c>
      <c r="Q82" s="68"/>
      <c r="R82" s="68"/>
      <c r="S82" s="68">
        <f t="shared" si="107"/>
        <v>7500</v>
      </c>
      <c r="T82" s="5">
        <v>7500</v>
      </c>
      <c r="U82" s="63">
        <v>7300</v>
      </c>
      <c r="V82" s="63">
        <v>7300</v>
      </c>
      <c r="W82" s="63"/>
      <c r="X82" s="63"/>
      <c r="Y82" s="63">
        <f t="shared" si="108"/>
        <v>200</v>
      </c>
      <c r="Z82" s="63">
        <f t="shared" si="94"/>
        <v>200</v>
      </c>
      <c r="AA82" s="63">
        <f t="shared" si="95"/>
        <v>7500</v>
      </c>
      <c r="AB82" s="63">
        <f t="shared" si="95"/>
        <v>7500</v>
      </c>
      <c r="AC82" s="63">
        <f t="shared" si="96"/>
        <v>0</v>
      </c>
      <c r="AD82" s="63">
        <f t="shared" si="96"/>
        <v>0</v>
      </c>
      <c r="AE82" s="63">
        <f t="shared" si="97"/>
        <v>0</v>
      </c>
      <c r="AF82" s="63">
        <f t="shared" si="98"/>
        <v>0</v>
      </c>
      <c r="AG82" s="63"/>
      <c r="AH82" s="63"/>
      <c r="AI82" s="69"/>
      <c r="AJ82" s="19">
        <f t="shared" si="3"/>
        <v>0</v>
      </c>
      <c r="AK82" s="22">
        <f t="shared" si="14"/>
        <v>0</v>
      </c>
      <c r="AL82" s="22"/>
      <c r="AM82" s="12">
        <f t="shared" si="99"/>
        <v>1</v>
      </c>
      <c r="AO82" s="12">
        <f t="shared" si="100"/>
        <v>0</v>
      </c>
      <c r="AP82" s="12">
        <f t="shared" si="84"/>
        <v>0</v>
      </c>
      <c r="AQ82" s="12">
        <f t="shared" si="101"/>
        <v>0</v>
      </c>
      <c r="AR82" s="12">
        <f t="shared" si="85"/>
        <v>0</v>
      </c>
      <c r="AS82" s="12">
        <f t="shared" si="102"/>
        <v>0</v>
      </c>
      <c r="AT82" s="12">
        <f t="shared" si="20"/>
        <v>0</v>
      </c>
      <c r="AU82" s="12">
        <f t="shared" si="103"/>
        <v>0</v>
      </c>
      <c r="AV82" s="12">
        <f t="shared" si="21"/>
        <v>0</v>
      </c>
    </row>
    <row r="83" spans="1:48" ht="66" x14ac:dyDescent="0.25">
      <c r="A83" s="60">
        <v>11</v>
      </c>
      <c r="B83" s="91" t="s">
        <v>225</v>
      </c>
      <c r="C83" s="61" t="s">
        <v>176</v>
      </c>
      <c r="D83" s="61"/>
      <c r="E83" s="61" t="s">
        <v>91</v>
      </c>
      <c r="F83" s="61"/>
      <c r="G83" s="75">
        <v>33000</v>
      </c>
      <c r="H83" s="74">
        <f t="shared" si="104"/>
        <v>33000</v>
      </c>
      <c r="I83" s="63"/>
      <c r="J83" s="63"/>
      <c r="K83" s="63"/>
      <c r="L83" s="63"/>
      <c r="M83" s="68">
        <f t="shared" si="105"/>
        <v>30000</v>
      </c>
      <c r="N83" s="68">
        <v>30000</v>
      </c>
      <c r="O83" s="68">
        <f t="shared" si="106"/>
        <v>30000</v>
      </c>
      <c r="P83" s="68">
        <v>30000</v>
      </c>
      <c r="Q83" s="68"/>
      <c r="R83" s="4">
        <v>20000</v>
      </c>
      <c r="S83" s="4">
        <f t="shared" si="107"/>
        <v>10000</v>
      </c>
      <c r="T83" s="4">
        <f>P83-R83</f>
        <v>10000</v>
      </c>
      <c r="U83" s="63"/>
      <c r="V83" s="63"/>
      <c r="W83" s="63"/>
      <c r="X83" s="63"/>
      <c r="Y83" s="63">
        <f t="shared" si="108"/>
        <v>25000</v>
      </c>
      <c r="Z83" s="63">
        <v>25000</v>
      </c>
      <c r="AA83" s="63">
        <f t="shared" si="95"/>
        <v>25000</v>
      </c>
      <c r="AB83" s="63">
        <f t="shared" si="95"/>
        <v>25000</v>
      </c>
      <c r="AC83" s="63">
        <f t="shared" si="96"/>
        <v>5000</v>
      </c>
      <c r="AD83" s="63">
        <f t="shared" si="96"/>
        <v>5000</v>
      </c>
      <c r="AE83" s="63">
        <f t="shared" si="97"/>
        <v>0</v>
      </c>
      <c r="AF83" s="63">
        <f t="shared" si="98"/>
        <v>0</v>
      </c>
      <c r="AG83" s="63"/>
      <c r="AH83" s="63"/>
      <c r="AI83" s="25" t="s">
        <v>915</v>
      </c>
      <c r="AJ83" s="19">
        <f t="shared" ref="AJ83:AJ146" si="109">IF(P83-T83=0,0,1)</f>
        <v>1</v>
      </c>
      <c r="AK83" s="22">
        <f t="shared" si="14"/>
        <v>1</v>
      </c>
      <c r="AL83" s="22"/>
      <c r="AM83" s="12">
        <f t="shared" si="99"/>
        <v>0</v>
      </c>
      <c r="AO83" s="12">
        <f t="shared" si="100"/>
        <v>0</v>
      </c>
      <c r="AP83" s="12">
        <f t="shared" si="84"/>
        <v>0</v>
      </c>
      <c r="AQ83" s="12">
        <f t="shared" si="101"/>
        <v>0</v>
      </c>
      <c r="AR83" s="12">
        <f t="shared" si="85"/>
        <v>0</v>
      </c>
      <c r="AS83" s="12">
        <f t="shared" si="102"/>
        <v>0</v>
      </c>
      <c r="AT83" s="12">
        <f t="shared" si="20"/>
        <v>0</v>
      </c>
      <c r="AU83" s="12">
        <f t="shared" si="103"/>
        <v>1</v>
      </c>
      <c r="AV83" s="12">
        <f t="shared" si="21"/>
        <v>20000</v>
      </c>
    </row>
    <row r="84" spans="1:48" ht="66" hidden="1" x14ac:dyDescent="0.25">
      <c r="A84" s="60">
        <v>12</v>
      </c>
      <c r="B84" s="91" t="s">
        <v>226</v>
      </c>
      <c r="C84" s="61" t="s">
        <v>146</v>
      </c>
      <c r="D84" s="61" t="s">
        <v>227</v>
      </c>
      <c r="E84" s="61" t="s">
        <v>109</v>
      </c>
      <c r="F84" s="61" t="s">
        <v>228</v>
      </c>
      <c r="G84" s="74">
        <v>4331</v>
      </c>
      <c r="H84" s="74">
        <f>G84</f>
        <v>4331</v>
      </c>
      <c r="I84" s="63"/>
      <c r="J84" s="63"/>
      <c r="K84" s="63"/>
      <c r="L84" s="63"/>
      <c r="M84" s="68">
        <f>N84</f>
        <v>4100</v>
      </c>
      <c r="N84" s="63">
        <v>4100</v>
      </c>
      <c r="O84" s="68">
        <f>P84</f>
        <v>4100</v>
      </c>
      <c r="P84" s="63">
        <v>4100</v>
      </c>
      <c r="Q84" s="68"/>
      <c r="R84" s="68"/>
      <c r="S84" s="68">
        <f>T84</f>
        <v>4100</v>
      </c>
      <c r="T84" s="63">
        <v>4100</v>
      </c>
      <c r="U84" s="63"/>
      <c r="V84" s="63"/>
      <c r="W84" s="63">
        <v>3200</v>
      </c>
      <c r="X84" s="63">
        <v>3200</v>
      </c>
      <c r="Y84" s="63">
        <f t="shared" si="108"/>
        <v>900</v>
      </c>
      <c r="Z84" s="63">
        <f t="shared" ref="Z84:Z95" si="110">P84-V84-X84</f>
        <v>900</v>
      </c>
      <c r="AA84" s="63">
        <f t="shared" si="95"/>
        <v>4100</v>
      </c>
      <c r="AB84" s="63">
        <f t="shared" si="95"/>
        <v>4100</v>
      </c>
      <c r="AC84" s="63">
        <f t="shared" si="96"/>
        <v>0</v>
      </c>
      <c r="AD84" s="63">
        <f t="shared" si="96"/>
        <v>0</v>
      </c>
      <c r="AE84" s="63">
        <f t="shared" si="97"/>
        <v>0</v>
      </c>
      <c r="AF84" s="63">
        <f t="shared" si="98"/>
        <v>0</v>
      </c>
      <c r="AG84" s="63"/>
      <c r="AH84" s="63"/>
      <c r="AI84" s="69"/>
      <c r="AJ84" s="19">
        <f t="shared" si="109"/>
        <v>0</v>
      </c>
      <c r="AK84" s="22">
        <f t="shared" si="14"/>
        <v>0</v>
      </c>
      <c r="AL84" s="22"/>
      <c r="AM84" s="12">
        <f t="shared" si="99"/>
        <v>1</v>
      </c>
      <c r="AO84" s="12">
        <f t="shared" si="100"/>
        <v>0</v>
      </c>
      <c r="AP84" s="12">
        <f t="shared" si="84"/>
        <v>0</v>
      </c>
      <c r="AQ84" s="12">
        <f t="shared" si="101"/>
        <v>0</v>
      </c>
      <c r="AR84" s="12">
        <f t="shared" si="85"/>
        <v>0</v>
      </c>
      <c r="AS84" s="12">
        <f t="shared" si="102"/>
        <v>0</v>
      </c>
      <c r="AT84" s="12">
        <f t="shared" si="20"/>
        <v>0</v>
      </c>
      <c r="AU84" s="12">
        <f t="shared" si="103"/>
        <v>0</v>
      </c>
      <c r="AV84" s="12">
        <f t="shared" si="21"/>
        <v>0</v>
      </c>
    </row>
    <row r="85" spans="1:48" ht="49.5" hidden="1" x14ac:dyDescent="0.25">
      <c r="A85" s="60">
        <v>13</v>
      </c>
      <c r="B85" s="91" t="s">
        <v>229</v>
      </c>
      <c r="C85" s="61" t="s">
        <v>230</v>
      </c>
      <c r="D85" s="61" t="s">
        <v>231</v>
      </c>
      <c r="E85" s="61">
        <v>2017</v>
      </c>
      <c r="F85" s="61" t="s">
        <v>232</v>
      </c>
      <c r="G85" s="74">
        <v>4687</v>
      </c>
      <c r="H85" s="74">
        <f t="shared" ref="H85:H95" si="111">G85</f>
        <v>4687</v>
      </c>
      <c r="I85" s="63"/>
      <c r="J85" s="63"/>
      <c r="K85" s="63"/>
      <c r="L85" s="63"/>
      <c r="M85" s="68">
        <f t="shared" ref="M85:M95" si="112">N85</f>
        <v>4400</v>
      </c>
      <c r="N85" s="63">
        <v>4400</v>
      </c>
      <c r="O85" s="68">
        <f t="shared" ref="O85:O95" si="113">P85</f>
        <v>4400</v>
      </c>
      <c r="P85" s="63">
        <v>4400</v>
      </c>
      <c r="Q85" s="68"/>
      <c r="R85" s="68"/>
      <c r="S85" s="68">
        <f t="shared" ref="S85:S95" si="114">T85</f>
        <v>4400</v>
      </c>
      <c r="T85" s="63">
        <v>4400</v>
      </c>
      <c r="U85" s="63"/>
      <c r="V85" s="63"/>
      <c r="W85" s="63">
        <v>3500</v>
      </c>
      <c r="X85" s="63">
        <v>3500</v>
      </c>
      <c r="Y85" s="63">
        <f t="shared" si="108"/>
        <v>900</v>
      </c>
      <c r="Z85" s="63">
        <f t="shared" si="110"/>
        <v>900</v>
      </c>
      <c r="AA85" s="63">
        <f t="shared" si="95"/>
        <v>4400</v>
      </c>
      <c r="AB85" s="63">
        <f t="shared" si="95"/>
        <v>4400</v>
      </c>
      <c r="AC85" s="63">
        <f t="shared" si="96"/>
        <v>0</v>
      </c>
      <c r="AD85" s="63">
        <f t="shared" si="96"/>
        <v>0</v>
      </c>
      <c r="AE85" s="63">
        <f t="shared" si="97"/>
        <v>0</v>
      </c>
      <c r="AF85" s="63">
        <f t="shared" si="98"/>
        <v>0</v>
      </c>
      <c r="AG85" s="63"/>
      <c r="AH85" s="63"/>
      <c r="AI85" s="69"/>
      <c r="AJ85" s="19">
        <f t="shared" si="109"/>
        <v>0</v>
      </c>
      <c r="AK85" s="22">
        <f t="shared" si="14"/>
        <v>0</v>
      </c>
      <c r="AL85" s="22"/>
      <c r="AM85" s="12">
        <f t="shared" si="99"/>
        <v>1</v>
      </c>
      <c r="AO85" s="12">
        <f t="shared" si="100"/>
        <v>0</v>
      </c>
      <c r="AP85" s="12">
        <f t="shared" si="84"/>
        <v>0</v>
      </c>
      <c r="AQ85" s="12">
        <f t="shared" si="101"/>
        <v>0</v>
      </c>
      <c r="AR85" s="12">
        <f t="shared" si="85"/>
        <v>0</v>
      </c>
      <c r="AS85" s="12">
        <f t="shared" si="102"/>
        <v>0</v>
      </c>
      <c r="AT85" s="12">
        <f t="shared" si="20"/>
        <v>0</v>
      </c>
      <c r="AU85" s="12">
        <f t="shared" si="103"/>
        <v>0</v>
      </c>
      <c r="AV85" s="12">
        <f t="shared" si="21"/>
        <v>0</v>
      </c>
    </row>
    <row r="86" spans="1:48" ht="49.5" hidden="1" x14ac:dyDescent="0.25">
      <c r="A86" s="60">
        <v>14</v>
      </c>
      <c r="B86" s="91" t="s">
        <v>233</v>
      </c>
      <c r="C86" s="61" t="s">
        <v>230</v>
      </c>
      <c r="D86" s="61" t="s">
        <v>234</v>
      </c>
      <c r="E86" s="61" t="s">
        <v>109</v>
      </c>
      <c r="F86" s="61" t="s">
        <v>235</v>
      </c>
      <c r="G86" s="74">
        <v>3967</v>
      </c>
      <c r="H86" s="74">
        <f t="shared" si="111"/>
        <v>3967</v>
      </c>
      <c r="I86" s="63"/>
      <c r="J86" s="63"/>
      <c r="K86" s="63"/>
      <c r="L86" s="63"/>
      <c r="M86" s="68">
        <f t="shared" si="112"/>
        <v>3700</v>
      </c>
      <c r="N86" s="63">
        <v>3700</v>
      </c>
      <c r="O86" s="68">
        <f t="shared" si="113"/>
        <v>3700</v>
      </c>
      <c r="P86" s="63">
        <v>3700</v>
      </c>
      <c r="Q86" s="68"/>
      <c r="R86" s="68"/>
      <c r="S86" s="68">
        <f t="shared" si="114"/>
        <v>3700</v>
      </c>
      <c r="T86" s="63">
        <v>3700</v>
      </c>
      <c r="U86" s="63"/>
      <c r="V86" s="63"/>
      <c r="W86" s="63">
        <v>3000</v>
      </c>
      <c r="X86" s="63">
        <v>3000</v>
      </c>
      <c r="Y86" s="63">
        <f t="shared" si="108"/>
        <v>700</v>
      </c>
      <c r="Z86" s="63">
        <f t="shared" si="110"/>
        <v>700</v>
      </c>
      <c r="AA86" s="63">
        <f t="shared" si="95"/>
        <v>3700</v>
      </c>
      <c r="AB86" s="63">
        <f t="shared" si="95"/>
        <v>3700</v>
      </c>
      <c r="AC86" s="63">
        <f t="shared" si="96"/>
        <v>0</v>
      </c>
      <c r="AD86" s="63">
        <f t="shared" si="96"/>
        <v>0</v>
      </c>
      <c r="AE86" s="63">
        <f t="shared" si="97"/>
        <v>0</v>
      </c>
      <c r="AF86" s="63">
        <f t="shared" si="98"/>
        <v>0</v>
      </c>
      <c r="AG86" s="63"/>
      <c r="AH86" s="63"/>
      <c r="AI86" s="69"/>
      <c r="AJ86" s="19">
        <f t="shared" si="109"/>
        <v>0</v>
      </c>
      <c r="AK86" s="22">
        <f t="shared" si="14"/>
        <v>0</v>
      </c>
      <c r="AL86" s="22"/>
      <c r="AM86" s="12">
        <f t="shared" si="99"/>
        <v>1</v>
      </c>
      <c r="AO86" s="12">
        <f t="shared" si="100"/>
        <v>0</v>
      </c>
      <c r="AP86" s="12">
        <f t="shared" si="84"/>
        <v>0</v>
      </c>
      <c r="AQ86" s="12">
        <f t="shared" si="101"/>
        <v>0</v>
      </c>
      <c r="AR86" s="12">
        <f t="shared" si="85"/>
        <v>0</v>
      </c>
      <c r="AS86" s="12">
        <f t="shared" si="102"/>
        <v>0</v>
      </c>
      <c r="AT86" s="12">
        <f t="shared" si="20"/>
        <v>0</v>
      </c>
      <c r="AU86" s="12">
        <f t="shared" si="103"/>
        <v>0</v>
      </c>
      <c r="AV86" s="12">
        <f t="shared" si="21"/>
        <v>0</v>
      </c>
    </row>
    <row r="87" spans="1:48" ht="49.5" hidden="1" x14ac:dyDescent="0.25">
      <c r="A87" s="60">
        <v>15</v>
      </c>
      <c r="B87" s="91" t="s">
        <v>236</v>
      </c>
      <c r="C87" s="61" t="s">
        <v>146</v>
      </c>
      <c r="D87" s="61" t="s">
        <v>237</v>
      </c>
      <c r="E87" s="61" t="s">
        <v>109</v>
      </c>
      <c r="F87" s="61" t="s">
        <v>238</v>
      </c>
      <c r="G87" s="74">
        <v>14971</v>
      </c>
      <c r="H87" s="74">
        <f t="shared" si="111"/>
        <v>14971</v>
      </c>
      <c r="I87" s="63"/>
      <c r="J87" s="63"/>
      <c r="K87" s="63"/>
      <c r="L87" s="63"/>
      <c r="M87" s="68">
        <f t="shared" si="112"/>
        <v>14800</v>
      </c>
      <c r="N87" s="63">
        <v>14800</v>
      </c>
      <c r="O87" s="68">
        <f t="shared" si="113"/>
        <v>14800</v>
      </c>
      <c r="P87" s="63">
        <v>14800</v>
      </c>
      <c r="Q87" s="68"/>
      <c r="R87" s="68"/>
      <c r="S87" s="68">
        <f t="shared" si="114"/>
        <v>14800</v>
      </c>
      <c r="T87" s="63">
        <v>14800</v>
      </c>
      <c r="U87" s="63"/>
      <c r="V87" s="63"/>
      <c r="W87" s="63">
        <f t="shared" ref="W87:W93" si="115">X87</f>
        <v>8400</v>
      </c>
      <c r="X87" s="63">
        <v>8400</v>
      </c>
      <c r="Y87" s="63">
        <f t="shared" si="108"/>
        <v>6400</v>
      </c>
      <c r="Z87" s="63">
        <f t="shared" si="110"/>
        <v>6400</v>
      </c>
      <c r="AA87" s="63">
        <f t="shared" si="95"/>
        <v>14800</v>
      </c>
      <c r="AB87" s="63">
        <f t="shared" si="95"/>
        <v>14800</v>
      </c>
      <c r="AC87" s="63">
        <f t="shared" si="96"/>
        <v>0</v>
      </c>
      <c r="AD87" s="63">
        <f t="shared" si="96"/>
        <v>0</v>
      </c>
      <c r="AE87" s="63">
        <f t="shared" si="97"/>
        <v>0</v>
      </c>
      <c r="AF87" s="63">
        <f t="shared" si="98"/>
        <v>0</v>
      </c>
      <c r="AG87" s="63"/>
      <c r="AH87" s="63"/>
      <c r="AI87" s="69"/>
      <c r="AJ87" s="19">
        <f t="shared" si="109"/>
        <v>0</v>
      </c>
      <c r="AK87" s="22">
        <f t="shared" si="14"/>
        <v>0</v>
      </c>
      <c r="AL87" s="22"/>
      <c r="AM87" s="12">
        <f t="shared" si="99"/>
        <v>1</v>
      </c>
      <c r="AO87" s="12">
        <f t="shared" si="100"/>
        <v>0</v>
      </c>
      <c r="AP87" s="12">
        <f t="shared" si="84"/>
        <v>0</v>
      </c>
      <c r="AQ87" s="12">
        <f t="shared" si="101"/>
        <v>0</v>
      </c>
      <c r="AR87" s="12">
        <f t="shared" si="85"/>
        <v>0</v>
      </c>
      <c r="AS87" s="12">
        <f t="shared" si="102"/>
        <v>0</v>
      </c>
      <c r="AT87" s="12">
        <f t="shared" si="20"/>
        <v>0</v>
      </c>
      <c r="AU87" s="12">
        <f t="shared" si="103"/>
        <v>0</v>
      </c>
      <c r="AV87" s="12">
        <f t="shared" si="21"/>
        <v>0</v>
      </c>
    </row>
    <row r="88" spans="1:48" ht="49.5" x14ac:dyDescent="0.25">
      <c r="A88" s="60">
        <v>16</v>
      </c>
      <c r="B88" s="91" t="s">
        <v>239</v>
      </c>
      <c r="C88" s="61" t="s">
        <v>194</v>
      </c>
      <c r="D88" s="61" t="s">
        <v>240</v>
      </c>
      <c r="E88" s="61" t="s">
        <v>109</v>
      </c>
      <c r="F88" s="61" t="s">
        <v>241</v>
      </c>
      <c r="G88" s="74">
        <v>7204</v>
      </c>
      <c r="H88" s="74">
        <f t="shared" si="111"/>
        <v>7204</v>
      </c>
      <c r="I88" s="63"/>
      <c r="J88" s="63"/>
      <c r="K88" s="63"/>
      <c r="L88" s="63"/>
      <c r="M88" s="68">
        <f t="shared" si="112"/>
        <v>7100</v>
      </c>
      <c r="N88" s="63">
        <v>7100</v>
      </c>
      <c r="O88" s="68">
        <f t="shared" si="113"/>
        <v>524</v>
      </c>
      <c r="P88" s="63">
        <v>524</v>
      </c>
      <c r="Q88" s="68"/>
      <c r="R88" s="68">
        <v>524</v>
      </c>
      <c r="S88" s="68">
        <f t="shared" si="114"/>
        <v>0</v>
      </c>
      <c r="T88" s="63">
        <v>0</v>
      </c>
      <c r="U88" s="63"/>
      <c r="V88" s="63"/>
      <c r="W88" s="63">
        <f t="shared" si="115"/>
        <v>267</v>
      </c>
      <c r="X88" s="63">
        <v>267</v>
      </c>
      <c r="Y88" s="63">
        <f t="shared" si="108"/>
        <v>257</v>
      </c>
      <c r="Z88" s="63">
        <f t="shared" si="110"/>
        <v>257</v>
      </c>
      <c r="AA88" s="63">
        <f t="shared" si="95"/>
        <v>524</v>
      </c>
      <c r="AB88" s="63">
        <f t="shared" si="95"/>
        <v>524</v>
      </c>
      <c r="AC88" s="63">
        <f t="shared" si="96"/>
        <v>0</v>
      </c>
      <c r="AD88" s="63">
        <f t="shared" si="96"/>
        <v>0</v>
      </c>
      <c r="AE88" s="63">
        <f t="shared" si="97"/>
        <v>0</v>
      </c>
      <c r="AF88" s="63">
        <f t="shared" si="98"/>
        <v>0</v>
      </c>
      <c r="AG88" s="63"/>
      <c r="AH88" s="63"/>
      <c r="AI88" s="25" t="s">
        <v>242</v>
      </c>
      <c r="AJ88" s="19">
        <f t="shared" si="109"/>
        <v>1</v>
      </c>
      <c r="AK88" s="22">
        <f t="shared" si="14"/>
        <v>1</v>
      </c>
      <c r="AL88" s="22"/>
      <c r="AM88" s="12">
        <f t="shared" si="99"/>
        <v>0</v>
      </c>
      <c r="AO88" s="12">
        <v>1</v>
      </c>
      <c r="AP88" s="92">
        <f>R88</f>
        <v>524</v>
      </c>
      <c r="AQ88" s="12">
        <f t="shared" si="101"/>
        <v>0</v>
      </c>
      <c r="AR88" s="12">
        <f t="shared" si="85"/>
        <v>0</v>
      </c>
      <c r="AS88" s="12">
        <f t="shared" si="102"/>
        <v>0</v>
      </c>
      <c r="AT88" s="12">
        <f t="shared" si="20"/>
        <v>0</v>
      </c>
    </row>
    <row r="89" spans="1:48" ht="49.5" hidden="1" x14ac:dyDescent="0.25">
      <c r="A89" s="60">
        <v>17</v>
      </c>
      <c r="B89" s="91" t="s">
        <v>243</v>
      </c>
      <c r="C89" s="61" t="s">
        <v>99</v>
      </c>
      <c r="D89" s="61" t="s">
        <v>244</v>
      </c>
      <c r="E89" s="61" t="s">
        <v>109</v>
      </c>
      <c r="F89" s="61" t="s">
        <v>245</v>
      </c>
      <c r="G89" s="74">
        <v>9266</v>
      </c>
      <c r="H89" s="74">
        <f t="shared" si="111"/>
        <v>9266</v>
      </c>
      <c r="I89" s="63"/>
      <c r="J89" s="63"/>
      <c r="K89" s="63"/>
      <c r="L89" s="63"/>
      <c r="M89" s="68">
        <f t="shared" si="112"/>
        <v>8500</v>
      </c>
      <c r="N89" s="63">
        <v>8500</v>
      </c>
      <c r="O89" s="68">
        <f t="shared" si="113"/>
        <v>8500</v>
      </c>
      <c r="P89" s="63">
        <v>8500</v>
      </c>
      <c r="Q89" s="68"/>
      <c r="R89" s="68"/>
      <c r="S89" s="68">
        <f t="shared" si="114"/>
        <v>8500</v>
      </c>
      <c r="T89" s="63">
        <v>8500</v>
      </c>
      <c r="U89" s="63"/>
      <c r="V89" s="63"/>
      <c r="W89" s="63">
        <f t="shared" si="115"/>
        <v>3884</v>
      </c>
      <c r="X89" s="63">
        <v>3884</v>
      </c>
      <c r="Y89" s="63">
        <f t="shared" si="108"/>
        <v>4616</v>
      </c>
      <c r="Z89" s="63">
        <f t="shared" si="110"/>
        <v>4616</v>
      </c>
      <c r="AA89" s="63">
        <f t="shared" si="95"/>
        <v>8500</v>
      </c>
      <c r="AB89" s="63">
        <f t="shared" si="95"/>
        <v>8500</v>
      </c>
      <c r="AC89" s="63">
        <f t="shared" si="96"/>
        <v>0</v>
      </c>
      <c r="AD89" s="63">
        <f t="shared" si="96"/>
        <v>0</v>
      </c>
      <c r="AE89" s="63">
        <f t="shared" si="97"/>
        <v>0</v>
      </c>
      <c r="AF89" s="63">
        <f t="shared" si="98"/>
        <v>0</v>
      </c>
      <c r="AG89" s="63"/>
      <c r="AH89" s="63"/>
      <c r="AI89" s="69"/>
      <c r="AJ89" s="19">
        <f t="shared" si="109"/>
        <v>0</v>
      </c>
      <c r="AK89" s="22">
        <f t="shared" si="14"/>
        <v>0</v>
      </c>
      <c r="AL89" s="22"/>
      <c r="AM89" s="12">
        <f t="shared" si="99"/>
        <v>1</v>
      </c>
      <c r="AO89" s="12">
        <f t="shared" si="100"/>
        <v>0</v>
      </c>
      <c r="AP89" s="12">
        <f t="shared" ref="AP89:AP97" si="116">IF(AO89=1,N89,0)</f>
        <v>0</v>
      </c>
      <c r="AQ89" s="12">
        <f t="shared" si="101"/>
        <v>0</v>
      </c>
      <c r="AR89" s="12">
        <f t="shared" si="85"/>
        <v>0</v>
      </c>
      <c r="AS89" s="12">
        <f t="shared" si="102"/>
        <v>0</v>
      </c>
      <c r="AT89" s="12">
        <f t="shared" si="20"/>
        <v>0</v>
      </c>
      <c r="AU89" s="12">
        <f t="shared" si="103"/>
        <v>0</v>
      </c>
      <c r="AV89" s="12">
        <f t="shared" si="21"/>
        <v>0</v>
      </c>
    </row>
    <row r="90" spans="1:48" ht="49.5" hidden="1" x14ac:dyDescent="0.25">
      <c r="A90" s="60">
        <v>18</v>
      </c>
      <c r="B90" s="91" t="s">
        <v>246</v>
      </c>
      <c r="C90" s="61" t="s">
        <v>52</v>
      </c>
      <c r="D90" s="61" t="s">
        <v>247</v>
      </c>
      <c r="E90" s="61" t="s">
        <v>248</v>
      </c>
      <c r="F90" s="61" t="s">
        <v>249</v>
      </c>
      <c r="G90" s="74">
        <v>14857</v>
      </c>
      <c r="H90" s="74">
        <f t="shared" si="111"/>
        <v>14857</v>
      </c>
      <c r="I90" s="63"/>
      <c r="J90" s="63"/>
      <c r="K90" s="63"/>
      <c r="L90" s="63"/>
      <c r="M90" s="68">
        <f t="shared" si="112"/>
        <v>13500</v>
      </c>
      <c r="N90" s="63">
        <v>13500</v>
      </c>
      <c r="O90" s="68">
        <f t="shared" si="113"/>
        <v>13500</v>
      </c>
      <c r="P90" s="63">
        <v>13500</v>
      </c>
      <c r="Q90" s="68"/>
      <c r="R90" s="68"/>
      <c r="S90" s="68">
        <f t="shared" si="114"/>
        <v>13500</v>
      </c>
      <c r="T90" s="63">
        <v>13500</v>
      </c>
      <c r="U90" s="63"/>
      <c r="V90" s="63"/>
      <c r="W90" s="63">
        <f t="shared" si="115"/>
        <v>4700</v>
      </c>
      <c r="X90" s="63">
        <v>4700</v>
      </c>
      <c r="Y90" s="63">
        <f t="shared" si="108"/>
        <v>8800</v>
      </c>
      <c r="Z90" s="63">
        <f t="shared" si="110"/>
        <v>8800</v>
      </c>
      <c r="AA90" s="63">
        <f t="shared" si="95"/>
        <v>13500</v>
      </c>
      <c r="AB90" s="63">
        <f t="shared" si="95"/>
        <v>13500</v>
      </c>
      <c r="AC90" s="63">
        <f t="shared" si="96"/>
        <v>0</v>
      </c>
      <c r="AD90" s="63">
        <f t="shared" si="96"/>
        <v>0</v>
      </c>
      <c r="AE90" s="63">
        <f t="shared" si="97"/>
        <v>0</v>
      </c>
      <c r="AF90" s="63">
        <f t="shared" si="98"/>
        <v>0</v>
      </c>
      <c r="AG90" s="63"/>
      <c r="AH90" s="63"/>
      <c r="AI90" s="69"/>
      <c r="AJ90" s="19">
        <f t="shared" si="109"/>
        <v>0</v>
      </c>
      <c r="AK90" s="22">
        <f t="shared" si="14"/>
        <v>0</v>
      </c>
      <c r="AL90" s="22"/>
      <c r="AM90" s="12">
        <f t="shared" si="99"/>
        <v>1</v>
      </c>
      <c r="AO90" s="12">
        <f t="shared" si="100"/>
        <v>0</v>
      </c>
      <c r="AP90" s="12">
        <f t="shared" si="116"/>
        <v>0</v>
      </c>
      <c r="AQ90" s="12">
        <f t="shared" si="101"/>
        <v>0</v>
      </c>
      <c r="AR90" s="12">
        <f t="shared" si="85"/>
        <v>0</v>
      </c>
      <c r="AS90" s="12">
        <f t="shared" si="102"/>
        <v>0</v>
      </c>
      <c r="AT90" s="12">
        <f t="shared" si="20"/>
        <v>0</v>
      </c>
      <c r="AU90" s="12">
        <f t="shared" si="103"/>
        <v>0</v>
      </c>
      <c r="AV90" s="12">
        <f t="shared" si="21"/>
        <v>0</v>
      </c>
    </row>
    <row r="91" spans="1:48" ht="49.5" hidden="1" x14ac:dyDescent="0.25">
      <c r="A91" s="60">
        <v>19</v>
      </c>
      <c r="B91" s="91" t="s">
        <v>250</v>
      </c>
      <c r="C91" s="61" t="s">
        <v>58</v>
      </c>
      <c r="D91" s="61" t="s">
        <v>251</v>
      </c>
      <c r="E91" s="61" t="s">
        <v>252</v>
      </c>
      <c r="F91" s="61" t="s">
        <v>253</v>
      </c>
      <c r="G91" s="74">
        <v>6441</v>
      </c>
      <c r="H91" s="74">
        <f t="shared" si="111"/>
        <v>6441</v>
      </c>
      <c r="I91" s="63"/>
      <c r="J91" s="63"/>
      <c r="K91" s="63"/>
      <c r="L91" s="63"/>
      <c r="M91" s="68">
        <f t="shared" si="112"/>
        <v>6200</v>
      </c>
      <c r="N91" s="63">
        <v>6200</v>
      </c>
      <c r="O91" s="68">
        <f t="shared" si="113"/>
        <v>6200</v>
      </c>
      <c r="P91" s="63">
        <v>6200</v>
      </c>
      <c r="Q91" s="68"/>
      <c r="R91" s="68"/>
      <c r="S91" s="68">
        <f t="shared" si="114"/>
        <v>6200</v>
      </c>
      <c r="T91" s="63">
        <v>6200</v>
      </c>
      <c r="U91" s="63"/>
      <c r="V91" s="63"/>
      <c r="W91" s="63">
        <f t="shared" si="115"/>
        <v>40</v>
      </c>
      <c r="X91" s="63">
        <v>40</v>
      </c>
      <c r="Y91" s="63">
        <f t="shared" si="108"/>
        <v>6160</v>
      </c>
      <c r="Z91" s="63">
        <f t="shared" si="110"/>
        <v>6160</v>
      </c>
      <c r="AA91" s="63">
        <f t="shared" si="95"/>
        <v>6200</v>
      </c>
      <c r="AB91" s="63">
        <f t="shared" si="95"/>
        <v>6200</v>
      </c>
      <c r="AC91" s="63">
        <f t="shared" si="96"/>
        <v>0</v>
      </c>
      <c r="AD91" s="63">
        <f t="shared" si="96"/>
        <v>0</v>
      </c>
      <c r="AE91" s="63">
        <f t="shared" si="97"/>
        <v>0</v>
      </c>
      <c r="AF91" s="63">
        <f t="shared" si="98"/>
        <v>0</v>
      </c>
      <c r="AG91" s="63"/>
      <c r="AH91" s="63"/>
      <c r="AI91" s="69"/>
      <c r="AJ91" s="19">
        <f t="shared" si="109"/>
        <v>0</v>
      </c>
      <c r="AK91" s="22">
        <f t="shared" si="14"/>
        <v>0</v>
      </c>
      <c r="AL91" s="22"/>
      <c r="AM91" s="12">
        <f t="shared" si="99"/>
        <v>1</v>
      </c>
      <c r="AO91" s="12">
        <f t="shared" si="100"/>
        <v>0</v>
      </c>
      <c r="AP91" s="12">
        <f t="shared" si="116"/>
        <v>0</v>
      </c>
      <c r="AQ91" s="12">
        <f t="shared" si="101"/>
        <v>0</v>
      </c>
      <c r="AR91" s="12">
        <f t="shared" si="85"/>
        <v>0</v>
      </c>
      <c r="AS91" s="12">
        <f t="shared" si="102"/>
        <v>0</v>
      </c>
      <c r="AT91" s="12">
        <f t="shared" si="20"/>
        <v>0</v>
      </c>
      <c r="AU91" s="12">
        <f t="shared" si="103"/>
        <v>0</v>
      </c>
      <c r="AV91" s="12">
        <f t="shared" si="21"/>
        <v>0</v>
      </c>
    </row>
    <row r="92" spans="1:48" ht="49.5" hidden="1" x14ac:dyDescent="0.25">
      <c r="A92" s="60">
        <v>20</v>
      </c>
      <c r="B92" s="91" t="s">
        <v>254</v>
      </c>
      <c r="C92" s="61" t="s">
        <v>58</v>
      </c>
      <c r="D92" s="61" t="s">
        <v>255</v>
      </c>
      <c r="E92" s="61" t="s">
        <v>252</v>
      </c>
      <c r="F92" s="61" t="s">
        <v>256</v>
      </c>
      <c r="G92" s="74">
        <v>8740</v>
      </c>
      <c r="H92" s="74">
        <f t="shared" si="111"/>
        <v>8740</v>
      </c>
      <c r="I92" s="63"/>
      <c r="J92" s="63"/>
      <c r="K92" s="63"/>
      <c r="L92" s="63"/>
      <c r="M92" s="68">
        <f t="shared" si="112"/>
        <v>8400</v>
      </c>
      <c r="N92" s="63">
        <v>8400</v>
      </c>
      <c r="O92" s="68">
        <f t="shared" si="113"/>
        <v>8400</v>
      </c>
      <c r="P92" s="63">
        <v>8400</v>
      </c>
      <c r="Q92" s="68"/>
      <c r="R92" s="68"/>
      <c r="S92" s="68">
        <f t="shared" si="114"/>
        <v>8400</v>
      </c>
      <c r="T92" s="63">
        <v>8400</v>
      </c>
      <c r="U92" s="63"/>
      <c r="V92" s="63"/>
      <c r="W92" s="63">
        <f t="shared" si="115"/>
        <v>6500</v>
      </c>
      <c r="X92" s="63">
        <v>6500</v>
      </c>
      <c r="Y92" s="63">
        <f t="shared" si="108"/>
        <v>1900</v>
      </c>
      <c r="Z92" s="63">
        <f t="shared" si="110"/>
        <v>1900</v>
      </c>
      <c r="AA92" s="63">
        <f t="shared" si="95"/>
        <v>8400</v>
      </c>
      <c r="AB92" s="63">
        <f t="shared" si="95"/>
        <v>8400</v>
      </c>
      <c r="AC92" s="63">
        <f t="shared" si="96"/>
        <v>0</v>
      </c>
      <c r="AD92" s="63">
        <f t="shared" si="96"/>
        <v>0</v>
      </c>
      <c r="AE92" s="63">
        <f t="shared" si="97"/>
        <v>0</v>
      </c>
      <c r="AF92" s="63">
        <f t="shared" si="98"/>
        <v>0</v>
      </c>
      <c r="AG92" s="63"/>
      <c r="AH92" s="63"/>
      <c r="AI92" s="69"/>
      <c r="AJ92" s="19">
        <f t="shared" si="109"/>
        <v>0</v>
      </c>
      <c r="AK92" s="22">
        <f t="shared" ref="AK92:AK154" si="117">AJ92</f>
        <v>0</v>
      </c>
      <c r="AL92" s="22"/>
      <c r="AM92" s="12">
        <f t="shared" si="99"/>
        <v>1</v>
      </c>
      <c r="AO92" s="12">
        <f t="shared" si="100"/>
        <v>0</v>
      </c>
      <c r="AP92" s="12">
        <f t="shared" si="116"/>
        <v>0</v>
      </c>
      <c r="AQ92" s="12">
        <f t="shared" si="101"/>
        <v>0</v>
      </c>
      <c r="AR92" s="12">
        <f t="shared" si="85"/>
        <v>0</v>
      </c>
      <c r="AS92" s="12">
        <f t="shared" si="102"/>
        <v>0</v>
      </c>
      <c r="AT92" s="12">
        <f t="shared" si="20"/>
        <v>0</v>
      </c>
      <c r="AU92" s="12">
        <f t="shared" si="103"/>
        <v>0</v>
      </c>
      <c r="AV92" s="12">
        <f t="shared" si="21"/>
        <v>0</v>
      </c>
    </row>
    <row r="93" spans="1:48" ht="49.5" hidden="1" x14ac:dyDescent="0.25">
      <c r="A93" s="60">
        <v>21</v>
      </c>
      <c r="B93" s="91" t="s">
        <v>257</v>
      </c>
      <c r="C93" s="61" t="s">
        <v>258</v>
      </c>
      <c r="D93" s="61" t="s">
        <v>259</v>
      </c>
      <c r="E93" s="61">
        <v>2017</v>
      </c>
      <c r="F93" s="61" t="s">
        <v>260</v>
      </c>
      <c r="G93" s="75">
        <v>4000</v>
      </c>
      <c r="H93" s="74">
        <f t="shared" si="111"/>
        <v>4000</v>
      </c>
      <c r="I93" s="63"/>
      <c r="J93" s="63"/>
      <c r="K93" s="63"/>
      <c r="L93" s="63"/>
      <c r="M93" s="68">
        <f t="shared" si="112"/>
        <v>4000</v>
      </c>
      <c r="N93" s="63">
        <v>4000</v>
      </c>
      <c r="O93" s="68">
        <f t="shared" si="113"/>
        <v>4000</v>
      </c>
      <c r="P93" s="63">
        <v>4000</v>
      </c>
      <c r="Q93" s="68"/>
      <c r="R93" s="68"/>
      <c r="S93" s="68">
        <f t="shared" si="114"/>
        <v>4000</v>
      </c>
      <c r="T93" s="63">
        <v>4000</v>
      </c>
      <c r="U93" s="63"/>
      <c r="V93" s="63"/>
      <c r="W93" s="63">
        <f t="shared" si="115"/>
        <v>3400</v>
      </c>
      <c r="X93" s="63">
        <v>3400</v>
      </c>
      <c r="Y93" s="63">
        <f t="shared" si="108"/>
        <v>600</v>
      </c>
      <c r="Z93" s="63">
        <f t="shared" si="110"/>
        <v>600</v>
      </c>
      <c r="AA93" s="63">
        <f t="shared" si="95"/>
        <v>4000</v>
      </c>
      <c r="AB93" s="63">
        <f t="shared" si="95"/>
        <v>4000</v>
      </c>
      <c r="AC93" s="63">
        <f t="shared" si="96"/>
        <v>0</v>
      </c>
      <c r="AD93" s="63">
        <f t="shared" si="96"/>
        <v>0</v>
      </c>
      <c r="AE93" s="63">
        <f t="shared" si="97"/>
        <v>0</v>
      </c>
      <c r="AF93" s="63">
        <f t="shared" si="98"/>
        <v>0</v>
      </c>
      <c r="AG93" s="63"/>
      <c r="AH93" s="63"/>
      <c r="AI93" s="69"/>
      <c r="AJ93" s="19">
        <f t="shared" si="109"/>
        <v>0</v>
      </c>
      <c r="AK93" s="22">
        <f t="shared" si="117"/>
        <v>0</v>
      </c>
      <c r="AL93" s="22"/>
      <c r="AM93" s="12">
        <f t="shared" si="99"/>
        <v>1</v>
      </c>
      <c r="AO93" s="12">
        <f t="shared" si="100"/>
        <v>0</v>
      </c>
      <c r="AP93" s="12">
        <f t="shared" si="116"/>
        <v>0</v>
      </c>
      <c r="AQ93" s="12">
        <f t="shared" si="101"/>
        <v>0</v>
      </c>
      <c r="AR93" s="12">
        <f t="shared" si="85"/>
        <v>0</v>
      </c>
      <c r="AS93" s="12">
        <f t="shared" si="102"/>
        <v>0</v>
      </c>
      <c r="AT93" s="12">
        <f t="shared" si="20"/>
        <v>0</v>
      </c>
      <c r="AU93" s="12">
        <f t="shared" si="103"/>
        <v>0</v>
      </c>
      <c r="AV93" s="12">
        <f t="shared" si="21"/>
        <v>0</v>
      </c>
    </row>
    <row r="94" spans="1:48" ht="99" hidden="1" x14ac:dyDescent="0.25">
      <c r="A94" s="60">
        <v>22</v>
      </c>
      <c r="B94" s="91" t="s">
        <v>261</v>
      </c>
      <c r="C94" s="61" t="s">
        <v>52</v>
      </c>
      <c r="D94" s="61" t="s">
        <v>262</v>
      </c>
      <c r="E94" s="61">
        <v>2017</v>
      </c>
      <c r="F94" s="61" t="s">
        <v>263</v>
      </c>
      <c r="G94" s="75">
        <v>5118</v>
      </c>
      <c r="H94" s="74">
        <f t="shared" si="111"/>
        <v>5118</v>
      </c>
      <c r="I94" s="63"/>
      <c r="J94" s="63"/>
      <c r="K94" s="63"/>
      <c r="L94" s="63"/>
      <c r="M94" s="68">
        <f t="shared" si="112"/>
        <v>4800</v>
      </c>
      <c r="N94" s="63">
        <v>4800</v>
      </c>
      <c r="O94" s="68">
        <f t="shared" si="113"/>
        <v>4800</v>
      </c>
      <c r="P94" s="63">
        <v>4800</v>
      </c>
      <c r="Q94" s="68"/>
      <c r="R94" s="68"/>
      <c r="S94" s="68">
        <f t="shared" si="114"/>
        <v>4800</v>
      </c>
      <c r="T94" s="63">
        <v>4800</v>
      </c>
      <c r="U94" s="63"/>
      <c r="V94" s="63"/>
      <c r="W94" s="63">
        <v>4000</v>
      </c>
      <c r="X94" s="63">
        <v>4000</v>
      </c>
      <c r="Y94" s="63">
        <f t="shared" si="108"/>
        <v>800</v>
      </c>
      <c r="Z94" s="63">
        <f t="shared" si="110"/>
        <v>800</v>
      </c>
      <c r="AA94" s="63">
        <f t="shared" si="95"/>
        <v>4800</v>
      </c>
      <c r="AB94" s="63">
        <f t="shared" si="95"/>
        <v>4800</v>
      </c>
      <c r="AC94" s="63">
        <f t="shared" si="96"/>
        <v>0</v>
      </c>
      <c r="AD94" s="63">
        <f t="shared" si="96"/>
        <v>0</v>
      </c>
      <c r="AE94" s="63">
        <f t="shared" si="97"/>
        <v>0</v>
      </c>
      <c r="AF94" s="63">
        <f t="shared" si="98"/>
        <v>0</v>
      </c>
      <c r="AG94" s="63"/>
      <c r="AH94" s="63"/>
      <c r="AI94" s="69"/>
      <c r="AJ94" s="19">
        <f t="shared" si="109"/>
        <v>0</v>
      </c>
      <c r="AK94" s="22">
        <f t="shared" si="117"/>
        <v>0</v>
      </c>
      <c r="AL94" s="22"/>
      <c r="AM94" s="12">
        <f t="shared" si="99"/>
        <v>1</v>
      </c>
      <c r="AO94" s="12">
        <f t="shared" si="100"/>
        <v>0</v>
      </c>
      <c r="AP94" s="12">
        <f t="shared" si="116"/>
        <v>0</v>
      </c>
      <c r="AQ94" s="12">
        <f t="shared" si="101"/>
        <v>0</v>
      </c>
      <c r="AR94" s="12">
        <f t="shared" si="85"/>
        <v>0</v>
      </c>
      <c r="AS94" s="12">
        <f t="shared" si="102"/>
        <v>0</v>
      </c>
      <c r="AT94" s="12">
        <f t="shared" ref="AT94:AT157" si="118">IF(AS94=1,Q94,0)</f>
        <v>0</v>
      </c>
      <c r="AU94" s="12">
        <f t="shared" si="103"/>
        <v>0</v>
      </c>
      <c r="AV94" s="12">
        <f t="shared" ref="AV94:AV157" si="119">IF(AU94=1,R94,0)</f>
        <v>0</v>
      </c>
    </row>
    <row r="95" spans="1:48" ht="49.5" hidden="1" x14ac:dyDescent="0.25">
      <c r="A95" s="60">
        <v>23</v>
      </c>
      <c r="B95" s="91" t="s">
        <v>264</v>
      </c>
      <c r="C95" s="61" t="s">
        <v>52</v>
      </c>
      <c r="D95" s="61" t="s">
        <v>265</v>
      </c>
      <c r="E95" s="61">
        <v>2017</v>
      </c>
      <c r="F95" s="61" t="s">
        <v>260</v>
      </c>
      <c r="G95" s="75">
        <v>2302</v>
      </c>
      <c r="H95" s="74">
        <f t="shared" si="111"/>
        <v>2302</v>
      </c>
      <c r="I95" s="63"/>
      <c r="J95" s="63"/>
      <c r="K95" s="63"/>
      <c r="L95" s="63"/>
      <c r="M95" s="68">
        <f t="shared" si="112"/>
        <v>2200</v>
      </c>
      <c r="N95" s="63">
        <v>2200</v>
      </c>
      <c r="O95" s="68">
        <f t="shared" si="113"/>
        <v>2200</v>
      </c>
      <c r="P95" s="63">
        <v>2200</v>
      </c>
      <c r="Q95" s="68"/>
      <c r="R95" s="68"/>
      <c r="S95" s="68">
        <f t="shared" si="114"/>
        <v>2200</v>
      </c>
      <c r="T95" s="63">
        <v>2200</v>
      </c>
      <c r="U95" s="63"/>
      <c r="V95" s="63"/>
      <c r="W95" s="63">
        <f>X95</f>
        <v>1850</v>
      </c>
      <c r="X95" s="63">
        <v>1850</v>
      </c>
      <c r="Y95" s="63">
        <f t="shared" si="108"/>
        <v>350</v>
      </c>
      <c r="Z95" s="63">
        <f t="shared" si="110"/>
        <v>350</v>
      </c>
      <c r="AA95" s="63">
        <f t="shared" si="95"/>
        <v>2200</v>
      </c>
      <c r="AB95" s="63">
        <f t="shared" si="95"/>
        <v>2200</v>
      </c>
      <c r="AC95" s="63">
        <f t="shared" si="96"/>
        <v>0</v>
      </c>
      <c r="AD95" s="63">
        <f t="shared" si="96"/>
        <v>0</v>
      </c>
      <c r="AE95" s="63">
        <f t="shared" si="97"/>
        <v>0</v>
      </c>
      <c r="AF95" s="63">
        <f t="shared" si="98"/>
        <v>0</v>
      </c>
      <c r="AG95" s="63"/>
      <c r="AH95" s="63"/>
      <c r="AI95" s="69"/>
      <c r="AJ95" s="19">
        <f t="shared" si="109"/>
        <v>0</v>
      </c>
      <c r="AK95" s="22">
        <f t="shared" si="117"/>
        <v>0</v>
      </c>
      <c r="AL95" s="22"/>
      <c r="AM95" s="12">
        <f t="shared" si="99"/>
        <v>1</v>
      </c>
      <c r="AO95" s="12">
        <f t="shared" si="100"/>
        <v>0</v>
      </c>
      <c r="AP95" s="12">
        <f t="shared" si="116"/>
        <v>0</v>
      </c>
      <c r="AQ95" s="12">
        <f t="shared" si="101"/>
        <v>0</v>
      </c>
      <c r="AR95" s="12">
        <f t="shared" si="85"/>
        <v>0</v>
      </c>
      <c r="AS95" s="12">
        <f t="shared" si="102"/>
        <v>0</v>
      </c>
      <c r="AT95" s="12">
        <f t="shared" si="118"/>
        <v>0</v>
      </c>
      <c r="AU95" s="12">
        <f t="shared" si="103"/>
        <v>0</v>
      </c>
      <c r="AV95" s="12">
        <f t="shared" si="119"/>
        <v>0</v>
      </c>
    </row>
    <row r="96" spans="1:48" ht="49.5" hidden="1" x14ac:dyDescent="0.25">
      <c r="A96" s="60">
        <v>24</v>
      </c>
      <c r="B96" s="91" t="s">
        <v>266</v>
      </c>
      <c r="C96" s="61" t="s">
        <v>99</v>
      </c>
      <c r="D96" s="61" t="s">
        <v>267</v>
      </c>
      <c r="E96" s="61" t="s">
        <v>109</v>
      </c>
      <c r="F96" s="61"/>
      <c r="G96" s="74">
        <v>14500</v>
      </c>
      <c r="H96" s="74">
        <f>G96</f>
        <v>14500</v>
      </c>
      <c r="I96" s="63"/>
      <c r="J96" s="63"/>
      <c r="K96" s="63"/>
      <c r="L96" s="63"/>
      <c r="M96" s="68">
        <f>N96</f>
        <v>14000</v>
      </c>
      <c r="N96" s="63">
        <v>14000</v>
      </c>
      <c r="O96" s="68">
        <f>P96</f>
        <v>0</v>
      </c>
      <c r="P96" s="63"/>
      <c r="Q96" s="68"/>
      <c r="R96" s="68"/>
      <c r="S96" s="68">
        <f>T96</f>
        <v>0</v>
      </c>
      <c r="T96" s="63"/>
      <c r="U96" s="63"/>
      <c r="V96" s="63"/>
      <c r="W96" s="63"/>
      <c r="X96" s="63"/>
      <c r="Y96" s="63"/>
      <c r="Z96" s="63"/>
      <c r="AA96" s="63">
        <f t="shared" si="95"/>
        <v>0</v>
      </c>
      <c r="AB96" s="63">
        <f t="shared" si="95"/>
        <v>0</v>
      </c>
      <c r="AC96" s="63">
        <f t="shared" si="96"/>
        <v>0</v>
      </c>
      <c r="AD96" s="63">
        <f t="shared" si="96"/>
        <v>0</v>
      </c>
      <c r="AE96" s="63">
        <f t="shared" si="97"/>
        <v>0</v>
      </c>
      <c r="AF96" s="63">
        <f t="shared" si="98"/>
        <v>0</v>
      </c>
      <c r="AG96" s="63"/>
      <c r="AH96" s="63"/>
      <c r="AI96" s="25" t="s">
        <v>268</v>
      </c>
      <c r="AJ96" s="19">
        <f t="shared" si="109"/>
        <v>0</v>
      </c>
      <c r="AK96" s="22">
        <f t="shared" si="117"/>
        <v>0</v>
      </c>
      <c r="AL96" s="22"/>
      <c r="AM96" s="12">
        <f t="shared" si="99"/>
        <v>1</v>
      </c>
      <c r="AO96" s="12">
        <f t="shared" si="100"/>
        <v>1</v>
      </c>
      <c r="AP96" s="12">
        <f t="shared" si="116"/>
        <v>14000</v>
      </c>
      <c r="AQ96" s="12">
        <f t="shared" si="101"/>
        <v>0</v>
      </c>
      <c r="AR96" s="12">
        <f t="shared" si="85"/>
        <v>0</v>
      </c>
      <c r="AS96" s="12">
        <f t="shared" si="102"/>
        <v>0</v>
      </c>
      <c r="AT96" s="12">
        <f t="shared" si="118"/>
        <v>0</v>
      </c>
    </row>
    <row r="97" spans="1:48" ht="16.5" hidden="1" x14ac:dyDescent="0.25">
      <c r="A97" s="60">
        <v>25</v>
      </c>
      <c r="B97" s="91" t="s">
        <v>269</v>
      </c>
      <c r="C97" s="61" t="s">
        <v>58</v>
      </c>
      <c r="D97" s="61" t="s">
        <v>270</v>
      </c>
      <c r="E97" s="61" t="s">
        <v>116</v>
      </c>
      <c r="F97" s="61"/>
      <c r="G97" s="74">
        <v>25000</v>
      </c>
      <c r="H97" s="74">
        <f t="shared" ref="H97:H120" si="120">G97</f>
        <v>25000</v>
      </c>
      <c r="I97" s="63"/>
      <c r="J97" s="63"/>
      <c r="K97" s="63"/>
      <c r="L97" s="63"/>
      <c r="M97" s="68">
        <f t="shared" ref="M97:M118" si="121">N97</f>
        <v>22700</v>
      </c>
      <c r="N97" s="63">
        <v>22700</v>
      </c>
      <c r="O97" s="68">
        <f t="shared" ref="O97:O104" si="122">P97</f>
        <v>22700</v>
      </c>
      <c r="P97" s="63">
        <v>22700</v>
      </c>
      <c r="Q97" s="54"/>
      <c r="R97" s="54"/>
      <c r="S97" s="68">
        <f t="shared" ref="S97" si="123">T97</f>
        <v>22700</v>
      </c>
      <c r="T97" s="63">
        <v>22700</v>
      </c>
      <c r="U97" s="63"/>
      <c r="V97" s="63"/>
      <c r="W97" s="63"/>
      <c r="X97" s="63"/>
      <c r="Y97" s="63"/>
      <c r="Z97" s="63"/>
      <c r="AA97" s="63">
        <f t="shared" si="95"/>
        <v>0</v>
      </c>
      <c r="AB97" s="63">
        <f t="shared" si="95"/>
        <v>0</v>
      </c>
      <c r="AC97" s="63">
        <f t="shared" si="96"/>
        <v>22700</v>
      </c>
      <c r="AD97" s="63">
        <f t="shared" si="96"/>
        <v>22700</v>
      </c>
      <c r="AE97" s="63">
        <f t="shared" si="97"/>
        <v>22700</v>
      </c>
      <c r="AF97" s="63">
        <f t="shared" si="98"/>
        <v>22700</v>
      </c>
      <c r="AG97" s="63"/>
      <c r="AH97" s="63"/>
      <c r="AI97" s="69"/>
      <c r="AJ97" s="19">
        <f t="shared" si="109"/>
        <v>0</v>
      </c>
      <c r="AK97" s="22">
        <f t="shared" si="117"/>
        <v>0</v>
      </c>
      <c r="AL97" s="22"/>
      <c r="AM97" s="12">
        <f t="shared" si="99"/>
        <v>1</v>
      </c>
      <c r="AO97" s="12">
        <f t="shared" si="100"/>
        <v>0</v>
      </c>
      <c r="AP97" s="12">
        <f t="shared" si="116"/>
        <v>0</v>
      </c>
      <c r="AQ97" s="12">
        <f t="shared" si="101"/>
        <v>0</v>
      </c>
      <c r="AR97" s="12">
        <f t="shared" si="85"/>
        <v>0</v>
      </c>
      <c r="AS97" s="12">
        <f t="shared" si="102"/>
        <v>0</v>
      </c>
      <c r="AT97" s="12">
        <f t="shared" si="118"/>
        <v>0</v>
      </c>
      <c r="AU97" s="12">
        <f>IF(R97=0,0,1)</f>
        <v>0</v>
      </c>
      <c r="AV97" s="12">
        <f t="shared" si="119"/>
        <v>0</v>
      </c>
    </row>
    <row r="98" spans="1:48" ht="36" hidden="1" customHeight="1" x14ac:dyDescent="0.25">
      <c r="A98" s="60">
        <v>26</v>
      </c>
      <c r="B98" s="91" t="s">
        <v>271</v>
      </c>
      <c r="C98" s="61" t="s">
        <v>205</v>
      </c>
      <c r="D98" s="61" t="s">
        <v>272</v>
      </c>
      <c r="E98" s="61" t="s">
        <v>109</v>
      </c>
      <c r="F98" s="61"/>
      <c r="G98" s="74">
        <v>1300</v>
      </c>
      <c r="H98" s="74">
        <f t="shared" si="120"/>
        <v>1300</v>
      </c>
      <c r="I98" s="63"/>
      <c r="J98" s="63"/>
      <c r="K98" s="63"/>
      <c r="L98" s="63"/>
      <c r="M98" s="68">
        <f t="shared" si="121"/>
        <v>1100</v>
      </c>
      <c r="N98" s="63">
        <v>1100</v>
      </c>
      <c r="O98" s="68"/>
      <c r="P98" s="63"/>
      <c r="Q98" s="68"/>
      <c r="R98" s="68"/>
      <c r="S98" s="68"/>
      <c r="T98" s="63"/>
      <c r="U98" s="63"/>
      <c r="V98" s="63"/>
      <c r="W98" s="63"/>
      <c r="X98" s="63"/>
      <c r="Y98" s="63"/>
      <c r="Z98" s="63"/>
      <c r="AA98" s="63">
        <f t="shared" si="95"/>
        <v>0</v>
      </c>
      <c r="AB98" s="63">
        <f t="shared" si="95"/>
        <v>0</v>
      </c>
      <c r="AC98" s="63">
        <f t="shared" si="96"/>
        <v>0</v>
      </c>
      <c r="AD98" s="63">
        <f t="shared" si="96"/>
        <v>0</v>
      </c>
      <c r="AE98" s="63">
        <f t="shared" si="97"/>
        <v>0</v>
      </c>
      <c r="AF98" s="63">
        <f t="shared" si="98"/>
        <v>0</v>
      </c>
      <c r="AG98" s="63"/>
      <c r="AH98" s="63"/>
      <c r="AI98" s="25" t="s">
        <v>242</v>
      </c>
      <c r="AJ98" s="19">
        <f t="shared" si="109"/>
        <v>0</v>
      </c>
      <c r="AK98" s="22">
        <f t="shared" si="117"/>
        <v>0</v>
      </c>
      <c r="AL98" s="22"/>
      <c r="AM98" s="12">
        <f t="shared" si="99"/>
        <v>1</v>
      </c>
      <c r="AO98" s="12">
        <v>1</v>
      </c>
      <c r="AP98" s="92">
        <f>R98</f>
        <v>0</v>
      </c>
      <c r="AQ98" s="12">
        <f t="shared" si="101"/>
        <v>0</v>
      </c>
      <c r="AR98" s="12">
        <f t="shared" si="85"/>
        <v>0</v>
      </c>
      <c r="AS98" s="12">
        <f t="shared" si="102"/>
        <v>0</v>
      </c>
      <c r="AT98" s="12">
        <f t="shared" si="118"/>
        <v>0</v>
      </c>
    </row>
    <row r="99" spans="1:48" ht="36" hidden="1" customHeight="1" x14ac:dyDescent="0.25">
      <c r="A99" s="60">
        <v>27</v>
      </c>
      <c r="B99" s="91" t="s">
        <v>273</v>
      </c>
      <c r="C99" s="61" t="s">
        <v>205</v>
      </c>
      <c r="D99" s="61" t="s">
        <v>274</v>
      </c>
      <c r="E99" s="61" t="s">
        <v>109</v>
      </c>
      <c r="F99" s="61"/>
      <c r="G99" s="74">
        <v>1500</v>
      </c>
      <c r="H99" s="74">
        <f t="shared" si="120"/>
        <v>1500</v>
      </c>
      <c r="I99" s="63"/>
      <c r="J99" s="63"/>
      <c r="K99" s="63"/>
      <c r="L99" s="63"/>
      <c r="M99" s="68">
        <f t="shared" si="121"/>
        <v>1350</v>
      </c>
      <c r="N99" s="63">
        <v>1350</v>
      </c>
      <c r="O99" s="68">
        <f t="shared" si="122"/>
        <v>1350</v>
      </c>
      <c r="P99" s="63">
        <v>1350</v>
      </c>
      <c r="Q99" s="68"/>
      <c r="R99" s="68"/>
      <c r="S99" s="68">
        <f t="shared" ref="S99:S102" si="124">T99</f>
        <v>1350</v>
      </c>
      <c r="T99" s="63">
        <v>1350</v>
      </c>
      <c r="U99" s="63"/>
      <c r="V99" s="63"/>
      <c r="W99" s="63"/>
      <c r="X99" s="63"/>
      <c r="Y99" s="63"/>
      <c r="Z99" s="63"/>
      <c r="AA99" s="63">
        <f t="shared" si="95"/>
        <v>0</v>
      </c>
      <c r="AB99" s="63">
        <f t="shared" si="95"/>
        <v>0</v>
      </c>
      <c r="AC99" s="63">
        <f t="shared" si="96"/>
        <v>1350</v>
      </c>
      <c r="AD99" s="63">
        <f t="shared" si="96"/>
        <v>1350</v>
      </c>
      <c r="AE99" s="63">
        <f t="shared" si="97"/>
        <v>1350</v>
      </c>
      <c r="AF99" s="63">
        <f t="shared" si="98"/>
        <v>1350</v>
      </c>
      <c r="AG99" s="63"/>
      <c r="AH99" s="63"/>
      <c r="AI99" s="69"/>
      <c r="AJ99" s="19">
        <f t="shared" si="109"/>
        <v>0</v>
      </c>
      <c r="AK99" s="22">
        <f t="shared" si="117"/>
        <v>0</v>
      </c>
      <c r="AL99" s="22"/>
      <c r="AM99" s="12">
        <f t="shared" si="99"/>
        <v>1</v>
      </c>
      <c r="AO99" s="12">
        <f t="shared" ref="AO99:AO123" si="125">IF(P99=0,1,0)</f>
        <v>0</v>
      </c>
      <c r="AP99" s="12">
        <f t="shared" ref="AP99:AP162" si="126">IF(AO99=1,N99,0)</f>
        <v>0</v>
      </c>
      <c r="AQ99" s="12">
        <f t="shared" si="101"/>
        <v>0</v>
      </c>
      <c r="AR99" s="12">
        <f t="shared" si="85"/>
        <v>0</v>
      </c>
      <c r="AS99" s="12">
        <f t="shared" si="102"/>
        <v>0</v>
      </c>
      <c r="AT99" s="12">
        <f t="shared" si="118"/>
        <v>0</v>
      </c>
      <c r="AU99" s="12">
        <f>IF(R99=0,0,1)</f>
        <v>0</v>
      </c>
      <c r="AV99" s="12">
        <f t="shared" si="119"/>
        <v>0</v>
      </c>
    </row>
    <row r="100" spans="1:48" ht="36" hidden="1" customHeight="1" x14ac:dyDescent="0.25">
      <c r="A100" s="60">
        <v>28</v>
      </c>
      <c r="B100" s="91" t="s">
        <v>275</v>
      </c>
      <c r="C100" s="61" t="s">
        <v>58</v>
      </c>
      <c r="D100" s="61" t="s">
        <v>276</v>
      </c>
      <c r="E100" s="61">
        <v>2018</v>
      </c>
      <c r="F100" s="61"/>
      <c r="G100" s="74">
        <v>1700</v>
      </c>
      <c r="H100" s="74">
        <f t="shared" si="120"/>
        <v>1700</v>
      </c>
      <c r="I100" s="63"/>
      <c r="J100" s="63"/>
      <c r="K100" s="63"/>
      <c r="L100" s="63"/>
      <c r="M100" s="68">
        <f t="shared" si="121"/>
        <v>1550</v>
      </c>
      <c r="N100" s="63">
        <v>1550</v>
      </c>
      <c r="O100" s="68">
        <f t="shared" si="122"/>
        <v>1550</v>
      </c>
      <c r="P100" s="63">
        <v>1550</v>
      </c>
      <c r="Q100" s="68"/>
      <c r="R100" s="68"/>
      <c r="S100" s="68">
        <f t="shared" si="124"/>
        <v>1550</v>
      </c>
      <c r="T100" s="63">
        <v>1550</v>
      </c>
      <c r="U100" s="63"/>
      <c r="V100" s="63"/>
      <c r="W100" s="63"/>
      <c r="X100" s="63"/>
      <c r="Y100" s="63"/>
      <c r="Z100" s="63"/>
      <c r="AA100" s="63">
        <f t="shared" si="95"/>
        <v>0</v>
      </c>
      <c r="AB100" s="63">
        <f t="shared" si="95"/>
        <v>0</v>
      </c>
      <c r="AC100" s="63">
        <f t="shared" si="96"/>
        <v>1550</v>
      </c>
      <c r="AD100" s="63">
        <f t="shared" si="96"/>
        <v>1550</v>
      </c>
      <c r="AE100" s="63">
        <f t="shared" si="97"/>
        <v>1550</v>
      </c>
      <c r="AF100" s="63">
        <f t="shared" si="98"/>
        <v>1550</v>
      </c>
      <c r="AG100" s="63"/>
      <c r="AH100" s="63"/>
      <c r="AI100" s="69"/>
      <c r="AJ100" s="19">
        <f t="shared" si="109"/>
        <v>0</v>
      </c>
      <c r="AK100" s="22">
        <f t="shared" si="117"/>
        <v>0</v>
      </c>
      <c r="AL100" s="22"/>
      <c r="AM100" s="12">
        <f t="shared" si="99"/>
        <v>1</v>
      </c>
      <c r="AO100" s="12">
        <f t="shared" si="125"/>
        <v>0</v>
      </c>
      <c r="AP100" s="12">
        <f t="shared" si="126"/>
        <v>0</v>
      </c>
      <c r="AQ100" s="12">
        <f t="shared" si="101"/>
        <v>0</v>
      </c>
      <c r="AR100" s="12">
        <f t="shared" si="85"/>
        <v>0</v>
      </c>
      <c r="AS100" s="12">
        <f t="shared" si="102"/>
        <v>0</v>
      </c>
      <c r="AT100" s="12">
        <f t="shared" si="118"/>
        <v>0</v>
      </c>
      <c r="AU100" s="12">
        <f>IF(R100=0,0,1)</f>
        <v>0</v>
      </c>
      <c r="AV100" s="12">
        <f t="shared" si="119"/>
        <v>0</v>
      </c>
    </row>
    <row r="101" spans="1:48" ht="49.5" hidden="1" x14ac:dyDescent="0.25">
      <c r="A101" s="60">
        <v>29</v>
      </c>
      <c r="B101" s="91" t="s">
        <v>277</v>
      </c>
      <c r="C101" s="61" t="s">
        <v>146</v>
      </c>
      <c r="D101" s="61" t="s">
        <v>278</v>
      </c>
      <c r="E101" s="61" t="s">
        <v>116</v>
      </c>
      <c r="F101" s="1" t="s">
        <v>900</v>
      </c>
      <c r="G101" s="2">
        <f>H101</f>
        <v>10993</v>
      </c>
      <c r="H101" s="2">
        <v>10993</v>
      </c>
      <c r="I101" s="63"/>
      <c r="J101" s="63"/>
      <c r="K101" s="63"/>
      <c r="L101" s="63"/>
      <c r="M101" s="68">
        <f t="shared" si="121"/>
        <v>9160</v>
      </c>
      <c r="N101" s="63">
        <v>9160</v>
      </c>
      <c r="O101" s="68">
        <f t="shared" si="122"/>
        <v>9160</v>
      </c>
      <c r="P101" s="63">
        <v>9160</v>
      </c>
      <c r="Q101" s="68"/>
      <c r="R101" s="68"/>
      <c r="S101" s="68">
        <f t="shared" si="124"/>
        <v>9160</v>
      </c>
      <c r="T101" s="63">
        <v>9160</v>
      </c>
      <c r="U101" s="63"/>
      <c r="V101" s="63"/>
      <c r="W101" s="63"/>
      <c r="X101" s="63"/>
      <c r="Y101" s="63"/>
      <c r="Z101" s="63"/>
      <c r="AA101" s="63">
        <f t="shared" si="95"/>
        <v>0</v>
      </c>
      <c r="AB101" s="63">
        <f t="shared" si="95"/>
        <v>0</v>
      </c>
      <c r="AC101" s="63">
        <f t="shared" si="96"/>
        <v>9160</v>
      </c>
      <c r="AD101" s="63">
        <f t="shared" si="96"/>
        <v>9160</v>
      </c>
      <c r="AE101" s="63">
        <f t="shared" si="97"/>
        <v>9160</v>
      </c>
      <c r="AF101" s="63">
        <f t="shared" si="98"/>
        <v>9160</v>
      </c>
      <c r="AG101" s="63"/>
      <c r="AH101" s="63"/>
      <c r="AI101" s="69"/>
      <c r="AJ101" s="19">
        <f t="shared" si="109"/>
        <v>0</v>
      </c>
      <c r="AK101" s="22">
        <f t="shared" si="117"/>
        <v>0</v>
      </c>
      <c r="AL101" s="22"/>
      <c r="AM101" s="12">
        <f t="shared" si="99"/>
        <v>1</v>
      </c>
      <c r="AO101" s="12">
        <f t="shared" si="125"/>
        <v>0</v>
      </c>
      <c r="AP101" s="12">
        <f t="shared" si="126"/>
        <v>0</v>
      </c>
      <c r="AQ101" s="12">
        <f t="shared" si="101"/>
        <v>0</v>
      </c>
      <c r="AR101" s="12">
        <f t="shared" si="85"/>
        <v>0</v>
      </c>
      <c r="AS101" s="12">
        <f t="shared" si="102"/>
        <v>0</v>
      </c>
      <c r="AT101" s="12">
        <f t="shared" si="118"/>
        <v>0</v>
      </c>
      <c r="AU101" s="12">
        <f>IF(R101=0,0,1)</f>
        <v>0</v>
      </c>
      <c r="AV101" s="12">
        <f t="shared" si="119"/>
        <v>0</v>
      </c>
    </row>
    <row r="102" spans="1:48" ht="31.5" hidden="1" customHeight="1" x14ac:dyDescent="0.25">
      <c r="A102" s="60">
        <v>30</v>
      </c>
      <c r="B102" s="91" t="s">
        <v>279</v>
      </c>
      <c r="C102" s="61" t="s">
        <v>146</v>
      </c>
      <c r="D102" s="61" t="s">
        <v>280</v>
      </c>
      <c r="E102" s="61" t="s">
        <v>116</v>
      </c>
      <c r="F102" s="61"/>
      <c r="G102" s="75">
        <v>3600</v>
      </c>
      <c r="H102" s="74">
        <f t="shared" si="120"/>
        <v>3600</v>
      </c>
      <c r="I102" s="63"/>
      <c r="J102" s="63"/>
      <c r="K102" s="63"/>
      <c r="L102" s="63"/>
      <c r="M102" s="68">
        <f t="shared" si="121"/>
        <v>3300</v>
      </c>
      <c r="N102" s="63">
        <v>3300</v>
      </c>
      <c r="O102" s="68">
        <f t="shared" si="122"/>
        <v>3300</v>
      </c>
      <c r="P102" s="63">
        <v>3300</v>
      </c>
      <c r="Q102" s="68"/>
      <c r="R102" s="68"/>
      <c r="S102" s="68">
        <f t="shared" si="124"/>
        <v>3300</v>
      </c>
      <c r="T102" s="63">
        <v>3300</v>
      </c>
      <c r="U102" s="63"/>
      <c r="V102" s="63"/>
      <c r="W102" s="63"/>
      <c r="X102" s="63"/>
      <c r="Y102" s="63"/>
      <c r="Z102" s="63"/>
      <c r="AA102" s="63">
        <f t="shared" si="95"/>
        <v>0</v>
      </c>
      <c r="AB102" s="63">
        <f t="shared" si="95"/>
        <v>0</v>
      </c>
      <c r="AC102" s="63">
        <f t="shared" si="96"/>
        <v>3300</v>
      </c>
      <c r="AD102" s="63">
        <f t="shared" si="96"/>
        <v>3300</v>
      </c>
      <c r="AE102" s="63">
        <f t="shared" si="97"/>
        <v>3300</v>
      </c>
      <c r="AF102" s="63">
        <f t="shared" si="98"/>
        <v>3300</v>
      </c>
      <c r="AG102" s="63"/>
      <c r="AH102" s="63"/>
      <c r="AI102" s="69"/>
      <c r="AJ102" s="19">
        <f t="shared" si="109"/>
        <v>0</v>
      </c>
      <c r="AK102" s="22">
        <f t="shared" si="117"/>
        <v>0</v>
      </c>
      <c r="AL102" s="22"/>
      <c r="AM102" s="12">
        <f t="shared" si="99"/>
        <v>1</v>
      </c>
      <c r="AO102" s="12">
        <f t="shared" si="125"/>
        <v>0</v>
      </c>
      <c r="AP102" s="12">
        <f t="shared" si="126"/>
        <v>0</v>
      </c>
      <c r="AQ102" s="12">
        <f t="shared" si="101"/>
        <v>0</v>
      </c>
      <c r="AR102" s="12">
        <f t="shared" si="85"/>
        <v>0</v>
      </c>
      <c r="AS102" s="12">
        <f t="shared" si="102"/>
        <v>0</v>
      </c>
      <c r="AT102" s="12">
        <f t="shared" si="118"/>
        <v>0</v>
      </c>
      <c r="AU102" s="12">
        <f>IF(R102=0,0,1)</f>
        <v>0</v>
      </c>
      <c r="AV102" s="12">
        <f t="shared" si="119"/>
        <v>0</v>
      </c>
    </row>
    <row r="103" spans="1:48" ht="49.5" hidden="1" x14ac:dyDescent="0.25">
      <c r="A103" s="60">
        <v>31</v>
      </c>
      <c r="B103" s="67" t="s">
        <v>281</v>
      </c>
      <c r="C103" s="61" t="s">
        <v>99</v>
      </c>
      <c r="D103" s="61" t="s">
        <v>282</v>
      </c>
      <c r="E103" s="88" t="s">
        <v>199</v>
      </c>
      <c r="F103" s="61" t="s">
        <v>283</v>
      </c>
      <c r="G103" s="80">
        <v>1705</v>
      </c>
      <c r="H103" s="80">
        <v>1705</v>
      </c>
      <c r="I103" s="63"/>
      <c r="J103" s="80"/>
      <c r="K103" s="63"/>
      <c r="L103" s="63"/>
      <c r="M103" s="68">
        <f t="shared" si="121"/>
        <v>1620</v>
      </c>
      <c r="N103" s="63">
        <v>1620</v>
      </c>
      <c r="O103" s="68"/>
      <c r="P103" s="63"/>
      <c r="Q103" s="68"/>
      <c r="R103" s="68"/>
      <c r="S103" s="68"/>
      <c r="T103" s="63"/>
      <c r="U103" s="63"/>
      <c r="V103" s="63"/>
      <c r="W103" s="63"/>
      <c r="X103" s="63"/>
      <c r="Y103" s="63"/>
      <c r="Z103" s="63"/>
      <c r="AA103" s="63">
        <f t="shared" si="95"/>
        <v>0</v>
      </c>
      <c r="AB103" s="63">
        <f t="shared" si="95"/>
        <v>0</v>
      </c>
      <c r="AC103" s="63">
        <f t="shared" si="96"/>
        <v>0</v>
      </c>
      <c r="AD103" s="63">
        <f t="shared" si="96"/>
        <v>0</v>
      </c>
      <c r="AE103" s="63">
        <f t="shared" si="97"/>
        <v>0</v>
      </c>
      <c r="AF103" s="63">
        <f t="shared" si="98"/>
        <v>0</v>
      </c>
      <c r="AG103" s="63"/>
      <c r="AH103" s="63"/>
      <c r="AI103" s="25" t="s">
        <v>284</v>
      </c>
      <c r="AJ103" s="19">
        <f t="shared" si="109"/>
        <v>0</v>
      </c>
      <c r="AK103" s="22">
        <f t="shared" si="117"/>
        <v>0</v>
      </c>
      <c r="AL103" s="22"/>
      <c r="AM103" s="12">
        <f t="shared" si="99"/>
        <v>1</v>
      </c>
      <c r="AO103" s="12">
        <f t="shared" si="125"/>
        <v>1</v>
      </c>
      <c r="AP103" s="12">
        <f t="shared" si="126"/>
        <v>1620</v>
      </c>
      <c r="AQ103" s="12">
        <f t="shared" si="101"/>
        <v>0</v>
      </c>
      <c r="AR103" s="12">
        <f t="shared" si="85"/>
        <v>0</v>
      </c>
      <c r="AS103" s="12">
        <f t="shared" si="102"/>
        <v>0</v>
      </c>
      <c r="AT103" s="12">
        <f t="shared" si="118"/>
        <v>0</v>
      </c>
    </row>
    <row r="104" spans="1:48" s="157" customFormat="1" ht="49.5" x14ac:dyDescent="0.25">
      <c r="A104" s="152">
        <v>32</v>
      </c>
      <c r="B104" s="337" t="s">
        <v>285</v>
      </c>
      <c r="C104" s="1" t="s">
        <v>286</v>
      </c>
      <c r="D104" s="1" t="s">
        <v>287</v>
      </c>
      <c r="E104" s="1" t="s">
        <v>332</v>
      </c>
      <c r="F104" s="1"/>
      <c r="G104" s="2">
        <f>H104</f>
        <v>52000</v>
      </c>
      <c r="H104" s="2">
        <v>52000</v>
      </c>
      <c r="I104" s="3"/>
      <c r="J104" s="3"/>
      <c r="K104" s="3"/>
      <c r="L104" s="3"/>
      <c r="M104" s="4">
        <f t="shared" si="121"/>
        <v>25000</v>
      </c>
      <c r="N104" s="3">
        <v>25000</v>
      </c>
      <c r="O104" s="4">
        <f t="shared" si="122"/>
        <v>25000</v>
      </c>
      <c r="P104" s="3">
        <v>25000</v>
      </c>
      <c r="Q104" s="4"/>
      <c r="R104" s="4"/>
      <c r="S104" s="4">
        <f t="shared" ref="S104" si="127">T104</f>
        <v>25000</v>
      </c>
      <c r="T104" s="3">
        <v>25000</v>
      </c>
      <c r="U104" s="3"/>
      <c r="V104" s="3"/>
      <c r="W104" s="3"/>
      <c r="X104" s="3"/>
      <c r="Y104" s="3"/>
      <c r="Z104" s="3"/>
      <c r="AA104" s="3">
        <f t="shared" si="95"/>
        <v>0</v>
      </c>
      <c r="AB104" s="3">
        <f t="shared" si="95"/>
        <v>0</v>
      </c>
      <c r="AC104" s="3">
        <f t="shared" si="96"/>
        <v>25000</v>
      </c>
      <c r="AD104" s="3">
        <f t="shared" si="96"/>
        <v>25000</v>
      </c>
      <c r="AE104" s="3">
        <f t="shared" si="97"/>
        <v>25000</v>
      </c>
      <c r="AF104" s="3">
        <f t="shared" si="98"/>
        <v>25000</v>
      </c>
      <c r="AG104" s="3"/>
      <c r="AH104" s="3"/>
      <c r="AI104" s="334" t="s">
        <v>2130</v>
      </c>
      <c r="AJ104" s="801">
        <v>1</v>
      </c>
      <c r="AK104" s="155">
        <f t="shared" si="117"/>
        <v>1</v>
      </c>
      <c r="AL104" s="155"/>
      <c r="AM104" s="156">
        <f t="shared" si="99"/>
        <v>0</v>
      </c>
      <c r="AN104" s="156"/>
      <c r="AO104" s="156">
        <f t="shared" si="125"/>
        <v>0</v>
      </c>
      <c r="AP104" s="156">
        <f t="shared" si="126"/>
        <v>0</v>
      </c>
      <c r="AQ104" s="156">
        <f t="shared" si="101"/>
        <v>0</v>
      </c>
      <c r="AR104" s="156">
        <f t="shared" si="85"/>
        <v>0</v>
      </c>
      <c r="AS104" s="156">
        <f t="shared" si="102"/>
        <v>0</v>
      </c>
      <c r="AT104" s="156">
        <f t="shared" si="118"/>
        <v>0</v>
      </c>
      <c r="AU104" s="156">
        <f>IF(R104=0,0,1)</f>
        <v>0</v>
      </c>
      <c r="AV104" s="156">
        <f t="shared" si="119"/>
        <v>0</v>
      </c>
    </row>
    <row r="105" spans="1:48" ht="33" hidden="1" x14ac:dyDescent="0.25">
      <c r="A105" s="60">
        <v>33</v>
      </c>
      <c r="B105" s="91" t="s">
        <v>288</v>
      </c>
      <c r="C105" s="61" t="s">
        <v>58</v>
      </c>
      <c r="D105" s="61" t="s">
        <v>289</v>
      </c>
      <c r="E105" s="61" t="s">
        <v>290</v>
      </c>
      <c r="F105" s="61"/>
      <c r="G105" s="75">
        <v>4000</v>
      </c>
      <c r="H105" s="74">
        <f>G105</f>
        <v>4000</v>
      </c>
      <c r="I105" s="63"/>
      <c r="J105" s="63"/>
      <c r="K105" s="63"/>
      <c r="L105" s="63"/>
      <c r="M105" s="68">
        <f>N105</f>
        <v>3600</v>
      </c>
      <c r="N105" s="63">
        <v>3600</v>
      </c>
      <c r="O105" s="68"/>
      <c r="P105" s="63"/>
      <c r="Q105" s="68"/>
      <c r="R105" s="68"/>
      <c r="S105" s="68"/>
      <c r="T105" s="63"/>
      <c r="U105" s="63"/>
      <c r="V105" s="63"/>
      <c r="W105" s="63"/>
      <c r="X105" s="63"/>
      <c r="Y105" s="63"/>
      <c r="Z105" s="63"/>
      <c r="AA105" s="63">
        <f t="shared" si="95"/>
        <v>0</v>
      </c>
      <c r="AB105" s="63">
        <f t="shared" si="95"/>
        <v>0</v>
      </c>
      <c r="AC105" s="63">
        <f t="shared" si="96"/>
        <v>0</v>
      </c>
      <c r="AD105" s="63">
        <f t="shared" si="96"/>
        <v>0</v>
      </c>
      <c r="AE105" s="63">
        <f t="shared" si="97"/>
        <v>0</v>
      </c>
      <c r="AF105" s="63">
        <f t="shared" si="98"/>
        <v>0</v>
      </c>
      <c r="AG105" s="63"/>
      <c r="AH105" s="63"/>
      <c r="AI105" s="25" t="s">
        <v>291</v>
      </c>
      <c r="AJ105" s="19">
        <f t="shared" si="109"/>
        <v>0</v>
      </c>
      <c r="AK105" s="22">
        <f t="shared" si="117"/>
        <v>0</v>
      </c>
      <c r="AL105" s="22"/>
      <c r="AM105" s="12">
        <f t="shared" si="99"/>
        <v>1</v>
      </c>
      <c r="AO105" s="12">
        <f t="shared" si="125"/>
        <v>1</v>
      </c>
      <c r="AP105" s="12">
        <f t="shared" si="126"/>
        <v>3600</v>
      </c>
      <c r="AQ105" s="12">
        <f t="shared" si="101"/>
        <v>0</v>
      </c>
      <c r="AR105" s="12">
        <f t="shared" si="85"/>
        <v>0</v>
      </c>
      <c r="AS105" s="12">
        <f t="shared" si="102"/>
        <v>0</v>
      </c>
      <c r="AT105" s="12">
        <f t="shared" si="118"/>
        <v>0</v>
      </c>
    </row>
    <row r="106" spans="1:48" ht="49.5" hidden="1" x14ac:dyDescent="0.25">
      <c r="A106" s="60">
        <v>34</v>
      </c>
      <c r="B106" s="91" t="s">
        <v>292</v>
      </c>
      <c r="C106" s="61" t="s">
        <v>58</v>
      </c>
      <c r="D106" s="61" t="s">
        <v>293</v>
      </c>
      <c r="E106" s="61" t="s">
        <v>116</v>
      </c>
      <c r="F106" s="61" t="s">
        <v>294</v>
      </c>
      <c r="G106" s="75">
        <v>27258</v>
      </c>
      <c r="H106" s="74">
        <f t="shared" si="120"/>
        <v>27258</v>
      </c>
      <c r="I106" s="63"/>
      <c r="J106" s="63"/>
      <c r="K106" s="63"/>
      <c r="L106" s="63"/>
      <c r="M106" s="68">
        <v>12200</v>
      </c>
      <c r="N106" s="63">
        <f>M106</f>
        <v>12200</v>
      </c>
      <c r="O106" s="68">
        <f>P106</f>
        <v>25000</v>
      </c>
      <c r="P106" s="63">
        <v>25000</v>
      </c>
      <c r="Q106" s="68"/>
      <c r="R106" s="68"/>
      <c r="S106" s="68">
        <f>T106</f>
        <v>25000</v>
      </c>
      <c r="T106" s="63">
        <v>25000</v>
      </c>
      <c r="U106" s="63"/>
      <c r="V106" s="63"/>
      <c r="W106" s="63"/>
      <c r="X106" s="63"/>
      <c r="Y106" s="63"/>
      <c r="Z106" s="63"/>
      <c r="AA106" s="63">
        <f t="shared" si="95"/>
        <v>0</v>
      </c>
      <c r="AB106" s="63">
        <f t="shared" si="95"/>
        <v>0</v>
      </c>
      <c r="AC106" s="63">
        <f t="shared" si="96"/>
        <v>25000</v>
      </c>
      <c r="AD106" s="63">
        <f t="shared" si="96"/>
        <v>25000</v>
      </c>
      <c r="AE106" s="63">
        <f t="shared" si="97"/>
        <v>25000</v>
      </c>
      <c r="AF106" s="63">
        <f t="shared" si="98"/>
        <v>25000</v>
      </c>
      <c r="AG106" s="63"/>
      <c r="AH106" s="63"/>
      <c r="AI106" s="69"/>
      <c r="AJ106" s="19">
        <f t="shared" si="109"/>
        <v>0</v>
      </c>
      <c r="AK106" s="22">
        <f t="shared" si="117"/>
        <v>0</v>
      </c>
      <c r="AL106" s="22"/>
      <c r="AM106" s="12">
        <f t="shared" si="99"/>
        <v>1</v>
      </c>
      <c r="AO106" s="12">
        <f t="shared" si="125"/>
        <v>0</v>
      </c>
      <c r="AP106" s="12">
        <f t="shared" si="126"/>
        <v>0</v>
      </c>
      <c r="AQ106" s="12">
        <f t="shared" si="101"/>
        <v>0</v>
      </c>
      <c r="AR106" s="12">
        <f t="shared" si="85"/>
        <v>0</v>
      </c>
      <c r="AS106" s="12">
        <f t="shared" si="102"/>
        <v>0</v>
      </c>
      <c r="AT106" s="12">
        <f t="shared" si="118"/>
        <v>0</v>
      </c>
      <c r="AU106" s="12">
        <f>IF(R106=0,0,1)</f>
        <v>0</v>
      </c>
      <c r="AV106" s="12">
        <f t="shared" si="119"/>
        <v>0</v>
      </c>
    </row>
    <row r="107" spans="1:48" ht="49.5" hidden="1" x14ac:dyDescent="0.25">
      <c r="A107" s="60">
        <v>35</v>
      </c>
      <c r="B107" s="91" t="s">
        <v>295</v>
      </c>
      <c r="C107" s="61" t="s">
        <v>58</v>
      </c>
      <c r="D107" s="61" t="s">
        <v>296</v>
      </c>
      <c r="E107" s="61" t="s">
        <v>116</v>
      </c>
      <c r="F107" s="61" t="s">
        <v>297</v>
      </c>
      <c r="G107" s="75">
        <v>14460</v>
      </c>
      <c r="H107" s="74">
        <f t="shared" si="120"/>
        <v>14460</v>
      </c>
      <c r="I107" s="63"/>
      <c r="J107" s="63"/>
      <c r="K107" s="63"/>
      <c r="L107" s="63"/>
      <c r="M107" s="68">
        <v>7550</v>
      </c>
      <c r="N107" s="63">
        <f>M107</f>
        <v>7550</v>
      </c>
      <c r="O107" s="68">
        <f>P107</f>
        <v>13500</v>
      </c>
      <c r="P107" s="63">
        <v>13500</v>
      </c>
      <c r="Q107" s="68"/>
      <c r="R107" s="68"/>
      <c r="S107" s="68">
        <f>T107</f>
        <v>13500</v>
      </c>
      <c r="T107" s="63">
        <v>13500</v>
      </c>
      <c r="U107" s="63"/>
      <c r="V107" s="63"/>
      <c r="W107" s="63"/>
      <c r="X107" s="63"/>
      <c r="Y107" s="63"/>
      <c r="Z107" s="63"/>
      <c r="AA107" s="63">
        <f t="shared" si="95"/>
        <v>0</v>
      </c>
      <c r="AB107" s="63">
        <f t="shared" si="95"/>
        <v>0</v>
      </c>
      <c r="AC107" s="63">
        <f t="shared" si="96"/>
        <v>13500</v>
      </c>
      <c r="AD107" s="63">
        <f t="shared" si="96"/>
        <v>13500</v>
      </c>
      <c r="AE107" s="63">
        <f t="shared" si="97"/>
        <v>13500</v>
      </c>
      <c r="AF107" s="63">
        <f t="shared" si="98"/>
        <v>13500</v>
      </c>
      <c r="AG107" s="63"/>
      <c r="AH107" s="63"/>
      <c r="AI107" s="69"/>
      <c r="AJ107" s="19">
        <f t="shared" si="109"/>
        <v>0</v>
      </c>
      <c r="AK107" s="22">
        <f t="shared" si="117"/>
        <v>0</v>
      </c>
      <c r="AL107" s="22"/>
      <c r="AM107" s="12">
        <f t="shared" si="99"/>
        <v>1</v>
      </c>
      <c r="AO107" s="12">
        <f t="shared" si="125"/>
        <v>0</v>
      </c>
      <c r="AP107" s="12">
        <f t="shared" si="126"/>
        <v>0</v>
      </c>
      <c r="AQ107" s="12">
        <f t="shared" si="101"/>
        <v>0</v>
      </c>
      <c r="AR107" s="12">
        <f t="shared" si="85"/>
        <v>0</v>
      </c>
      <c r="AS107" s="12">
        <f t="shared" si="102"/>
        <v>0</v>
      </c>
      <c r="AT107" s="12">
        <f t="shared" si="118"/>
        <v>0</v>
      </c>
      <c r="AU107" s="12">
        <f>IF(R107=0,0,1)</f>
        <v>0</v>
      </c>
      <c r="AV107" s="12">
        <f t="shared" si="119"/>
        <v>0</v>
      </c>
    </row>
    <row r="108" spans="1:48" ht="86.25" hidden="1" customHeight="1" x14ac:dyDescent="0.25">
      <c r="A108" s="60">
        <v>36</v>
      </c>
      <c r="B108" s="91" t="s">
        <v>298</v>
      </c>
      <c r="C108" s="61" t="s">
        <v>52</v>
      </c>
      <c r="D108" s="61" t="s">
        <v>299</v>
      </c>
      <c r="E108" s="61" t="s">
        <v>290</v>
      </c>
      <c r="F108" s="61"/>
      <c r="G108" s="75">
        <v>6000</v>
      </c>
      <c r="H108" s="74">
        <f t="shared" si="120"/>
        <v>6000</v>
      </c>
      <c r="I108" s="63"/>
      <c r="J108" s="63"/>
      <c r="K108" s="63"/>
      <c r="L108" s="63"/>
      <c r="M108" s="68">
        <f>H108*0.9</f>
        <v>5400</v>
      </c>
      <c r="N108" s="63">
        <f>M108</f>
        <v>5400</v>
      </c>
      <c r="O108" s="68"/>
      <c r="P108" s="63"/>
      <c r="Q108" s="68"/>
      <c r="R108" s="68"/>
      <c r="S108" s="68"/>
      <c r="T108" s="63"/>
      <c r="U108" s="63"/>
      <c r="V108" s="63"/>
      <c r="W108" s="63"/>
      <c r="X108" s="63"/>
      <c r="Y108" s="63"/>
      <c r="Z108" s="63"/>
      <c r="AA108" s="63">
        <f t="shared" si="95"/>
        <v>0</v>
      </c>
      <c r="AB108" s="63">
        <f t="shared" si="95"/>
        <v>0</v>
      </c>
      <c r="AC108" s="63">
        <f t="shared" si="96"/>
        <v>0</v>
      </c>
      <c r="AD108" s="63">
        <f t="shared" si="96"/>
        <v>0</v>
      </c>
      <c r="AE108" s="63">
        <f t="shared" si="97"/>
        <v>0</v>
      </c>
      <c r="AF108" s="63">
        <f t="shared" si="98"/>
        <v>0</v>
      </c>
      <c r="AG108" s="63"/>
      <c r="AH108" s="63"/>
      <c r="AI108" s="25" t="s">
        <v>300</v>
      </c>
      <c r="AJ108" s="19">
        <f t="shared" si="109"/>
        <v>0</v>
      </c>
      <c r="AK108" s="22">
        <f t="shared" si="117"/>
        <v>0</v>
      </c>
      <c r="AL108" s="22"/>
      <c r="AM108" s="12">
        <f t="shared" si="99"/>
        <v>1</v>
      </c>
      <c r="AO108" s="12">
        <f t="shared" si="125"/>
        <v>1</v>
      </c>
      <c r="AP108" s="12">
        <f t="shared" si="126"/>
        <v>5400</v>
      </c>
      <c r="AQ108" s="12">
        <f t="shared" si="101"/>
        <v>0</v>
      </c>
      <c r="AR108" s="12">
        <f t="shared" si="85"/>
        <v>0</v>
      </c>
      <c r="AS108" s="12">
        <f t="shared" si="102"/>
        <v>0</v>
      </c>
      <c r="AT108" s="12">
        <f t="shared" si="118"/>
        <v>0</v>
      </c>
    </row>
    <row r="109" spans="1:48" s="157" customFormat="1" ht="36" customHeight="1" x14ac:dyDescent="0.25">
      <c r="A109" s="152">
        <v>37</v>
      </c>
      <c r="B109" s="337" t="s">
        <v>301</v>
      </c>
      <c r="C109" s="1" t="s">
        <v>205</v>
      </c>
      <c r="D109" s="1" t="s">
        <v>302</v>
      </c>
      <c r="E109" s="1" t="s">
        <v>116</v>
      </c>
      <c r="F109" s="1"/>
      <c r="G109" s="158">
        <f>H109</f>
        <v>9500</v>
      </c>
      <c r="H109" s="2">
        <f>9500</f>
        <v>9500</v>
      </c>
      <c r="I109" s="3"/>
      <c r="J109" s="3"/>
      <c r="K109" s="3"/>
      <c r="L109" s="3"/>
      <c r="M109" s="4">
        <v>8000</v>
      </c>
      <c r="N109" s="3">
        <f>M109</f>
        <v>8000</v>
      </c>
      <c r="O109" s="4">
        <f>P109</f>
        <v>9148</v>
      </c>
      <c r="P109" s="3">
        <v>9148</v>
      </c>
      <c r="Q109" s="4"/>
      <c r="R109" s="4">
        <f>P109</f>
        <v>9148</v>
      </c>
      <c r="S109" s="4"/>
      <c r="T109" s="3"/>
      <c r="U109" s="3"/>
      <c r="V109" s="3"/>
      <c r="W109" s="3"/>
      <c r="X109" s="3"/>
      <c r="Y109" s="3"/>
      <c r="Z109" s="3"/>
      <c r="AA109" s="3">
        <f t="shared" si="95"/>
        <v>0</v>
      </c>
      <c r="AB109" s="3">
        <f t="shared" si="95"/>
        <v>0</v>
      </c>
      <c r="AC109" s="3">
        <f t="shared" si="96"/>
        <v>9148</v>
      </c>
      <c r="AD109" s="3">
        <f t="shared" si="96"/>
        <v>9148</v>
      </c>
      <c r="AE109" s="3">
        <f t="shared" si="97"/>
        <v>9148</v>
      </c>
      <c r="AF109" s="3">
        <f t="shared" si="98"/>
        <v>9148</v>
      </c>
      <c r="AG109" s="3"/>
      <c r="AH109" s="3"/>
      <c r="AI109" s="334" t="s">
        <v>619</v>
      </c>
      <c r="AJ109" s="801">
        <f t="shared" si="109"/>
        <v>1</v>
      </c>
      <c r="AK109" s="155">
        <f t="shared" si="117"/>
        <v>1</v>
      </c>
      <c r="AL109" s="155"/>
      <c r="AM109" s="156">
        <f t="shared" si="99"/>
        <v>0</v>
      </c>
      <c r="AN109" s="156"/>
      <c r="AO109" s="156">
        <f t="shared" si="125"/>
        <v>0</v>
      </c>
      <c r="AP109" s="156">
        <f t="shared" si="126"/>
        <v>0</v>
      </c>
      <c r="AQ109" s="156">
        <f t="shared" si="101"/>
        <v>0</v>
      </c>
      <c r="AR109" s="156">
        <f t="shared" si="85"/>
        <v>0</v>
      </c>
      <c r="AS109" s="156">
        <f t="shared" si="102"/>
        <v>0</v>
      </c>
      <c r="AT109" s="156">
        <f t="shared" si="118"/>
        <v>0</v>
      </c>
      <c r="AU109" s="156">
        <f>IF(R109=0,0,1)</f>
        <v>1</v>
      </c>
      <c r="AV109" s="156">
        <f t="shared" si="119"/>
        <v>9148</v>
      </c>
    </row>
    <row r="110" spans="1:48" ht="49.5" hidden="1" x14ac:dyDescent="0.25">
      <c r="A110" s="60">
        <v>38</v>
      </c>
      <c r="B110" s="91" t="s">
        <v>303</v>
      </c>
      <c r="C110" s="61" t="s">
        <v>230</v>
      </c>
      <c r="D110" s="61" t="s">
        <v>304</v>
      </c>
      <c r="E110" s="61" t="s">
        <v>116</v>
      </c>
      <c r="F110" s="61" t="s">
        <v>305</v>
      </c>
      <c r="G110" s="75">
        <f>H110</f>
        <v>3135</v>
      </c>
      <c r="H110" s="74">
        <v>3135</v>
      </c>
      <c r="I110" s="63"/>
      <c r="J110" s="63"/>
      <c r="K110" s="63"/>
      <c r="L110" s="63"/>
      <c r="M110" s="68">
        <v>1500</v>
      </c>
      <c r="N110" s="63">
        <f>M110</f>
        <v>1500</v>
      </c>
      <c r="O110" s="68">
        <f>P110</f>
        <v>2900</v>
      </c>
      <c r="P110" s="63">
        <v>2900</v>
      </c>
      <c r="Q110" s="68"/>
      <c r="R110" s="68"/>
      <c r="S110" s="68">
        <f>T110</f>
        <v>2900</v>
      </c>
      <c r="T110" s="63">
        <v>2900</v>
      </c>
      <c r="U110" s="58"/>
      <c r="V110" s="58"/>
      <c r="W110" s="58"/>
      <c r="X110" s="58"/>
      <c r="Y110" s="63"/>
      <c r="Z110" s="63"/>
      <c r="AA110" s="63">
        <f t="shared" si="95"/>
        <v>0</v>
      </c>
      <c r="AB110" s="63">
        <f t="shared" si="95"/>
        <v>0</v>
      </c>
      <c r="AC110" s="63">
        <f t="shared" si="96"/>
        <v>2900</v>
      </c>
      <c r="AD110" s="63">
        <f t="shared" si="96"/>
        <v>2900</v>
      </c>
      <c r="AE110" s="63">
        <f t="shared" si="97"/>
        <v>2900</v>
      </c>
      <c r="AF110" s="63">
        <f t="shared" si="98"/>
        <v>2900</v>
      </c>
      <c r="AG110" s="58"/>
      <c r="AH110" s="58"/>
      <c r="AI110" s="69"/>
      <c r="AJ110" s="19">
        <f t="shared" si="109"/>
        <v>0</v>
      </c>
      <c r="AK110" s="22">
        <f t="shared" si="117"/>
        <v>0</v>
      </c>
      <c r="AL110" s="22"/>
      <c r="AM110" s="12">
        <f t="shared" si="99"/>
        <v>1</v>
      </c>
      <c r="AO110" s="12">
        <f t="shared" si="125"/>
        <v>0</v>
      </c>
      <c r="AP110" s="12">
        <f t="shared" si="126"/>
        <v>0</v>
      </c>
      <c r="AQ110" s="12">
        <f t="shared" si="101"/>
        <v>0</v>
      </c>
      <c r="AR110" s="12">
        <f t="shared" si="85"/>
        <v>0</v>
      </c>
      <c r="AS110" s="12">
        <f t="shared" si="102"/>
        <v>0</v>
      </c>
      <c r="AT110" s="12">
        <f t="shared" si="118"/>
        <v>0</v>
      </c>
      <c r="AU110" s="12">
        <f>IF(R110=0,0,1)</f>
        <v>0</v>
      </c>
      <c r="AV110" s="12">
        <f t="shared" si="119"/>
        <v>0</v>
      </c>
    </row>
    <row r="111" spans="1:48" ht="33" hidden="1" x14ac:dyDescent="0.25">
      <c r="A111" s="60">
        <v>39</v>
      </c>
      <c r="B111" s="91" t="s">
        <v>306</v>
      </c>
      <c r="C111" s="61" t="s">
        <v>52</v>
      </c>
      <c r="D111" s="61" t="s">
        <v>307</v>
      </c>
      <c r="E111" s="61" t="s">
        <v>116</v>
      </c>
      <c r="F111" s="61"/>
      <c r="G111" s="75">
        <v>1060</v>
      </c>
      <c r="H111" s="74">
        <f t="shared" si="120"/>
        <v>1060</v>
      </c>
      <c r="I111" s="63"/>
      <c r="J111" s="63"/>
      <c r="K111" s="63"/>
      <c r="L111" s="63"/>
      <c r="M111" s="68">
        <f t="shared" si="121"/>
        <v>1000</v>
      </c>
      <c r="N111" s="63">
        <v>1000</v>
      </c>
      <c r="O111" s="68"/>
      <c r="P111" s="63"/>
      <c r="Q111" s="68"/>
      <c r="R111" s="68"/>
      <c r="S111" s="68"/>
      <c r="T111" s="63"/>
      <c r="U111" s="63"/>
      <c r="V111" s="63"/>
      <c r="W111" s="63"/>
      <c r="X111" s="63"/>
      <c r="Y111" s="63"/>
      <c r="Z111" s="63"/>
      <c r="AA111" s="63">
        <f t="shared" si="95"/>
        <v>0</v>
      </c>
      <c r="AB111" s="63">
        <f t="shared" si="95"/>
        <v>0</v>
      </c>
      <c r="AC111" s="63">
        <f t="shared" si="96"/>
        <v>0</v>
      </c>
      <c r="AD111" s="63">
        <f t="shared" si="96"/>
        <v>0</v>
      </c>
      <c r="AE111" s="63">
        <f t="shared" si="97"/>
        <v>0</v>
      </c>
      <c r="AF111" s="63">
        <f t="shared" si="98"/>
        <v>0</v>
      </c>
      <c r="AG111" s="63"/>
      <c r="AH111" s="63"/>
      <c r="AI111" s="25" t="s">
        <v>284</v>
      </c>
      <c r="AJ111" s="19">
        <f t="shared" si="109"/>
        <v>0</v>
      </c>
      <c r="AK111" s="22">
        <f t="shared" si="117"/>
        <v>0</v>
      </c>
      <c r="AL111" s="22"/>
      <c r="AM111" s="12">
        <f t="shared" si="99"/>
        <v>1</v>
      </c>
      <c r="AO111" s="12">
        <f t="shared" si="125"/>
        <v>1</v>
      </c>
      <c r="AP111" s="12">
        <f t="shared" si="126"/>
        <v>1000</v>
      </c>
      <c r="AQ111" s="12">
        <f t="shared" si="101"/>
        <v>0</v>
      </c>
      <c r="AR111" s="12">
        <f t="shared" si="85"/>
        <v>0</v>
      </c>
      <c r="AS111" s="12">
        <f t="shared" si="102"/>
        <v>0</v>
      </c>
      <c r="AT111" s="12">
        <f t="shared" si="118"/>
        <v>0</v>
      </c>
    </row>
    <row r="112" spans="1:48" s="157" customFormat="1" ht="33" x14ac:dyDescent="0.25">
      <c r="A112" s="152">
        <v>40</v>
      </c>
      <c r="B112" s="337" t="s">
        <v>308</v>
      </c>
      <c r="C112" s="1" t="s">
        <v>146</v>
      </c>
      <c r="D112" s="1" t="s">
        <v>309</v>
      </c>
      <c r="E112" s="1" t="s">
        <v>116</v>
      </c>
      <c r="F112" s="1"/>
      <c r="G112" s="158">
        <v>3746</v>
      </c>
      <c r="H112" s="2">
        <f t="shared" si="120"/>
        <v>3746</v>
      </c>
      <c r="I112" s="3"/>
      <c r="J112" s="3"/>
      <c r="K112" s="3"/>
      <c r="L112" s="3"/>
      <c r="M112" s="4">
        <f t="shared" si="121"/>
        <v>3500</v>
      </c>
      <c r="N112" s="3">
        <v>3500</v>
      </c>
      <c r="O112" s="4">
        <f t="shared" ref="O112:O117" si="128">P112</f>
        <v>3500</v>
      </c>
      <c r="P112" s="3">
        <v>3500</v>
      </c>
      <c r="Q112" s="4"/>
      <c r="R112" s="4">
        <v>3500</v>
      </c>
      <c r="S112" s="4"/>
      <c r="T112" s="3"/>
      <c r="U112" s="3"/>
      <c r="V112" s="3"/>
      <c r="W112" s="3"/>
      <c r="X112" s="3"/>
      <c r="Y112" s="3"/>
      <c r="Z112" s="3"/>
      <c r="AA112" s="3">
        <f t="shared" si="95"/>
        <v>0</v>
      </c>
      <c r="AB112" s="3">
        <f t="shared" si="95"/>
        <v>0</v>
      </c>
      <c r="AC112" s="3">
        <f t="shared" si="96"/>
        <v>3500</v>
      </c>
      <c r="AD112" s="3">
        <f t="shared" si="96"/>
        <v>3500</v>
      </c>
      <c r="AE112" s="3">
        <f t="shared" si="97"/>
        <v>3500</v>
      </c>
      <c r="AF112" s="3">
        <f t="shared" si="98"/>
        <v>3500</v>
      </c>
      <c r="AG112" s="3"/>
      <c r="AH112" s="3"/>
      <c r="AI112" s="25" t="s">
        <v>284</v>
      </c>
      <c r="AJ112" s="801">
        <f t="shared" si="109"/>
        <v>1</v>
      </c>
      <c r="AK112" s="155">
        <f t="shared" si="117"/>
        <v>1</v>
      </c>
      <c r="AL112" s="155"/>
      <c r="AM112" s="156">
        <f t="shared" si="99"/>
        <v>0</v>
      </c>
      <c r="AN112" s="156"/>
      <c r="AO112" s="156">
        <f t="shared" si="125"/>
        <v>0</v>
      </c>
      <c r="AP112" s="156">
        <f t="shared" si="126"/>
        <v>0</v>
      </c>
      <c r="AQ112" s="156">
        <f t="shared" si="101"/>
        <v>0</v>
      </c>
      <c r="AR112" s="156">
        <f t="shared" si="85"/>
        <v>0</v>
      </c>
      <c r="AS112" s="156">
        <f t="shared" si="102"/>
        <v>0</v>
      </c>
      <c r="AT112" s="156">
        <f t="shared" si="118"/>
        <v>0</v>
      </c>
      <c r="AU112" s="156">
        <f>IF(R112=0,0,1)</f>
        <v>1</v>
      </c>
      <c r="AV112" s="156">
        <f t="shared" si="119"/>
        <v>3500</v>
      </c>
    </row>
    <row r="113" spans="1:48" ht="33" hidden="1" x14ac:dyDescent="0.25">
      <c r="A113" s="60">
        <v>41</v>
      </c>
      <c r="B113" s="91" t="s">
        <v>310</v>
      </c>
      <c r="C113" s="61" t="s">
        <v>52</v>
      </c>
      <c r="D113" s="61" t="s">
        <v>311</v>
      </c>
      <c r="E113" s="61" t="s">
        <v>290</v>
      </c>
      <c r="F113" s="61"/>
      <c r="G113" s="75">
        <v>14200</v>
      </c>
      <c r="H113" s="74">
        <f t="shared" si="120"/>
        <v>14200</v>
      </c>
      <c r="I113" s="63"/>
      <c r="J113" s="63"/>
      <c r="K113" s="63"/>
      <c r="L113" s="63"/>
      <c r="M113" s="68">
        <f t="shared" si="121"/>
        <v>9500</v>
      </c>
      <c r="N113" s="63">
        <v>9500</v>
      </c>
      <c r="O113" s="68">
        <f t="shared" si="128"/>
        <v>12900</v>
      </c>
      <c r="P113" s="63">
        <v>12900</v>
      </c>
      <c r="Q113" s="68"/>
      <c r="R113" s="68"/>
      <c r="S113" s="68">
        <f t="shared" ref="S113" si="129">T113</f>
        <v>12900</v>
      </c>
      <c r="T113" s="63">
        <v>12900</v>
      </c>
      <c r="U113" s="63"/>
      <c r="V113" s="63"/>
      <c r="W113" s="63"/>
      <c r="X113" s="63"/>
      <c r="Y113" s="63"/>
      <c r="Z113" s="63"/>
      <c r="AA113" s="63">
        <f t="shared" si="95"/>
        <v>0</v>
      </c>
      <c r="AB113" s="63">
        <f t="shared" si="95"/>
        <v>0</v>
      </c>
      <c r="AC113" s="63">
        <f t="shared" si="96"/>
        <v>12900</v>
      </c>
      <c r="AD113" s="63">
        <f t="shared" si="96"/>
        <v>12900</v>
      </c>
      <c r="AE113" s="63">
        <f t="shared" si="97"/>
        <v>12900</v>
      </c>
      <c r="AF113" s="63">
        <f t="shared" si="98"/>
        <v>12900</v>
      </c>
      <c r="AG113" s="63"/>
      <c r="AH113" s="63"/>
      <c r="AI113" s="69"/>
      <c r="AJ113" s="19">
        <f t="shared" si="109"/>
        <v>0</v>
      </c>
      <c r="AK113" s="22">
        <f t="shared" si="117"/>
        <v>0</v>
      </c>
      <c r="AL113" s="22"/>
      <c r="AM113" s="12">
        <f t="shared" si="99"/>
        <v>1</v>
      </c>
      <c r="AO113" s="12">
        <f t="shared" si="125"/>
        <v>0</v>
      </c>
      <c r="AP113" s="12">
        <f t="shared" si="126"/>
        <v>0</v>
      </c>
      <c r="AQ113" s="12">
        <f t="shared" si="101"/>
        <v>0</v>
      </c>
      <c r="AR113" s="12">
        <f t="shared" si="85"/>
        <v>0</v>
      </c>
      <c r="AS113" s="12">
        <f t="shared" si="102"/>
        <v>0</v>
      </c>
      <c r="AT113" s="12">
        <f t="shared" si="118"/>
        <v>0</v>
      </c>
      <c r="AU113" s="12">
        <f>IF(R113=0,0,1)</f>
        <v>0</v>
      </c>
      <c r="AV113" s="12">
        <f t="shared" si="119"/>
        <v>0</v>
      </c>
    </row>
    <row r="114" spans="1:48" ht="33" hidden="1" x14ac:dyDescent="0.25">
      <c r="A114" s="60">
        <v>42</v>
      </c>
      <c r="B114" s="91" t="s">
        <v>312</v>
      </c>
      <c r="C114" s="61" t="s">
        <v>104</v>
      </c>
      <c r="D114" s="61" t="s">
        <v>313</v>
      </c>
      <c r="E114" s="61" t="s">
        <v>116</v>
      </c>
      <c r="F114" s="61"/>
      <c r="G114" s="75">
        <v>1755</v>
      </c>
      <c r="H114" s="74">
        <f t="shared" si="120"/>
        <v>1755</v>
      </c>
      <c r="I114" s="63"/>
      <c r="J114" s="63"/>
      <c r="K114" s="63"/>
      <c r="L114" s="63"/>
      <c r="M114" s="68">
        <f t="shared" si="121"/>
        <v>1650</v>
      </c>
      <c r="N114" s="63">
        <v>1650</v>
      </c>
      <c r="O114" s="68"/>
      <c r="P114" s="63"/>
      <c r="Q114" s="68"/>
      <c r="R114" s="68"/>
      <c r="S114" s="68"/>
      <c r="T114" s="63"/>
      <c r="U114" s="63"/>
      <c r="V114" s="63"/>
      <c r="W114" s="63"/>
      <c r="X114" s="63"/>
      <c r="Y114" s="63"/>
      <c r="Z114" s="63"/>
      <c r="AA114" s="63">
        <f t="shared" si="95"/>
        <v>0</v>
      </c>
      <c r="AB114" s="63">
        <f t="shared" si="95"/>
        <v>0</v>
      </c>
      <c r="AC114" s="63">
        <f t="shared" si="96"/>
        <v>0</v>
      </c>
      <c r="AD114" s="63">
        <f t="shared" si="96"/>
        <v>0</v>
      </c>
      <c r="AE114" s="63">
        <f t="shared" si="97"/>
        <v>0</v>
      </c>
      <c r="AF114" s="63">
        <f t="shared" si="98"/>
        <v>0</v>
      </c>
      <c r="AG114" s="63"/>
      <c r="AH114" s="63"/>
      <c r="AI114" s="25" t="s">
        <v>284</v>
      </c>
      <c r="AJ114" s="19">
        <f t="shared" si="109"/>
        <v>0</v>
      </c>
      <c r="AK114" s="22">
        <f t="shared" si="117"/>
        <v>0</v>
      </c>
      <c r="AL114" s="22"/>
      <c r="AM114" s="12">
        <f t="shared" si="99"/>
        <v>1</v>
      </c>
      <c r="AO114" s="12">
        <f t="shared" si="125"/>
        <v>1</v>
      </c>
      <c r="AP114" s="12">
        <f t="shared" si="126"/>
        <v>1650</v>
      </c>
      <c r="AQ114" s="12">
        <f t="shared" si="101"/>
        <v>0</v>
      </c>
      <c r="AR114" s="12">
        <f t="shared" si="85"/>
        <v>0</v>
      </c>
      <c r="AS114" s="12">
        <f t="shared" si="102"/>
        <v>0</v>
      </c>
      <c r="AT114" s="12">
        <f t="shared" si="118"/>
        <v>0</v>
      </c>
    </row>
    <row r="115" spans="1:48" ht="33" hidden="1" x14ac:dyDescent="0.25">
      <c r="A115" s="60">
        <v>43</v>
      </c>
      <c r="B115" s="91" t="s">
        <v>314</v>
      </c>
      <c r="C115" s="61" t="s">
        <v>112</v>
      </c>
      <c r="D115" s="61" t="s">
        <v>315</v>
      </c>
      <c r="E115" s="61" t="s">
        <v>290</v>
      </c>
      <c r="F115" s="61"/>
      <c r="G115" s="75">
        <v>1340</v>
      </c>
      <c r="H115" s="74">
        <f t="shared" si="120"/>
        <v>1340</v>
      </c>
      <c r="I115" s="63"/>
      <c r="J115" s="63"/>
      <c r="K115" s="63"/>
      <c r="L115" s="63"/>
      <c r="M115" s="68">
        <f t="shared" si="121"/>
        <v>1250</v>
      </c>
      <c r="N115" s="63">
        <v>1250</v>
      </c>
      <c r="O115" s="68">
        <f t="shared" si="128"/>
        <v>1250</v>
      </c>
      <c r="P115" s="63">
        <v>1250</v>
      </c>
      <c r="Q115" s="54"/>
      <c r="R115" s="54"/>
      <c r="S115" s="68">
        <f t="shared" ref="S115" si="130">T115</f>
        <v>1250</v>
      </c>
      <c r="T115" s="63">
        <v>1250</v>
      </c>
      <c r="U115" s="63"/>
      <c r="V115" s="63"/>
      <c r="W115" s="63"/>
      <c r="X115" s="63"/>
      <c r="Y115" s="63"/>
      <c r="Z115" s="63"/>
      <c r="AA115" s="63">
        <f t="shared" si="95"/>
        <v>0</v>
      </c>
      <c r="AB115" s="63">
        <f t="shared" si="95"/>
        <v>0</v>
      </c>
      <c r="AC115" s="63">
        <f t="shared" si="96"/>
        <v>1250</v>
      </c>
      <c r="AD115" s="63">
        <f t="shared" si="96"/>
        <v>1250</v>
      </c>
      <c r="AE115" s="63">
        <f t="shared" si="97"/>
        <v>1250</v>
      </c>
      <c r="AF115" s="63">
        <f t="shared" si="98"/>
        <v>1250</v>
      </c>
      <c r="AG115" s="63"/>
      <c r="AH115" s="63"/>
      <c r="AI115" s="69"/>
      <c r="AJ115" s="19">
        <f t="shared" si="109"/>
        <v>0</v>
      </c>
      <c r="AK115" s="22">
        <f t="shared" si="117"/>
        <v>0</v>
      </c>
      <c r="AL115" s="22"/>
      <c r="AM115" s="12">
        <f t="shared" si="99"/>
        <v>1</v>
      </c>
      <c r="AO115" s="12">
        <f t="shared" si="125"/>
        <v>0</v>
      </c>
      <c r="AP115" s="12">
        <f t="shared" si="126"/>
        <v>0</v>
      </c>
      <c r="AQ115" s="12">
        <f t="shared" si="101"/>
        <v>0</v>
      </c>
      <c r="AR115" s="12">
        <f t="shared" si="85"/>
        <v>0</v>
      </c>
      <c r="AS115" s="12">
        <f t="shared" si="102"/>
        <v>0</v>
      </c>
      <c r="AT115" s="12">
        <f t="shared" si="118"/>
        <v>0</v>
      </c>
      <c r="AU115" s="12">
        <f>IF(R115=0,0,1)</f>
        <v>0</v>
      </c>
      <c r="AV115" s="12">
        <f t="shared" si="119"/>
        <v>0</v>
      </c>
    </row>
    <row r="116" spans="1:48" ht="33" hidden="1" x14ac:dyDescent="0.25">
      <c r="A116" s="60">
        <v>44</v>
      </c>
      <c r="B116" s="91" t="s">
        <v>316</v>
      </c>
      <c r="C116" s="61" t="s">
        <v>52</v>
      </c>
      <c r="D116" s="61" t="s">
        <v>315</v>
      </c>
      <c r="E116" s="61" t="s">
        <v>290</v>
      </c>
      <c r="F116" s="61"/>
      <c r="G116" s="75">
        <v>1340</v>
      </c>
      <c r="H116" s="74">
        <f t="shared" si="120"/>
        <v>1340</v>
      </c>
      <c r="I116" s="63"/>
      <c r="J116" s="63"/>
      <c r="K116" s="63"/>
      <c r="L116" s="63"/>
      <c r="M116" s="68">
        <f t="shared" si="121"/>
        <v>1250</v>
      </c>
      <c r="N116" s="63">
        <v>1250</v>
      </c>
      <c r="O116" s="68"/>
      <c r="P116" s="63"/>
      <c r="Q116" s="68"/>
      <c r="R116" s="68"/>
      <c r="S116" s="68"/>
      <c r="T116" s="63"/>
      <c r="U116" s="58"/>
      <c r="V116" s="58"/>
      <c r="W116" s="58"/>
      <c r="X116" s="58"/>
      <c r="Y116" s="63"/>
      <c r="Z116" s="63"/>
      <c r="AA116" s="63">
        <f t="shared" si="95"/>
        <v>0</v>
      </c>
      <c r="AB116" s="63">
        <f t="shared" si="95"/>
        <v>0</v>
      </c>
      <c r="AC116" s="63">
        <f t="shared" si="96"/>
        <v>0</v>
      </c>
      <c r="AD116" s="63">
        <f t="shared" si="96"/>
        <v>0</v>
      </c>
      <c r="AE116" s="63">
        <f t="shared" si="97"/>
        <v>0</v>
      </c>
      <c r="AF116" s="63">
        <f t="shared" si="98"/>
        <v>0</v>
      </c>
      <c r="AG116" s="58"/>
      <c r="AH116" s="58"/>
      <c r="AI116" s="25" t="s">
        <v>284</v>
      </c>
      <c r="AJ116" s="19">
        <f t="shared" si="109"/>
        <v>0</v>
      </c>
      <c r="AK116" s="22">
        <f t="shared" si="117"/>
        <v>0</v>
      </c>
      <c r="AL116" s="22"/>
      <c r="AM116" s="12">
        <f t="shared" si="99"/>
        <v>1</v>
      </c>
      <c r="AO116" s="12">
        <f t="shared" si="125"/>
        <v>1</v>
      </c>
      <c r="AP116" s="12">
        <f t="shared" si="126"/>
        <v>1250</v>
      </c>
      <c r="AQ116" s="12">
        <f t="shared" si="101"/>
        <v>0</v>
      </c>
      <c r="AR116" s="12">
        <f t="shared" si="85"/>
        <v>0</v>
      </c>
      <c r="AS116" s="12">
        <f t="shared" si="102"/>
        <v>0</v>
      </c>
      <c r="AT116" s="12">
        <f t="shared" si="118"/>
        <v>0</v>
      </c>
    </row>
    <row r="117" spans="1:48" ht="33" hidden="1" x14ac:dyDescent="0.25">
      <c r="A117" s="60">
        <v>45</v>
      </c>
      <c r="B117" s="91" t="s">
        <v>317</v>
      </c>
      <c r="C117" s="61" t="s">
        <v>58</v>
      </c>
      <c r="D117" s="61" t="s">
        <v>318</v>
      </c>
      <c r="E117" s="61" t="s">
        <v>290</v>
      </c>
      <c r="F117" s="61"/>
      <c r="G117" s="75">
        <v>1050</v>
      </c>
      <c r="H117" s="74">
        <f t="shared" si="120"/>
        <v>1050</v>
      </c>
      <c r="I117" s="63"/>
      <c r="J117" s="63"/>
      <c r="K117" s="63"/>
      <c r="L117" s="63"/>
      <c r="M117" s="68">
        <f t="shared" si="121"/>
        <v>1000</v>
      </c>
      <c r="N117" s="63">
        <v>1000</v>
      </c>
      <c r="O117" s="68">
        <f t="shared" si="128"/>
        <v>1000</v>
      </c>
      <c r="P117" s="63">
        <v>1000</v>
      </c>
      <c r="Q117" s="68"/>
      <c r="R117" s="68"/>
      <c r="S117" s="68">
        <f t="shared" ref="S117" si="131">T117</f>
        <v>1000</v>
      </c>
      <c r="T117" s="63">
        <v>1000</v>
      </c>
      <c r="U117" s="63"/>
      <c r="V117" s="63"/>
      <c r="W117" s="63"/>
      <c r="X117" s="63"/>
      <c r="Y117" s="63"/>
      <c r="Z117" s="63"/>
      <c r="AA117" s="63">
        <f t="shared" si="95"/>
        <v>0</v>
      </c>
      <c r="AB117" s="63">
        <f t="shared" si="95"/>
        <v>0</v>
      </c>
      <c r="AC117" s="63">
        <f t="shared" si="96"/>
        <v>1000</v>
      </c>
      <c r="AD117" s="63">
        <f t="shared" si="96"/>
        <v>1000</v>
      </c>
      <c r="AE117" s="63">
        <f t="shared" si="97"/>
        <v>1000</v>
      </c>
      <c r="AF117" s="63">
        <f t="shared" si="98"/>
        <v>1000</v>
      </c>
      <c r="AG117" s="63"/>
      <c r="AH117" s="63"/>
      <c r="AI117" s="69"/>
      <c r="AJ117" s="19">
        <f t="shared" si="109"/>
        <v>0</v>
      </c>
      <c r="AK117" s="22">
        <f t="shared" si="117"/>
        <v>0</v>
      </c>
      <c r="AL117" s="22"/>
      <c r="AM117" s="12">
        <f t="shared" si="99"/>
        <v>1</v>
      </c>
      <c r="AO117" s="12">
        <f t="shared" si="125"/>
        <v>0</v>
      </c>
      <c r="AP117" s="12">
        <f t="shared" si="126"/>
        <v>0</v>
      </c>
      <c r="AQ117" s="12">
        <f t="shared" si="101"/>
        <v>0</v>
      </c>
      <c r="AR117" s="12">
        <f t="shared" si="85"/>
        <v>0</v>
      </c>
      <c r="AS117" s="12">
        <f t="shared" si="102"/>
        <v>0</v>
      </c>
      <c r="AT117" s="12">
        <f t="shared" si="118"/>
        <v>0</v>
      </c>
      <c r="AU117" s="12">
        <f>IF(R117=0,0,1)</f>
        <v>0</v>
      </c>
      <c r="AV117" s="12">
        <f t="shared" si="119"/>
        <v>0</v>
      </c>
    </row>
    <row r="118" spans="1:48" ht="33" hidden="1" x14ac:dyDescent="0.25">
      <c r="A118" s="60">
        <v>46</v>
      </c>
      <c r="B118" s="91" t="s">
        <v>319</v>
      </c>
      <c r="C118" s="61" t="s">
        <v>99</v>
      </c>
      <c r="D118" s="61" t="s">
        <v>320</v>
      </c>
      <c r="E118" s="61" t="s">
        <v>290</v>
      </c>
      <c r="F118" s="61"/>
      <c r="G118" s="75">
        <v>1160</v>
      </c>
      <c r="H118" s="74">
        <f t="shared" si="120"/>
        <v>1160</v>
      </c>
      <c r="I118" s="63"/>
      <c r="J118" s="63"/>
      <c r="K118" s="63"/>
      <c r="L118" s="63"/>
      <c r="M118" s="68">
        <f t="shared" si="121"/>
        <v>1100</v>
      </c>
      <c r="N118" s="63">
        <v>1100</v>
      </c>
      <c r="O118" s="68"/>
      <c r="P118" s="63"/>
      <c r="Q118" s="68"/>
      <c r="R118" s="68"/>
      <c r="S118" s="68"/>
      <c r="T118" s="63"/>
      <c r="U118" s="63"/>
      <c r="V118" s="63"/>
      <c r="W118" s="63"/>
      <c r="X118" s="63"/>
      <c r="Y118" s="63"/>
      <c r="Z118" s="63"/>
      <c r="AA118" s="63">
        <f t="shared" si="95"/>
        <v>0</v>
      </c>
      <c r="AB118" s="63">
        <f t="shared" si="95"/>
        <v>0</v>
      </c>
      <c r="AC118" s="63">
        <f t="shared" si="96"/>
        <v>0</v>
      </c>
      <c r="AD118" s="63">
        <f t="shared" si="96"/>
        <v>0</v>
      </c>
      <c r="AE118" s="63">
        <f t="shared" si="97"/>
        <v>0</v>
      </c>
      <c r="AF118" s="63">
        <f t="shared" si="98"/>
        <v>0</v>
      </c>
      <c r="AG118" s="63"/>
      <c r="AH118" s="63"/>
      <c r="AI118" s="25" t="s">
        <v>284</v>
      </c>
      <c r="AJ118" s="19">
        <f t="shared" si="109"/>
        <v>0</v>
      </c>
      <c r="AK118" s="22">
        <f t="shared" si="117"/>
        <v>0</v>
      </c>
      <c r="AL118" s="22"/>
      <c r="AM118" s="12">
        <f t="shared" si="99"/>
        <v>1</v>
      </c>
      <c r="AO118" s="12">
        <f t="shared" si="125"/>
        <v>1</v>
      </c>
      <c r="AP118" s="12">
        <f t="shared" si="126"/>
        <v>1100</v>
      </c>
      <c r="AQ118" s="12">
        <f t="shared" si="101"/>
        <v>0</v>
      </c>
      <c r="AR118" s="12">
        <f t="shared" si="85"/>
        <v>0</v>
      </c>
      <c r="AS118" s="12">
        <f t="shared" si="102"/>
        <v>0</v>
      </c>
      <c r="AT118" s="12">
        <f t="shared" si="118"/>
        <v>0</v>
      </c>
    </row>
    <row r="119" spans="1:48" ht="33" hidden="1" x14ac:dyDescent="0.25">
      <c r="A119" s="60">
        <v>47</v>
      </c>
      <c r="B119" s="91" t="s">
        <v>321</v>
      </c>
      <c r="C119" s="61" t="s">
        <v>205</v>
      </c>
      <c r="D119" s="61" t="s">
        <v>322</v>
      </c>
      <c r="E119" s="61" t="s">
        <v>290</v>
      </c>
      <c r="F119" s="61"/>
      <c r="G119" s="75">
        <v>3700</v>
      </c>
      <c r="H119" s="74">
        <f>G119</f>
        <v>3700</v>
      </c>
      <c r="I119" s="63"/>
      <c r="J119" s="63"/>
      <c r="K119" s="63"/>
      <c r="L119" s="63"/>
      <c r="M119" s="68">
        <f>N119</f>
        <v>3360</v>
      </c>
      <c r="N119" s="63">
        <v>3360</v>
      </c>
      <c r="O119" s="68"/>
      <c r="P119" s="63"/>
      <c r="Q119" s="68"/>
      <c r="R119" s="68"/>
      <c r="S119" s="68"/>
      <c r="T119" s="63"/>
      <c r="U119" s="63"/>
      <c r="V119" s="63"/>
      <c r="W119" s="63"/>
      <c r="X119" s="63"/>
      <c r="Y119" s="63"/>
      <c r="Z119" s="63"/>
      <c r="AA119" s="63">
        <f t="shared" si="95"/>
        <v>0</v>
      </c>
      <c r="AB119" s="63">
        <f t="shared" si="95"/>
        <v>0</v>
      </c>
      <c r="AC119" s="63">
        <f t="shared" si="96"/>
        <v>0</v>
      </c>
      <c r="AD119" s="63">
        <f t="shared" si="96"/>
        <v>0</v>
      </c>
      <c r="AE119" s="63">
        <f t="shared" si="97"/>
        <v>0</v>
      </c>
      <c r="AF119" s="63">
        <f t="shared" si="98"/>
        <v>0</v>
      </c>
      <c r="AG119" s="63"/>
      <c r="AH119" s="63"/>
      <c r="AI119" s="25" t="s">
        <v>284</v>
      </c>
      <c r="AJ119" s="19">
        <f t="shared" si="109"/>
        <v>0</v>
      </c>
      <c r="AK119" s="22">
        <f t="shared" si="117"/>
        <v>0</v>
      </c>
      <c r="AL119" s="22"/>
      <c r="AM119" s="12">
        <f t="shared" si="99"/>
        <v>1</v>
      </c>
      <c r="AO119" s="12">
        <f t="shared" si="125"/>
        <v>1</v>
      </c>
      <c r="AP119" s="12">
        <f t="shared" si="126"/>
        <v>3360</v>
      </c>
      <c r="AQ119" s="12">
        <f t="shared" si="101"/>
        <v>0</v>
      </c>
      <c r="AR119" s="12">
        <f t="shared" si="85"/>
        <v>0</v>
      </c>
      <c r="AS119" s="12">
        <f t="shared" si="102"/>
        <v>0</v>
      </c>
      <c r="AT119" s="12">
        <f t="shared" si="118"/>
        <v>0</v>
      </c>
    </row>
    <row r="120" spans="1:48" ht="51" hidden="1" customHeight="1" x14ac:dyDescent="0.25">
      <c r="A120" s="60">
        <v>48</v>
      </c>
      <c r="B120" s="91" t="s">
        <v>323</v>
      </c>
      <c r="C120" s="61" t="s">
        <v>52</v>
      </c>
      <c r="D120" s="61" t="s">
        <v>322</v>
      </c>
      <c r="E120" s="61" t="s">
        <v>290</v>
      </c>
      <c r="F120" s="61"/>
      <c r="G120" s="75">
        <v>5000</v>
      </c>
      <c r="H120" s="74">
        <f t="shared" si="120"/>
        <v>5000</v>
      </c>
      <c r="I120" s="63"/>
      <c r="J120" s="63"/>
      <c r="K120" s="63"/>
      <c r="L120" s="63"/>
      <c r="M120" s="68">
        <v>4530</v>
      </c>
      <c r="N120" s="68">
        <v>4530</v>
      </c>
      <c r="O120" s="68">
        <v>4530</v>
      </c>
      <c r="P120" s="68">
        <v>4530</v>
      </c>
      <c r="Q120" s="68"/>
      <c r="R120" s="68"/>
      <c r="S120" s="68">
        <v>4530</v>
      </c>
      <c r="T120" s="68">
        <v>4530</v>
      </c>
      <c r="U120" s="63"/>
      <c r="V120" s="63"/>
      <c r="W120" s="63"/>
      <c r="X120" s="63"/>
      <c r="Y120" s="63"/>
      <c r="Z120" s="63"/>
      <c r="AA120" s="63">
        <f t="shared" si="95"/>
        <v>0</v>
      </c>
      <c r="AB120" s="63">
        <f t="shared" si="95"/>
        <v>0</v>
      </c>
      <c r="AC120" s="63">
        <f t="shared" si="96"/>
        <v>4530</v>
      </c>
      <c r="AD120" s="63">
        <f t="shared" si="96"/>
        <v>4530</v>
      </c>
      <c r="AE120" s="63">
        <f t="shared" si="97"/>
        <v>4530</v>
      </c>
      <c r="AF120" s="63">
        <f t="shared" si="98"/>
        <v>4530</v>
      </c>
      <c r="AG120" s="63"/>
      <c r="AH120" s="63"/>
      <c r="AI120" s="69"/>
      <c r="AJ120" s="19">
        <f t="shared" si="109"/>
        <v>0</v>
      </c>
      <c r="AK120" s="22">
        <f t="shared" si="117"/>
        <v>0</v>
      </c>
      <c r="AL120" s="22"/>
      <c r="AM120" s="12">
        <f t="shared" si="99"/>
        <v>1</v>
      </c>
      <c r="AO120" s="12">
        <f t="shared" si="125"/>
        <v>0</v>
      </c>
      <c r="AP120" s="12">
        <f t="shared" si="126"/>
        <v>0</v>
      </c>
      <c r="AQ120" s="12">
        <f t="shared" si="101"/>
        <v>0</v>
      </c>
      <c r="AR120" s="12">
        <f t="shared" si="85"/>
        <v>0</v>
      </c>
      <c r="AS120" s="12">
        <f t="shared" si="102"/>
        <v>0</v>
      </c>
      <c r="AT120" s="12">
        <f t="shared" si="118"/>
        <v>0</v>
      </c>
      <c r="AU120" s="12">
        <f>IF(R120=0,0,1)</f>
        <v>0</v>
      </c>
      <c r="AV120" s="12">
        <f t="shared" si="119"/>
        <v>0</v>
      </c>
    </row>
    <row r="121" spans="1:48" s="157" customFormat="1" ht="53.25" customHeight="1" x14ac:dyDescent="0.25">
      <c r="A121" s="152">
        <v>49</v>
      </c>
      <c r="B121" s="337" t="s">
        <v>2128</v>
      </c>
      <c r="C121" s="1" t="s">
        <v>99</v>
      </c>
      <c r="D121" s="1" t="s">
        <v>324</v>
      </c>
      <c r="E121" s="1" t="s">
        <v>290</v>
      </c>
      <c r="F121" s="1" t="s">
        <v>2129</v>
      </c>
      <c r="G121" s="158">
        <f>H121</f>
        <v>3988</v>
      </c>
      <c r="H121" s="2">
        <v>3988</v>
      </c>
      <c r="I121" s="3"/>
      <c r="J121" s="3"/>
      <c r="K121" s="3"/>
      <c r="L121" s="3"/>
      <c r="M121" s="4"/>
      <c r="N121" s="4"/>
      <c r="O121" s="4">
        <f>P121</f>
        <v>1100</v>
      </c>
      <c r="P121" s="4">
        <v>1100</v>
      </c>
      <c r="Q121" s="4">
        <f>T121-P121</f>
        <v>2400</v>
      </c>
      <c r="R121" s="4"/>
      <c r="S121" s="4">
        <f>T121</f>
        <v>3500</v>
      </c>
      <c r="T121" s="4">
        <v>3500</v>
      </c>
      <c r="U121" s="3"/>
      <c r="V121" s="3"/>
      <c r="W121" s="3"/>
      <c r="X121" s="3"/>
      <c r="Y121" s="3"/>
      <c r="Z121" s="3"/>
      <c r="AA121" s="3">
        <f t="shared" si="95"/>
        <v>0</v>
      </c>
      <c r="AB121" s="3">
        <f t="shared" si="95"/>
        <v>0</v>
      </c>
      <c r="AC121" s="3">
        <f t="shared" si="96"/>
        <v>1100</v>
      </c>
      <c r="AD121" s="3">
        <f t="shared" si="96"/>
        <v>1100</v>
      </c>
      <c r="AE121" s="3">
        <f t="shared" si="97"/>
        <v>1100</v>
      </c>
      <c r="AF121" s="3">
        <f t="shared" si="98"/>
        <v>1100</v>
      </c>
      <c r="AG121" s="3"/>
      <c r="AH121" s="3"/>
      <c r="AI121" s="25" t="s">
        <v>2131</v>
      </c>
      <c r="AJ121" s="801">
        <v>1</v>
      </c>
      <c r="AK121" s="155">
        <f t="shared" si="117"/>
        <v>1</v>
      </c>
      <c r="AL121" s="155"/>
      <c r="AM121" s="156">
        <f t="shared" si="99"/>
        <v>0</v>
      </c>
      <c r="AN121" s="156"/>
      <c r="AO121" s="156">
        <f t="shared" si="125"/>
        <v>0</v>
      </c>
      <c r="AP121" s="156">
        <f t="shared" si="126"/>
        <v>0</v>
      </c>
      <c r="AQ121" s="156">
        <f t="shared" si="101"/>
        <v>1</v>
      </c>
      <c r="AR121" s="156">
        <f t="shared" si="85"/>
        <v>1100</v>
      </c>
      <c r="AS121" s="156"/>
      <c r="AT121" s="156"/>
      <c r="AU121" s="156">
        <f>IF(R121=0,0,1)</f>
        <v>0</v>
      </c>
      <c r="AV121" s="156">
        <f t="shared" si="119"/>
        <v>0</v>
      </c>
    </row>
    <row r="122" spans="1:48" ht="49.5" hidden="1" x14ac:dyDescent="0.25">
      <c r="A122" s="60">
        <v>50</v>
      </c>
      <c r="B122" s="91" t="s">
        <v>325</v>
      </c>
      <c r="C122" s="61" t="s">
        <v>205</v>
      </c>
      <c r="D122" s="61" t="s">
        <v>326</v>
      </c>
      <c r="E122" s="61" t="s">
        <v>290</v>
      </c>
      <c r="F122" s="61"/>
      <c r="G122" s="75">
        <f t="shared" ref="G122:G123" si="132">H122</f>
        <v>10000</v>
      </c>
      <c r="H122" s="74">
        <v>10000</v>
      </c>
      <c r="I122" s="63"/>
      <c r="J122" s="63"/>
      <c r="K122" s="63"/>
      <c r="L122" s="63"/>
      <c r="M122" s="68"/>
      <c r="N122" s="68"/>
      <c r="O122" s="68">
        <f t="shared" ref="O122:O123" si="133">P122</f>
        <v>6150</v>
      </c>
      <c r="P122" s="68">
        <v>6150</v>
      </c>
      <c r="Q122" s="68"/>
      <c r="R122" s="68"/>
      <c r="S122" s="68">
        <f t="shared" ref="S122:S123" si="134">T122</f>
        <v>6150</v>
      </c>
      <c r="T122" s="68">
        <v>6150</v>
      </c>
      <c r="U122" s="63"/>
      <c r="V122" s="63"/>
      <c r="W122" s="63"/>
      <c r="X122" s="63"/>
      <c r="Y122" s="63"/>
      <c r="Z122" s="63"/>
      <c r="AA122" s="63">
        <f t="shared" si="95"/>
        <v>0</v>
      </c>
      <c r="AB122" s="63">
        <f t="shared" si="95"/>
        <v>0</v>
      </c>
      <c r="AC122" s="63">
        <f t="shared" si="96"/>
        <v>6150</v>
      </c>
      <c r="AD122" s="63">
        <f t="shared" si="96"/>
        <v>6150</v>
      </c>
      <c r="AE122" s="63">
        <f t="shared" si="97"/>
        <v>6150</v>
      </c>
      <c r="AF122" s="63">
        <f t="shared" si="98"/>
        <v>6150</v>
      </c>
      <c r="AG122" s="63"/>
      <c r="AH122" s="63"/>
      <c r="AI122" s="25" t="s">
        <v>84</v>
      </c>
      <c r="AJ122" s="19">
        <f t="shared" si="109"/>
        <v>0</v>
      </c>
      <c r="AK122" s="22">
        <f t="shared" si="117"/>
        <v>0</v>
      </c>
      <c r="AL122" s="22"/>
      <c r="AM122" s="12">
        <f t="shared" si="99"/>
        <v>1</v>
      </c>
      <c r="AO122" s="12">
        <f t="shared" si="125"/>
        <v>0</v>
      </c>
      <c r="AP122" s="12">
        <f t="shared" si="126"/>
        <v>0</v>
      </c>
      <c r="AQ122" s="12">
        <f t="shared" si="101"/>
        <v>1</v>
      </c>
      <c r="AR122" s="12">
        <f t="shared" si="85"/>
        <v>6150</v>
      </c>
      <c r="AU122" s="12">
        <f>IF(R122=0,0,1)</f>
        <v>0</v>
      </c>
      <c r="AV122" s="12">
        <f t="shared" si="119"/>
        <v>0</v>
      </c>
    </row>
    <row r="123" spans="1:48" ht="19.5" hidden="1" customHeight="1" x14ac:dyDescent="0.25">
      <c r="A123" s="60">
        <v>51</v>
      </c>
      <c r="B123" s="91" t="s">
        <v>327</v>
      </c>
      <c r="C123" s="61" t="s">
        <v>146</v>
      </c>
      <c r="D123" s="61" t="s">
        <v>328</v>
      </c>
      <c r="E123" s="61" t="s">
        <v>290</v>
      </c>
      <c r="F123" s="61"/>
      <c r="G123" s="75">
        <f t="shared" si="132"/>
        <v>12000</v>
      </c>
      <c r="H123" s="74">
        <v>12000</v>
      </c>
      <c r="I123" s="63"/>
      <c r="J123" s="63"/>
      <c r="K123" s="63"/>
      <c r="L123" s="63"/>
      <c r="M123" s="68"/>
      <c r="N123" s="68"/>
      <c r="O123" s="68">
        <f t="shared" si="133"/>
        <v>9000</v>
      </c>
      <c r="P123" s="68">
        <v>9000</v>
      </c>
      <c r="Q123" s="68"/>
      <c r="R123" s="68"/>
      <c r="S123" s="68">
        <f t="shared" si="134"/>
        <v>9000</v>
      </c>
      <c r="T123" s="68">
        <v>9000</v>
      </c>
      <c r="U123" s="63"/>
      <c r="V123" s="63"/>
      <c r="W123" s="63"/>
      <c r="X123" s="63"/>
      <c r="Y123" s="63"/>
      <c r="Z123" s="63"/>
      <c r="AA123" s="63">
        <f t="shared" si="95"/>
        <v>0</v>
      </c>
      <c r="AB123" s="63">
        <f t="shared" si="95"/>
        <v>0</v>
      </c>
      <c r="AC123" s="63">
        <f t="shared" si="96"/>
        <v>9000</v>
      </c>
      <c r="AD123" s="63">
        <f t="shared" si="96"/>
        <v>9000</v>
      </c>
      <c r="AE123" s="63">
        <f t="shared" si="97"/>
        <v>9000</v>
      </c>
      <c r="AF123" s="63">
        <f t="shared" si="98"/>
        <v>9000</v>
      </c>
      <c r="AG123" s="63"/>
      <c r="AH123" s="63"/>
      <c r="AI123" s="25" t="s">
        <v>84</v>
      </c>
      <c r="AJ123" s="19">
        <f t="shared" si="109"/>
        <v>0</v>
      </c>
      <c r="AK123" s="22">
        <f t="shared" si="117"/>
        <v>0</v>
      </c>
      <c r="AL123" s="22"/>
      <c r="AM123" s="12">
        <f t="shared" si="99"/>
        <v>1</v>
      </c>
      <c r="AO123" s="12">
        <f t="shared" si="125"/>
        <v>0</v>
      </c>
      <c r="AP123" s="12">
        <f t="shared" si="126"/>
        <v>0</v>
      </c>
      <c r="AQ123" s="12">
        <f t="shared" si="101"/>
        <v>1</v>
      </c>
      <c r="AR123" s="12">
        <f t="shared" si="85"/>
        <v>9000</v>
      </c>
      <c r="AU123" s="12">
        <f>IF(R123=0,0,1)</f>
        <v>0</v>
      </c>
      <c r="AV123" s="12">
        <f t="shared" si="119"/>
        <v>0</v>
      </c>
    </row>
    <row r="124" spans="1:48" s="49" customFormat="1" ht="34.5" hidden="1" x14ac:dyDescent="0.25">
      <c r="A124" s="93" t="s">
        <v>47</v>
      </c>
      <c r="B124" s="44" t="s">
        <v>138</v>
      </c>
      <c r="C124" s="45"/>
      <c r="D124" s="45"/>
      <c r="E124" s="45"/>
      <c r="F124" s="45"/>
      <c r="G124" s="46">
        <f>G125</f>
        <v>54258</v>
      </c>
      <c r="H124" s="46">
        <f>H125</f>
        <v>54258</v>
      </c>
      <c r="I124" s="46"/>
      <c r="J124" s="46"/>
      <c r="K124" s="46"/>
      <c r="L124" s="46"/>
      <c r="M124" s="46">
        <f>M125</f>
        <v>15130</v>
      </c>
      <c r="N124" s="46">
        <f>N125</f>
        <v>15130</v>
      </c>
      <c r="O124" s="46">
        <f>O125</f>
        <v>20588</v>
      </c>
      <c r="P124" s="46">
        <f>P125</f>
        <v>20588</v>
      </c>
      <c r="Q124" s="46"/>
      <c r="R124" s="94"/>
      <c r="S124" s="46">
        <f>S125</f>
        <v>20588</v>
      </c>
      <c r="T124" s="46">
        <f>T125</f>
        <v>20588</v>
      </c>
      <c r="U124" s="46"/>
      <c r="V124" s="46"/>
      <c r="W124" s="46"/>
      <c r="X124" s="46"/>
      <c r="Y124" s="46"/>
      <c r="Z124" s="46"/>
      <c r="AA124" s="46"/>
      <c r="AB124" s="46"/>
      <c r="AC124" s="46"/>
      <c r="AD124" s="46"/>
      <c r="AE124" s="46"/>
      <c r="AF124" s="46"/>
      <c r="AG124" s="46">
        <f>AG125</f>
        <v>28244.200000000004</v>
      </c>
      <c r="AH124" s="46">
        <f>AH125</f>
        <v>28244.200000000004</v>
      </c>
      <c r="AI124" s="47"/>
      <c r="AJ124" s="19">
        <f t="shared" si="109"/>
        <v>0</v>
      </c>
      <c r="AK124" s="22"/>
      <c r="AL124" s="22"/>
      <c r="AM124" s="12"/>
      <c r="AN124" s="12"/>
      <c r="AO124" s="12"/>
      <c r="AP124" s="12">
        <f t="shared" si="126"/>
        <v>0</v>
      </c>
      <c r="AQ124" s="12"/>
      <c r="AR124" s="12">
        <f t="shared" si="85"/>
        <v>0</v>
      </c>
      <c r="AS124" s="12"/>
      <c r="AT124" s="12">
        <f t="shared" si="118"/>
        <v>0</v>
      </c>
      <c r="AU124" s="12"/>
      <c r="AV124" s="12">
        <f t="shared" si="119"/>
        <v>0</v>
      </c>
    </row>
    <row r="125" spans="1:48" ht="33" hidden="1" x14ac:dyDescent="0.25">
      <c r="A125" s="60">
        <v>52</v>
      </c>
      <c r="B125" s="91" t="s">
        <v>329</v>
      </c>
      <c r="C125" s="61" t="s">
        <v>330</v>
      </c>
      <c r="D125" s="61" t="s">
        <v>331</v>
      </c>
      <c r="E125" s="61" t="s">
        <v>332</v>
      </c>
      <c r="F125" s="61"/>
      <c r="G125" s="75">
        <v>54258</v>
      </c>
      <c r="H125" s="74">
        <f>G125</f>
        <v>54258</v>
      </c>
      <c r="I125" s="63"/>
      <c r="J125" s="63"/>
      <c r="K125" s="63"/>
      <c r="L125" s="63"/>
      <c r="M125" s="68">
        <f>N125</f>
        <v>15130</v>
      </c>
      <c r="N125" s="68">
        <f>20950+4500-4050-870-5400</f>
        <v>15130</v>
      </c>
      <c r="O125" s="68">
        <f>P125</f>
        <v>20588</v>
      </c>
      <c r="P125" s="68">
        <f>20535+53</f>
        <v>20588</v>
      </c>
      <c r="Q125" s="54"/>
      <c r="R125" s="54"/>
      <c r="S125" s="68">
        <f>T125</f>
        <v>20588</v>
      </c>
      <c r="T125" s="68">
        <f>20535+53</f>
        <v>20588</v>
      </c>
      <c r="U125" s="58"/>
      <c r="V125" s="58"/>
      <c r="W125" s="58"/>
      <c r="X125" s="58"/>
      <c r="Y125" s="58"/>
      <c r="Z125" s="58"/>
      <c r="AA125" s="58"/>
      <c r="AB125" s="58"/>
      <c r="AC125" s="58"/>
      <c r="AD125" s="58"/>
      <c r="AE125" s="58"/>
      <c r="AF125" s="58"/>
      <c r="AG125" s="54">
        <f>G125*0.9-O125</f>
        <v>28244.200000000004</v>
      </c>
      <c r="AH125" s="54">
        <f>H125*0.9-P125</f>
        <v>28244.200000000004</v>
      </c>
      <c r="AI125" s="69"/>
      <c r="AJ125" s="19">
        <f t="shared" si="109"/>
        <v>0</v>
      </c>
      <c r="AK125" s="22">
        <f t="shared" si="117"/>
        <v>0</v>
      </c>
      <c r="AL125" s="22"/>
      <c r="AM125" s="12">
        <f>IF(AJ125=0,1,0)</f>
        <v>1</v>
      </c>
      <c r="AO125" s="12">
        <f>IF(P125=0,1,0)</f>
        <v>0</v>
      </c>
      <c r="AP125" s="12">
        <f t="shared" si="126"/>
        <v>0</v>
      </c>
      <c r="AQ125" s="12">
        <f>IF(N125=0,1,0)</f>
        <v>0</v>
      </c>
      <c r="AR125" s="12">
        <f t="shared" si="85"/>
        <v>0</v>
      </c>
      <c r="AS125" s="12">
        <f>IF(Q125=0,0,1)</f>
        <v>0</v>
      </c>
      <c r="AT125" s="12">
        <f t="shared" si="118"/>
        <v>0</v>
      </c>
      <c r="AU125" s="12">
        <f>IF(R125=0,0,1)</f>
        <v>0</v>
      </c>
      <c r="AV125" s="12">
        <f t="shared" si="119"/>
        <v>0</v>
      </c>
    </row>
    <row r="126" spans="1:48" s="34" customFormat="1" ht="16.5" x14ac:dyDescent="0.25">
      <c r="A126" s="28" t="s">
        <v>333</v>
      </c>
      <c r="B126" s="29" t="s">
        <v>334</v>
      </c>
      <c r="C126" s="30"/>
      <c r="D126" s="30"/>
      <c r="E126" s="30"/>
      <c r="F126" s="30"/>
      <c r="G126" s="31">
        <f>G138</f>
        <v>99279</v>
      </c>
      <c r="H126" s="31">
        <f t="shared" ref="H126:L126" si="135">H138</f>
        <v>99279</v>
      </c>
      <c r="I126" s="31">
        <f t="shared" si="135"/>
        <v>0</v>
      </c>
      <c r="J126" s="31">
        <f t="shared" si="135"/>
        <v>0</v>
      </c>
      <c r="K126" s="31">
        <f t="shared" si="135"/>
        <v>0</v>
      </c>
      <c r="L126" s="31">
        <f t="shared" si="135"/>
        <v>0</v>
      </c>
      <c r="M126" s="31">
        <f t="shared" ref="M126:AH126" si="136">M127+M138</f>
        <v>640259</v>
      </c>
      <c r="N126" s="31">
        <f t="shared" si="136"/>
        <v>510000</v>
      </c>
      <c r="O126" s="31">
        <f t="shared" si="136"/>
        <v>630120</v>
      </c>
      <c r="P126" s="31">
        <f t="shared" si="136"/>
        <v>607920</v>
      </c>
      <c r="Q126" s="31">
        <f t="shared" si="136"/>
        <v>0</v>
      </c>
      <c r="R126" s="31">
        <f t="shared" si="136"/>
        <v>25000</v>
      </c>
      <c r="S126" s="31">
        <f t="shared" ref="S126:X126" si="137">S138</f>
        <v>78000</v>
      </c>
      <c r="T126" s="31">
        <f t="shared" si="137"/>
        <v>78000</v>
      </c>
      <c r="U126" s="31">
        <f t="shared" si="137"/>
        <v>0</v>
      </c>
      <c r="V126" s="31">
        <f t="shared" si="137"/>
        <v>0</v>
      </c>
      <c r="W126" s="31">
        <f t="shared" si="137"/>
        <v>131</v>
      </c>
      <c r="X126" s="31">
        <f t="shared" si="137"/>
        <v>131</v>
      </c>
      <c r="Y126" s="31">
        <f t="shared" si="136"/>
        <v>32335</v>
      </c>
      <c r="Z126" s="31">
        <f t="shared" si="136"/>
        <v>28635</v>
      </c>
      <c r="AA126" s="31">
        <f t="shared" si="136"/>
        <v>257561</v>
      </c>
      <c r="AB126" s="31">
        <f t="shared" si="136"/>
        <v>253861</v>
      </c>
      <c r="AC126" s="31">
        <f t="shared" si="136"/>
        <v>255008</v>
      </c>
      <c r="AD126" s="31">
        <f t="shared" si="136"/>
        <v>258708</v>
      </c>
      <c r="AE126" s="31">
        <f t="shared" si="136"/>
        <v>232850</v>
      </c>
      <c r="AF126" s="31">
        <f t="shared" si="136"/>
        <v>232850</v>
      </c>
      <c r="AG126" s="31">
        <f t="shared" si="136"/>
        <v>-10648.899999999994</v>
      </c>
      <c r="AH126" s="31">
        <f t="shared" si="136"/>
        <v>-10648.899999999994</v>
      </c>
      <c r="AI126" s="32"/>
      <c r="AJ126" s="19">
        <f t="shared" si="109"/>
        <v>1</v>
      </c>
      <c r="AK126" s="22"/>
      <c r="AL126" s="22"/>
      <c r="AM126" s="12"/>
      <c r="AN126" s="12"/>
      <c r="AO126" s="12"/>
      <c r="AP126" s="12">
        <f t="shared" si="126"/>
        <v>0</v>
      </c>
      <c r="AQ126" s="12"/>
      <c r="AR126" s="12">
        <f t="shared" si="85"/>
        <v>0</v>
      </c>
      <c r="AS126" s="12"/>
      <c r="AT126" s="12">
        <f t="shared" si="118"/>
        <v>0</v>
      </c>
      <c r="AU126" s="12"/>
      <c r="AV126" s="12">
        <f t="shared" si="119"/>
        <v>0</v>
      </c>
    </row>
    <row r="127" spans="1:48" s="42" customFormat="1" ht="51.75" hidden="1" x14ac:dyDescent="0.25">
      <c r="A127" s="35" t="s">
        <v>45</v>
      </c>
      <c r="B127" s="36" t="s">
        <v>46</v>
      </c>
      <c r="C127" s="37"/>
      <c r="D127" s="37"/>
      <c r="E127" s="37"/>
      <c r="F127" s="37"/>
      <c r="G127" s="38">
        <f>G128</f>
        <v>797014</v>
      </c>
      <c r="H127" s="38">
        <f t="shared" ref="H127:AH127" si="138">H128</f>
        <v>665601</v>
      </c>
      <c r="I127" s="38">
        <f t="shared" si="138"/>
        <v>350090</v>
      </c>
      <c r="J127" s="38">
        <f t="shared" si="138"/>
        <v>350090</v>
      </c>
      <c r="K127" s="38">
        <f t="shared" si="138"/>
        <v>341390</v>
      </c>
      <c r="L127" s="38">
        <f t="shared" si="138"/>
        <v>341390</v>
      </c>
      <c r="M127" s="38">
        <f t="shared" si="138"/>
        <v>295529</v>
      </c>
      <c r="N127" s="38">
        <f t="shared" si="138"/>
        <v>165270</v>
      </c>
      <c r="O127" s="38">
        <f t="shared" si="138"/>
        <v>165270</v>
      </c>
      <c r="P127" s="38">
        <f t="shared" si="138"/>
        <v>165270</v>
      </c>
      <c r="Q127" s="38">
        <f t="shared" si="138"/>
        <v>0</v>
      </c>
      <c r="R127" s="38">
        <f t="shared" si="138"/>
        <v>0</v>
      </c>
      <c r="S127" s="38">
        <f t="shared" si="138"/>
        <v>165270</v>
      </c>
      <c r="T127" s="38">
        <f t="shared" si="138"/>
        <v>165270</v>
      </c>
      <c r="U127" s="38">
        <f t="shared" si="138"/>
        <v>118645</v>
      </c>
      <c r="V127" s="38">
        <f t="shared" si="138"/>
        <v>118645</v>
      </c>
      <c r="W127" s="38">
        <f t="shared" si="138"/>
        <v>35950</v>
      </c>
      <c r="X127" s="38">
        <f t="shared" si="138"/>
        <v>35950</v>
      </c>
      <c r="Y127" s="38">
        <f t="shared" si="138"/>
        <v>1700</v>
      </c>
      <c r="Z127" s="38">
        <f t="shared" si="138"/>
        <v>1700</v>
      </c>
      <c r="AA127" s="38">
        <f t="shared" si="138"/>
        <v>156295</v>
      </c>
      <c r="AB127" s="38">
        <f t="shared" si="138"/>
        <v>156295</v>
      </c>
      <c r="AC127" s="38">
        <f t="shared" si="138"/>
        <v>15074</v>
      </c>
      <c r="AD127" s="38">
        <f t="shared" si="138"/>
        <v>15074</v>
      </c>
      <c r="AE127" s="38">
        <f t="shared" si="138"/>
        <v>0</v>
      </c>
      <c r="AF127" s="38">
        <f t="shared" si="138"/>
        <v>0</v>
      </c>
      <c r="AG127" s="38">
        <f t="shared" si="138"/>
        <v>0</v>
      </c>
      <c r="AH127" s="38">
        <f t="shared" si="138"/>
        <v>0</v>
      </c>
      <c r="AI127" s="40"/>
      <c r="AJ127" s="19">
        <f t="shared" si="109"/>
        <v>0</v>
      </c>
      <c r="AK127" s="22"/>
      <c r="AL127" s="22"/>
      <c r="AM127" s="12"/>
      <c r="AN127" s="12"/>
      <c r="AO127" s="12"/>
      <c r="AP127" s="12">
        <f t="shared" si="126"/>
        <v>0</v>
      </c>
      <c r="AQ127" s="12"/>
      <c r="AR127" s="12">
        <f t="shared" si="85"/>
        <v>0</v>
      </c>
      <c r="AS127" s="12"/>
      <c r="AT127" s="12">
        <f t="shared" si="118"/>
        <v>0</v>
      </c>
      <c r="AU127" s="12"/>
      <c r="AV127" s="12">
        <f t="shared" si="119"/>
        <v>0</v>
      </c>
    </row>
    <row r="128" spans="1:48" s="49" customFormat="1" ht="34.5" hidden="1" x14ac:dyDescent="0.25">
      <c r="A128" s="43" t="s">
        <v>47</v>
      </c>
      <c r="B128" s="44" t="s">
        <v>48</v>
      </c>
      <c r="C128" s="45"/>
      <c r="D128" s="45"/>
      <c r="E128" s="45"/>
      <c r="F128" s="45"/>
      <c r="G128" s="46">
        <f>SUM(G131:G137)</f>
        <v>797014</v>
      </c>
      <c r="H128" s="46">
        <f t="shared" ref="H128:AH128" si="139">SUM(H131:H137)</f>
        <v>665601</v>
      </c>
      <c r="I128" s="46">
        <f t="shared" si="139"/>
        <v>350090</v>
      </c>
      <c r="J128" s="46">
        <f t="shared" si="139"/>
        <v>350090</v>
      </c>
      <c r="K128" s="46">
        <f t="shared" si="139"/>
        <v>341390</v>
      </c>
      <c r="L128" s="46">
        <f t="shared" si="139"/>
        <v>341390</v>
      </c>
      <c r="M128" s="46">
        <f t="shared" si="139"/>
        <v>295529</v>
      </c>
      <c r="N128" s="46">
        <f t="shared" si="139"/>
        <v>165270</v>
      </c>
      <c r="O128" s="46">
        <f t="shared" si="139"/>
        <v>165270</v>
      </c>
      <c r="P128" s="46">
        <f t="shared" si="139"/>
        <v>165270</v>
      </c>
      <c r="Q128" s="46">
        <f t="shared" si="139"/>
        <v>0</v>
      </c>
      <c r="R128" s="46">
        <f t="shared" si="139"/>
        <v>0</v>
      </c>
      <c r="S128" s="46">
        <f t="shared" si="139"/>
        <v>165270</v>
      </c>
      <c r="T128" s="46">
        <f t="shared" si="139"/>
        <v>165270</v>
      </c>
      <c r="U128" s="46">
        <f t="shared" si="139"/>
        <v>118645</v>
      </c>
      <c r="V128" s="46">
        <f t="shared" si="139"/>
        <v>118645</v>
      </c>
      <c r="W128" s="46">
        <f t="shared" si="139"/>
        <v>35950</v>
      </c>
      <c r="X128" s="46">
        <f t="shared" si="139"/>
        <v>35950</v>
      </c>
      <c r="Y128" s="46">
        <f t="shared" si="139"/>
        <v>1700</v>
      </c>
      <c r="Z128" s="46">
        <f t="shared" si="139"/>
        <v>1700</v>
      </c>
      <c r="AA128" s="46">
        <f t="shared" si="139"/>
        <v>156295</v>
      </c>
      <c r="AB128" s="46">
        <f t="shared" si="139"/>
        <v>156295</v>
      </c>
      <c r="AC128" s="46">
        <f t="shared" si="139"/>
        <v>15074</v>
      </c>
      <c r="AD128" s="46">
        <f t="shared" si="139"/>
        <v>15074</v>
      </c>
      <c r="AE128" s="46">
        <f t="shared" si="139"/>
        <v>0</v>
      </c>
      <c r="AF128" s="46">
        <f t="shared" si="139"/>
        <v>0</v>
      </c>
      <c r="AG128" s="46">
        <f t="shared" si="139"/>
        <v>0</v>
      </c>
      <c r="AH128" s="46">
        <f t="shared" si="139"/>
        <v>0</v>
      </c>
      <c r="AI128" s="47"/>
      <c r="AJ128" s="19">
        <f t="shared" si="109"/>
        <v>0</v>
      </c>
      <c r="AK128" s="22"/>
      <c r="AL128" s="22"/>
      <c r="AM128" s="12"/>
      <c r="AN128" s="12"/>
      <c r="AO128" s="12"/>
      <c r="AP128" s="12">
        <f t="shared" si="126"/>
        <v>0</v>
      </c>
      <c r="AQ128" s="12"/>
      <c r="AR128" s="12">
        <f t="shared" si="85"/>
        <v>0</v>
      </c>
      <c r="AS128" s="12"/>
      <c r="AT128" s="12">
        <f t="shared" si="118"/>
        <v>0</v>
      </c>
      <c r="AU128" s="12"/>
      <c r="AV128" s="12">
        <f t="shared" si="119"/>
        <v>0</v>
      </c>
    </row>
    <row r="129" spans="1:48" ht="17.25" hidden="1" x14ac:dyDescent="0.25">
      <c r="A129" s="50"/>
      <c r="B129" s="51" t="s">
        <v>49</v>
      </c>
      <c r="C129" s="52"/>
      <c r="D129" s="52"/>
      <c r="E129" s="52"/>
      <c r="F129" s="52"/>
      <c r="G129" s="53"/>
      <c r="H129" s="53"/>
      <c r="I129" s="53"/>
      <c r="J129" s="53"/>
      <c r="K129" s="53"/>
      <c r="L129" s="53"/>
      <c r="M129" s="53"/>
      <c r="N129" s="53"/>
      <c r="O129" s="53"/>
      <c r="P129" s="53"/>
      <c r="Q129" s="54"/>
      <c r="R129" s="54"/>
      <c r="S129" s="53"/>
      <c r="T129" s="53"/>
      <c r="U129" s="63"/>
      <c r="V129" s="63"/>
      <c r="W129" s="68"/>
      <c r="X129" s="68"/>
      <c r="Y129" s="68"/>
      <c r="Z129" s="68"/>
      <c r="AA129" s="68"/>
      <c r="AB129" s="68"/>
      <c r="AC129" s="68"/>
      <c r="AD129" s="68"/>
      <c r="AE129" s="68"/>
      <c r="AF129" s="68"/>
      <c r="AG129" s="68"/>
      <c r="AH129" s="68"/>
      <c r="AI129" s="55"/>
      <c r="AJ129" s="19">
        <f t="shared" si="109"/>
        <v>0</v>
      </c>
      <c r="AK129" s="22"/>
      <c r="AL129" s="22"/>
      <c r="AP129" s="12">
        <f t="shared" si="126"/>
        <v>0</v>
      </c>
      <c r="AR129" s="12">
        <f t="shared" si="85"/>
        <v>0</v>
      </c>
      <c r="AT129" s="12">
        <f t="shared" si="118"/>
        <v>0</v>
      </c>
      <c r="AV129" s="12">
        <f t="shared" si="119"/>
        <v>0</v>
      </c>
    </row>
    <row r="130" spans="1:48" ht="69" hidden="1" x14ac:dyDescent="0.25">
      <c r="A130" s="50"/>
      <c r="B130" s="56" t="s">
        <v>50</v>
      </c>
      <c r="C130" s="57"/>
      <c r="D130" s="57"/>
      <c r="E130" s="57"/>
      <c r="F130" s="57"/>
      <c r="G130" s="58"/>
      <c r="H130" s="58"/>
      <c r="I130" s="58"/>
      <c r="J130" s="58"/>
      <c r="K130" s="58"/>
      <c r="L130" s="58"/>
      <c r="M130" s="58"/>
      <c r="N130" s="58"/>
      <c r="O130" s="58"/>
      <c r="P130" s="58"/>
      <c r="Q130" s="54"/>
      <c r="R130" s="54"/>
      <c r="S130" s="58"/>
      <c r="T130" s="58"/>
      <c r="U130" s="63"/>
      <c r="V130" s="63"/>
      <c r="W130" s="63"/>
      <c r="X130" s="63"/>
      <c r="Y130" s="63"/>
      <c r="Z130" s="63"/>
      <c r="AA130" s="63"/>
      <c r="AB130" s="63"/>
      <c r="AC130" s="63"/>
      <c r="AD130" s="63"/>
      <c r="AE130" s="63"/>
      <c r="AF130" s="63"/>
      <c r="AG130" s="63"/>
      <c r="AH130" s="63"/>
      <c r="AI130" s="59"/>
      <c r="AJ130" s="19">
        <f t="shared" si="109"/>
        <v>0</v>
      </c>
      <c r="AK130" s="22"/>
      <c r="AL130" s="22"/>
      <c r="AP130" s="12">
        <f t="shared" si="126"/>
        <v>0</v>
      </c>
      <c r="AR130" s="12">
        <f t="shared" si="85"/>
        <v>0</v>
      </c>
      <c r="AT130" s="12">
        <f t="shared" si="118"/>
        <v>0</v>
      </c>
      <c r="AV130" s="12">
        <f t="shared" si="119"/>
        <v>0</v>
      </c>
    </row>
    <row r="131" spans="1:48" ht="49.5" hidden="1" x14ac:dyDescent="0.25">
      <c r="A131" s="60">
        <v>1</v>
      </c>
      <c r="B131" s="9" t="s">
        <v>335</v>
      </c>
      <c r="C131" s="61" t="s">
        <v>336</v>
      </c>
      <c r="D131" s="61" t="s">
        <v>337</v>
      </c>
      <c r="E131" s="61" t="s">
        <v>338</v>
      </c>
      <c r="F131" s="61" t="s">
        <v>339</v>
      </c>
      <c r="G131" s="68">
        <v>279000</v>
      </c>
      <c r="H131" s="74">
        <f>G131</f>
        <v>279000</v>
      </c>
      <c r="I131" s="63">
        <f>J131</f>
        <v>102000</v>
      </c>
      <c r="J131" s="63">
        <v>102000</v>
      </c>
      <c r="K131" s="63">
        <f>L131</f>
        <v>102000</v>
      </c>
      <c r="L131" s="63">
        <v>102000</v>
      </c>
      <c r="M131" s="68">
        <f>N131</f>
        <v>72000</v>
      </c>
      <c r="N131" s="63">
        <v>72000</v>
      </c>
      <c r="O131" s="68">
        <f>P131</f>
        <v>72000</v>
      </c>
      <c r="P131" s="63">
        <v>72000</v>
      </c>
      <c r="Q131" s="54"/>
      <c r="R131" s="54"/>
      <c r="S131" s="68">
        <f>T131</f>
        <v>72000</v>
      </c>
      <c r="T131" s="63">
        <v>72000</v>
      </c>
      <c r="U131" s="63">
        <v>53146</v>
      </c>
      <c r="V131" s="63">
        <v>53146</v>
      </c>
      <c r="W131" s="63">
        <f>X131</f>
        <v>15500</v>
      </c>
      <c r="X131" s="63">
        <v>15500</v>
      </c>
      <c r="Y131" s="63"/>
      <c r="Z131" s="63"/>
      <c r="AA131" s="63">
        <f t="shared" ref="AA131:AB137" si="140">U131+W131+Y131</f>
        <v>68646</v>
      </c>
      <c r="AB131" s="63">
        <f t="shared" si="140"/>
        <v>68646</v>
      </c>
      <c r="AC131" s="63">
        <f>O131-AA131</f>
        <v>3354</v>
      </c>
      <c r="AD131" s="63">
        <f>P131-AB131</f>
        <v>3354</v>
      </c>
      <c r="AE131" s="63">
        <f t="shared" ref="AE131:AE137" si="141">AF131</f>
        <v>0</v>
      </c>
      <c r="AF131" s="63">
        <f t="shared" ref="AF131:AF137" si="142">IF(AB131=0,AD131,0)</f>
        <v>0</v>
      </c>
      <c r="AG131" s="63"/>
      <c r="AH131" s="63"/>
      <c r="AI131" s="69"/>
      <c r="AJ131" s="19">
        <f t="shared" si="109"/>
        <v>0</v>
      </c>
      <c r="AK131" s="22">
        <f t="shared" si="117"/>
        <v>0</v>
      </c>
      <c r="AL131" s="22"/>
      <c r="AM131" s="12">
        <f t="shared" ref="AM131:AM137" si="143">IF(AJ131=0,1,0)</f>
        <v>1</v>
      </c>
      <c r="AO131" s="12">
        <f t="shared" ref="AO131:AO137" si="144">IF(P131=0,1,0)</f>
        <v>0</v>
      </c>
      <c r="AP131" s="12">
        <f t="shared" si="126"/>
        <v>0</v>
      </c>
      <c r="AQ131" s="12">
        <f t="shared" ref="AQ131:AQ137" si="145">IF(N131=0,1,0)</f>
        <v>0</v>
      </c>
      <c r="AR131" s="12">
        <f t="shared" si="85"/>
        <v>0</v>
      </c>
      <c r="AS131" s="12">
        <f t="shared" ref="AS131:AS137" si="146">IF(Q131=0,0,1)</f>
        <v>0</v>
      </c>
      <c r="AT131" s="12">
        <f t="shared" si="118"/>
        <v>0</v>
      </c>
      <c r="AU131" s="12">
        <f t="shared" ref="AU131:AU137" si="147">IF(R131=0,0,1)</f>
        <v>0</v>
      </c>
      <c r="AV131" s="12">
        <f t="shared" si="119"/>
        <v>0</v>
      </c>
    </row>
    <row r="132" spans="1:48" ht="49.5" hidden="1" x14ac:dyDescent="0.25">
      <c r="A132" s="60">
        <v>2</v>
      </c>
      <c r="B132" s="9" t="s">
        <v>340</v>
      </c>
      <c r="C132" s="61" t="s">
        <v>341</v>
      </c>
      <c r="D132" s="61" t="s">
        <v>342</v>
      </c>
      <c r="E132" s="61" t="s">
        <v>338</v>
      </c>
      <c r="F132" s="61" t="s">
        <v>343</v>
      </c>
      <c r="G132" s="68">
        <v>97718</v>
      </c>
      <c r="H132" s="74">
        <f t="shared" ref="H132:H137" si="148">G132</f>
        <v>97718</v>
      </c>
      <c r="I132" s="63">
        <f t="shared" ref="I132:K137" si="149">J132</f>
        <v>45000</v>
      </c>
      <c r="J132" s="63">
        <v>45000</v>
      </c>
      <c r="K132" s="63">
        <f t="shared" si="149"/>
        <v>45000</v>
      </c>
      <c r="L132" s="63">
        <v>45000</v>
      </c>
      <c r="M132" s="68">
        <f t="shared" ref="M132:M137" si="150">N132</f>
        <v>33600</v>
      </c>
      <c r="N132" s="63">
        <v>33600</v>
      </c>
      <c r="O132" s="68">
        <f t="shared" ref="O132:O137" si="151">P132</f>
        <v>33600</v>
      </c>
      <c r="P132" s="63">
        <v>33600</v>
      </c>
      <c r="Q132" s="54"/>
      <c r="R132" s="54"/>
      <c r="S132" s="68">
        <f t="shared" ref="S132:S133" si="152">T132</f>
        <v>33600</v>
      </c>
      <c r="T132" s="63">
        <v>33600</v>
      </c>
      <c r="U132" s="63">
        <v>27000</v>
      </c>
      <c r="V132" s="63">
        <v>27000</v>
      </c>
      <c r="W132" s="63"/>
      <c r="X132" s="63"/>
      <c r="Y132" s="63"/>
      <c r="Z132" s="63"/>
      <c r="AA132" s="63">
        <f t="shared" si="140"/>
        <v>27000</v>
      </c>
      <c r="AB132" s="63">
        <f t="shared" si="140"/>
        <v>27000</v>
      </c>
      <c r="AC132" s="63">
        <f>O132-AA132</f>
        <v>6600</v>
      </c>
      <c r="AD132" s="63">
        <f>P132-AB132</f>
        <v>6600</v>
      </c>
      <c r="AE132" s="63">
        <f t="shared" si="141"/>
        <v>0</v>
      </c>
      <c r="AF132" s="63">
        <f t="shared" si="142"/>
        <v>0</v>
      </c>
      <c r="AG132" s="63"/>
      <c r="AH132" s="63"/>
      <c r="AI132" s="69"/>
      <c r="AJ132" s="19">
        <f t="shared" si="109"/>
        <v>0</v>
      </c>
      <c r="AK132" s="22">
        <f t="shared" si="117"/>
        <v>0</v>
      </c>
      <c r="AL132" s="22"/>
      <c r="AM132" s="12">
        <f t="shared" si="143"/>
        <v>1</v>
      </c>
      <c r="AO132" s="12">
        <f t="shared" si="144"/>
        <v>0</v>
      </c>
      <c r="AP132" s="12">
        <f t="shared" si="126"/>
        <v>0</v>
      </c>
      <c r="AQ132" s="12">
        <f t="shared" si="145"/>
        <v>0</v>
      </c>
      <c r="AR132" s="12">
        <f t="shared" si="85"/>
        <v>0</v>
      </c>
      <c r="AS132" s="12">
        <f t="shared" si="146"/>
        <v>0</v>
      </c>
      <c r="AT132" s="12">
        <f t="shared" si="118"/>
        <v>0</v>
      </c>
      <c r="AU132" s="12">
        <f t="shared" si="147"/>
        <v>0</v>
      </c>
      <c r="AV132" s="12">
        <f t="shared" si="119"/>
        <v>0</v>
      </c>
    </row>
    <row r="133" spans="1:48" ht="66" hidden="1" x14ac:dyDescent="0.25">
      <c r="A133" s="60">
        <v>3</v>
      </c>
      <c r="B133" s="9" t="s">
        <v>344</v>
      </c>
      <c r="C133" s="61" t="s">
        <v>336</v>
      </c>
      <c r="D133" s="61" t="s">
        <v>345</v>
      </c>
      <c r="E133" s="61" t="s">
        <v>346</v>
      </c>
      <c r="F133" s="95" t="s">
        <v>347</v>
      </c>
      <c r="G133" s="68">
        <v>76072</v>
      </c>
      <c r="H133" s="74">
        <f t="shared" si="148"/>
        <v>76072</v>
      </c>
      <c r="I133" s="63">
        <f t="shared" si="149"/>
        <v>51931</v>
      </c>
      <c r="J133" s="63">
        <v>51931</v>
      </c>
      <c r="K133" s="63">
        <f t="shared" si="149"/>
        <v>51931</v>
      </c>
      <c r="L133" s="63">
        <v>51931</v>
      </c>
      <c r="M133" s="68">
        <f t="shared" si="150"/>
        <v>17200</v>
      </c>
      <c r="N133" s="63">
        <v>17200</v>
      </c>
      <c r="O133" s="68">
        <f t="shared" si="151"/>
        <v>17200</v>
      </c>
      <c r="P133" s="63">
        <v>17200</v>
      </c>
      <c r="Q133" s="54"/>
      <c r="R133" s="54"/>
      <c r="S133" s="68">
        <f t="shared" si="152"/>
        <v>17200</v>
      </c>
      <c r="T133" s="63">
        <v>17200</v>
      </c>
      <c r="U133" s="63">
        <v>11000</v>
      </c>
      <c r="V133" s="63">
        <v>11000</v>
      </c>
      <c r="W133" s="63">
        <f>X133</f>
        <v>6700</v>
      </c>
      <c r="X133" s="63">
        <v>6700</v>
      </c>
      <c r="Y133" s="63"/>
      <c r="Z133" s="63"/>
      <c r="AA133" s="63">
        <f t="shared" si="140"/>
        <v>17700</v>
      </c>
      <c r="AB133" s="63">
        <f t="shared" si="140"/>
        <v>17700</v>
      </c>
      <c r="AC133" s="63"/>
      <c r="AD133" s="63"/>
      <c r="AE133" s="63">
        <f t="shared" si="141"/>
        <v>0</v>
      </c>
      <c r="AF133" s="63">
        <f t="shared" si="142"/>
        <v>0</v>
      </c>
      <c r="AG133" s="63"/>
      <c r="AH133" s="63"/>
      <c r="AI133" s="69"/>
      <c r="AJ133" s="19">
        <f t="shared" si="109"/>
        <v>0</v>
      </c>
      <c r="AK133" s="22">
        <f t="shared" si="117"/>
        <v>0</v>
      </c>
      <c r="AL133" s="22"/>
      <c r="AM133" s="12">
        <f t="shared" si="143"/>
        <v>1</v>
      </c>
      <c r="AO133" s="12">
        <f t="shared" si="144"/>
        <v>0</v>
      </c>
      <c r="AP133" s="12">
        <f t="shared" si="126"/>
        <v>0</v>
      </c>
      <c r="AQ133" s="12">
        <f t="shared" si="145"/>
        <v>0</v>
      </c>
      <c r="AR133" s="12">
        <f t="shared" si="85"/>
        <v>0</v>
      </c>
      <c r="AS133" s="12">
        <f t="shared" si="146"/>
        <v>0</v>
      </c>
      <c r="AT133" s="12">
        <f t="shared" si="118"/>
        <v>0</v>
      </c>
      <c r="AU133" s="12">
        <f t="shared" si="147"/>
        <v>0</v>
      </c>
      <c r="AV133" s="12">
        <f t="shared" si="119"/>
        <v>0</v>
      </c>
    </row>
    <row r="134" spans="1:48" ht="99" hidden="1" x14ac:dyDescent="0.25">
      <c r="A134" s="60">
        <v>4</v>
      </c>
      <c r="B134" s="9" t="s">
        <v>348</v>
      </c>
      <c r="C134" s="61" t="s">
        <v>336</v>
      </c>
      <c r="D134" s="61" t="s">
        <v>349</v>
      </c>
      <c r="E134" s="61" t="s">
        <v>338</v>
      </c>
      <c r="F134" s="61" t="s">
        <v>350</v>
      </c>
      <c r="G134" s="68">
        <v>149094</v>
      </c>
      <c r="H134" s="74">
        <v>17681</v>
      </c>
      <c r="I134" s="63">
        <f t="shared" si="149"/>
        <v>10000</v>
      </c>
      <c r="J134" s="63">
        <v>10000</v>
      </c>
      <c r="K134" s="63">
        <f t="shared" si="149"/>
        <v>1300</v>
      </c>
      <c r="L134" s="63">
        <v>1300</v>
      </c>
      <c r="M134" s="68">
        <f>130259+N134</f>
        <v>137959</v>
      </c>
      <c r="N134" s="63">
        <v>7700</v>
      </c>
      <c r="O134" s="68">
        <f>P134</f>
        <v>7700</v>
      </c>
      <c r="P134" s="63">
        <f>N134</f>
        <v>7700</v>
      </c>
      <c r="Q134" s="54"/>
      <c r="R134" s="54"/>
      <c r="S134" s="68">
        <f>T134</f>
        <v>7700</v>
      </c>
      <c r="T134" s="63">
        <f>P134</f>
        <v>7700</v>
      </c>
      <c r="U134" s="63">
        <f>V134</f>
        <v>6149</v>
      </c>
      <c r="V134" s="63">
        <v>6149</v>
      </c>
      <c r="W134" s="63">
        <f>X134</f>
        <v>5450</v>
      </c>
      <c r="X134" s="63">
        <v>5450</v>
      </c>
      <c r="Y134" s="63">
        <f>Z134</f>
        <v>1700</v>
      </c>
      <c r="Z134" s="63">
        <v>1700</v>
      </c>
      <c r="AA134" s="63">
        <f t="shared" si="140"/>
        <v>13299</v>
      </c>
      <c r="AB134" s="63">
        <f t="shared" si="140"/>
        <v>13299</v>
      </c>
      <c r="AC134" s="63"/>
      <c r="AD134" s="63"/>
      <c r="AE134" s="63">
        <f t="shared" si="141"/>
        <v>0</v>
      </c>
      <c r="AF134" s="63">
        <f t="shared" si="142"/>
        <v>0</v>
      </c>
      <c r="AG134" s="63"/>
      <c r="AH134" s="63"/>
      <c r="AI134" s="25" t="s">
        <v>351</v>
      </c>
      <c r="AJ134" s="19">
        <f t="shared" si="109"/>
        <v>0</v>
      </c>
      <c r="AK134" s="22">
        <f t="shared" si="117"/>
        <v>0</v>
      </c>
      <c r="AL134" s="22"/>
      <c r="AM134" s="12">
        <f t="shared" si="143"/>
        <v>1</v>
      </c>
      <c r="AO134" s="12">
        <f t="shared" si="144"/>
        <v>0</v>
      </c>
      <c r="AP134" s="12">
        <f t="shared" si="126"/>
        <v>0</v>
      </c>
      <c r="AQ134" s="12">
        <f t="shared" si="145"/>
        <v>0</v>
      </c>
      <c r="AR134" s="12">
        <f t="shared" si="85"/>
        <v>0</v>
      </c>
      <c r="AS134" s="12">
        <f t="shared" si="146"/>
        <v>0</v>
      </c>
      <c r="AT134" s="12">
        <f t="shared" si="118"/>
        <v>0</v>
      </c>
      <c r="AU134" s="12">
        <f t="shared" si="147"/>
        <v>0</v>
      </c>
      <c r="AV134" s="12">
        <f t="shared" si="119"/>
        <v>0</v>
      </c>
    </row>
    <row r="135" spans="1:48" ht="49.5" hidden="1" x14ac:dyDescent="0.25">
      <c r="A135" s="60">
        <v>5</v>
      </c>
      <c r="B135" s="9" t="s">
        <v>352</v>
      </c>
      <c r="C135" s="61" t="s">
        <v>99</v>
      </c>
      <c r="D135" s="61" t="s">
        <v>353</v>
      </c>
      <c r="E135" s="61" t="s">
        <v>346</v>
      </c>
      <c r="F135" s="61" t="s">
        <v>354</v>
      </c>
      <c r="G135" s="63">
        <v>39343</v>
      </c>
      <c r="H135" s="74">
        <f t="shared" si="148"/>
        <v>39343</v>
      </c>
      <c r="I135" s="63">
        <f t="shared" si="149"/>
        <v>25402</v>
      </c>
      <c r="J135" s="63">
        <v>25402</v>
      </c>
      <c r="K135" s="63">
        <f t="shared" si="149"/>
        <v>25402</v>
      </c>
      <c r="L135" s="63">
        <v>25402</v>
      </c>
      <c r="M135" s="68">
        <f t="shared" si="150"/>
        <v>13000</v>
      </c>
      <c r="N135" s="63">
        <v>13000</v>
      </c>
      <c r="O135" s="68">
        <f t="shared" si="151"/>
        <v>13000</v>
      </c>
      <c r="P135" s="63">
        <v>13000</v>
      </c>
      <c r="Q135" s="54"/>
      <c r="R135" s="54"/>
      <c r="S135" s="68">
        <f t="shared" ref="S135:S137" si="153">T135</f>
        <v>13000</v>
      </c>
      <c r="T135" s="63">
        <v>13000</v>
      </c>
      <c r="U135" s="63">
        <v>9300</v>
      </c>
      <c r="V135" s="63">
        <v>9300</v>
      </c>
      <c r="W135" s="63">
        <f>X135</f>
        <v>3300</v>
      </c>
      <c r="X135" s="63">
        <v>3300</v>
      </c>
      <c r="Y135" s="63"/>
      <c r="Z135" s="63"/>
      <c r="AA135" s="63">
        <f t="shared" si="140"/>
        <v>12600</v>
      </c>
      <c r="AB135" s="63">
        <f t="shared" si="140"/>
        <v>12600</v>
      </c>
      <c r="AC135" s="63">
        <f t="shared" ref="AC135:AD137" si="154">O135-AA135</f>
        <v>400</v>
      </c>
      <c r="AD135" s="63">
        <f t="shared" si="154"/>
        <v>400</v>
      </c>
      <c r="AE135" s="63">
        <f t="shared" si="141"/>
        <v>0</v>
      </c>
      <c r="AF135" s="63">
        <f t="shared" si="142"/>
        <v>0</v>
      </c>
      <c r="AG135" s="63"/>
      <c r="AH135" s="63"/>
      <c r="AI135" s="69"/>
      <c r="AJ135" s="19">
        <f t="shared" si="109"/>
        <v>0</v>
      </c>
      <c r="AK135" s="22">
        <f t="shared" si="117"/>
        <v>0</v>
      </c>
      <c r="AL135" s="22"/>
      <c r="AM135" s="12">
        <f t="shared" si="143"/>
        <v>1</v>
      </c>
      <c r="AO135" s="12">
        <f t="shared" si="144"/>
        <v>0</v>
      </c>
      <c r="AP135" s="12">
        <f t="shared" si="126"/>
        <v>0</v>
      </c>
      <c r="AQ135" s="12">
        <f t="shared" si="145"/>
        <v>0</v>
      </c>
      <c r="AR135" s="12">
        <f t="shared" si="85"/>
        <v>0</v>
      </c>
      <c r="AS135" s="12">
        <f t="shared" si="146"/>
        <v>0</v>
      </c>
      <c r="AT135" s="12">
        <f t="shared" si="118"/>
        <v>0</v>
      </c>
      <c r="AU135" s="12">
        <f t="shared" si="147"/>
        <v>0</v>
      </c>
      <c r="AV135" s="12">
        <f t="shared" si="119"/>
        <v>0</v>
      </c>
    </row>
    <row r="136" spans="1:48" ht="49.5" hidden="1" x14ac:dyDescent="0.25">
      <c r="A136" s="60">
        <v>6</v>
      </c>
      <c r="B136" s="9" t="s">
        <v>355</v>
      </c>
      <c r="C136" s="61" t="s">
        <v>112</v>
      </c>
      <c r="D136" s="61" t="s">
        <v>353</v>
      </c>
      <c r="E136" s="61" t="s">
        <v>346</v>
      </c>
      <c r="F136" s="61" t="s">
        <v>356</v>
      </c>
      <c r="G136" s="63">
        <v>38049</v>
      </c>
      <c r="H136" s="74">
        <f t="shared" si="148"/>
        <v>38049</v>
      </c>
      <c r="I136" s="63">
        <f t="shared" si="149"/>
        <v>19108</v>
      </c>
      <c r="J136" s="63">
        <v>19108</v>
      </c>
      <c r="K136" s="63">
        <f t="shared" si="149"/>
        <v>19108</v>
      </c>
      <c r="L136" s="63">
        <v>19108</v>
      </c>
      <c r="M136" s="68">
        <f t="shared" si="150"/>
        <v>15770</v>
      </c>
      <c r="N136" s="63">
        <v>15770</v>
      </c>
      <c r="O136" s="68">
        <f t="shared" si="151"/>
        <v>15770</v>
      </c>
      <c r="P136" s="63">
        <v>15770</v>
      </c>
      <c r="Q136" s="54"/>
      <c r="R136" s="54"/>
      <c r="S136" s="68">
        <f t="shared" si="153"/>
        <v>15770</v>
      </c>
      <c r="T136" s="63">
        <v>15770</v>
      </c>
      <c r="U136" s="63">
        <v>10500</v>
      </c>
      <c r="V136" s="63">
        <v>10500</v>
      </c>
      <c r="W136" s="63">
        <f>X136</f>
        <v>5000</v>
      </c>
      <c r="X136" s="63">
        <v>5000</v>
      </c>
      <c r="Y136" s="63"/>
      <c r="Z136" s="63"/>
      <c r="AA136" s="63">
        <f t="shared" si="140"/>
        <v>15500</v>
      </c>
      <c r="AB136" s="63">
        <f t="shared" si="140"/>
        <v>15500</v>
      </c>
      <c r="AC136" s="63">
        <f t="shared" si="154"/>
        <v>270</v>
      </c>
      <c r="AD136" s="63">
        <f t="shared" si="154"/>
        <v>270</v>
      </c>
      <c r="AE136" s="63">
        <f t="shared" si="141"/>
        <v>0</v>
      </c>
      <c r="AF136" s="63">
        <f t="shared" si="142"/>
        <v>0</v>
      </c>
      <c r="AG136" s="63"/>
      <c r="AH136" s="63"/>
      <c r="AI136" s="69"/>
      <c r="AJ136" s="19">
        <f t="shared" si="109"/>
        <v>0</v>
      </c>
      <c r="AK136" s="22">
        <f t="shared" si="117"/>
        <v>0</v>
      </c>
      <c r="AL136" s="22"/>
      <c r="AM136" s="12">
        <f t="shared" si="143"/>
        <v>1</v>
      </c>
      <c r="AO136" s="12">
        <f t="shared" si="144"/>
        <v>0</v>
      </c>
      <c r="AP136" s="12">
        <f t="shared" si="126"/>
        <v>0</v>
      </c>
      <c r="AQ136" s="12">
        <f t="shared" si="145"/>
        <v>0</v>
      </c>
      <c r="AR136" s="12">
        <f t="shared" ref="AR136:AR196" si="155">IF(AQ136=1,P136,0)</f>
        <v>0</v>
      </c>
      <c r="AS136" s="12">
        <f t="shared" si="146"/>
        <v>0</v>
      </c>
      <c r="AT136" s="12">
        <f t="shared" si="118"/>
        <v>0</v>
      </c>
      <c r="AU136" s="12">
        <f t="shared" si="147"/>
        <v>0</v>
      </c>
      <c r="AV136" s="12">
        <f t="shared" si="119"/>
        <v>0</v>
      </c>
    </row>
    <row r="137" spans="1:48" ht="49.5" hidden="1" x14ac:dyDescent="0.25">
      <c r="A137" s="60">
        <v>7</v>
      </c>
      <c r="B137" s="91" t="s">
        <v>357</v>
      </c>
      <c r="C137" s="61" t="s">
        <v>176</v>
      </c>
      <c r="D137" s="61" t="s">
        <v>358</v>
      </c>
      <c r="E137" s="61" t="s">
        <v>346</v>
      </c>
      <c r="F137" s="61" t="s">
        <v>359</v>
      </c>
      <c r="G137" s="63">
        <v>117738</v>
      </c>
      <c r="H137" s="74">
        <f t="shared" si="148"/>
        <v>117738</v>
      </c>
      <c r="I137" s="63">
        <f t="shared" si="149"/>
        <v>96649</v>
      </c>
      <c r="J137" s="63">
        <v>96649</v>
      </c>
      <c r="K137" s="63">
        <f t="shared" si="149"/>
        <v>96649</v>
      </c>
      <c r="L137" s="63">
        <v>96649</v>
      </c>
      <c r="M137" s="68">
        <f t="shared" si="150"/>
        <v>6000</v>
      </c>
      <c r="N137" s="63">
        <v>6000</v>
      </c>
      <c r="O137" s="68">
        <f t="shared" si="151"/>
        <v>6000</v>
      </c>
      <c r="P137" s="63">
        <v>6000</v>
      </c>
      <c r="Q137" s="54"/>
      <c r="R137" s="54"/>
      <c r="S137" s="68">
        <f t="shared" si="153"/>
        <v>6000</v>
      </c>
      <c r="T137" s="63">
        <v>6000</v>
      </c>
      <c r="U137" s="63">
        <v>1550</v>
      </c>
      <c r="V137" s="63">
        <v>1550</v>
      </c>
      <c r="W137" s="63"/>
      <c r="X137" s="63"/>
      <c r="Y137" s="63"/>
      <c r="Z137" s="63"/>
      <c r="AA137" s="63">
        <f t="shared" si="140"/>
        <v>1550</v>
      </c>
      <c r="AB137" s="63">
        <f t="shared" si="140"/>
        <v>1550</v>
      </c>
      <c r="AC137" s="63">
        <f t="shared" si="154"/>
        <v>4450</v>
      </c>
      <c r="AD137" s="63">
        <f t="shared" si="154"/>
        <v>4450</v>
      </c>
      <c r="AE137" s="63">
        <f t="shared" si="141"/>
        <v>0</v>
      </c>
      <c r="AF137" s="63">
        <f t="shared" si="142"/>
        <v>0</v>
      </c>
      <c r="AG137" s="63"/>
      <c r="AH137" s="63"/>
      <c r="AI137" s="69"/>
      <c r="AJ137" s="19">
        <f t="shared" si="109"/>
        <v>0</v>
      </c>
      <c r="AK137" s="22">
        <f t="shared" si="117"/>
        <v>0</v>
      </c>
      <c r="AL137" s="22"/>
      <c r="AM137" s="12">
        <f t="shared" si="143"/>
        <v>1</v>
      </c>
      <c r="AO137" s="12">
        <f t="shared" si="144"/>
        <v>0</v>
      </c>
      <c r="AP137" s="12">
        <f t="shared" si="126"/>
        <v>0</v>
      </c>
      <c r="AQ137" s="12">
        <f t="shared" si="145"/>
        <v>0</v>
      </c>
      <c r="AR137" s="12">
        <f t="shared" si="155"/>
        <v>0</v>
      </c>
      <c r="AS137" s="12">
        <f t="shared" si="146"/>
        <v>0</v>
      </c>
      <c r="AT137" s="12">
        <f t="shared" si="118"/>
        <v>0</v>
      </c>
      <c r="AU137" s="12">
        <f t="shared" si="147"/>
        <v>0</v>
      </c>
      <c r="AV137" s="12">
        <f t="shared" si="119"/>
        <v>0</v>
      </c>
    </row>
    <row r="138" spans="1:48" s="42" customFormat="1" ht="34.5" x14ac:dyDescent="0.25">
      <c r="A138" s="35" t="s">
        <v>85</v>
      </c>
      <c r="B138" s="36" t="s">
        <v>86</v>
      </c>
      <c r="C138" s="37"/>
      <c r="D138" s="37"/>
      <c r="E138" s="37"/>
      <c r="F138" s="37"/>
      <c r="G138" s="38">
        <f>G155</f>
        <v>99279</v>
      </c>
      <c r="H138" s="38">
        <f t="shared" ref="H138:L138" si="156">H155</f>
        <v>99279</v>
      </c>
      <c r="I138" s="38">
        <f t="shared" si="156"/>
        <v>0</v>
      </c>
      <c r="J138" s="38">
        <f t="shared" si="156"/>
        <v>0</v>
      </c>
      <c r="K138" s="38">
        <f t="shared" si="156"/>
        <v>0</v>
      </c>
      <c r="L138" s="38">
        <f t="shared" si="156"/>
        <v>0</v>
      </c>
      <c r="M138" s="38">
        <f t="shared" ref="M138:AH138" si="157">M139+M155</f>
        <v>344730</v>
      </c>
      <c r="N138" s="38">
        <f t="shared" si="157"/>
        <v>344730</v>
      </c>
      <c r="O138" s="38">
        <f t="shared" si="157"/>
        <v>464850</v>
      </c>
      <c r="P138" s="38">
        <f t="shared" si="157"/>
        <v>442650</v>
      </c>
      <c r="Q138" s="38">
        <f t="shared" si="157"/>
        <v>0</v>
      </c>
      <c r="R138" s="38">
        <f t="shared" si="157"/>
        <v>25000</v>
      </c>
      <c r="S138" s="38">
        <f t="shared" ref="S138:X138" si="158">S155</f>
        <v>78000</v>
      </c>
      <c r="T138" s="38">
        <f t="shared" si="158"/>
        <v>78000</v>
      </c>
      <c r="U138" s="38">
        <f t="shared" si="158"/>
        <v>0</v>
      </c>
      <c r="V138" s="38">
        <f t="shared" si="158"/>
        <v>0</v>
      </c>
      <c r="W138" s="38">
        <f t="shared" si="158"/>
        <v>131</v>
      </c>
      <c r="X138" s="38">
        <f t="shared" si="158"/>
        <v>131</v>
      </c>
      <c r="Y138" s="38">
        <f t="shared" si="157"/>
        <v>30635</v>
      </c>
      <c r="Z138" s="38">
        <f t="shared" si="157"/>
        <v>26935</v>
      </c>
      <c r="AA138" s="38">
        <f t="shared" si="157"/>
        <v>101266</v>
      </c>
      <c r="AB138" s="38">
        <f t="shared" si="157"/>
        <v>97566</v>
      </c>
      <c r="AC138" s="38">
        <f t="shared" si="157"/>
        <v>239934</v>
      </c>
      <c r="AD138" s="38">
        <f t="shared" si="157"/>
        <v>243634</v>
      </c>
      <c r="AE138" s="38">
        <f t="shared" si="157"/>
        <v>232850</v>
      </c>
      <c r="AF138" s="38">
        <f t="shared" si="157"/>
        <v>232850</v>
      </c>
      <c r="AG138" s="38">
        <f t="shared" si="157"/>
        <v>-10648.899999999994</v>
      </c>
      <c r="AH138" s="38">
        <f t="shared" si="157"/>
        <v>-10648.899999999994</v>
      </c>
      <c r="AI138" s="40"/>
      <c r="AJ138" s="19">
        <f t="shared" si="109"/>
        <v>1</v>
      </c>
      <c r="AK138" s="22"/>
      <c r="AL138" s="22"/>
      <c r="AM138" s="12"/>
      <c r="AN138" s="12"/>
      <c r="AO138" s="12"/>
      <c r="AP138" s="12">
        <f t="shared" si="126"/>
        <v>0</v>
      </c>
      <c r="AQ138" s="12"/>
      <c r="AR138" s="12">
        <f t="shared" si="155"/>
        <v>0</v>
      </c>
      <c r="AS138" s="12"/>
      <c r="AT138" s="12">
        <f t="shared" si="118"/>
        <v>0</v>
      </c>
      <c r="AU138" s="12"/>
      <c r="AV138" s="12">
        <f t="shared" si="119"/>
        <v>0</v>
      </c>
    </row>
    <row r="139" spans="1:48" s="49" customFormat="1" ht="51.75" hidden="1" x14ac:dyDescent="0.25">
      <c r="A139" s="43" t="s">
        <v>87</v>
      </c>
      <c r="B139" s="44" t="s">
        <v>88</v>
      </c>
      <c r="C139" s="72"/>
      <c r="D139" s="72"/>
      <c r="E139" s="72"/>
      <c r="F139" s="72"/>
      <c r="G139" s="46">
        <f>SUM(G140:G154)</f>
        <v>444914</v>
      </c>
      <c r="H139" s="46">
        <f t="shared" ref="H139:T139" si="159">SUM(H140:H154)</f>
        <v>371736</v>
      </c>
      <c r="I139" s="46">
        <f t="shared" si="159"/>
        <v>0</v>
      </c>
      <c r="J139" s="46">
        <f t="shared" si="159"/>
        <v>0</v>
      </c>
      <c r="K139" s="46">
        <f t="shared" si="159"/>
        <v>0</v>
      </c>
      <c r="L139" s="46">
        <f t="shared" si="159"/>
        <v>0</v>
      </c>
      <c r="M139" s="46">
        <f t="shared" si="159"/>
        <v>339650</v>
      </c>
      <c r="N139" s="46">
        <f t="shared" si="159"/>
        <v>339650</v>
      </c>
      <c r="O139" s="46">
        <f t="shared" si="159"/>
        <v>361850</v>
      </c>
      <c r="P139" s="46">
        <f t="shared" si="159"/>
        <v>339650</v>
      </c>
      <c r="Q139" s="46">
        <f t="shared" si="159"/>
        <v>0</v>
      </c>
      <c r="R139" s="46">
        <f t="shared" si="159"/>
        <v>0</v>
      </c>
      <c r="S139" s="46">
        <f t="shared" si="159"/>
        <v>361850</v>
      </c>
      <c r="T139" s="46">
        <f t="shared" si="159"/>
        <v>339650</v>
      </c>
      <c r="U139" s="46">
        <f t="shared" ref="U139:AH139" si="160">SUM(U140:U153)</f>
        <v>37000</v>
      </c>
      <c r="V139" s="46">
        <f t="shared" si="160"/>
        <v>37000</v>
      </c>
      <c r="W139" s="46">
        <f t="shared" si="160"/>
        <v>33500</v>
      </c>
      <c r="X139" s="46">
        <f t="shared" si="160"/>
        <v>33500</v>
      </c>
      <c r="Y139" s="46">
        <f t="shared" si="160"/>
        <v>30500</v>
      </c>
      <c r="Z139" s="46">
        <f t="shared" si="160"/>
        <v>26800</v>
      </c>
      <c r="AA139" s="46">
        <f t="shared" si="160"/>
        <v>101000</v>
      </c>
      <c r="AB139" s="46">
        <f t="shared" si="160"/>
        <v>97300</v>
      </c>
      <c r="AC139" s="46">
        <f t="shared" si="160"/>
        <v>237200</v>
      </c>
      <c r="AD139" s="46">
        <f t="shared" si="160"/>
        <v>240900</v>
      </c>
      <c r="AE139" s="46">
        <f t="shared" si="160"/>
        <v>232850</v>
      </c>
      <c r="AF139" s="46">
        <f t="shared" si="160"/>
        <v>232850</v>
      </c>
      <c r="AG139" s="46">
        <f t="shared" si="160"/>
        <v>0</v>
      </c>
      <c r="AH139" s="46">
        <f t="shared" si="160"/>
        <v>0</v>
      </c>
      <c r="AI139" s="73"/>
      <c r="AJ139" s="19">
        <f t="shared" si="109"/>
        <v>0</v>
      </c>
      <c r="AK139" s="22"/>
      <c r="AL139" s="22"/>
      <c r="AM139" s="12"/>
      <c r="AN139" s="12"/>
      <c r="AO139" s="12"/>
      <c r="AP139" s="12">
        <f t="shared" si="126"/>
        <v>0</v>
      </c>
      <c r="AQ139" s="12"/>
      <c r="AR139" s="12">
        <f t="shared" si="155"/>
        <v>0</v>
      </c>
      <c r="AS139" s="12"/>
      <c r="AT139" s="12">
        <f t="shared" si="118"/>
        <v>0</v>
      </c>
      <c r="AU139" s="12"/>
      <c r="AV139" s="12">
        <f t="shared" si="119"/>
        <v>0</v>
      </c>
    </row>
    <row r="140" spans="1:48" ht="49.5" hidden="1" x14ac:dyDescent="0.25">
      <c r="A140" s="60">
        <v>8</v>
      </c>
      <c r="B140" s="9" t="s">
        <v>360</v>
      </c>
      <c r="C140" s="61" t="s">
        <v>361</v>
      </c>
      <c r="D140" s="61" t="s">
        <v>362</v>
      </c>
      <c r="E140" s="61" t="s">
        <v>97</v>
      </c>
      <c r="F140" s="61" t="s">
        <v>363</v>
      </c>
      <c r="G140" s="62">
        <v>53932</v>
      </c>
      <c r="H140" s="74">
        <f>G140</f>
        <v>53932</v>
      </c>
      <c r="I140" s="63"/>
      <c r="J140" s="63"/>
      <c r="K140" s="63"/>
      <c r="L140" s="63"/>
      <c r="M140" s="68">
        <f t="shared" ref="M140:M153" si="161">N140</f>
        <v>48850</v>
      </c>
      <c r="N140" s="63">
        <v>48850</v>
      </c>
      <c r="O140" s="68">
        <f t="shared" ref="O140:O153" si="162">P140</f>
        <v>48850</v>
      </c>
      <c r="P140" s="63">
        <v>48850</v>
      </c>
      <c r="Q140" s="54"/>
      <c r="R140" s="54"/>
      <c r="S140" s="68">
        <f t="shared" ref="S140:S153" si="163">T140</f>
        <v>48850</v>
      </c>
      <c r="T140" s="63">
        <v>48850</v>
      </c>
      <c r="U140" s="63">
        <v>30000</v>
      </c>
      <c r="V140" s="63">
        <v>30000</v>
      </c>
      <c r="W140" s="63">
        <v>15000</v>
      </c>
      <c r="X140" s="63">
        <v>15000</v>
      </c>
      <c r="Y140" s="63"/>
      <c r="Z140" s="63"/>
      <c r="AA140" s="63">
        <f t="shared" ref="AA140:AB154" si="164">U140+W140+Y140</f>
        <v>45000</v>
      </c>
      <c r="AB140" s="63">
        <f t="shared" si="164"/>
        <v>45000</v>
      </c>
      <c r="AC140" s="63">
        <f t="shared" ref="AC140:AD154" si="165">O140-AA140</f>
        <v>3850</v>
      </c>
      <c r="AD140" s="63">
        <f t="shared" si="165"/>
        <v>3850</v>
      </c>
      <c r="AE140" s="63">
        <f t="shared" ref="AE140:AE154" si="166">AF140</f>
        <v>0</v>
      </c>
      <c r="AF140" s="63">
        <f t="shared" ref="AF140:AF154" si="167">IF(AB140=0,AD140,0)</f>
        <v>0</v>
      </c>
      <c r="AG140" s="63"/>
      <c r="AH140" s="63"/>
      <c r="AI140" s="69"/>
      <c r="AJ140" s="19">
        <f t="shared" si="109"/>
        <v>0</v>
      </c>
      <c r="AK140" s="22">
        <f t="shared" si="117"/>
        <v>0</v>
      </c>
      <c r="AL140" s="22"/>
      <c r="AM140" s="12">
        <f t="shared" ref="AM140:AM154" si="168">IF(AJ140=0,1,0)</f>
        <v>1</v>
      </c>
      <c r="AO140" s="12">
        <f t="shared" ref="AO140:AO154" si="169">IF(P140=0,1,0)</f>
        <v>0</v>
      </c>
      <c r="AP140" s="12">
        <f t="shared" si="126"/>
        <v>0</v>
      </c>
      <c r="AQ140" s="12">
        <f t="shared" ref="AQ140:AQ154" si="170">IF(N140=0,1,0)</f>
        <v>0</v>
      </c>
      <c r="AR140" s="12">
        <f t="shared" si="155"/>
        <v>0</v>
      </c>
      <c r="AS140" s="12">
        <f t="shared" ref="AS140:AS153" si="171">IF(Q140=0,0,1)</f>
        <v>0</v>
      </c>
      <c r="AT140" s="12">
        <f t="shared" si="118"/>
        <v>0</v>
      </c>
      <c r="AU140" s="12">
        <f t="shared" ref="AU140:AU154" si="172">IF(R140=0,0,1)</f>
        <v>0</v>
      </c>
      <c r="AV140" s="12">
        <f t="shared" si="119"/>
        <v>0</v>
      </c>
    </row>
    <row r="141" spans="1:48" ht="49.5" hidden="1" x14ac:dyDescent="0.25">
      <c r="A141" s="60">
        <v>9</v>
      </c>
      <c r="B141" s="9" t="s">
        <v>364</v>
      </c>
      <c r="C141" s="61" t="s">
        <v>336</v>
      </c>
      <c r="D141" s="61" t="s">
        <v>365</v>
      </c>
      <c r="E141" s="61">
        <v>2016</v>
      </c>
      <c r="F141" s="61" t="s">
        <v>366</v>
      </c>
      <c r="G141" s="62">
        <v>10978</v>
      </c>
      <c r="H141" s="74">
        <f>G141</f>
        <v>10978</v>
      </c>
      <c r="I141" s="63"/>
      <c r="J141" s="63"/>
      <c r="K141" s="63"/>
      <c r="L141" s="63"/>
      <c r="M141" s="68">
        <f t="shared" si="161"/>
        <v>10460</v>
      </c>
      <c r="N141" s="63">
        <v>10460</v>
      </c>
      <c r="O141" s="68">
        <f t="shared" si="162"/>
        <v>10460</v>
      </c>
      <c r="P141" s="63">
        <v>10460</v>
      </c>
      <c r="Q141" s="54"/>
      <c r="R141" s="54"/>
      <c r="S141" s="68">
        <f t="shared" si="163"/>
        <v>10460</v>
      </c>
      <c r="T141" s="63">
        <v>10460</v>
      </c>
      <c r="U141" s="63">
        <v>7000</v>
      </c>
      <c r="V141" s="63">
        <v>7000</v>
      </c>
      <c r="W141" s="68"/>
      <c r="X141" s="68"/>
      <c r="Y141" s="68"/>
      <c r="Z141" s="68"/>
      <c r="AA141" s="63">
        <f t="shared" si="164"/>
        <v>7000</v>
      </c>
      <c r="AB141" s="63">
        <f t="shared" si="164"/>
        <v>7000</v>
      </c>
      <c r="AC141" s="63">
        <f t="shared" si="165"/>
        <v>3460</v>
      </c>
      <c r="AD141" s="63">
        <f t="shared" si="165"/>
        <v>3460</v>
      </c>
      <c r="AE141" s="63">
        <f t="shared" si="166"/>
        <v>0</v>
      </c>
      <c r="AF141" s="63">
        <f t="shared" si="167"/>
        <v>0</v>
      </c>
      <c r="AG141" s="68"/>
      <c r="AH141" s="68"/>
      <c r="AI141" s="69"/>
      <c r="AJ141" s="19">
        <f t="shared" si="109"/>
        <v>0</v>
      </c>
      <c r="AK141" s="22">
        <f t="shared" si="117"/>
        <v>0</v>
      </c>
      <c r="AL141" s="22"/>
      <c r="AM141" s="12">
        <f t="shared" si="168"/>
        <v>1</v>
      </c>
      <c r="AO141" s="12">
        <f t="shared" si="169"/>
        <v>0</v>
      </c>
      <c r="AP141" s="12">
        <f t="shared" si="126"/>
        <v>0</v>
      </c>
      <c r="AQ141" s="12">
        <f t="shared" si="170"/>
        <v>0</v>
      </c>
      <c r="AR141" s="12">
        <f t="shared" si="155"/>
        <v>0</v>
      </c>
      <c r="AS141" s="12">
        <f t="shared" si="171"/>
        <v>0</v>
      </c>
      <c r="AT141" s="12">
        <f t="shared" si="118"/>
        <v>0</v>
      </c>
      <c r="AU141" s="12">
        <f t="shared" si="172"/>
        <v>0</v>
      </c>
      <c r="AV141" s="12">
        <f t="shared" si="119"/>
        <v>0</v>
      </c>
    </row>
    <row r="142" spans="1:48" ht="82.5" hidden="1" x14ac:dyDescent="0.25">
      <c r="A142" s="60">
        <v>10</v>
      </c>
      <c r="B142" s="9" t="s">
        <v>367</v>
      </c>
      <c r="C142" s="61" t="s">
        <v>194</v>
      </c>
      <c r="D142" s="61" t="s">
        <v>368</v>
      </c>
      <c r="E142" s="61" t="s">
        <v>109</v>
      </c>
      <c r="F142" s="61" t="s">
        <v>369</v>
      </c>
      <c r="G142" s="62">
        <v>44954</v>
      </c>
      <c r="H142" s="74">
        <f>G142</f>
        <v>44954</v>
      </c>
      <c r="I142" s="63"/>
      <c r="J142" s="63"/>
      <c r="K142" s="63"/>
      <c r="L142" s="63"/>
      <c r="M142" s="68">
        <f t="shared" si="161"/>
        <v>40340</v>
      </c>
      <c r="N142" s="63">
        <v>40340</v>
      </c>
      <c r="O142" s="68">
        <f t="shared" si="162"/>
        <v>40340</v>
      </c>
      <c r="P142" s="63">
        <v>40340</v>
      </c>
      <c r="Q142" s="54"/>
      <c r="R142" s="54"/>
      <c r="S142" s="68">
        <f t="shared" si="163"/>
        <v>40340</v>
      </c>
      <c r="T142" s="63">
        <v>40340</v>
      </c>
      <c r="U142" s="63"/>
      <c r="V142" s="63"/>
      <c r="W142" s="63">
        <f>X142</f>
        <v>14000</v>
      </c>
      <c r="X142" s="63">
        <v>14000</v>
      </c>
      <c r="Y142" s="63">
        <f>Z142</f>
        <v>26000</v>
      </c>
      <c r="Z142" s="63">
        <v>26000</v>
      </c>
      <c r="AA142" s="63">
        <f t="shared" si="164"/>
        <v>40000</v>
      </c>
      <c r="AB142" s="63">
        <f t="shared" si="164"/>
        <v>40000</v>
      </c>
      <c r="AC142" s="63">
        <f t="shared" si="165"/>
        <v>340</v>
      </c>
      <c r="AD142" s="63">
        <f t="shared" si="165"/>
        <v>340</v>
      </c>
      <c r="AE142" s="63">
        <f t="shared" si="166"/>
        <v>0</v>
      </c>
      <c r="AF142" s="63">
        <f t="shared" si="167"/>
        <v>0</v>
      </c>
      <c r="AG142" s="63"/>
      <c r="AH142" s="63"/>
      <c r="AI142" s="69"/>
      <c r="AJ142" s="19">
        <f t="shared" si="109"/>
        <v>0</v>
      </c>
      <c r="AK142" s="22">
        <f t="shared" si="117"/>
        <v>0</v>
      </c>
      <c r="AL142" s="22"/>
      <c r="AM142" s="12">
        <f t="shared" si="168"/>
        <v>1</v>
      </c>
      <c r="AO142" s="12">
        <f t="shared" si="169"/>
        <v>0</v>
      </c>
      <c r="AP142" s="12">
        <f t="shared" si="126"/>
        <v>0</v>
      </c>
      <c r="AQ142" s="12">
        <f t="shared" si="170"/>
        <v>0</v>
      </c>
      <c r="AR142" s="12">
        <f t="shared" si="155"/>
        <v>0</v>
      </c>
      <c r="AS142" s="12">
        <f t="shared" si="171"/>
        <v>0</v>
      </c>
      <c r="AT142" s="12">
        <f t="shared" si="118"/>
        <v>0</v>
      </c>
      <c r="AU142" s="12">
        <f t="shared" si="172"/>
        <v>0</v>
      </c>
      <c r="AV142" s="12">
        <f t="shared" si="119"/>
        <v>0</v>
      </c>
    </row>
    <row r="143" spans="1:48" ht="66" hidden="1" x14ac:dyDescent="0.25">
      <c r="A143" s="60">
        <v>11</v>
      </c>
      <c r="B143" s="91" t="s">
        <v>370</v>
      </c>
      <c r="C143" s="61" t="s">
        <v>336</v>
      </c>
      <c r="D143" s="61" t="s">
        <v>371</v>
      </c>
      <c r="E143" s="61" t="s">
        <v>109</v>
      </c>
      <c r="F143" s="61" t="s">
        <v>372</v>
      </c>
      <c r="G143" s="74">
        <v>5980</v>
      </c>
      <c r="H143" s="74">
        <f>G143</f>
        <v>5980</v>
      </c>
      <c r="I143" s="63"/>
      <c r="J143" s="63"/>
      <c r="K143" s="63"/>
      <c r="L143" s="63"/>
      <c r="M143" s="68">
        <f t="shared" si="161"/>
        <v>5700</v>
      </c>
      <c r="N143" s="63">
        <v>5700</v>
      </c>
      <c r="O143" s="68">
        <f t="shared" si="162"/>
        <v>5700</v>
      </c>
      <c r="P143" s="63">
        <v>5700</v>
      </c>
      <c r="Q143" s="54"/>
      <c r="R143" s="54"/>
      <c r="S143" s="68">
        <f t="shared" si="163"/>
        <v>5700</v>
      </c>
      <c r="T143" s="63">
        <v>5700</v>
      </c>
      <c r="U143" s="26"/>
      <c r="V143" s="26"/>
      <c r="W143" s="63">
        <v>4500</v>
      </c>
      <c r="X143" s="63">
        <v>4500</v>
      </c>
      <c r="Y143" s="63">
        <v>4500</v>
      </c>
      <c r="Z143" s="63">
        <v>800</v>
      </c>
      <c r="AA143" s="63">
        <f t="shared" si="164"/>
        <v>9000</v>
      </c>
      <c r="AB143" s="63">
        <f t="shared" si="164"/>
        <v>5300</v>
      </c>
      <c r="AC143" s="63">
        <f t="shared" si="165"/>
        <v>-3300</v>
      </c>
      <c r="AD143" s="63">
        <f t="shared" si="165"/>
        <v>400</v>
      </c>
      <c r="AE143" s="63">
        <f t="shared" si="166"/>
        <v>0</v>
      </c>
      <c r="AF143" s="63">
        <f t="shared" si="167"/>
        <v>0</v>
      </c>
      <c r="AG143" s="63"/>
      <c r="AH143" s="63"/>
      <c r="AI143" s="69"/>
      <c r="AJ143" s="19">
        <f t="shared" si="109"/>
        <v>0</v>
      </c>
      <c r="AK143" s="22">
        <f t="shared" si="117"/>
        <v>0</v>
      </c>
      <c r="AL143" s="22"/>
      <c r="AM143" s="12">
        <f t="shared" si="168"/>
        <v>1</v>
      </c>
      <c r="AO143" s="12">
        <f t="shared" si="169"/>
        <v>0</v>
      </c>
      <c r="AP143" s="12">
        <f t="shared" si="126"/>
        <v>0</v>
      </c>
      <c r="AQ143" s="12">
        <f t="shared" si="170"/>
        <v>0</v>
      </c>
      <c r="AR143" s="12">
        <f t="shared" si="155"/>
        <v>0</v>
      </c>
      <c r="AS143" s="12">
        <f t="shared" si="171"/>
        <v>0</v>
      </c>
      <c r="AT143" s="12">
        <f t="shared" si="118"/>
        <v>0</v>
      </c>
      <c r="AU143" s="12">
        <f t="shared" si="172"/>
        <v>0</v>
      </c>
      <c r="AV143" s="12">
        <f t="shared" si="119"/>
        <v>0</v>
      </c>
    </row>
    <row r="144" spans="1:48" ht="49.5" hidden="1" x14ac:dyDescent="0.25">
      <c r="A144" s="60">
        <v>12</v>
      </c>
      <c r="B144" s="9" t="s">
        <v>373</v>
      </c>
      <c r="C144" s="61" t="s">
        <v>336</v>
      </c>
      <c r="D144" s="61"/>
      <c r="E144" s="61" t="s">
        <v>116</v>
      </c>
      <c r="F144" s="61" t="s">
        <v>374</v>
      </c>
      <c r="G144" s="62">
        <v>126957</v>
      </c>
      <c r="H144" s="74">
        <f>G144-50978</f>
        <v>75979</v>
      </c>
      <c r="I144" s="63"/>
      <c r="J144" s="63"/>
      <c r="K144" s="63"/>
      <c r="L144" s="63"/>
      <c r="M144" s="68">
        <f t="shared" si="161"/>
        <v>60000</v>
      </c>
      <c r="N144" s="68">
        <v>60000</v>
      </c>
      <c r="O144" s="68">
        <f t="shared" si="162"/>
        <v>60000</v>
      </c>
      <c r="P144" s="68">
        <v>60000</v>
      </c>
      <c r="Q144" s="54"/>
      <c r="R144" s="54"/>
      <c r="S144" s="68">
        <f t="shared" si="163"/>
        <v>60000</v>
      </c>
      <c r="T144" s="68">
        <v>60000</v>
      </c>
      <c r="U144" s="58"/>
      <c r="V144" s="58"/>
      <c r="W144" s="58"/>
      <c r="X144" s="58"/>
      <c r="Y144" s="58"/>
      <c r="Z144" s="58"/>
      <c r="AA144" s="63">
        <f t="shared" si="164"/>
        <v>0</v>
      </c>
      <c r="AB144" s="63">
        <f t="shared" si="164"/>
        <v>0</v>
      </c>
      <c r="AC144" s="63">
        <f t="shared" si="165"/>
        <v>60000</v>
      </c>
      <c r="AD144" s="63">
        <f t="shared" si="165"/>
        <v>60000</v>
      </c>
      <c r="AE144" s="63">
        <f t="shared" si="166"/>
        <v>60000</v>
      </c>
      <c r="AF144" s="63">
        <f t="shared" si="167"/>
        <v>60000</v>
      </c>
      <c r="AG144" s="58"/>
      <c r="AH144" s="58"/>
      <c r="AI144" s="61" t="s">
        <v>375</v>
      </c>
      <c r="AJ144" s="19">
        <f t="shared" si="109"/>
        <v>0</v>
      </c>
      <c r="AK144" s="22">
        <f t="shared" si="117"/>
        <v>0</v>
      </c>
      <c r="AL144" s="22"/>
      <c r="AM144" s="12">
        <f t="shared" si="168"/>
        <v>1</v>
      </c>
      <c r="AO144" s="12">
        <f t="shared" si="169"/>
        <v>0</v>
      </c>
      <c r="AP144" s="12">
        <f t="shared" si="126"/>
        <v>0</v>
      </c>
      <c r="AQ144" s="12">
        <f t="shared" si="170"/>
        <v>0</v>
      </c>
      <c r="AR144" s="12">
        <f t="shared" si="155"/>
        <v>0</v>
      </c>
      <c r="AS144" s="12">
        <f t="shared" si="171"/>
        <v>0</v>
      </c>
      <c r="AT144" s="12">
        <f t="shared" si="118"/>
        <v>0</v>
      </c>
      <c r="AU144" s="12">
        <f t="shared" si="172"/>
        <v>0</v>
      </c>
      <c r="AV144" s="12">
        <f t="shared" si="119"/>
        <v>0</v>
      </c>
    </row>
    <row r="145" spans="1:48" ht="82.5" hidden="1" x14ac:dyDescent="0.25">
      <c r="A145" s="60">
        <v>13</v>
      </c>
      <c r="B145" s="91" t="s">
        <v>376</v>
      </c>
      <c r="C145" s="61" t="s">
        <v>377</v>
      </c>
      <c r="D145" s="61" t="s">
        <v>378</v>
      </c>
      <c r="E145" s="61" t="s">
        <v>116</v>
      </c>
      <c r="F145" s="61" t="s">
        <v>379</v>
      </c>
      <c r="G145" s="74">
        <v>8646</v>
      </c>
      <c r="H145" s="74">
        <v>8646</v>
      </c>
      <c r="I145" s="63"/>
      <c r="J145" s="63"/>
      <c r="K145" s="63"/>
      <c r="L145" s="63"/>
      <c r="M145" s="68">
        <f t="shared" si="161"/>
        <v>8000</v>
      </c>
      <c r="N145" s="63">
        <v>8000</v>
      </c>
      <c r="O145" s="68">
        <f t="shared" si="162"/>
        <v>8000</v>
      </c>
      <c r="P145" s="63">
        <v>8000</v>
      </c>
      <c r="Q145" s="54"/>
      <c r="R145" s="54"/>
      <c r="S145" s="68">
        <f t="shared" si="163"/>
        <v>8000</v>
      </c>
      <c r="T145" s="63">
        <v>8000</v>
      </c>
      <c r="U145" s="58"/>
      <c r="V145" s="58"/>
      <c r="W145" s="58"/>
      <c r="X145" s="58"/>
      <c r="Y145" s="58"/>
      <c r="Z145" s="58"/>
      <c r="AA145" s="63">
        <f t="shared" si="164"/>
        <v>0</v>
      </c>
      <c r="AB145" s="63">
        <f t="shared" si="164"/>
        <v>0</v>
      </c>
      <c r="AC145" s="63">
        <f t="shared" si="165"/>
        <v>8000</v>
      </c>
      <c r="AD145" s="63">
        <f t="shared" si="165"/>
        <v>8000</v>
      </c>
      <c r="AE145" s="63">
        <f t="shared" si="166"/>
        <v>8000</v>
      </c>
      <c r="AF145" s="63">
        <f t="shared" si="167"/>
        <v>8000</v>
      </c>
      <c r="AG145" s="58"/>
      <c r="AH145" s="58"/>
      <c r="AI145" s="69"/>
      <c r="AJ145" s="19">
        <f t="shared" si="109"/>
        <v>0</v>
      </c>
      <c r="AK145" s="22">
        <f t="shared" si="117"/>
        <v>0</v>
      </c>
      <c r="AL145" s="22"/>
      <c r="AM145" s="12">
        <f t="shared" si="168"/>
        <v>1</v>
      </c>
      <c r="AO145" s="12">
        <f t="shared" si="169"/>
        <v>0</v>
      </c>
      <c r="AP145" s="12">
        <f t="shared" si="126"/>
        <v>0</v>
      </c>
      <c r="AQ145" s="12">
        <f t="shared" si="170"/>
        <v>0</v>
      </c>
      <c r="AR145" s="12">
        <f t="shared" si="155"/>
        <v>0</v>
      </c>
      <c r="AS145" s="12">
        <f t="shared" si="171"/>
        <v>0</v>
      </c>
      <c r="AT145" s="12">
        <f t="shared" si="118"/>
        <v>0</v>
      </c>
      <c r="AU145" s="12">
        <f t="shared" si="172"/>
        <v>0</v>
      </c>
      <c r="AV145" s="12">
        <f t="shared" si="119"/>
        <v>0</v>
      </c>
    </row>
    <row r="146" spans="1:48" ht="33" hidden="1" x14ac:dyDescent="0.25">
      <c r="A146" s="60">
        <v>14</v>
      </c>
      <c r="B146" s="9" t="s">
        <v>380</v>
      </c>
      <c r="C146" s="61" t="s">
        <v>194</v>
      </c>
      <c r="D146" s="82"/>
      <c r="E146" s="61" t="s">
        <v>116</v>
      </c>
      <c r="F146" s="61"/>
      <c r="G146" s="62">
        <v>7400</v>
      </c>
      <c r="H146" s="74">
        <f t="shared" ref="H146:H153" si="173">G146</f>
        <v>7400</v>
      </c>
      <c r="I146" s="63"/>
      <c r="J146" s="63"/>
      <c r="K146" s="63"/>
      <c r="L146" s="63"/>
      <c r="M146" s="68">
        <f t="shared" si="161"/>
        <v>7000</v>
      </c>
      <c r="N146" s="63">
        <v>7000</v>
      </c>
      <c r="O146" s="68">
        <f t="shared" si="162"/>
        <v>7000</v>
      </c>
      <c r="P146" s="63">
        <v>7000</v>
      </c>
      <c r="Q146" s="54"/>
      <c r="R146" s="54"/>
      <c r="S146" s="68">
        <f t="shared" si="163"/>
        <v>7000</v>
      </c>
      <c r="T146" s="63">
        <v>7000</v>
      </c>
      <c r="U146" s="53"/>
      <c r="V146" s="53"/>
      <c r="W146" s="53"/>
      <c r="X146" s="53"/>
      <c r="Y146" s="53"/>
      <c r="Z146" s="53"/>
      <c r="AA146" s="63">
        <f t="shared" si="164"/>
        <v>0</v>
      </c>
      <c r="AB146" s="63">
        <f t="shared" si="164"/>
        <v>0</v>
      </c>
      <c r="AC146" s="63">
        <f t="shared" si="165"/>
        <v>7000</v>
      </c>
      <c r="AD146" s="63">
        <f t="shared" si="165"/>
        <v>7000</v>
      </c>
      <c r="AE146" s="63">
        <f t="shared" si="166"/>
        <v>7000</v>
      </c>
      <c r="AF146" s="63">
        <f t="shared" si="167"/>
        <v>7000</v>
      </c>
      <c r="AG146" s="53"/>
      <c r="AH146" s="53"/>
      <c r="AI146" s="69"/>
      <c r="AJ146" s="19">
        <f t="shared" si="109"/>
        <v>0</v>
      </c>
      <c r="AK146" s="22">
        <f t="shared" si="117"/>
        <v>0</v>
      </c>
      <c r="AL146" s="22"/>
      <c r="AM146" s="12">
        <f t="shared" si="168"/>
        <v>1</v>
      </c>
      <c r="AO146" s="12">
        <f t="shared" si="169"/>
        <v>0</v>
      </c>
      <c r="AP146" s="12">
        <f t="shared" si="126"/>
        <v>0</v>
      </c>
      <c r="AQ146" s="12">
        <f t="shared" si="170"/>
        <v>0</v>
      </c>
      <c r="AR146" s="12">
        <f t="shared" si="155"/>
        <v>0</v>
      </c>
      <c r="AS146" s="12">
        <f t="shared" si="171"/>
        <v>0</v>
      </c>
      <c r="AT146" s="12">
        <f t="shared" si="118"/>
        <v>0</v>
      </c>
      <c r="AU146" s="12">
        <f t="shared" si="172"/>
        <v>0</v>
      </c>
      <c r="AV146" s="12">
        <f t="shared" si="119"/>
        <v>0</v>
      </c>
    </row>
    <row r="147" spans="1:48" ht="33" hidden="1" x14ac:dyDescent="0.25">
      <c r="A147" s="60">
        <v>15</v>
      </c>
      <c r="B147" s="9" t="s">
        <v>381</v>
      </c>
      <c r="C147" s="61" t="s">
        <v>52</v>
      </c>
      <c r="D147" s="82"/>
      <c r="E147" s="61" t="s">
        <v>116</v>
      </c>
      <c r="F147" s="61"/>
      <c r="G147" s="62">
        <v>7400</v>
      </c>
      <c r="H147" s="74">
        <f t="shared" si="173"/>
        <v>7400</v>
      </c>
      <c r="I147" s="63"/>
      <c r="J147" s="63"/>
      <c r="K147" s="63"/>
      <c r="L147" s="63"/>
      <c r="M147" s="68">
        <f t="shared" si="161"/>
        <v>7000</v>
      </c>
      <c r="N147" s="63">
        <v>7000</v>
      </c>
      <c r="O147" s="68">
        <f t="shared" si="162"/>
        <v>7000</v>
      </c>
      <c r="P147" s="63">
        <v>7000</v>
      </c>
      <c r="Q147" s="54"/>
      <c r="R147" s="54"/>
      <c r="S147" s="68">
        <f t="shared" si="163"/>
        <v>7000</v>
      </c>
      <c r="T147" s="63">
        <v>7000</v>
      </c>
      <c r="U147" s="58"/>
      <c r="V147" s="58"/>
      <c r="W147" s="58"/>
      <c r="X147" s="58"/>
      <c r="Y147" s="58"/>
      <c r="Z147" s="58"/>
      <c r="AA147" s="63">
        <f t="shared" si="164"/>
        <v>0</v>
      </c>
      <c r="AB147" s="63">
        <f t="shared" si="164"/>
        <v>0</v>
      </c>
      <c r="AC147" s="63">
        <f t="shared" si="165"/>
        <v>7000</v>
      </c>
      <c r="AD147" s="63">
        <f t="shared" si="165"/>
        <v>7000</v>
      </c>
      <c r="AE147" s="63">
        <f t="shared" si="166"/>
        <v>7000</v>
      </c>
      <c r="AF147" s="63">
        <f t="shared" si="167"/>
        <v>7000</v>
      </c>
      <c r="AG147" s="58"/>
      <c r="AH147" s="58"/>
      <c r="AI147" s="69"/>
      <c r="AJ147" s="19">
        <f t="shared" ref="AJ147:AJ211" si="174">IF(P147-T147=0,0,1)</f>
        <v>0</v>
      </c>
      <c r="AK147" s="22">
        <f t="shared" si="117"/>
        <v>0</v>
      </c>
      <c r="AL147" s="22"/>
      <c r="AM147" s="12">
        <f t="shared" si="168"/>
        <v>1</v>
      </c>
      <c r="AO147" s="12">
        <f t="shared" si="169"/>
        <v>0</v>
      </c>
      <c r="AP147" s="12">
        <f t="shared" si="126"/>
        <v>0</v>
      </c>
      <c r="AQ147" s="12">
        <f t="shared" si="170"/>
        <v>0</v>
      </c>
      <c r="AR147" s="12">
        <f t="shared" si="155"/>
        <v>0</v>
      </c>
      <c r="AS147" s="12">
        <f t="shared" si="171"/>
        <v>0</v>
      </c>
      <c r="AT147" s="12">
        <f t="shared" si="118"/>
        <v>0</v>
      </c>
      <c r="AU147" s="12">
        <f t="shared" si="172"/>
        <v>0</v>
      </c>
      <c r="AV147" s="12">
        <f t="shared" si="119"/>
        <v>0</v>
      </c>
    </row>
    <row r="148" spans="1:48" ht="33" hidden="1" x14ac:dyDescent="0.25">
      <c r="A148" s="60">
        <v>16</v>
      </c>
      <c r="B148" s="9" t="s">
        <v>382</v>
      </c>
      <c r="C148" s="61" t="s">
        <v>52</v>
      </c>
      <c r="D148" s="82"/>
      <c r="E148" s="61" t="s">
        <v>116</v>
      </c>
      <c r="F148" s="61"/>
      <c r="G148" s="62">
        <v>3500</v>
      </c>
      <c r="H148" s="74">
        <f t="shared" si="173"/>
        <v>3500</v>
      </c>
      <c r="I148" s="63"/>
      <c r="J148" s="63"/>
      <c r="K148" s="63"/>
      <c r="L148" s="63"/>
      <c r="M148" s="68">
        <f t="shared" si="161"/>
        <v>3500</v>
      </c>
      <c r="N148" s="63">
        <v>3500</v>
      </c>
      <c r="O148" s="68">
        <f t="shared" si="162"/>
        <v>3500</v>
      </c>
      <c r="P148" s="63">
        <v>3500</v>
      </c>
      <c r="Q148" s="54"/>
      <c r="R148" s="54"/>
      <c r="S148" s="68">
        <f t="shared" si="163"/>
        <v>3500</v>
      </c>
      <c r="T148" s="63">
        <v>3500</v>
      </c>
      <c r="U148" s="63"/>
      <c r="V148" s="63"/>
      <c r="W148" s="63"/>
      <c r="X148" s="63"/>
      <c r="Y148" s="63"/>
      <c r="Z148" s="63"/>
      <c r="AA148" s="63">
        <f t="shared" si="164"/>
        <v>0</v>
      </c>
      <c r="AB148" s="63">
        <f t="shared" si="164"/>
        <v>0</v>
      </c>
      <c r="AC148" s="63">
        <f t="shared" si="165"/>
        <v>3500</v>
      </c>
      <c r="AD148" s="63">
        <f t="shared" si="165"/>
        <v>3500</v>
      </c>
      <c r="AE148" s="63">
        <f t="shared" si="166"/>
        <v>3500</v>
      </c>
      <c r="AF148" s="63">
        <f t="shared" si="167"/>
        <v>3500</v>
      </c>
      <c r="AG148" s="63"/>
      <c r="AH148" s="63"/>
      <c r="AI148" s="69"/>
      <c r="AJ148" s="19">
        <f t="shared" si="174"/>
        <v>0</v>
      </c>
      <c r="AK148" s="22">
        <f t="shared" si="117"/>
        <v>0</v>
      </c>
      <c r="AL148" s="22"/>
      <c r="AM148" s="12">
        <f t="shared" si="168"/>
        <v>1</v>
      </c>
      <c r="AO148" s="12">
        <f t="shared" si="169"/>
        <v>0</v>
      </c>
      <c r="AP148" s="12">
        <f t="shared" si="126"/>
        <v>0</v>
      </c>
      <c r="AQ148" s="12">
        <f t="shared" si="170"/>
        <v>0</v>
      </c>
      <c r="AR148" s="12">
        <f t="shared" si="155"/>
        <v>0</v>
      </c>
      <c r="AS148" s="12">
        <f t="shared" si="171"/>
        <v>0</v>
      </c>
      <c r="AT148" s="12">
        <f t="shared" si="118"/>
        <v>0</v>
      </c>
      <c r="AU148" s="12">
        <f t="shared" si="172"/>
        <v>0</v>
      </c>
      <c r="AV148" s="12">
        <f t="shared" si="119"/>
        <v>0</v>
      </c>
    </row>
    <row r="149" spans="1:48" ht="33" hidden="1" x14ac:dyDescent="0.25">
      <c r="A149" s="60">
        <v>17</v>
      </c>
      <c r="B149" s="9" t="s">
        <v>383</v>
      </c>
      <c r="C149" s="61" t="s">
        <v>58</v>
      </c>
      <c r="D149" s="82"/>
      <c r="E149" s="61" t="s">
        <v>116</v>
      </c>
      <c r="F149" s="61"/>
      <c r="G149" s="62">
        <v>2000</v>
      </c>
      <c r="H149" s="74">
        <f t="shared" si="173"/>
        <v>2000</v>
      </c>
      <c r="I149" s="63"/>
      <c r="J149" s="63"/>
      <c r="K149" s="63"/>
      <c r="L149" s="63"/>
      <c r="M149" s="68">
        <f t="shared" si="161"/>
        <v>1800</v>
      </c>
      <c r="N149" s="63">
        <v>1800</v>
      </c>
      <c r="O149" s="68">
        <f t="shared" si="162"/>
        <v>1800</v>
      </c>
      <c r="P149" s="63">
        <v>1800</v>
      </c>
      <c r="Q149" s="54"/>
      <c r="R149" s="54"/>
      <c r="S149" s="68">
        <f t="shared" si="163"/>
        <v>1800</v>
      </c>
      <c r="T149" s="63">
        <v>1800</v>
      </c>
      <c r="U149" s="63"/>
      <c r="V149" s="63"/>
      <c r="W149" s="63"/>
      <c r="X149" s="63"/>
      <c r="Y149" s="63"/>
      <c r="Z149" s="63"/>
      <c r="AA149" s="63">
        <f t="shared" si="164"/>
        <v>0</v>
      </c>
      <c r="AB149" s="63">
        <f t="shared" si="164"/>
        <v>0</v>
      </c>
      <c r="AC149" s="63">
        <f t="shared" si="165"/>
        <v>1800</v>
      </c>
      <c r="AD149" s="63">
        <f t="shared" si="165"/>
        <v>1800</v>
      </c>
      <c r="AE149" s="63">
        <f t="shared" si="166"/>
        <v>1800</v>
      </c>
      <c r="AF149" s="63">
        <f t="shared" si="167"/>
        <v>1800</v>
      </c>
      <c r="AG149" s="63"/>
      <c r="AH149" s="63"/>
      <c r="AI149" s="69"/>
      <c r="AJ149" s="19">
        <f t="shared" si="174"/>
        <v>0</v>
      </c>
      <c r="AK149" s="22">
        <f t="shared" si="117"/>
        <v>0</v>
      </c>
      <c r="AL149" s="22"/>
      <c r="AM149" s="12">
        <f t="shared" si="168"/>
        <v>1</v>
      </c>
      <c r="AO149" s="12">
        <f t="shared" si="169"/>
        <v>0</v>
      </c>
      <c r="AP149" s="12">
        <f t="shared" si="126"/>
        <v>0</v>
      </c>
      <c r="AQ149" s="12">
        <f t="shared" si="170"/>
        <v>0</v>
      </c>
      <c r="AR149" s="12">
        <f t="shared" si="155"/>
        <v>0</v>
      </c>
      <c r="AS149" s="12">
        <f t="shared" si="171"/>
        <v>0</v>
      </c>
      <c r="AT149" s="12">
        <f t="shared" si="118"/>
        <v>0</v>
      </c>
      <c r="AU149" s="12">
        <f t="shared" si="172"/>
        <v>0</v>
      </c>
      <c r="AV149" s="12">
        <f t="shared" si="119"/>
        <v>0</v>
      </c>
    </row>
    <row r="150" spans="1:48" ht="49.5" hidden="1" x14ac:dyDescent="0.25">
      <c r="A150" s="60">
        <v>18</v>
      </c>
      <c r="B150" s="9" t="s">
        <v>384</v>
      </c>
      <c r="C150" s="61" t="s">
        <v>336</v>
      </c>
      <c r="D150" s="82"/>
      <c r="E150" s="61" t="s">
        <v>116</v>
      </c>
      <c r="F150" s="61"/>
      <c r="G150" s="62">
        <v>81517</v>
      </c>
      <c r="H150" s="74">
        <f t="shared" si="173"/>
        <v>81517</v>
      </c>
      <c r="I150" s="63"/>
      <c r="J150" s="63"/>
      <c r="K150" s="63"/>
      <c r="L150" s="63"/>
      <c r="M150" s="68">
        <f t="shared" si="161"/>
        <v>80000</v>
      </c>
      <c r="N150" s="63">
        <v>80000</v>
      </c>
      <c r="O150" s="68">
        <f t="shared" si="162"/>
        <v>78550</v>
      </c>
      <c r="P150" s="63">
        <f>79000-450</f>
        <v>78550</v>
      </c>
      <c r="Q150" s="54"/>
      <c r="R150" s="54"/>
      <c r="S150" s="68">
        <f t="shared" si="163"/>
        <v>78550</v>
      </c>
      <c r="T150" s="63">
        <f>79000-450</f>
        <v>78550</v>
      </c>
      <c r="U150" s="63"/>
      <c r="V150" s="63"/>
      <c r="W150" s="63"/>
      <c r="X150" s="63"/>
      <c r="Y150" s="63"/>
      <c r="Z150" s="63"/>
      <c r="AA150" s="63">
        <f t="shared" si="164"/>
        <v>0</v>
      </c>
      <c r="AB150" s="63">
        <f t="shared" si="164"/>
        <v>0</v>
      </c>
      <c r="AC150" s="63">
        <f t="shared" si="165"/>
        <v>78550</v>
      </c>
      <c r="AD150" s="63">
        <f t="shared" si="165"/>
        <v>78550</v>
      </c>
      <c r="AE150" s="63">
        <f t="shared" si="166"/>
        <v>78550</v>
      </c>
      <c r="AF150" s="63">
        <f t="shared" si="167"/>
        <v>78550</v>
      </c>
      <c r="AG150" s="63"/>
      <c r="AH150" s="63"/>
      <c r="AI150" s="69"/>
      <c r="AJ150" s="19">
        <f t="shared" si="174"/>
        <v>0</v>
      </c>
      <c r="AK150" s="22">
        <f t="shared" si="117"/>
        <v>0</v>
      </c>
      <c r="AL150" s="22"/>
      <c r="AM150" s="12">
        <f t="shared" si="168"/>
        <v>1</v>
      </c>
      <c r="AO150" s="12">
        <f t="shared" si="169"/>
        <v>0</v>
      </c>
      <c r="AP150" s="12">
        <f t="shared" si="126"/>
        <v>0</v>
      </c>
      <c r="AQ150" s="12">
        <f t="shared" si="170"/>
        <v>0</v>
      </c>
      <c r="AR150" s="12">
        <f t="shared" si="155"/>
        <v>0</v>
      </c>
      <c r="AS150" s="12">
        <f t="shared" si="171"/>
        <v>0</v>
      </c>
      <c r="AT150" s="12">
        <f t="shared" si="118"/>
        <v>0</v>
      </c>
      <c r="AU150" s="12">
        <f t="shared" si="172"/>
        <v>0</v>
      </c>
      <c r="AV150" s="12">
        <f t="shared" si="119"/>
        <v>0</v>
      </c>
    </row>
    <row r="151" spans="1:48" ht="82.5" hidden="1" x14ac:dyDescent="0.25">
      <c r="A151" s="60">
        <v>19</v>
      </c>
      <c r="B151" s="9" t="s">
        <v>385</v>
      </c>
      <c r="C151" s="61" t="s">
        <v>336</v>
      </c>
      <c r="D151" s="61" t="s">
        <v>386</v>
      </c>
      <c r="E151" s="61" t="s">
        <v>116</v>
      </c>
      <c r="F151" s="61"/>
      <c r="G151" s="62">
        <v>18000</v>
      </c>
      <c r="H151" s="74">
        <f t="shared" si="173"/>
        <v>18000</v>
      </c>
      <c r="I151" s="63"/>
      <c r="J151" s="63"/>
      <c r="K151" s="63"/>
      <c r="L151" s="63"/>
      <c r="M151" s="68">
        <f t="shared" si="161"/>
        <v>18000</v>
      </c>
      <c r="N151" s="63">
        <v>18000</v>
      </c>
      <c r="O151" s="68">
        <f t="shared" si="162"/>
        <v>18000</v>
      </c>
      <c r="P151" s="63">
        <v>18000</v>
      </c>
      <c r="Q151" s="54"/>
      <c r="R151" s="54"/>
      <c r="S151" s="68">
        <f t="shared" si="163"/>
        <v>18000</v>
      </c>
      <c r="T151" s="63">
        <v>18000</v>
      </c>
      <c r="U151" s="63"/>
      <c r="V151" s="63"/>
      <c r="W151" s="63"/>
      <c r="X151" s="63"/>
      <c r="Y151" s="63"/>
      <c r="Z151" s="63"/>
      <c r="AA151" s="63">
        <f t="shared" si="164"/>
        <v>0</v>
      </c>
      <c r="AB151" s="63">
        <f t="shared" si="164"/>
        <v>0</v>
      </c>
      <c r="AC151" s="63">
        <f t="shared" si="165"/>
        <v>18000</v>
      </c>
      <c r="AD151" s="63">
        <f t="shared" si="165"/>
        <v>18000</v>
      </c>
      <c r="AE151" s="63">
        <f t="shared" si="166"/>
        <v>18000</v>
      </c>
      <c r="AF151" s="63">
        <f t="shared" si="167"/>
        <v>18000</v>
      </c>
      <c r="AG151" s="63"/>
      <c r="AH151" s="63"/>
      <c r="AI151" s="69"/>
      <c r="AJ151" s="19">
        <f t="shared" si="174"/>
        <v>0</v>
      </c>
      <c r="AK151" s="22">
        <f t="shared" si="117"/>
        <v>0</v>
      </c>
      <c r="AL151" s="22"/>
      <c r="AM151" s="12">
        <f t="shared" si="168"/>
        <v>1</v>
      </c>
      <c r="AO151" s="12">
        <f t="shared" si="169"/>
        <v>0</v>
      </c>
      <c r="AP151" s="12">
        <f t="shared" si="126"/>
        <v>0</v>
      </c>
      <c r="AQ151" s="12">
        <f t="shared" si="170"/>
        <v>0</v>
      </c>
      <c r="AR151" s="12">
        <f t="shared" si="155"/>
        <v>0</v>
      </c>
      <c r="AS151" s="12">
        <f t="shared" si="171"/>
        <v>0</v>
      </c>
      <c r="AT151" s="12">
        <f t="shared" si="118"/>
        <v>0</v>
      </c>
      <c r="AU151" s="12">
        <f t="shared" si="172"/>
        <v>0</v>
      </c>
      <c r="AV151" s="12">
        <f t="shared" si="119"/>
        <v>0</v>
      </c>
    </row>
    <row r="152" spans="1:48" ht="40.5" hidden="1" customHeight="1" x14ac:dyDescent="0.25">
      <c r="A152" s="60">
        <v>20</v>
      </c>
      <c r="B152" s="9" t="s">
        <v>387</v>
      </c>
      <c r="C152" s="61" t="s">
        <v>336</v>
      </c>
      <c r="D152" s="96"/>
      <c r="E152" s="61" t="s">
        <v>290</v>
      </c>
      <c r="F152" s="61"/>
      <c r="G152" s="62">
        <v>30000</v>
      </c>
      <c r="H152" s="74">
        <f t="shared" si="173"/>
        <v>30000</v>
      </c>
      <c r="I152" s="63"/>
      <c r="J152" s="63"/>
      <c r="K152" s="63"/>
      <c r="L152" s="63"/>
      <c r="M152" s="68">
        <f t="shared" si="161"/>
        <v>30000</v>
      </c>
      <c r="N152" s="63">
        <v>30000</v>
      </c>
      <c r="O152" s="68">
        <f t="shared" si="162"/>
        <v>30000</v>
      </c>
      <c r="P152" s="63">
        <v>30000</v>
      </c>
      <c r="Q152" s="54"/>
      <c r="R152" s="54"/>
      <c r="S152" s="68">
        <f t="shared" si="163"/>
        <v>30000</v>
      </c>
      <c r="T152" s="63">
        <v>30000</v>
      </c>
      <c r="U152" s="58"/>
      <c r="V152" s="58"/>
      <c r="W152" s="58"/>
      <c r="X152" s="58"/>
      <c r="Y152" s="58"/>
      <c r="Z152" s="58"/>
      <c r="AA152" s="63">
        <f t="shared" si="164"/>
        <v>0</v>
      </c>
      <c r="AB152" s="63">
        <f t="shared" si="164"/>
        <v>0</v>
      </c>
      <c r="AC152" s="63">
        <f t="shared" si="165"/>
        <v>30000</v>
      </c>
      <c r="AD152" s="63">
        <f t="shared" si="165"/>
        <v>30000</v>
      </c>
      <c r="AE152" s="63">
        <f t="shared" si="166"/>
        <v>30000</v>
      </c>
      <c r="AF152" s="63">
        <f t="shared" si="167"/>
        <v>30000</v>
      </c>
      <c r="AG152" s="58"/>
      <c r="AH152" s="58"/>
      <c r="AI152" s="69"/>
      <c r="AJ152" s="19">
        <f t="shared" si="174"/>
        <v>0</v>
      </c>
      <c r="AK152" s="22">
        <f t="shared" si="117"/>
        <v>0</v>
      </c>
      <c r="AL152" s="22"/>
      <c r="AM152" s="12">
        <f t="shared" si="168"/>
        <v>1</v>
      </c>
      <c r="AO152" s="12">
        <f t="shared" si="169"/>
        <v>0</v>
      </c>
      <c r="AP152" s="12">
        <f t="shared" si="126"/>
        <v>0</v>
      </c>
      <c r="AQ152" s="12">
        <f t="shared" si="170"/>
        <v>0</v>
      </c>
      <c r="AR152" s="12">
        <f t="shared" si="155"/>
        <v>0</v>
      </c>
      <c r="AS152" s="12">
        <f t="shared" si="171"/>
        <v>0</v>
      </c>
      <c r="AT152" s="12">
        <f t="shared" si="118"/>
        <v>0</v>
      </c>
      <c r="AU152" s="12">
        <f t="shared" si="172"/>
        <v>0</v>
      </c>
      <c r="AV152" s="12">
        <f t="shared" si="119"/>
        <v>0</v>
      </c>
    </row>
    <row r="153" spans="1:48" ht="40.5" hidden="1" customHeight="1" x14ac:dyDescent="0.25">
      <c r="A153" s="60">
        <v>21</v>
      </c>
      <c r="B153" s="9" t="s">
        <v>388</v>
      </c>
      <c r="C153" s="61" t="s">
        <v>176</v>
      </c>
      <c r="D153" s="96"/>
      <c r="E153" s="61" t="s">
        <v>290</v>
      </c>
      <c r="F153" s="61"/>
      <c r="G153" s="62">
        <v>20000</v>
      </c>
      <c r="H153" s="74">
        <f t="shared" si="173"/>
        <v>20000</v>
      </c>
      <c r="I153" s="63"/>
      <c r="J153" s="63"/>
      <c r="K153" s="63"/>
      <c r="L153" s="63"/>
      <c r="M153" s="68">
        <f t="shared" si="161"/>
        <v>19000</v>
      </c>
      <c r="N153" s="63">
        <v>19000</v>
      </c>
      <c r="O153" s="68">
        <f t="shared" si="162"/>
        <v>19000</v>
      </c>
      <c r="P153" s="63">
        <v>19000</v>
      </c>
      <c r="Q153" s="54"/>
      <c r="R153" s="54"/>
      <c r="S153" s="68">
        <f t="shared" si="163"/>
        <v>19000</v>
      </c>
      <c r="T153" s="63">
        <v>19000</v>
      </c>
      <c r="U153" s="58"/>
      <c r="V153" s="58"/>
      <c r="W153" s="58"/>
      <c r="X153" s="58"/>
      <c r="Y153" s="58"/>
      <c r="Z153" s="58"/>
      <c r="AA153" s="63">
        <f t="shared" si="164"/>
        <v>0</v>
      </c>
      <c r="AB153" s="63">
        <f t="shared" si="164"/>
        <v>0</v>
      </c>
      <c r="AC153" s="63">
        <f t="shared" si="165"/>
        <v>19000</v>
      </c>
      <c r="AD153" s="63">
        <f t="shared" si="165"/>
        <v>19000</v>
      </c>
      <c r="AE153" s="63">
        <f t="shared" si="166"/>
        <v>19000</v>
      </c>
      <c r="AF153" s="63">
        <f t="shared" si="167"/>
        <v>19000</v>
      </c>
      <c r="AG153" s="58"/>
      <c r="AH153" s="58"/>
      <c r="AI153" s="69"/>
      <c r="AJ153" s="19">
        <f t="shared" si="174"/>
        <v>0</v>
      </c>
      <c r="AK153" s="22">
        <f t="shared" si="117"/>
        <v>0</v>
      </c>
      <c r="AL153" s="22"/>
      <c r="AM153" s="12">
        <f t="shared" si="168"/>
        <v>1</v>
      </c>
      <c r="AO153" s="12">
        <f t="shared" si="169"/>
        <v>0</v>
      </c>
      <c r="AP153" s="12">
        <f t="shared" si="126"/>
        <v>0</v>
      </c>
      <c r="AQ153" s="12">
        <f t="shared" si="170"/>
        <v>0</v>
      </c>
      <c r="AR153" s="12">
        <f t="shared" si="155"/>
        <v>0</v>
      </c>
      <c r="AS153" s="12">
        <f t="shared" si="171"/>
        <v>0</v>
      </c>
      <c r="AT153" s="12">
        <f t="shared" si="118"/>
        <v>0</v>
      </c>
      <c r="AU153" s="12">
        <f t="shared" si="172"/>
        <v>0</v>
      </c>
      <c r="AV153" s="12">
        <f t="shared" si="119"/>
        <v>0</v>
      </c>
    </row>
    <row r="154" spans="1:48" ht="76.5" hidden="1" customHeight="1" x14ac:dyDescent="0.25">
      <c r="A154" s="60">
        <v>22</v>
      </c>
      <c r="B154" s="9" t="s">
        <v>389</v>
      </c>
      <c r="C154" s="61" t="s">
        <v>70</v>
      </c>
      <c r="D154" s="61"/>
      <c r="E154" s="61" t="s">
        <v>116</v>
      </c>
      <c r="F154" s="61" t="s">
        <v>390</v>
      </c>
      <c r="G154" s="74">
        <v>23650</v>
      </c>
      <c r="H154" s="80">
        <v>1450</v>
      </c>
      <c r="I154" s="63"/>
      <c r="J154" s="63"/>
      <c r="K154" s="63"/>
      <c r="L154" s="63"/>
      <c r="M154" s="68"/>
      <c r="N154" s="63"/>
      <c r="O154" s="68">
        <v>23650</v>
      </c>
      <c r="P154" s="63">
        <f>H154</f>
        <v>1450</v>
      </c>
      <c r="Q154" s="54"/>
      <c r="R154" s="54"/>
      <c r="S154" s="68">
        <v>23650</v>
      </c>
      <c r="T154" s="63">
        <v>1450</v>
      </c>
      <c r="U154" s="5"/>
      <c r="V154" s="5"/>
      <c r="W154" s="5"/>
      <c r="X154" s="5"/>
      <c r="Y154" s="5"/>
      <c r="Z154" s="5"/>
      <c r="AA154" s="63">
        <f t="shared" si="164"/>
        <v>0</v>
      </c>
      <c r="AB154" s="63">
        <f t="shared" si="164"/>
        <v>0</v>
      </c>
      <c r="AC154" s="63">
        <f t="shared" si="165"/>
        <v>23650</v>
      </c>
      <c r="AD154" s="63">
        <f t="shared" si="165"/>
        <v>1450</v>
      </c>
      <c r="AE154" s="63">
        <f t="shared" si="166"/>
        <v>1450</v>
      </c>
      <c r="AF154" s="63">
        <f t="shared" si="167"/>
        <v>1450</v>
      </c>
      <c r="AG154" s="5"/>
      <c r="AH154" s="5"/>
      <c r="AI154" s="25" t="s">
        <v>391</v>
      </c>
      <c r="AJ154" s="19">
        <f t="shared" si="174"/>
        <v>0</v>
      </c>
      <c r="AK154" s="22">
        <f t="shared" si="117"/>
        <v>0</v>
      </c>
      <c r="AL154" s="22"/>
      <c r="AM154" s="12">
        <f t="shared" si="168"/>
        <v>1</v>
      </c>
      <c r="AO154" s="12">
        <f t="shared" si="169"/>
        <v>0</v>
      </c>
      <c r="AP154" s="12">
        <f t="shared" si="126"/>
        <v>0</v>
      </c>
      <c r="AQ154" s="12">
        <f t="shared" si="170"/>
        <v>1</v>
      </c>
      <c r="AR154" s="12">
        <f t="shared" si="155"/>
        <v>1450</v>
      </c>
      <c r="AU154" s="12">
        <f t="shared" si="172"/>
        <v>0</v>
      </c>
      <c r="AV154" s="12">
        <f t="shared" si="119"/>
        <v>0</v>
      </c>
    </row>
    <row r="155" spans="1:48" s="49" customFormat="1" ht="40.5" customHeight="1" x14ac:dyDescent="0.25">
      <c r="A155" s="93" t="s">
        <v>47</v>
      </c>
      <c r="B155" s="44" t="s">
        <v>138</v>
      </c>
      <c r="C155" s="77"/>
      <c r="D155" s="77"/>
      <c r="E155" s="77"/>
      <c r="F155" s="77"/>
      <c r="G155" s="97">
        <f>SUM(G156:G157)</f>
        <v>99279</v>
      </c>
      <c r="H155" s="97">
        <f t="shared" ref="H155:T155" si="175">SUM(H156:H157)</f>
        <v>99279</v>
      </c>
      <c r="I155" s="97">
        <f t="shared" si="175"/>
        <v>0</v>
      </c>
      <c r="J155" s="97">
        <f t="shared" si="175"/>
        <v>0</v>
      </c>
      <c r="K155" s="97">
        <f t="shared" si="175"/>
        <v>0</v>
      </c>
      <c r="L155" s="97">
        <f t="shared" si="175"/>
        <v>0</v>
      </c>
      <c r="M155" s="97">
        <f t="shared" si="175"/>
        <v>5080</v>
      </c>
      <c r="N155" s="97">
        <f t="shared" si="175"/>
        <v>5080</v>
      </c>
      <c r="O155" s="97">
        <f t="shared" si="175"/>
        <v>103000</v>
      </c>
      <c r="P155" s="97">
        <f t="shared" si="175"/>
        <v>103000</v>
      </c>
      <c r="Q155" s="97">
        <f t="shared" si="175"/>
        <v>0</v>
      </c>
      <c r="R155" s="97">
        <f t="shared" si="175"/>
        <v>25000</v>
      </c>
      <c r="S155" s="97">
        <f t="shared" si="175"/>
        <v>78000</v>
      </c>
      <c r="T155" s="97">
        <f t="shared" si="175"/>
        <v>78000</v>
      </c>
      <c r="U155" s="98"/>
      <c r="V155" s="98"/>
      <c r="W155" s="99">
        <f t="shared" ref="W155:AF155" si="176">W156</f>
        <v>131</v>
      </c>
      <c r="X155" s="99">
        <f t="shared" si="176"/>
        <v>131</v>
      </c>
      <c r="Y155" s="99">
        <f t="shared" si="176"/>
        <v>135</v>
      </c>
      <c r="Z155" s="99">
        <f t="shared" si="176"/>
        <v>135</v>
      </c>
      <c r="AA155" s="99">
        <f t="shared" si="176"/>
        <v>266</v>
      </c>
      <c r="AB155" s="99">
        <f t="shared" si="176"/>
        <v>266</v>
      </c>
      <c r="AC155" s="99">
        <f t="shared" si="176"/>
        <v>2734</v>
      </c>
      <c r="AD155" s="99">
        <f t="shared" si="176"/>
        <v>2734</v>
      </c>
      <c r="AE155" s="99">
        <f t="shared" si="176"/>
        <v>0</v>
      </c>
      <c r="AF155" s="99">
        <f t="shared" si="176"/>
        <v>0</v>
      </c>
      <c r="AG155" s="99">
        <f>SUM(AG156:AG157)</f>
        <v>-10648.899999999994</v>
      </c>
      <c r="AH155" s="99">
        <f>SUM(AH156:AH157)</f>
        <v>-10648.899999999994</v>
      </c>
      <c r="AI155" s="79"/>
      <c r="AJ155" s="19">
        <f t="shared" si="174"/>
        <v>1</v>
      </c>
      <c r="AK155" s="22"/>
      <c r="AL155" s="22"/>
      <c r="AM155" s="12"/>
      <c r="AN155" s="12"/>
      <c r="AO155" s="12"/>
      <c r="AP155" s="12">
        <f t="shared" si="126"/>
        <v>0</v>
      </c>
      <c r="AQ155" s="12"/>
      <c r="AR155" s="12">
        <f t="shared" si="155"/>
        <v>0</v>
      </c>
      <c r="AS155" s="12"/>
      <c r="AT155" s="12">
        <f t="shared" si="118"/>
        <v>0</v>
      </c>
      <c r="AU155" s="12"/>
      <c r="AV155" s="12">
        <f t="shared" si="119"/>
        <v>0</v>
      </c>
    </row>
    <row r="156" spans="1:48" ht="99" hidden="1" x14ac:dyDescent="0.25">
      <c r="A156" s="60">
        <v>23</v>
      </c>
      <c r="B156" s="9" t="s">
        <v>392</v>
      </c>
      <c r="C156" s="61" t="s">
        <v>176</v>
      </c>
      <c r="D156" s="61" t="s">
        <v>393</v>
      </c>
      <c r="E156" s="61" t="s">
        <v>394</v>
      </c>
      <c r="F156" s="61" t="s">
        <v>395</v>
      </c>
      <c r="G156" s="75"/>
      <c r="H156" s="74"/>
      <c r="I156" s="63"/>
      <c r="J156" s="63"/>
      <c r="K156" s="63"/>
      <c r="L156" s="63"/>
      <c r="M156" s="68">
        <f>N156</f>
        <v>3000</v>
      </c>
      <c r="N156" s="63">
        <v>3000</v>
      </c>
      <c r="O156" s="68">
        <f>P156</f>
        <v>3000</v>
      </c>
      <c r="P156" s="63">
        <v>3000</v>
      </c>
      <c r="Q156" s="54"/>
      <c r="R156" s="54"/>
      <c r="S156" s="68">
        <f>T156</f>
        <v>3000</v>
      </c>
      <c r="T156" s="63">
        <v>3000</v>
      </c>
      <c r="U156" s="5"/>
      <c r="V156" s="5"/>
      <c r="W156" s="68">
        <f>X156</f>
        <v>131</v>
      </c>
      <c r="X156" s="68">
        <v>131</v>
      </c>
      <c r="Y156" s="68">
        <f>Z156</f>
        <v>135</v>
      </c>
      <c r="Z156" s="68">
        <v>135</v>
      </c>
      <c r="AA156" s="63">
        <f t="shared" ref="AA156:AB157" si="177">U156+W156+Y156</f>
        <v>266</v>
      </c>
      <c r="AB156" s="63">
        <f t="shared" si="177"/>
        <v>266</v>
      </c>
      <c r="AC156" s="63">
        <f>O156-AA156</f>
        <v>2734</v>
      </c>
      <c r="AD156" s="63">
        <f>P156-AB156</f>
        <v>2734</v>
      </c>
      <c r="AE156" s="63">
        <f t="shared" ref="AE156:AE157" si="178">AF156</f>
        <v>0</v>
      </c>
      <c r="AF156" s="63">
        <f t="shared" ref="AF156:AF157" si="179">IF(AB156=0,AD156,0)</f>
        <v>0</v>
      </c>
      <c r="AG156" s="54"/>
      <c r="AH156" s="54"/>
      <c r="AI156" s="25" t="s">
        <v>396</v>
      </c>
      <c r="AJ156" s="19">
        <f t="shared" si="174"/>
        <v>0</v>
      </c>
      <c r="AK156" s="22">
        <f t="shared" ref="AK156:AK186" si="180">AJ156</f>
        <v>0</v>
      </c>
      <c r="AL156" s="22"/>
      <c r="AM156" s="12">
        <f>IF(AJ156=0,1,0)</f>
        <v>1</v>
      </c>
      <c r="AO156" s="12">
        <f>IF(P156=0,1,0)</f>
        <v>0</v>
      </c>
      <c r="AP156" s="12">
        <f t="shared" si="126"/>
        <v>0</v>
      </c>
      <c r="AQ156" s="12">
        <f>IF(N156=0,1,0)</f>
        <v>0</v>
      </c>
      <c r="AR156" s="12">
        <f t="shared" si="155"/>
        <v>0</v>
      </c>
      <c r="AS156" s="12">
        <f>IF(Q156=0,0,1)</f>
        <v>0</v>
      </c>
      <c r="AT156" s="12">
        <f t="shared" si="118"/>
        <v>0</v>
      </c>
      <c r="AU156" s="12">
        <f>IF(R156=0,0,1)</f>
        <v>0</v>
      </c>
      <c r="AV156" s="12">
        <f t="shared" si="119"/>
        <v>0</v>
      </c>
    </row>
    <row r="157" spans="1:48" ht="54.75" customHeight="1" x14ac:dyDescent="0.25">
      <c r="A157" s="60">
        <v>24</v>
      </c>
      <c r="B157" s="91" t="s">
        <v>397</v>
      </c>
      <c r="C157" s="61" t="s">
        <v>336</v>
      </c>
      <c r="D157" s="61" t="s">
        <v>398</v>
      </c>
      <c r="E157" s="61" t="s">
        <v>151</v>
      </c>
      <c r="F157" s="61"/>
      <c r="G157" s="2">
        <f>H157</f>
        <v>99279</v>
      </c>
      <c r="H157" s="2">
        <v>99279</v>
      </c>
      <c r="I157" s="63"/>
      <c r="J157" s="63"/>
      <c r="K157" s="63"/>
      <c r="L157" s="63"/>
      <c r="M157" s="68">
        <f>N157</f>
        <v>2080</v>
      </c>
      <c r="N157" s="63">
        <v>2080</v>
      </c>
      <c r="O157" s="68">
        <f>P157</f>
        <v>100000</v>
      </c>
      <c r="P157" s="63">
        <v>100000</v>
      </c>
      <c r="Q157" s="54"/>
      <c r="R157" s="8">
        <v>25000</v>
      </c>
      <c r="S157" s="151">
        <f>T157</f>
        <v>75000</v>
      </c>
      <c r="T157" s="149">
        <f>P157-R157</f>
        <v>75000</v>
      </c>
      <c r="U157" s="5"/>
      <c r="V157" s="5"/>
      <c r="W157" s="5"/>
      <c r="X157" s="5"/>
      <c r="Y157" s="5"/>
      <c r="Z157" s="5"/>
      <c r="AA157" s="63">
        <f t="shared" si="177"/>
        <v>0</v>
      </c>
      <c r="AB157" s="63">
        <f t="shared" si="177"/>
        <v>0</v>
      </c>
      <c r="AC157" s="63">
        <f>O157-AA157</f>
        <v>100000</v>
      </c>
      <c r="AD157" s="63">
        <f>P157-AB157</f>
        <v>100000</v>
      </c>
      <c r="AE157" s="63">
        <f t="shared" si="178"/>
        <v>100000</v>
      </c>
      <c r="AF157" s="63">
        <f t="shared" si="179"/>
        <v>100000</v>
      </c>
      <c r="AG157" s="54">
        <f t="shared" ref="AG157:AH157" si="181">G157*0.9-O157</f>
        <v>-10648.899999999994</v>
      </c>
      <c r="AH157" s="54">
        <f t="shared" si="181"/>
        <v>-10648.899999999994</v>
      </c>
      <c r="AI157" s="25" t="s">
        <v>913</v>
      </c>
      <c r="AJ157" s="19">
        <f t="shared" si="174"/>
        <v>1</v>
      </c>
      <c r="AK157" s="22">
        <f t="shared" si="180"/>
        <v>1</v>
      </c>
      <c r="AL157" s="22"/>
      <c r="AM157" s="12">
        <f>IF(AJ157=0,1,0)</f>
        <v>0</v>
      </c>
      <c r="AO157" s="12">
        <f>IF(P157=0,1,0)</f>
        <v>0</v>
      </c>
      <c r="AP157" s="12">
        <f t="shared" si="126"/>
        <v>0</v>
      </c>
      <c r="AQ157" s="12">
        <f>IF(N157=0,1,0)</f>
        <v>0</v>
      </c>
      <c r="AR157" s="12">
        <f t="shared" si="155"/>
        <v>0</v>
      </c>
      <c r="AS157" s="12">
        <f>IF(Q157=0,0,1)</f>
        <v>0</v>
      </c>
      <c r="AT157" s="12">
        <f t="shared" si="118"/>
        <v>0</v>
      </c>
      <c r="AU157" s="12">
        <f>IF(R157=0,0,1)</f>
        <v>1</v>
      </c>
      <c r="AV157" s="12">
        <f t="shared" si="119"/>
        <v>25000</v>
      </c>
    </row>
    <row r="158" spans="1:48" s="34" customFormat="1" ht="39" customHeight="1" x14ac:dyDescent="0.25">
      <c r="A158" s="28" t="s">
        <v>399</v>
      </c>
      <c r="B158" s="100" t="s">
        <v>400</v>
      </c>
      <c r="C158" s="30"/>
      <c r="D158" s="30"/>
      <c r="E158" s="30"/>
      <c r="F158" s="30"/>
      <c r="G158" s="31">
        <f>G167</f>
        <v>64970</v>
      </c>
      <c r="H158" s="31">
        <f t="shared" ref="H158:L158" si="182">H167</f>
        <v>64970</v>
      </c>
      <c r="I158" s="31">
        <f t="shared" si="182"/>
        <v>0</v>
      </c>
      <c r="J158" s="31">
        <f t="shared" si="182"/>
        <v>0</v>
      </c>
      <c r="K158" s="31">
        <f t="shared" si="182"/>
        <v>0</v>
      </c>
      <c r="L158" s="31">
        <f t="shared" si="182"/>
        <v>0</v>
      </c>
      <c r="M158" s="31">
        <f t="shared" ref="M158:AH158" si="183">M159+M167</f>
        <v>42950</v>
      </c>
      <c r="N158" s="31">
        <f t="shared" si="183"/>
        <v>42950</v>
      </c>
      <c r="O158" s="31">
        <f t="shared" si="183"/>
        <v>44460</v>
      </c>
      <c r="P158" s="31">
        <f t="shared" si="183"/>
        <v>44460</v>
      </c>
      <c r="Q158" s="31">
        <f t="shared" si="183"/>
        <v>27500</v>
      </c>
      <c r="R158" s="31">
        <f t="shared" si="183"/>
        <v>0</v>
      </c>
      <c r="S158" s="31">
        <f t="shared" ref="S158:X158" si="184">S167</f>
        <v>43500</v>
      </c>
      <c r="T158" s="31">
        <f t="shared" si="184"/>
        <v>43500</v>
      </c>
      <c r="U158" s="31">
        <f t="shared" si="184"/>
        <v>0</v>
      </c>
      <c r="V158" s="31">
        <f t="shared" si="184"/>
        <v>0</v>
      </c>
      <c r="W158" s="31">
        <f t="shared" si="184"/>
        <v>0</v>
      </c>
      <c r="X158" s="31">
        <f t="shared" si="184"/>
        <v>0</v>
      </c>
      <c r="Y158" s="31">
        <f t="shared" si="183"/>
        <v>95106</v>
      </c>
      <c r="Z158" s="31">
        <f t="shared" si="183"/>
        <v>95106</v>
      </c>
      <c r="AA158" s="31">
        <f t="shared" si="183"/>
        <v>241127</v>
      </c>
      <c r="AB158" s="31">
        <f t="shared" si="183"/>
        <v>241127</v>
      </c>
      <c r="AC158" s="31">
        <f t="shared" si="183"/>
        <v>94851</v>
      </c>
      <c r="AD158" s="31">
        <f t="shared" si="183"/>
        <v>51651</v>
      </c>
      <c r="AE158" s="31">
        <f t="shared" si="183"/>
        <v>34930</v>
      </c>
      <c r="AF158" s="31">
        <f t="shared" si="183"/>
        <v>34930</v>
      </c>
      <c r="AG158" s="31">
        <f t="shared" si="183"/>
        <v>17020</v>
      </c>
      <c r="AH158" s="31">
        <f t="shared" si="183"/>
        <v>17020</v>
      </c>
      <c r="AI158" s="32"/>
      <c r="AJ158" s="19">
        <f t="shared" si="174"/>
        <v>1</v>
      </c>
      <c r="AK158" s="22"/>
      <c r="AL158" s="22"/>
      <c r="AM158" s="12"/>
      <c r="AN158" s="12"/>
      <c r="AO158" s="12"/>
      <c r="AP158" s="12">
        <f t="shared" si="126"/>
        <v>0</v>
      </c>
      <c r="AQ158" s="12"/>
      <c r="AR158" s="12">
        <f t="shared" si="155"/>
        <v>0</v>
      </c>
      <c r="AS158" s="12"/>
      <c r="AT158" s="12">
        <f t="shared" ref="AT158:AT222" si="185">IF(AS158=1,Q158,0)</f>
        <v>0</v>
      </c>
      <c r="AU158" s="12"/>
      <c r="AV158" s="12">
        <f t="shared" ref="AV158:AV222" si="186">IF(AU158=1,R158,0)</f>
        <v>0</v>
      </c>
    </row>
    <row r="159" spans="1:48" s="42" customFormat="1" ht="56.25" hidden="1" customHeight="1" x14ac:dyDescent="0.25">
      <c r="A159" s="35" t="s">
        <v>45</v>
      </c>
      <c r="B159" s="36" t="s">
        <v>46</v>
      </c>
      <c r="C159" s="37"/>
      <c r="D159" s="37"/>
      <c r="E159" s="37"/>
      <c r="F159" s="37"/>
      <c r="G159" s="38">
        <f>G160</f>
        <v>140596</v>
      </c>
      <c r="H159" s="38">
        <f t="shared" ref="H159:AH159" si="187">H160</f>
        <v>140596</v>
      </c>
      <c r="I159" s="38">
        <f t="shared" si="187"/>
        <v>68340</v>
      </c>
      <c r="J159" s="38">
        <f t="shared" si="187"/>
        <v>68340</v>
      </c>
      <c r="K159" s="38">
        <f t="shared" si="187"/>
        <v>68340</v>
      </c>
      <c r="L159" s="38">
        <f t="shared" si="187"/>
        <v>68340</v>
      </c>
      <c r="M159" s="38">
        <f t="shared" si="187"/>
        <v>39950</v>
      </c>
      <c r="N159" s="38">
        <f t="shared" si="187"/>
        <v>39950</v>
      </c>
      <c r="O159" s="38">
        <f t="shared" si="187"/>
        <v>28460</v>
      </c>
      <c r="P159" s="38">
        <f t="shared" si="187"/>
        <v>28460</v>
      </c>
      <c r="Q159" s="38">
        <f t="shared" si="187"/>
        <v>0</v>
      </c>
      <c r="R159" s="38">
        <f t="shared" si="187"/>
        <v>0</v>
      </c>
      <c r="S159" s="38">
        <f t="shared" si="187"/>
        <v>28460</v>
      </c>
      <c r="T159" s="38">
        <f t="shared" si="187"/>
        <v>28460</v>
      </c>
      <c r="U159" s="38">
        <f t="shared" si="187"/>
        <v>24109</v>
      </c>
      <c r="V159" s="38">
        <f t="shared" si="187"/>
        <v>24109</v>
      </c>
      <c r="W159" s="101">
        <f t="shared" si="187"/>
        <v>0</v>
      </c>
      <c r="X159" s="101">
        <f t="shared" si="187"/>
        <v>0</v>
      </c>
      <c r="Y159" s="101">
        <f t="shared" si="187"/>
        <v>0</v>
      </c>
      <c r="Z159" s="101">
        <f t="shared" si="187"/>
        <v>0</v>
      </c>
      <c r="AA159" s="101">
        <f t="shared" si="187"/>
        <v>24109</v>
      </c>
      <c r="AB159" s="101">
        <f t="shared" si="187"/>
        <v>24109</v>
      </c>
      <c r="AC159" s="101">
        <f t="shared" si="187"/>
        <v>4351</v>
      </c>
      <c r="AD159" s="101">
        <f t="shared" si="187"/>
        <v>4351</v>
      </c>
      <c r="AE159" s="101">
        <f t="shared" si="187"/>
        <v>0</v>
      </c>
      <c r="AF159" s="101">
        <f t="shared" si="187"/>
        <v>0</v>
      </c>
      <c r="AG159" s="101">
        <f t="shared" si="187"/>
        <v>0</v>
      </c>
      <c r="AH159" s="101">
        <f t="shared" si="187"/>
        <v>0</v>
      </c>
      <c r="AI159" s="40"/>
      <c r="AJ159" s="19">
        <f t="shared" si="174"/>
        <v>0</v>
      </c>
      <c r="AK159" s="22"/>
      <c r="AL159" s="22"/>
      <c r="AM159" s="12"/>
      <c r="AN159" s="12"/>
      <c r="AO159" s="12"/>
      <c r="AP159" s="12">
        <f t="shared" si="126"/>
        <v>0</v>
      </c>
      <c r="AQ159" s="12"/>
      <c r="AR159" s="12">
        <f t="shared" si="155"/>
        <v>0</v>
      </c>
      <c r="AS159" s="12"/>
      <c r="AT159" s="12">
        <f t="shared" si="185"/>
        <v>0</v>
      </c>
      <c r="AU159" s="12"/>
      <c r="AV159" s="12">
        <f t="shared" si="186"/>
        <v>0</v>
      </c>
    </row>
    <row r="160" spans="1:48" s="49" customFormat="1" ht="39.75" hidden="1" customHeight="1" x14ac:dyDescent="0.25">
      <c r="A160" s="43" t="s">
        <v>47</v>
      </c>
      <c r="B160" s="44" t="s">
        <v>48</v>
      </c>
      <c r="C160" s="45"/>
      <c r="D160" s="45"/>
      <c r="E160" s="45"/>
      <c r="F160" s="45"/>
      <c r="G160" s="46">
        <f t="shared" ref="G160:U160" si="188">SUM(G163:G166)</f>
        <v>140596</v>
      </c>
      <c r="H160" s="46">
        <f t="shared" si="188"/>
        <v>140596</v>
      </c>
      <c r="I160" s="46">
        <f t="shared" si="188"/>
        <v>68340</v>
      </c>
      <c r="J160" s="46">
        <f t="shared" si="188"/>
        <v>68340</v>
      </c>
      <c r="K160" s="46">
        <f t="shared" si="188"/>
        <v>68340</v>
      </c>
      <c r="L160" s="46">
        <f t="shared" si="188"/>
        <v>68340</v>
      </c>
      <c r="M160" s="46">
        <f t="shared" si="188"/>
        <v>39950</v>
      </c>
      <c r="N160" s="46">
        <f t="shared" si="188"/>
        <v>39950</v>
      </c>
      <c r="O160" s="46">
        <f t="shared" si="188"/>
        <v>28460</v>
      </c>
      <c r="P160" s="46">
        <f t="shared" si="188"/>
        <v>28460</v>
      </c>
      <c r="Q160" s="46">
        <f t="shared" si="188"/>
        <v>0</v>
      </c>
      <c r="R160" s="46">
        <f t="shared" si="188"/>
        <v>0</v>
      </c>
      <c r="S160" s="46">
        <f t="shared" si="188"/>
        <v>28460</v>
      </c>
      <c r="T160" s="46">
        <f t="shared" si="188"/>
        <v>28460</v>
      </c>
      <c r="U160" s="46">
        <f t="shared" si="188"/>
        <v>24109</v>
      </c>
      <c r="V160" s="46">
        <f>SUM(V163:V166)</f>
        <v>24109</v>
      </c>
      <c r="W160" s="90">
        <f t="shared" ref="W160:AA160" si="189">SUM(W163:W166)</f>
        <v>0</v>
      </c>
      <c r="X160" s="90">
        <f>SUM(X163:X166)</f>
        <v>0</v>
      </c>
      <c r="Y160" s="90">
        <f t="shared" ref="Y160" si="190">SUM(Y163:Y166)</f>
        <v>0</v>
      </c>
      <c r="Z160" s="90">
        <f>SUM(Z163:Z166)</f>
        <v>0</v>
      </c>
      <c r="AA160" s="90">
        <f t="shared" si="189"/>
        <v>24109</v>
      </c>
      <c r="AB160" s="90">
        <f>SUM(AB163:AB166)</f>
        <v>24109</v>
      </c>
      <c r="AC160" s="90">
        <f t="shared" ref="AC160:AG160" si="191">SUM(AC163:AC166)</f>
        <v>4351</v>
      </c>
      <c r="AD160" s="90">
        <f>SUM(AD163:AD166)</f>
        <v>4351</v>
      </c>
      <c r="AE160" s="90">
        <f t="shared" ref="AE160" si="192">SUM(AE163:AE166)</f>
        <v>0</v>
      </c>
      <c r="AF160" s="90">
        <f>SUM(AF163:AF166)</f>
        <v>0</v>
      </c>
      <c r="AG160" s="90">
        <f t="shared" si="191"/>
        <v>0</v>
      </c>
      <c r="AH160" s="90">
        <f>SUM(AH163:AH166)</f>
        <v>0</v>
      </c>
      <c r="AI160" s="47"/>
      <c r="AJ160" s="19">
        <f t="shared" si="174"/>
        <v>0</v>
      </c>
      <c r="AK160" s="22"/>
      <c r="AL160" s="22"/>
      <c r="AM160" s="12"/>
      <c r="AN160" s="12"/>
      <c r="AO160" s="12"/>
      <c r="AP160" s="12">
        <f t="shared" si="126"/>
        <v>0</v>
      </c>
      <c r="AQ160" s="12"/>
      <c r="AR160" s="12">
        <f t="shared" si="155"/>
        <v>0</v>
      </c>
      <c r="AS160" s="12"/>
      <c r="AT160" s="12">
        <f t="shared" si="185"/>
        <v>0</v>
      </c>
      <c r="AU160" s="12"/>
      <c r="AV160" s="12">
        <f t="shared" si="186"/>
        <v>0</v>
      </c>
    </row>
    <row r="161" spans="1:16378" ht="17.25" hidden="1" x14ac:dyDescent="0.25">
      <c r="A161" s="50"/>
      <c r="B161" s="51" t="s">
        <v>49</v>
      </c>
      <c r="C161" s="52"/>
      <c r="D161" s="52"/>
      <c r="E161" s="52"/>
      <c r="F161" s="52"/>
      <c r="G161" s="53"/>
      <c r="H161" s="53"/>
      <c r="I161" s="53"/>
      <c r="J161" s="53"/>
      <c r="K161" s="53"/>
      <c r="L161" s="53"/>
      <c r="M161" s="53"/>
      <c r="N161" s="53"/>
      <c r="O161" s="53"/>
      <c r="P161" s="53"/>
      <c r="Q161" s="54"/>
      <c r="R161" s="54"/>
      <c r="S161" s="53"/>
      <c r="T161" s="53"/>
      <c r="U161" s="5"/>
      <c r="V161" s="5"/>
      <c r="W161" s="5"/>
      <c r="X161" s="5"/>
      <c r="Y161" s="5"/>
      <c r="Z161" s="5"/>
      <c r="AA161" s="5"/>
      <c r="AB161" s="5"/>
      <c r="AC161" s="5"/>
      <c r="AD161" s="5"/>
      <c r="AE161" s="5"/>
      <c r="AF161" s="5"/>
      <c r="AG161" s="5"/>
      <c r="AH161" s="5"/>
      <c r="AI161" s="55"/>
      <c r="AJ161" s="19">
        <f t="shared" si="174"/>
        <v>0</v>
      </c>
      <c r="AK161" s="22"/>
      <c r="AL161" s="22"/>
      <c r="AP161" s="12">
        <f t="shared" si="126"/>
        <v>0</v>
      </c>
      <c r="AR161" s="12">
        <f t="shared" si="155"/>
        <v>0</v>
      </c>
      <c r="AT161" s="12">
        <f t="shared" si="185"/>
        <v>0</v>
      </c>
      <c r="AV161" s="12">
        <f t="shared" si="186"/>
        <v>0</v>
      </c>
    </row>
    <row r="162" spans="1:16378" ht="69" hidden="1" x14ac:dyDescent="0.25">
      <c r="A162" s="50"/>
      <c r="B162" s="56" t="s">
        <v>50</v>
      </c>
      <c r="C162" s="57"/>
      <c r="D162" s="57"/>
      <c r="E162" s="57"/>
      <c r="F162" s="57"/>
      <c r="G162" s="58"/>
      <c r="H162" s="58"/>
      <c r="I162" s="58"/>
      <c r="J162" s="58"/>
      <c r="K162" s="58"/>
      <c r="L162" s="58"/>
      <c r="M162" s="58"/>
      <c r="N162" s="58"/>
      <c r="O162" s="58"/>
      <c r="P162" s="58"/>
      <c r="Q162" s="54"/>
      <c r="R162" s="54"/>
      <c r="S162" s="58"/>
      <c r="T162" s="58"/>
      <c r="U162" s="63"/>
      <c r="V162" s="63"/>
      <c r="W162" s="63"/>
      <c r="X162" s="63"/>
      <c r="Y162" s="63"/>
      <c r="Z162" s="63"/>
      <c r="AA162" s="63"/>
      <c r="AB162" s="63"/>
      <c r="AC162" s="63"/>
      <c r="AD162" s="63"/>
      <c r="AE162" s="63"/>
      <c r="AF162" s="63"/>
      <c r="AG162" s="63"/>
      <c r="AH162" s="63"/>
      <c r="AI162" s="59"/>
      <c r="AJ162" s="19">
        <f t="shared" si="174"/>
        <v>0</v>
      </c>
      <c r="AK162" s="22"/>
      <c r="AL162" s="22"/>
      <c r="AP162" s="12">
        <f t="shared" si="126"/>
        <v>0</v>
      </c>
      <c r="AR162" s="12">
        <f t="shared" si="155"/>
        <v>0</v>
      </c>
      <c r="AT162" s="12">
        <f t="shared" si="185"/>
        <v>0</v>
      </c>
      <c r="AV162" s="12">
        <f t="shared" si="186"/>
        <v>0</v>
      </c>
    </row>
    <row r="163" spans="1:16378" ht="49.5" hidden="1" x14ac:dyDescent="0.25">
      <c r="A163" s="60">
        <v>1</v>
      </c>
      <c r="B163" s="9" t="s">
        <v>401</v>
      </c>
      <c r="C163" s="61" t="s">
        <v>336</v>
      </c>
      <c r="D163" s="61" t="s">
        <v>402</v>
      </c>
      <c r="E163" s="61" t="s">
        <v>72</v>
      </c>
      <c r="F163" s="61" t="s">
        <v>403</v>
      </c>
      <c r="G163" s="80">
        <v>69804</v>
      </c>
      <c r="H163" s="74">
        <f>G163</f>
        <v>69804</v>
      </c>
      <c r="I163" s="63">
        <f>J163</f>
        <v>44500</v>
      </c>
      <c r="J163" s="63">
        <v>44500</v>
      </c>
      <c r="K163" s="63">
        <f>L163</f>
        <v>44500</v>
      </c>
      <c r="L163" s="63">
        <v>44500</v>
      </c>
      <c r="M163" s="68">
        <f>N163</f>
        <v>8200</v>
      </c>
      <c r="N163" s="63">
        <v>8200</v>
      </c>
      <c r="O163" s="68">
        <f>P163</f>
        <v>2500</v>
      </c>
      <c r="P163" s="63">
        <v>2500</v>
      </c>
      <c r="Q163" s="54"/>
      <c r="R163" s="54"/>
      <c r="S163" s="68">
        <f>T163</f>
        <v>2500</v>
      </c>
      <c r="T163" s="63">
        <v>2500</v>
      </c>
      <c r="U163" s="63">
        <f>V163</f>
        <v>691</v>
      </c>
      <c r="V163" s="63">
        <v>691</v>
      </c>
      <c r="W163" s="63"/>
      <c r="X163" s="63"/>
      <c r="Y163" s="63"/>
      <c r="Z163" s="63"/>
      <c r="AA163" s="63">
        <f t="shared" ref="AA163:AB166" si="193">U163+W163+Y163</f>
        <v>691</v>
      </c>
      <c r="AB163" s="63">
        <f t="shared" si="193"/>
        <v>691</v>
      </c>
      <c r="AC163" s="63">
        <f t="shared" ref="AC163:AD166" si="194">O163-AA163</f>
        <v>1809</v>
      </c>
      <c r="AD163" s="63">
        <f t="shared" si="194"/>
        <v>1809</v>
      </c>
      <c r="AE163" s="63">
        <f t="shared" ref="AE163:AE166" si="195">AF163</f>
        <v>0</v>
      </c>
      <c r="AF163" s="63">
        <f t="shared" ref="AF163:AF166" si="196">IF(AB163=0,AD163,0)</f>
        <v>0</v>
      </c>
      <c r="AG163" s="63"/>
      <c r="AH163" s="63"/>
      <c r="AI163" s="25" t="s">
        <v>404</v>
      </c>
      <c r="AJ163" s="19">
        <f t="shared" si="174"/>
        <v>0</v>
      </c>
      <c r="AK163" s="22">
        <f t="shared" si="180"/>
        <v>0</v>
      </c>
      <c r="AL163" s="22"/>
      <c r="AM163" s="12">
        <f>IF(AJ163=0,1,0)</f>
        <v>1</v>
      </c>
      <c r="AO163" s="12">
        <f>IF(P163=0,1,0)</f>
        <v>0</v>
      </c>
      <c r="AP163" s="12">
        <f t="shared" ref="AP163:AP196" si="197">IF(AO163=1,N163,0)</f>
        <v>0</v>
      </c>
      <c r="AQ163" s="12">
        <f>IF(N163=0,1,0)</f>
        <v>0</v>
      </c>
      <c r="AR163" s="12">
        <f t="shared" si="155"/>
        <v>0</v>
      </c>
      <c r="AS163" s="12">
        <f>IF(Q163=0,0,1)</f>
        <v>0</v>
      </c>
      <c r="AT163" s="12">
        <f t="shared" si="185"/>
        <v>0</v>
      </c>
      <c r="AU163" s="12">
        <f>IF(R163=0,0,1)</f>
        <v>0</v>
      </c>
      <c r="AV163" s="12">
        <f t="shared" si="186"/>
        <v>0</v>
      </c>
    </row>
    <row r="164" spans="1:16378" ht="49.5" hidden="1" x14ac:dyDescent="0.25">
      <c r="A164" s="60">
        <v>2</v>
      </c>
      <c r="B164" s="9" t="s">
        <v>405</v>
      </c>
      <c r="C164" s="61" t="s">
        <v>336</v>
      </c>
      <c r="D164" s="61" t="s">
        <v>406</v>
      </c>
      <c r="E164" s="61" t="s">
        <v>72</v>
      </c>
      <c r="F164" s="61" t="s">
        <v>407</v>
      </c>
      <c r="G164" s="80">
        <v>24083</v>
      </c>
      <c r="H164" s="74">
        <f>G164</f>
        <v>24083</v>
      </c>
      <c r="I164" s="63">
        <f t="shared" ref="I164:K166" si="198">J164</f>
        <v>10340</v>
      </c>
      <c r="J164" s="63">
        <v>10340</v>
      </c>
      <c r="K164" s="63">
        <f t="shared" si="198"/>
        <v>10340</v>
      </c>
      <c r="L164" s="63">
        <v>10340</v>
      </c>
      <c r="M164" s="68">
        <f>N164</f>
        <v>9700</v>
      </c>
      <c r="N164" s="63">
        <v>9700</v>
      </c>
      <c r="O164" s="68">
        <f>P164</f>
        <v>9630</v>
      </c>
      <c r="P164" s="63">
        <v>9630</v>
      </c>
      <c r="Q164" s="54"/>
      <c r="R164" s="54"/>
      <c r="S164" s="68">
        <f>T164</f>
        <v>9630</v>
      </c>
      <c r="T164" s="63">
        <v>9630</v>
      </c>
      <c r="U164" s="63">
        <f>V164</f>
        <v>9660</v>
      </c>
      <c r="V164" s="63">
        <v>9660</v>
      </c>
      <c r="W164" s="63"/>
      <c r="X164" s="63"/>
      <c r="Y164" s="63"/>
      <c r="Z164" s="63"/>
      <c r="AA164" s="63">
        <f t="shared" si="193"/>
        <v>9660</v>
      </c>
      <c r="AB164" s="63">
        <f t="shared" si="193"/>
        <v>9660</v>
      </c>
      <c r="AC164" s="63">
        <f t="shared" si="194"/>
        <v>-30</v>
      </c>
      <c r="AD164" s="63">
        <f t="shared" si="194"/>
        <v>-30</v>
      </c>
      <c r="AE164" s="63">
        <f t="shared" si="195"/>
        <v>0</v>
      </c>
      <c r="AF164" s="63">
        <f t="shared" si="196"/>
        <v>0</v>
      </c>
      <c r="AG164" s="63"/>
      <c r="AH164" s="63"/>
      <c r="AI164" s="25" t="s">
        <v>404</v>
      </c>
      <c r="AJ164" s="19">
        <f t="shared" si="174"/>
        <v>0</v>
      </c>
      <c r="AK164" s="22">
        <f t="shared" si="180"/>
        <v>0</v>
      </c>
      <c r="AL164" s="22"/>
      <c r="AM164" s="12">
        <f>IF(AJ164=0,1,0)</f>
        <v>1</v>
      </c>
      <c r="AO164" s="12">
        <f>IF(P164=0,1,0)</f>
        <v>0</v>
      </c>
      <c r="AP164" s="12">
        <f t="shared" si="197"/>
        <v>0</v>
      </c>
      <c r="AQ164" s="12">
        <f>IF(N164=0,1,0)</f>
        <v>0</v>
      </c>
      <c r="AR164" s="12">
        <f t="shared" si="155"/>
        <v>0</v>
      </c>
      <c r="AS164" s="12">
        <f>IF(Q164=0,0,1)</f>
        <v>0</v>
      </c>
      <c r="AT164" s="12">
        <f t="shared" si="185"/>
        <v>0</v>
      </c>
      <c r="AU164" s="12">
        <f>IF(R164=0,0,1)</f>
        <v>0</v>
      </c>
      <c r="AV164" s="12">
        <f t="shared" si="186"/>
        <v>0</v>
      </c>
    </row>
    <row r="165" spans="1:16378" ht="49.5" hidden="1" x14ac:dyDescent="0.25">
      <c r="A165" s="60">
        <v>3</v>
      </c>
      <c r="B165" s="9" t="s">
        <v>408</v>
      </c>
      <c r="C165" s="61" t="s">
        <v>99</v>
      </c>
      <c r="D165" s="61" t="s">
        <v>409</v>
      </c>
      <c r="E165" s="61" t="s">
        <v>72</v>
      </c>
      <c r="F165" s="61" t="s">
        <v>410</v>
      </c>
      <c r="G165" s="80">
        <v>31326</v>
      </c>
      <c r="H165" s="74">
        <f>G165</f>
        <v>31326</v>
      </c>
      <c r="I165" s="63">
        <f t="shared" si="198"/>
        <v>8000</v>
      </c>
      <c r="J165" s="63">
        <v>8000</v>
      </c>
      <c r="K165" s="63">
        <f t="shared" si="198"/>
        <v>8000</v>
      </c>
      <c r="L165" s="63">
        <v>8000</v>
      </c>
      <c r="M165" s="68">
        <f>N165</f>
        <v>16400</v>
      </c>
      <c r="N165" s="63">
        <v>16400</v>
      </c>
      <c r="O165" s="68">
        <f>P165</f>
        <v>12210</v>
      </c>
      <c r="P165" s="63">
        <v>12210</v>
      </c>
      <c r="Q165" s="54"/>
      <c r="R165" s="54"/>
      <c r="S165" s="68">
        <f>T165</f>
        <v>12210</v>
      </c>
      <c r="T165" s="63">
        <v>12210</v>
      </c>
      <c r="U165" s="63">
        <f>V165</f>
        <v>9618</v>
      </c>
      <c r="V165" s="63">
        <v>9618</v>
      </c>
      <c r="W165" s="63"/>
      <c r="X165" s="63"/>
      <c r="Y165" s="63"/>
      <c r="Z165" s="63"/>
      <c r="AA165" s="63">
        <f t="shared" si="193"/>
        <v>9618</v>
      </c>
      <c r="AB165" s="63">
        <f t="shared" si="193"/>
        <v>9618</v>
      </c>
      <c r="AC165" s="63">
        <f t="shared" si="194"/>
        <v>2592</v>
      </c>
      <c r="AD165" s="63">
        <f t="shared" si="194"/>
        <v>2592</v>
      </c>
      <c r="AE165" s="63">
        <f t="shared" si="195"/>
        <v>0</v>
      </c>
      <c r="AF165" s="63">
        <f t="shared" si="196"/>
        <v>0</v>
      </c>
      <c r="AG165" s="63"/>
      <c r="AH165" s="63"/>
      <c r="AI165" s="25" t="s">
        <v>404</v>
      </c>
      <c r="AJ165" s="19">
        <f t="shared" si="174"/>
        <v>0</v>
      </c>
      <c r="AK165" s="22">
        <f t="shared" si="180"/>
        <v>0</v>
      </c>
      <c r="AL165" s="22"/>
      <c r="AM165" s="12">
        <f>IF(AJ165=0,1,0)</f>
        <v>1</v>
      </c>
      <c r="AO165" s="12">
        <f>IF(P165=0,1,0)</f>
        <v>0</v>
      </c>
      <c r="AP165" s="12">
        <f t="shared" si="197"/>
        <v>0</v>
      </c>
      <c r="AQ165" s="12">
        <f>IF(N165=0,1,0)</f>
        <v>0</v>
      </c>
      <c r="AR165" s="12">
        <f t="shared" si="155"/>
        <v>0</v>
      </c>
      <c r="AS165" s="12">
        <f>IF(Q165=0,0,1)</f>
        <v>0</v>
      </c>
      <c r="AT165" s="12">
        <f t="shared" si="185"/>
        <v>0</v>
      </c>
      <c r="AU165" s="12">
        <f>IF(R165=0,0,1)</f>
        <v>0</v>
      </c>
      <c r="AV165" s="12">
        <f t="shared" si="186"/>
        <v>0</v>
      </c>
    </row>
    <row r="166" spans="1:16378" ht="49.5" hidden="1" x14ac:dyDescent="0.25">
      <c r="A166" s="60">
        <v>4</v>
      </c>
      <c r="B166" s="9" t="s">
        <v>411</v>
      </c>
      <c r="C166" s="61" t="s">
        <v>194</v>
      </c>
      <c r="D166" s="61" t="s">
        <v>412</v>
      </c>
      <c r="E166" s="61" t="s">
        <v>72</v>
      </c>
      <c r="F166" s="61" t="s">
        <v>413</v>
      </c>
      <c r="G166" s="80">
        <v>15383</v>
      </c>
      <c r="H166" s="74">
        <f>G166</f>
        <v>15383</v>
      </c>
      <c r="I166" s="63">
        <f t="shared" si="198"/>
        <v>5500</v>
      </c>
      <c r="J166" s="63">
        <v>5500</v>
      </c>
      <c r="K166" s="63">
        <f t="shared" si="198"/>
        <v>5500</v>
      </c>
      <c r="L166" s="63">
        <v>5500</v>
      </c>
      <c r="M166" s="68">
        <f>N166</f>
        <v>5650</v>
      </c>
      <c r="N166" s="63">
        <v>5650</v>
      </c>
      <c r="O166" s="68">
        <f>P166</f>
        <v>4120</v>
      </c>
      <c r="P166" s="63">
        <v>4120</v>
      </c>
      <c r="Q166" s="54"/>
      <c r="R166" s="54"/>
      <c r="S166" s="68">
        <f>T166</f>
        <v>4120</v>
      </c>
      <c r="T166" s="63">
        <v>4120</v>
      </c>
      <c r="U166" s="63">
        <f>V166</f>
        <v>4140</v>
      </c>
      <c r="V166" s="63">
        <v>4140</v>
      </c>
      <c r="W166" s="63"/>
      <c r="X166" s="63"/>
      <c r="Y166" s="63"/>
      <c r="Z166" s="63"/>
      <c r="AA166" s="63">
        <f t="shared" si="193"/>
        <v>4140</v>
      </c>
      <c r="AB166" s="63">
        <f t="shared" si="193"/>
        <v>4140</v>
      </c>
      <c r="AC166" s="63">
        <f t="shared" si="194"/>
        <v>-20</v>
      </c>
      <c r="AD166" s="63">
        <f t="shared" si="194"/>
        <v>-20</v>
      </c>
      <c r="AE166" s="63">
        <f t="shared" si="195"/>
        <v>0</v>
      </c>
      <c r="AF166" s="63">
        <f t="shared" si="196"/>
        <v>0</v>
      </c>
      <c r="AG166" s="63"/>
      <c r="AH166" s="63"/>
      <c r="AI166" s="25" t="s">
        <v>404</v>
      </c>
      <c r="AJ166" s="19">
        <f t="shared" si="174"/>
        <v>0</v>
      </c>
      <c r="AK166" s="22">
        <f t="shared" si="180"/>
        <v>0</v>
      </c>
      <c r="AL166" s="22"/>
      <c r="AM166" s="12">
        <f>IF(AJ166=0,1,0)</f>
        <v>1</v>
      </c>
      <c r="AO166" s="12">
        <f>IF(P166=0,1,0)</f>
        <v>0</v>
      </c>
      <c r="AP166" s="12">
        <f t="shared" si="197"/>
        <v>0</v>
      </c>
      <c r="AQ166" s="12">
        <f>IF(N166=0,1,0)</f>
        <v>0</v>
      </c>
      <c r="AR166" s="12">
        <f t="shared" si="155"/>
        <v>0</v>
      </c>
      <c r="AS166" s="12">
        <f>IF(Q166=0,0,1)</f>
        <v>0</v>
      </c>
      <c r="AT166" s="12">
        <f t="shared" si="185"/>
        <v>0</v>
      </c>
      <c r="AU166" s="12">
        <f>IF(R166=0,0,1)</f>
        <v>0</v>
      </c>
      <c r="AV166" s="12">
        <f t="shared" si="186"/>
        <v>0</v>
      </c>
    </row>
    <row r="167" spans="1:16378" s="103" customFormat="1" ht="34.5" x14ac:dyDescent="0.25">
      <c r="A167" s="35" t="s">
        <v>85</v>
      </c>
      <c r="B167" s="36" t="s">
        <v>86</v>
      </c>
      <c r="C167" s="37"/>
      <c r="D167" s="37"/>
      <c r="E167" s="37"/>
      <c r="F167" s="37"/>
      <c r="G167" s="38">
        <f>G168+G189</f>
        <v>64970</v>
      </c>
      <c r="H167" s="38">
        <f>H168+H189</f>
        <v>64970</v>
      </c>
      <c r="I167" s="38">
        <f t="shared" ref="I167:L167" si="199">I189</f>
        <v>0</v>
      </c>
      <c r="J167" s="38">
        <f t="shared" si="199"/>
        <v>0</v>
      </c>
      <c r="K167" s="38">
        <f t="shared" si="199"/>
        <v>0</v>
      </c>
      <c r="L167" s="38">
        <f t="shared" si="199"/>
        <v>0</v>
      </c>
      <c r="M167" s="38">
        <f t="shared" ref="M167:T167" si="200">M168+M189</f>
        <v>3000</v>
      </c>
      <c r="N167" s="38">
        <f t="shared" si="200"/>
        <v>3000</v>
      </c>
      <c r="O167" s="38">
        <f t="shared" si="200"/>
        <v>16000</v>
      </c>
      <c r="P167" s="38">
        <f t="shared" si="200"/>
        <v>16000</v>
      </c>
      <c r="Q167" s="38">
        <f t="shared" si="200"/>
        <v>27500</v>
      </c>
      <c r="R167" s="38">
        <f t="shared" si="200"/>
        <v>0</v>
      </c>
      <c r="S167" s="38">
        <f t="shared" si="200"/>
        <v>43500</v>
      </c>
      <c r="T167" s="38">
        <f t="shared" si="200"/>
        <v>43500</v>
      </c>
      <c r="U167" s="38">
        <f t="shared" ref="U167:X167" si="201">U189</f>
        <v>0</v>
      </c>
      <c r="V167" s="38">
        <f t="shared" si="201"/>
        <v>0</v>
      </c>
      <c r="W167" s="38">
        <f t="shared" si="201"/>
        <v>0</v>
      </c>
      <c r="X167" s="38">
        <f t="shared" si="201"/>
        <v>0</v>
      </c>
      <c r="Y167" s="38">
        <f t="shared" ref="Y167:AH167" si="202">Y168+Y189</f>
        <v>95106</v>
      </c>
      <c r="Z167" s="38">
        <f t="shared" si="202"/>
        <v>95106</v>
      </c>
      <c r="AA167" s="38">
        <f t="shared" si="202"/>
        <v>217018</v>
      </c>
      <c r="AB167" s="38">
        <f t="shared" si="202"/>
        <v>217018</v>
      </c>
      <c r="AC167" s="38">
        <f t="shared" si="202"/>
        <v>90500</v>
      </c>
      <c r="AD167" s="38">
        <f t="shared" si="202"/>
        <v>47300</v>
      </c>
      <c r="AE167" s="38">
        <f t="shared" si="202"/>
        <v>34930</v>
      </c>
      <c r="AF167" s="38">
        <f t="shared" si="202"/>
        <v>34930</v>
      </c>
      <c r="AG167" s="38">
        <f t="shared" si="202"/>
        <v>17020</v>
      </c>
      <c r="AH167" s="38">
        <f t="shared" si="202"/>
        <v>17020</v>
      </c>
      <c r="AI167" s="38"/>
      <c r="AJ167" s="19">
        <f t="shared" si="174"/>
        <v>1</v>
      </c>
      <c r="AK167" s="102"/>
      <c r="AL167" s="102"/>
      <c r="AM167" s="102"/>
      <c r="AN167" s="102"/>
      <c r="AO167" s="102"/>
      <c r="AP167" s="102">
        <f t="shared" si="197"/>
        <v>0</v>
      </c>
      <c r="AQ167" s="102"/>
      <c r="AR167" s="102">
        <f t="shared" si="155"/>
        <v>0</v>
      </c>
      <c r="AS167" s="102"/>
      <c r="AT167" s="102">
        <f t="shared" si="185"/>
        <v>0</v>
      </c>
      <c r="AU167" s="102"/>
      <c r="AV167" s="102">
        <f t="shared" si="186"/>
        <v>0</v>
      </c>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c r="IW167" s="102"/>
      <c r="IX167" s="102"/>
      <c r="IY167" s="102"/>
      <c r="IZ167" s="102"/>
      <c r="JA167" s="102"/>
      <c r="JB167" s="102"/>
      <c r="JC167" s="102"/>
      <c r="JD167" s="102"/>
      <c r="JE167" s="102"/>
      <c r="JF167" s="102"/>
      <c r="JG167" s="102"/>
      <c r="JH167" s="102"/>
      <c r="JI167" s="102"/>
      <c r="JJ167" s="102"/>
      <c r="JK167" s="102"/>
      <c r="JL167" s="102"/>
      <c r="JM167" s="102"/>
      <c r="JN167" s="102"/>
      <c r="JO167" s="102"/>
      <c r="JP167" s="102"/>
      <c r="JQ167" s="102"/>
      <c r="JR167" s="102"/>
      <c r="JS167" s="102"/>
      <c r="JT167" s="102"/>
      <c r="JU167" s="102"/>
      <c r="JV167" s="102"/>
      <c r="JW167" s="102"/>
      <c r="JX167" s="102"/>
      <c r="JY167" s="102"/>
      <c r="JZ167" s="102"/>
      <c r="KA167" s="102"/>
      <c r="KB167" s="102"/>
      <c r="KC167" s="102"/>
      <c r="KD167" s="102"/>
      <c r="KE167" s="102"/>
      <c r="KF167" s="102"/>
      <c r="KG167" s="102"/>
      <c r="KH167" s="102"/>
      <c r="KI167" s="102"/>
      <c r="KJ167" s="102"/>
      <c r="KK167" s="102"/>
      <c r="KL167" s="102"/>
      <c r="KM167" s="102"/>
      <c r="KN167" s="102"/>
      <c r="KO167" s="102"/>
      <c r="KP167" s="102"/>
      <c r="KQ167" s="102"/>
      <c r="KR167" s="102"/>
      <c r="KS167" s="102"/>
      <c r="KT167" s="102"/>
      <c r="KU167" s="102"/>
      <c r="KV167" s="102"/>
      <c r="KW167" s="102"/>
      <c r="KX167" s="102"/>
      <c r="KY167" s="102"/>
      <c r="KZ167" s="102"/>
      <c r="LA167" s="102"/>
      <c r="LB167" s="102"/>
      <c r="LC167" s="102"/>
      <c r="LD167" s="102"/>
      <c r="LE167" s="102"/>
      <c r="LF167" s="102"/>
      <c r="LG167" s="102"/>
      <c r="LH167" s="102"/>
      <c r="LI167" s="102"/>
      <c r="LJ167" s="102"/>
      <c r="LK167" s="102"/>
      <c r="LL167" s="102"/>
      <c r="LM167" s="102"/>
      <c r="LN167" s="102"/>
      <c r="LO167" s="102"/>
      <c r="LP167" s="102"/>
      <c r="LQ167" s="102"/>
      <c r="LR167" s="102"/>
      <c r="LS167" s="102"/>
      <c r="LT167" s="102"/>
      <c r="LU167" s="102"/>
      <c r="LV167" s="102"/>
      <c r="LW167" s="102"/>
      <c r="LX167" s="102"/>
      <c r="LY167" s="102"/>
      <c r="LZ167" s="102"/>
      <c r="MA167" s="102"/>
      <c r="MB167" s="102"/>
      <c r="MC167" s="102"/>
      <c r="MD167" s="102"/>
      <c r="ME167" s="102"/>
      <c r="MF167" s="102"/>
      <c r="MG167" s="102"/>
      <c r="MH167" s="102"/>
      <c r="MI167" s="102"/>
      <c r="MJ167" s="102"/>
      <c r="MK167" s="102"/>
      <c r="ML167" s="102"/>
      <c r="MM167" s="102"/>
      <c r="MN167" s="102"/>
      <c r="MO167" s="102"/>
      <c r="MP167" s="102"/>
      <c r="MQ167" s="102"/>
      <c r="MR167" s="102"/>
      <c r="MS167" s="102"/>
      <c r="MT167" s="102"/>
      <c r="MU167" s="102"/>
      <c r="MV167" s="102"/>
      <c r="MW167" s="102"/>
      <c r="MX167" s="102"/>
      <c r="MY167" s="102"/>
      <c r="MZ167" s="102"/>
      <c r="NA167" s="102"/>
      <c r="NB167" s="102"/>
      <c r="NC167" s="102"/>
      <c r="ND167" s="102"/>
      <c r="NE167" s="102"/>
      <c r="NF167" s="102"/>
      <c r="NG167" s="102"/>
      <c r="NH167" s="102"/>
      <c r="NI167" s="102"/>
      <c r="NJ167" s="102"/>
      <c r="NK167" s="102"/>
      <c r="NL167" s="102"/>
      <c r="NM167" s="102"/>
      <c r="NN167" s="102"/>
      <c r="NO167" s="102"/>
      <c r="NP167" s="102"/>
      <c r="NQ167" s="102"/>
      <c r="NR167" s="102"/>
      <c r="NS167" s="102"/>
      <c r="NT167" s="102"/>
      <c r="NU167" s="102"/>
      <c r="NV167" s="102"/>
      <c r="NW167" s="102"/>
      <c r="NX167" s="102"/>
      <c r="NY167" s="102"/>
      <c r="NZ167" s="102"/>
      <c r="OA167" s="102"/>
      <c r="OB167" s="102"/>
      <c r="OC167" s="102"/>
      <c r="OD167" s="102"/>
      <c r="OE167" s="102"/>
      <c r="OF167" s="102"/>
      <c r="OG167" s="102"/>
      <c r="OH167" s="102"/>
      <c r="OI167" s="102"/>
      <c r="OJ167" s="102"/>
      <c r="OK167" s="102"/>
      <c r="OL167" s="102"/>
      <c r="OM167" s="102"/>
      <c r="ON167" s="102"/>
      <c r="OO167" s="102"/>
      <c r="OP167" s="102"/>
      <c r="OQ167" s="102"/>
      <c r="OR167" s="102"/>
      <c r="OS167" s="102"/>
      <c r="OT167" s="102"/>
      <c r="OU167" s="102"/>
      <c r="OV167" s="102"/>
      <c r="OW167" s="102"/>
      <c r="OX167" s="102"/>
      <c r="OY167" s="102"/>
      <c r="OZ167" s="102"/>
      <c r="PA167" s="102"/>
      <c r="PB167" s="102"/>
      <c r="PC167" s="102"/>
      <c r="PD167" s="102"/>
      <c r="PE167" s="102"/>
      <c r="PF167" s="102"/>
      <c r="PG167" s="102"/>
      <c r="PH167" s="102"/>
      <c r="PI167" s="102"/>
      <c r="PJ167" s="102"/>
      <c r="PK167" s="102"/>
      <c r="PL167" s="102"/>
      <c r="PM167" s="102"/>
      <c r="PN167" s="102"/>
      <c r="PO167" s="102"/>
      <c r="PP167" s="102"/>
      <c r="PQ167" s="102"/>
      <c r="PR167" s="102"/>
      <c r="PS167" s="102"/>
      <c r="PT167" s="102"/>
      <c r="PU167" s="102"/>
      <c r="PV167" s="102"/>
      <c r="PW167" s="102"/>
      <c r="PX167" s="102"/>
      <c r="PY167" s="102"/>
      <c r="PZ167" s="102"/>
      <c r="QA167" s="102"/>
      <c r="QB167" s="102"/>
      <c r="QC167" s="102"/>
      <c r="QD167" s="102"/>
      <c r="QE167" s="102"/>
      <c r="QF167" s="102"/>
      <c r="QG167" s="102"/>
      <c r="QH167" s="102"/>
      <c r="QI167" s="102"/>
      <c r="QJ167" s="102"/>
      <c r="QK167" s="102"/>
      <c r="QL167" s="102"/>
      <c r="QM167" s="102"/>
      <c r="QN167" s="102"/>
      <c r="QO167" s="102"/>
      <c r="QP167" s="102"/>
      <c r="QQ167" s="102"/>
      <c r="QR167" s="102"/>
      <c r="QS167" s="102"/>
      <c r="QT167" s="102"/>
      <c r="QU167" s="102"/>
      <c r="QV167" s="102"/>
      <c r="QW167" s="102"/>
      <c r="QX167" s="102"/>
      <c r="QY167" s="102"/>
      <c r="QZ167" s="102"/>
      <c r="RA167" s="102"/>
      <c r="RB167" s="102"/>
      <c r="RC167" s="102"/>
      <c r="RD167" s="102"/>
      <c r="RE167" s="102"/>
      <c r="RF167" s="102"/>
      <c r="RG167" s="102"/>
      <c r="RH167" s="102"/>
      <c r="RI167" s="102"/>
      <c r="RJ167" s="102"/>
      <c r="RK167" s="102"/>
      <c r="RL167" s="102"/>
      <c r="RM167" s="102"/>
      <c r="RN167" s="102"/>
      <c r="RO167" s="102"/>
      <c r="RP167" s="102"/>
      <c r="RQ167" s="102"/>
      <c r="RR167" s="102"/>
      <c r="RS167" s="102"/>
      <c r="RT167" s="102"/>
      <c r="RU167" s="102"/>
      <c r="RV167" s="102"/>
      <c r="RW167" s="102"/>
      <c r="RX167" s="102"/>
      <c r="RY167" s="102"/>
      <c r="RZ167" s="102"/>
      <c r="SA167" s="102"/>
      <c r="SB167" s="102"/>
      <c r="SC167" s="102"/>
      <c r="SD167" s="102"/>
      <c r="SE167" s="102"/>
      <c r="SF167" s="102"/>
      <c r="SG167" s="102"/>
      <c r="SH167" s="102"/>
      <c r="SI167" s="102"/>
      <c r="SJ167" s="102"/>
      <c r="SK167" s="102"/>
      <c r="SL167" s="102"/>
      <c r="SM167" s="102"/>
      <c r="SN167" s="102"/>
      <c r="SO167" s="102"/>
      <c r="SP167" s="102"/>
      <c r="SQ167" s="102"/>
      <c r="SR167" s="102"/>
      <c r="SS167" s="102"/>
      <c r="ST167" s="102"/>
      <c r="SU167" s="102"/>
      <c r="SV167" s="102"/>
      <c r="SW167" s="102"/>
      <c r="SX167" s="102"/>
      <c r="SY167" s="102"/>
      <c r="SZ167" s="102"/>
      <c r="TA167" s="102"/>
      <c r="TB167" s="102"/>
      <c r="TC167" s="102"/>
      <c r="TD167" s="102"/>
      <c r="TE167" s="102"/>
      <c r="TF167" s="102"/>
      <c r="TG167" s="102"/>
      <c r="TH167" s="102"/>
      <c r="TI167" s="102"/>
      <c r="TJ167" s="102"/>
      <c r="TK167" s="102"/>
      <c r="TL167" s="102"/>
      <c r="TM167" s="102"/>
      <c r="TN167" s="102"/>
      <c r="TO167" s="102"/>
      <c r="TP167" s="102"/>
      <c r="TQ167" s="102"/>
      <c r="TR167" s="102"/>
      <c r="TS167" s="102"/>
      <c r="TT167" s="102"/>
      <c r="TU167" s="102"/>
      <c r="TV167" s="102"/>
      <c r="TW167" s="102"/>
      <c r="TX167" s="102"/>
      <c r="TY167" s="102"/>
      <c r="TZ167" s="102"/>
      <c r="UA167" s="102"/>
      <c r="UB167" s="102"/>
      <c r="UC167" s="102"/>
      <c r="UD167" s="102"/>
      <c r="UE167" s="102"/>
      <c r="UF167" s="102"/>
      <c r="UG167" s="102"/>
      <c r="UH167" s="102"/>
      <c r="UI167" s="102"/>
      <c r="UJ167" s="102"/>
      <c r="UK167" s="102"/>
      <c r="UL167" s="102"/>
      <c r="UM167" s="102"/>
      <c r="UN167" s="102"/>
      <c r="UO167" s="102"/>
      <c r="UP167" s="102"/>
      <c r="UQ167" s="102"/>
      <c r="UR167" s="102"/>
      <c r="US167" s="102"/>
      <c r="UT167" s="102"/>
      <c r="UU167" s="102"/>
      <c r="UV167" s="102"/>
      <c r="UW167" s="102"/>
      <c r="UX167" s="102"/>
      <c r="UY167" s="102"/>
      <c r="UZ167" s="102"/>
      <c r="VA167" s="102"/>
      <c r="VB167" s="102"/>
      <c r="VC167" s="102"/>
      <c r="VD167" s="102"/>
      <c r="VE167" s="102"/>
      <c r="VF167" s="102"/>
      <c r="VG167" s="102"/>
      <c r="VH167" s="102"/>
      <c r="VI167" s="102"/>
      <c r="VJ167" s="102"/>
      <c r="VK167" s="102"/>
      <c r="VL167" s="102"/>
      <c r="VM167" s="102"/>
      <c r="VN167" s="102"/>
      <c r="VO167" s="102"/>
      <c r="VP167" s="102"/>
      <c r="VQ167" s="102"/>
      <c r="VR167" s="102"/>
      <c r="VS167" s="102"/>
      <c r="VT167" s="102"/>
      <c r="VU167" s="102"/>
      <c r="VV167" s="102"/>
      <c r="VW167" s="102"/>
      <c r="VX167" s="102"/>
      <c r="VY167" s="102"/>
      <c r="VZ167" s="102"/>
      <c r="WA167" s="102"/>
      <c r="WB167" s="102"/>
      <c r="WC167" s="102"/>
      <c r="WD167" s="102"/>
      <c r="WE167" s="102"/>
      <c r="WF167" s="102"/>
      <c r="WG167" s="102"/>
      <c r="WH167" s="102"/>
      <c r="WI167" s="102"/>
      <c r="WJ167" s="102"/>
      <c r="WK167" s="102"/>
      <c r="WL167" s="102"/>
      <c r="WM167" s="102"/>
      <c r="WN167" s="102"/>
      <c r="WO167" s="102"/>
      <c r="WP167" s="102"/>
      <c r="WQ167" s="102"/>
      <c r="WR167" s="102"/>
      <c r="WS167" s="102"/>
      <c r="WT167" s="102"/>
      <c r="WU167" s="102"/>
      <c r="WV167" s="102"/>
      <c r="WW167" s="102"/>
      <c r="WX167" s="102"/>
      <c r="WY167" s="102"/>
      <c r="WZ167" s="102"/>
      <c r="XA167" s="102"/>
      <c r="XB167" s="102"/>
      <c r="XC167" s="102"/>
      <c r="XD167" s="102"/>
      <c r="XE167" s="102"/>
      <c r="XF167" s="102"/>
      <c r="XG167" s="102"/>
      <c r="XH167" s="102"/>
      <c r="XI167" s="102"/>
      <c r="XJ167" s="102"/>
      <c r="XK167" s="102"/>
      <c r="XL167" s="102"/>
      <c r="XM167" s="102"/>
      <c r="XN167" s="102"/>
      <c r="XO167" s="102"/>
      <c r="XP167" s="102"/>
      <c r="XQ167" s="102"/>
      <c r="XR167" s="102"/>
      <c r="XS167" s="102"/>
      <c r="XT167" s="102"/>
      <c r="XU167" s="102"/>
      <c r="XV167" s="102"/>
      <c r="XW167" s="102"/>
      <c r="XX167" s="102"/>
      <c r="XY167" s="102"/>
      <c r="XZ167" s="102"/>
      <c r="YA167" s="102"/>
      <c r="YB167" s="102"/>
      <c r="YC167" s="102"/>
      <c r="YD167" s="102"/>
      <c r="YE167" s="102"/>
      <c r="YF167" s="102"/>
      <c r="YG167" s="102"/>
      <c r="YH167" s="102"/>
      <c r="YI167" s="102"/>
      <c r="YJ167" s="102"/>
      <c r="YK167" s="102"/>
      <c r="YL167" s="102"/>
      <c r="YM167" s="102"/>
      <c r="YN167" s="102"/>
      <c r="YO167" s="102"/>
      <c r="YP167" s="102"/>
      <c r="YQ167" s="102"/>
      <c r="YR167" s="102"/>
      <c r="YS167" s="102"/>
      <c r="YT167" s="102"/>
      <c r="YU167" s="102"/>
      <c r="YV167" s="102"/>
      <c r="YW167" s="102"/>
      <c r="YX167" s="102"/>
      <c r="YY167" s="102"/>
      <c r="YZ167" s="102"/>
      <c r="ZA167" s="102"/>
      <c r="ZB167" s="102"/>
      <c r="ZC167" s="102"/>
      <c r="ZD167" s="102"/>
      <c r="ZE167" s="102"/>
      <c r="ZF167" s="102"/>
      <c r="ZG167" s="102"/>
      <c r="ZH167" s="102"/>
      <c r="ZI167" s="102"/>
      <c r="ZJ167" s="102"/>
      <c r="ZK167" s="102"/>
      <c r="ZL167" s="102"/>
      <c r="ZM167" s="102"/>
      <c r="ZN167" s="102"/>
      <c r="ZO167" s="102"/>
      <c r="ZP167" s="102"/>
      <c r="ZQ167" s="102"/>
      <c r="ZR167" s="102"/>
      <c r="ZS167" s="102"/>
      <c r="ZT167" s="102"/>
      <c r="ZU167" s="102"/>
      <c r="ZV167" s="102"/>
      <c r="ZW167" s="102"/>
      <c r="ZX167" s="102"/>
      <c r="ZY167" s="102"/>
      <c r="ZZ167" s="102"/>
      <c r="AAA167" s="102"/>
      <c r="AAB167" s="102"/>
      <c r="AAC167" s="102"/>
      <c r="AAD167" s="102"/>
      <c r="AAE167" s="102"/>
      <c r="AAF167" s="102"/>
      <c r="AAG167" s="102"/>
      <c r="AAH167" s="102"/>
      <c r="AAI167" s="102"/>
      <c r="AAJ167" s="102"/>
      <c r="AAK167" s="102"/>
      <c r="AAL167" s="102"/>
      <c r="AAM167" s="102"/>
      <c r="AAN167" s="102"/>
      <c r="AAO167" s="102"/>
      <c r="AAP167" s="102"/>
      <c r="AAQ167" s="102"/>
      <c r="AAR167" s="102"/>
      <c r="AAS167" s="102"/>
      <c r="AAT167" s="102"/>
      <c r="AAU167" s="102"/>
      <c r="AAV167" s="102"/>
      <c r="AAW167" s="102"/>
      <c r="AAX167" s="102"/>
      <c r="AAY167" s="102"/>
      <c r="AAZ167" s="102"/>
      <c r="ABA167" s="102"/>
      <c r="ABB167" s="102"/>
      <c r="ABC167" s="102"/>
      <c r="ABD167" s="102"/>
      <c r="ABE167" s="102"/>
      <c r="ABF167" s="102"/>
      <c r="ABG167" s="102"/>
      <c r="ABH167" s="102"/>
      <c r="ABI167" s="102"/>
      <c r="ABJ167" s="102"/>
      <c r="ABK167" s="102"/>
      <c r="ABL167" s="102"/>
      <c r="ABM167" s="102"/>
      <c r="ABN167" s="102"/>
      <c r="ABO167" s="102"/>
      <c r="ABP167" s="102"/>
      <c r="ABQ167" s="102"/>
      <c r="ABR167" s="102"/>
      <c r="ABS167" s="102"/>
      <c r="ABT167" s="102"/>
      <c r="ABU167" s="102"/>
      <c r="ABV167" s="102"/>
      <c r="ABW167" s="102"/>
      <c r="ABX167" s="102"/>
      <c r="ABY167" s="102"/>
      <c r="ABZ167" s="102"/>
      <c r="ACA167" s="102"/>
      <c r="ACB167" s="102"/>
      <c r="ACC167" s="102"/>
      <c r="ACD167" s="102"/>
      <c r="ACE167" s="102"/>
      <c r="ACF167" s="102"/>
      <c r="ACG167" s="102"/>
      <c r="ACH167" s="102"/>
      <c r="ACI167" s="102"/>
      <c r="ACJ167" s="102"/>
      <c r="ACK167" s="102"/>
      <c r="ACL167" s="102"/>
      <c r="ACM167" s="102"/>
      <c r="ACN167" s="102"/>
      <c r="ACO167" s="102"/>
      <c r="ACP167" s="102"/>
      <c r="ACQ167" s="102"/>
      <c r="ACR167" s="102"/>
      <c r="ACS167" s="102"/>
      <c r="ACT167" s="102"/>
      <c r="ACU167" s="102"/>
      <c r="ACV167" s="102"/>
      <c r="ACW167" s="102"/>
      <c r="ACX167" s="102"/>
      <c r="ACY167" s="102"/>
      <c r="ACZ167" s="102"/>
      <c r="ADA167" s="102"/>
      <c r="ADB167" s="102"/>
      <c r="ADC167" s="102"/>
      <c r="ADD167" s="102"/>
      <c r="ADE167" s="102"/>
      <c r="ADF167" s="102"/>
      <c r="ADG167" s="102"/>
      <c r="ADH167" s="102"/>
      <c r="ADI167" s="102"/>
      <c r="ADJ167" s="102"/>
      <c r="ADK167" s="102"/>
      <c r="ADL167" s="102"/>
      <c r="ADM167" s="102"/>
      <c r="ADN167" s="102"/>
      <c r="ADO167" s="102"/>
      <c r="ADP167" s="102"/>
      <c r="ADQ167" s="102"/>
      <c r="ADR167" s="102"/>
      <c r="ADS167" s="102"/>
      <c r="ADT167" s="102"/>
      <c r="ADU167" s="102"/>
      <c r="ADV167" s="102"/>
      <c r="ADW167" s="102"/>
      <c r="ADX167" s="102"/>
      <c r="ADY167" s="102"/>
      <c r="ADZ167" s="102"/>
      <c r="AEA167" s="102"/>
      <c r="AEB167" s="102"/>
      <c r="AEC167" s="102"/>
      <c r="AED167" s="102"/>
      <c r="AEE167" s="102"/>
      <c r="AEF167" s="102"/>
      <c r="AEG167" s="102"/>
      <c r="AEH167" s="102"/>
      <c r="AEI167" s="102"/>
      <c r="AEJ167" s="102"/>
      <c r="AEK167" s="102"/>
      <c r="AEL167" s="102"/>
      <c r="AEM167" s="102"/>
      <c r="AEN167" s="102"/>
      <c r="AEO167" s="102"/>
      <c r="AEP167" s="102"/>
      <c r="AEQ167" s="102"/>
      <c r="AER167" s="102"/>
      <c r="AES167" s="102"/>
      <c r="AET167" s="102"/>
      <c r="AEU167" s="102"/>
      <c r="AEV167" s="102"/>
      <c r="AEW167" s="102"/>
      <c r="AEX167" s="102"/>
      <c r="AEY167" s="102"/>
      <c r="AEZ167" s="102"/>
      <c r="AFA167" s="102"/>
      <c r="AFB167" s="102"/>
      <c r="AFC167" s="102"/>
      <c r="AFD167" s="102"/>
      <c r="AFE167" s="102"/>
      <c r="AFF167" s="102"/>
      <c r="AFG167" s="102"/>
      <c r="AFH167" s="102"/>
      <c r="AFI167" s="102"/>
      <c r="AFJ167" s="102"/>
      <c r="AFK167" s="102"/>
      <c r="AFL167" s="102"/>
      <c r="AFM167" s="102"/>
      <c r="AFN167" s="102"/>
      <c r="AFO167" s="102"/>
      <c r="AFP167" s="102"/>
      <c r="AFQ167" s="102"/>
      <c r="AFR167" s="102"/>
      <c r="AFS167" s="102"/>
      <c r="AFT167" s="102"/>
      <c r="AFU167" s="102"/>
      <c r="AFV167" s="102"/>
      <c r="AFW167" s="102"/>
      <c r="AFX167" s="102"/>
      <c r="AFY167" s="102"/>
      <c r="AFZ167" s="102"/>
      <c r="AGA167" s="102"/>
      <c r="AGB167" s="102"/>
      <c r="AGC167" s="102"/>
      <c r="AGD167" s="102"/>
      <c r="AGE167" s="102"/>
      <c r="AGF167" s="102"/>
      <c r="AGG167" s="102"/>
      <c r="AGH167" s="102"/>
      <c r="AGI167" s="102"/>
      <c r="AGJ167" s="102"/>
      <c r="AGK167" s="102"/>
      <c r="AGL167" s="102"/>
      <c r="AGM167" s="102"/>
      <c r="AGN167" s="102"/>
      <c r="AGO167" s="102"/>
      <c r="AGP167" s="102"/>
      <c r="AGQ167" s="102"/>
      <c r="AGR167" s="102"/>
      <c r="AGS167" s="102"/>
      <c r="AGT167" s="102"/>
      <c r="AGU167" s="102"/>
      <c r="AGV167" s="102"/>
      <c r="AGW167" s="102"/>
      <c r="AGX167" s="102"/>
      <c r="AGY167" s="102"/>
      <c r="AGZ167" s="102"/>
      <c r="AHA167" s="102"/>
      <c r="AHB167" s="102"/>
      <c r="AHC167" s="102"/>
      <c r="AHD167" s="102"/>
      <c r="AHE167" s="102"/>
      <c r="AHF167" s="102"/>
      <c r="AHG167" s="102"/>
      <c r="AHH167" s="102"/>
      <c r="AHI167" s="102"/>
      <c r="AHJ167" s="102"/>
      <c r="AHK167" s="102"/>
      <c r="AHL167" s="102"/>
      <c r="AHM167" s="102"/>
      <c r="AHN167" s="102"/>
      <c r="AHO167" s="102"/>
      <c r="AHP167" s="102"/>
      <c r="AHQ167" s="102"/>
      <c r="AHR167" s="102"/>
      <c r="AHS167" s="102"/>
      <c r="AHT167" s="102"/>
      <c r="AHU167" s="102"/>
      <c r="AHV167" s="102"/>
      <c r="AHW167" s="102"/>
      <c r="AHX167" s="102"/>
      <c r="AHY167" s="102"/>
      <c r="AHZ167" s="102"/>
      <c r="AIA167" s="102"/>
      <c r="AIB167" s="102"/>
      <c r="AIC167" s="102"/>
      <c r="AID167" s="102"/>
      <c r="AIE167" s="102"/>
      <c r="AIF167" s="102"/>
      <c r="AIG167" s="102"/>
      <c r="AIH167" s="102"/>
      <c r="AII167" s="102"/>
      <c r="AIJ167" s="102"/>
      <c r="AIK167" s="102"/>
      <c r="AIL167" s="102"/>
      <c r="AIM167" s="102"/>
      <c r="AIN167" s="102"/>
      <c r="AIO167" s="102"/>
      <c r="AIP167" s="102"/>
      <c r="AIQ167" s="102"/>
      <c r="AIR167" s="102"/>
      <c r="AIS167" s="102"/>
      <c r="AIT167" s="102"/>
      <c r="AIU167" s="102"/>
      <c r="AIV167" s="102"/>
      <c r="AIW167" s="102"/>
      <c r="AIX167" s="102"/>
      <c r="AIY167" s="102"/>
      <c r="AIZ167" s="102"/>
      <c r="AJA167" s="102"/>
      <c r="AJB167" s="102"/>
      <c r="AJC167" s="102"/>
      <c r="AJD167" s="102"/>
      <c r="AJE167" s="102"/>
      <c r="AJF167" s="102"/>
      <c r="AJG167" s="102"/>
      <c r="AJH167" s="102"/>
      <c r="AJI167" s="102"/>
      <c r="AJJ167" s="102"/>
      <c r="AJK167" s="102"/>
      <c r="AJL167" s="102"/>
      <c r="AJM167" s="102"/>
      <c r="AJN167" s="102"/>
      <c r="AJO167" s="102"/>
      <c r="AJP167" s="102"/>
      <c r="AJQ167" s="102"/>
      <c r="AJR167" s="102"/>
      <c r="AJS167" s="102"/>
      <c r="AJT167" s="102"/>
      <c r="AJU167" s="102"/>
      <c r="AJV167" s="102"/>
      <c r="AJW167" s="102"/>
      <c r="AJX167" s="102"/>
      <c r="AJY167" s="102"/>
      <c r="AJZ167" s="102"/>
      <c r="AKA167" s="102"/>
      <c r="AKB167" s="102"/>
      <c r="AKC167" s="102"/>
      <c r="AKD167" s="102"/>
      <c r="AKE167" s="102"/>
      <c r="AKF167" s="102"/>
      <c r="AKG167" s="102"/>
      <c r="AKH167" s="102"/>
      <c r="AKI167" s="102"/>
      <c r="AKJ167" s="102"/>
      <c r="AKK167" s="102"/>
      <c r="AKL167" s="102"/>
      <c r="AKM167" s="102"/>
      <c r="AKN167" s="102"/>
      <c r="AKO167" s="102"/>
      <c r="AKP167" s="102"/>
      <c r="AKQ167" s="102"/>
      <c r="AKR167" s="102"/>
      <c r="AKS167" s="102"/>
      <c r="AKT167" s="102"/>
      <c r="AKU167" s="102"/>
      <c r="AKV167" s="102"/>
      <c r="AKW167" s="102"/>
      <c r="AKX167" s="102"/>
      <c r="AKY167" s="102"/>
      <c r="AKZ167" s="102"/>
      <c r="ALA167" s="102"/>
      <c r="ALB167" s="102"/>
      <c r="ALC167" s="102"/>
      <c r="ALD167" s="102"/>
      <c r="ALE167" s="102"/>
      <c r="ALF167" s="102"/>
      <c r="ALG167" s="102"/>
      <c r="ALH167" s="102"/>
      <c r="ALI167" s="102"/>
      <c r="ALJ167" s="102"/>
      <c r="ALK167" s="102"/>
      <c r="ALL167" s="102"/>
      <c r="ALM167" s="102"/>
      <c r="ALN167" s="102"/>
      <c r="ALO167" s="102"/>
      <c r="ALP167" s="102"/>
      <c r="ALQ167" s="102"/>
      <c r="ALR167" s="102"/>
      <c r="ALS167" s="102"/>
      <c r="ALT167" s="102"/>
      <c r="ALU167" s="102"/>
      <c r="ALV167" s="102"/>
      <c r="ALW167" s="102"/>
      <c r="ALX167" s="102"/>
      <c r="ALY167" s="102"/>
      <c r="ALZ167" s="102"/>
      <c r="AMA167" s="102"/>
      <c r="AMB167" s="102"/>
      <c r="AMC167" s="102"/>
      <c r="AMD167" s="102"/>
      <c r="AME167" s="102"/>
      <c r="AMF167" s="102"/>
      <c r="AMG167" s="102"/>
      <c r="AMH167" s="102"/>
      <c r="AMI167" s="102"/>
      <c r="AMJ167" s="102"/>
      <c r="AMK167" s="102"/>
      <c r="AML167" s="102"/>
      <c r="AMM167" s="102"/>
      <c r="AMN167" s="102"/>
      <c r="AMO167" s="102"/>
      <c r="AMP167" s="102"/>
      <c r="AMQ167" s="102"/>
      <c r="AMR167" s="102"/>
      <c r="AMS167" s="102"/>
      <c r="AMT167" s="102"/>
      <c r="AMU167" s="102"/>
      <c r="AMV167" s="102"/>
      <c r="AMW167" s="102"/>
      <c r="AMX167" s="102"/>
      <c r="AMY167" s="102"/>
      <c r="AMZ167" s="102"/>
      <c r="ANA167" s="102"/>
      <c r="ANB167" s="102"/>
      <c r="ANC167" s="102"/>
      <c r="AND167" s="102"/>
      <c r="ANE167" s="102"/>
      <c r="ANF167" s="102"/>
      <c r="ANG167" s="102"/>
      <c r="ANH167" s="102"/>
      <c r="ANI167" s="102"/>
      <c r="ANJ167" s="102"/>
      <c r="ANK167" s="102"/>
      <c r="ANL167" s="102"/>
      <c r="ANM167" s="102"/>
      <c r="ANN167" s="102"/>
      <c r="ANO167" s="102"/>
      <c r="ANP167" s="102"/>
      <c r="ANQ167" s="102"/>
      <c r="ANR167" s="102"/>
      <c r="ANS167" s="102"/>
      <c r="ANT167" s="102"/>
      <c r="ANU167" s="102"/>
      <c r="ANV167" s="102"/>
      <c r="ANW167" s="102"/>
      <c r="ANX167" s="102"/>
      <c r="ANY167" s="102"/>
      <c r="ANZ167" s="102"/>
      <c r="AOA167" s="102"/>
      <c r="AOB167" s="102"/>
      <c r="AOC167" s="102"/>
      <c r="AOD167" s="102"/>
      <c r="AOE167" s="102"/>
      <c r="AOF167" s="102"/>
      <c r="AOG167" s="102"/>
      <c r="AOH167" s="102"/>
      <c r="AOI167" s="102"/>
      <c r="AOJ167" s="102"/>
      <c r="AOK167" s="102"/>
      <c r="AOL167" s="102"/>
      <c r="AOM167" s="102"/>
      <c r="AON167" s="102"/>
      <c r="AOO167" s="102"/>
      <c r="AOP167" s="102"/>
      <c r="AOQ167" s="102"/>
      <c r="AOR167" s="102"/>
      <c r="AOS167" s="102"/>
      <c r="AOT167" s="102"/>
      <c r="AOU167" s="102"/>
      <c r="AOV167" s="102"/>
      <c r="AOW167" s="102"/>
      <c r="AOX167" s="102"/>
      <c r="AOY167" s="102"/>
      <c r="AOZ167" s="102"/>
      <c r="APA167" s="102"/>
      <c r="APB167" s="102"/>
      <c r="APC167" s="102"/>
      <c r="APD167" s="102"/>
      <c r="APE167" s="102"/>
      <c r="APF167" s="102"/>
      <c r="APG167" s="102"/>
      <c r="APH167" s="102"/>
      <c r="API167" s="102"/>
      <c r="APJ167" s="102"/>
      <c r="APK167" s="102"/>
      <c r="APL167" s="102"/>
      <c r="APM167" s="102"/>
      <c r="APN167" s="102"/>
      <c r="APO167" s="102"/>
      <c r="APP167" s="102"/>
      <c r="APQ167" s="102"/>
      <c r="APR167" s="102"/>
      <c r="APS167" s="102"/>
      <c r="APT167" s="102"/>
      <c r="APU167" s="102"/>
      <c r="APV167" s="102"/>
      <c r="APW167" s="102"/>
      <c r="APX167" s="102"/>
      <c r="APY167" s="102"/>
      <c r="APZ167" s="102"/>
      <c r="AQA167" s="102"/>
      <c r="AQB167" s="102"/>
      <c r="AQC167" s="102"/>
      <c r="AQD167" s="102"/>
      <c r="AQE167" s="102"/>
      <c r="AQF167" s="102"/>
      <c r="AQG167" s="102"/>
      <c r="AQH167" s="102"/>
      <c r="AQI167" s="102"/>
      <c r="AQJ167" s="102"/>
      <c r="AQK167" s="102"/>
      <c r="AQL167" s="102"/>
      <c r="AQM167" s="102"/>
      <c r="AQN167" s="102"/>
      <c r="AQO167" s="102"/>
      <c r="AQP167" s="102"/>
      <c r="AQQ167" s="102"/>
      <c r="AQR167" s="102"/>
      <c r="AQS167" s="102"/>
      <c r="AQT167" s="102"/>
      <c r="AQU167" s="102"/>
      <c r="AQV167" s="102"/>
      <c r="AQW167" s="102"/>
      <c r="AQX167" s="102"/>
      <c r="AQY167" s="102"/>
      <c r="AQZ167" s="102"/>
      <c r="ARA167" s="102"/>
      <c r="ARB167" s="102"/>
      <c r="ARC167" s="102"/>
      <c r="ARD167" s="102"/>
      <c r="ARE167" s="102"/>
      <c r="ARF167" s="102"/>
      <c r="ARG167" s="102"/>
      <c r="ARH167" s="102"/>
      <c r="ARI167" s="102"/>
      <c r="ARJ167" s="102"/>
      <c r="ARK167" s="102"/>
      <c r="ARL167" s="102"/>
      <c r="ARM167" s="102"/>
      <c r="ARN167" s="102"/>
      <c r="ARO167" s="102"/>
      <c r="ARP167" s="102"/>
      <c r="ARQ167" s="102"/>
      <c r="ARR167" s="102"/>
      <c r="ARS167" s="102"/>
      <c r="ART167" s="102"/>
      <c r="ARU167" s="102"/>
      <c r="ARV167" s="102"/>
      <c r="ARW167" s="102"/>
      <c r="ARX167" s="102"/>
      <c r="ARY167" s="102"/>
      <c r="ARZ167" s="102"/>
      <c r="ASA167" s="102"/>
      <c r="ASB167" s="102"/>
      <c r="ASC167" s="102"/>
      <c r="ASD167" s="102"/>
      <c r="ASE167" s="102"/>
      <c r="ASF167" s="102"/>
      <c r="ASG167" s="102"/>
      <c r="ASH167" s="102"/>
      <c r="ASI167" s="102"/>
      <c r="ASJ167" s="102"/>
      <c r="ASK167" s="102"/>
      <c r="ASL167" s="102"/>
      <c r="ASM167" s="102"/>
      <c r="ASN167" s="102"/>
      <c r="ASO167" s="102"/>
      <c r="ASP167" s="102"/>
      <c r="ASQ167" s="102"/>
      <c r="ASR167" s="102"/>
      <c r="ASS167" s="102"/>
      <c r="AST167" s="102"/>
      <c r="ASU167" s="102"/>
      <c r="ASV167" s="102"/>
      <c r="ASW167" s="102"/>
      <c r="ASX167" s="102"/>
      <c r="ASY167" s="102"/>
      <c r="ASZ167" s="102"/>
      <c r="ATA167" s="102"/>
      <c r="ATB167" s="102"/>
      <c r="ATC167" s="102"/>
      <c r="ATD167" s="102"/>
      <c r="ATE167" s="102"/>
      <c r="ATF167" s="102"/>
      <c r="ATG167" s="102"/>
      <c r="ATH167" s="102"/>
      <c r="ATI167" s="102"/>
      <c r="ATJ167" s="102"/>
      <c r="ATK167" s="102"/>
      <c r="ATL167" s="102"/>
      <c r="ATM167" s="102"/>
      <c r="ATN167" s="102"/>
      <c r="ATO167" s="102"/>
      <c r="ATP167" s="102"/>
      <c r="ATQ167" s="102"/>
      <c r="ATR167" s="102"/>
      <c r="ATS167" s="102"/>
      <c r="ATT167" s="102"/>
      <c r="ATU167" s="102"/>
      <c r="ATV167" s="102"/>
      <c r="ATW167" s="102"/>
      <c r="ATX167" s="102"/>
      <c r="ATY167" s="102"/>
      <c r="ATZ167" s="102"/>
      <c r="AUA167" s="102"/>
      <c r="AUB167" s="102"/>
      <c r="AUC167" s="102"/>
      <c r="AUD167" s="102"/>
      <c r="AUE167" s="102"/>
      <c r="AUF167" s="102"/>
      <c r="AUG167" s="102"/>
      <c r="AUH167" s="102"/>
      <c r="AUI167" s="102"/>
      <c r="AUJ167" s="102"/>
      <c r="AUK167" s="102"/>
      <c r="AUL167" s="102"/>
      <c r="AUM167" s="102"/>
      <c r="AUN167" s="102"/>
      <c r="AUO167" s="102"/>
      <c r="AUP167" s="102"/>
      <c r="AUQ167" s="102"/>
      <c r="AUR167" s="102"/>
      <c r="AUS167" s="102"/>
      <c r="AUT167" s="102"/>
      <c r="AUU167" s="102"/>
      <c r="AUV167" s="102"/>
      <c r="AUW167" s="102"/>
      <c r="AUX167" s="102"/>
      <c r="AUY167" s="102"/>
      <c r="AUZ167" s="102"/>
      <c r="AVA167" s="102"/>
      <c r="AVB167" s="102"/>
      <c r="AVC167" s="102"/>
      <c r="AVD167" s="102"/>
      <c r="AVE167" s="102"/>
      <c r="AVF167" s="102"/>
      <c r="AVG167" s="102"/>
      <c r="AVH167" s="102"/>
      <c r="AVI167" s="102"/>
      <c r="AVJ167" s="102"/>
      <c r="AVK167" s="102"/>
      <c r="AVL167" s="102"/>
      <c r="AVM167" s="102"/>
      <c r="AVN167" s="102"/>
      <c r="AVO167" s="102"/>
      <c r="AVP167" s="102"/>
      <c r="AVQ167" s="102"/>
      <c r="AVR167" s="102"/>
      <c r="AVS167" s="102"/>
      <c r="AVT167" s="102"/>
      <c r="AVU167" s="102"/>
      <c r="AVV167" s="102"/>
      <c r="AVW167" s="102"/>
      <c r="AVX167" s="102"/>
      <c r="AVY167" s="102"/>
      <c r="AVZ167" s="102"/>
      <c r="AWA167" s="102"/>
      <c r="AWB167" s="102"/>
      <c r="AWC167" s="102"/>
      <c r="AWD167" s="102"/>
      <c r="AWE167" s="102"/>
      <c r="AWF167" s="102"/>
      <c r="AWG167" s="102"/>
      <c r="AWH167" s="102"/>
      <c r="AWI167" s="102"/>
      <c r="AWJ167" s="102"/>
      <c r="AWK167" s="102"/>
      <c r="AWL167" s="102"/>
      <c r="AWM167" s="102"/>
      <c r="AWN167" s="102"/>
      <c r="AWO167" s="102"/>
      <c r="AWP167" s="102"/>
      <c r="AWQ167" s="102"/>
      <c r="AWR167" s="102"/>
      <c r="AWS167" s="102"/>
      <c r="AWT167" s="102"/>
      <c r="AWU167" s="102"/>
      <c r="AWV167" s="102"/>
      <c r="AWW167" s="102"/>
      <c r="AWX167" s="102"/>
      <c r="AWY167" s="102"/>
      <c r="AWZ167" s="102"/>
      <c r="AXA167" s="102"/>
      <c r="AXB167" s="102"/>
      <c r="AXC167" s="102"/>
      <c r="AXD167" s="102"/>
      <c r="AXE167" s="102"/>
      <c r="AXF167" s="102"/>
      <c r="AXG167" s="102"/>
      <c r="AXH167" s="102"/>
      <c r="AXI167" s="102"/>
      <c r="AXJ167" s="102"/>
      <c r="AXK167" s="102"/>
      <c r="AXL167" s="102"/>
      <c r="AXM167" s="102"/>
      <c r="AXN167" s="102"/>
      <c r="AXO167" s="102"/>
      <c r="AXP167" s="102"/>
      <c r="AXQ167" s="102"/>
      <c r="AXR167" s="102"/>
      <c r="AXS167" s="102"/>
      <c r="AXT167" s="102"/>
      <c r="AXU167" s="102"/>
      <c r="AXV167" s="102"/>
      <c r="AXW167" s="102"/>
      <c r="AXX167" s="102"/>
      <c r="AXY167" s="102"/>
      <c r="AXZ167" s="102"/>
      <c r="AYA167" s="102"/>
      <c r="AYB167" s="102"/>
      <c r="AYC167" s="102"/>
      <c r="AYD167" s="102"/>
      <c r="AYE167" s="102"/>
      <c r="AYF167" s="102"/>
      <c r="AYG167" s="102"/>
      <c r="AYH167" s="102"/>
      <c r="AYI167" s="102"/>
      <c r="AYJ167" s="102"/>
      <c r="AYK167" s="102"/>
      <c r="AYL167" s="102"/>
      <c r="AYM167" s="102"/>
      <c r="AYN167" s="102"/>
      <c r="AYO167" s="102"/>
      <c r="AYP167" s="102"/>
      <c r="AYQ167" s="102"/>
      <c r="AYR167" s="102"/>
      <c r="AYS167" s="102"/>
      <c r="AYT167" s="102"/>
      <c r="AYU167" s="102"/>
      <c r="AYV167" s="102"/>
      <c r="AYW167" s="102"/>
      <c r="AYX167" s="102"/>
      <c r="AYY167" s="102"/>
      <c r="AYZ167" s="102"/>
      <c r="AZA167" s="102"/>
      <c r="AZB167" s="102"/>
      <c r="AZC167" s="102"/>
      <c r="AZD167" s="102"/>
      <c r="AZE167" s="102"/>
      <c r="AZF167" s="102"/>
      <c r="AZG167" s="102"/>
      <c r="AZH167" s="102"/>
      <c r="AZI167" s="102"/>
      <c r="AZJ167" s="102"/>
      <c r="AZK167" s="102"/>
      <c r="AZL167" s="102"/>
      <c r="AZM167" s="102"/>
      <c r="AZN167" s="102"/>
      <c r="AZO167" s="102"/>
      <c r="AZP167" s="102"/>
      <c r="AZQ167" s="102"/>
      <c r="AZR167" s="102"/>
      <c r="AZS167" s="102"/>
      <c r="AZT167" s="102"/>
      <c r="AZU167" s="102"/>
      <c r="AZV167" s="102"/>
      <c r="AZW167" s="102"/>
      <c r="AZX167" s="102"/>
      <c r="AZY167" s="102"/>
      <c r="AZZ167" s="102"/>
      <c r="BAA167" s="102"/>
      <c r="BAB167" s="102"/>
      <c r="BAC167" s="102"/>
      <c r="BAD167" s="102"/>
      <c r="BAE167" s="102"/>
      <c r="BAF167" s="102"/>
      <c r="BAG167" s="102"/>
      <c r="BAH167" s="102"/>
      <c r="BAI167" s="102"/>
      <c r="BAJ167" s="102"/>
      <c r="BAK167" s="102"/>
      <c r="BAL167" s="102"/>
      <c r="BAM167" s="102"/>
      <c r="BAN167" s="102"/>
      <c r="BAO167" s="102"/>
      <c r="BAP167" s="102"/>
      <c r="BAQ167" s="102"/>
      <c r="BAR167" s="102"/>
      <c r="BAS167" s="102"/>
      <c r="BAT167" s="102"/>
      <c r="BAU167" s="102"/>
      <c r="BAV167" s="102"/>
      <c r="BAW167" s="102"/>
      <c r="BAX167" s="102"/>
      <c r="BAY167" s="102"/>
      <c r="BAZ167" s="102"/>
      <c r="BBA167" s="102"/>
      <c r="BBB167" s="102"/>
      <c r="BBC167" s="102"/>
      <c r="BBD167" s="102"/>
      <c r="BBE167" s="102"/>
      <c r="BBF167" s="102"/>
      <c r="BBG167" s="102"/>
      <c r="BBH167" s="102"/>
      <c r="BBI167" s="102"/>
      <c r="BBJ167" s="102"/>
      <c r="BBK167" s="102"/>
      <c r="BBL167" s="102"/>
      <c r="BBM167" s="102"/>
      <c r="BBN167" s="102"/>
      <c r="BBO167" s="102"/>
      <c r="BBP167" s="102"/>
      <c r="BBQ167" s="102"/>
      <c r="BBR167" s="102"/>
      <c r="BBS167" s="102"/>
      <c r="BBT167" s="102"/>
      <c r="BBU167" s="102"/>
      <c r="BBV167" s="102"/>
      <c r="BBW167" s="102"/>
      <c r="BBX167" s="102"/>
      <c r="BBY167" s="102"/>
      <c r="BBZ167" s="102"/>
      <c r="BCA167" s="102"/>
      <c r="BCB167" s="102"/>
      <c r="BCC167" s="102"/>
      <c r="BCD167" s="102"/>
      <c r="BCE167" s="102"/>
      <c r="BCF167" s="102"/>
      <c r="BCG167" s="102"/>
      <c r="BCH167" s="102"/>
      <c r="BCI167" s="102"/>
      <c r="BCJ167" s="102"/>
      <c r="BCK167" s="102"/>
      <c r="BCL167" s="102"/>
      <c r="BCM167" s="102"/>
      <c r="BCN167" s="102"/>
      <c r="BCO167" s="102"/>
      <c r="BCP167" s="102"/>
      <c r="BCQ167" s="102"/>
      <c r="BCR167" s="102"/>
      <c r="BCS167" s="102"/>
      <c r="BCT167" s="102"/>
      <c r="BCU167" s="102"/>
      <c r="BCV167" s="102"/>
      <c r="BCW167" s="102"/>
      <c r="BCX167" s="102"/>
      <c r="BCY167" s="102"/>
      <c r="BCZ167" s="102"/>
      <c r="BDA167" s="102"/>
      <c r="BDB167" s="102"/>
      <c r="BDC167" s="102"/>
      <c r="BDD167" s="102"/>
      <c r="BDE167" s="102"/>
      <c r="BDF167" s="102"/>
      <c r="BDG167" s="102"/>
      <c r="BDH167" s="102"/>
      <c r="BDI167" s="102"/>
      <c r="BDJ167" s="102"/>
      <c r="BDK167" s="102"/>
      <c r="BDL167" s="102"/>
      <c r="BDM167" s="102"/>
      <c r="BDN167" s="102"/>
      <c r="BDO167" s="102"/>
      <c r="BDP167" s="102"/>
      <c r="BDQ167" s="102"/>
      <c r="BDR167" s="102"/>
      <c r="BDS167" s="102"/>
      <c r="BDT167" s="102"/>
      <c r="BDU167" s="102"/>
      <c r="BDV167" s="102"/>
      <c r="BDW167" s="102"/>
      <c r="BDX167" s="102"/>
      <c r="BDY167" s="102"/>
      <c r="BDZ167" s="102"/>
      <c r="BEA167" s="102"/>
      <c r="BEB167" s="102"/>
      <c r="BEC167" s="102"/>
      <c r="BED167" s="102"/>
      <c r="BEE167" s="102"/>
      <c r="BEF167" s="102"/>
      <c r="BEG167" s="102"/>
      <c r="BEH167" s="102"/>
      <c r="BEI167" s="102"/>
      <c r="BEJ167" s="102"/>
      <c r="BEK167" s="102"/>
      <c r="BEL167" s="102"/>
      <c r="BEM167" s="102"/>
      <c r="BEN167" s="102"/>
      <c r="BEO167" s="102"/>
      <c r="BEP167" s="102"/>
      <c r="BEQ167" s="102"/>
      <c r="BER167" s="102"/>
      <c r="BES167" s="102"/>
      <c r="BET167" s="102"/>
      <c r="BEU167" s="102"/>
      <c r="BEV167" s="102"/>
      <c r="BEW167" s="102"/>
      <c r="BEX167" s="102"/>
      <c r="BEY167" s="102"/>
      <c r="BEZ167" s="102"/>
      <c r="BFA167" s="102"/>
      <c r="BFB167" s="102"/>
      <c r="BFC167" s="102"/>
      <c r="BFD167" s="102"/>
      <c r="BFE167" s="102"/>
      <c r="BFF167" s="102"/>
      <c r="BFG167" s="102"/>
      <c r="BFH167" s="102"/>
      <c r="BFI167" s="102"/>
      <c r="BFJ167" s="102"/>
      <c r="BFK167" s="102"/>
      <c r="BFL167" s="102"/>
      <c r="BFM167" s="102"/>
      <c r="BFN167" s="102"/>
      <c r="BFO167" s="102"/>
      <c r="BFP167" s="102"/>
      <c r="BFQ167" s="102"/>
      <c r="BFR167" s="102"/>
      <c r="BFS167" s="102"/>
      <c r="BFT167" s="102"/>
      <c r="BFU167" s="102"/>
      <c r="BFV167" s="102"/>
      <c r="BFW167" s="102"/>
      <c r="BFX167" s="102"/>
      <c r="BFY167" s="102"/>
      <c r="BFZ167" s="102"/>
      <c r="BGA167" s="102"/>
      <c r="BGB167" s="102"/>
      <c r="BGC167" s="102"/>
      <c r="BGD167" s="102"/>
      <c r="BGE167" s="102"/>
      <c r="BGF167" s="102"/>
      <c r="BGG167" s="102"/>
      <c r="BGH167" s="102"/>
      <c r="BGI167" s="102"/>
      <c r="BGJ167" s="102"/>
      <c r="BGK167" s="102"/>
      <c r="BGL167" s="102"/>
      <c r="BGM167" s="102"/>
      <c r="BGN167" s="102"/>
      <c r="BGO167" s="102"/>
      <c r="BGP167" s="102"/>
      <c r="BGQ167" s="102"/>
      <c r="BGR167" s="102"/>
      <c r="BGS167" s="102"/>
      <c r="BGT167" s="102"/>
      <c r="BGU167" s="102"/>
      <c r="BGV167" s="102"/>
      <c r="BGW167" s="102"/>
      <c r="BGX167" s="102"/>
      <c r="BGY167" s="102"/>
      <c r="BGZ167" s="102"/>
      <c r="BHA167" s="102"/>
      <c r="BHB167" s="102"/>
      <c r="BHC167" s="102"/>
      <c r="BHD167" s="102"/>
      <c r="BHE167" s="102"/>
      <c r="BHF167" s="102"/>
      <c r="BHG167" s="102"/>
      <c r="BHH167" s="102"/>
      <c r="BHI167" s="102"/>
      <c r="BHJ167" s="102"/>
      <c r="BHK167" s="102"/>
      <c r="BHL167" s="102"/>
      <c r="BHM167" s="102"/>
      <c r="BHN167" s="102"/>
      <c r="BHO167" s="102"/>
      <c r="BHP167" s="102"/>
      <c r="BHQ167" s="102"/>
      <c r="BHR167" s="102"/>
      <c r="BHS167" s="102"/>
      <c r="BHT167" s="102"/>
      <c r="BHU167" s="102"/>
      <c r="BHV167" s="102"/>
      <c r="BHW167" s="102"/>
      <c r="BHX167" s="102"/>
      <c r="BHY167" s="102"/>
      <c r="BHZ167" s="102"/>
      <c r="BIA167" s="102"/>
      <c r="BIB167" s="102"/>
      <c r="BIC167" s="102"/>
      <c r="BID167" s="102"/>
      <c r="BIE167" s="102"/>
      <c r="BIF167" s="102"/>
      <c r="BIG167" s="102"/>
      <c r="BIH167" s="102"/>
      <c r="BII167" s="102"/>
      <c r="BIJ167" s="102"/>
      <c r="BIK167" s="102"/>
      <c r="BIL167" s="102"/>
      <c r="BIM167" s="102"/>
      <c r="BIN167" s="102"/>
      <c r="BIO167" s="102"/>
      <c r="BIP167" s="102"/>
      <c r="BIQ167" s="102"/>
      <c r="BIR167" s="102"/>
      <c r="BIS167" s="102"/>
      <c r="BIT167" s="102"/>
      <c r="BIU167" s="102"/>
      <c r="BIV167" s="102"/>
      <c r="BIW167" s="102"/>
      <c r="BIX167" s="102"/>
      <c r="BIY167" s="102"/>
      <c r="BIZ167" s="102"/>
      <c r="BJA167" s="102"/>
      <c r="BJB167" s="102"/>
      <c r="BJC167" s="102"/>
      <c r="BJD167" s="102"/>
      <c r="BJE167" s="102"/>
      <c r="BJF167" s="102"/>
      <c r="BJG167" s="102"/>
      <c r="BJH167" s="102"/>
      <c r="BJI167" s="102"/>
      <c r="BJJ167" s="102"/>
      <c r="BJK167" s="102"/>
      <c r="BJL167" s="102"/>
      <c r="BJM167" s="102"/>
      <c r="BJN167" s="102"/>
      <c r="BJO167" s="102"/>
      <c r="BJP167" s="102"/>
      <c r="BJQ167" s="102"/>
      <c r="BJR167" s="102"/>
      <c r="BJS167" s="102"/>
      <c r="BJT167" s="102"/>
      <c r="BJU167" s="102"/>
      <c r="BJV167" s="102"/>
      <c r="BJW167" s="102"/>
      <c r="BJX167" s="102"/>
      <c r="BJY167" s="102"/>
      <c r="BJZ167" s="102"/>
      <c r="BKA167" s="102"/>
      <c r="BKB167" s="102"/>
      <c r="BKC167" s="102"/>
      <c r="BKD167" s="102"/>
      <c r="BKE167" s="102"/>
      <c r="BKF167" s="102"/>
      <c r="BKG167" s="102"/>
      <c r="BKH167" s="102"/>
      <c r="BKI167" s="102"/>
      <c r="BKJ167" s="102"/>
      <c r="BKK167" s="102"/>
      <c r="BKL167" s="102"/>
      <c r="BKM167" s="102"/>
      <c r="BKN167" s="102"/>
      <c r="BKO167" s="102"/>
      <c r="BKP167" s="102"/>
      <c r="BKQ167" s="102"/>
      <c r="BKR167" s="102"/>
      <c r="BKS167" s="102"/>
      <c r="BKT167" s="102"/>
      <c r="BKU167" s="102"/>
      <c r="BKV167" s="102"/>
      <c r="BKW167" s="102"/>
      <c r="BKX167" s="102"/>
      <c r="BKY167" s="102"/>
      <c r="BKZ167" s="102"/>
      <c r="BLA167" s="102"/>
      <c r="BLB167" s="102"/>
      <c r="BLC167" s="102"/>
      <c r="BLD167" s="102"/>
      <c r="BLE167" s="102"/>
      <c r="BLF167" s="102"/>
      <c r="BLG167" s="102"/>
      <c r="BLH167" s="102"/>
      <c r="BLI167" s="102"/>
      <c r="BLJ167" s="102"/>
      <c r="BLK167" s="102"/>
      <c r="BLL167" s="102"/>
      <c r="BLM167" s="102"/>
      <c r="BLN167" s="102"/>
      <c r="BLO167" s="102"/>
      <c r="BLP167" s="102"/>
      <c r="BLQ167" s="102"/>
      <c r="BLR167" s="102"/>
      <c r="BLS167" s="102"/>
      <c r="BLT167" s="102"/>
      <c r="BLU167" s="102"/>
      <c r="BLV167" s="102"/>
      <c r="BLW167" s="102"/>
      <c r="BLX167" s="102"/>
      <c r="BLY167" s="102"/>
      <c r="BLZ167" s="102"/>
      <c r="BMA167" s="102"/>
      <c r="BMB167" s="102"/>
      <c r="BMC167" s="102"/>
      <c r="BMD167" s="102"/>
      <c r="BME167" s="102"/>
      <c r="BMF167" s="102"/>
      <c r="BMG167" s="102"/>
      <c r="BMH167" s="102"/>
      <c r="BMI167" s="102"/>
      <c r="BMJ167" s="102"/>
      <c r="BMK167" s="102"/>
      <c r="BML167" s="102"/>
      <c r="BMM167" s="102"/>
      <c r="BMN167" s="102"/>
      <c r="BMO167" s="102"/>
      <c r="BMP167" s="102"/>
      <c r="BMQ167" s="102"/>
      <c r="BMR167" s="102"/>
      <c r="BMS167" s="102"/>
      <c r="BMT167" s="102"/>
      <c r="BMU167" s="102"/>
      <c r="BMV167" s="102"/>
      <c r="BMW167" s="102"/>
      <c r="BMX167" s="102"/>
      <c r="BMY167" s="102"/>
      <c r="BMZ167" s="102"/>
      <c r="BNA167" s="102"/>
      <c r="BNB167" s="102"/>
      <c r="BNC167" s="102"/>
      <c r="BND167" s="102"/>
      <c r="BNE167" s="102"/>
      <c r="BNF167" s="102"/>
      <c r="BNG167" s="102"/>
      <c r="BNH167" s="102"/>
      <c r="BNI167" s="102"/>
      <c r="BNJ167" s="102"/>
      <c r="BNK167" s="102"/>
      <c r="BNL167" s="102"/>
      <c r="BNM167" s="102"/>
      <c r="BNN167" s="102"/>
      <c r="BNO167" s="102"/>
      <c r="BNP167" s="102"/>
      <c r="BNQ167" s="102"/>
      <c r="BNR167" s="102"/>
      <c r="BNS167" s="102"/>
      <c r="BNT167" s="102"/>
      <c r="BNU167" s="102"/>
      <c r="BNV167" s="102"/>
      <c r="BNW167" s="102"/>
      <c r="BNX167" s="102"/>
      <c r="BNY167" s="102"/>
      <c r="BNZ167" s="102"/>
      <c r="BOA167" s="102"/>
      <c r="BOB167" s="102"/>
      <c r="BOC167" s="102"/>
      <c r="BOD167" s="102"/>
      <c r="BOE167" s="102"/>
      <c r="BOF167" s="102"/>
      <c r="BOG167" s="102"/>
      <c r="BOH167" s="102"/>
      <c r="BOI167" s="102"/>
      <c r="BOJ167" s="102"/>
      <c r="BOK167" s="102"/>
      <c r="BOL167" s="102"/>
      <c r="BOM167" s="102"/>
      <c r="BON167" s="102"/>
      <c r="BOO167" s="102"/>
      <c r="BOP167" s="102"/>
      <c r="BOQ167" s="102"/>
      <c r="BOR167" s="102"/>
      <c r="BOS167" s="102"/>
      <c r="BOT167" s="102"/>
      <c r="BOU167" s="102"/>
      <c r="BOV167" s="102"/>
      <c r="BOW167" s="102"/>
      <c r="BOX167" s="102"/>
      <c r="BOY167" s="102"/>
      <c r="BOZ167" s="102"/>
      <c r="BPA167" s="102"/>
      <c r="BPB167" s="102"/>
      <c r="BPC167" s="102"/>
      <c r="BPD167" s="102"/>
      <c r="BPE167" s="102"/>
      <c r="BPF167" s="102"/>
      <c r="BPG167" s="102"/>
      <c r="BPH167" s="102"/>
      <c r="BPI167" s="102"/>
      <c r="BPJ167" s="102"/>
      <c r="BPK167" s="102"/>
      <c r="BPL167" s="102"/>
      <c r="BPM167" s="102"/>
      <c r="BPN167" s="102"/>
      <c r="BPO167" s="102"/>
      <c r="BPP167" s="102"/>
      <c r="BPQ167" s="102"/>
      <c r="BPR167" s="102"/>
      <c r="BPS167" s="102"/>
      <c r="BPT167" s="102"/>
      <c r="BPU167" s="102"/>
      <c r="BPV167" s="102"/>
      <c r="BPW167" s="102"/>
      <c r="BPX167" s="102"/>
      <c r="BPY167" s="102"/>
      <c r="BPZ167" s="102"/>
      <c r="BQA167" s="102"/>
      <c r="BQB167" s="102"/>
      <c r="BQC167" s="102"/>
      <c r="BQD167" s="102"/>
      <c r="BQE167" s="102"/>
      <c r="BQF167" s="102"/>
      <c r="BQG167" s="102"/>
      <c r="BQH167" s="102"/>
      <c r="BQI167" s="102"/>
      <c r="BQJ167" s="102"/>
      <c r="BQK167" s="102"/>
      <c r="BQL167" s="102"/>
      <c r="BQM167" s="102"/>
      <c r="BQN167" s="102"/>
      <c r="BQO167" s="102"/>
      <c r="BQP167" s="102"/>
      <c r="BQQ167" s="102"/>
      <c r="BQR167" s="102"/>
      <c r="BQS167" s="102"/>
      <c r="BQT167" s="102"/>
      <c r="BQU167" s="102"/>
      <c r="BQV167" s="102"/>
      <c r="BQW167" s="102"/>
      <c r="BQX167" s="102"/>
      <c r="BQY167" s="102"/>
      <c r="BQZ167" s="102"/>
      <c r="BRA167" s="102"/>
      <c r="BRB167" s="102"/>
      <c r="BRC167" s="102"/>
      <c r="BRD167" s="102"/>
      <c r="BRE167" s="102"/>
      <c r="BRF167" s="102"/>
      <c r="BRG167" s="102"/>
      <c r="BRH167" s="102"/>
      <c r="BRI167" s="102"/>
      <c r="BRJ167" s="102"/>
      <c r="BRK167" s="102"/>
      <c r="BRL167" s="102"/>
      <c r="BRM167" s="102"/>
      <c r="BRN167" s="102"/>
      <c r="BRO167" s="102"/>
      <c r="BRP167" s="102"/>
      <c r="BRQ167" s="102"/>
      <c r="BRR167" s="102"/>
      <c r="BRS167" s="102"/>
      <c r="BRT167" s="102"/>
      <c r="BRU167" s="102"/>
      <c r="BRV167" s="102"/>
      <c r="BRW167" s="102"/>
      <c r="BRX167" s="102"/>
      <c r="BRY167" s="102"/>
      <c r="BRZ167" s="102"/>
      <c r="BSA167" s="102"/>
      <c r="BSB167" s="102"/>
      <c r="BSC167" s="102"/>
      <c r="BSD167" s="102"/>
      <c r="BSE167" s="102"/>
      <c r="BSF167" s="102"/>
      <c r="BSG167" s="102"/>
      <c r="BSH167" s="102"/>
      <c r="BSI167" s="102"/>
      <c r="BSJ167" s="102"/>
      <c r="BSK167" s="102"/>
      <c r="BSL167" s="102"/>
      <c r="BSM167" s="102"/>
      <c r="BSN167" s="102"/>
      <c r="BSO167" s="102"/>
      <c r="BSP167" s="102"/>
      <c r="BSQ167" s="102"/>
      <c r="BSR167" s="102"/>
      <c r="BSS167" s="102"/>
      <c r="BST167" s="102"/>
      <c r="BSU167" s="102"/>
      <c r="BSV167" s="102"/>
      <c r="BSW167" s="102"/>
      <c r="BSX167" s="102"/>
      <c r="BSY167" s="102"/>
      <c r="BSZ167" s="102"/>
      <c r="BTA167" s="102"/>
      <c r="BTB167" s="102"/>
      <c r="BTC167" s="102"/>
      <c r="BTD167" s="102"/>
      <c r="BTE167" s="102"/>
      <c r="BTF167" s="102"/>
      <c r="BTG167" s="102"/>
      <c r="BTH167" s="102"/>
      <c r="BTI167" s="102"/>
      <c r="BTJ167" s="102"/>
      <c r="BTK167" s="102"/>
      <c r="BTL167" s="102"/>
      <c r="BTM167" s="102"/>
      <c r="BTN167" s="102"/>
      <c r="BTO167" s="102"/>
      <c r="BTP167" s="102"/>
      <c r="BTQ167" s="102"/>
      <c r="BTR167" s="102"/>
      <c r="BTS167" s="102"/>
      <c r="BTT167" s="102"/>
      <c r="BTU167" s="102"/>
      <c r="BTV167" s="102"/>
      <c r="BTW167" s="102"/>
      <c r="BTX167" s="102"/>
      <c r="BTY167" s="102"/>
      <c r="BTZ167" s="102"/>
      <c r="BUA167" s="102"/>
      <c r="BUB167" s="102"/>
      <c r="BUC167" s="102"/>
      <c r="BUD167" s="102"/>
      <c r="BUE167" s="102"/>
      <c r="BUF167" s="102"/>
      <c r="BUG167" s="102"/>
      <c r="BUH167" s="102"/>
      <c r="BUI167" s="102"/>
      <c r="BUJ167" s="102"/>
      <c r="BUK167" s="102"/>
      <c r="BUL167" s="102"/>
      <c r="BUM167" s="102"/>
      <c r="BUN167" s="102"/>
      <c r="BUO167" s="102"/>
      <c r="BUP167" s="102"/>
      <c r="BUQ167" s="102"/>
      <c r="BUR167" s="102"/>
      <c r="BUS167" s="102"/>
      <c r="BUT167" s="102"/>
      <c r="BUU167" s="102"/>
      <c r="BUV167" s="102"/>
      <c r="BUW167" s="102"/>
      <c r="BUX167" s="102"/>
      <c r="BUY167" s="102"/>
      <c r="BUZ167" s="102"/>
      <c r="BVA167" s="102"/>
      <c r="BVB167" s="102"/>
      <c r="BVC167" s="102"/>
      <c r="BVD167" s="102"/>
      <c r="BVE167" s="102"/>
      <c r="BVF167" s="102"/>
      <c r="BVG167" s="102"/>
      <c r="BVH167" s="102"/>
      <c r="BVI167" s="102"/>
      <c r="BVJ167" s="102"/>
      <c r="BVK167" s="102"/>
      <c r="BVL167" s="102"/>
      <c r="BVM167" s="102"/>
      <c r="BVN167" s="102"/>
      <c r="BVO167" s="102"/>
      <c r="BVP167" s="102"/>
      <c r="BVQ167" s="102"/>
      <c r="BVR167" s="102"/>
      <c r="BVS167" s="102"/>
      <c r="BVT167" s="102"/>
      <c r="BVU167" s="102"/>
      <c r="BVV167" s="102"/>
      <c r="BVW167" s="102"/>
      <c r="BVX167" s="102"/>
      <c r="BVY167" s="102"/>
      <c r="BVZ167" s="102"/>
      <c r="BWA167" s="102"/>
      <c r="BWB167" s="102"/>
      <c r="BWC167" s="102"/>
      <c r="BWD167" s="102"/>
      <c r="BWE167" s="102"/>
      <c r="BWF167" s="102"/>
      <c r="BWG167" s="102"/>
      <c r="BWH167" s="102"/>
      <c r="BWI167" s="102"/>
      <c r="BWJ167" s="102"/>
      <c r="BWK167" s="102"/>
      <c r="BWL167" s="102"/>
      <c r="BWM167" s="102"/>
      <c r="BWN167" s="102"/>
      <c r="BWO167" s="102"/>
      <c r="BWP167" s="102"/>
      <c r="BWQ167" s="102"/>
      <c r="BWR167" s="102"/>
      <c r="BWS167" s="102"/>
      <c r="BWT167" s="102"/>
      <c r="BWU167" s="102"/>
      <c r="BWV167" s="102"/>
      <c r="BWW167" s="102"/>
      <c r="BWX167" s="102"/>
      <c r="BWY167" s="102"/>
      <c r="BWZ167" s="102"/>
      <c r="BXA167" s="102"/>
      <c r="BXB167" s="102"/>
      <c r="BXC167" s="102"/>
      <c r="BXD167" s="102"/>
      <c r="BXE167" s="102"/>
      <c r="BXF167" s="102"/>
      <c r="BXG167" s="102"/>
      <c r="BXH167" s="102"/>
      <c r="BXI167" s="102"/>
      <c r="BXJ167" s="102"/>
      <c r="BXK167" s="102"/>
      <c r="BXL167" s="102"/>
      <c r="BXM167" s="102"/>
      <c r="BXN167" s="102"/>
      <c r="BXO167" s="102"/>
      <c r="BXP167" s="102"/>
      <c r="BXQ167" s="102"/>
      <c r="BXR167" s="102"/>
      <c r="BXS167" s="102"/>
      <c r="BXT167" s="102"/>
      <c r="BXU167" s="102"/>
      <c r="BXV167" s="102"/>
      <c r="BXW167" s="102"/>
      <c r="BXX167" s="102"/>
      <c r="BXY167" s="102"/>
      <c r="BXZ167" s="102"/>
      <c r="BYA167" s="102"/>
      <c r="BYB167" s="102"/>
      <c r="BYC167" s="102"/>
      <c r="BYD167" s="102"/>
      <c r="BYE167" s="102"/>
      <c r="BYF167" s="102"/>
      <c r="BYG167" s="102"/>
      <c r="BYH167" s="102"/>
      <c r="BYI167" s="102"/>
      <c r="BYJ167" s="102"/>
      <c r="BYK167" s="102"/>
      <c r="BYL167" s="102"/>
      <c r="BYM167" s="102"/>
      <c r="BYN167" s="102"/>
      <c r="BYO167" s="102"/>
      <c r="BYP167" s="102"/>
      <c r="BYQ167" s="102"/>
      <c r="BYR167" s="102"/>
      <c r="BYS167" s="102"/>
      <c r="BYT167" s="102"/>
      <c r="BYU167" s="102"/>
      <c r="BYV167" s="102"/>
      <c r="BYW167" s="102"/>
      <c r="BYX167" s="102"/>
      <c r="BYY167" s="102"/>
      <c r="BYZ167" s="102"/>
      <c r="BZA167" s="102"/>
      <c r="BZB167" s="102"/>
      <c r="BZC167" s="102"/>
      <c r="BZD167" s="102"/>
      <c r="BZE167" s="102"/>
      <c r="BZF167" s="102"/>
      <c r="BZG167" s="102"/>
      <c r="BZH167" s="102"/>
      <c r="BZI167" s="102"/>
      <c r="BZJ167" s="102"/>
      <c r="BZK167" s="102"/>
      <c r="BZL167" s="102"/>
      <c r="BZM167" s="102"/>
      <c r="BZN167" s="102"/>
      <c r="BZO167" s="102"/>
      <c r="BZP167" s="102"/>
      <c r="BZQ167" s="102"/>
      <c r="BZR167" s="102"/>
      <c r="BZS167" s="102"/>
      <c r="BZT167" s="102"/>
      <c r="BZU167" s="102"/>
      <c r="BZV167" s="102"/>
      <c r="BZW167" s="102"/>
      <c r="BZX167" s="102"/>
      <c r="BZY167" s="102"/>
      <c r="BZZ167" s="102"/>
      <c r="CAA167" s="102"/>
      <c r="CAB167" s="102"/>
      <c r="CAC167" s="102"/>
      <c r="CAD167" s="102"/>
      <c r="CAE167" s="102"/>
      <c r="CAF167" s="102"/>
      <c r="CAG167" s="102"/>
      <c r="CAH167" s="102"/>
      <c r="CAI167" s="102"/>
      <c r="CAJ167" s="102"/>
      <c r="CAK167" s="102"/>
      <c r="CAL167" s="102"/>
      <c r="CAM167" s="102"/>
      <c r="CAN167" s="102"/>
      <c r="CAO167" s="102"/>
      <c r="CAP167" s="102"/>
      <c r="CAQ167" s="102"/>
      <c r="CAR167" s="102"/>
      <c r="CAS167" s="102"/>
      <c r="CAT167" s="102"/>
      <c r="CAU167" s="102"/>
      <c r="CAV167" s="102"/>
      <c r="CAW167" s="102"/>
      <c r="CAX167" s="102"/>
      <c r="CAY167" s="102"/>
      <c r="CAZ167" s="102"/>
      <c r="CBA167" s="102"/>
      <c r="CBB167" s="102"/>
      <c r="CBC167" s="102"/>
      <c r="CBD167" s="102"/>
      <c r="CBE167" s="102"/>
      <c r="CBF167" s="102"/>
      <c r="CBG167" s="102"/>
      <c r="CBH167" s="102"/>
      <c r="CBI167" s="102"/>
      <c r="CBJ167" s="102"/>
      <c r="CBK167" s="102"/>
      <c r="CBL167" s="102"/>
      <c r="CBM167" s="102"/>
      <c r="CBN167" s="102"/>
      <c r="CBO167" s="102"/>
      <c r="CBP167" s="102"/>
      <c r="CBQ167" s="102"/>
      <c r="CBR167" s="102"/>
      <c r="CBS167" s="102"/>
      <c r="CBT167" s="102"/>
      <c r="CBU167" s="102"/>
      <c r="CBV167" s="102"/>
      <c r="CBW167" s="102"/>
      <c r="CBX167" s="102"/>
      <c r="CBY167" s="102"/>
      <c r="CBZ167" s="102"/>
      <c r="CCA167" s="102"/>
      <c r="CCB167" s="102"/>
      <c r="CCC167" s="102"/>
      <c r="CCD167" s="102"/>
      <c r="CCE167" s="102"/>
      <c r="CCF167" s="102"/>
      <c r="CCG167" s="102"/>
      <c r="CCH167" s="102"/>
      <c r="CCI167" s="102"/>
      <c r="CCJ167" s="102"/>
      <c r="CCK167" s="102"/>
      <c r="CCL167" s="102"/>
      <c r="CCM167" s="102"/>
      <c r="CCN167" s="102"/>
      <c r="CCO167" s="102"/>
      <c r="CCP167" s="102"/>
      <c r="CCQ167" s="102"/>
      <c r="CCR167" s="102"/>
      <c r="CCS167" s="102"/>
      <c r="CCT167" s="102"/>
      <c r="CCU167" s="102"/>
      <c r="CCV167" s="102"/>
      <c r="CCW167" s="102"/>
      <c r="CCX167" s="102"/>
      <c r="CCY167" s="102"/>
      <c r="CCZ167" s="102"/>
      <c r="CDA167" s="102"/>
      <c r="CDB167" s="102"/>
      <c r="CDC167" s="102"/>
      <c r="CDD167" s="102"/>
      <c r="CDE167" s="102"/>
      <c r="CDF167" s="102"/>
      <c r="CDG167" s="102"/>
      <c r="CDH167" s="102"/>
      <c r="CDI167" s="102"/>
      <c r="CDJ167" s="102"/>
      <c r="CDK167" s="102"/>
      <c r="CDL167" s="102"/>
      <c r="CDM167" s="102"/>
      <c r="CDN167" s="102"/>
      <c r="CDO167" s="102"/>
      <c r="CDP167" s="102"/>
      <c r="CDQ167" s="102"/>
      <c r="CDR167" s="102"/>
      <c r="CDS167" s="102"/>
      <c r="CDT167" s="102"/>
      <c r="CDU167" s="102"/>
      <c r="CDV167" s="102"/>
      <c r="CDW167" s="102"/>
      <c r="CDX167" s="102"/>
      <c r="CDY167" s="102"/>
      <c r="CDZ167" s="102"/>
      <c r="CEA167" s="102"/>
      <c r="CEB167" s="102"/>
      <c r="CEC167" s="102"/>
      <c r="CED167" s="102"/>
      <c r="CEE167" s="102"/>
      <c r="CEF167" s="102"/>
      <c r="CEG167" s="102"/>
      <c r="CEH167" s="102"/>
      <c r="CEI167" s="102"/>
      <c r="CEJ167" s="102"/>
      <c r="CEK167" s="102"/>
      <c r="CEL167" s="102"/>
      <c r="CEM167" s="102"/>
      <c r="CEN167" s="102"/>
      <c r="CEO167" s="102"/>
      <c r="CEP167" s="102"/>
      <c r="CEQ167" s="102"/>
      <c r="CER167" s="102"/>
      <c r="CES167" s="102"/>
      <c r="CET167" s="102"/>
      <c r="CEU167" s="102"/>
      <c r="CEV167" s="102"/>
      <c r="CEW167" s="102"/>
      <c r="CEX167" s="102"/>
      <c r="CEY167" s="102"/>
      <c r="CEZ167" s="102"/>
      <c r="CFA167" s="102"/>
      <c r="CFB167" s="102"/>
      <c r="CFC167" s="102"/>
      <c r="CFD167" s="102"/>
      <c r="CFE167" s="102"/>
      <c r="CFF167" s="102"/>
      <c r="CFG167" s="102"/>
      <c r="CFH167" s="102"/>
      <c r="CFI167" s="102"/>
      <c r="CFJ167" s="102"/>
      <c r="CFK167" s="102"/>
      <c r="CFL167" s="102"/>
      <c r="CFM167" s="102"/>
      <c r="CFN167" s="102"/>
      <c r="CFO167" s="102"/>
      <c r="CFP167" s="102"/>
      <c r="CFQ167" s="102"/>
      <c r="CFR167" s="102"/>
      <c r="CFS167" s="102"/>
      <c r="CFT167" s="102"/>
      <c r="CFU167" s="102"/>
      <c r="CFV167" s="102"/>
      <c r="CFW167" s="102"/>
      <c r="CFX167" s="102"/>
      <c r="CFY167" s="102"/>
      <c r="CFZ167" s="102"/>
      <c r="CGA167" s="102"/>
      <c r="CGB167" s="102"/>
      <c r="CGC167" s="102"/>
      <c r="CGD167" s="102"/>
      <c r="CGE167" s="102"/>
      <c r="CGF167" s="102"/>
      <c r="CGG167" s="102"/>
      <c r="CGH167" s="102"/>
      <c r="CGI167" s="102"/>
      <c r="CGJ167" s="102"/>
      <c r="CGK167" s="102"/>
      <c r="CGL167" s="102"/>
      <c r="CGM167" s="102"/>
      <c r="CGN167" s="102"/>
      <c r="CGO167" s="102"/>
      <c r="CGP167" s="102"/>
      <c r="CGQ167" s="102"/>
      <c r="CGR167" s="102"/>
      <c r="CGS167" s="102"/>
      <c r="CGT167" s="102"/>
      <c r="CGU167" s="102"/>
      <c r="CGV167" s="102"/>
      <c r="CGW167" s="102"/>
      <c r="CGX167" s="102"/>
      <c r="CGY167" s="102"/>
      <c r="CGZ167" s="102"/>
      <c r="CHA167" s="102"/>
      <c r="CHB167" s="102"/>
      <c r="CHC167" s="102"/>
      <c r="CHD167" s="102"/>
      <c r="CHE167" s="102"/>
      <c r="CHF167" s="102"/>
      <c r="CHG167" s="102"/>
      <c r="CHH167" s="102"/>
      <c r="CHI167" s="102"/>
      <c r="CHJ167" s="102"/>
      <c r="CHK167" s="102"/>
      <c r="CHL167" s="102"/>
      <c r="CHM167" s="102"/>
      <c r="CHN167" s="102"/>
      <c r="CHO167" s="102"/>
      <c r="CHP167" s="102"/>
      <c r="CHQ167" s="102"/>
      <c r="CHR167" s="102"/>
      <c r="CHS167" s="102"/>
      <c r="CHT167" s="102"/>
      <c r="CHU167" s="102"/>
      <c r="CHV167" s="102"/>
      <c r="CHW167" s="102"/>
      <c r="CHX167" s="102"/>
      <c r="CHY167" s="102"/>
      <c r="CHZ167" s="102"/>
      <c r="CIA167" s="102"/>
      <c r="CIB167" s="102"/>
      <c r="CIC167" s="102"/>
      <c r="CID167" s="102"/>
      <c r="CIE167" s="102"/>
      <c r="CIF167" s="102"/>
      <c r="CIG167" s="102"/>
      <c r="CIH167" s="102"/>
      <c r="CII167" s="102"/>
      <c r="CIJ167" s="102"/>
      <c r="CIK167" s="102"/>
      <c r="CIL167" s="102"/>
      <c r="CIM167" s="102"/>
      <c r="CIN167" s="102"/>
      <c r="CIO167" s="102"/>
      <c r="CIP167" s="102"/>
      <c r="CIQ167" s="102"/>
      <c r="CIR167" s="102"/>
      <c r="CIS167" s="102"/>
      <c r="CIT167" s="102"/>
      <c r="CIU167" s="102"/>
      <c r="CIV167" s="102"/>
      <c r="CIW167" s="102"/>
      <c r="CIX167" s="102"/>
      <c r="CIY167" s="102"/>
      <c r="CIZ167" s="102"/>
      <c r="CJA167" s="102"/>
      <c r="CJB167" s="102"/>
      <c r="CJC167" s="102"/>
      <c r="CJD167" s="102"/>
      <c r="CJE167" s="102"/>
      <c r="CJF167" s="102"/>
      <c r="CJG167" s="102"/>
      <c r="CJH167" s="102"/>
      <c r="CJI167" s="102"/>
      <c r="CJJ167" s="102"/>
      <c r="CJK167" s="102"/>
      <c r="CJL167" s="102"/>
      <c r="CJM167" s="102"/>
      <c r="CJN167" s="102"/>
      <c r="CJO167" s="102"/>
      <c r="CJP167" s="102"/>
      <c r="CJQ167" s="102"/>
      <c r="CJR167" s="102"/>
      <c r="CJS167" s="102"/>
      <c r="CJT167" s="102"/>
      <c r="CJU167" s="102"/>
      <c r="CJV167" s="102"/>
      <c r="CJW167" s="102"/>
      <c r="CJX167" s="102"/>
      <c r="CJY167" s="102"/>
      <c r="CJZ167" s="102"/>
      <c r="CKA167" s="102"/>
      <c r="CKB167" s="102"/>
      <c r="CKC167" s="102"/>
      <c r="CKD167" s="102"/>
      <c r="CKE167" s="102"/>
      <c r="CKF167" s="102"/>
      <c r="CKG167" s="102"/>
      <c r="CKH167" s="102"/>
      <c r="CKI167" s="102"/>
      <c r="CKJ167" s="102"/>
      <c r="CKK167" s="102"/>
      <c r="CKL167" s="102"/>
      <c r="CKM167" s="102"/>
      <c r="CKN167" s="102"/>
      <c r="CKO167" s="102"/>
      <c r="CKP167" s="102"/>
      <c r="CKQ167" s="102"/>
      <c r="CKR167" s="102"/>
      <c r="CKS167" s="102"/>
      <c r="CKT167" s="102"/>
      <c r="CKU167" s="102"/>
      <c r="CKV167" s="102"/>
      <c r="CKW167" s="102"/>
      <c r="CKX167" s="102"/>
      <c r="CKY167" s="102"/>
      <c r="CKZ167" s="102"/>
      <c r="CLA167" s="102"/>
      <c r="CLB167" s="102"/>
      <c r="CLC167" s="102"/>
      <c r="CLD167" s="102"/>
      <c r="CLE167" s="102"/>
      <c r="CLF167" s="102"/>
      <c r="CLG167" s="102"/>
      <c r="CLH167" s="102"/>
      <c r="CLI167" s="102"/>
      <c r="CLJ167" s="102"/>
      <c r="CLK167" s="102"/>
      <c r="CLL167" s="102"/>
      <c r="CLM167" s="102"/>
      <c r="CLN167" s="102"/>
      <c r="CLO167" s="102"/>
      <c r="CLP167" s="102"/>
      <c r="CLQ167" s="102"/>
      <c r="CLR167" s="102"/>
      <c r="CLS167" s="102"/>
      <c r="CLT167" s="102"/>
      <c r="CLU167" s="102"/>
      <c r="CLV167" s="102"/>
      <c r="CLW167" s="102"/>
      <c r="CLX167" s="102"/>
      <c r="CLY167" s="102"/>
      <c r="CLZ167" s="102"/>
      <c r="CMA167" s="102"/>
      <c r="CMB167" s="102"/>
      <c r="CMC167" s="102"/>
      <c r="CMD167" s="102"/>
      <c r="CME167" s="102"/>
      <c r="CMF167" s="102"/>
      <c r="CMG167" s="102"/>
      <c r="CMH167" s="102"/>
      <c r="CMI167" s="102"/>
      <c r="CMJ167" s="102"/>
      <c r="CMK167" s="102"/>
      <c r="CML167" s="102"/>
      <c r="CMM167" s="102"/>
      <c r="CMN167" s="102"/>
      <c r="CMO167" s="102"/>
      <c r="CMP167" s="102"/>
      <c r="CMQ167" s="102"/>
      <c r="CMR167" s="102"/>
      <c r="CMS167" s="102"/>
      <c r="CMT167" s="102"/>
      <c r="CMU167" s="102"/>
      <c r="CMV167" s="102"/>
      <c r="CMW167" s="102"/>
      <c r="CMX167" s="102"/>
      <c r="CMY167" s="102"/>
      <c r="CMZ167" s="102"/>
      <c r="CNA167" s="102"/>
      <c r="CNB167" s="102"/>
      <c r="CNC167" s="102"/>
      <c r="CND167" s="102"/>
      <c r="CNE167" s="102"/>
      <c r="CNF167" s="102"/>
      <c r="CNG167" s="102"/>
      <c r="CNH167" s="102"/>
      <c r="CNI167" s="102"/>
      <c r="CNJ167" s="102"/>
      <c r="CNK167" s="102"/>
      <c r="CNL167" s="102"/>
      <c r="CNM167" s="102"/>
      <c r="CNN167" s="102"/>
      <c r="CNO167" s="102"/>
      <c r="CNP167" s="102"/>
      <c r="CNQ167" s="102"/>
      <c r="CNR167" s="102"/>
      <c r="CNS167" s="102"/>
      <c r="CNT167" s="102"/>
      <c r="CNU167" s="102"/>
      <c r="CNV167" s="102"/>
      <c r="CNW167" s="102"/>
      <c r="CNX167" s="102"/>
      <c r="CNY167" s="102"/>
      <c r="CNZ167" s="102"/>
      <c r="COA167" s="102"/>
      <c r="COB167" s="102"/>
      <c r="COC167" s="102"/>
      <c r="COD167" s="102"/>
      <c r="COE167" s="102"/>
      <c r="COF167" s="102"/>
      <c r="COG167" s="102"/>
      <c r="COH167" s="102"/>
      <c r="COI167" s="102"/>
      <c r="COJ167" s="102"/>
      <c r="COK167" s="102"/>
      <c r="COL167" s="102"/>
      <c r="COM167" s="102"/>
      <c r="CON167" s="102"/>
      <c r="COO167" s="102"/>
      <c r="COP167" s="102"/>
      <c r="COQ167" s="102"/>
      <c r="COR167" s="102"/>
      <c r="COS167" s="102"/>
      <c r="COT167" s="102"/>
      <c r="COU167" s="102"/>
      <c r="COV167" s="102"/>
      <c r="COW167" s="102"/>
      <c r="COX167" s="102"/>
      <c r="COY167" s="102"/>
      <c r="COZ167" s="102"/>
      <c r="CPA167" s="102"/>
      <c r="CPB167" s="102"/>
      <c r="CPC167" s="102"/>
      <c r="CPD167" s="102"/>
      <c r="CPE167" s="102"/>
      <c r="CPF167" s="102"/>
      <c r="CPG167" s="102"/>
      <c r="CPH167" s="102"/>
      <c r="CPI167" s="102"/>
      <c r="CPJ167" s="102"/>
      <c r="CPK167" s="102"/>
      <c r="CPL167" s="102"/>
      <c r="CPM167" s="102"/>
      <c r="CPN167" s="102"/>
      <c r="CPO167" s="102"/>
      <c r="CPP167" s="102"/>
      <c r="CPQ167" s="102"/>
      <c r="CPR167" s="102"/>
      <c r="CPS167" s="102"/>
      <c r="CPT167" s="102"/>
      <c r="CPU167" s="102"/>
      <c r="CPV167" s="102"/>
      <c r="CPW167" s="102"/>
      <c r="CPX167" s="102"/>
      <c r="CPY167" s="102"/>
      <c r="CPZ167" s="102"/>
      <c r="CQA167" s="102"/>
      <c r="CQB167" s="102"/>
      <c r="CQC167" s="102"/>
      <c r="CQD167" s="102"/>
      <c r="CQE167" s="102"/>
      <c r="CQF167" s="102"/>
      <c r="CQG167" s="102"/>
      <c r="CQH167" s="102"/>
      <c r="CQI167" s="102"/>
      <c r="CQJ167" s="102"/>
      <c r="CQK167" s="102"/>
      <c r="CQL167" s="102"/>
      <c r="CQM167" s="102"/>
      <c r="CQN167" s="102"/>
      <c r="CQO167" s="102"/>
      <c r="CQP167" s="102"/>
      <c r="CQQ167" s="102"/>
      <c r="CQR167" s="102"/>
      <c r="CQS167" s="102"/>
      <c r="CQT167" s="102"/>
      <c r="CQU167" s="102"/>
      <c r="CQV167" s="102"/>
      <c r="CQW167" s="102"/>
      <c r="CQX167" s="102"/>
      <c r="CQY167" s="102"/>
      <c r="CQZ167" s="102"/>
      <c r="CRA167" s="102"/>
      <c r="CRB167" s="102"/>
      <c r="CRC167" s="102"/>
      <c r="CRD167" s="102"/>
      <c r="CRE167" s="102"/>
      <c r="CRF167" s="102"/>
      <c r="CRG167" s="102"/>
      <c r="CRH167" s="102"/>
      <c r="CRI167" s="102"/>
      <c r="CRJ167" s="102"/>
      <c r="CRK167" s="102"/>
      <c r="CRL167" s="102"/>
      <c r="CRM167" s="102"/>
      <c r="CRN167" s="102"/>
      <c r="CRO167" s="102"/>
      <c r="CRP167" s="102"/>
      <c r="CRQ167" s="102"/>
      <c r="CRR167" s="102"/>
      <c r="CRS167" s="102"/>
      <c r="CRT167" s="102"/>
      <c r="CRU167" s="102"/>
      <c r="CRV167" s="102"/>
      <c r="CRW167" s="102"/>
      <c r="CRX167" s="102"/>
      <c r="CRY167" s="102"/>
      <c r="CRZ167" s="102"/>
      <c r="CSA167" s="102"/>
      <c r="CSB167" s="102"/>
      <c r="CSC167" s="102"/>
      <c r="CSD167" s="102"/>
      <c r="CSE167" s="102"/>
      <c r="CSF167" s="102"/>
      <c r="CSG167" s="102"/>
      <c r="CSH167" s="102"/>
      <c r="CSI167" s="102"/>
      <c r="CSJ167" s="102"/>
      <c r="CSK167" s="102"/>
      <c r="CSL167" s="102"/>
      <c r="CSM167" s="102"/>
      <c r="CSN167" s="102"/>
      <c r="CSO167" s="102"/>
      <c r="CSP167" s="102"/>
      <c r="CSQ167" s="102"/>
      <c r="CSR167" s="102"/>
      <c r="CSS167" s="102"/>
      <c r="CST167" s="102"/>
      <c r="CSU167" s="102"/>
      <c r="CSV167" s="102"/>
      <c r="CSW167" s="102"/>
      <c r="CSX167" s="102"/>
      <c r="CSY167" s="102"/>
      <c r="CSZ167" s="102"/>
      <c r="CTA167" s="102"/>
      <c r="CTB167" s="102"/>
      <c r="CTC167" s="102"/>
      <c r="CTD167" s="102"/>
      <c r="CTE167" s="102"/>
      <c r="CTF167" s="102"/>
      <c r="CTG167" s="102"/>
      <c r="CTH167" s="102"/>
      <c r="CTI167" s="102"/>
      <c r="CTJ167" s="102"/>
      <c r="CTK167" s="102"/>
      <c r="CTL167" s="102"/>
      <c r="CTM167" s="102"/>
      <c r="CTN167" s="102"/>
      <c r="CTO167" s="102"/>
      <c r="CTP167" s="102"/>
      <c r="CTQ167" s="102"/>
      <c r="CTR167" s="102"/>
      <c r="CTS167" s="102"/>
      <c r="CTT167" s="102"/>
      <c r="CTU167" s="102"/>
      <c r="CTV167" s="102"/>
      <c r="CTW167" s="102"/>
      <c r="CTX167" s="102"/>
      <c r="CTY167" s="102"/>
      <c r="CTZ167" s="102"/>
      <c r="CUA167" s="102"/>
      <c r="CUB167" s="102"/>
      <c r="CUC167" s="102"/>
      <c r="CUD167" s="102"/>
      <c r="CUE167" s="102"/>
      <c r="CUF167" s="102"/>
      <c r="CUG167" s="102"/>
      <c r="CUH167" s="102"/>
      <c r="CUI167" s="102"/>
      <c r="CUJ167" s="102"/>
      <c r="CUK167" s="102"/>
      <c r="CUL167" s="102"/>
      <c r="CUM167" s="102"/>
      <c r="CUN167" s="102"/>
      <c r="CUO167" s="102"/>
      <c r="CUP167" s="102"/>
      <c r="CUQ167" s="102"/>
      <c r="CUR167" s="102"/>
      <c r="CUS167" s="102"/>
      <c r="CUT167" s="102"/>
      <c r="CUU167" s="102"/>
      <c r="CUV167" s="102"/>
      <c r="CUW167" s="102"/>
      <c r="CUX167" s="102"/>
      <c r="CUY167" s="102"/>
      <c r="CUZ167" s="102"/>
      <c r="CVA167" s="102"/>
      <c r="CVB167" s="102"/>
      <c r="CVC167" s="102"/>
      <c r="CVD167" s="102"/>
      <c r="CVE167" s="102"/>
      <c r="CVF167" s="102"/>
      <c r="CVG167" s="102"/>
      <c r="CVH167" s="102"/>
      <c r="CVI167" s="102"/>
      <c r="CVJ167" s="102"/>
      <c r="CVK167" s="102"/>
      <c r="CVL167" s="102"/>
      <c r="CVM167" s="102"/>
      <c r="CVN167" s="102"/>
      <c r="CVO167" s="102"/>
      <c r="CVP167" s="102"/>
      <c r="CVQ167" s="102"/>
      <c r="CVR167" s="102"/>
      <c r="CVS167" s="102"/>
      <c r="CVT167" s="102"/>
      <c r="CVU167" s="102"/>
      <c r="CVV167" s="102"/>
      <c r="CVW167" s="102"/>
      <c r="CVX167" s="102"/>
      <c r="CVY167" s="102"/>
      <c r="CVZ167" s="102"/>
      <c r="CWA167" s="102"/>
      <c r="CWB167" s="102"/>
      <c r="CWC167" s="102"/>
      <c r="CWD167" s="102"/>
      <c r="CWE167" s="102"/>
      <c r="CWF167" s="102"/>
      <c r="CWG167" s="102"/>
      <c r="CWH167" s="102"/>
      <c r="CWI167" s="102"/>
      <c r="CWJ167" s="102"/>
      <c r="CWK167" s="102"/>
      <c r="CWL167" s="102"/>
      <c r="CWM167" s="102"/>
      <c r="CWN167" s="102"/>
      <c r="CWO167" s="102"/>
      <c r="CWP167" s="102"/>
      <c r="CWQ167" s="102"/>
      <c r="CWR167" s="102"/>
      <c r="CWS167" s="102"/>
      <c r="CWT167" s="102"/>
      <c r="CWU167" s="102"/>
      <c r="CWV167" s="102"/>
      <c r="CWW167" s="102"/>
      <c r="CWX167" s="102"/>
      <c r="CWY167" s="102"/>
      <c r="CWZ167" s="102"/>
      <c r="CXA167" s="102"/>
      <c r="CXB167" s="102"/>
      <c r="CXC167" s="102"/>
      <c r="CXD167" s="102"/>
      <c r="CXE167" s="102"/>
      <c r="CXF167" s="102"/>
      <c r="CXG167" s="102"/>
      <c r="CXH167" s="102"/>
      <c r="CXI167" s="102"/>
      <c r="CXJ167" s="102"/>
      <c r="CXK167" s="102"/>
      <c r="CXL167" s="102"/>
      <c r="CXM167" s="102"/>
      <c r="CXN167" s="102"/>
      <c r="CXO167" s="102"/>
      <c r="CXP167" s="102"/>
      <c r="CXQ167" s="102"/>
      <c r="CXR167" s="102"/>
      <c r="CXS167" s="102"/>
      <c r="CXT167" s="102"/>
      <c r="CXU167" s="102"/>
      <c r="CXV167" s="102"/>
      <c r="CXW167" s="102"/>
      <c r="CXX167" s="102"/>
      <c r="CXY167" s="102"/>
      <c r="CXZ167" s="102"/>
      <c r="CYA167" s="102"/>
      <c r="CYB167" s="102"/>
      <c r="CYC167" s="102"/>
      <c r="CYD167" s="102"/>
      <c r="CYE167" s="102"/>
      <c r="CYF167" s="102"/>
      <c r="CYG167" s="102"/>
      <c r="CYH167" s="102"/>
      <c r="CYI167" s="102"/>
      <c r="CYJ167" s="102"/>
      <c r="CYK167" s="102"/>
      <c r="CYL167" s="102"/>
      <c r="CYM167" s="102"/>
      <c r="CYN167" s="102"/>
      <c r="CYO167" s="102"/>
      <c r="CYP167" s="102"/>
      <c r="CYQ167" s="102"/>
      <c r="CYR167" s="102"/>
      <c r="CYS167" s="102"/>
      <c r="CYT167" s="102"/>
      <c r="CYU167" s="102"/>
      <c r="CYV167" s="102"/>
      <c r="CYW167" s="102"/>
      <c r="CYX167" s="102"/>
      <c r="CYY167" s="102"/>
      <c r="CYZ167" s="102"/>
      <c r="CZA167" s="102"/>
      <c r="CZB167" s="102"/>
      <c r="CZC167" s="102"/>
      <c r="CZD167" s="102"/>
      <c r="CZE167" s="102"/>
      <c r="CZF167" s="102"/>
      <c r="CZG167" s="102"/>
      <c r="CZH167" s="102"/>
      <c r="CZI167" s="102"/>
      <c r="CZJ167" s="102"/>
      <c r="CZK167" s="102"/>
      <c r="CZL167" s="102"/>
      <c r="CZM167" s="102"/>
      <c r="CZN167" s="102"/>
      <c r="CZO167" s="102"/>
      <c r="CZP167" s="102"/>
      <c r="CZQ167" s="102"/>
      <c r="CZR167" s="102"/>
      <c r="CZS167" s="102"/>
      <c r="CZT167" s="102"/>
      <c r="CZU167" s="102"/>
      <c r="CZV167" s="102"/>
      <c r="CZW167" s="102"/>
      <c r="CZX167" s="102"/>
      <c r="CZY167" s="102"/>
      <c r="CZZ167" s="102"/>
      <c r="DAA167" s="102"/>
      <c r="DAB167" s="102"/>
      <c r="DAC167" s="102"/>
      <c r="DAD167" s="102"/>
      <c r="DAE167" s="102"/>
      <c r="DAF167" s="102"/>
      <c r="DAG167" s="102"/>
      <c r="DAH167" s="102"/>
      <c r="DAI167" s="102"/>
      <c r="DAJ167" s="102"/>
      <c r="DAK167" s="102"/>
      <c r="DAL167" s="102"/>
      <c r="DAM167" s="102"/>
      <c r="DAN167" s="102"/>
      <c r="DAO167" s="102"/>
      <c r="DAP167" s="102"/>
      <c r="DAQ167" s="102"/>
      <c r="DAR167" s="102"/>
      <c r="DAS167" s="102"/>
      <c r="DAT167" s="102"/>
      <c r="DAU167" s="102"/>
      <c r="DAV167" s="102"/>
      <c r="DAW167" s="102"/>
      <c r="DAX167" s="102"/>
      <c r="DAY167" s="102"/>
      <c r="DAZ167" s="102"/>
      <c r="DBA167" s="102"/>
      <c r="DBB167" s="102"/>
      <c r="DBC167" s="102"/>
      <c r="DBD167" s="102"/>
      <c r="DBE167" s="102"/>
      <c r="DBF167" s="102"/>
      <c r="DBG167" s="102"/>
      <c r="DBH167" s="102"/>
      <c r="DBI167" s="102"/>
      <c r="DBJ167" s="102"/>
      <c r="DBK167" s="102"/>
      <c r="DBL167" s="102"/>
      <c r="DBM167" s="102"/>
      <c r="DBN167" s="102"/>
      <c r="DBO167" s="102"/>
      <c r="DBP167" s="102"/>
      <c r="DBQ167" s="102"/>
      <c r="DBR167" s="102"/>
      <c r="DBS167" s="102"/>
      <c r="DBT167" s="102"/>
      <c r="DBU167" s="102"/>
      <c r="DBV167" s="102"/>
      <c r="DBW167" s="102"/>
      <c r="DBX167" s="102"/>
      <c r="DBY167" s="102"/>
      <c r="DBZ167" s="102"/>
      <c r="DCA167" s="102"/>
      <c r="DCB167" s="102"/>
      <c r="DCC167" s="102"/>
      <c r="DCD167" s="102"/>
      <c r="DCE167" s="102"/>
      <c r="DCF167" s="102"/>
      <c r="DCG167" s="102"/>
      <c r="DCH167" s="102"/>
      <c r="DCI167" s="102"/>
      <c r="DCJ167" s="102"/>
      <c r="DCK167" s="102"/>
      <c r="DCL167" s="102"/>
      <c r="DCM167" s="102"/>
      <c r="DCN167" s="102"/>
      <c r="DCO167" s="102"/>
      <c r="DCP167" s="102"/>
      <c r="DCQ167" s="102"/>
      <c r="DCR167" s="102"/>
      <c r="DCS167" s="102"/>
      <c r="DCT167" s="102"/>
      <c r="DCU167" s="102"/>
      <c r="DCV167" s="102"/>
      <c r="DCW167" s="102"/>
      <c r="DCX167" s="102"/>
      <c r="DCY167" s="102"/>
      <c r="DCZ167" s="102"/>
      <c r="DDA167" s="102"/>
      <c r="DDB167" s="102"/>
      <c r="DDC167" s="102"/>
      <c r="DDD167" s="102"/>
      <c r="DDE167" s="102"/>
      <c r="DDF167" s="102"/>
      <c r="DDG167" s="102"/>
      <c r="DDH167" s="102"/>
      <c r="DDI167" s="102"/>
      <c r="DDJ167" s="102"/>
      <c r="DDK167" s="102"/>
      <c r="DDL167" s="102"/>
      <c r="DDM167" s="102"/>
      <c r="DDN167" s="102"/>
      <c r="DDO167" s="102"/>
      <c r="DDP167" s="102"/>
      <c r="DDQ167" s="102"/>
      <c r="DDR167" s="102"/>
      <c r="DDS167" s="102"/>
      <c r="DDT167" s="102"/>
      <c r="DDU167" s="102"/>
      <c r="DDV167" s="102"/>
      <c r="DDW167" s="102"/>
      <c r="DDX167" s="102"/>
      <c r="DDY167" s="102"/>
      <c r="DDZ167" s="102"/>
      <c r="DEA167" s="102"/>
      <c r="DEB167" s="102"/>
      <c r="DEC167" s="102"/>
      <c r="DED167" s="102"/>
      <c r="DEE167" s="102"/>
      <c r="DEF167" s="102"/>
      <c r="DEG167" s="102"/>
      <c r="DEH167" s="102"/>
      <c r="DEI167" s="102"/>
      <c r="DEJ167" s="102"/>
      <c r="DEK167" s="102"/>
      <c r="DEL167" s="102"/>
      <c r="DEM167" s="102"/>
      <c r="DEN167" s="102"/>
      <c r="DEO167" s="102"/>
      <c r="DEP167" s="102"/>
      <c r="DEQ167" s="102"/>
      <c r="DER167" s="102"/>
      <c r="DES167" s="102"/>
      <c r="DET167" s="102"/>
      <c r="DEU167" s="102"/>
      <c r="DEV167" s="102"/>
      <c r="DEW167" s="102"/>
      <c r="DEX167" s="102"/>
      <c r="DEY167" s="102"/>
      <c r="DEZ167" s="102"/>
      <c r="DFA167" s="102"/>
      <c r="DFB167" s="102"/>
      <c r="DFC167" s="102"/>
      <c r="DFD167" s="102"/>
      <c r="DFE167" s="102"/>
      <c r="DFF167" s="102"/>
      <c r="DFG167" s="102"/>
      <c r="DFH167" s="102"/>
      <c r="DFI167" s="102"/>
      <c r="DFJ167" s="102"/>
      <c r="DFK167" s="102"/>
      <c r="DFL167" s="102"/>
      <c r="DFM167" s="102"/>
      <c r="DFN167" s="102"/>
      <c r="DFO167" s="102"/>
      <c r="DFP167" s="102"/>
      <c r="DFQ167" s="102"/>
      <c r="DFR167" s="102"/>
      <c r="DFS167" s="102"/>
      <c r="DFT167" s="102"/>
      <c r="DFU167" s="102"/>
      <c r="DFV167" s="102"/>
      <c r="DFW167" s="102"/>
      <c r="DFX167" s="102"/>
      <c r="DFY167" s="102"/>
      <c r="DFZ167" s="102"/>
      <c r="DGA167" s="102"/>
      <c r="DGB167" s="102"/>
      <c r="DGC167" s="102"/>
      <c r="DGD167" s="102"/>
      <c r="DGE167" s="102"/>
      <c r="DGF167" s="102"/>
      <c r="DGG167" s="102"/>
      <c r="DGH167" s="102"/>
      <c r="DGI167" s="102"/>
      <c r="DGJ167" s="102"/>
      <c r="DGK167" s="102"/>
      <c r="DGL167" s="102"/>
      <c r="DGM167" s="102"/>
      <c r="DGN167" s="102"/>
      <c r="DGO167" s="102"/>
      <c r="DGP167" s="102"/>
      <c r="DGQ167" s="102"/>
      <c r="DGR167" s="102"/>
      <c r="DGS167" s="102"/>
      <c r="DGT167" s="102"/>
      <c r="DGU167" s="102"/>
      <c r="DGV167" s="102"/>
      <c r="DGW167" s="102"/>
      <c r="DGX167" s="102"/>
      <c r="DGY167" s="102"/>
      <c r="DGZ167" s="102"/>
      <c r="DHA167" s="102"/>
      <c r="DHB167" s="102"/>
      <c r="DHC167" s="102"/>
      <c r="DHD167" s="102"/>
      <c r="DHE167" s="102"/>
      <c r="DHF167" s="102"/>
      <c r="DHG167" s="102"/>
      <c r="DHH167" s="102"/>
      <c r="DHI167" s="102"/>
      <c r="DHJ167" s="102"/>
      <c r="DHK167" s="102"/>
      <c r="DHL167" s="102"/>
      <c r="DHM167" s="102"/>
      <c r="DHN167" s="102"/>
      <c r="DHO167" s="102"/>
      <c r="DHP167" s="102"/>
      <c r="DHQ167" s="102"/>
      <c r="DHR167" s="102"/>
      <c r="DHS167" s="102"/>
      <c r="DHT167" s="102"/>
      <c r="DHU167" s="102"/>
      <c r="DHV167" s="102"/>
      <c r="DHW167" s="102"/>
      <c r="DHX167" s="102"/>
      <c r="DHY167" s="102"/>
      <c r="DHZ167" s="102"/>
      <c r="DIA167" s="102"/>
      <c r="DIB167" s="102"/>
      <c r="DIC167" s="102"/>
      <c r="DID167" s="102"/>
      <c r="DIE167" s="102"/>
      <c r="DIF167" s="102"/>
      <c r="DIG167" s="102"/>
      <c r="DIH167" s="102"/>
      <c r="DII167" s="102"/>
      <c r="DIJ167" s="102"/>
      <c r="DIK167" s="102"/>
      <c r="DIL167" s="102"/>
      <c r="DIM167" s="102"/>
      <c r="DIN167" s="102"/>
      <c r="DIO167" s="102"/>
      <c r="DIP167" s="102"/>
      <c r="DIQ167" s="102"/>
      <c r="DIR167" s="102"/>
      <c r="DIS167" s="102"/>
      <c r="DIT167" s="102"/>
      <c r="DIU167" s="102"/>
      <c r="DIV167" s="102"/>
      <c r="DIW167" s="102"/>
      <c r="DIX167" s="102"/>
      <c r="DIY167" s="102"/>
      <c r="DIZ167" s="102"/>
      <c r="DJA167" s="102"/>
      <c r="DJB167" s="102"/>
      <c r="DJC167" s="102"/>
      <c r="DJD167" s="102"/>
      <c r="DJE167" s="102"/>
      <c r="DJF167" s="102"/>
      <c r="DJG167" s="102"/>
      <c r="DJH167" s="102"/>
      <c r="DJI167" s="102"/>
      <c r="DJJ167" s="102"/>
      <c r="DJK167" s="102"/>
      <c r="DJL167" s="102"/>
      <c r="DJM167" s="102"/>
      <c r="DJN167" s="102"/>
      <c r="DJO167" s="102"/>
      <c r="DJP167" s="102"/>
      <c r="DJQ167" s="102"/>
      <c r="DJR167" s="102"/>
      <c r="DJS167" s="102"/>
      <c r="DJT167" s="102"/>
      <c r="DJU167" s="102"/>
      <c r="DJV167" s="102"/>
      <c r="DJW167" s="102"/>
      <c r="DJX167" s="102"/>
      <c r="DJY167" s="102"/>
      <c r="DJZ167" s="102"/>
      <c r="DKA167" s="102"/>
      <c r="DKB167" s="102"/>
      <c r="DKC167" s="102"/>
      <c r="DKD167" s="102"/>
      <c r="DKE167" s="102"/>
      <c r="DKF167" s="102"/>
      <c r="DKG167" s="102"/>
      <c r="DKH167" s="102"/>
      <c r="DKI167" s="102"/>
      <c r="DKJ167" s="102"/>
      <c r="DKK167" s="102"/>
      <c r="DKL167" s="102"/>
      <c r="DKM167" s="102"/>
      <c r="DKN167" s="102"/>
      <c r="DKO167" s="102"/>
      <c r="DKP167" s="102"/>
      <c r="DKQ167" s="102"/>
      <c r="DKR167" s="102"/>
      <c r="DKS167" s="102"/>
      <c r="DKT167" s="102"/>
      <c r="DKU167" s="102"/>
      <c r="DKV167" s="102"/>
      <c r="DKW167" s="102"/>
      <c r="DKX167" s="102"/>
      <c r="DKY167" s="102"/>
      <c r="DKZ167" s="102"/>
      <c r="DLA167" s="102"/>
      <c r="DLB167" s="102"/>
      <c r="DLC167" s="102"/>
      <c r="DLD167" s="102"/>
      <c r="DLE167" s="102"/>
      <c r="DLF167" s="102"/>
      <c r="DLG167" s="102"/>
      <c r="DLH167" s="102"/>
      <c r="DLI167" s="102"/>
      <c r="DLJ167" s="102"/>
      <c r="DLK167" s="102"/>
      <c r="DLL167" s="102"/>
      <c r="DLM167" s="102"/>
      <c r="DLN167" s="102"/>
      <c r="DLO167" s="102"/>
      <c r="DLP167" s="102"/>
      <c r="DLQ167" s="102"/>
      <c r="DLR167" s="102"/>
      <c r="DLS167" s="102"/>
      <c r="DLT167" s="102"/>
      <c r="DLU167" s="102"/>
      <c r="DLV167" s="102"/>
      <c r="DLW167" s="102"/>
      <c r="DLX167" s="102"/>
      <c r="DLY167" s="102"/>
      <c r="DLZ167" s="102"/>
      <c r="DMA167" s="102"/>
      <c r="DMB167" s="102"/>
      <c r="DMC167" s="102"/>
      <c r="DMD167" s="102"/>
      <c r="DME167" s="102"/>
      <c r="DMF167" s="102"/>
      <c r="DMG167" s="102"/>
      <c r="DMH167" s="102"/>
      <c r="DMI167" s="102"/>
      <c r="DMJ167" s="102"/>
      <c r="DMK167" s="102"/>
      <c r="DML167" s="102"/>
      <c r="DMM167" s="102"/>
      <c r="DMN167" s="102"/>
      <c r="DMO167" s="102"/>
      <c r="DMP167" s="102"/>
      <c r="DMQ167" s="102"/>
      <c r="DMR167" s="102"/>
      <c r="DMS167" s="102"/>
      <c r="DMT167" s="102"/>
      <c r="DMU167" s="102"/>
      <c r="DMV167" s="102"/>
      <c r="DMW167" s="102"/>
      <c r="DMX167" s="102"/>
      <c r="DMY167" s="102"/>
      <c r="DMZ167" s="102"/>
      <c r="DNA167" s="102"/>
      <c r="DNB167" s="102"/>
      <c r="DNC167" s="102"/>
      <c r="DND167" s="102"/>
      <c r="DNE167" s="102"/>
      <c r="DNF167" s="102"/>
      <c r="DNG167" s="102"/>
      <c r="DNH167" s="102"/>
      <c r="DNI167" s="102"/>
      <c r="DNJ167" s="102"/>
      <c r="DNK167" s="102"/>
      <c r="DNL167" s="102"/>
      <c r="DNM167" s="102"/>
      <c r="DNN167" s="102"/>
      <c r="DNO167" s="102"/>
      <c r="DNP167" s="102"/>
      <c r="DNQ167" s="102"/>
      <c r="DNR167" s="102"/>
      <c r="DNS167" s="102"/>
      <c r="DNT167" s="102"/>
      <c r="DNU167" s="102"/>
      <c r="DNV167" s="102"/>
      <c r="DNW167" s="102"/>
      <c r="DNX167" s="102"/>
      <c r="DNY167" s="102"/>
      <c r="DNZ167" s="102"/>
      <c r="DOA167" s="102"/>
      <c r="DOB167" s="102"/>
      <c r="DOC167" s="102"/>
      <c r="DOD167" s="102"/>
      <c r="DOE167" s="102"/>
      <c r="DOF167" s="102"/>
      <c r="DOG167" s="102"/>
      <c r="DOH167" s="102"/>
      <c r="DOI167" s="102"/>
      <c r="DOJ167" s="102"/>
      <c r="DOK167" s="102"/>
      <c r="DOL167" s="102"/>
      <c r="DOM167" s="102"/>
      <c r="DON167" s="102"/>
      <c r="DOO167" s="102"/>
      <c r="DOP167" s="102"/>
      <c r="DOQ167" s="102"/>
      <c r="DOR167" s="102"/>
      <c r="DOS167" s="102"/>
      <c r="DOT167" s="102"/>
      <c r="DOU167" s="102"/>
      <c r="DOV167" s="102"/>
      <c r="DOW167" s="102"/>
      <c r="DOX167" s="102"/>
      <c r="DOY167" s="102"/>
      <c r="DOZ167" s="102"/>
      <c r="DPA167" s="102"/>
      <c r="DPB167" s="102"/>
      <c r="DPC167" s="102"/>
      <c r="DPD167" s="102"/>
      <c r="DPE167" s="102"/>
      <c r="DPF167" s="102"/>
      <c r="DPG167" s="102"/>
      <c r="DPH167" s="102"/>
      <c r="DPI167" s="102"/>
      <c r="DPJ167" s="102"/>
      <c r="DPK167" s="102"/>
      <c r="DPL167" s="102"/>
      <c r="DPM167" s="102"/>
      <c r="DPN167" s="102"/>
      <c r="DPO167" s="102"/>
      <c r="DPP167" s="102"/>
      <c r="DPQ167" s="102"/>
      <c r="DPR167" s="102"/>
      <c r="DPS167" s="102"/>
      <c r="DPT167" s="102"/>
      <c r="DPU167" s="102"/>
      <c r="DPV167" s="102"/>
      <c r="DPW167" s="102"/>
      <c r="DPX167" s="102"/>
      <c r="DPY167" s="102"/>
      <c r="DPZ167" s="102"/>
      <c r="DQA167" s="102"/>
      <c r="DQB167" s="102"/>
      <c r="DQC167" s="102"/>
      <c r="DQD167" s="102"/>
      <c r="DQE167" s="102"/>
      <c r="DQF167" s="102"/>
      <c r="DQG167" s="102"/>
      <c r="DQH167" s="102"/>
      <c r="DQI167" s="102"/>
      <c r="DQJ167" s="102"/>
      <c r="DQK167" s="102"/>
      <c r="DQL167" s="102"/>
      <c r="DQM167" s="102"/>
      <c r="DQN167" s="102"/>
      <c r="DQO167" s="102"/>
      <c r="DQP167" s="102"/>
      <c r="DQQ167" s="102"/>
      <c r="DQR167" s="102"/>
      <c r="DQS167" s="102"/>
      <c r="DQT167" s="102"/>
      <c r="DQU167" s="102"/>
      <c r="DQV167" s="102"/>
      <c r="DQW167" s="102"/>
      <c r="DQX167" s="102"/>
      <c r="DQY167" s="102"/>
      <c r="DQZ167" s="102"/>
      <c r="DRA167" s="102"/>
      <c r="DRB167" s="102"/>
      <c r="DRC167" s="102"/>
      <c r="DRD167" s="102"/>
      <c r="DRE167" s="102"/>
      <c r="DRF167" s="102"/>
      <c r="DRG167" s="102"/>
      <c r="DRH167" s="102"/>
      <c r="DRI167" s="102"/>
      <c r="DRJ167" s="102"/>
      <c r="DRK167" s="102"/>
      <c r="DRL167" s="102"/>
      <c r="DRM167" s="102"/>
      <c r="DRN167" s="102"/>
      <c r="DRO167" s="102"/>
      <c r="DRP167" s="102"/>
      <c r="DRQ167" s="102"/>
      <c r="DRR167" s="102"/>
      <c r="DRS167" s="102"/>
      <c r="DRT167" s="102"/>
      <c r="DRU167" s="102"/>
      <c r="DRV167" s="102"/>
      <c r="DRW167" s="102"/>
      <c r="DRX167" s="102"/>
      <c r="DRY167" s="102"/>
      <c r="DRZ167" s="102"/>
      <c r="DSA167" s="102"/>
      <c r="DSB167" s="102"/>
      <c r="DSC167" s="102"/>
      <c r="DSD167" s="102"/>
      <c r="DSE167" s="102"/>
      <c r="DSF167" s="102"/>
      <c r="DSG167" s="102"/>
      <c r="DSH167" s="102"/>
      <c r="DSI167" s="102"/>
      <c r="DSJ167" s="102"/>
      <c r="DSK167" s="102"/>
      <c r="DSL167" s="102"/>
      <c r="DSM167" s="102"/>
      <c r="DSN167" s="102"/>
      <c r="DSO167" s="102"/>
      <c r="DSP167" s="102"/>
      <c r="DSQ167" s="102"/>
      <c r="DSR167" s="102"/>
      <c r="DSS167" s="102"/>
      <c r="DST167" s="102"/>
      <c r="DSU167" s="102"/>
      <c r="DSV167" s="102"/>
      <c r="DSW167" s="102"/>
      <c r="DSX167" s="102"/>
      <c r="DSY167" s="102"/>
      <c r="DSZ167" s="102"/>
      <c r="DTA167" s="102"/>
      <c r="DTB167" s="102"/>
      <c r="DTC167" s="102"/>
      <c r="DTD167" s="102"/>
      <c r="DTE167" s="102"/>
      <c r="DTF167" s="102"/>
      <c r="DTG167" s="102"/>
      <c r="DTH167" s="102"/>
      <c r="DTI167" s="102"/>
      <c r="DTJ167" s="102"/>
      <c r="DTK167" s="102"/>
      <c r="DTL167" s="102"/>
      <c r="DTM167" s="102"/>
      <c r="DTN167" s="102"/>
      <c r="DTO167" s="102"/>
      <c r="DTP167" s="102"/>
      <c r="DTQ167" s="102"/>
      <c r="DTR167" s="102"/>
      <c r="DTS167" s="102"/>
      <c r="DTT167" s="102"/>
      <c r="DTU167" s="102"/>
      <c r="DTV167" s="102"/>
      <c r="DTW167" s="102"/>
      <c r="DTX167" s="102"/>
      <c r="DTY167" s="102"/>
      <c r="DTZ167" s="102"/>
      <c r="DUA167" s="102"/>
      <c r="DUB167" s="102"/>
      <c r="DUC167" s="102"/>
      <c r="DUD167" s="102"/>
      <c r="DUE167" s="102"/>
      <c r="DUF167" s="102"/>
      <c r="DUG167" s="102"/>
      <c r="DUH167" s="102"/>
      <c r="DUI167" s="102"/>
      <c r="DUJ167" s="102"/>
      <c r="DUK167" s="102"/>
      <c r="DUL167" s="102"/>
      <c r="DUM167" s="102"/>
      <c r="DUN167" s="102"/>
      <c r="DUO167" s="102"/>
      <c r="DUP167" s="102"/>
      <c r="DUQ167" s="102"/>
      <c r="DUR167" s="102"/>
      <c r="DUS167" s="102"/>
      <c r="DUT167" s="102"/>
      <c r="DUU167" s="102"/>
      <c r="DUV167" s="102"/>
      <c r="DUW167" s="102"/>
      <c r="DUX167" s="102"/>
      <c r="DUY167" s="102"/>
      <c r="DUZ167" s="102"/>
      <c r="DVA167" s="102"/>
      <c r="DVB167" s="102"/>
      <c r="DVC167" s="102"/>
      <c r="DVD167" s="102"/>
      <c r="DVE167" s="102"/>
      <c r="DVF167" s="102"/>
      <c r="DVG167" s="102"/>
      <c r="DVH167" s="102"/>
      <c r="DVI167" s="102"/>
      <c r="DVJ167" s="102"/>
      <c r="DVK167" s="102"/>
      <c r="DVL167" s="102"/>
      <c r="DVM167" s="102"/>
      <c r="DVN167" s="102"/>
      <c r="DVO167" s="102"/>
      <c r="DVP167" s="102"/>
      <c r="DVQ167" s="102"/>
      <c r="DVR167" s="102"/>
      <c r="DVS167" s="102"/>
      <c r="DVT167" s="102"/>
      <c r="DVU167" s="102"/>
      <c r="DVV167" s="102"/>
      <c r="DVW167" s="102"/>
      <c r="DVX167" s="102"/>
      <c r="DVY167" s="102"/>
      <c r="DVZ167" s="102"/>
      <c r="DWA167" s="102"/>
      <c r="DWB167" s="102"/>
      <c r="DWC167" s="102"/>
      <c r="DWD167" s="102"/>
      <c r="DWE167" s="102"/>
      <c r="DWF167" s="102"/>
      <c r="DWG167" s="102"/>
      <c r="DWH167" s="102"/>
      <c r="DWI167" s="102"/>
      <c r="DWJ167" s="102"/>
      <c r="DWK167" s="102"/>
      <c r="DWL167" s="102"/>
      <c r="DWM167" s="102"/>
      <c r="DWN167" s="102"/>
      <c r="DWO167" s="102"/>
      <c r="DWP167" s="102"/>
      <c r="DWQ167" s="102"/>
      <c r="DWR167" s="102"/>
      <c r="DWS167" s="102"/>
      <c r="DWT167" s="102"/>
      <c r="DWU167" s="102"/>
      <c r="DWV167" s="102"/>
      <c r="DWW167" s="102"/>
      <c r="DWX167" s="102"/>
      <c r="DWY167" s="102"/>
      <c r="DWZ167" s="102"/>
      <c r="DXA167" s="102"/>
      <c r="DXB167" s="102"/>
      <c r="DXC167" s="102"/>
      <c r="DXD167" s="102"/>
      <c r="DXE167" s="102"/>
      <c r="DXF167" s="102"/>
      <c r="DXG167" s="102"/>
      <c r="DXH167" s="102"/>
      <c r="DXI167" s="102"/>
      <c r="DXJ167" s="102"/>
      <c r="DXK167" s="102"/>
      <c r="DXL167" s="102"/>
      <c r="DXM167" s="102"/>
      <c r="DXN167" s="102"/>
      <c r="DXO167" s="102"/>
      <c r="DXP167" s="102"/>
      <c r="DXQ167" s="102"/>
      <c r="DXR167" s="102"/>
      <c r="DXS167" s="102"/>
      <c r="DXT167" s="102"/>
      <c r="DXU167" s="102"/>
      <c r="DXV167" s="102"/>
      <c r="DXW167" s="102"/>
      <c r="DXX167" s="102"/>
      <c r="DXY167" s="102"/>
      <c r="DXZ167" s="102"/>
      <c r="DYA167" s="102"/>
      <c r="DYB167" s="102"/>
      <c r="DYC167" s="102"/>
      <c r="DYD167" s="102"/>
      <c r="DYE167" s="102"/>
      <c r="DYF167" s="102"/>
      <c r="DYG167" s="102"/>
      <c r="DYH167" s="102"/>
      <c r="DYI167" s="102"/>
      <c r="DYJ167" s="102"/>
      <c r="DYK167" s="102"/>
      <c r="DYL167" s="102"/>
      <c r="DYM167" s="102"/>
      <c r="DYN167" s="102"/>
      <c r="DYO167" s="102"/>
      <c r="DYP167" s="102"/>
      <c r="DYQ167" s="102"/>
      <c r="DYR167" s="102"/>
      <c r="DYS167" s="102"/>
      <c r="DYT167" s="102"/>
      <c r="DYU167" s="102"/>
      <c r="DYV167" s="102"/>
      <c r="DYW167" s="102"/>
      <c r="DYX167" s="102"/>
      <c r="DYY167" s="102"/>
      <c r="DYZ167" s="102"/>
      <c r="DZA167" s="102"/>
      <c r="DZB167" s="102"/>
      <c r="DZC167" s="102"/>
      <c r="DZD167" s="102"/>
      <c r="DZE167" s="102"/>
      <c r="DZF167" s="102"/>
      <c r="DZG167" s="102"/>
      <c r="DZH167" s="102"/>
      <c r="DZI167" s="102"/>
      <c r="DZJ167" s="102"/>
      <c r="DZK167" s="102"/>
      <c r="DZL167" s="102"/>
      <c r="DZM167" s="102"/>
      <c r="DZN167" s="102"/>
      <c r="DZO167" s="102"/>
      <c r="DZP167" s="102"/>
      <c r="DZQ167" s="102"/>
      <c r="DZR167" s="102"/>
      <c r="DZS167" s="102"/>
      <c r="DZT167" s="102"/>
      <c r="DZU167" s="102"/>
      <c r="DZV167" s="102"/>
      <c r="DZW167" s="102"/>
      <c r="DZX167" s="102"/>
      <c r="DZY167" s="102"/>
      <c r="DZZ167" s="102"/>
      <c r="EAA167" s="102"/>
      <c r="EAB167" s="102"/>
      <c r="EAC167" s="102"/>
      <c r="EAD167" s="102"/>
      <c r="EAE167" s="102"/>
      <c r="EAF167" s="102"/>
      <c r="EAG167" s="102"/>
      <c r="EAH167" s="102"/>
      <c r="EAI167" s="102"/>
      <c r="EAJ167" s="102"/>
      <c r="EAK167" s="102"/>
      <c r="EAL167" s="102"/>
      <c r="EAM167" s="102"/>
      <c r="EAN167" s="102"/>
      <c r="EAO167" s="102"/>
      <c r="EAP167" s="102"/>
      <c r="EAQ167" s="102"/>
      <c r="EAR167" s="102"/>
      <c r="EAS167" s="102"/>
      <c r="EAT167" s="102"/>
      <c r="EAU167" s="102"/>
      <c r="EAV167" s="102"/>
      <c r="EAW167" s="102"/>
      <c r="EAX167" s="102"/>
      <c r="EAY167" s="102"/>
      <c r="EAZ167" s="102"/>
      <c r="EBA167" s="102"/>
      <c r="EBB167" s="102"/>
      <c r="EBC167" s="102"/>
      <c r="EBD167" s="102"/>
      <c r="EBE167" s="102"/>
      <c r="EBF167" s="102"/>
      <c r="EBG167" s="102"/>
      <c r="EBH167" s="102"/>
      <c r="EBI167" s="102"/>
      <c r="EBJ167" s="102"/>
      <c r="EBK167" s="102"/>
      <c r="EBL167" s="102"/>
      <c r="EBM167" s="102"/>
      <c r="EBN167" s="102"/>
      <c r="EBO167" s="102"/>
      <c r="EBP167" s="102"/>
      <c r="EBQ167" s="102"/>
      <c r="EBR167" s="102"/>
      <c r="EBS167" s="102"/>
      <c r="EBT167" s="102"/>
      <c r="EBU167" s="102"/>
      <c r="EBV167" s="102"/>
      <c r="EBW167" s="102"/>
      <c r="EBX167" s="102"/>
      <c r="EBY167" s="102"/>
      <c r="EBZ167" s="102"/>
      <c r="ECA167" s="102"/>
      <c r="ECB167" s="102"/>
      <c r="ECC167" s="102"/>
      <c r="ECD167" s="102"/>
      <c r="ECE167" s="102"/>
      <c r="ECF167" s="102"/>
      <c r="ECG167" s="102"/>
      <c r="ECH167" s="102"/>
      <c r="ECI167" s="102"/>
      <c r="ECJ167" s="102"/>
      <c r="ECK167" s="102"/>
      <c r="ECL167" s="102"/>
      <c r="ECM167" s="102"/>
      <c r="ECN167" s="102"/>
      <c r="ECO167" s="102"/>
      <c r="ECP167" s="102"/>
      <c r="ECQ167" s="102"/>
      <c r="ECR167" s="102"/>
      <c r="ECS167" s="102"/>
      <c r="ECT167" s="102"/>
      <c r="ECU167" s="102"/>
      <c r="ECV167" s="102"/>
      <c r="ECW167" s="102"/>
      <c r="ECX167" s="102"/>
      <c r="ECY167" s="102"/>
      <c r="ECZ167" s="102"/>
      <c r="EDA167" s="102"/>
      <c r="EDB167" s="102"/>
      <c r="EDC167" s="102"/>
      <c r="EDD167" s="102"/>
      <c r="EDE167" s="102"/>
      <c r="EDF167" s="102"/>
      <c r="EDG167" s="102"/>
      <c r="EDH167" s="102"/>
      <c r="EDI167" s="102"/>
      <c r="EDJ167" s="102"/>
      <c r="EDK167" s="102"/>
      <c r="EDL167" s="102"/>
      <c r="EDM167" s="102"/>
      <c r="EDN167" s="102"/>
      <c r="EDO167" s="102"/>
      <c r="EDP167" s="102"/>
      <c r="EDQ167" s="102"/>
      <c r="EDR167" s="102"/>
      <c r="EDS167" s="102"/>
      <c r="EDT167" s="102"/>
      <c r="EDU167" s="102"/>
      <c r="EDV167" s="102"/>
      <c r="EDW167" s="102"/>
      <c r="EDX167" s="102"/>
      <c r="EDY167" s="102"/>
      <c r="EDZ167" s="102"/>
      <c r="EEA167" s="102"/>
      <c r="EEB167" s="102"/>
      <c r="EEC167" s="102"/>
      <c r="EED167" s="102"/>
      <c r="EEE167" s="102"/>
      <c r="EEF167" s="102"/>
      <c r="EEG167" s="102"/>
      <c r="EEH167" s="102"/>
      <c r="EEI167" s="102"/>
      <c r="EEJ167" s="102"/>
      <c r="EEK167" s="102"/>
      <c r="EEL167" s="102"/>
      <c r="EEM167" s="102"/>
      <c r="EEN167" s="102"/>
      <c r="EEO167" s="102"/>
      <c r="EEP167" s="102"/>
      <c r="EEQ167" s="102"/>
      <c r="EER167" s="102"/>
      <c r="EES167" s="102"/>
      <c r="EET167" s="102"/>
      <c r="EEU167" s="102"/>
      <c r="EEV167" s="102"/>
      <c r="EEW167" s="102"/>
      <c r="EEX167" s="102"/>
      <c r="EEY167" s="102"/>
      <c r="EEZ167" s="102"/>
      <c r="EFA167" s="102"/>
      <c r="EFB167" s="102"/>
      <c r="EFC167" s="102"/>
      <c r="EFD167" s="102"/>
      <c r="EFE167" s="102"/>
      <c r="EFF167" s="102"/>
      <c r="EFG167" s="102"/>
      <c r="EFH167" s="102"/>
      <c r="EFI167" s="102"/>
      <c r="EFJ167" s="102"/>
      <c r="EFK167" s="102"/>
      <c r="EFL167" s="102"/>
      <c r="EFM167" s="102"/>
      <c r="EFN167" s="102"/>
      <c r="EFO167" s="102"/>
      <c r="EFP167" s="102"/>
      <c r="EFQ167" s="102"/>
      <c r="EFR167" s="102"/>
      <c r="EFS167" s="102"/>
      <c r="EFT167" s="102"/>
      <c r="EFU167" s="102"/>
      <c r="EFV167" s="102"/>
      <c r="EFW167" s="102"/>
      <c r="EFX167" s="102"/>
      <c r="EFY167" s="102"/>
      <c r="EFZ167" s="102"/>
      <c r="EGA167" s="102"/>
      <c r="EGB167" s="102"/>
      <c r="EGC167" s="102"/>
      <c r="EGD167" s="102"/>
      <c r="EGE167" s="102"/>
      <c r="EGF167" s="102"/>
      <c r="EGG167" s="102"/>
      <c r="EGH167" s="102"/>
      <c r="EGI167" s="102"/>
      <c r="EGJ167" s="102"/>
      <c r="EGK167" s="102"/>
      <c r="EGL167" s="102"/>
      <c r="EGM167" s="102"/>
      <c r="EGN167" s="102"/>
      <c r="EGO167" s="102"/>
      <c r="EGP167" s="102"/>
      <c r="EGQ167" s="102"/>
      <c r="EGR167" s="102"/>
      <c r="EGS167" s="102"/>
      <c r="EGT167" s="102"/>
      <c r="EGU167" s="102"/>
      <c r="EGV167" s="102"/>
      <c r="EGW167" s="102"/>
      <c r="EGX167" s="102"/>
      <c r="EGY167" s="102"/>
      <c r="EGZ167" s="102"/>
      <c r="EHA167" s="102"/>
      <c r="EHB167" s="102"/>
      <c r="EHC167" s="102"/>
      <c r="EHD167" s="102"/>
      <c r="EHE167" s="102"/>
      <c r="EHF167" s="102"/>
      <c r="EHG167" s="102"/>
      <c r="EHH167" s="102"/>
      <c r="EHI167" s="102"/>
      <c r="EHJ167" s="102"/>
      <c r="EHK167" s="102"/>
      <c r="EHL167" s="102"/>
      <c r="EHM167" s="102"/>
      <c r="EHN167" s="102"/>
      <c r="EHO167" s="102"/>
      <c r="EHP167" s="102"/>
      <c r="EHQ167" s="102"/>
      <c r="EHR167" s="102"/>
      <c r="EHS167" s="102"/>
      <c r="EHT167" s="102"/>
      <c r="EHU167" s="102"/>
      <c r="EHV167" s="102"/>
      <c r="EHW167" s="102"/>
      <c r="EHX167" s="102"/>
      <c r="EHY167" s="102"/>
      <c r="EHZ167" s="102"/>
      <c r="EIA167" s="102"/>
      <c r="EIB167" s="102"/>
      <c r="EIC167" s="102"/>
      <c r="EID167" s="102"/>
      <c r="EIE167" s="102"/>
      <c r="EIF167" s="102"/>
      <c r="EIG167" s="102"/>
      <c r="EIH167" s="102"/>
      <c r="EII167" s="102"/>
      <c r="EIJ167" s="102"/>
      <c r="EIK167" s="102"/>
      <c r="EIL167" s="102"/>
      <c r="EIM167" s="102"/>
      <c r="EIN167" s="102"/>
      <c r="EIO167" s="102"/>
      <c r="EIP167" s="102"/>
      <c r="EIQ167" s="102"/>
      <c r="EIR167" s="102"/>
      <c r="EIS167" s="102"/>
      <c r="EIT167" s="102"/>
      <c r="EIU167" s="102"/>
      <c r="EIV167" s="102"/>
      <c r="EIW167" s="102"/>
      <c r="EIX167" s="102"/>
      <c r="EIY167" s="102"/>
      <c r="EIZ167" s="102"/>
      <c r="EJA167" s="102"/>
      <c r="EJB167" s="102"/>
      <c r="EJC167" s="102"/>
      <c r="EJD167" s="102"/>
      <c r="EJE167" s="102"/>
      <c r="EJF167" s="102"/>
      <c r="EJG167" s="102"/>
      <c r="EJH167" s="102"/>
      <c r="EJI167" s="102"/>
      <c r="EJJ167" s="102"/>
      <c r="EJK167" s="102"/>
      <c r="EJL167" s="102"/>
      <c r="EJM167" s="102"/>
      <c r="EJN167" s="102"/>
      <c r="EJO167" s="102"/>
      <c r="EJP167" s="102"/>
      <c r="EJQ167" s="102"/>
      <c r="EJR167" s="102"/>
      <c r="EJS167" s="102"/>
      <c r="EJT167" s="102"/>
      <c r="EJU167" s="102"/>
      <c r="EJV167" s="102"/>
      <c r="EJW167" s="102"/>
      <c r="EJX167" s="102"/>
      <c r="EJY167" s="102"/>
      <c r="EJZ167" s="102"/>
      <c r="EKA167" s="102"/>
      <c r="EKB167" s="102"/>
      <c r="EKC167" s="102"/>
      <c r="EKD167" s="102"/>
      <c r="EKE167" s="102"/>
      <c r="EKF167" s="102"/>
      <c r="EKG167" s="102"/>
      <c r="EKH167" s="102"/>
      <c r="EKI167" s="102"/>
      <c r="EKJ167" s="102"/>
      <c r="EKK167" s="102"/>
      <c r="EKL167" s="102"/>
      <c r="EKM167" s="102"/>
      <c r="EKN167" s="102"/>
      <c r="EKO167" s="102"/>
      <c r="EKP167" s="102"/>
      <c r="EKQ167" s="102"/>
      <c r="EKR167" s="102"/>
      <c r="EKS167" s="102"/>
      <c r="EKT167" s="102"/>
      <c r="EKU167" s="102"/>
      <c r="EKV167" s="102"/>
      <c r="EKW167" s="102"/>
      <c r="EKX167" s="102"/>
      <c r="EKY167" s="102"/>
      <c r="EKZ167" s="102"/>
      <c r="ELA167" s="102"/>
      <c r="ELB167" s="102"/>
      <c r="ELC167" s="102"/>
      <c r="ELD167" s="102"/>
      <c r="ELE167" s="102"/>
      <c r="ELF167" s="102"/>
      <c r="ELG167" s="102"/>
      <c r="ELH167" s="102"/>
      <c r="ELI167" s="102"/>
      <c r="ELJ167" s="102"/>
      <c r="ELK167" s="102"/>
      <c r="ELL167" s="102"/>
      <c r="ELM167" s="102"/>
      <c r="ELN167" s="102"/>
      <c r="ELO167" s="102"/>
      <c r="ELP167" s="102"/>
      <c r="ELQ167" s="102"/>
      <c r="ELR167" s="102"/>
      <c r="ELS167" s="102"/>
      <c r="ELT167" s="102"/>
      <c r="ELU167" s="102"/>
      <c r="ELV167" s="102"/>
      <c r="ELW167" s="102"/>
      <c r="ELX167" s="102"/>
      <c r="ELY167" s="102"/>
      <c r="ELZ167" s="102"/>
      <c r="EMA167" s="102"/>
      <c r="EMB167" s="102"/>
      <c r="EMC167" s="102"/>
      <c r="EMD167" s="102"/>
      <c r="EME167" s="102"/>
      <c r="EMF167" s="102"/>
      <c r="EMG167" s="102"/>
      <c r="EMH167" s="102"/>
      <c r="EMI167" s="102"/>
      <c r="EMJ167" s="102"/>
      <c r="EMK167" s="102"/>
      <c r="EML167" s="102"/>
      <c r="EMM167" s="102"/>
      <c r="EMN167" s="102"/>
      <c r="EMO167" s="102"/>
      <c r="EMP167" s="102"/>
      <c r="EMQ167" s="102"/>
      <c r="EMR167" s="102"/>
      <c r="EMS167" s="102"/>
      <c r="EMT167" s="102"/>
      <c r="EMU167" s="102"/>
      <c r="EMV167" s="102"/>
      <c r="EMW167" s="102"/>
      <c r="EMX167" s="102"/>
      <c r="EMY167" s="102"/>
      <c r="EMZ167" s="102"/>
      <c r="ENA167" s="102"/>
      <c r="ENB167" s="102"/>
      <c r="ENC167" s="102"/>
      <c r="END167" s="102"/>
      <c r="ENE167" s="102"/>
      <c r="ENF167" s="102"/>
      <c r="ENG167" s="102"/>
      <c r="ENH167" s="102"/>
      <c r="ENI167" s="102"/>
      <c r="ENJ167" s="102"/>
      <c r="ENK167" s="102"/>
      <c r="ENL167" s="102"/>
      <c r="ENM167" s="102"/>
      <c r="ENN167" s="102"/>
      <c r="ENO167" s="102"/>
      <c r="ENP167" s="102"/>
      <c r="ENQ167" s="102"/>
      <c r="ENR167" s="102"/>
      <c r="ENS167" s="102"/>
      <c r="ENT167" s="102"/>
      <c r="ENU167" s="102"/>
      <c r="ENV167" s="102"/>
      <c r="ENW167" s="102"/>
      <c r="ENX167" s="102"/>
      <c r="ENY167" s="102"/>
      <c r="ENZ167" s="102"/>
      <c r="EOA167" s="102"/>
      <c r="EOB167" s="102"/>
      <c r="EOC167" s="102"/>
      <c r="EOD167" s="102"/>
      <c r="EOE167" s="102"/>
      <c r="EOF167" s="102"/>
      <c r="EOG167" s="102"/>
      <c r="EOH167" s="102"/>
      <c r="EOI167" s="102"/>
      <c r="EOJ167" s="102"/>
      <c r="EOK167" s="102"/>
      <c r="EOL167" s="102"/>
      <c r="EOM167" s="102"/>
      <c r="EON167" s="102"/>
      <c r="EOO167" s="102"/>
      <c r="EOP167" s="102"/>
      <c r="EOQ167" s="102"/>
      <c r="EOR167" s="102"/>
      <c r="EOS167" s="102"/>
      <c r="EOT167" s="102"/>
      <c r="EOU167" s="102"/>
      <c r="EOV167" s="102"/>
      <c r="EOW167" s="102"/>
      <c r="EOX167" s="102"/>
      <c r="EOY167" s="102"/>
      <c r="EOZ167" s="102"/>
      <c r="EPA167" s="102"/>
      <c r="EPB167" s="102"/>
      <c r="EPC167" s="102"/>
      <c r="EPD167" s="102"/>
      <c r="EPE167" s="102"/>
      <c r="EPF167" s="102"/>
      <c r="EPG167" s="102"/>
      <c r="EPH167" s="102"/>
      <c r="EPI167" s="102"/>
      <c r="EPJ167" s="102"/>
      <c r="EPK167" s="102"/>
      <c r="EPL167" s="102"/>
      <c r="EPM167" s="102"/>
      <c r="EPN167" s="102"/>
      <c r="EPO167" s="102"/>
      <c r="EPP167" s="102"/>
      <c r="EPQ167" s="102"/>
      <c r="EPR167" s="102"/>
      <c r="EPS167" s="102"/>
      <c r="EPT167" s="102"/>
      <c r="EPU167" s="102"/>
      <c r="EPV167" s="102"/>
      <c r="EPW167" s="102"/>
      <c r="EPX167" s="102"/>
      <c r="EPY167" s="102"/>
      <c r="EPZ167" s="102"/>
      <c r="EQA167" s="102"/>
      <c r="EQB167" s="102"/>
      <c r="EQC167" s="102"/>
      <c r="EQD167" s="102"/>
      <c r="EQE167" s="102"/>
      <c r="EQF167" s="102"/>
      <c r="EQG167" s="102"/>
      <c r="EQH167" s="102"/>
      <c r="EQI167" s="102"/>
      <c r="EQJ167" s="102"/>
      <c r="EQK167" s="102"/>
      <c r="EQL167" s="102"/>
      <c r="EQM167" s="102"/>
      <c r="EQN167" s="102"/>
      <c r="EQO167" s="102"/>
      <c r="EQP167" s="102"/>
      <c r="EQQ167" s="102"/>
      <c r="EQR167" s="102"/>
      <c r="EQS167" s="102"/>
      <c r="EQT167" s="102"/>
      <c r="EQU167" s="102"/>
      <c r="EQV167" s="102"/>
      <c r="EQW167" s="102"/>
      <c r="EQX167" s="102"/>
      <c r="EQY167" s="102"/>
      <c r="EQZ167" s="102"/>
      <c r="ERA167" s="102"/>
      <c r="ERB167" s="102"/>
      <c r="ERC167" s="102"/>
      <c r="ERD167" s="102"/>
      <c r="ERE167" s="102"/>
      <c r="ERF167" s="102"/>
      <c r="ERG167" s="102"/>
      <c r="ERH167" s="102"/>
      <c r="ERI167" s="102"/>
      <c r="ERJ167" s="102"/>
      <c r="ERK167" s="102"/>
      <c r="ERL167" s="102"/>
      <c r="ERM167" s="102"/>
      <c r="ERN167" s="102"/>
      <c r="ERO167" s="102"/>
      <c r="ERP167" s="102"/>
      <c r="ERQ167" s="102"/>
      <c r="ERR167" s="102"/>
      <c r="ERS167" s="102"/>
      <c r="ERT167" s="102"/>
      <c r="ERU167" s="102"/>
      <c r="ERV167" s="102"/>
      <c r="ERW167" s="102"/>
      <c r="ERX167" s="102"/>
      <c r="ERY167" s="102"/>
      <c r="ERZ167" s="102"/>
      <c r="ESA167" s="102"/>
      <c r="ESB167" s="102"/>
      <c r="ESC167" s="102"/>
      <c r="ESD167" s="102"/>
      <c r="ESE167" s="102"/>
      <c r="ESF167" s="102"/>
      <c r="ESG167" s="102"/>
      <c r="ESH167" s="102"/>
      <c r="ESI167" s="102"/>
      <c r="ESJ167" s="102"/>
      <c r="ESK167" s="102"/>
      <c r="ESL167" s="102"/>
      <c r="ESM167" s="102"/>
      <c r="ESN167" s="102"/>
      <c r="ESO167" s="102"/>
      <c r="ESP167" s="102"/>
      <c r="ESQ167" s="102"/>
      <c r="ESR167" s="102"/>
      <c r="ESS167" s="102"/>
      <c r="EST167" s="102"/>
      <c r="ESU167" s="102"/>
      <c r="ESV167" s="102"/>
      <c r="ESW167" s="102"/>
      <c r="ESX167" s="102"/>
      <c r="ESY167" s="102"/>
      <c r="ESZ167" s="102"/>
      <c r="ETA167" s="102"/>
      <c r="ETB167" s="102"/>
      <c r="ETC167" s="102"/>
      <c r="ETD167" s="102"/>
      <c r="ETE167" s="102"/>
      <c r="ETF167" s="102"/>
      <c r="ETG167" s="102"/>
      <c r="ETH167" s="102"/>
      <c r="ETI167" s="102"/>
      <c r="ETJ167" s="102"/>
      <c r="ETK167" s="102"/>
      <c r="ETL167" s="102"/>
      <c r="ETM167" s="102"/>
      <c r="ETN167" s="102"/>
      <c r="ETO167" s="102"/>
      <c r="ETP167" s="102"/>
      <c r="ETQ167" s="102"/>
      <c r="ETR167" s="102"/>
      <c r="ETS167" s="102"/>
      <c r="ETT167" s="102"/>
      <c r="ETU167" s="102"/>
      <c r="ETV167" s="102"/>
      <c r="ETW167" s="102"/>
      <c r="ETX167" s="102"/>
      <c r="ETY167" s="102"/>
      <c r="ETZ167" s="102"/>
      <c r="EUA167" s="102"/>
      <c r="EUB167" s="102"/>
      <c r="EUC167" s="102"/>
      <c r="EUD167" s="102"/>
      <c r="EUE167" s="102"/>
      <c r="EUF167" s="102"/>
      <c r="EUG167" s="102"/>
      <c r="EUH167" s="102"/>
      <c r="EUI167" s="102"/>
      <c r="EUJ167" s="102"/>
      <c r="EUK167" s="102"/>
      <c r="EUL167" s="102"/>
      <c r="EUM167" s="102"/>
      <c r="EUN167" s="102"/>
      <c r="EUO167" s="102"/>
      <c r="EUP167" s="102"/>
      <c r="EUQ167" s="102"/>
      <c r="EUR167" s="102"/>
      <c r="EUS167" s="102"/>
      <c r="EUT167" s="102"/>
      <c r="EUU167" s="102"/>
      <c r="EUV167" s="102"/>
      <c r="EUW167" s="102"/>
      <c r="EUX167" s="102"/>
      <c r="EUY167" s="102"/>
      <c r="EUZ167" s="102"/>
      <c r="EVA167" s="102"/>
      <c r="EVB167" s="102"/>
      <c r="EVC167" s="102"/>
      <c r="EVD167" s="102"/>
      <c r="EVE167" s="102"/>
      <c r="EVF167" s="102"/>
      <c r="EVG167" s="102"/>
      <c r="EVH167" s="102"/>
      <c r="EVI167" s="102"/>
      <c r="EVJ167" s="102"/>
      <c r="EVK167" s="102"/>
      <c r="EVL167" s="102"/>
      <c r="EVM167" s="102"/>
      <c r="EVN167" s="102"/>
      <c r="EVO167" s="102"/>
      <c r="EVP167" s="102"/>
      <c r="EVQ167" s="102"/>
      <c r="EVR167" s="102"/>
      <c r="EVS167" s="102"/>
      <c r="EVT167" s="102"/>
      <c r="EVU167" s="102"/>
      <c r="EVV167" s="102"/>
      <c r="EVW167" s="102"/>
      <c r="EVX167" s="102"/>
      <c r="EVY167" s="102"/>
      <c r="EVZ167" s="102"/>
      <c r="EWA167" s="102"/>
      <c r="EWB167" s="102"/>
      <c r="EWC167" s="102"/>
      <c r="EWD167" s="102"/>
      <c r="EWE167" s="102"/>
      <c r="EWF167" s="102"/>
      <c r="EWG167" s="102"/>
      <c r="EWH167" s="102"/>
      <c r="EWI167" s="102"/>
      <c r="EWJ167" s="102"/>
      <c r="EWK167" s="102"/>
      <c r="EWL167" s="102"/>
      <c r="EWM167" s="102"/>
      <c r="EWN167" s="102"/>
      <c r="EWO167" s="102"/>
      <c r="EWP167" s="102"/>
      <c r="EWQ167" s="102"/>
      <c r="EWR167" s="102"/>
      <c r="EWS167" s="102"/>
      <c r="EWT167" s="102"/>
      <c r="EWU167" s="102"/>
      <c r="EWV167" s="102"/>
      <c r="EWW167" s="102"/>
      <c r="EWX167" s="102"/>
      <c r="EWY167" s="102"/>
      <c r="EWZ167" s="102"/>
      <c r="EXA167" s="102"/>
      <c r="EXB167" s="102"/>
      <c r="EXC167" s="102"/>
      <c r="EXD167" s="102"/>
      <c r="EXE167" s="102"/>
      <c r="EXF167" s="102"/>
      <c r="EXG167" s="102"/>
      <c r="EXH167" s="102"/>
      <c r="EXI167" s="102"/>
      <c r="EXJ167" s="102"/>
      <c r="EXK167" s="102"/>
      <c r="EXL167" s="102"/>
      <c r="EXM167" s="102"/>
      <c r="EXN167" s="102"/>
      <c r="EXO167" s="102"/>
      <c r="EXP167" s="102"/>
      <c r="EXQ167" s="102"/>
      <c r="EXR167" s="102"/>
      <c r="EXS167" s="102"/>
      <c r="EXT167" s="102"/>
      <c r="EXU167" s="102"/>
      <c r="EXV167" s="102"/>
      <c r="EXW167" s="102"/>
      <c r="EXX167" s="102"/>
      <c r="EXY167" s="102"/>
      <c r="EXZ167" s="102"/>
      <c r="EYA167" s="102"/>
      <c r="EYB167" s="102"/>
      <c r="EYC167" s="102"/>
      <c r="EYD167" s="102"/>
      <c r="EYE167" s="102"/>
      <c r="EYF167" s="102"/>
      <c r="EYG167" s="102"/>
      <c r="EYH167" s="102"/>
      <c r="EYI167" s="102"/>
      <c r="EYJ167" s="102"/>
      <c r="EYK167" s="102"/>
      <c r="EYL167" s="102"/>
      <c r="EYM167" s="102"/>
      <c r="EYN167" s="102"/>
      <c r="EYO167" s="102"/>
      <c r="EYP167" s="102"/>
      <c r="EYQ167" s="102"/>
      <c r="EYR167" s="102"/>
      <c r="EYS167" s="102"/>
      <c r="EYT167" s="102"/>
      <c r="EYU167" s="102"/>
      <c r="EYV167" s="102"/>
      <c r="EYW167" s="102"/>
      <c r="EYX167" s="102"/>
      <c r="EYY167" s="102"/>
      <c r="EYZ167" s="102"/>
      <c r="EZA167" s="102"/>
      <c r="EZB167" s="102"/>
      <c r="EZC167" s="102"/>
      <c r="EZD167" s="102"/>
      <c r="EZE167" s="102"/>
      <c r="EZF167" s="102"/>
      <c r="EZG167" s="102"/>
      <c r="EZH167" s="102"/>
      <c r="EZI167" s="102"/>
      <c r="EZJ167" s="102"/>
      <c r="EZK167" s="102"/>
      <c r="EZL167" s="102"/>
      <c r="EZM167" s="102"/>
      <c r="EZN167" s="102"/>
      <c r="EZO167" s="102"/>
      <c r="EZP167" s="102"/>
      <c r="EZQ167" s="102"/>
      <c r="EZR167" s="102"/>
      <c r="EZS167" s="102"/>
      <c r="EZT167" s="102"/>
      <c r="EZU167" s="102"/>
      <c r="EZV167" s="102"/>
      <c r="EZW167" s="102"/>
      <c r="EZX167" s="102"/>
      <c r="EZY167" s="102"/>
      <c r="EZZ167" s="102"/>
      <c r="FAA167" s="102"/>
      <c r="FAB167" s="102"/>
      <c r="FAC167" s="102"/>
      <c r="FAD167" s="102"/>
      <c r="FAE167" s="102"/>
      <c r="FAF167" s="102"/>
      <c r="FAG167" s="102"/>
      <c r="FAH167" s="102"/>
      <c r="FAI167" s="102"/>
      <c r="FAJ167" s="102"/>
      <c r="FAK167" s="102"/>
      <c r="FAL167" s="102"/>
      <c r="FAM167" s="102"/>
      <c r="FAN167" s="102"/>
      <c r="FAO167" s="102"/>
      <c r="FAP167" s="102"/>
      <c r="FAQ167" s="102"/>
      <c r="FAR167" s="102"/>
      <c r="FAS167" s="102"/>
      <c r="FAT167" s="102"/>
      <c r="FAU167" s="102"/>
      <c r="FAV167" s="102"/>
      <c r="FAW167" s="102"/>
      <c r="FAX167" s="102"/>
      <c r="FAY167" s="102"/>
      <c r="FAZ167" s="102"/>
      <c r="FBA167" s="102"/>
      <c r="FBB167" s="102"/>
      <c r="FBC167" s="102"/>
      <c r="FBD167" s="102"/>
      <c r="FBE167" s="102"/>
      <c r="FBF167" s="102"/>
      <c r="FBG167" s="102"/>
      <c r="FBH167" s="102"/>
      <c r="FBI167" s="102"/>
      <c r="FBJ167" s="102"/>
      <c r="FBK167" s="102"/>
      <c r="FBL167" s="102"/>
      <c r="FBM167" s="102"/>
      <c r="FBN167" s="102"/>
      <c r="FBO167" s="102"/>
      <c r="FBP167" s="102"/>
      <c r="FBQ167" s="102"/>
      <c r="FBR167" s="102"/>
      <c r="FBS167" s="102"/>
      <c r="FBT167" s="102"/>
      <c r="FBU167" s="102"/>
      <c r="FBV167" s="102"/>
      <c r="FBW167" s="102"/>
      <c r="FBX167" s="102"/>
      <c r="FBY167" s="102"/>
      <c r="FBZ167" s="102"/>
      <c r="FCA167" s="102"/>
      <c r="FCB167" s="102"/>
      <c r="FCC167" s="102"/>
      <c r="FCD167" s="102"/>
      <c r="FCE167" s="102"/>
      <c r="FCF167" s="102"/>
      <c r="FCG167" s="102"/>
      <c r="FCH167" s="102"/>
      <c r="FCI167" s="102"/>
      <c r="FCJ167" s="102"/>
      <c r="FCK167" s="102"/>
      <c r="FCL167" s="102"/>
      <c r="FCM167" s="102"/>
      <c r="FCN167" s="102"/>
      <c r="FCO167" s="102"/>
      <c r="FCP167" s="102"/>
      <c r="FCQ167" s="102"/>
      <c r="FCR167" s="102"/>
      <c r="FCS167" s="102"/>
      <c r="FCT167" s="102"/>
      <c r="FCU167" s="102"/>
      <c r="FCV167" s="102"/>
      <c r="FCW167" s="102"/>
      <c r="FCX167" s="102"/>
      <c r="FCY167" s="102"/>
      <c r="FCZ167" s="102"/>
      <c r="FDA167" s="102"/>
      <c r="FDB167" s="102"/>
      <c r="FDC167" s="102"/>
      <c r="FDD167" s="102"/>
      <c r="FDE167" s="102"/>
      <c r="FDF167" s="102"/>
      <c r="FDG167" s="102"/>
      <c r="FDH167" s="102"/>
      <c r="FDI167" s="102"/>
      <c r="FDJ167" s="102"/>
      <c r="FDK167" s="102"/>
      <c r="FDL167" s="102"/>
      <c r="FDM167" s="102"/>
      <c r="FDN167" s="102"/>
      <c r="FDO167" s="102"/>
      <c r="FDP167" s="102"/>
      <c r="FDQ167" s="102"/>
      <c r="FDR167" s="102"/>
      <c r="FDS167" s="102"/>
      <c r="FDT167" s="102"/>
      <c r="FDU167" s="102"/>
      <c r="FDV167" s="102"/>
      <c r="FDW167" s="102"/>
      <c r="FDX167" s="102"/>
      <c r="FDY167" s="102"/>
      <c r="FDZ167" s="102"/>
      <c r="FEA167" s="102"/>
      <c r="FEB167" s="102"/>
      <c r="FEC167" s="102"/>
      <c r="FED167" s="102"/>
      <c r="FEE167" s="102"/>
      <c r="FEF167" s="102"/>
      <c r="FEG167" s="102"/>
      <c r="FEH167" s="102"/>
      <c r="FEI167" s="102"/>
      <c r="FEJ167" s="102"/>
      <c r="FEK167" s="102"/>
      <c r="FEL167" s="102"/>
      <c r="FEM167" s="102"/>
      <c r="FEN167" s="102"/>
      <c r="FEO167" s="102"/>
      <c r="FEP167" s="102"/>
      <c r="FEQ167" s="102"/>
      <c r="FER167" s="102"/>
      <c r="FES167" s="102"/>
      <c r="FET167" s="102"/>
      <c r="FEU167" s="102"/>
      <c r="FEV167" s="102"/>
      <c r="FEW167" s="102"/>
      <c r="FEX167" s="102"/>
      <c r="FEY167" s="102"/>
      <c r="FEZ167" s="102"/>
      <c r="FFA167" s="102"/>
      <c r="FFB167" s="102"/>
      <c r="FFC167" s="102"/>
      <c r="FFD167" s="102"/>
      <c r="FFE167" s="102"/>
      <c r="FFF167" s="102"/>
      <c r="FFG167" s="102"/>
      <c r="FFH167" s="102"/>
      <c r="FFI167" s="102"/>
      <c r="FFJ167" s="102"/>
      <c r="FFK167" s="102"/>
      <c r="FFL167" s="102"/>
      <c r="FFM167" s="102"/>
      <c r="FFN167" s="102"/>
      <c r="FFO167" s="102"/>
      <c r="FFP167" s="102"/>
      <c r="FFQ167" s="102"/>
      <c r="FFR167" s="102"/>
      <c r="FFS167" s="102"/>
      <c r="FFT167" s="102"/>
      <c r="FFU167" s="102"/>
      <c r="FFV167" s="102"/>
      <c r="FFW167" s="102"/>
      <c r="FFX167" s="102"/>
      <c r="FFY167" s="102"/>
      <c r="FFZ167" s="102"/>
      <c r="FGA167" s="102"/>
      <c r="FGB167" s="102"/>
      <c r="FGC167" s="102"/>
      <c r="FGD167" s="102"/>
      <c r="FGE167" s="102"/>
      <c r="FGF167" s="102"/>
      <c r="FGG167" s="102"/>
      <c r="FGH167" s="102"/>
      <c r="FGI167" s="102"/>
      <c r="FGJ167" s="102"/>
      <c r="FGK167" s="102"/>
      <c r="FGL167" s="102"/>
      <c r="FGM167" s="102"/>
      <c r="FGN167" s="102"/>
      <c r="FGO167" s="102"/>
      <c r="FGP167" s="102"/>
      <c r="FGQ167" s="102"/>
      <c r="FGR167" s="102"/>
      <c r="FGS167" s="102"/>
      <c r="FGT167" s="102"/>
      <c r="FGU167" s="102"/>
      <c r="FGV167" s="102"/>
      <c r="FGW167" s="102"/>
      <c r="FGX167" s="102"/>
      <c r="FGY167" s="102"/>
      <c r="FGZ167" s="102"/>
      <c r="FHA167" s="102"/>
      <c r="FHB167" s="102"/>
      <c r="FHC167" s="102"/>
      <c r="FHD167" s="102"/>
      <c r="FHE167" s="102"/>
      <c r="FHF167" s="102"/>
      <c r="FHG167" s="102"/>
      <c r="FHH167" s="102"/>
      <c r="FHI167" s="102"/>
      <c r="FHJ167" s="102"/>
      <c r="FHK167" s="102"/>
      <c r="FHL167" s="102"/>
      <c r="FHM167" s="102"/>
      <c r="FHN167" s="102"/>
      <c r="FHO167" s="102"/>
      <c r="FHP167" s="102"/>
      <c r="FHQ167" s="102"/>
      <c r="FHR167" s="102"/>
      <c r="FHS167" s="102"/>
      <c r="FHT167" s="102"/>
      <c r="FHU167" s="102"/>
      <c r="FHV167" s="102"/>
      <c r="FHW167" s="102"/>
      <c r="FHX167" s="102"/>
      <c r="FHY167" s="102"/>
      <c r="FHZ167" s="102"/>
      <c r="FIA167" s="102"/>
      <c r="FIB167" s="102"/>
      <c r="FIC167" s="102"/>
      <c r="FID167" s="102"/>
      <c r="FIE167" s="102"/>
      <c r="FIF167" s="102"/>
      <c r="FIG167" s="102"/>
      <c r="FIH167" s="102"/>
      <c r="FII167" s="102"/>
      <c r="FIJ167" s="102"/>
      <c r="FIK167" s="102"/>
      <c r="FIL167" s="102"/>
      <c r="FIM167" s="102"/>
      <c r="FIN167" s="102"/>
      <c r="FIO167" s="102"/>
      <c r="FIP167" s="102"/>
      <c r="FIQ167" s="102"/>
      <c r="FIR167" s="102"/>
      <c r="FIS167" s="102"/>
      <c r="FIT167" s="102"/>
      <c r="FIU167" s="102"/>
      <c r="FIV167" s="102"/>
      <c r="FIW167" s="102"/>
      <c r="FIX167" s="102"/>
      <c r="FIY167" s="102"/>
      <c r="FIZ167" s="102"/>
      <c r="FJA167" s="102"/>
      <c r="FJB167" s="102"/>
      <c r="FJC167" s="102"/>
      <c r="FJD167" s="102"/>
      <c r="FJE167" s="102"/>
      <c r="FJF167" s="102"/>
      <c r="FJG167" s="102"/>
      <c r="FJH167" s="102"/>
      <c r="FJI167" s="102"/>
      <c r="FJJ167" s="102"/>
      <c r="FJK167" s="102"/>
      <c r="FJL167" s="102"/>
      <c r="FJM167" s="102"/>
      <c r="FJN167" s="102"/>
      <c r="FJO167" s="102"/>
      <c r="FJP167" s="102"/>
      <c r="FJQ167" s="102"/>
      <c r="FJR167" s="102"/>
      <c r="FJS167" s="102"/>
      <c r="FJT167" s="102"/>
      <c r="FJU167" s="102"/>
      <c r="FJV167" s="102"/>
      <c r="FJW167" s="102"/>
      <c r="FJX167" s="102"/>
      <c r="FJY167" s="102"/>
      <c r="FJZ167" s="102"/>
      <c r="FKA167" s="102"/>
      <c r="FKB167" s="102"/>
      <c r="FKC167" s="102"/>
      <c r="FKD167" s="102"/>
      <c r="FKE167" s="102"/>
      <c r="FKF167" s="102"/>
      <c r="FKG167" s="102"/>
      <c r="FKH167" s="102"/>
      <c r="FKI167" s="102"/>
      <c r="FKJ167" s="102"/>
      <c r="FKK167" s="102"/>
      <c r="FKL167" s="102"/>
      <c r="FKM167" s="102"/>
      <c r="FKN167" s="102"/>
      <c r="FKO167" s="102"/>
      <c r="FKP167" s="102"/>
      <c r="FKQ167" s="102"/>
      <c r="FKR167" s="102"/>
      <c r="FKS167" s="102"/>
      <c r="FKT167" s="102"/>
      <c r="FKU167" s="102"/>
      <c r="FKV167" s="102"/>
      <c r="FKW167" s="102"/>
      <c r="FKX167" s="102"/>
      <c r="FKY167" s="102"/>
      <c r="FKZ167" s="102"/>
      <c r="FLA167" s="102"/>
      <c r="FLB167" s="102"/>
      <c r="FLC167" s="102"/>
      <c r="FLD167" s="102"/>
      <c r="FLE167" s="102"/>
      <c r="FLF167" s="102"/>
      <c r="FLG167" s="102"/>
      <c r="FLH167" s="102"/>
      <c r="FLI167" s="102"/>
      <c r="FLJ167" s="102"/>
      <c r="FLK167" s="102"/>
      <c r="FLL167" s="102"/>
      <c r="FLM167" s="102"/>
      <c r="FLN167" s="102"/>
      <c r="FLO167" s="102"/>
      <c r="FLP167" s="102"/>
      <c r="FLQ167" s="102"/>
      <c r="FLR167" s="102"/>
      <c r="FLS167" s="102"/>
      <c r="FLT167" s="102"/>
      <c r="FLU167" s="102"/>
      <c r="FLV167" s="102"/>
      <c r="FLW167" s="102"/>
      <c r="FLX167" s="102"/>
      <c r="FLY167" s="102"/>
      <c r="FLZ167" s="102"/>
      <c r="FMA167" s="102"/>
      <c r="FMB167" s="102"/>
      <c r="FMC167" s="102"/>
      <c r="FMD167" s="102"/>
      <c r="FME167" s="102"/>
      <c r="FMF167" s="102"/>
      <c r="FMG167" s="102"/>
      <c r="FMH167" s="102"/>
      <c r="FMI167" s="102"/>
      <c r="FMJ167" s="102"/>
      <c r="FMK167" s="102"/>
      <c r="FML167" s="102"/>
      <c r="FMM167" s="102"/>
      <c r="FMN167" s="102"/>
      <c r="FMO167" s="102"/>
      <c r="FMP167" s="102"/>
      <c r="FMQ167" s="102"/>
      <c r="FMR167" s="102"/>
      <c r="FMS167" s="102"/>
      <c r="FMT167" s="102"/>
      <c r="FMU167" s="102"/>
      <c r="FMV167" s="102"/>
      <c r="FMW167" s="102"/>
      <c r="FMX167" s="102"/>
      <c r="FMY167" s="102"/>
      <c r="FMZ167" s="102"/>
      <c r="FNA167" s="102"/>
      <c r="FNB167" s="102"/>
      <c r="FNC167" s="102"/>
      <c r="FND167" s="102"/>
      <c r="FNE167" s="102"/>
      <c r="FNF167" s="102"/>
      <c r="FNG167" s="102"/>
      <c r="FNH167" s="102"/>
      <c r="FNI167" s="102"/>
      <c r="FNJ167" s="102"/>
      <c r="FNK167" s="102"/>
      <c r="FNL167" s="102"/>
      <c r="FNM167" s="102"/>
      <c r="FNN167" s="102"/>
      <c r="FNO167" s="102"/>
      <c r="FNP167" s="102"/>
      <c r="FNQ167" s="102"/>
      <c r="FNR167" s="102"/>
      <c r="FNS167" s="102"/>
      <c r="FNT167" s="102"/>
      <c r="FNU167" s="102"/>
      <c r="FNV167" s="102"/>
      <c r="FNW167" s="102"/>
      <c r="FNX167" s="102"/>
      <c r="FNY167" s="102"/>
      <c r="FNZ167" s="102"/>
      <c r="FOA167" s="102"/>
      <c r="FOB167" s="102"/>
      <c r="FOC167" s="102"/>
      <c r="FOD167" s="102"/>
      <c r="FOE167" s="102"/>
      <c r="FOF167" s="102"/>
      <c r="FOG167" s="102"/>
      <c r="FOH167" s="102"/>
      <c r="FOI167" s="102"/>
      <c r="FOJ167" s="102"/>
      <c r="FOK167" s="102"/>
      <c r="FOL167" s="102"/>
      <c r="FOM167" s="102"/>
      <c r="FON167" s="102"/>
      <c r="FOO167" s="102"/>
      <c r="FOP167" s="102"/>
      <c r="FOQ167" s="102"/>
      <c r="FOR167" s="102"/>
      <c r="FOS167" s="102"/>
      <c r="FOT167" s="102"/>
      <c r="FOU167" s="102"/>
      <c r="FOV167" s="102"/>
      <c r="FOW167" s="102"/>
      <c r="FOX167" s="102"/>
      <c r="FOY167" s="102"/>
      <c r="FOZ167" s="102"/>
      <c r="FPA167" s="102"/>
      <c r="FPB167" s="102"/>
      <c r="FPC167" s="102"/>
      <c r="FPD167" s="102"/>
      <c r="FPE167" s="102"/>
      <c r="FPF167" s="102"/>
      <c r="FPG167" s="102"/>
      <c r="FPH167" s="102"/>
      <c r="FPI167" s="102"/>
      <c r="FPJ167" s="102"/>
      <c r="FPK167" s="102"/>
      <c r="FPL167" s="102"/>
      <c r="FPM167" s="102"/>
      <c r="FPN167" s="102"/>
      <c r="FPO167" s="102"/>
      <c r="FPP167" s="102"/>
      <c r="FPQ167" s="102"/>
      <c r="FPR167" s="102"/>
      <c r="FPS167" s="102"/>
      <c r="FPT167" s="102"/>
      <c r="FPU167" s="102"/>
      <c r="FPV167" s="102"/>
      <c r="FPW167" s="102"/>
      <c r="FPX167" s="102"/>
      <c r="FPY167" s="102"/>
      <c r="FPZ167" s="102"/>
      <c r="FQA167" s="102"/>
      <c r="FQB167" s="102"/>
      <c r="FQC167" s="102"/>
      <c r="FQD167" s="102"/>
      <c r="FQE167" s="102"/>
      <c r="FQF167" s="102"/>
      <c r="FQG167" s="102"/>
      <c r="FQH167" s="102"/>
      <c r="FQI167" s="102"/>
      <c r="FQJ167" s="102"/>
      <c r="FQK167" s="102"/>
      <c r="FQL167" s="102"/>
      <c r="FQM167" s="102"/>
      <c r="FQN167" s="102"/>
      <c r="FQO167" s="102"/>
      <c r="FQP167" s="102"/>
      <c r="FQQ167" s="102"/>
      <c r="FQR167" s="102"/>
      <c r="FQS167" s="102"/>
      <c r="FQT167" s="102"/>
      <c r="FQU167" s="102"/>
      <c r="FQV167" s="102"/>
      <c r="FQW167" s="102"/>
      <c r="FQX167" s="102"/>
      <c r="FQY167" s="102"/>
      <c r="FQZ167" s="102"/>
      <c r="FRA167" s="102"/>
      <c r="FRB167" s="102"/>
      <c r="FRC167" s="102"/>
      <c r="FRD167" s="102"/>
      <c r="FRE167" s="102"/>
      <c r="FRF167" s="102"/>
      <c r="FRG167" s="102"/>
      <c r="FRH167" s="102"/>
      <c r="FRI167" s="102"/>
      <c r="FRJ167" s="102"/>
      <c r="FRK167" s="102"/>
      <c r="FRL167" s="102"/>
      <c r="FRM167" s="102"/>
      <c r="FRN167" s="102"/>
      <c r="FRO167" s="102"/>
      <c r="FRP167" s="102"/>
      <c r="FRQ167" s="102"/>
      <c r="FRR167" s="102"/>
      <c r="FRS167" s="102"/>
      <c r="FRT167" s="102"/>
      <c r="FRU167" s="102"/>
      <c r="FRV167" s="102"/>
      <c r="FRW167" s="102"/>
      <c r="FRX167" s="102"/>
      <c r="FRY167" s="102"/>
      <c r="FRZ167" s="102"/>
      <c r="FSA167" s="102"/>
      <c r="FSB167" s="102"/>
      <c r="FSC167" s="102"/>
      <c r="FSD167" s="102"/>
      <c r="FSE167" s="102"/>
      <c r="FSF167" s="102"/>
      <c r="FSG167" s="102"/>
      <c r="FSH167" s="102"/>
      <c r="FSI167" s="102"/>
      <c r="FSJ167" s="102"/>
      <c r="FSK167" s="102"/>
      <c r="FSL167" s="102"/>
      <c r="FSM167" s="102"/>
      <c r="FSN167" s="102"/>
      <c r="FSO167" s="102"/>
      <c r="FSP167" s="102"/>
      <c r="FSQ167" s="102"/>
      <c r="FSR167" s="102"/>
      <c r="FSS167" s="102"/>
      <c r="FST167" s="102"/>
      <c r="FSU167" s="102"/>
      <c r="FSV167" s="102"/>
      <c r="FSW167" s="102"/>
      <c r="FSX167" s="102"/>
      <c r="FSY167" s="102"/>
      <c r="FSZ167" s="102"/>
      <c r="FTA167" s="102"/>
      <c r="FTB167" s="102"/>
      <c r="FTC167" s="102"/>
      <c r="FTD167" s="102"/>
      <c r="FTE167" s="102"/>
      <c r="FTF167" s="102"/>
      <c r="FTG167" s="102"/>
      <c r="FTH167" s="102"/>
      <c r="FTI167" s="102"/>
      <c r="FTJ167" s="102"/>
      <c r="FTK167" s="102"/>
      <c r="FTL167" s="102"/>
      <c r="FTM167" s="102"/>
      <c r="FTN167" s="102"/>
      <c r="FTO167" s="102"/>
      <c r="FTP167" s="102"/>
      <c r="FTQ167" s="102"/>
      <c r="FTR167" s="102"/>
      <c r="FTS167" s="102"/>
      <c r="FTT167" s="102"/>
      <c r="FTU167" s="102"/>
      <c r="FTV167" s="102"/>
      <c r="FTW167" s="102"/>
      <c r="FTX167" s="102"/>
      <c r="FTY167" s="102"/>
      <c r="FTZ167" s="102"/>
      <c r="FUA167" s="102"/>
      <c r="FUB167" s="102"/>
      <c r="FUC167" s="102"/>
      <c r="FUD167" s="102"/>
      <c r="FUE167" s="102"/>
      <c r="FUF167" s="102"/>
      <c r="FUG167" s="102"/>
      <c r="FUH167" s="102"/>
      <c r="FUI167" s="102"/>
      <c r="FUJ167" s="102"/>
      <c r="FUK167" s="102"/>
      <c r="FUL167" s="102"/>
      <c r="FUM167" s="102"/>
      <c r="FUN167" s="102"/>
      <c r="FUO167" s="102"/>
      <c r="FUP167" s="102"/>
      <c r="FUQ167" s="102"/>
      <c r="FUR167" s="102"/>
      <c r="FUS167" s="102"/>
      <c r="FUT167" s="102"/>
      <c r="FUU167" s="102"/>
      <c r="FUV167" s="102"/>
      <c r="FUW167" s="102"/>
      <c r="FUX167" s="102"/>
      <c r="FUY167" s="102"/>
      <c r="FUZ167" s="102"/>
      <c r="FVA167" s="102"/>
      <c r="FVB167" s="102"/>
      <c r="FVC167" s="102"/>
      <c r="FVD167" s="102"/>
      <c r="FVE167" s="102"/>
      <c r="FVF167" s="102"/>
      <c r="FVG167" s="102"/>
      <c r="FVH167" s="102"/>
      <c r="FVI167" s="102"/>
      <c r="FVJ167" s="102"/>
      <c r="FVK167" s="102"/>
      <c r="FVL167" s="102"/>
      <c r="FVM167" s="102"/>
      <c r="FVN167" s="102"/>
      <c r="FVO167" s="102"/>
      <c r="FVP167" s="102"/>
      <c r="FVQ167" s="102"/>
      <c r="FVR167" s="102"/>
      <c r="FVS167" s="102"/>
      <c r="FVT167" s="102"/>
      <c r="FVU167" s="102"/>
      <c r="FVV167" s="102"/>
      <c r="FVW167" s="102"/>
      <c r="FVX167" s="102"/>
      <c r="FVY167" s="102"/>
      <c r="FVZ167" s="102"/>
      <c r="FWA167" s="102"/>
      <c r="FWB167" s="102"/>
      <c r="FWC167" s="102"/>
      <c r="FWD167" s="102"/>
      <c r="FWE167" s="102"/>
      <c r="FWF167" s="102"/>
      <c r="FWG167" s="102"/>
      <c r="FWH167" s="102"/>
      <c r="FWI167" s="102"/>
      <c r="FWJ167" s="102"/>
      <c r="FWK167" s="102"/>
      <c r="FWL167" s="102"/>
      <c r="FWM167" s="102"/>
      <c r="FWN167" s="102"/>
      <c r="FWO167" s="102"/>
      <c r="FWP167" s="102"/>
      <c r="FWQ167" s="102"/>
      <c r="FWR167" s="102"/>
      <c r="FWS167" s="102"/>
      <c r="FWT167" s="102"/>
      <c r="FWU167" s="102"/>
      <c r="FWV167" s="102"/>
      <c r="FWW167" s="102"/>
      <c r="FWX167" s="102"/>
      <c r="FWY167" s="102"/>
      <c r="FWZ167" s="102"/>
      <c r="FXA167" s="102"/>
      <c r="FXB167" s="102"/>
      <c r="FXC167" s="102"/>
      <c r="FXD167" s="102"/>
      <c r="FXE167" s="102"/>
      <c r="FXF167" s="102"/>
      <c r="FXG167" s="102"/>
      <c r="FXH167" s="102"/>
      <c r="FXI167" s="102"/>
      <c r="FXJ167" s="102"/>
      <c r="FXK167" s="102"/>
      <c r="FXL167" s="102"/>
      <c r="FXM167" s="102"/>
      <c r="FXN167" s="102"/>
      <c r="FXO167" s="102"/>
      <c r="FXP167" s="102"/>
      <c r="FXQ167" s="102"/>
      <c r="FXR167" s="102"/>
      <c r="FXS167" s="102"/>
      <c r="FXT167" s="102"/>
      <c r="FXU167" s="102"/>
      <c r="FXV167" s="102"/>
      <c r="FXW167" s="102"/>
      <c r="FXX167" s="102"/>
      <c r="FXY167" s="102"/>
      <c r="FXZ167" s="102"/>
      <c r="FYA167" s="102"/>
      <c r="FYB167" s="102"/>
      <c r="FYC167" s="102"/>
      <c r="FYD167" s="102"/>
      <c r="FYE167" s="102"/>
      <c r="FYF167" s="102"/>
      <c r="FYG167" s="102"/>
      <c r="FYH167" s="102"/>
      <c r="FYI167" s="102"/>
      <c r="FYJ167" s="102"/>
      <c r="FYK167" s="102"/>
      <c r="FYL167" s="102"/>
      <c r="FYM167" s="102"/>
      <c r="FYN167" s="102"/>
      <c r="FYO167" s="102"/>
      <c r="FYP167" s="102"/>
      <c r="FYQ167" s="102"/>
      <c r="FYR167" s="102"/>
      <c r="FYS167" s="102"/>
      <c r="FYT167" s="102"/>
      <c r="FYU167" s="102"/>
      <c r="FYV167" s="102"/>
      <c r="FYW167" s="102"/>
      <c r="FYX167" s="102"/>
      <c r="FYY167" s="102"/>
      <c r="FYZ167" s="102"/>
      <c r="FZA167" s="102"/>
      <c r="FZB167" s="102"/>
      <c r="FZC167" s="102"/>
      <c r="FZD167" s="102"/>
      <c r="FZE167" s="102"/>
      <c r="FZF167" s="102"/>
      <c r="FZG167" s="102"/>
      <c r="FZH167" s="102"/>
      <c r="FZI167" s="102"/>
      <c r="FZJ167" s="102"/>
      <c r="FZK167" s="102"/>
      <c r="FZL167" s="102"/>
      <c r="FZM167" s="102"/>
      <c r="FZN167" s="102"/>
      <c r="FZO167" s="102"/>
      <c r="FZP167" s="102"/>
      <c r="FZQ167" s="102"/>
      <c r="FZR167" s="102"/>
      <c r="FZS167" s="102"/>
      <c r="FZT167" s="102"/>
      <c r="FZU167" s="102"/>
      <c r="FZV167" s="102"/>
      <c r="FZW167" s="102"/>
      <c r="FZX167" s="102"/>
      <c r="FZY167" s="102"/>
      <c r="FZZ167" s="102"/>
      <c r="GAA167" s="102"/>
      <c r="GAB167" s="102"/>
      <c r="GAC167" s="102"/>
      <c r="GAD167" s="102"/>
      <c r="GAE167" s="102"/>
      <c r="GAF167" s="102"/>
      <c r="GAG167" s="102"/>
      <c r="GAH167" s="102"/>
      <c r="GAI167" s="102"/>
      <c r="GAJ167" s="102"/>
      <c r="GAK167" s="102"/>
      <c r="GAL167" s="102"/>
      <c r="GAM167" s="102"/>
      <c r="GAN167" s="102"/>
      <c r="GAO167" s="102"/>
      <c r="GAP167" s="102"/>
      <c r="GAQ167" s="102"/>
      <c r="GAR167" s="102"/>
      <c r="GAS167" s="102"/>
      <c r="GAT167" s="102"/>
      <c r="GAU167" s="102"/>
      <c r="GAV167" s="102"/>
      <c r="GAW167" s="102"/>
      <c r="GAX167" s="102"/>
      <c r="GAY167" s="102"/>
      <c r="GAZ167" s="102"/>
      <c r="GBA167" s="102"/>
      <c r="GBB167" s="102"/>
      <c r="GBC167" s="102"/>
      <c r="GBD167" s="102"/>
      <c r="GBE167" s="102"/>
      <c r="GBF167" s="102"/>
      <c r="GBG167" s="102"/>
      <c r="GBH167" s="102"/>
      <c r="GBI167" s="102"/>
      <c r="GBJ167" s="102"/>
      <c r="GBK167" s="102"/>
      <c r="GBL167" s="102"/>
      <c r="GBM167" s="102"/>
      <c r="GBN167" s="102"/>
      <c r="GBO167" s="102"/>
      <c r="GBP167" s="102"/>
      <c r="GBQ167" s="102"/>
      <c r="GBR167" s="102"/>
      <c r="GBS167" s="102"/>
      <c r="GBT167" s="102"/>
      <c r="GBU167" s="102"/>
      <c r="GBV167" s="102"/>
      <c r="GBW167" s="102"/>
      <c r="GBX167" s="102"/>
      <c r="GBY167" s="102"/>
      <c r="GBZ167" s="102"/>
      <c r="GCA167" s="102"/>
      <c r="GCB167" s="102"/>
      <c r="GCC167" s="102"/>
      <c r="GCD167" s="102"/>
      <c r="GCE167" s="102"/>
      <c r="GCF167" s="102"/>
      <c r="GCG167" s="102"/>
      <c r="GCH167" s="102"/>
      <c r="GCI167" s="102"/>
      <c r="GCJ167" s="102"/>
      <c r="GCK167" s="102"/>
      <c r="GCL167" s="102"/>
      <c r="GCM167" s="102"/>
      <c r="GCN167" s="102"/>
      <c r="GCO167" s="102"/>
      <c r="GCP167" s="102"/>
      <c r="GCQ167" s="102"/>
      <c r="GCR167" s="102"/>
      <c r="GCS167" s="102"/>
      <c r="GCT167" s="102"/>
      <c r="GCU167" s="102"/>
      <c r="GCV167" s="102"/>
      <c r="GCW167" s="102"/>
      <c r="GCX167" s="102"/>
      <c r="GCY167" s="102"/>
      <c r="GCZ167" s="102"/>
      <c r="GDA167" s="102"/>
      <c r="GDB167" s="102"/>
      <c r="GDC167" s="102"/>
      <c r="GDD167" s="102"/>
      <c r="GDE167" s="102"/>
      <c r="GDF167" s="102"/>
      <c r="GDG167" s="102"/>
      <c r="GDH167" s="102"/>
      <c r="GDI167" s="102"/>
      <c r="GDJ167" s="102"/>
      <c r="GDK167" s="102"/>
      <c r="GDL167" s="102"/>
      <c r="GDM167" s="102"/>
      <c r="GDN167" s="102"/>
      <c r="GDO167" s="102"/>
      <c r="GDP167" s="102"/>
      <c r="GDQ167" s="102"/>
      <c r="GDR167" s="102"/>
      <c r="GDS167" s="102"/>
      <c r="GDT167" s="102"/>
      <c r="GDU167" s="102"/>
      <c r="GDV167" s="102"/>
      <c r="GDW167" s="102"/>
      <c r="GDX167" s="102"/>
      <c r="GDY167" s="102"/>
      <c r="GDZ167" s="102"/>
      <c r="GEA167" s="102"/>
      <c r="GEB167" s="102"/>
      <c r="GEC167" s="102"/>
      <c r="GED167" s="102"/>
      <c r="GEE167" s="102"/>
      <c r="GEF167" s="102"/>
      <c r="GEG167" s="102"/>
      <c r="GEH167" s="102"/>
      <c r="GEI167" s="102"/>
      <c r="GEJ167" s="102"/>
      <c r="GEK167" s="102"/>
      <c r="GEL167" s="102"/>
      <c r="GEM167" s="102"/>
      <c r="GEN167" s="102"/>
      <c r="GEO167" s="102"/>
      <c r="GEP167" s="102"/>
      <c r="GEQ167" s="102"/>
      <c r="GER167" s="102"/>
      <c r="GES167" s="102"/>
      <c r="GET167" s="102"/>
      <c r="GEU167" s="102"/>
      <c r="GEV167" s="102"/>
      <c r="GEW167" s="102"/>
      <c r="GEX167" s="102"/>
      <c r="GEY167" s="102"/>
      <c r="GEZ167" s="102"/>
      <c r="GFA167" s="102"/>
      <c r="GFB167" s="102"/>
      <c r="GFC167" s="102"/>
      <c r="GFD167" s="102"/>
      <c r="GFE167" s="102"/>
      <c r="GFF167" s="102"/>
      <c r="GFG167" s="102"/>
      <c r="GFH167" s="102"/>
      <c r="GFI167" s="102"/>
      <c r="GFJ167" s="102"/>
      <c r="GFK167" s="102"/>
      <c r="GFL167" s="102"/>
      <c r="GFM167" s="102"/>
      <c r="GFN167" s="102"/>
      <c r="GFO167" s="102"/>
      <c r="GFP167" s="102"/>
      <c r="GFQ167" s="102"/>
      <c r="GFR167" s="102"/>
      <c r="GFS167" s="102"/>
      <c r="GFT167" s="102"/>
      <c r="GFU167" s="102"/>
      <c r="GFV167" s="102"/>
      <c r="GFW167" s="102"/>
      <c r="GFX167" s="102"/>
      <c r="GFY167" s="102"/>
      <c r="GFZ167" s="102"/>
      <c r="GGA167" s="102"/>
      <c r="GGB167" s="102"/>
      <c r="GGC167" s="102"/>
      <c r="GGD167" s="102"/>
      <c r="GGE167" s="102"/>
      <c r="GGF167" s="102"/>
      <c r="GGG167" s="102"/>
      <c r="GGH167" s="102"/>
      <c r="GGI167" s="102"/>
      <c r="GGJ167" s="102"/>
      <c r="GGK167" s="102"/>
      <c r="GGL167" s="102"/>
      <c r="GGM167" s="102"/>
      <c r="GGN167" s="102"/>
      <c r="GGO167" s="102"/>
      <c r="GGP167" s="102"/>
      <c r="GGQ167" s="102"/>
      <c r="GGR167" s="102"/>
      <c r="GGS167" s="102"/>
      <c r="GGT167" s="102"/>
      <c r="GGU167" s="102"/>
      <c r="GGV167" s="102"/>
      <c r="GGW167" s="102"/>
      <c r="GGX167" s="102"/>
      <c r="GGY167" s="102"/>
      <c r="GGZ167" s="102"/>
      <c r="GHA167" s="102"/>
      <c r="GHB167" s="102"/>
      <c r="GHC167" s="102"/>
      <c r="GHD167" s="102"/>
      <c r="GHE167" s="102"/>
      <c r="GHF167" s="102"/>
      <c r="GHG167" s="102"/>
      <c r="GHH167" s="102"/>
      <c r="GHI167" s="102"/>
      <c r="GHJ167" s="102"/>
      <c r="GHK167" s="102"/>
      <c r="GHL167" s="102"/>
      <c r="GHM167" s="102"/>
      <c r="GHN167" s="102"/>
      <c r="GHO167" s="102"/>
      <c r="GHP167" s="102"/>
      <c r="GHQ167" s="102"/>
      <c r="GHR167" s="102"/>
      <c r="GHS167" s="102"/>
      <c r="GHT167" s="102"/>
      <c r="GHU167" s="102"/>
      <c r="GHV167" s="102"/>
      <c r="GHW167" s="102"/>
      <c r="GHX167" s="102"/>
      <c r="GHY167" s="102"/>
      <c r="GHZ167" s="102"/>
      <c r="GIA167" s="102"/>
      <c r="GIB167" s="102"/>
      <c r="GIC167" s="102"/>
      <c r="GID167" s="102"/>
      <c r="GIE167" s="102"/>
      <c r="GIF167" s="102"/>
      <c r="GIG167" s="102"/>
      <c r="GIH167" s="102"/>
      <c r="GII167" s="102"/>
      <c r="GIJ167" s="102"/>
      <c r="GIK167" s="102"/>
      <c r="GIL167" s="102"/>
      <c r="GIM167" s="102"/>
      <c r="GIN167" s="102"/>
      <c r="GIO167" s="102"/>
      <c r="GIP167" s="102"/>
      <c r="GIQ167" s="102"/>
      <c r="GIR167" s="102"/>
      <c r="GIS167" s="102"/>
      <c r="GIT167" s="102"/>
      <c r="GIU167" s="102"/>
      <c r="GIV167" s="102"/>
      <c r="GIW167" s="102"/>
      <c r="GIX167" s="102"/>
      <c r="GIY167" s="102"/>
      <c r="GIZ167" s="102"/>
      <c r="GJA167" s="102"/>
      <c r="GJB167" s="102"/>
      <c r="GJC167" s="102"/>
      <c r="GJD167" s="102"/>
      <c r="GJE167" s="102"/>
      <c r="GJF167" s="102"/>
      <c r="GJG167" s="102"/>
      <c r="GJH167" s="102"/>
      <c r="GJI167" s="102"/>
      <c r="GJJ167" s="102"/>
      <c r="GJK167" s="102"/>
      <c r="GJL167" s="102"/>
      <c r="GJM167" s="102"/>
      <c r="GJN167" s="102"/>
      <c r="GJO167" s="102"/>
      <c r="GJP167" s="102"/>
      <c r="GJQ167" s="102"/>
      <c r="GJR167" s="102"/>
      <c r="GJS167" s="102"/>
      <c r="GJT167" s="102"/>
      <c r="GJU167" s="102"/>
      <c r="GJV167" s="102"/>
      <c r="GJW167" s="102"/>
      <c r="GJX167" s="102"/>
      <c r="GJY167" s="102"/>
      <c r="GJZ167" s="102"/>
      <c r="GKA167" s="102"/>
      <c r="GKB167" s="102"/>
      <c r="GKC167" s="102"/>
      <c r="GKD167" s="102"/>
      <c r="GKE167" s="102"/>
      <c r="GKF167" s="102"/>
      <c r="GKG167" s="102"/>
      <c r="GKH167" s="102"/>
      <c r="GKI167" s="102"/>
      <c r="GKJ167" s="102"/>
      <c r="GKK167" s="102"/>
      <c r="GKL167" s="102"/>
      <c r="GKM167" s="102"/>
      <c r="GKN167" s="102"/>
      <c r="GKO167" s="102"/>
      <c r="GKP167" s="102"/>
      <c r="GKQ167" s="102"/>
      <c r="GKR167" s="102"/>
      <c r="GKS167" s="102"/>
      <c r="GKT167" s="102"/>
      <c r="GKU167" s="102"/>
      <c r="GKV167" s="102"/>
      <c r="GKW167" s="102"/>
      <c r="GKX167" s="102"/>
      <c r="GKY167" s="102"/>
      <c r="GKZ167" s="102"/>
      <c r="GLA167" s="102"/>
      <c r="GLB167" s="102"/>
      <c r="GLC167" s="102"/>
      <c r="GLD167" s="102"/>
      <c r="GLE167" s="102"/>
      <c r="GLF167" s="102"/>
      <c r="GLG167" s="102"/>
      <c r="GLH167" s="102"/>
      <c r="GLI167" s="102"/>
      <c r="GLJ167" s="102"/>
      <c r="GLK167" s="102"/>
      <c r="GLL167" s="102"/>
      <c r="GLM167" s="102"/>
      <c r="GLN167" s="102"/>
      <c r="GLO167" s="102"/>
      <c r="GLP167" s="102"/>
      <c r="GLQ167" s="102"/>
      <c r="GLR167" s="102"/>
      <c r="GLS167" s="102"/>
      <c r="GLT167" s="102"/>
      <c r="GLU167" s="102"/>
      <c r="GLV167" s="102"/>
      <c r="GLW167" s="102"/>
      <c r="GLX167" s="102"/>
      <c r="GLY167" s="102"/>
      <c r="GLZ167" s="102"/>
      <c r="GMA167" s="102"/>
      <c r="GMB167" s="102"/>
      <c r="GMC167" s="102"/>
      <c r="GMD167" s="102"/>
      <c r="GME167" s="102"/>
      <c r="GMF167" s="102"/>
      <c r="GMG167" s="102"/>
      <c r="GMH167" s="102"/>
      <c r="GMI167" s="102"/>
      <c r="GMJ167" s="102"/>
      <c r="GMK167" s="102"/>
      <c r="GML167" s="102"/>
      <c r="GMM167" s="102"/>
      <c r="GMN167" s="102"/>
      <c r="GMO167" s="102"/>
      <c r="GMP167" s="102"/>
      <c r="GMQ167" s="102"/>
      <c r="GMR167" s="102"/>
      <c r="GMS167" s="102"/>
      <c r="GMT167" s="102"/>
      <c r="GMU167" s="102"/>
      <c r="GMV167" s="102"/>
      <c r="GMW167" s="102"/>
      <c r="GMX167" s="102"/>
      <c r="GMY167" s="102"/>
      <c r="GMZ167" s="102"/>
      <c r="GNA167" s="102"/>
      <c r="GNB167" s="102"/>
      <c r="GNC167" s="102"/>
      <c r="GND167" s="102"/>
      <c r="GNE167" s="102"/>
      <c r="GNF167" s="102"/>
      <c r="GNG167" s="102"/>
      <c r="GNH167" s="102"/>
      <c r="GNI167" s="102"/>
      <c r="GNJ167" s="102"/>
      <c r="GNK167" s="102"/>
      <c r="GNL167" s="102"/>
      <c r="GNM167" s="102"/>
      <c r="GNN167" s="102"/>
      <c r="GNO167" s="102"/>
      <c r="GNP167" s="102"/>
      <c r="GNQ167" s="102"/>
      <c r="GNR167" s="102"/>
      <c r="GNS167" s="102"/>
      <c r="GNT167" s="102"/>
      <c r="GNU167" s="102"/>
      <c r="GNV167" s="102"/>
      <c r="GNW167" s="102"/>
      <c r="GNX167" s="102"/>
      <c r="GNY167" s="102"/>
      <c r="GNZ167" s="102"/>
      <c r="GOA167" s="102"/>
      <c r="GOB167" s="102"/>
      <c r="GOC167" s="102"/>
      <c r="GOD167" s="102"/>
      <c r="GOE167" s="102"/>
      <c r="GOF167" s="102"/>
      <c r="GOG167" s="102"/>
      <c r="GOH167" s="102"/>
      <c r="GOI167" s="102"/>
      <c r="GOJ167" s="102"/>
      <c r="GOK167" s="102"/>
      <c r="GOL167" s="102"/>
      <c r="GOM167" s="102"/>
      <c r="GON167" s="102"/>
      <c r="GOO167" s="102"/>
      <c r="GOP167" s="102"/>
      <c r="GOQ167" s="102"/>
      <c r="GOR167" s="102"/>
      <c r="GOS167" s="102"/>
      <c r="GOT167" s="102"/>
      <c r="GOU167" s="102"/>
      <c r="GOV167" s="102"/>
      <c r="GOW167" s="102"/>
      <c r="GOX167" s="102"/>
      <c r="GOY167" s="102"/>
      <c r="GOZ167" s="102"/>
      <c r="GPA167" s="102"/>
      <c r="GPB167" s="102"/>
      <c r="GPC167" s="102"/>
      <c r="GPD167" s="102"/>
      <c r="GPE167" s="102"/>
      <c r="GPF167" s="102"/>
      <c r="GPG167" s="102"/>
      <c r="GPH167" s="102"/>
      <c r="GPI167" s="102"/>
      <c r="GPJ167" s="102"/>
      <c r="GPK167" s="102"/>
      <c r="GPL167" s="102"/>
      <c r="GPM167" s="102"/>
      <c r="GPN167" s="102"/>
      <c r="GPO167" s="102"/>
      <c r="GPP167" s="102"/>
      <c r="GPQ167" s="102"/>
      <c r="GPR167" s="102"/>
      <c r="GPS167" s="102"/>
      <c r="GPT167" s="102"/>
      <c r="GPU167" s="102"/>
      <c r="GPV167" s="102"/>
      <c r="GPW167" s="102"/>
      <c r="GPX167" s="102"/>
      <c r="GPY167" s="102"/>
      <c r="GPZ167" s="102"/>
      <c r="GQA167" s="102"/>
      <c r="GQB167" s="102"/>
      <c r="GQC167" s="102"/>
      <c r="GQD167" s="102"/>
      <c r="GQE167" s="102"/>
      <c r="GQF167" s="102"/>
      <c r="GQG167" s="102"/>
      <c r="GQH167" s="102"/>
      <c r="GQI167" s="102"/>
      <c r="GQJ167" s="102"/>
      <c r="GQK167" s="102"/>
      <c r="GQL167" s="102"/>
      <c r="GQM167" s="102"/>
      <c r="GQN167" s="102"/>
      <c r="GQO167" s="102"/>
      <c r="GQP167" s="102"/>
      <c r="GQQ167" s="102"/>
      <c r="GQR167" s="102"/>
      <c r="GQS167" s="102"/>
      <c r="GQT167" s="102"/>
      <c r="GQU167" s="102"/>
      <c r="GQV167" s="102"/>
      <c r="GQW167" s="102"/>
      <c r="GQX167" s="102"/>
      <c r="GQY167" s="102"/>
      <c r="GQZ167" s="102"/>
      <c r="GRA167" s="102"/>
      <c r="GRB167" s="102"/>
      <c r="GRC167" s="102"/>
      <c r="GRD167" s="102"/>
      <c r="GRE167" s="102"/>
      <c r="GRF167" s="102"/>
      <c r="GRG167" s="102"/>
      <c r="GRH167" s="102"/>
      <c r="GRI167" s="102"/>
      <c r="GRJ167" s="102"/>
      <c r="GRK167" s="102"/>
      <c r="GRL167" s="102"/>
      <c r="GRM167" s="102"/>
      <c r="GRN167" s="102"/>
      <c r="GRO167" s="102"/>
      <c r="GRP167" s="102"/>
      <c r="GRQ167" s="102"/>
      <c r="GRR167" s="102"/>
      <c r="GRS167" s="102"/>
      <c r="GRT167" s="102"/>
      <c r="GRU167" s="102"/>
      <c r="GRV167" s="102"/>
      <c r="GRW167" s="102"/>
      <c r="GRX167" s="102"/>
      <c r="GRY167" s="102"/>
      <c r="GRZ167" s="102"/>
      <c r="GSA167" s="102"/>
      <c r="GSB167" s="102"/>
      <c r="GSC167" s="102"/>
      <c r="GSD167" s="102"/>
      <c r="GSE167" s="102"/>
      <c r="GSF167" s="102"/>
      <c r="GSG167" s="102"/>
      <c r="GSH167" s="102"/>
      <c r="GSI167" s="102"/>
      <c r="GSJ167" s="102"/>
      <c r="GSK167" s="102"/>
      <c r="GSL167" s="102"/>
      <c r="GSM167" s="102"/>
      <c r="GSN167" s="102"/>
      <c r="GSO167" s="102"/>
      <c r="GSP167" s="102"/>
      <c r="GSQ167" s="102"/>
      <c r="GSR167" s="102"/>
      <c r="GSS167" s="102"/>
      <c r="GST167" s="102"/>
      <c r="GSU167" s="102"/>
      <c r="GSV167" s="102"/>
      <c r="GSW167" s="102"/>
      <c r="GSX167" s="102"/>
      <c r="GSY167" s="102"/>
      <c r="GSZ167" s="102"/>
      <c r="GTA167" s="102"/>
      <c r="GTB167" s="102"/>
      <c r="GTC167" s="102"/>
      <c r="GTD167" s="102"/>
      <c r="GTE167" s="102"/>
      <c r="GTF167" s="102"/>
      <c r="GTG167" s="102"/>
      <c r="GTH167" s="102"/>
      <c r="GTI167" s="102"/>
      <c r="GTJ167" s="102"/>
      <c r="GTK167" s="102"/>
      <c r="GTL167" s="102"/>
      <c r="GTM167" s="102"/>
      <c r="GTN167" s="102"/>
      <c r="GTO167" s="102"/>
      <c r="GTP167" s="102"/>
      <c r="GTQ167" s="102"/>
      <c r="GTR167" s="102"/>
      <c r="GTS167" s="102"/>
      <c r="GTT167" s="102"/>
      <c r="GTU167" s="102"/>
      <c r="GTV167" s="102"/>
      <c r="GTW167" s="102"/>
      <c r="GTX167" s="102"/>
      <c r="GTY167" s="102"/>
      <c r="GTZ167" s="102"/>
      <c r="GUA167" s="102"/>
      <c r="GUB167" s="102"/>
      <c r="GUC167" s="102"/>
      <c r="GUD167" s="102"/>
      <c r="GUE167" s="102"/>
      <c r="GUF167" s="102"/>
      <c r="GUG167" s="102"/>
      <c r="GUH167" s="102"/>
      <c r="GUI167" s="102"/>
      <c r="GUJ167" s="102"/>
      <c r="GUK167" s="102"/>
      <c r="GUL167" s="102"/>
      <c r="GUM167" s="102"/>
      <c r="GUN167" s="102"/>
      <c r="GUO167" s="102"/>
      <c r="GUP167" s="102"/>
      <c r="GUQ167" s="102"/>
      <c r="GUR167" s="102"/>
      <c r="GUS167" s="102"/>
      <c r="GUT167" s="102"/>
      <c r="GUU167" s="102"/>
      <c r="GUV167" s="102"/>
      <c r="GUW167" s="102"/>
      <c r="GUX167" s="102"/>
      <c r="GUY167" s="102"/>
      <c r="GUZ167" s="102"/>
      <c r="GVA167" s="102"/>
      <c r="GVB167" s="102"/>
      <c r="GVC167" s="102"/>
      <c r="GVD167" s="102"/>
      <c r="GVE167" s="102"/>
      <c r="GVF167" s="102"/>
      <c r="GVG167" s="102"/>
      <c r="GVH167" s="102"/>
      <c r="GVI167" s="102"/>
      <c r="GVJ167" s="102"/>
      <c r="GVK167" s="102"/>
      <c r="GVL167" s="102"/>
      <c r="GVM167" s="102"/>
      <c r="GVN167" s="102"/>
      <c r="GVO167" s="102"/>
      <c r="GVP167" s="102"/>
      <c r="GVQ167" s="102"/>
      <c r="GVR167" s="102"/>
      <c r="GVS167" s="102"/>
      <c r="GVT167" s="102"/>
      <c r="GVU167" s="102"/>
      <c r="GVV167" s="102"/>
      <c r="GVW167" s="102"/>
      <c r="GVX167" s="102"/>
      <c r="GVY167" s="102"/>
      <c r="GVZ167" s="102"/>
      <c r="GWA167" s="102"/>
      <c r="GWB167" s="102"/>
      <c r="GWC167" s="102"/>
      <c r="GWD167" s="102"/>
      <c r="GWE167" s="102"/>
      <c r="GWF167" s="102"/>
      <c r="GWG167" s="102"/>
      <c r="GWH167" s="102"/>
      <c r="GWI167" s="102"/>
      <c r="GWJ167" s="102"/>
      <c r="GWK167" s="102"/>
      <c r="GWL167" s="102"/>
      <c r="GWM167" s="102"/>
      <c r="GWN167" s="102"/>
      <c r="GWO167" s="102"/>
      <c r="GWP167" s="102"/>
      <c r="GWQ167" s="102"/>
      <c r="GWR167" s="102"/>
      <c r="GWS167" s="102"/>
      <c r="GWT167" s="102"/>
      <c r="GWU167" s="102"/>
      <c r="GWV167" s="102"/>
      <c r="GWW167" s="102"/>
      <c r="GWX167" s="102"/>
      <c r="GWY167" s="102"/>
      <c r="GWZ167" s="102"/>
      <c r="GXA167" s="102"/>
      <c r="GXB167" s="102"/>
      <c r="GXC167" s="102"/>
      <c r="GXD167" s="102"/>
      <c r="GXE167" s="102"/>
      <c r="GXF167" s="102"/>
      <c r="GXG167" s="102"/>
      <c r="GXH167" s="102"/>
      <c r="GXI167" s="102"/>
      <c r="GXJ167" s="102"/>
      <c r="GXK167" s="102"/>
      <c r="GXL167" s="102"/>
      <c r="GXM167" s="102"/>
      <c r="GXN167" s="102"/>
      <c r="GXO167" s="102"/>
      <c r="GXP167" s="102"/>
      <c r="GXQ167" s="102"/>
      <c r="GXR167" s="102"/>
      <c r="GXS167" s="102"/>
      <c r="GXT167" s="102"/>
      <c r="GXU167" s="102"/>
      <c r="GXV167" s="102"/>
      <c r="GXW167" s="102"/>
      <c r="GXX167" s="102"/>
      <c r="GXY167" s="102"/>
      <c r="GXZ167" s="102"/>
      <c r="GYA167" s="102"/>
      <c r="GYB167" s="102"/>
      <c r="GYC167" s="102"/>
      <c r="GYD167" s="102"/>
      <c r="GYE167" s="102"/>
      <c r="GYF167" s="102"/>
      <c r="GYG167" s="102"/>
      <c r="GYH167" s="102"/>
      <c r="GYI167" s="102"/>
      <c r="GYJ167" s="102"/>
      <c r="GYK167" s="102"/>
      <c r="GYL167" s="102"/>
      <c r="GYM167" s="102"/>
      <c r="GYN167" s="102"/>
      <c r="GYO167" s="102"/>
      <c r="GYP167" s="102"/>
      <c r="GYQ167" s="102"/>
      <c r="GYR167" s="102"/>
      <c r="GYS167" s="102"/>
      <c r="GYT167" s="102"/>
      <c r="GYU167" s="102"/>
      <c r="GYV167" s="102"/>
      <c r="GYW167" s="102"/>
      <c r="GYX167" s="102"/>
      <c r="GYY167" s="102"/>
      <c r="GYZ167" s="102"/>
      <c r="GZA167" s="102"/>
      <c r="GZB167" s="102"/>
      <c r="GZC167" s="102"/>
      <c r="GZD167" s="102"/>
      <c r="GZE167" s="102"/>
      <c r="GZF167" s="102"/>
      <c r="GZG167" s="102"/>
      <c r="GZH167" s="102"/>
      <c r="GZI167" s="102"/>
      <c r="GZJ167" s="102"/>
      <c r="GZK167" s="102"/>
      <c r="GZL167" s="102"/>
      <c r="GZM167" s="102"/>
      <c r="GZN167" s="102"/>
      <c r="GZO167" s="102"/>
      <c r="GZP167" s="102"/>
      <c r="GZQ167" s="102"/>
      <c r="GZR167" s="102"/>
      <c r="GZS167" s="102"/>
      <c r="GZT167" s="102"/>
      <c r="GZU167" s="102"/>
      <c r="GZV167" s="102"/>
      <c r="GZW167" s="102"/>
      <c r="GZX167" s="102"/>
      <c r="GZY167" s="102"/>
      <c r="GZZ167" s="102"/>
      <c r="HAA167" s="102"/>
      <c r="HAB167" s="102"/>
      <c r="HAC167" s="102"/>
      <c r="HAD167" s="102"/>
      <c r="HAE167" s="102"/>
      <c r="HAF167" s="102"/>
      <c r="HAG167" s="102"/>
      <c r="HAH167" s="102"/>
      <c r="HAI167" s="102"/>
      <c r="HAJ167" s="102"/>
      <c r="HAK167" s="102"/>
      <c r="HAL167" s="102"/>
      <c r="HAM167" s="102"/>
      <c r="HAN167" s="102"/>
      <c r="HAO167" s="102"/>
      <c r="HAP167" s="102"/>
      <c r="HAQ167" s="102"/>
      <c r="HAR167" s="102"/>
      <c r="HAS167" s="102"/>
      <c r="HAT167" s="102"/>
      <c r="HAU167" s="102"/>
      <c r="HAV167" s="102"/>
      <c r="HAW167" s="102"/>
      <c r="HAX167" s="102"/>
      <c r="HAY167" s="102"/>
      <c r="HAZ167" s="102"/>
      <c r="HBA167" s="102"/>
      <c r="HBB167" s="102"/>
      <c r="HBC167" s="102"/>
      <c r="HBD167" s="102"/>
      <c r="HBE167" s="102"/>
      <c r="HBF167" s="102"/>
      <c r="HBG167" s="102"/>
      <c r="HBH167" s="102"/>
      <c r="HBI167" s="102"/>
      <c r="HBJ167" s="102"/>
      <c r="HBK167" s="102"/>
      <c r="HBL167" s="102"/>
      <c r="HBM167" s="102"/>
      <c r="HBN167" s="102"/>
      <c r="HBO167" s="102"/>
      <c r="HBP167" s="102"/>
      <c r="HBQ167" s="102"/>
      <c r="HBR167" s="102"/>
      <c r="HBS167" s="102"/>
      <c r="HBT167" s="102"/>
      <c r="HBU167" s="102"/>
      <c r="HBV167" s="102"/>
      <c r="HBW167" s="102"/>
      <c r="HBX167" s="102"/>
      <c r="HBY167" s="102"/>
      <c r="HBZ167" s="102"/>
      <c r="HCA167" s="102"/>
      <c r="HCB167" s="102"/>
      <c r="HCC167" s="102"/>
      <c r="HCD167" s="102"/>
      <c r="HCE167" s="102"/>
      <c r="HCF167" s="102"/>
      <c r="HCG167" s="102"/>
      <c r="HCH167" s="102"/>
      <c r="HCI167" s="102"/>
      <c r="HCJ167" s="102"/>
      <c r="HCK167" s="102"/>
      <c r="HCL167" s="102"/>
      <c r="HCM167" s="102"/>
      <c r="HCN167" s="102"/>
      <c r="HCO167" s="102"/>
      <c r="HCP167" s="102"/>
      <c r="HCQ167" s="102"/>
      <c r="HCR167" s="102"/>
      <c r="HCS167" s="102"/>
      <c r="HCT167" s="102"/>
      <c r="HCU167" s="102"/>
      <c r="HCV167" s="102"/>
      <c r="HCW167" s="102"/>
      <c r="HCX167" s="102"/>
      <c r="HCY167" s="102"/>
      <c r="HCZ167" s="102"/>
      <c r="HDA167" s="102"/>
      <c r="HDB167" s="102"/>
      <c r="HDC167" s="102"/>
      <c r="HDD167" s="102"/>
      <c r="HDE167" s="102"/>
      <c r="HDF167" s="102"/>
      <c r="HDG167" s="102"/>
      <c r="HDH167" s="102"/>
      <c r="HDI167" s="102"/>
      <c r="HDJ167" s="102"/>
      <c r="HDK167" s="102"/>
      <c r="HDL167" s="102"/>
      <c r="HDM167" s="102"/>
      <c r="HDN167" s="102"/>
      <c r="HDO167" s="102"/>
      <c r="HDP167" s="102"/>
      <c r="HDQ167" s="102"/>
      <c r="HDR167" s="102"/>
      <c r="HDS167" s="102"/>
      <c r="HDT167" s="102"/>
      <c r="HDU167" s="102"/>
      <c r="HDV167" s="102"/>
      <c r="HDW167" s="102"/>
      <c r="HDX167" s="102"/>
      <c r="HDY167" s="102"/>
      <c r="HDZ167" s="102"/>
      <c r="HEA167" s="102"/>
      <c r="HEB167" s="102"/>
      <c r="HEC167" s="102"/>
      <c r="HED167" s="102"/>
      <c r="HEE167" s="102"/>
      <c r="HEF167" s="102"/>
      <c r="HEG167" s="102"/>
      <c r="HEH167" s="102"/>
      <c r="HEI167" s="102"/>
      <c r="HEJ167" s="102"/>
      <c r="HEK167" s="102"/>
      <c r="HEL167" s="102"/>
      <c r="HEM167" s="102"/>
      <c r="HEN167" s="102"/>
      <c r="HEO167" s="102"/>
      <c r="HEP167" s="102"/>
      <c r="HEQ167" s="102"/>
      <c r="HER167" s="102"/>
      <c r="HES167" s="102"/>
      <c r="HET167" s="102"/>
      <c r="HEU167" s="102"/>
      <c r="HEV167" s="102"/>
      <c r="HEW167" s="102"/>
      <c r="HEX167" s="102"/>
      <c r="HEY167" s="102"/>
      <c r="HEZ167" s="102"/>
      <c r="HFA167" s="102"/>
      <c r="HFB167" s="102"/>
      <c r="HFC167" s="102"/>
      <c r="HFD167" s="102"/>
      <c r="HFE167" s="102"/>
      <c r="HFF167" s="102"/>
      <c r="HFG167" s="102"/>
      <c r="HFH167" s="102"/>
      <c r="HFI167" s="102"/>
      <c r="HFJ167" s="102"/>
      <c r="HFK167" s="102"/>
      <c r="HFL167" s="102"/>
      <c r="HFM167" s="102"/>
      <c r="HFN167" s="102"/>
      <c r="HFO167" s="102"/>
      <c r="HFP167" s="102"/>
      <c r="HFQ167" s="102"/>
      <c r="HFR167" s="102"/>
      <c r="HFS167" s="102"/>
      <c r="HFT167" s="102"/>
      <c r="HFU167" s="102"/>
      <c r="HFV167" s="102"/>
      <c r="HFW167" s="102"/>
      <c r="HFX167" s="102"/>
      <c r="HFY167" s="102"/>
      <c r="HFZ167" s="102"/>
      <c r="HGA167" s="102"/>
      <c r="HGB167" s="102"/>
      <c r="HGC167" s="102"/>
      <c r="HGD167" s="102"/>
      <c r="HGE167" s="102"/>
      <c r="HGF167" s="102"/>
      <c r="HGG167" s="102"/>
      <c r="HGH167" s="102"/>
      <c r="HGI167" s="102"/>
      <c r="HGJ167" s="102"/>
      <c r="HGK167" s="102"/>
      <c r="HGL167" s="102"/>
      <c r="HGM167" s="102"/>
      <c r="HGN167" s="102"/>
      <c r="HGO167" s="102"/>
      <c r="HGP167" s="102"/>
      <c r="HGQ167" s="102"/>
      <c r="HGR167" s="102"/>
      <c r="HGS167" s="102"/>
      <c r="HGT167" s="102"/>
      <c r="HGU167" s="102"/>
      <c r="HGV167" s="102"/>
      <c r="HGW167" s="102"/>
      <c r="HGX167" s="102"/>
      <c r="HGY167" s="102"/>
      <c r="HGZ167" s="102"/>
      <c r="HHA167" s="102"/>
      <c r="HHB167" s="102"/>
      <c r="HHC167" s="102"/>
      <c r="HHD167" s="102"/>
      <c r="HHE167" s="102"/>
      <c r="HHF167" s="102"/>
      <c r="HHG167" s="102"/>
      <c r="HHH167" s="102"/>
      <c r="HHI167" s="102"/>
      <c r="HHJ167" s="102"/>
      <c r="HHK167" s="102"/>
      <c r="HHL167" s="102"/>
      <c r="HHM167" s="102"/>
      <c r="HHN167" s="102"/>
      <c r="HHO167" s="102"/>
      <c r="HHP167" s="102"/>
      <c r="HHQ167" s="102"/>
      <c r="HHR167" s="102"/>
      <c r="HHS167" s="102"/>
      <c r="HHT167" s="102"/>
      <c r="HHU167" s="102"/>
      <c r="HHV167" s="102"/>
      <c r="HHW167" s="102"/>
      <c r="HHX167" s="102"/>
      <c r="HHY167" s="102"/>
      <c r="HHZ167" s="102"/>
      <c r="HIA167" s="102"/>
      <c r="HIB167" s="102"/>
      <c r="HIC167" s="102"/>
      <c r="HID167" s="102"/>
      <c r="HIE167" s="102"/>
      <c r="HIF167" s="102"/>
      <c r="HIG167" s="102"/>
      <c r="HIH167" s="102"/>
      <c r="HII167" s="102"/>
      <c r="HIJ167" s="102"/>
      <c r="HIK167" s="102"/>
      <c r="HIL167" s="102"/>
      <c r="HIM167" s="102"/>
      <c r="HIN167" s="102"/>
      <c r="HIO167" s="102"/>
      <c r="HIP167" s="102"/>
      <c r="HIQ167" s="102"/>
      <c r="HIR167" s="102"/>
      <c r="HIS167" s="102"/>
      <c r="HIT167" s="102"/>
      <c r="HIU167" s="102"/>
      <c r="HIV167" s="102"/>
      <c r="HIW167" s="102"/>
      <c r="HIX167" s="102"/>
      <c r="HIY167" s="102"/>
      <c r="HIZ167" s="102"/>
      <c r="HJA167" s="102"/>
      <c r="HJB167" s="102"/>
      <c r="HJC167" s="102"/>
      <c r="HJD167" s="102"/>
      <c r="HJE167" s="102"/>
      <c r="HJF167" s="102"/>
      <c r="HJG167" s="102"/>
      <c r="HJH167" s="102"/>
      <c r="HJI167" s="102"/>
      <c r="HJJ167" s="102"/>
      <c r="HJK167" s="102"/>
      <c r="HJL167" s="102"/>
      <c r="HJM167" s="102"/>
      <c r="HJN167" s="102"/>
      <c r="HJO167" s="102"/>
      <c r="HJP167" s="102"/>
      <c r="HJQ167" s="102"/>
      <c r="HJR167" s="102"/>
      <c r="HJS167" s="102"/>
      <c r="HJT167" s="102"/>
      <c r="HJU167" s="102"/>
      <c r="HJV167" s="102"/>
      <c r="HJW167" s="102"/>
      <c r="HJX167" s="102"/>
      <c r="HJY167" s="102"/>
      <c r="HJZ167" s="102"/>
      <c r="HKA167" s="102"/>
      <c r="HKB167" s="102"/>
      <c r="HKC167" s="102"/>
      <c r="HKD167" s="102"/>
      <c r="HKE167" s="102"/>
      <c r="HKF167" s="102"/>
      <c r="HKG167" s="102"/>
      <c r="HKH167" s="102"/>
      <c r="HKI167" s="102"/>
      <c r="HKJ167" s="102"/>
      <c r="HKK167" s="102"/>
      <c r="HKL167" s="102"/>
      <c r="HKM167" s="102"/>
      <c r="HKN167" s="102"/>
      <c r="HKO167" s="102"/>
      <c r="HKP167" s="102"/>
      <c r="HKQ167" s="102"/>
      <c r="HKR167" s="102"/>
      <c r="HKS167" s="102"/>
      <c r="HKT167" s="102"/>
      <c r="HKU167" s="102"/>
      <c r="HKV167" s="102"/>
      <c r="HKW167" s="102"/>
      <c r="HKX167" s="102"/>
      <c r="HKY167" s="102"/>
      <c r="HKZ167" s="102"/>
      <c r="HLA167" s="102"/>
      <c r="HLB167" s="102"/>
      <c r="HLC167" s="102"/>
      <c r="HLD167" s="102"/>
      <c r="HLE167" s="102"/>
      <c r="HLF167" s="102"/>
      <c r="HLG167" s="102"/>
      <c r="HLH167" s="102"/>
      <c r="HLI167" s="102"/>
      <c r="HLJ167" s="102"/>
      <c r="HLK167" s="102"/>
      <c r="HLL167" s="102"/>
      <c r="HLM167" s="102"/>
      <c r="HLN167" s="102"/>
      <c r="HLO167" s="102"/>
      <c r="HLP167" s="102"/>
      <c r="HLQ167" s="102"/>
      <c r="HLR167" s="102"/>
      <c r="HLS167" s="102"/>
      <c r="HLT167" s="102"/>
      <c r="HLU167" s="102"/>
      <c r="HLV167" s="102"/>
      <c r="HLW167" s="102"/>
      <c r="HLX167" s="102"/>
      <c r="HLY167" s="102"/>
      <c r="HLZ167" s="102"/>
      <c r="HMA167" s="102"/>
      <c r="HMB167" s="102"/>
      <c r="HMC167" s="102"/>
      <c r="HMD167" s="102"/>
      <c r="HME167" s="102"/>
      <c r="HMF167" s="102"/>
      <c r="HMG167" s="102"/>
      <c r="HMH167" s="102"/>
      <c r="HMI167" s="102"/>
      <c r="HMJ167" s="102"/>
      <c r="HMK167" s="102"/>
      <c r="HML167" s="102"/>
      <c r="HMM167" s="102"/>
      <c r="HMN167" s="102"/>
      <c r="HMO167" s="102"/>
      <c r="HMP167" s="102"/>
      <c r="HMQ167" s="102"/>
      <c r="HMR167" s="102"/>
      <c r="HMS167" s="102"/>
      <c r="HMT167" s="102"/>
      <c r="HMU167" s="102"/>
      <c r="HMV167" s="102"/>
      <c r="HMW167" s="102"/>
      <c r="HMX167" s="102"/>
      <c r="HMY167" s="102"/>
      <c r="HMZ167" s="102"/>
      <c r="HNA167" s="102"/>
      <c r="HNB167" s="102"/>
      <c r="HNC167" s="102"/>
      <c r="HND167" s="102"/>
      <c r="HNE167" s="102"/>
      <c r="HNF167" s="102"/>
      <c r="HNG167" s="102"/>
      <c r="HNH167" s="102"/>
      <c r="HNI167" s="102"/>
      <c r="HNJ167" s="102"/>
      <c r="HNK167" s="102"/>
      <c r="HNL167" s="102"/>
      <c r="HNM167" s="102"/>
      <c r="HNN167" s="102"/>
      <c r="HNO167" s="102"/>
      <c r="HNP167" s="102"/>
      <c r="HNQ167" s="102"/>
      <c r="HNR167" s="102"/>
      <c r="HNS167" s="102"/>
      <c r="HNT167" s="102"/>
      <c r="HNU167" s="102"/>
      <c r="HNV167" s="102"/>
      <c r="HNW167" s="102"/>
      <c r="HNX167" s="102"/>
      <c r="HNY167" s="102"/>
      <c r="HNZ167" s="102"/>
      <c r="HOA167" s="102"/>
      <c r="HOB167" s="102"/>
      <c r="HOC167" s="102"/>
      <c r="HOD167" s="102"/>
      <c r="HOE167" s="102"/>
      <c r="HOF167" s="102"/>
      <c r="HOG167" s="102"/>
      <c r="HOH167" s="102"/>
      <c r="HOI167" s="102"/>
      <c r="HOJ167" s="102"/>
      <c r="HOK167" s="102"/>
      <c r="HOL167" s="102"/>
      <c r="HOM167" s="102"/>
      <c r="HON167" s="102"/>
      <c r="HOO167" s="102"/>
      <c r="HOP167" s="102"/>
      <c r="HOQ167" s="102"/>
      <c r="HOR167" s="102"/>
      <c r="HOS167" s="102"/>
      <c r="HOT167" s="102"/>
      <c r="HOU167" s="102"/>
      <c r="HOV167" s="102"/>
      <c r="HOW167" s="102"/>
      <c r="HOX167" s="102"/>
      <c r="HOY167" s="102"/>
      <c r="HOZ167" s="102"/>
      <c r="HPA167" s="102"/>
      <c r="HPB167" s="102"/>
      <c r="HPC167" s="102"/>
      <c r="HPD167" s="102"/>
      <c r="HPE167" s="102"/>
      <c r="HPF167" s="102"/>
      <c r="HPG167" s="102"/>
      <c r="HPH167" s="102"/>
      <c r="HPI167" s="102"/>
      <c r="HPJ167" s="102"/>
      <c r="HPK167" s="102"/>
      <c r="HPL167" s="102"/>
      <c r="HPM167" s="102"/>
      <c r="HPN167" s="102"/>
      <c r="HPO167" s="102"/>
      <c r="HPP167" s="102"/>
      <c r="HPQ167" s="102"/>
      <c r="HPR167" s="102"/>
      <c r="HPS167" s="102"/>
      <c r="HPT167" s="102"/>
      <c r="HPU167" s="102"/>
      <c r="HPV167" s="102"/>
      <c r="HPW167" s="102"/>
      <c r="HPX167" s="102"/>
      <c r="HPY167" s="102"/>
      <c r="HPZ167" s="102"/>
      <c r="HQA167" s="102"/>
      <c r="HQB167" s="102"/>
      <c r="HQC167" s="102"/>
      <c r="HQD167" s="102"/>
      <c r="HQE167" s="102"/>
      <c r="HQF167" s="102"/>
      <c r="HQG167" s="102"/>
      <c r="HQH167" s="102"/>
      <c r="HQI167" s="102"/>
      <c r="HQJ167" s="102"/>
      <c r="HQK167" s="102"/>
      <c r="HQL167" s="102"/>
      <c r="HQM167" s="102"/>
      <c r="HQN167" s="102"/>
      <c r="HQO167" s="102"/>
      <c r="HQP167" s="102"/>
      <c r="HQQ167" s="102"/>
      <c r="HQR167" s="102"/>
      <c r="HQS167" s="102"/>
      <c r="HQT167" s="102"/>
      <c r="HQU167" s="102"/>
      <c r="HQV167" s="102"/>
      <c r="HQW167" s="102"/>
      <c r="HQX167" s="102"/>
      <c r="HQY167" s="102"/>
      <c r="HQZ167" s="102"/>
      <c r="HRA167" s="102"/>
      <c r="HRB167" s="102"/>
      <c r="HRC167" s="102"/>
      <c r="HRD167" s="102"/>
      <c r="HRE167" s="102"/>
      <c r="HRF167" s="102"/>
      <c r="HRG167" s="102"/>
      <c r="HRH167" s="102"/>
      <c r="HRI167" s="102"/>
      <c r="HRJ167" s="102"/>
      <c r="HRK167" s="102"/>
      <c r="HRL167" s="102"/>
      <c r="HRM167" s="102"/>
      <c r="HRN167" s="102"/>
      <c r="HRO167" s="102"/>
      <c r="HRP167" s="102"/>
      <c r="HRQ167" s="102"/>
      <c r="HRR167" s="102"/>
      <c r="HRS167" s="102"/>
      <c r="HRT167" s="102"/>
      <c r="HRU167" s="102"/>
      <c r="HRV167" s="102"/>
      <c r="HRW167" s="102"/>
      <c r="HRX167" s="102"/>
      <c r="HRY167" s="102"/>
      <c r="HRZ167" s="102"/>
      <c r="HSA167" s="102"/>
      <c r="HSB167" s="102"/>
      <c r="HSC167" s="102"/>
      <c r="HSD167" s="102"/>
      <c r="HSE167" s="102"/>
      <c r="HSF167" s="102"/>
      <c r="HSG167" s="102"/>
      <c r="HSH167" s="102"/>
      <c r="HSI167" s="102"/>
      <c r="HSJ167" s="102"/>
      <c r="HSK167" s="102"/>
      <c r="HSL167" s="102"/>
      <c r="HSM167" s="102"/>
      <c r="HSN167" s="102"/>
      <c r="HSO167" s="102"/>
      <c r="HSP167" s="102"/>
      <c r="HSQ167" s="102"/>
      <c r="HSR167" s="102"/>
      <c r="HSS167" s="102"/>
      <c r="HST167" s="102"/>
      <c r="HSU167" s="102"/>
      <c r="HSV167" s="102"/>
      <c r="HSW167" s="102"/>
      <c r="HSX167" s="102"/>
      <c r="HSY167" s="102"/>
      <c r="HSZ167" s="102"/>
      <c r="HTA167" s="102"/>
      <c r="HTB167" s="102"/>
      <c r="HTC167" s="102"/>
      <c r="HTD167" s="102"/>
      <c r="HTE167" s="102"/>
      <c r="HTF167" s="102"/>
      <c r="HTG167" s="102"/>
      <c r="HTH167" s="102"/>
      <c r="HTI167" s="102"/>
      <c r="HTJ167" s="102"/>
      <c r="HTK167" s="102"/>
      <c r="HTL167" s="102"/>
      <c r="HTM167" s="102"/>
      <c r="HTN167" s="102"/>
      <c r="HTO167" s="102"/>
      <c r="HTP167" s="102"/>
      <c r="HTQ167" s="102"/>
      <c r="HTR167" s="102"/>
      <c r="HTS167" s="102"/>
      <c r="HTT167" s="102"/>
      <c r="HTU167" s="102"/>
      <c r="HTV167" s="102"/>
      <c r="HTW167" s="102"/>
      <c r="HTX167" s="102"/>
      <c r="HTY167" s="102"/>
      <c r="HTZ167" s="102"/>
      <c r="HUA167" s="102"/>
      <c r="HUB167" s="102"/>
      <c r="HUC167" s="102"/>
      <c r="HUD167" s="102"/>
      <c r="HUE167" s="102"/>
      <c r="HUF167" s="102"/>
      <c r="HUG167" s="102"/>
      <c r="HUH167" s="102"/>
      <c r="HUI167" s="102"/>
      <c r="HUJ167" s="102"/>
      <c r="HUK167" s="102"/>
      <c r="HUL167" s="102"/>
      <c r="HUM167" s="102"/>
      <c r="HUN167" s="102"/>
      <c r="HUO167" s="102"/>
      <c r="HUP167" s="102"/>
      <c r="HUQ167" s="102"/>
      <c r="HUR167" s="102"/>
      <c r="HUS167" s="102"/>
      <c r="HUT167" s="102"/>
      <c r="HUU167" s="102"/>
      <c r="HUV167" s="102"/>
      <c r="HUW167" s="102"/>
      <c r="HUX167" s="102"/>
      <c r="HUY167" s="102"/>
      <c r="HUZ167" s="102"/>
      <c r="HVA167" s="102"/>
      <c r="HVB167" s="102"/>
      <c r="HVC167" s="102"/>
      <c r="HVD167" s="102"/>
      <c r="HVE167" s="102"/>
      <c r="HVF167" s="102"/>
      <c r="HVG167" s="102"/>
      <c r="HVH167" s="102"/>
      <c r="HVI167" s="102"/>
      <c r="HVJ167" s="102"/>
      <c r="HVK167" s="102"/>
      <c r="HVL167" s="102"/>
      <c r="HVM167" s="102"/>
      <c r="HVN167" s="102"/>
      <c r="HVO167" s="102"/>
      <c r="HVP167" s="102"/>
      <c r="HVQ167" s="102"/>
      <c r="HVR167" s="102"/>
      <c r="HVS167" s="102"/>
      <c r="HVT167" s="102"/>
      <c r="HVU167" s="102"/>
      <c r="HVV167" s="102"/>
      <c r="HVW167" s="102"/>
      <c r="HVX167" s="102"/>
      <c r="HVY167" s="102"/>
      <c r="HVZ167" s="102"/>
      <c r="HWA167" s="102"/>
      <c r="HWB167" s="102"/>
      <c r="HWC167" s="102"/>
      <c r="HWD167" s="102"/>
      <c r="HWE167" s="102"/>
      <c r="HWF167" s="102"/>
      <c r="HWG167" s="102"/>
      <c r="HWH167" s="102"/>
      <c r="HWI167" s="102"/>
      <c r="HWJ167" s="102"/>
      <c r="HWK167" s="102"/>
      <c r="HWL167" s="102"/>
      <c r="HWM167" s="102"/>
      <c r="HWN167" s="102"/>
      <c r="HWO167" s="102"/>
      <c r="HWP167" s="102"/>
      <c r="HWQ167" s="102"/>
      <c r="HWR167" s="102"/>
      <c r="HWS167" s="102"/>
      <c r="HWT167" s="102"/>
      <c r="HWU167" s="102"/>
      <c r="HWV167" s="102"/>
      <c r="HWW167" s="102"/>
      <c r="HWX167" s="102"/>
      <c r="HWY167" s="102"/>
      <c r="HWZ167" s="102"/>
      <c r="HXA167" s="102"/>
      <c r="HXB167" s="102"/>
      <c r="HXC167" s="102"/>
      <c r="HXD167" s="102"/>
      <c r="HXE167" s="102"/>
      <c r="HXF167" s="102"/>
      <c r="HXG167" s="102"/>
      <c r="HXH167" s="102"/>
      <c r="HXI167" s="102"/>
      <c r="HXJ167" s="102"/>
      <c r="HXK167" s="102"/>
      <c r="HXL167" s="102"/>
      <c r="HXM167" s="102"/>
      <c r="HXN167" s="102"/>
      <c r="HXO167" s="102"/>
      <c r="HXP167" s="102"/>
      <c r="HXQ167" s="102"/>
      <c r="HXR167" s="102"/>
      <c r="HXS167" s="102"/>
      <c r="HXT167" s="102"/>
      <c r="HXU167" s="102"/>
      <c r="HXV167" s="102"/>
      <c r="HXW167" s="102"/>
      <c r="HXX167" s="102"/>
      <c r="HXY167" s="102"/>
      <c r="HXZ167" s="102"/>
      <c r="HYA167" s="102"/>
      <c r="HYB167" s="102"/>
      <c r="HYC167" s="102"/>
      <c r="HYD167" s="102"/>
      <c r="HYE167" s="102"/>
      <c r="HYF167" s="102"/>
      <c r="HYG167" s="102"/>
      <c r="HYH167" s="102"/>
      <c r="HYI167" s="102"/>
      <c r="HYJ167" s="102"/>
      <c r="HYK167" s="102"/>
      <c r="HYL167" s="102"/>
      <c r="HYM167" s="102"/>
      <c r="HYN167" s="102"/>
      <c r="HYO167" s="102"/>
      <c r="HYP167" s="102"/>
      <c r="HYQ167" s="102"/>
      <c r="HYR167" s="102"/>
      <c r="HYS167" s="102"/>
      <c r="HYT167" s="102"/>
      <c r="HYU167" s="102"/>
      <c r="HYV167" s="102"/>
      <c r="HYW167" s="102"/>
      <c r="HYX167" s="102"/>
      <c r="HYY167" s="102"/>
      <c r="HYZ167" s="102"/>
      <c r="HZA167" s="102"/>
      <c r="HZB167" s="102"/>
      <c r="HZC167" s="102"/>
      <c r="HZD167" s="102"/>
      <c r="HZE167" s="102"/>
      <c r="HZF167" s="102"/>
      <c r="HZG167" s="102"/>
      <c r="HZH167" s="102"/>
      <c r="HZI167" s="102"/>
      <c r="HZJ167" s="102"/>
      <c r="HZK167" s="102"/>
      <c r="HZL167" s="102"/>
      <c r="HZM167" s="102"/>
      <c r="HZN167" s="102"/>
      <c r="HZO167" s="102"/>
      <c r="HZP167" s="102"/>
      <c r="HZQ167" s="102"/>
      <c r="HZR167" s="102"/>
      <c r="HZS167" s="102"/>
      <c r="HZT167" s="102"/>
      <c r="HZU167" s="102"/>
      <c r="HZV167" s="102"/>
      <c r="HZW167" s="102"/>
      <c r="HZX167" s="102"/>
      <c r="HZY167" s="102"/>
      <c r="HZZ167" s="102"/>
      <c r="IAA167" s="102"/>
      <c r="IAB167" s="102"/>
      <c r="IAC167" s="102"/>
      <c r="IAD167" s="102"/>
      <c r="IAE167" s="102"/>
      <c r="IAF167" s="102"/>
      <c r="IAG167" s="102"/>
      <c r="IAH167" s="102"/>
      <c r="IAI167" s="102"/>
      <c r="IAJ167" s="102"/>
      <c r="IAK167" s="102"/>
      <c r="IAL167" s="102"/>
      <c r="IAM167" s="102"/>
      <c r="IAN167" s="102"/>
      <c r="IAO167" s="102"/>
      <c r="IAP167" s="102"/>
      <c r="IAQ167" s="102"/>
      <c r="IAR167" s="102"/>
      <c r="IAS167" s="102"/>
      <c r="IAT167" s="102"/>
      <c r="IAU167" s="102"/>
      <c r="IAV167" s="102"/>
      <c r="IAW167" s="102"/>
      <c r="IAX167" s="102"/>
      <c r="IAY167" s="102"/>
      <c r="IAZ167" s="102"/>
      <c r="IBA167" s="102"/>
      <c r="IBB167" s="102"/>
      <c r="IBC167" s="102"/>
      <c r="IBD167" s="102"/>
      <c r="IBE167" s="102"/>
      <c r="IBF167" s="102"/>
      <c r="IBG167" s="102"/>
      <c r="IBH167" s="102"/>
      <c r="IBI167" s="102"/>
      <c r="IBJ167" s="102"/>
      <c r="IBK167" s="102"/>
      <c r="IBL167" s="102"/>
      <c r="IBM167" s="102"/>
      <c r="IBN167" s="102"/>
      <c r="IBO167" s="102"/>
      <c r="IBP167" s="102"/>
      <c r="IBQ167" s="102"/>
      <c r="IBR167" s="102"/>
      <c r="IBS167" s="102"/>
      <c r="IBT167" s="102"/>
      <c r="IBU167" s="102"/>
      <c r="IBV167" s="102"/>
      <c r="IBW167" s="102"/>
      <c r="IBX167" s="102"/>
      <c r="IBY167" s="102"/>
      <c r="IBZ167" s="102"/>
      <c r="ICA167" s="102"/>
      <c r="ICB167" s="102"/>
      <c r="ICC167" s="102"/>
      <c r="ICD167" s="102"/>
      <c r="ICE167" s="102"/>
      <c r="ICF167" s="102"/>
      <c r="ICG167" s="102"/>
      <c r="ICH167" s="102"/>
      <c r="ICI167" s="102"/>
      <c r="ICJ167" s="102"/>
      <c r="ICK167" s="102"/>
      <c r="ICL167" s="102"/>
      <c r="ICM167" s="102"/>
      <c r="ICN167" s="102"/>
      <c r="ICO167" s="102"/>
      <c r="ICP167" s="102"/>
      <c r="ICQ167" s="102"/>
      <c r="ICR167" s="102"/>
      <c r="ICS167" s="102"/>
      <c r="ICT167" s="102"/>
      <c r="ICU167" s="102"/>
      <c r="ICV167" s="102"/>
      <c r="ICW167" s="102"/>
      <c r="ICX167" s="102"/>
      <c r="ICY167" s="102"/>
      <c r="ICZ167" s="102"/>
      <c r="IDA167" s="102"/>
      <c r="IDB167" s="102"/>
      <c r="IDC167" s="102"/>
      <c r="IDD167" s="102"/>
      <c r="IDE167" s="102"/>
      <c r="IDF167" s="102"/>
      <c r="IDG167" s="102"/>
      <c r="IDH167" s="102"/>
      <c r="IDI167" s="102"/>
      <c r="IDJ167" s="102"/>
      <c r="IDK167" s="102"/>
      <c r="IDL167" s="102"/>
      <c r="IDM167" s="102"/>
      <c r="IDN167" s="102"/>
      <c r="IDO167" s="102"/>
      <c r="IDP167" s="102"/>
      <c r="IDQ167" s="102"/>
      <c r="IDR167" s="102"/>
      <c r="IDS167" s="102"/>
      <c r="IDT167" s="102"/>
      <c r="IDU167" s="102"/>
      <c r="IDV167" s="102"/>
      <c r="IDW167" s="102"/>
      <c r="IDX167" s="102"/>
      <c r="IDY167" s="102"/>
      <c r="IDZ167" s="102"/>
      <c r="IEA167" s="102"/>
      <c r="IEB167" s="102"/>
      <c r="IEC167" s="102"/>
      <c r="IED167" s="102"/>
      <c r="IEE167" s="102"/>
      <c r="IEF167" s="102"/>
      <c r="IEG167" s="102"/>
      <c r="IEH167" s="102"/>
      <c r="IEI167" s="102"/>
      <c r="IEJ167" s="102"/>
      <c r="IEK167" s="102"/>
      <c r="IEL167" s="102"/>
      <c r="IEM167" s="102"/>
      <c r="IEN167" s="102"/>
      <c r="IEO167" s="102"/>
      <c r="IEP167" s="102"/>
      <c r="IEQ167" s="102"/>
      <c r="IER167" s="102"/>
      <c r="IES167" s="102"/>
      <c r="IET167" s="102"/>
      <c r="IEU167" s="102"/>
      <c r="IEV167" s="102"/>
      <c r="IEW167" s="102"/>
      <c r="IEX167" s="102"/>
      <c r="IEY167" s="102"/>
      <c r="IEZ167" s="102"/>
      <c r="IFA167" s="102"/>
      <c r="IFB167" s="102"/>
      <c r="IFC167" s="102"/>
      <c r="IFD167" s="102"/>
      <c r="IFE167" s="102"/>
      <c r="IFF167" s="102"/>
      <c r="IFG167" s="102"/>
      <c r="IFH167" s="102"/>
      <c r="IFI167" s="102"/>
      <c r="IFJ167" s="102"/>
      <c r="IFK167" s="102"/>
      <c r="IFL167" s="102"/>
      <c r="IFM167" s="102"/>
      <c r="IFN167" s="102"/>
      <c r="IFO167" s="102"/>
      <c r="IFP167" s="102"/>
      <c r="IFQ167" s="102"/>
      <c r="IFR167" s="102"/>
      <c r="IFS167" s="102"/>
      <c r="IFT167" s="102"/>
      <c r="IFU167" s="102"/>
      <c r="IFV167" s="102"/>
      <c r="IFW167" s="102"/>
      <c r="IFX167" s="102"/>
      <c r="IFY167" s="102"/>
      <c r="IFZ167" s="102"/>
      <c r="IGA167" s="102"/>
      <c r="IGB167" s="102"/>
      <c r="IGC167" s="102"/>
      <c r="IGD167" s="102"/>
      <c r="IGE167" s="102"/>
      <c r="IGF167" s="102"/>
      <c r="IGG167" s="102"/>
      <c r="IGH167" s="102"/>
      <c r="IGI167" s="102"/>
      <c r="IGJ167" s="102"/>
      <c r="IGK167" s="102"/>
      <c r="IGL167" s="102"/>
      <c r="IGM167" s="102"/>
      <c r="IGN167" s="102"/>
      <c r="IGO167" s="102"/>
      <c r="IGP167" s="102"/>
      <c r="IGQ167" s="102"/>
      <c r="IGR167" s="102"/>
      <c r="IGS167" s="102"/>
      <c r="IGT167" s="102"/>
      <c r="IGU167" s="102"/>
      <c r="IGV167" s="102"/>
      <c r="IGW167" s="102"/>
      <c r="IGX167" s="102"/>
      <c r="IGY167" s="102"/>
      <c r="IGZ167" s="102"/>
      <c r="IHA167" s="102"/>
      <c r="IHB167" s="102"/>
      <c r="IHC167" s="102"/>
      <c r="IHD167" s="102"/>
      <c r="IHE167" s="102"/>
      <c r="IHF167" s="102"/>
      <c r="IHG167" s="102"/>
      <c r="IHH167" s="102"/>
      <c r="IHI167" s="102"/>
      <c r="IHJ167" s="102"/>
      <c r="IHK167" s="102"/>
      <c r="IHL167" s="102"/>
      <c r="IHM167" s="102"/>
      <c r="IHN167" s="102"/>
      <c r="IHO167" s="102"/>
      <c r="IHP167" s="102"/>
      <c r="IHQ167" s="102"/>
      <c r="IHR167" s="102"/>
      <c r="IHS167" s="102"/>
      <c r="IHT167" s="102"/>
      <c r="IHU167" s="102"/>
      <c r="IHV167" s="102"/>
      <c r="IHW167" s="102"/>
      <c r="IHX167" s="102"/>
      <c r="IHY167" s="102"/>
      <c r="IHZ167" s="102"/>
      <c r="IIA167" s="102"/>
      <c r="IIB167" s="102"/>
      <c r="IIC167" s="102"/>
      <c r="IID167" s="102"/>
      <c r="IIE167" s="102"/>
      <c r="IIF167" s="102"/>
      <c r="IIG167" s="102"/>
      <c r="IIH167" s="102"/>
      <c r="III167" s="102"/>
      <c r="IIJ167" s="102"/>
      <c r="IIK167" s="102"/>
      <c r="IIL167" s="102"/>
      <c r="IIM167" s="102"/>
      <c r="IIN167" s="102"/>
      <c r="IIO167" s="102"/>
      <c r="IIP167" s="102"/>
      <c r="IIQ167" s="102"/>
      <c r="IIR167" s="102"/>
      <c r="IIS167" s="102"/>
      <c r="IIT167" s="102"/>
      <c r="IIU167" s="102"/>
      <c r="IIV167" s="102"/>
      <c r="IIW167" s="102"/>
      <c r="IIX167" s="102"/>
      <c r="IIY167" s="102"/>
      <c r="IIZ167" s="102"/>
      <c r="IJA167" s="102"/>
      <c r="IJB167" s="102"/>
      <c r="IJC167" s="102"/>
      <c r="IJD167" s="102"/>
      <c r="IJE167" s="102"/>
      <c r="IJF167" s="102"/>
      <c r="IJG167" s="102"/>
      <c r="IJH167" s="102"/>
      <c r="IJI167" s="102"/>
      <c r="IJJ167" s="102"/>
      <c r="IJK167" s="102"/>
      <c r="IJL167" s="102"/>
      <c r="IJM167" s="102"/>
      <c r="IJN167" s="102"/>
      <c r="IJO167" s="102"/>
      <c r="IJP167" s="102"/>
      <c r="IJQ167" s="102"/>
      <c r="IJR167" s="102"/>
      <c r="IJS167" s="102"/>
      <c r="IJT167" s="102"/>
      <c r="IJU167" s="102"/>
      <c r="IJV167" s="102"/>
      <c r="IJW167" s="102"/>
      <c r="IJX167" s="102"/>
      <c r="IJY167" s="102"/>
      <c r="IJZ167" s="102"/>
      <c r="IKA167" s="102"/>
      <c r="IKB167" s="102"/>
      <c r="IKC167" s="102"/>
      <c r="IKD167" s="102"/>
      <c r="IKE167" s="102"/>
      <c r="IKF167" s="102"/>
      <c r="IKG167" s="102"/>
      <c r="IKH167" s="102"/>
      <c r="IKI167" s="102"/>
      <c r="IKJ167" s="102"/>
      <c r="IKK167" s="102"/>
      <c r="IKL167" s="102"/>
      <c r="IKM167" s="102"/>
      <c r="IKN167" s="102"/>
      <c r="IKO167" s="102"/>
      <c r="IKP167" s="102"/>
      <c r="IKQ167" s="102"/>
      <c r="IKR167" s="102"/>
      <c r="IKS167" s="102"/>
      <c r="IKT167" s="102"/>
      <c r="IKU167" s="102"/>
      <c r="IKV167" s="102"/>
      <c r="IKW167" s="102"/>
      <c r="IKX167" s="102"/>
      <c r="IKY167" s="102"/>
      <c r="IKZ167" s="102"/>
      <c r="ILA167" s="102"/>
      <c r="ILB167" s="102"/>
      <c r="ILC167" s="102"/>
      <c r="ILD167" s="102"/>
      <c r="ILE167" s="102"/>
      <c r="ILF167" s="102"/>
      <c r="ILG167" s="102"/>
      <c r="ILH167" s="102"/>
      <c r="ILI167" s="102"/>
      <c r="ILJ167" s="102"/>
      <c r="ILK167" s="102"/>
      <c r="ILL167" s="102"/>
      <c r="ILM167" s="102"/>
      <c r="ILN167" s="102"/>
      <c r="ILO167" s="102"/>
      <c r="ILP167" s="102"/>
      <c r="ILQ167" s="102"/>
      <c r="ILR167" s="102"/>
      <c r="ILS167" s="102"/>
      <c r="ILT167" s="102"/>
      <c r="ILU167" s="102"/>
      <c r="ILV167" s="102"/>
      <c r="ILW167" s="102"/>
      <c r="ILX167" s="102"/>
      <c r="ILY167" s="102"/>
      <c r="ILZ167" s="102"/>
      <c r="IMA167" s="102"/>
      <c r="IMB167" s="102"/>
      <c r="IMC167" s="102"/>
      <c r="IMD167" s="102"/>
      <c r="IME167" s="102"/>
      <c r="IMF167" s="102"/>
      <c r="IMG167" s="102"/>
      <c r="IMH167" s="102"/>
      <c r="IMI167" s="102"/>
      <c r="IMJ167" s="102"/>
      <c r="IMK167" s="102"/>
      <c r="IML167" s="102"/>
      <c r="IMM167" s="102"/>
      <c r="IMN167" s="102"/>
      <c r="IMO167" s="102"/>
      <c r="IMP167" s="102"/>
      <c r="IMQ167" s="102"/>
      <c r="IMR167" s="102"/>
      <c r="IMS167" s="102"/>
      <c r="IMT167" s="102"/>
      <c r="IMU167" s="102"/>
      <c r="IMV167" s="102"/>
      <c r="IMW167" s="102"/>
      <c r="IMX167" s="102"/>
      <c r="IMY167" s="102"/>
      <c r="IMZ167" s="102"/>
      <c r="INA167" s="102"/>
      <c r="INB167" s="102"/>
      <c r="INC167" s="102"/>
      <c r="IND167" s="102"/>
      <c r="INE167" s="102"/>
      <c r="INF167" s="102"/>
      <c r="ING167" s="102"/>
      <c r="INH167" s="102"/>
      <c r="INI167" s="102"/>
      <c r="INJ167" s="102"/>
      <c r="INK167" s="102"/>
      <c r="INL167" s="102"/>
      <c r="INM167" s="102"/>
      <c r="INN167" s="102"/>
      <c r="INO167" s="102"/>
      <c r="INP167" s="102"/>
      <c r="INQ167" s="102"/>
      <c r="INR167" s="102"/>
      <c r="INS167" s="102"/>
      <c r="INT167" s="102"/>
      <c r="INU167" s="102"/>
      <c r="INV167" s="102"/>
      <c r="INW167" s="102"/>
      <c r="INX167" s="102"/>
      <c r="INY167" s="102"/>
      <c r="INZ167" s="102"/>
      <c r="IOA167" s="102"/>
      <c r="IOB167" s="102"/>
      <c r="IOC167" s="102"/>
      <c r="IOD167" s="102"/>
      <c r="IOE167" s="102"/>
      <c r="IOF167" s="102"/>
      <c r="IOG167" s="102"/>
      <c r="IOH167" s="102"/>
      <c r="IOI167" s="102"/>
      <c r="IOJ167" s="102"/>
      <c r="IOK167" s="102"/>
      <c r="IOL167" s="102"/>
      <c r="IOM167" s="102"/>
      <c r="ION167" s="102"/>
      <c r="IOO167" s="102"/>
      <c r="IOP167" s="102"/>
      <c r="IOQ167" s="102"/>
      <c r="IOR167" s="102"/>
      <c r="IOS167" s="102"/>
      <c r="IOT167" s="102"/>
      <c r="IOU167" s="102"/>
      <c r="IOV167" s="102"/>
      <c r="IOW167" s="102"/>
      <c r="IOX167" s="102"/>
      <c r="IOY167" s="102"/>
      <c r="IOZ167" s="102"/>
      <c r="IPA167" s="102"/>
      <c r="IPB167" s="102"/>
      <c r="IPC167" s="102"/>
      <c r="IPD167" s="102"/>
      <c r="IPE167" s="102"/>
      <c r="IPF167" s="102"/>
      <c r="IPG167" s="102"/>
      <c r="IPH167" s="102"/>
      <c r="IPI167" s="102"/>
      <c r="IPJ167" s="102"/>
      <c r="IPK167" s="102"/>
      <c r="IPL167" s="102"/>
      <c r="IPM167" s="102"/>
      <c r="IPN167" s="102"/>
      <c r="IPO167" s="102"/>
      <c r="IPP167" s="102"/>
      <c r="IPQ167" s="102"/>
      <c r="IPR167" s="102"/>
      <c r="IPS167" s="102"/>
      <c r="IPT167" s="102"/>
      <c r="IPU167" s="102"/>
      <c r="IPV167" s="102"/>
      <c r="IPW167" s="102"/>
      <c r="IPX167" s="102"/>
      <c r="IPY167" s="102"/>
      <c r="IPZ167" s="102"/>
      <c r="IQA167" s="102"/>
      <c r="IQB167" s="102"/>
      <c r="IQC167" s="102"/>
      <c r="IQD167" s="102"/>
      <c r="IQE167" s="102"/>
      <c r="IQF167" s="102"/>
      <c r="IQG167" s="102"/>
      <c r="IQH167" s="102"/>
      <c r="IQI167" s="102"/>
      <c r="IQJ167" s="102"/>
      <c r="IQK167" s="102"/>
      <c r="IQL167" s="102"/>
      <c r="IQM167" s="102"/>
      <c r="IQN167" s="102"/>
      <c r="IQO167" s="102"/>
      <c r="IQP167" s="102"/>
      <c r="IQQ167" s="102"/>
      <c r="IQR167" s="102"/>
      <c r="IQS167" s="102"/>
      <c r="IQT167" s="102"/>
      <c r="IQU167" s="102"/>
      <c r="IQV167" s="102"/>
      <c r="IQW167" s="102"/>
      <c r="IQX167" s="102"/>
      <c r="IQY167" s="102"/>
      <c r="IQZ167" s="102"/>
      <c r="IRA167" s="102"/>
      <c r="IRB167" s="102"/>
      <c r="IRC167" s="102"/>
      <c r="IRD167" s="102"/>
      <c r="IRE167" s="102"/>
      <c r="IRF167" s="102"/>
      <c r="IRG167" s="102"/>
      <c r="IRH167" s="102"/>
      <c r="IRI167" s="102"/>
      <c r="IRJ167" s="102"/>
      <c r="IRK167" s="102"/>
      <c r="IRL167" s="102"/>
      <c r="IRM167" s="102"/>
      <c r="IRN167" s="102"/>
      <c r="IRO167" s="102"/>
      <c r="IRP167" s="102"/>
      <c r="IRQ167" s="102"/>
      <c r="IRR167" s="102"/>
      <c r="IRS167" s="102"/>
      <c r="IRT167" s="102"/>
      <c r="IRU167" s="102"/>
      <c r="IRV167" s="102"/>
      <c r="IRW167" s="102"/>
      <c r="IRX167" s="102"/>
      <c r="IRY167" s="102"/>
      <c r="IRZ167" s="102"/>
      <c r="ISA167" s="102"/>
      <c r="ISB167" s="102"/>
      <c r="ISC167" s="102"/>
      <c r="ISD167" s="102"/>
      <c r="ISE167" s="102"/>
      <c r="ISF167" s="102"/>
      <c r="ISG167" s="102"/>
      <c r="ISH167" s="102"/>
      <c r="ISI167" s="102"/>
      <c r="ISJ167" s="102"/>
      <c r="ISK167" s="102"/>
      <c r="ISL167" s="102"/>
      <c r="ISM167" s="102"/>
      <c r="ISN167" s="102"/>
      <c r="ISO167" s="102"/>
      <c r="ISP167" s="102"/>
      <c r="ISQ167" s="102"/>
      <c r="ISR167" s="102"/>
      <c r="ISS167" s="102"/>
      <c r="IST167" s="102"/>
      <c r="ISU167" s="102"/>
      <c r="ISV167" s="102"/>
      <c r="ISW167" s="102"/>
      <c r="ISX167" s="102"/>
      <c r="ISY167" s="102"/>
      <c r="ISZ167" s="102"/>
      <c r="ITA167" s="102"/>
      <c r="ITB167" s="102"/>
      <c r="ITC167" s="102"/>
      <c r="ITD167" s="102"/>
      <c r="ITE167" s="102"/>
      <c r="ITF167" s="102"/>
      <c r="ITG167" s="102"/>
      <c r="ITH167" s="102"/>
      <c r="ITI167" s="102"/>
      <c r="ITJ167" s="102"/>
      <c r="ITK167" s="102"/>
      <c r="ITL167" s="102"/>
      <c r="ITM167" s="102"/>
      <c r="ITN167" s="102"/>
      <c r="ITO167" s="102"/>
      <c r="ITP167" s="102"/>
      <c r="ITQ167" s="102"/>
      <c r="ITR167" s="102"/>
      <c r="ITS167" s="102"/>
      <c r="ITT167" s="102"/>
      <c r="ITU167" s="102"/>
      <c r="ITV167" s="102"/>
      <c r="ITW167" s="102"/>
      <c r="ITX167" s="102"/>
      <c r="ITY167" s="102"/>
      <c r="ITZ167" s="102"/>
      <c r="IUA167" s="102"/>
      <c r="IUB167" s="102"/>
      <c r="IUC167" s="102"/>
      <c r="IUD167" s="102"/>
      <c r="IUE167" s="102"/>
      <c r="IUF167" s="102"/>
      <c r="IUG167" s="102"/>
      <c r="IUH167" s="102"/>
      <c r="IUI167" s="102"/>
      <c r="IUJ167" s="102"/>
      <c r="IUK167" s="102"/>
      <c r="IUL167" s="102"/>
      <c r="IUM167" s="102"/>
      <c r="IUN167" s="102"/>
      <c r="IUO167" s="102"/>
      <c r="IUP167" s="102"/>
      <c r="IUQ167" s="102"/>
      <c r="IUR167" s="102"/>
      <c r="IUS167" s="102"/>
      <c r="IUT167" s="102"/>
      <c r="IUU167" s="102"/>
      <c r="IUV167" s="102"/>
      <c r="IUW167" s="102"/>
      <c r="IUX167" s="102"/>
      <c r="IUY167" s="102"/>
      <c r="IUZ167" s="102"/>
      <c r="IVA167" s="102"/>
      <c r="IVB167" s="102"/>
      <c r="IVC167" s="102"/>
      <c r="IVD167" s="102"/>
      <c r="IVE167" s="102"/>
      <c r="IVF167" s="102"/>
      <c r="IVG167" s="102"/>
      <c r="IVH167" s="102"/>
      <c r="IVI167" s="102"/>
      <c r="IVJ167" s="102"/>
      <c r="IVK167" s="102"/>
      <c r="IVL167" s="102"/>
      <c r="IVM167" s="102"/>
      <c r="IVN167" s="102"/>
      <c r="IVO167" s="102"/>
      <c r="IVP167" s="102"/>
      <c r="IVQ167" s="102"/>
      <c r="IVR167" s="102"/>
      <c r="IVS167" s="102"/>
      <c r="IVT167" s="102"/>
      <c r="IVU167" s="102"/>
      <c r="IVV167" s="102"/>
      <c r="IVW167" s="102"/>
      <c r="IVX167" s="102"/>
      <c r="IVY167" s="102"/>
      <c r="IVZ167" s="102"/>
      <c r="IWA167" s="102"/>
      <c r="IWB167" s="102"/>
      <c r="IWC167" s="102"/>
      <c r="IWD167" s="102"/>
      <c r="IWE167" s="102"/>
      <c r="IWF167" s="102"/>
      <c r="IWG167" s="102"/>
      <c r="IWH167" s="102"/>
      <c r="IWI167" s="102"/>
      <c r="IWJ167" s="102"/>
      <c r="IWK167" s="102"/>
      <c r="IWL167" s="102"/>
      <c r="IWM167" s="102"/>
      <c r="IWN167" s="102"/>
      <c r="IWO167" s="102"/>
      <c r="IWP167" s="102"/>
      <c r="IWQ167" s="102"/>
      <c r="IWR167" s="102"/>
      <c r="IWS167" s="102"/>
      <c r="IWT167" s="102"/>
      <c r="IWU167" s="102"/>
      <c r="IWV167" s="102"/>
      <c r="IWW167" s="102"/>
      <c r="IWX167" s="102"/>
      <c r="IWY167" s="102"/>
      <c r="IWZ167" s="102"/>
      <c r="IXA167" s="102"/>
      <c r="IXB167" s="102"/>
      <c r="IXC167" s="102"/>
      <c r="IXD167" s="102"/>
      <c r="IXE167" s="102"/>
      <c r="IXF167" s="102"/>
      <c r="IXG167" s="102"/>
      <c r="IXH167" s="102"/>
      <c r="IXI167" s="102"/>
      <c r="IXJ167" s="102"/>
      <c r="IXK167" s="102"/>
      <c r="IXL167" s="102"/>
      <c r="IXM167" s="102"/>
      <c r="IXN167" s="102"/>
      <c r="IXO167" s="102"/>
      <c r="IXP167" s="102"/>
      <c r="IXQ167" s="102"/>
      <c r="IXR167" s="102"/>
      <c r="IXS167" s="102"/>
      <c r="IXT167" s="102"/>
      <c r="IXU167" s="102"/>
      <c r="IXV167" s="102"/>
      <c r="IXW167" s="102"/>
      <c r="IXX167" s="102"/>
      <c r="IXY167" s="102"/>
      <c r="IXZ167" s="102"/>
      <c r="IYA167" s="102"/>
      <c r="IYB167" s="102"/>
      <c r="IYC167" s="102"/>
      <c r="IYD167" s="102"/>
      <c r="IYE167" s="102"/>
      <c r="IYF167" s="102"/>
      <c r="IYG167" s="102"/>
      <c r="IYH167" s="102"/>
      <c r="IYI167" s="102"/>
      <c r="IYJ167" s="102"/>
      <c r="IYK167" s="102"/>
      <c r="IYL167" s="102"/>
      <c r="IYM167" s="102"/>
      <c r="IYN167" s="102"/>
      <c r="IYO167" s="102"/>
      <c r="IYP167" s="102"/>
      <c r="IYQ167" s="102"/>
      <c r="IYR167" s="102"/>
      <c r="IYS167" s="102"/>
      <c r="IYT167" s="102"/>
      <c r="IYU167" s="102"/>
      <c r="IYV167" s="102"/>
      <c r="IYW167" s="102"/>
      <c r="IYX167" s="102"/>
      <c r="IYY167" s="102"/>
      <c r="IYZ167" s="102"/>
      <c r="IZA167" s="102"/>
      <c r="IZB167" s="102"/>
      <c r="IZC167" s="102"/>
      <c r="IZD167" s="102"/>
      <c r="IZE167" s="102"/>
      <c r="IZF167" s="102"/>
      <c r="IZG167" s="102"/>
      <c r="IZH167" s="102"/>
      <c r="IZI167" s="102"/>
      <c r="IZJ167" s="102"/>
      <c r="IZK167" s="102"/>
      <c r="IZL167" s="102"/>
      <c r="IZM167" s="102"/>
      <c r="IZN167" s="102"/>
      <c r="IZO167" s="102"/>
      <c r="IZP167" s="102"/>
      <c r="IZQ167" s="102"/>
      <c r="IZR167" s="102"/>
      <c r="IZS167" s="102"/>
      <c r="IZT167" s="102"/>
      <c r="IZU167" s="102"/>
      <c r="IZV167" s="102"/>
      <c r="IZW167" s="102"/>
      <c r="IZX167" s="102"/>
      <c r="IZY167" s="102"/>
      <c r="IZZ167" s="102"/>
      <c r="JAA167" s="102"/>
      <c r="JAB167" s="102"/>
      <c r="JAC167" s="102"/>
      <c r="JAD167" s="102"/>
      <c r="JAE167" s="102"/>
      <c r="JAF167" s="102"/>
      <c r="JAG167" s="102"/>
      <c r="JAH167" s="102"/>
      <c r="JAI167" s="102"/>
      <c r="JAJ167" s="102"/>
      <c r="JAK167" s="102"/>
      <c r="JAL167" s="102"/>
      <c r="JAM167" s="102"/>
      <c r="JAN167" s="102"/>
      <c r="JAO167" s="102"/>
      <c r="JAP167" s="102"/>
      <c r="JAQ167" s="102"/>
      <c r="JAR167" s="102"/>
      <c r="JAS167" s="102"/>
      <c r="JAT167" s="102"/>
      <c r="JAU167" s="102"/>
      <c r="JAV167" s="102"/>
      <c r="JAW167" s="102"/>
      <c r="JAX167" s="102"/>
      <c r="JAY167" s="102"/>
      <c r="JAZ167" s="102"/>
      <c r="JBA167" s="102"/>
      <c r="JBB167" s="102"/>
      <c r="JBC167" s="102"/>
      <c r="JBD167" s="102"/>
      <c r="JBE167" s="102"/>
      <c r="JBF167" s="102"/>
      <c r="JBG167" s="102"/>
      <c r="JBH167" s="102"/>
      <c r="JBI167" s="102"/>
      <c r="JBJ167" s="102"/>
      <c r="JBK167" s="102"/>
      <c r="JBL167" s="102"/>
      <c r="JBM167" s="102"/>
      <c r="JBN167" s="102"/>
      <c r="JBO167" s="102"/>
      <c r="JBP167" s="102"/>
      <c r="JBQ167" s="102"/>
      <c r="JBR167" s="102"/>
      <c r="JBS167" s="102"/>
      <c r="JBT167" s="102"/>
      <c r="JBU167" s="102"/>
      <c r="JBV167" s="102"/>
      <c r="JBW167" s="102"/>
      <c r="JBX167" s="102"/>
      <c r="JBY167" s="102"/>
      <c r="JBZ167" s="102"/>
      <c r="JCA167" s="102"/>
      <c r="JCB167" s="102"/>
      <c r="JCC167" s="102"/>
      <c r="JCD167" s="102"/>
      <c r="JCE167" s="102"/>
      <c r="JCF167" s="102"/>
      <c r="JCG167" s="102"/>
      <c r="JCH167" s="102"/>
      <c r="JCI167" s="102"/>
      <c r="JCJ167" s="102"/>
      <c r="JCK167" s="102"/>
      <c r="JCL167" s="102"/>
      <c r="JCM167" s="102"/>
      <c r="JCN167" s="102"/>
      <c r="JCO167" s="102"/>
      <c r="JCP167" s="102"/>
      <c r="JCQ167" s="102"/>
      <c r="JCR167" s="102"/>
      <c r="JCS167" s="102"/>
      <c r="JCT167" s="102"/>
      <c r="JCU167" s="102"/>
      <c r="JCV167" s="102"/>
      <c r="JCW167" s="102"/>
      <c r="JCX167" s="102"/>
      <c r="JCY167" s="102"/>
      <c r="JCZ167" s="102"/>
      <c r="JDA167" s="102"/>
      <c r="JDB167" s="102"/>
      <c r="JDC167" s="102"/>
      <c r="JDD167" s="102"/>
      <c r="JDE167" s="102"/>
      <c r="JDF167" s="102"/>
      <c r="JDG167" s="102"/>
      <c r="JDH167" s="102"/>
      <c r="JDI167" s="102"/>
      <c r="JDJ167" s="102"/>
      <c r="JDK167" s="102"/>
      <c r="JDL167" s="102"/>
      <c r="JDM167" s="102"/>
      <c r="JDN167" s="102"/>
      <c r="JDO167" s="102"/>
      <c r="JDP167" s="102"/>
      <c r="JDQ167" s="102"/>
      <c r="JDR167" s="102"/>
      <c r="JDS167" s="102"/>
      <c r="JDT167" s="102"/>
      <c r="JDU167" s="102"/>
      <c r="JDV167" s="102"/>
      <c r="JDW167" s="102"/>
      <c r="JDX167" s="102"/>
      <c r="JDY167" s="102"/>
      <c r="JDZ167" s="102"/>
      <c r="JEA167" s="102"/>
      <c r="JEB167" s="102"/>
      <c r="JEC167" s="102"/>
      <c r="JED167" s="102"/>
      <c r="JEE167" s="102"/>
      <c r="JEF167" s="102"/>
      <c r="JEG167" s="102"/>
      <c r="JEH167" s="102"/>
      <c r="JEI167" s="102"/>
      <c r="JEJ167" s="102"/>
      <c r="JEK167" s="102"/>
      <c r="JEL167" s="102"/>
      <c r="JEM167" s="102"/>
      <c r="JEN167" s="102"/>
      <c r="JEO167" s="102"/>
      <c r="JEP167" s="102"/>
      <c r="JEQ167" s="102"/>
      <c r="JER167" s="102"/>
      <c r="JES167" s="102"/>
      <c r="JET167" s="102"/>
      <c r="JEU167" s="102"/>
      <c r="JEV167" s="102"/>
      <c r="JEW167" s="102"/>
      <c r="JEX167" s="102"/>
      <c r="JEY167" s="102"/>
      <c r="JEZ167" s="102"/>
      <c r="JFA167" s="102"/>
      <c r="JFB167" s="102"/>
      <c r="JFC167" s="102"/>
      <c r="JFD167" s="102"/>
      <c r="JFE167" s="102"/>
      <c r="JFF167" s="102"/>
      <c r="JFG167" s="102"/>
      <c r="JFH167" s="102"/>
      <c r="JFI167" s="102"/>
      <c r="JFJ167" s="102"/>
      <c r="JFK167" s="102"/>
      <c r="JFL167" s="102"/>
      <c r="JFM167" s="102"/>
      <c r="JFN167" s="102"/>
      <c r="JFO167" s="102"/>
      <c r="JFP167" s="102"/>
      <c r="JFQ167" s="102"/>
      <c r="JFR167" s="102"/>
      <c r="JFS167" s="102"/>
      <c r="JFT167" s="102"/>
      <c r="JFU167" s="102"/>
      <c r="JFV167" s="102"/>
      <c r="JFW167" s="102"/>
      <c r="JFX167" s="102"/>
      <c r="JFY167" s="102"/>
      <c r="JFZ167" s="102"/>
      <c r="JGA167" s="102"/>
      <c r="JGB167" s="102"/>
      <c r="JGC167" s="102"/>
      <c r="JGD167" s="102"/>
      <c r="JGE167" s="102"/>
      <c r="JGF167" s="102"/>
      <c r="JGG167" s="102"/>
      <c r="JGH167" s="102"/>
      <c r="JGI167" s="102"/>
      <c r="JGJ167" s="102"/>
      <c r="JGK167" s="102"/>
      <c r="JGL167" s="102"/>
      <c r="JGM167" s="102"/>
      <c r="JGN167" s="102"/>
      <c r="JGO167" s="102"/>
      <c r="JGP167" s="102"/>
      <c r="JGQ167" s="102"/>
      <c r="JGR167" s="102"/>
      <c r="JGS167" s="102"/>
      <c r="JGT167" s="102"/>
      <c r="JGU167" s="102"/>
      <c r="JGV167" s="102"/>
      <c r="JGW167" s="102"/>
      <c r="JGX167" s="102"/>
      <c r="JGY167" s="102"/>
      <c r="JGZ167" s="102"/>
      <c r="JHA167" s="102"/>
      <c r="JHB167" s="102"/>
      <c r="JHC167" s="102"/>
      <c r="JHD167" s="102"/>
      <c r="JHE167" s="102"/>
      <c r="JHF167" s="102"/>
      <c r="JHG167" s="102"/>
      <c r="JHH167" s="102"/>
      <c r="JHI167" s="102"/>
      <c r="JHJ167" s="102"/>
      <c r="JHK167" s="102"/>
      <c r="JHL167" s="102"/>
      <c r="JHM167" s="102"/>
      <c r="JHN167" s="102"/>
      <c r="JHO167" s="102"/>
      <c r="JHP167" s="102"/>
      <c r="JHQ167" s="102"/>
      <c r="JHR167" s="102"/>
      <c r="JHS167" s="102"/>
      <c r="JHT167" s="102"/>
      <c r="JHU167" s="102"/>
      <c r="JHV167" s="102"/>
      <c r="JHW167" s="102"/>
      <c r="JHX167" s="102"/>
      <c r="JHY167" s="102"/>
      <c r="JHZ167" s="102"/>
      <c r="JIA167" s="102"/>
      <c r="JIB167" s="102"/>
      <c r="JIC167" s="102"/>
      <c r="JID167" s="102"/>
      <c r="JIE167" s="102"/>
      <c r="JIF167" s="102"/>
      <c r="JIG167" s="102"/>
      <c r="JIH167" s="102"/>
      <c r="JII167" s="102"/>
      <c r="JIJ167" s="102"/>
      <c r="JIK167" s="102"/>
      <c r="JIL167" s="102"/>
      <c r="JIM167" s="102"/>
      <c r="JIN167" s="102"/>
      <c r="JIO167" s="102"/>
      <c r="JIP167" s="102"/>
      <c r="JIQ167" s="102"/>
      <c r="JIR167" s="102"/>
      <c r="JIS167" s="102"/>
      <c r="JIT167" s="102"/>
      <c r="JIU167" s="102"/>
      <c r="JIV167" s="102"/>
      <c r="JIW167" s="102"/>
      <c r="JIX167" s="102"/>
      <c r="JIY167" s="102"/>
      <c r="JIZ167" s="102"/>
      <c r="JJA167" s="102"/>
      <c r="JJB167" s="102"/>
      <c r="JJC167" s="102"/>
      <c r="JJD167" s="102"/>
      <c r="JJE167" s="102"/>
      <c r="JJF167" s="102"/>
      <c r="JJG167" s="102"/>
      <c r="JJH167" s="102"/>
      <c r="JJI167" s="102"/>
      <c r="JJJ167" s="102"/>
      <c r="JJK167" s="102"/>
      <c r="JJL167" s="102"/>
      <c r="JJM167" s="102"/>
      <c r="JJN167" s="102"/>
      <c r="JJO167" s="102"/>
      <c r="JJP167" s="102"/>
      <c r="JJQ167" s="102"/>
      <c r="JJR167" s="102"/>
      <c r="JJS167" s="102"/>
      <c r="JJT167" s="102"/>
      <c r="JJU167" s="102"/>
      <c r="JJV167" s="102"/>
      <c r="JJW167" s="102"/>
      <c r="JJX167" s="102"/>
      <c r="JJY167" s="102"/>
      <c r="JJZ167" s="102"/>
      <c r="JKA167" s="102"/>
      <c r="JKB167" s="102"/>
      <c r="JKC167" s="102"/>
      <c r="JKD167" s="102"/>
      <c r="JKE167" s="102"/>
      <c r="JKF167" s="102"/>
      <c r="JKG167" s="102"/>
      <c r="JKH167" s="102"/>
      <c r="JKI167" s="102"/>
      <c r="JKJ167" s="102"/>
      <c r="JKK167" s="102"/>
      <c r="JKL167" s="102"/>
      <c r="JKM167" s="102"/>
      <c r="JKN167" s="102"/>
      <c r="JKO167" s="102"/>
      <c r="JKP167" s="102"/>
      <c r="JKQ167" s="102"/>
      <c r="JKR167" s="102"/>
      <c r="JKS167" s="102"/>
      <c r="JKT167" s="102"/>
      <c r="JKU167" s="102"/>
      <c r="JKV167" s="102"/>
      <c r="JKW167" s="102"/>
      <c r="JKX167" s="102"/>
      <c r="JKY167" s="102"/>
      <c r="JKZ167" s="102"/>
      <c r="JLA167" s="102"/>
      <c r="JLB167" s="102"/>
      <c r="JLC167" s="102"/>
      <c r="JLD167" s="102"/>
      <c r="JLE167" s="102"/>
      <c r="JLF167" s="102"/>
      <c r="JLG167" s="102"/>
      <c r="JLH167" s="102"/>
      <c r="JLI167" s="102"/>
      <c r="JLJ167" s="102"/>
      <c r="JLK167" s="102"/>
      <c r="JLL167" s="102"/>
      <c r="JLM167" s="102"/>
      <c r="JLN167" s="102"/>
      <c r="JLO167" s="102"/>
      <c r="JLP167" s="102"/>
      <c r="JLQ167" s="102"/>
      <c r="JLR167" s="102"/>
      <c r="JLS167" s="102"/>
      <c r="JLT167" s="102"/>
      <c r="JLU167" s="102"/>
      <c r="JLV167" s="102"/>
      <c r="JLW167" s="102"/>
      <c r="JLX167" s="102"/>
      <c r="JLY167" s="102"/>
      <c r="JLZ167" s="102"/>
      <c r="JMA167" s="102"/>
      <c r="JMB167" s="102"/>
      <c r="JMC167" s="102"/>
      <c r="JMD167" s="102"/>
      <c r="JME167" s="102"/>
      <c r="JMF167" s="102"/>
      <c r="JMG167" s="102"/>
      <c r="JMH167" s="102"/>
      <c r="JMI167" s="102"/>
      <c r="JMJ167" s="102"/>
      <c r="JMK167" s="102"/>
      <c r="JML167" s="102"/>
      <c r="JMM167" s="102"/>
      <c r="JMN167" s="102"/>
      <c r="JMO167" s="102"/>
      <c r="JMP167" s="102"/>
      <c r="JMQ167" s="102"/>
      <c r="JMR167" s="102"/>
      <c r="JMS167" s="102"/>
      <c r="JMT167" s="102"/>
      <c r="JMU167" s="102"/>
      <c r="JMV167" s="102"/>
      <c r="JMW167" s="102"/>
      <c r="JMX167" s="102"/>
      <c r="JMY167" s="102"/>
      <c r="JMZ167" s="102"/>
      <c r="JNA167" s="102"/>
      <c r="JNB167" s="102"/>
      <c r="JNC167" s="102"/>
      <c r="JND167" s="102"/>
      <c r="JNE167" s="102"/>
      <c r="JNF167" s="102"/>
      <c r="JNG167" s="102"/>
      <c r="JNH167" s="102"/>
      <c r="JNI167" s="102"/>
      <c r="JNJ167" s="102"/>
      <c r="JNK167" s="102"/>
      <c r="JNL167" s="102"/>
      <c r="JNM167" s="102"/>
      <c r="JNN167" s="102"/>
      <c r="JNO167" s="102"/>
      <c r="JNP167" s="102"/>
      <c r="JNQ167" s="102"/>
      <c r="JNR167" s="102"/>
      <c r="JNS167" s="102"/>
      <c r="JNT167" s="102"/>
      <c r="JNU167" s="102"/>
      <c r="JNV167" s="102"/>
      <c r="JNW167" s="102"/>
      <c r="JNX167" s="102"/>
      <c r="JNY167" s="102"/>
      <c r="JNZ167" s="102"/>
      <c r="JOA167" s="102"/>
      <c r="JOB167" s="102"/>
      <c r="JOC167" s="102"/>
      <c r="JOD167" s="102"/>
      <c r="JOE167" s="102"/>
      <c r="JOF167" s="102"/>
      <c r="JOG167" s="102"/>
      <c r="JOH167" s="102"/>
      <c r="JOI167" s="102"/>
      <c r="JOJ167" s="102"/>
      <c r="JOK167" s="102"/>
      <c r="JOL167" s="102"/>
      <c r="JOM167" s="102"/>
      <c r="JON167" s="102"/>
      <c r="JOO167" s="102"/>
      <c r="JOP167" s="102"/>
      <c r="JOQ167" s="102"/>
      <c r="JOR167" s="102"/>
      <c r="JOS167" s="102"/>
      <c r="JOT167" s="102"/>
      <c r="JOU167" s="102"/>
      <c r="JOV167" s="102"/>
      <c r="JOW167" s="102"/>
      <c r="JOX167" s="102"/>
      <c r="JOY167" s="102"/>
      <c r="JOZ167" s="102"/>
      <c r="JPA167" s="102"/>
      <c r="JPB167" s="102"/>
      <c r="JPC167" s="102"/>
      <c r="JPD167" s="102"/>
      <c r="JPE167" s="102"/>
      <c r="JPF167" s="102"/>
      <c r="JPG167" s="102"/>
      <c r="JPH167" s="102"/>
      <c r="JPI167" s="102"/>
      <c r="JPJ167" s="102"/>
      <c r="JPK167" s="102"/>
      <c r="JPL167" s="102"/>
      <c r="JPM167" s="102"/>
      <c r="JPN167" s="102"/>
      <c r="JPO167" s="102"/>
      <c r="JPP167" s="102"/>
      <c r="JPQ167" s="102"/>
      <c r="JPR167" s="102"/>
      <c r="JPS167" s="102"/>
      <c r="JPT167" s="102"/>
      <c r="JPU167" s="102"/>
      <c r="JPV167" s="102"/>
      <c r="JPW167" s="102"/>
      <c r="JPX167" s="102"/>
      <c r="JPY167" s="102"/>
      <c r="JPZ167" s="102"/>
      <c r="JQA167" s="102"/>
      <c r="JQB167" s="102"/>
      <c r="JQC167" s="102"/>
      <c r="JQD167" s="102"/>
      <c r="JQE167" s="102"/>
      <c r="JQF167" s="102"/>
      <c r="JQG167" s="102"/>
      <c r="JQH167" s="102"/>
      <c r="JQI167" s="102"/>
      <c r="JQJ167" s="102"/>
      <c r="JQK167" s="102"/>
      <c r="JQL167" s="102"/>
      <c r="JQM167" s="102"/>
      <c r="JQN167" s="102"/>
      <c r="JQO167" s="102"/>
      <c r="JQP167" s="102"/>
      <c r="JQQ167" s="102"/>
      <c r="JQR167" s="102"/>
      <c r="JQS167" s="102"/>
      <c r="JQT167" s="102"/>
      <c r="JQU167" s="102"/>
      <c r="JQV167" s="102"/>
      <c r="JQW167" s="102"/>
      <c r="JQX167" s="102"/>
      <c r="JQY167" s="102"/>
      <c r="JQZ167" s="102"/>
      <c r="JRA167" s="102"/>
      <c r="JRB167" s="102"/>
      <c r="JRC167" s="102"/>
      <c r="JRD167" s="102"/>
      <c r="JRE167" s="102"/>
      <c r="JRF167" s="102"/>
      <c r="JRG167" s="102"/>
      <c r="JRH167" s="102"/>
      <c r="JRI167" s="102"/>
      <c r="JRJ167" s="102"/>
      <c r="JRK167" s="102"/>
      <c r="JRL167" s="102"/>
      <c r="JRM167" s="102"/>
      <c r="JRN167" s="102"/>
      <c r="JRO167" s="102"/>
      <c r="JRP167" s="102"/>
      <c r="JRQ167" s="102"/>
      <c r="JRR167" s="102"/>
      <c r="JRS167" s="102"/>
      <c r="JRT167" s="102"/>
      <c r="JRU167" s="102"/>
      <c r="JRV167" s="102"/>
      <c r="JRW167" s="102"/>
      <c r="JRX167" s="102"/>
      <c r="JRY167" s="102"/>
      <c r="JRZ167" s="102"/>
      <c r="JSA167" s="102"/>
      <c r="JSB167" s="102"/>
      <c r="JSC167" s="102"/>
      <c r="JSD167" s="102"/>
      <c r="JSE167" s="102"/>
      <c r="JSF167" s="102"/>
      <c r="JSG167" s="102"/>
      <c r="JSH167" s="102"/>
      <c r="JSI167" s="102"/>
      <c r="JSJ167" s="102"/>
      <c r="JSK167" s="102"/>
      <c r="JSL167" s="102"/>
      <c r="JSM167" s="102"/>
      <c r="JSN167" s="102"/>
      <c r="JSO167" s="102"/>
      <c r="JSP167" s="102"/>
      <c r="JSQ167" s="102"/>
      <c r="JSR167" s="102"/>
      <c r="JSS167" s="102"/>
      <c r="JST167" s="102"/>
      <c r="JSU167" s="102"/>
      <c r="JSV167" s="102"/>
      <c r="JSW167" s="102"/>
      <c r="JSX167" s="102"/>
      <c r="JSY167" s="102"/>
      <c r="JSZ167" s="102"/>
      <c r="JTA167" s="102"/>
      <c r="JTB167" s="102"/>
      <c r="JTC167" s="102"/>
      <c r="JTD167" s="102"/>
      <c r="JTE167" s="102"/>
      <c r="JTF167" s="102"/>
      <c r="JTG167" s="102"/>
      <c r="JTH167" s="102"/>
      <c r="JTI167" s="102"/>
      <c r="JTJ167" s="102"/>
      <c r="JTK167" s="102"/>
      <c r="JTL167" s="102"/>
      <c r="JTM167" s="102"/>
      <c r="JTN167" s="102"/>
      <c r="JTO167" s="102"/>
      <c r="JTP167" s="102"/>
      <c r="JTQ167" s="102"/>
      <c r="JTR167" s="102"/>
      <c r="JTS167" s="102"/>
      <c r="JTT167" s="102"/>
      <c r="JTU167" s="102"/>
      <c r="JTV167" s="102"/>
      <c r="JTW167" s="102"/>
      <c r="JTX167" s="102"/>
      <c r="JTY167" s="102"/>
      <c r="JTZ167" s="102"/>
      <c r="JUA167" s="102"/>
      <c r="JUB167" s="102"/>
      <c r="JUC167" s="102"/>
      <c r="JUD167" s="102"/>
      <c r="JUE167" s="102"/>
      <c r="JUF167" s="102"/>
      <c r="JUG167" s="102"/>
      <c r="JUH167" s="102"/>
      <c r="JUI167" s="102"/>
      <c r="JUJ167" s="102"/>
      <c r="JUK167" s="102"/>
      <c r="JUL167" s="102"/>
      <c r="JUM167" s="102"/>
      <c r="JUN167" s="102"/>
      <c r="JUO167" s="102"/>
      <c r="JUP167" s="102"/>
      <c r="JUQ167" s="102"/>
      <c r="JUR167" s="102"/>
      <c r="JUS167" s="102"/>
      <c r="JUT167" s="102"/>
      <c r="JUU167" s="102"/>
      <c r="JUV167" s="102"/>
      <c r="JUW167" s="102"/>
      <c r="JUX167" s="102"/>
      <c r="JUY167" s="102"/>
      <c r="JUZ167" s="102"/>
      <c r="JVA167" s="102"/>
      <c r="JVB167" s="102"/>
      <c r="JVC167" s="102"/>
      <c r="JVD167" s="102"/>
      <c r="JVE167" s="102"/>
      <c r="JVF167" s="102"/>
      <c r="JVG167" s="102"/>
      <c r="JVH167" s="102"/>
      <c r="JVI167" s="102"/>
      <c r="JVJ167" s="102"/>
      <c r="JVK167" s="102"/>
      <c r="JVL167" s="102"/>
      <c r="JVM167" s="102"/>
      <c r="JVN167" s="102"/>
      <c r="JVO167" s="102"/>
      <c r="JVP167" s="102"/>
      <c r="JVQ167" s="102"/>
      <c r="JVR167" s="102"/>
      <c r="JVS167" s="102"/>
      <c r="JVT167" s="102"/>
      <c r="JVU167" s="102"/>
      <c r="JVV167" s="102"/>
      <c r="JVW167" s="102"/>
      <c r="JVX167" s="102"/>
      <c r="JVY167" s="102"/>
      <c r="JVZ167" s="102"/>
      <c r="JWA167" s="102"/>
      <c r="JWB167" s="102"/>
      <c r="JWC167" s="102"/>
      <c r="JWD167" s="102"/>
      <c r="JWE167" s="102"/>
      <c r="JWF167" s="102"/>
      <c r="JWG167" s="102"/>
      <c r="JWH167" s="102"/>
      <c r="JWI167" s="102"/>
      <c r="JWJ167" s="102"/>
      <c r="JWK167" s="102"/>
      <c r="JWL167" s="102"/>
      <c r="JWM167" s="102"/>
      <c r="JWN167" s="102"/>
      <c r="JWO167" s="102"/>
      <c r="JWP167" s="102"/>
      <c r="JWQ167" s="102"/>
      <c r="JWR167" s="102"/>
      <c r="JWS167" s="102"/>
      <c r="JWT167" s="102"/>
      <c r="JWU167" s="102"/>
      <c r="JWV167" s="102"/>
      <c r="JWW167" s="102"/>
      <c r="JWX167" s="102"/>
      <c r="JWY167" s="102"/>
      <c r="JWZ167" s="102"/>
      <c r="JXA167" s="102"/>
      <c r="JXB167" s="102"/>
      <c r="JXC167" s="102"/>
      <c r="JXD167" s="102"/>
      <c r="JXE167" s="102"/>
      <c r="JXF167" s="102"/>
      <c r="JXG167" s="102"/>
      <c r="JXH167" s="102"/>
      <c r="JXI167" s="102"/>
      <c r="JXJ167" s="102"/>
      <c r="JXK167" s="102"/>
      <c r="JXL167" s="102"/>
      <c r="JXM167" s="102"/>
      <c r="JXN167" s="102"/>
      <c r="JXO167" s="102"/>
      <c r="JXP167" s="102"/>
      <c r="JXQ167" s="102"/>
      <c r="JXR167" s="102"/>
      <c r="JXS167" s="102"/>
      <c r="JXT167" s="102"/>
      <c r="JXU167" s="102"/>
      <c r="JXV167" s="102"/>
      <c r="JXW167" s="102"/>
      <c r="JXX167" s="102"/>
      <c r="JXY167" s="102"/>
      <c r="JXZ167" s="102"/>
      <c r="JYA167" s="102"/>
      <c r="JYB167" s="102"/>
      <c r="JYC167" s="102"/>
      <c r="JYD167" s="102"/>
      <c r="JYE167" s="102"/>
      <c r="JYF167" s="102"/>
      <c r="JYG167" s="102"/>
      <c r="JYH167" s="102"/>
      <c r="JYI167" s="102"/>
      <c r="JYJ167" s="102"/>
      <c r="JYK167" s="102"/>
      <c r="JYL167" s="102"/>
      <c r="JYM167" s="102"/>
      <c r="JYN167" s="102"/>
      <c r="JYO167" s="102"/>
      <c r="JYP167" s="102"/>
      <c r="JYQ167" s="102"/>
      <c r="JYR167" s="102"/>
      <c r="JYS167" s="102"/>
      <c r="JYT167" s="102"/>
      <c r="JYU167" s="102"/>
      <c r="JYV167" s="102"/>
      <c r="JYW167" s="102"/>
      <c r="JYX167" s="102"/>
      <c r="JYY167" s="102"/>
      <c r="JYZ167" s="102"/>
      <c r="JZA167" s="102"/>
      <c r="JZB167" s="102"/>
      <c r="JZC167" s="102"/>
      <c r="JZD167" s="102"/>
      <c r="JZE167" s="102"/>
      <c r="JZF167" s="102"/>
      <c r="JZG167" s="102"/>
      <c r="JZH167" s="102"/>
      <c r="JZI167" s="102"/>
      <c r="JZJ167" s="102"/>
      <c r="JZK167" s="102"/>
      <c r="JZL167" s="102"/>
      <c r="JZM167" s="102"/>
      <c r="JZN167" s="102"/>
      <c r="JZO167" s="102"/>
      <c r="JZP167" s="102"/>
      <c r="JZQ167" s="102"/>
      <c r="JZR167" s="102"/>
      <c r="JZS167" s="102"/>
      <c r="JZT167" s="102"/>
      <c r="JZU167" s="102"/>
      <c r="JZV167" s="102"/>
      <c r="JZW167" s="102"/>
      <c r="JZX167" s="102"/>
      <c r="JZY167" s="102"/>
      <c r="JZZ167" s="102"/>
      <c r="KAA167" s="102"/>
      <c r="KAB167" s="102"/>
      <c r="KAC167" s="102"/>
      <c r="KAD167" s="102"/>
      <c r="KAE167" s="102"/>
      <c r="KAF167" s="102"/>
      <c r="KAG167" s="102"/>
      <c r="KAH167" s="102"/>
      <c r="KAI167" s="102"/>
      <c r="KAJ167" s="102"/>
      <c r="KAK167" s="102"/>
      <c r="KAL167" s="102"/>
      <c r="KAM167" s="102"/>
      <c r="KAN167" s="102"/>
      <c r="KAO167" s="102"/>
      <c r="KAP167" s="102"/>
      <c r="KAQ167" s="102"/>
      <c r="KAR167" s="102"/>
      <c r="KAS167" s="102"/>
      <c r="KAT167" s="102"/>
      <c r="KAU167" s="102"/>
      <c r="KAV167" s="102"/>
      <c r="KAW167" s="102"/>
      <c r="KAX167" s="102"/>
      <c r="KAY167" s="102"/>
      <c r="KAZ167" s="102"/>
      <c r="KBA167" s="102"/>
      <c r="KBB167" s="102"/>
      <c r="KBC167" s="102"/>
      <c r="KBD167" s="102"/>
      <c r="KBE167" s="102"/>
      <c r="KBF167" s="102"/>
      <c r="KBG167" s="102"/>
      <c r="KBH167" s="102"/>
      <c r="KBI167" s="102"/>
      <c r="KBJ167" s="102"/>
      <c r="KBK167" s="102"/>
      <c r="KBL167" s="102"/>
      <c r="KBM167" s="102"/>
      <c r="KBN167" s="102"/>
      <c r="KBO167" s="102"/>
      <c r="KBP167" s="102"/>
      <c r="KBQ167" s="102"/>
      <c r="KBR167" s="102"/>
      <c r="KBS167" s="102"/>
      <c r="KBT167" s="102"/>
      <c r="KBU167" s="102"/>
      <c r="KBV167" s="102"/>
      <c r="KBW167" s="102"/>
      <c r="KBX167" s="102"/>
      <c r="KBY167" s="102"/>
      <c r="KBZ167" s="102"/>
      <c r="KCA167" s="102"/>
      <c r="KCB167" s="102"/>
      <c r="KCC167" s="102"/>
      <c r="KCD167" s="102"/>
      <c r="KCE167" s="102"/>
      <c r="KCF167" s="102"/>
      <c r="KCG167" s="102"/>
      <c r="KCH167" s="102"/>
      <c r="KCI167" s="102"/>
      <c r="KCJ167" s="102"/>
      <c r="KCK167" s="102"/>
      <c r="KCL167" s="102"/>
      <c r="KCM167" s="102"/>
      <c r="KCN167" s="102"/>
      <c r="KCO167" s="102"/>
      <c r="KCP167" s="102"/>
      <c r="KCQ167" s="102"/>
      <c r="KCR167" s="102"/>
      <c r="KCS167" s="102"/>
      <c r="KCT167" s="102"/>
      <c r="KCU167" s="102"/>
      <c r="KCV167" s="102"/>
      <c r="KCW167" s="102"/>
      <c r="KCX167" s="102"/>
      <c r="KCY167" s="102"/>
      <c r="KCZ167" s="102"/>
      <c r="KDA167" s="102"/>
      <c r="KDB167" s="102"/>
      <c r="KDC167" s="102"/>
      <c r="KDD167" s="102"/>
      <c r="KDE167" s="102"/>
      <c r="KDF167" s="102"/>
      <c r="KDG167" s="102"/>
      <c r="KDH167" s="102"/>
      <c r="KDI167" s="102"/>
      <c r="KDJ167" s="102"/>
      <c r="KDK167" s="102"/>
      <c r="KDL167" s="102"/>
      <c r="KDM167" s="102"/>
      <c r="KDN167" s="102"/>
      <c r="KDO167" s="102"/>
      <c r="KDP167" s="102"/>
      <c r="KDQ167" s="102"/>
      <c r="KDR167" s="102"/>
      <c r="KDS167" s="102"/>
      <c r="KDT167" s="102"/>
      <c r="KDU167" s="102"/>
      <c r="KDV167" s="102"/>
      <c r="KDW167" s="102"/>
      <c r="KDX167" s="102"/>
      <c r="KDY167" s="102"/>
      <c r="KDZ167" s="102"/>
      <c r="KEA167" s="102"/>
      <c r="KEB167" s="102"/>
      <c r="KEC167" s="102"/>
      <c r="KED167" s="102"/>
      <c r="KEE167" s="102"/>
      <c r="KEF167" s="102"/>
      <c r="KEG167" s="102"/>
      <c r="KEH167" s="102"/>
      <c r="KEI167" s="102"/>
      <c r="KEJ167" s="102"/>
      <c r="KEK167" s="102"/>
      <c r="KEL167" s="102"/>
      <c r="KEM167" s="102"/>
      <c r="KEN167" s="102"/>
      <c r="KEO167" s="102"/>
      <c r="KEP167" s="102"/>
      <c r="KEQ167" s="102"/>
      <c r="KER167" s="102"/>
      <c r="KES167" s="102"/>
      <c r="KET167" s="102"/>
      <c r="KEU167" s="102"/>
      <c r="KEV167" s="102"/>
      <c r="KEW167" s="102"/>
      <c r="KEX167" s="102"/>
      <c r="KEY167" s="102"/>
      <c r="KEZ167" s="102"/>
      <c r="KFA167" s="102"/>
      <c r="KFB167" s="102"/>
      <c r="KFC167" s="102"/>
      <c r="KFD167" s="102"/>
      <c r="KFE167" s="102"/>
      <c r="KFF167" s="102"/>
      <c r="KFG167" s="102"/>
      <c r="KFH167" s="102"/>
      <c r="KFI167" s="102"/>
      <c r="KFJ167" s="102"/>
      <c r="KFK167" s="102"/>
      <c r="KFL167" s="102"/>
      <c r="KFM167" s="102"/>
      <c r="KFN167" s="102"/>
      <c r="KFO167" s="102"/>
      <c r="KFP167" s="102"/>
      <c r="KFQ167" s="102"/>
      <c r="KFR167" s="102"/>
      <c r="KFS167" s="102"/>
      <c r="KFT167" s="102"/>
      <c r="KFU167" s="102"/>
      <c r="KFV167" s="102"/>
      <c r="KFW167" s="102"/>
      <c r="KFX167" s="102"/>
      <c r="KFY167" s="102"/>
      <c r="KFZ167" s="102"/>
      <c r="KGA167" s="102"/>
      <c r="KGB167" s="102"/>
      <c r="KGC167" s="102"/>
      <c r="KGD167" s="102"/>
      <c r="KGE167" s="102"/>
      <c r="KGF167" s="102"/>
      <c r="KGG167" s="102"/>
      <c r="KGH167" s="102"/>
      <c r="KGI167" s="102"/>
      <c r="KGJ167" s="102"/>
      <c r="KGK167" s="102"/>
      <c r="KGL167" s="102"/>
      <c r="KGM167" s="102"/>
      <c r="KGN167" s="102"/>
      <c r="KGO167" s="102"/>
      <c r="KGP167" s="102"/>
      <c r="KGQ167" s="102"/>
      <c r="KGR167" s="102"/>
      <c r="KGS167" s="102"/>
      <c r="KGT167" s="102"/>
      <c r="KGU167" s="102"/>
      <c r="KGV167" s="102"/>
      <c r="KGW167" s="102"/>
      <c r="KGX167" s="102"/>
      <c r="KGY167" s="102"/>
      <c r="KGZ167" s="102"/>
      <c r="KHA167" s="102"/>
      <c r="KHB167" s="102"/>
      <c r="KHC167" s="102"/>
      <c r="KHD167" s="102"/>
      <c r="KHE167" s="102"/>
      <c r="KHF167" s="102"/>
      <c r="KHG167" s="102"/>
      <c r="KHH167" s="102"/>
      <c r="KHI167" s="102"/>
      <c r="KHJ167" s="102"/>
      <c r="KHK167" s="102"/>
      <c r="KHL167" s="102"/>
      <c r="KHM167" s="102"/>
      <c r="KHN167" s="102"/>
      <c r="KHO167" s="102"/>
      <c r="KHP167" s="102"/>
      <c r="KHQ167" s="102"/>
      <c r="KHR167" s="102"/>
      <c r="KHS167" s="102"/>
      <c r="KHT167" s="102"/>
      <c r="KHU167" s="102"/>
      <c r="KHV167" s="102"/>
      <c r="KHW167" s="102"/>
      <c r="KHX167" s="102"/>
      <c r="KHY167" s="102"/>
      <c r="KHZ167" s="102"/>
      <c r="KIA167" s="102"/>
      <c r="KIB167" s="102"/>
      <c r="KIC167" s="102"/>
      <c r="KID167" s="102"/>
      <c r="KIE167" s="102"/>
      <c r="KIF167" s="102"/>
      <c r="KIG167" s="102"/>
      <c r="KIH167" s="102"/>
      <c r="KII167" s="102"/>
      <c r="KIJ167" s="102"/>
      <c r="KIK167" s="102"/>
      <c r="KIL167" s="102"/>
      <c r="KIM167" s="102"/>
      <c r="KIN167" s="102"/>
      <c r="KIO167" s="102"/>
      <c r="KIP167" s="102"/>
      <c r="KIQ167" s="102"/>
      <c r="KIR167" s="102"/>
      <c r="KIS167" s="102"/>
      <c r="KIT167" s="102"/>
      <c r="KIU167" s="102"/>
      <c r="KIV167" s="102"/>
      <c r="KIW167" s="102"/>
      <c r="KIX167" s="102"/>
      <c r="KIY167" s="102"/>
      <c r="KIZ167" s="102"/>
      <c r="KJA167" s="102"/>
      <c r="KJB167" s="102"/>
      <c r="KJC167" s="102"/>
      <c r="KJD167" s="102"/>
      <c r="KJE167" s="102"/>
      <c r="KJF167" s="102"/>
      <c r="KJG167" s="102"/>
      <c r="KJH167" s="102"/>
      <c r="KJI167" s="102"/>
      <c r="KJJ167" s="102"/>
      <c r="KJK167" s="102"/>
      <c r="KJL167" s="102"/>
      <c r="KJM167" s="102"/>
      <c r="KJN167" s="102"/>
      <c r="KJO167" s="102"/>
      <c r="KJP167" s="102"/>
      <c r="KJQ167" s="102"/>
      <c r="KJR167" s="102"/>
      <c r="KJS167" s="102"/>
      <c r="KJT167" s="102"/>
      <c r="KJU167" s="102"/>
      <c r="KJV167" s="102"/>
      <c r="KJW167" s="102"/>
      <c r="KJX167" s="102"/>
      <c r="KJY167" s="102"/>
      <c r="KJZ167" s="102"/>
      <c r="KKA167" s="102"/>
      <c r="KKB167" s="102"/>
      <c r="KKC167" s="102"/>
      <c r="KKD167" s="102"/>
      <c r="KKE167" s="102"/>
      <c r="KKF167" s="102"/>
      <c r="KKG167" s="102"/>
      <c r="KKH167" s="102"/>
      <c r="KKI167" s="102"/>
      <c r="KKJ167" s="102"/>
      <c r="KKK167" s="102"/>
      <c r="KKL167" s="102"/>
      <c r="KKM167" s="102"/>
      <c r="KKN167" s="102"/>
      <c r="KKO167" s="102"/>
      <c r="KKP167" s="102"/>
      <c r="KKQ167" s="102"/>
      <c r="KKR167" s="102"/>
      <c r="KKS167" s="102"/>
      <c r="KKT167" s="102"/>
      <c r="KKU167" s="102"/>
      <c r="KKV167" s="102"/>
      <c r="KKW167" s="102"/>
      <c r="KKX167" s="102"/>
      <c r="KKY167" s="102"/>
      <c r="KKZ167" s="102"/>
      <c r="KLA167" s="102"/>
      <c r="KLB167" s="102"/>
      <c r="KLC167" s="102"/>
      <c r="KLD167" s="102"/>
      <c r="KLE167" s="102"/>
      <c r="KLF167" s="102"/>
      <c r="KLG167" s="102"/>
      <c r="KLH167" s="102"/>
      <c r="KLI167" s="102"/>
      <c r="KLJ167" s="102"/>
      <c r="KLK167" s="102"/>
      <c r="KLL167" s="102"/>
      <c r="KLM167" s="102"/>
      <c r="KLN167" s="102"/>
      <c r="KLO167" s="102"/>
      <c r="KLP167" s="102"/>
      <c r="KLQ167" s="102"/>
      <c r="KLR167" s="102"/>
      <c r="KLS167" s="102"/>
      <c r="KLT167" s="102"/>
      <c r="KLU167" s="102"/>
      <c r="KLV167" s="102"/>
      <c r="KLW167" s="102"/>
      <c r="KLX167" s="102"/>
      <c r="KLY167" s="102"/>
      <c r="KLZ167" s="102"/>
      <c r="KMA167" s="102"/>
      <c r="KMB167" s="102"/>
      <c r="KMC167" s="102"/>
      <c r="KMD167" s="102"/>
      <c r="KME167" s="102"/>
      <c r="KMF167" s="102"/>
      <c r="KMG167" s="102"/>
      <c r="KMH167" s="102"/>
      <c r="KMI167" s="102"/>
      <c r="KMJ167" s="102"/>
      <c r="KMK167" s="102"/>
      <c r="KML167" s="102"/>
      <c r="KMM167" s="102"/>
      <c r="KMN167" s="102"/>
      <c r="KMO167" s="102"/>
      <c r="KMP167" s="102"/>
      <c r="KMQ167" s="102"/>
      <c r="KMR167" s="102"/>
      <c r="KMS167" s="102"/>
      <c r="KMT167" s="102"/>
      <c r="KMU167" s="102"/>
      <c r="KMV167" s="102"/>
      <c r="KMW167" s="102"/>
      <c r="KMX167" s="102"/>
      <c r="KMY167" s="102"/>
      <c r="KMZ167" s="102"/>
      <c r="KNA167" s="102"/>
      <c r="KNB167" s="102"/>
      <c r="KNC167" s="102"/>
      <c r="KND167" s="102"/>
      <c r="KNE167" s="102"/>
      <c r="KNF167" s="102"/>
      <c r="KNG167" s="102"/>
      <c r="KNH167" s="102"/>
      <c r="KNI167" s="102"/>
      <c r="KNJ167" s="102"/>
      <c r="KNK167" s="102"/>
      <c r="KNL167" s="102"/>
      <c r="KNM167" s="102"/>
      <c r="KNN167" s="102"/>
      <c r="KNO167" s="102"/>
      <c r="KNP167" s="102"/>
      <c r="KNQ167" s="102"/>
      <c r="KNR167" s="102"/>
      <c r="KNS167" s="102"/>
      <c r="KNT167" s="102"/>
      <c r="KNU167" s="102"/>
      <c r="KNV167" s="102"/>
      <c r="KNW167" s="102"/>
      <c r="KNX167" s="102"/>
      <c r="KNY167" s="102"/>
      <c r="KNZ167" s="102"/>
      <c r="KOA167" s="102"/>
      <c r="KOB167" s="102"/>
      <c r="KOC167" s="102"/>
      <c r="KOD167" s="102"/>
      <c r="KOE167" s="102"/>
      <c r="KOF167" s="102"/>
      <c r="KOG167" s="102"/>
      <c r="KOH167" s="102"/>
      <c r="KOI167" s="102"/>
      <c r="KOJ167" s="102"/>
      <c r="KOK167" s="102"/>
      <c r="KOL167" s="102"/>
      <c r="KOM167" s="102"/>
      <c r="KON167" s="102"/>
      <c r="KOO167" s="102"/>
      <c r="KOP167" s="102"/>
      <c r="KOQ167" s="102"/>
      <c r="KOR167" s="102"/>
      <c r="KOS167" s="102"/>
      <c r="KOT167" s="102"/>
      <c r="KOU167" s="102"/>
      <c r="KOV167" s="102"/>
      <c r="KOW167" s="102"/>
      <c r="KOX167" s="102"/>
      <c r="KOY167" s="102"/>
      <c r="KOZ167" s="102"/>
      <c r="KPA167" s="102"/>
      <c r="KPB167" s="102"/>
      <c r="KPC167" s="102"/>
      <c r="KPD167" s="102"/>
      <c r="KPE167" s="102"/>
      <c r="KPF167" s="102"/>
      <c r="KPG167" s="102"/>
      <c r="KPH167" s="102"/>
      <c r="KPI167" s="102"/>
      <c r="KPJ167" s="102"/>
      <c r="KPK167" s="102"/>
      <c r="KPL167" s="102"/>
      <c r="KPM167" s="102"/>
      <c r="KPN167" s="102"/>
      <c r="KPO167" s="102"/>
      <c r="KPP167" s="102"/>
      <c r="KPQ167" s="102"/>
      <c r="KPR167" s="102"/>
      <c r="KPS167" s="102"/>
      <c r="KPT167" s="102"/>
      <c r="KPU167" s="102"/>
      <c r="KPV167" s="102"/>
      <c r="KPW167" s="102"/>
      <c r="KPX167" s="102"/>
      <c r="KPY167" s="102"/>
      <c r="KPZ167" s="102"/>
      <c r="KQA167" s="102"/>
      <c r="KQB167" s="102"/>
      <c r="KQC167" s="102"/>
      <c r="KQD167" s="102"/>
      <c r="KQE167" s="102"/>
      <c r="KQF167" s="102"/>
      <c r="KQG167" s="102"/>
      <c r="KQH167" s="102"/>
      <c r="KQI167" s="102"/>
      <c r="KQJ167" s="102"/>
      <c r="KQK167" s="102"/>
      <c r="KQL167" s="102"/>
      <c r="KQM167" s="102"/>
      <c r="KQN167" s="102"/>
      <c r="KQO167" s="102"/>
      <c r="KQP167" s="102"/>
      <c r="KQQ167" s="102"/>
      <c r="KQR167" s="102"/>
      <c r="KQS167" s="102"/>
      <c r="KQT167" s="102"/>
      <c r="KQU167" s="102"/>
      <c r="KQV167" s="102"/>
      <c r="KQW167" s="102"/>
      <c r="KQX167" s="102"/>
      <c r="KQY167" s="102"/>
      <c r="KQZ167" s="102"/>
      <c r="KRA167" s="102"/>
      <c r="KRB167" s="102"/>
      <c r="KRC167" s="102"/>
      <c r="KRD167" s="102"/>
      <c r="KRE167" s="102"/>
      <c r="KRF167" s="102"/>
      <c r="KRG167" s="102"/>
      <c r="KRH167" s="102"/>
      <c r="KRI167" s="102"/>
      <c r="KRJ167" s="102"/>
      <c r="KRK167" s="102"/>
      <c r="KRL167" s="102"/>
      <c r="KRM167" s="102"/>
      <c r="KRN167" s="102"/>
      <c r="KRO167" s="102"/>
      <c r="KRP167" s="102"/>
      <c r="KRQ167" s="102"/>
      <c r="KRR167" s="102"/>
      <c r="KRS167" s="102"/>
      <c r="KRT167" s="102"/>
      <c r="KRU167" s="102"/>
      <c r="KRV167" s="102"/>
      <c r="KRW167" s="102"/>
      <c r="KRX167" s="102"/>
      <c r="KRY167" s="102"/>
      <c r="KRZ167" s="102"/>
      <c r="KSA167" s="102"/>
      <c r="KSB167" s="102"/>
      <c r="KSC167" s="102"/>
      <c r="KSD167" s="102"/>
      <c r="KSE167" s="102"/>
      <c r="KSF167" s="102"/>
      <c r="KSG167" s="102"/>
      <c r="KSH167" s="102"/>
      <c r="KSI167" s="102"/>
      <c r="KSJ167" s="102"/>
      <c r="KSK167" s="102"/>
      <c r="KSL167" s="102"/>
      <c r="KSM167" s="102"/>
      <c r="KSN167" s="102"/>
      <c r="KSO167" s="102"/>
      <c r="KSP167" s="102"/>
      <c r="KSQ167" s="102"/>
      <c r="KSR167" s="102"/>
      <c r="KSS167" s="102"/>
      <c r="KST167" s="102"/>
      <c r="KSU167" s="102"/>
      <c r="KSV167" s="102"/>
      <c r="KSW167" s="102"/>
      <c r="KSX167" s="102"/>
      <c r="KSY167" s="102"/>
      <c r="KSZ167" s="102"/>
      <c r="KTA167" s="102"/>
      <c r="KTB167" s="102"/>
      <c r="KTC167" s="102"/>
      <c r="KTD167" s="102"/>
      <c r="KTE167" s="102"/>
      <c r="KTF167" s="102"/>
      <c r="KTG167" s="102"/>
      <c r="KTH167" s="102"/>
      <c r="KTI167" s="102"/>
      <c r="KTJ167" s="102"/>
      <c r="KTK167" s="102"/>
      <c r="KTL167" s="102"/>
      <c r="KTM167" s="102"/>
      <c r="KTN167" s="102"/>
      <c r="KTO167" s="102"/>
      <c r="KTP167" s="102"/>
      <c r="KTQ167" s="102"/>
      <c r="KTR167" s="102"/>
      <c r="KTS167" s="102"/>
      <c r="KTT167" s="102"/>
      <c r="KTU167" s="102"/>
      <c r="KTV167" s="102"/>
      <c r="KTW167" s="102"/>
      <c r="KTX167" s="102"/>
      <c r="KTY167" s="102"/>
      <c r="KTZ167" s="102"/>
      <c r="KUA167" s="102"/>
      <c r="KUB167" s="102"/>
      <c r="KUC167" s="102"/>
      <c r="KUD167" s="102"/>
      <c r="KUE167" s="102"/>
      <c r="KUF167" s="102"/>
      <c r="KUG167" s="102"/>
      <c r="KUH167" s="102"/>
      <c r="KUI167" s="102"/>
      <c r="KUJ167" s="102"/>
      <c r="KUK167" s="102"/>
      <c r="KUL167" s="102"/>
      <c r="KUM167" s="102"/>
      <c r="KUN167" s="102"/>
      <c r="KUO167" s="102"/>
      <c r="KUP167" s="102"/>
      <c r="KUQ167" s="102"/>
      <c r="KUR167" s="102"/>
      <c r="KUS167" s="102"/>
      <c r="KUT167" s="102"/>
      <c r="KUU167" s="102"/>
      <c r="KUV167" s="102"/>
      <c r="KUW167" s="102"/>
      <c r="KUX167" s="102"/>
      <c r="KUY167" s="102"/>
      <c r="KUZ167" s="102"/>
      <c r="KVA167" s="102"/>
      <c r="KVB167" s="102"/>
      <c r="KVC167" s="102"/>
      <c r="KVD167" s="102"/>
      <c r="KVE167" s="102"/>
      <c r="KVF167" s="102"/>
      <c r="KVG167" s="102"/>
      <c r="KVH167" s="102"/>
      <c r="KVI167" s="102"/>
      <c r="KVJ167" s="102"/>
      <c r="KVK167" s="102"/>
      <c r="KVL167" s="102"/>
      <c r="KVM167" s="102"/>
      <c r="KVN167" s="102"/>
      <c r="KVO167" s="102"/>
      <c r="KVP167" s="102"/>
      <c r="KVQ167" s="102"/>
      <c r="KVR167" s="102"/>
      <c r="KVS167" s="102"/>
      <c r="KVT167" s="102"/>
      <c r="KVU167" s="102"/>
      <c r="KVV167" s="102"/>
      <c r="KVW167" s="102"/>
      <c r="KVX167" s="102"/>
      <c r="KVY167" s="102"/>
      <c r="KVZ167" s="102"/>
      <c r="KWA167" s="102"/>
      <c r="KWB167" s="102"/>
      <c r="KWC167" s="102"/>
      <c r="KWD167" s="102"/>
      <c r="KWE167" s="102"/>
      <c r="KWF167" s="102"/>
      <c r="KWG167" s="102"/>
      <c r="KWH167" s="102"/>
      <c r="KWI167" s="102"/>
      <c r="KWJ167" s="102"/>
      <c r="KWK167" s="102"/>
      <c r="KWL167" s="102"/>
      <c r="KWM167" s="102"/>
      <c r="KWN167" s="102"/>
      <c r="KWO167" s="102"/>
      <c r="KWP167" s="102"/>
      <c r="KWQ167" s="102"/>
      <c r="KWR167" s="102"/>
      <c r="KWS167" s="102"/>
      <c r="KWT167" s="102"/>
      <c r="KWU167" s="102"/>
      <c r="KWV167" s="102"/>
      <c r="KWW167" s="102"/>
      <c r="KWX167" s="102"/>
      <c r="KWY167" s="102"/>
      <c r="KWZ167" s="102"/>
      <c r="KXA167" s="102"/>
      <c r="KXB167" s="102"/>
      <c r="KXC167" s="102"/>
      <c r="KXD167" s="102"/>
      <c r="KXE167" s="102"/>
      <c r="KXF167" s="102"/>
      <c r="KXG167" s="102"/>
      <c r="KXH167" s="102"/>
      <c r="KXI167" s="102"/>
      <c r="KXJ167" s="102"/>
      <c r="KXK167" s="102"/>
      <c r="KXL167" s="102"/>
      <c r="KXM167" s="102"/>
      <c r="KXN167" s="102"/>
      <c r="KXO167" s="102"/>
      <c r="KXP167" s="102"/>
      <c r="KXQ167" s="102"/>
      <c r="KXR167" s="102"/>
      <c r="KXS167" s="102"/>
      <c r="KXT167" s="102"/>
      <c r="KXU167" s="102"/>
      <c r="KXV167" s="102"/>
      <c r="KXW167" s="102"/>
      <c r="KXX167" s="102"/>
      <c r="KXY167" s="102"/>
      <c r="KXZ167" s="102"/>
      <c r="KYA167" s="102"/>
      <c r="KYB167" s="102"/>
      <c r="KYC167" s="102"/>
      <c r="KYD167" s="102"/>
      <c r="KYE167" s="102"/>
      <c r="KYF167" s="102"/>
      <c r="KYG167" s="102"/>
      <c r="KYH167" s="102"/>
      <c r="KYI167" s="102"/>
      <c r="KYJ167" s="102"/>
      <c r="KYK167" s="102"/>
      <c r="KYL167" s="102"/>
      <c r="KYM167" s="102"/>
      <c r="KYN167" s="102"/>
      <c r="KYO167" s="102"/>
      <c r="KYP167" s="102"/>
      <c r="KYQ167" s="102"/>
      <c r="KYR167" s="102"/>
      <c r="KYS167" s="102"/>
      <c r="KYT167" s="102"/>
      <c r="KYU167" s="102"/>
      <c r="KYV167" s="102"/>
      <c r="KYW167" s="102"/>
      <c r="KYX167" s="102"/>
      <c r="KYY167" s="102"/>
      <c r="KYZ167" s="102"/>
      <c r="KZA167" s="102"/>
      <c r="KZB167" s="102"/>
      <c r="KZC167" s="102"/>
      <c r="KZD167" s="102"/>
      <c r="KZE167" s="102"/>
      <c r="KZF167" s="102"/>
      <c r="KZG167" s="102"/>
      <c r="KZH167" s="102"/>
      <c r="KZI167" s="102"/>
      <c r="KZJ167" s="102"/>
      <c r="KZK167" s="102"/>
      <c r="KZL167" s="102"/>
      <c r="KZM167" s="102"/>
      <c r="KZN167" s="102"/>
      <c r="KZO167" s="102"/>
      <c r="KZP167" s="102"/>
      <c r="KZQ167" s="102"/>
      <c r="KZR167" s="102"/>
      <c r="KZS167" s="102"/>
      <c r="KZT167" s="102"/>
      <c r="KZU167" s="102"/>
      <c r="KZV167" s="102"/>
      <c r="KZW167" s="102"/>
      <c r="KZX167" s="102"/>
      <c r="KZY167" s="102"/>
      <c r="KZZ167" s="102"/>
      <c r="LAA167" s="102"/>
      <c r="LAB167" s="102"/>
      <c r="LAC167" s="102"/>
      <c r="LAD167" s="102"/>
      <c r="LAE167" s="102"/>
      <c r="LAF167" s="102"/>
      <c r="LAG167" s="102"/>
      <c r="LAH167" s="102"/>
      <c r="LAI167" s="102"/>
      <c r="LAJ167" s="102"/>
      <c r="LAK167" s="102"/>
      <c r="LAL167" s="102"/>
      <c r="LAM167" s="102"/>
      <c r="LAN167" s="102"/>
      <c r="LAO167" s="102"/>
      <c r="LAP167" s="102"/>
      <c r="LAQ167" s="102"/>
      <c r="LAR167" s="102"/>
      <c r="LAS167" s="102"/>
      <c r="LAT167" s="102"/>
      <c r="LAU167" s="102"/>
      <c r="LAV167" s="102"/>
      <c r="LAW167" s="102"/>
      <c r="LAX167" s="102"/>
      <c r="LAY167" s="102"/>
      <c r="LAZ167" s="102"/>
      <c r="LBA167" s="102"/>
      <c r="LBB167" s="102"/>
      <c r="LBC167" s="102"/>
      <c r="LBD167" s="102"/>
      <c r="LBE167" s="102"/>
      <c r="LBF167" s="102"/>
      <c r="LBG167" s="102"/>
      <c r="LBH167" s="102"/>
      <c r="LBI167" s="102"/>
      <c r="LBJ167" s="102"/>
      <c r="LBK167" s="102"/>
      <c r="LBL167" s="102"/>
      <c r="LBM167" s="102"/>
      <c r="LBN167" s="102"/>
      <c r="LBO167" s="102"/>
      <c r="LBP167" s="102"/>
      <c r="LBQ167" s="102"/>
      <c r="LBR167" s="102"/>
      <c r="LBS167" s="102"/>
      <c r="LBT167" s="102"/>
      <c r="LBU167" s="102"/>
      <c r="LBV167" s="102"/>
      <c r="LBW167" s="102"/>
      <c r="LBX167" s="102"/>
      <c r="LBY167" s="102"/>
      <c r="LBZ167" s="102"/>
      <c r="LCA167" s="102"/>
      <c r="LCB167" s="102"/>
      <c r="LCC167" s="102"/>
      <c r="LCD167" s="102"/>
      <c r="LCE167" s="102"/>
      <c r="LCF167" s="102"/>
      <c r="LCG167" s="102"/>
      <c r="LCH167" s="102"/>
      <c r="LCI167" s="102"/>
      <c r="LCJ167" s="102"/>
      <c r="LCK167" s="102"/>
      <c r="LCL167" s="102"/>
      <c r="LCM167" s="102"/>
      <c r="LCN167" s="102"/>
      <c r="LCO167" s="102"/>
      <c r="LCP167" s="102"/>
      <c r="LCQ167" s="102"/>
      <c r="LCR167" s="102"/>
      <c r="LCS167" s="102"/>
      <c r="LCT167" s="102"/>
      <c r="LCU167" s="102"/>
      <c r="LCV167" s="102"/>
      <c r="LCW167" s="102"/>
      <c r="LCX167" s="102"/>
      <c r="LCY167" s="102"/>
      <c r="LCZ167" s="102"/>
      <c r="LDA167" s="102"/>
      <c r="LDB167" s="102"/>
      <c r="LDC167" s="102"/>
      <c r="LDD167" s="102"/>
      <c r="LDE167" s="102"/>
      <c r="LDF167" s="102"/>
      <c r="LDG167" s="102"/>
      <c r="LDH167" s="102"/>
      <c r="LDI167" s="102"/>
      <c r="LDJ167" s="102"/>
      <c r="LDK167" s="102"/>
      <c r="LDL167" s="102"/>
      <c r="LDM167" s="102"/>
      <c r="LDN167" s="102"/>
      <c r="LDO167" s="102"/>
      <c r="LDP167" s="102"/>
      <c r="LDQ167" s="102"/>
      <c r="LDR167" s="102"/>
      <c r="LDS167" s="102"/>
      <c r="LDT167" s="102"/>
      <c r="LDU167" s="102"/>
      <c r="LDV167" s="102"/>
      <c r="LDW167" s="102"/>
      <c r="LDX167" s="102"/>
      <c r="LDY167" s="102"/>
      <c r="LDZ167" s="102"/>
      <c r="LEA167" s="102"/>
      <c r="LEB167" s="102"/>
      <c r="LEC167" s="102"/>
      <c r="LED167" s="102"/>
      <c r="LEE167" s="102"/>
      <c r="LEF167" s="102"/>
      <c r="LEG167" s="102"/>
      <c r="LEH167" s="102"/>
      <c r="LEI167" s="102"/>
      <c r="LEJ167" s="102"/>
      <c r="LEK167" s="102"/>
      <c r="LEL167" s="102"/>
      <c r="LEM167" s="102"/>
      <c r="LEN167" s="102"/>
      <c r="LEO167" s="102"/>
      <c r="LEP167" s="102"/>
      <c r="LEQ167" s="102"/>
      <c r="LER167" s="102"/>
      <c r="LES167" s="102"/>
      <c r="LET167" s="102"/>
      <c r="LEU167" s="102"/>
      <c r="LEV167" s="102"/>
      <c r="LEW167" s="102"/>
      <c r="LEX167" s="102"/>
      <c r="LEY167" s="102"/>
      <c r="LEZ167" s="102"/>
      <c r="LFA167" s="102"/>
      <c r="LFB167" s="102"/>
      <c r="LFC167" s="102"/>
      <c r="LFD167" s="102"/>
      <c r="LFE167" s="102"/>
      <c r="LFF167" s="102"/>
      <c r="LFG167" s="102"/>
      <c r="LFH167" s="102"/>
      <c r="LFI167" s="102"/>
      <c r="LFJ167" s="102"/>
      <c r="LFK167" s="102"/>
      <c r="LFL167" s="102"/>
      <c r="LFM167" s="102"/>
      <c r="LFN167" s="102"/>
      <c r="LFO167" s="102"/>
      <c r="LFP167" s="102"/>
      <c r="LFQ167" s="102"/>
      <c r="LFR167" s="102"/>
      <c r="LFS167" s="102"/>
      <c r="LFT167" s="102"/>
      <c r="LFU167" s="102"/>
      <c r="LFV167" s="102"/>
      <c r="LFW167" s="102"/>
      <c r="LFX167" s="102"/>
      <c r="LFY167" s="102"/>
      <c r="LFZ167" s="102"/>
      <c r="LGA167" s="102"/>
      <c r="LGB167" s="102"/>
      <c r="LGC167" s="102"/>
      <c r="LGD167" s="102"/>
      <c r="LGE167" s="102"/>
      <c r="LGF167" s="102"/>
      <c r="LGG167" s="102"/>
      <c r="LGH167" s="102"/>
      <c r="LGI167" s="102"/>
      <c r="LGJ167" s="102"/>
      <c r="LGK167" s="102"/>
      <c r="LGL167" s="102"/>
      <c r="LGM167" s="102"/>
      <c r="LGN167" s="102"/>
      <c r="LGO167" s="102"/>
      <c r="LGP167" s="102"/>
      <c r="LGQ167" s="102"/>
      <c r="LGR167" s="102"/>
      <c r="LGS167" s="102"/>
      <c r="LGT167" s="102"/>
      <c r="LGU167" s="102"/>
      <c r="LGV167" s="102"/>
      <c r="LGW167" s="102"/>
      <c r="LGX167" s="102"/>
      <c r="LGY167" s="102"/>
      <c r="LGZ167" s="102"/>
      <c r="LHA167" s="102"/>
      <c r="LHB167" s="102"/>
      <c r="LHC167" s="102"/>
      <c r="LHD167" s="102"/>
      <c r="LHE167" s="102"/>
      <c r="LHF167" s="102"/>
      <c r="LHG167" s="102"/>
      <c r="LHH167" s="102"/>
      <c r="LHI167" s="102"/>
      <c r="LHJ167" s="102"/>
      <c r="LHK167" s="102"/>
      <c r="LHL167" s="102"/>
      <c r="LHM167" s="102"/>
      <c r="LHN167" s="102"/>
      <c r="LHO167" s="102"/>
      <c r="LHP167" s="102"/>
      <c r="LHQ167" s="102"/>
      <c r="LHR167" s="102"/>
      <c r="LHS167" s="102"/>
      <c r="LHT167" s="102"/>
      <c r="LHU167" s="102"/>
      <c r="LHV167" s="102"/>
      <c r="LHW167" s="102"/>
      <c r="LHX167" s="102"/>
      <c r="LHY167" s="102"/>
      <c r="LHZ167" s="102"/>
      <c r="LIA167" s="102"/>
      <c r="LIB167" s="102"/>
      <c r="LIC167" s="102"/>
      <c r="LID167" s="102"/>
      <c r="LIE167" s="102"/>
      <c r="LIF167" s="102"/>
      <c r="LIG167" s="102"/>
      <c r="LIH167" s="102"/>
      <c r="LII167" s="102"/>
      <c r="LIJ167" s="102"/>
      <c r="LIK167" s="102"/>
      <c r="LIL167" s="102"/>
      <c r="LIM167" s="102"/>
      <c r="LIN167" s="102"/>
      <c r="LIO167" s="102"/>
      <c r="LIP167" s="102"/>
      <c r="LIQ167" s="102"/>
      <c r="LIR167" s="102"/>
      <c r="LIS167" s="102"/>
      <c r="LIT167" s="102"/>
      <c r="LIU167" s="102"/>
      <c r="LIV167" s="102"/>
      <c r="LIW167" s="102"/>
      <c r="LIX167" s="102"/>
      <c r="LIY167" s="102"/>
      <c r="LIZ167" s="102"/>
      <c r="LJA167" s="102"/>
      <c r="LJB167" s="102"/>
      <c r="LJC167" s="102"/>
      <c r="LJD167" s="102"/>
      <c r="LJE167" s="102"/>
      <c r="LJF167" s="102"/>
      <c r="LJG167" s="102"/>
      <c r="LJH167" s="102"/>
      <c r="LJI167" s="102"/>
      <c r="LJJ167" s="102"/>
      <c r="LJK167" s="102"/>
      <c r="LJL167" s="102"/>
      <c r="LJM167" s="102"/>
      <c r="LJN167" s="102"/>
      <c r="LJO167" s="102"/>
      <c r="LJP167" s="102"/>
      <c r="LJQ167" s="102"/>
      <c r="LJR167" s="102"/>
      <c r="LJS167" s="102"/>
      <c r="LJT167" s="102"/>
      <c r="LJU167" s="102"/>
      <c r="LJV167" s="102"/>
      <c r="LJW167" s="102"/>
      <c r="LJX167" s="102"/>
      <c r="LJY167" s="102"/>
      <c r="LJZ167" s="102"/>
      <c r="LKA167" s="102"/>
      <c r="LKB167" s="102"/>
      <c r="LKC167" s="102"/>
      <c r="LKD167" s="102"/>
      <c r="LKE167" s="102"/>
      <c r="LKF167" s="102"/>
      <c r="LKG167" s="102"/>
      <c r="LKH167" s="102"/>
      <c r="LKI167" s="102"/>
      <c r="LKJ167" s="102"/>
      <c r="LKK167" s="102"/>
      <c r="LKL167" s="102"/>
      <c r="LKM167" s="102"/>
      <c r="LKN167" s="102"/>
      <c r="LKO167" s="102"/>
      <c r="LKP167" s="102"/>
      <c r="LKQ167" s="102"/>
      <c r="LKR167" s="102"/>
      <c r="LKS167" s="102"/>
      <c r="LKT167" s="102"/>
      <c r="LKU167" s="102"/>
      <c r="LKV167" s="102"/>
      <c r="LKW167" s="102"/>
      <c r="LKX167" s="102"/>
      <c r="LKY167" s="102"/>
      <c r="LKZ167" s="102"/>
      <c r="LLA167" s="102"/>
      <c r="LLB167" s="102"/>
      <c r="LLC167" s="102"/>
      <c r="LLD167" s="102"/>
      <c r="LLE167" s="102"/>
      <c r="LLF167" s="102"/>
      <c r="LLG167" s="102"/>
      <c r="LLH167" s="102"/>
      <c r="LLI167" s="102"/>
      <c r="LLJ167" s="102"/>
      <c r="LLK167" s="102"/>
      <c r="LLL167" s="102"/>
      <c r="LLM167" s="102"/>
      <c r="LLN167" s="102"/>
      <c r="LLO167" s="102"/>
      <c r="LLP167" s="102"/>
      <c r="LLQ167" s="102"/>
      <c r="LLR167" s="102"/>
      <c r="LLS167" s="102"/>
      <c r="LLT167" s="102"/>
      <c r="LLU167" s="102"/>
      <c r="LLV167" s="102"/>
      <c r="LLW167" s="102"/>
      <c r="LLX167" s="102"/>
      <c r="LLY167" s="102"/>
      <c r="LLZ167" s="102"/>
      <c r="LMA167" s="102"/>
      <c r="LMB167" s="102"/>
      <c r="LMC167" s="102"/>
      <c r="LMD167" s="102"/>
      <c r="LME167" s="102"/>
      <c r="LMF167" s="102"/>
      <c r="LMG167" s="102"/>
      <c r="LMH167" s="102"/>
      <c r="LMI167" s="102"/>
      <c r="LMJ167" s="102"/>
      <c r="LMK167" s="102"/>
      <c r="LML167" s="102"/>
      <c r="LMM167" s="102"/>
      <c r="LMN167" s="102"/>
      <c r="LMO167" s="102"/>
      <c r="LMP167" s="102"/>
      <c r="LMQ167" s="102"/>
      <c r="LMR167" s="102"/>
      <c r="LMS167" s="102"/>
      <c r="LMT167" s="102"/>
      <c r="LMU167" s="102"/>
      <c r="LMV167" s="102"/>
      <c r="LMW167" s="102"/>
      <c r="LMX167" s="102"/>
      <c r="LMY167" s="102"/>
      <c r="LMZ167" s="102"/>
      <c r="LNA167" s="102"/>
      <c r="LNB167" s="102"/>
      <c r="LNC167" s="102"/>
      <c r="LND167" s="102"/>
      <c r="LNE167" s="102"/>
      <c r="LNF167" s="102"/>
      <c r="LNG167" s="102"/>
      <c r="LNH167" s="102"/>
      <c r="LNI167" s="102"/>
      <c r="LNJ167" s="102"/>
      <c r="LNK167" s="102"/>
      <c r="LNL167" s="102"/>
      <c r="LNM167" s="102"/>
      <c r="LNN167" s="102"/>
      <c r="LNO167" s="102"/>
      <c r="LNP167" s="102"/>
      <c r="LNQ167" s="102"/>
      <c r="LNR167" s="102"/>
      <c r="LNS167" s="102"/>
      <c r="LNT167" s="102"/>
      <c r="LNU167" s="102"/>
      <c r="LNV167" s="102"/>
      <c r="LNW167" s="102"/>
      <c r="LNX167" s="102"/>
      <c r="LNY167" s="102"/>
      <c r="LNZ167" s="102"/>
      <c r="LOA167" s="102"/>
      <c r="LOB167" s="102"/>
      <c r="LOC167" s="102"/>
      <c r="LOD167" s="102"/>
      <c r="LOE167" s="102"/>
      <c r="LOF167" s="102"/>
      <c r="LOG167" s="102"/>
      <c r="LOH167" s="102"/>
      <c r="LOI167" s="102"/>
      <c r="LOJ167" s="102"/>
      <c r="LOK167" s="102"/>
      <c r="LOL167" s="102"/>
      <c r="LOM167" s="102"/>
      <c r="LON167" s="102"/>
      <c r="LOO167" s="102"/>
      <c r="LOP167" s="102"/>
      <c r="LOQ167" s="102"/>
      <c r="LOR167" s="102"/>
      <c r="LOS167" s="102"/>
      <c r="LOT167" s="102"/>
      <c r="LOU167" s="102"/>
      <c r="LOV167" s="102"/>
      <c r="LOW167" s="102"/>
      <c r="LOX167" s="102"/>
      <c r="LOY167" s="102"/>
      <c r="LOZ167" s="102"/>
      <c r="LPA167" s="102"/>
      <c r="LPB167" s="102"/>
      <c r="LPC167" s="102"/>
      <c r="LPD167" s="102"/>
      <c r="LPE167" s="102"/>
      <c r="LPF167" s="102"/>
      <c r="LPG167" s="102"/>
      <c r="LPH167" s="102"/>
      <c r="LPI167" s="102"/>
      <c r="LPJ167" s="102"/>
      <c r="LPK167" s="102"/>
      <c r="LPL167" s="102"/>
      <c r="LPM167" s="102"/>
      <c r="LPN167" s="102"/>
      <c r="LPO167" s="102"/>
      <c r="LPP167" s="102"/>
      <c r="LPQ167" s="102"/>
      <c r="LPR167" s="102"/>
      <c r="LPS167" s="102"/>
      <c r="LPT167" s="102"/>
      <c r="LPU167" s="102"/>
      <c r="LPV167" s="102"/>
      <c r="LPW167" s="102"/>
      <c r="LPX167" s="102"/>
      <c r="LPY167" s="102"/>
      <c r="LPZ167" s="102"/>
      <c r="LQA167" s="102"/>
      <c r="LQB167" s="102"/>
      <c r="LQC167" s="102"/>
      <c r="LQD167" s="102"/>
      <c r="LQE167" s="102"/>
      <c r="LQF167" s="102"/>
      <c r="LQG167" s="102"/>
      <c r="LQH167" s="102"/>
      <c r="LQI167" s="102"/>
      <c r="LQJ167" s="102"/>
      <c r="LQK167" s="102"/>
      <c r="LQL167" s="102"/>
      <c r="LQM167" s="102"/>
      <c r="LQN167" s="102"/>
      <c r="LQO167" s="102"/>
      <c r="LQP167" s="102"/>
      <c r="LQQ167" s="102"/>
      <c r="LQR167" s="102"/>
      <c r="LQS167" s="102"/>
      <c r="LQT167" s="102"/>
      <c r="LQU167" s="102"/>
      <c r="LQV167" s="102"/>
      <c r="LQW167" s="102"/>
      <c r="LQX167" s="102"/>
      <c r="LQY167" s="102"/>
      <c r="LQZ167" s="102"/>
      <c r="LRA167" s="102"/>
      <c r="LRB167" s="102"/>
      <c r="LRC167" s="102"/>
      <c r="LRD167" s="102"/>
      <c r="LRE167" s="102"/>
      <c r="LRF167" s="102"/>
      <c r="LRG167" s="102"/>
      <c r="LRH167" s="102"/>
      <c r="LRI167" s="102"/>
      <c r="LRJ167" s="102"/>
      <c r="LRK167" s="102"/>
      <c r="LRL167" s="102"/>
      <c r="LRM167" s="102"/>
      <c r="LRN167" s="102"/>
      <c r="LRO167" s="102"/>
      <c r="LRP167" s="102"/>
      <c r="LRQ167" s="102"/>
      <c r="LRR167" s="102"/>
      <c r="LRS167" s="102"/>
      <c r="LRT167" s="102"/>
      <c r="LRU167" s="102"/>
      <c r="LRV167" s="102"/>
      <c r="LRW167" s="102"/>
      <c r="LRX167" s="102"/>
      <c r="LRY167" s="102"/>
      <c r="LRZ167" s="102"/>
      <c r="LSA167" s="102"/>
      <c r="LSB167" s="102"/>
      <c r="LSC167" s="102"/>
      <c r="LSD167" s="102"/>
      <c r="LSE167" s="102"/>
      <c r="LSF167" s="102"/>
      <c r="LSG167" s="102"/>
      <c r="LSH167" s="102"/>
      <c r="LSI167" s="102"/>
      <c r="LSJ167" s="102"/>
      <c r="LSK167" s="102"/>
      <c r="LSL167" s="102"/>
      <c r="LSM167" s="102"/>
      <c r="LSN167" s="102"/>
      <c r="LSO167" s="102"/>
      <c r="LSP167" s="102"/>
      <c r="LSQ167" s="102"/>
      <c r="LSR167" s="102"/>
      <c r="LSS167" s="102"/>
      <c r="LST167" s="102"/>
      <c r="LSU167" s="102"/>
      <c r="LSV167" s="102"/>
      <c r="LSW167" s="102"/>
      <c r="LSX167" s="102"/>
      <c r="LSY167" s="102"/>
      <c r="LSZ167" s="102"/>
      <c r="LTA167" s="102"/>
      <c r="LTB167" s="102"/>
      <c r="LTC167" s="102"/>
      <c r="LTD167" s="102"/>
      <c r="LTE167" s="102"/>
      <c r="LTF167" s="102"/>
      <c r="LTG167" s="102"/>
      <c r="LTH167" s="102"/>
      <c r="LTI167" s="102"/>
      <c r="LTJ167" s="102"/>
      <c r="LTK167" s="102"/>
      <c r="LTL167" s="102"/>
      <c r="LTM167" s="102"/>
      <c r="LTN167" s="102"/>
      <c r="LTO167" s="102"/>
      <c r="LTP167" s="102"/>
      <c r="LTQ167" s="102"/>
      <c r="LTR167" s="102"/>
      <c r="LTS167" s="102"/>
      <c r="LTT167" s="102"/>
      <c r="LTU167" s="102"/>
      <c r="LTV167" s="102"/>
      <c r="LTW167" s="102"/>
      <c r="LTX167" s="102"/>
      <c r="LTY167" s="102"/>
      <c r="LTZ167" s="102"/>
      <c r="LUA167" s="102"/>
      <c r="LUB167" s="102"/>
      <c r="LUC167" s="102"/>
      <c r="LUD167" s="102"/>
      <c r="LUE167" s="102"/>
      <c r="LUF167" s="102"/>
      <c r="LUG167" s="102"/>
      <c r="LUH167" s="102"/>
      <c r="LUI167" s="102"/>
      <c r="LUJ167" s="102"/>
      <c r="LUK167" s="102"/>
      <c r="LUL167" s="102"/>
      <c r="LUM167" s="102"/>
      <c r="LUN167" s="102"/>
      <c r="LUO167" s="102"/>
      <c r="LUP167" s="102"/>
      <c r="LUQ167" s="102"/>
      <c r="LUR167" s="102"/>
      <c r="LUS167" s="102"/>
      <c r="LUT167" s="102"/>
      <c r="LUU167" s="102"/>
      <c r="LUV167" s="102"/>
      <c r="LUW167" s="102"/>
      <c r="LUX167" s="102"/>
      <c r="LUY167" s="102"/>
      <c r="LUZ167" s="102"/>
      <c r="LVA167" s="102"/>
      <c r="LVB167" s="102"/>
      <c r="LVC167" s="102"/>
      <c r="LVD167" s="102"/>
      <c r="LVE167" s="102"/>
      <c r="LVF167" s="102"/>
      <c r="LVG167" s="102"/>
      <c r="LVH167" s="102"/>
      <c r="LVI167" s="102"/>
      <c r="LVJ167" s="102"/>
      <c r="LVK167" s="102"/>
      <c r="LVL167" s="102"/>
      <c r="LVM167" s="102"/>
      <c r="LVN167" s="102"/>
      <c r="LVO167" s="102"/>
      <c r="LVP167" s="102"/>
      <c r="LVQ167" s="102"/>
      <c r="LVR167" s="102"/>
      <c r="LVS167" s="102"/>
      <c r="LVT167" s="102"/>
      <c r="LVU167" s="102"/>
      <c r="LVV167" s="102"/>
      <c r="LVW167" s="102"/>
      <c r="LVX167" s="102"/>
      <c r="LVY167" s="102"/>
      <c r="LVZ167" s="102"/>
      <c r="LWA167" s="102"/>
      <c r="LWB167" s="102"/>
      <c r="LWC167" s="102"/>
      <c r="LWD167" s="102"/>
      <c r="LWE167" s="102"/>
      <c r="LWF167" s="102"/>
      <c r="LWG167" s="102"/>
      <c r="LWH167" s="102"/>
      <c r="LWI167" s="102"/>
      <c r="LWJ167" s="102"/>
      <c r="LWK167" s="102"/>
      <c r="LWL167" s="102"/>
      <c r="LWM167" s="102"/>
      <c r="LWN167" s="102"/>
      <c r="LWO167" s="102"/>
      <c r="LWP167" s="102"/>
      <c r="LWQ167" s="102"/>
      <c r="LWR167" s="102"/>
      <c r="LWS167" s="102"/>
      <c r="LWT167" s="102"/>
      <c r="LWU167" s="102"/>
      <c r="LWV167" s="102"/>
      <c r="LWW167" s="102"/>
      <c r="LWX167" s="102"/>
      <c r="LWY167" s="102"/>
      <c r="LWZ167" s="102"/>
      <c r="LXA167" s="102"/>
      <c r="LXB167" s="102"/>
      <c r="LXC167" s="102"/>
      <c r="LXD167" s="102"/>
      <c r="LXE167" s="102"/>
      <c r="LXF167" s="102"/>
      <c r="LXG167" s="102"/>
      <c r="LXH167" s="102"/>
      <c r="LXI167" s="102"/>
      <c r="LXJ167" s="102"/>
      <c r="LXK167" s="102"/>
      <c r="LXL167" s="102"/>
      <c r="LXM167" s="102"/>
      <c r="LXN167" s="102"/>
      <c r="LXO167" s="102"/>
      <c r="LXP167" s="102"/>
      <c r="LXQ167" s="102"/>
      <c r="LXR167" s="102"/>
      <c r="LXS167" s="102"/>
      <c r="LXT167" s="102"/>
      <c r="LXU167" s="102"/>
      <c r="LXV167" s="102"/>
      <c r="LXW167" s="102"/>
      <c r="LXX167" s="102"/>
      <c r="LXY167" s="102"/>
      <c r="LXZ167" s="102"/>
      <c r="LYA167" s="102"/>
      <c r="LYB167" s="102"/>
      <c r="LYC167" s="102"/>
      <c r="LYD167" s="102"/>
      <c r="LYE167" s="102"/>
      <c r="LYF167" s="102"/>
      <c r="LYG167" s="102"/>
      <c r="LYH167" s="102"/>
      <c r="LYI167" s="102"/>
      <c r="LYJ167" s="102"/>
      <c r="LYK167" s="102"/>
      <c r="LYL167" s="102"/>
      <c r="LYM167" s="102"/>
      <c r="LYN167" s="102"/>
      <c r="LYO167" s="102"/>
      <c r="LYP167" s="102"/>
      <c r="LYQ167" s="102"/>
      <c r="LYR167" s="102"/>
      <c r="LYS167" s="102"/>
      <c r="LYT167" s="102"/>
      <c r="LYU167" s="102"/>
      <c r="LYV167" s="102"/>
      <c r="LYW167" s="102"/>
      <c r="LYX167" s="102"/>
      <c r="LYY167" s="102"/>
      <c r="LYZ167" s="102"/>
      <c r="LZA167" s="102"/>
      <c r="LZB167" s="102"/>
      <c r="LZC167" s="102"/>
      <c r="LZD167" s="102"/>
      <c r="LZE167" s="102"/>
      <c r="LZF167" s="102"/>
      <c r="LZG167" s="102"/>
      <c r="LZH167" s="102"/>
      <c r="LZI167" s="102"/>
      <c r="LZJ167" s="102"/>
      <c r="LZK167" s="102"/>
      <c r="LZL167" s="102"/>
      <c r="LZM167" s="102"/>
      <c r="LZN167" s="102"/>
      <c r="LZO167" s="102"/>
      <c r="LZP167" s="102"/>
      <c r="LZQ167" s="102"/>
      <c r="LZR167" s="102"/>
      <c r="LZS167" s="102"/>
      <c r="LZT167" s="102"/>
      <c r="LZU167" s="102"/>
      <c r="LZV167" s="102"/>
      <c r="LZW167" s="102"/>
      <c r="LZX167" s="102"/>
      <c r="LZY167" s="102"/>
      <c r="LZZ167" s="102"/>
      <c r="MAA167" s="102"/>
      <c r="MAB167" s="102"/>
      <c r="MAC167" s="102"/>
      <c r="MAD167" s="102"/>
      <c r="MAE167" s="102"/>
      <c r="MAF167" s="102"/>
      <c r="MAG167" s="102"/>
      <c r="MAH167" s="102"/>
      <c r="MAI167" s="102"/>
      <c r="MAJ167" s="102"/>
      <c r="MAK167" s="102"/>
      <c r="MAL167" s="102"/>
      <c r="MAM167" s="102"/>
      <c r="MAN167" s="102"/>
      <c r="MAO167" s="102"/>
      <c r="MAP167" s="102"/>
      <c r="MAQ167" s="102"/>
      <c r="MAR167" s="102"/>
      <c r="MAS167" s="102"/>
      <c r="MAT167" s="102"/>
      <c r="MAU167" s="102"/>
      <c r="MAV167" s="102"/>
      <c r="MAW167" s="102"/>
      <c r="MAX167" s="102"/>
      <c r="MAY167" s="102"/>
      <c r="MAZ167" s="102"/>
      <c r="MBA167" s="102"/>
      <c r="MBB167" s="102"/>
      <c r="MBC167" s="102"/>
      <c r="MBD167" s="102"/>
      <c r="MBE167" s="102"/>
      <c r="MBF167" s="102"/>
      <c r="MBG167" s="102"/>
      <c r="MBH167" s="102"/>
      <c r="MBI167" s="102"/>
      <c r="MBJ167" s="102"/>
      <c r="MBK167" s="102"/>
      <c r="MBL167" s="102"/>
      <c r="MBM167" s="102"/>
      <c r="MBN167" s="102"/>
      <c r="MBO167" s="102"/>
      <c r="MBP167" s="102"/>
      <c r="MBQ167" s="102"/>
      <c r="MBR167" s="102"/>
      <c r="MBS167" s="102"/>
      <c r="MBT167" s="102"/>
      <c r="MBU167" s="102"/>
      <c r="MBV167" s="102"/>
      <c r="MBW167" s="102"/>
      <c r="MBX167" s="102"/>
      <c r="MBY167" s="102"/>
      <c r="MBZ167" s="102"/>
      <c r="MCA167" s="102"/>
      <c r="MCB167" s="102"/>
      <c r="MCC167" s="102"/>
      <c r="MCD167" s="102"/>
      <c r="MCE167" s="102"/>
      <c r="MCF167" s="102"/>
      <c r="MCG167" s="102"/>
      <c r="MCH167" s="102"/>
      <c r="MCI167" s="102"/>
      <c r="MCJ167" s="102"/>
      <c r="MCK167" s="102"/>
      <c r="MCL167" s="102"/>
      <c r="MCM167" s="102"/>
      <c r="MCN167" s="102"/>
      <c r="MCO167" s="102"/>
      <c r="MCP167" s="102"/>
      <c r="MCQ167" s="102"/>
      <c r="MCR167" s="102"/>
      <c r="MCS167" s="102"/>
      <c r="MCT167" s="102"/>
      <c r="MCU167" s="102"/>
      <c r="MCV167" s="102"/>
      <c r="MCW167" s="102"/>
      <c r="MCX167" s="102"/>
      <c r="MCY167" s="102"/>
      <c r="MCZ167" s="102"/>
      <c r="MDA167" s="102"/>
      <c r="MDB167" s="102"/>
      <c r="MDC167" s="102"/>
      <c r="MDD167" s="102"/>
      <c r="MDE167" s="102"/>
      <c r="MDF167" s="102"/>
      <c r="MDG167" s="102"/>
      <c r="MDH167" s="102"/>
      <c r="MDI167" s="102"/>
      <c r="MDJ167" s="102"/>
      <c r="MDK167" s="102"/>
      <c r="MDL167" s="102"/>
      <c r="MDM167" s="102"/>
      <c r="MDN167" s="102"/>
      <c r="MDO167" s="102"/>
      <c r="MDP167" s="102"/>
      <c r="MDQ167" s="102"/>
      <c r="MDR167" s="102"/>
      <c r="MDS167" s="102"/>
      <c r="MDT167" s="102"/>
      <c r="MDU167" s="102"/>
      <c r="MDV167" s="102"/>
      <c r="MDW167" s="102"/>
      <c r="MDX167" s="102"/>
      <c r="MDY167" s="102"/>
      <c r="MDZ167" s="102"/>
      <c r="MEA167" s="102"/>
      <c r="MEB167" s="102"/>
      <c r="MEC167" s="102"/>
      <c r="MED167" s="102"/>
      <c r="MEE167" s="102"/>
      <c r="MEF167" s="102"/>
      <c r="MEG167" s="102"/>
      <c r="MEH167" s="102"/>
      <c r="MEI167" s="102"/>
      <c r="MEJ167" s="102"/>
      <c r="MEK167" s="102"/>
      <c r="MEL167" s="102"/>
      <c r="MEM167" s="102"/>
      <c r="MEN167" s="102"/>
      <c r="MEO167" s="102"/>
      <c r="MEP167" s="102"/>
      <c r="MEQ167" s="102"/>
      <c r="MER167" s="102"/>
      <c r="MES167" s="102"/>
      <c r="MET167" s="102"/>
      <c r="MEU167" s="102"/>
      <c r="MEV167" s="102"/>
      <c r="MEW167" s="102"/>
      <c r="MEX167" s="102"/>
      <c r="MEY167" s="102"/>
      <c r="MEZ167" s="102"/>
      <c r="MFA167" s="102"/>
      <c r="MFB167" s="102"/>
      <c r="MFC167" s="102"/>
      <c r="MFD167" s="102"/>
      <c r="MFE167" s="102"/>
      <c r="MFF167" s="102"/>
      <c r="MFG167" s="102"/>
      <c r="MFH167" s="102"/>
      <c r="MFI167" s="102"/>
      <c r="MFJ167" s="102"/>
      <c r="MFK167" s="102"/>
      <c r="MFL167" s="102"/>
      <c r="MFM167" s="102"/>
      <c r="MFN167" s="102"/>
      <c r="MFO167" s="102"/>
      <c r="MFP167" s="102"/>
      <c r="MFQ167" s="102"/>
      <c r="MFR167" s="102"/>
      <c r="MFS167" s="102"/>
      <c r="MFT167" s="102"/>
      <c r="MFU167" s="102"/>
      <c r="MFV167" s="102"/>
      <c r="MFW167" s="102"/>
      <c r="MFX167" s="102"/>
      <c r="MFY167" s="102"/>
      <c r="MFZ167" s="102"/>
      <c r="MGA167" s="102"/>
      <c r="MGB167" s="102"/>
      <c r="MGC167" s="102"/>
      <c r="MGD167" s="102"/>
      <c r="MGE167" s="102"/>
      <c r="MGF167" s="102"/>
      <c r="MGG167" s="102"/>
      <c r="MGH167" s="102"/>
      <c r="MGI167" s="102"/>
      <c r="MGJ167" s="102"/>
      <c r="MGK167" s="102"/>
      <c r="MGL167" s="102"/>
      <c r="MGM167" s="102"/>
      <c r="MGN167" s="102"/>
      <c r="MGO167" s="102"/>
      <c r="MGP167" s="102"/>
      <c r="MGQ167" s="102"/>
      <c r="MGR167" s="102"/>
      <c r="MGS167" s="102"/>
      <c r="MGT167" s="102"/>
      <c r="MGU167" s="102"/>
      <c r="MGV167" s="102"/>
      <c r="MGW167" s="102"/>
      <c r="MGX167" s="102"/>
      <c r="MGY167" s="102"/>
      <c r="MGZ167" s="102"/>
      <c r="MHA167" s="102"/>
      <c r="MHB167" s="102"/>
      <c r="MHC167" s="102"/>
      <c r="MHD167" s="102"/>
      <c r="MHE167" s="102"/>
      <c r="MHF167" s="102"/>
      <c r="MHG167" s="102"/>
      <c r="MHH167" s="102"/>
      <c r="MHI167" s="102"/>
      <c r="MHJ167" s="102"/>
      <c r="MHK167" s="102"/>
      <c r="MHL167" s="102"/>
      <c r="MHM167" s="102"/>
      <c r="MHN167" s="102"/>
      <c r="MHO167" s="102"/>
      <c r="MHP167" s="102"/>
      <c r="MHQ167" s="102"/>
      <c r="MHR167" s="102"/>
      <c r="MHS167" s="102"/>
      <c r="MHT167" s="102"/>
      <c r="MHU167" s="102"/>
      <c r="MHV167" s="102"/>
      <c r="MHW167" s="102"/>
      <c r="MHX167" s="102"/>
      <c r="MHY167" s="102"/>
      <c r="MHZ167" s="102"/>
      <c r="MIA167" s="102"/>
      <c r="MIB167" s="102"/>
      <c r="MIC167" s="102"/>
      <c r="MID167" s="102"/>
      <c r="MIE167" s="102"/>
      <c r="MIF167" s="102"/>
      <c r="MIG167" s="102"/>
      <c r="MIH167" s="102"/>
      <c r="MII167" s="102"/>
      <c r="MIJ167" s="102"/>
      <c r="MIK167" s="102"/>
      <c r="MIL167" s="102"/>
      <c r="MIM167" s="102"/>
      <c r="MIN167" s="102"/>
      <c r="MIO167" s="102"/>
      <c r="MIP167" s="102"/>
      <c r="MIQ167" s="102"/>
      <c r="MIR167" s="102"/>
      <c r="MIS167" s="102"/>
      <c r="MIT167" s="102"/>
      <c r="MIU167" s="102"/>
      <c r="MIV167" s="102"/>
      <c r="MIW167" s="102"/>
      <c r="MIX167" s="102"/>
      <c r="MIY167" s="102"/>
      <c r="MIZ167" s="102"/>
      <c r="MJA167" s="102"/>
      <c r="MJB167" s="102"/>
      <c r="MJC167" s="102"/>
      <c r="MJD167" s="102"/>
      <c r="MJE167" s="102"/>
      <c r="MJF167" s="102"/>
      <c r="MJG167" s="102"/>
      <c r="MJH167" s="102"/>
      <c r="MJI167" s="102"/>
      <c r="MJJ167" s="102"/>
      <c r="MJK167" s="102"/>
      <c r="MJL167" s="102"/>
      <c r="MJM167" s="102"/>
      <c r="MJN167" s="102"/>
      <c r="MJO167" s="102"/>
      <c r="MJP167" s="102"/>
      <c r="MJQ167" s="102"/>
      <c r="MJR167" s="102"/>
      <c r="MJS167" s="102"/>
      <c r="MJT167" s="102"/>
      <c r="MJU167" s="102"/>
      <c r="MJV167" s="102"/>
      <c r="MJW167" s="102"/>
      <c r="MJX167" s="102"/>
      <c r="MJY167" s="102"/>
      <c r="MJZ167" s="102"/>
      <c r="MKA167" s="102"/>
      <c r="MKB167" s="102"/>
      <c r="MKC167" s="102"/>
      <c r="MKD167" s="102"/>
      <c r="MKE167" s="102"/>
      <c r="MKF167" s="102"/>
      <c r="MKG167" s="102"/>
      <c r="MKH167" s="102"/>
      <c r="MKI167" s="102"/>
      <c r="MKJ167" s="102"/>
      <c r="MKK167" s="102"/>
      <c r="MKL167" s="102"/>
      <c r="MKM167" s="102"/>
      <c r="MKN167" s="102"/>
      <c r="MKO167" s="102"/>
      <c r="MKP167" s="102"/>
      <c r="MKQ167" s="102"/>
      <c r="MKR167" s="102"/>
      <c r="MKS167" s="102"/>
      <c r="MKT167" s="102"/>
      <c r="MKU167" s="102"/>
      <c r="MKV167" s="102"/>
      <c r="MKW167" s="102"/>
      <c r="MKX167" s="102"/>
      <c r="MKY167" s="102"/>
      <c r="MKZ167" s="102"/>
      <c r="MLA167" s="102"/>
      <c r="MLB167" s="102"/>
      <c r="MLC167" s="102"/>
      <c r="MLD167" s="102"/>
      <c r="MLE167" s="102"/>
      <c r="MLF167" s="102"/>
      <c r="MLG167" s="102"/>
      <c r="MLH167" s="102"/>
      <c r="MLI167" s="102"/>
      <c r="MLJ167" s="102"/>
      <c r="MLK167" s="102"/>
      <c r="MLL167" s="102"/>
      <c r="MLM167" s="102"/>
      <c r="MLN167" s="102"/>
      <c r="MLO167" s="102"/>
      <c r="MLP167" s="102"/>
      <c r="MLQ167" s="102"/>
      <c r="MLR167" s="102"/>
      <c r="MLS167" s="102"/>
      <c r="MLT167" s="102"/>
      <c r="MLU167" s="102"/>
      <c r="MLV167" s="102"/>
      <c r="MLW167" s="102"/>
      <c r="MLX167" s="102"/>
      <c r="MLY167" s="102"/>
      <c r="MLZ167" s="102"/>
      <c r="MMA167" s="102"/>
      <c r="MMB167" s="102"/>
      <c r="MMC167" s="102"/>
      <c r="MMD167" s="102"/>
      <c r="MME167" s="102"/>
      <c r="MMF167" s="102"/>
      <c r="MMG167" s="102"/>
      <c r="MMH167" s="102"/>
      <c r="MMI167" s="102"/>
      <c r="MMJ167" s="102"/>
      <c r="MMK167" s="102"/>
      <c r="MML167" s="102"/>
      <c r="MMM167" s="102"/>
      <c r="MMN167" s="102"/>
      <c r="MMO167" s="102"/>
      <c r="MMP167" s="102"/>
      <c r="MMQ167" s="102"/>
      <c r="MMR167" s="102"/>
      <c r="MMS167" s="102"/>
      <c r="MMT167" s="102"/>
      <c r="MMU167" s="102"/>
      <c r="MMV167" s="102"/>
      <c r="MMW167" s="102"/>
      <c r="MMX167" s="102"/>
      <c r="MMY167" s="102"/>
      <c r="MMZ167" s="102"/>
      <c r="MNA167" s="102"/>
      <c r="MNB167" s="102"/>
      <c r="MNC167" s="102"/>
      <c r="MND167" s="102"/>
      <c r="MNE167" s="102"/>
      <c r="MNF167" s="102"/>
      <c r="MNG167" s="102"/>
      <c r="MNH167" s="102"/>
      <c r="MNI167" s="102"/>
      <c r="MNJ167" s="102"/>
      <c r="MNK167" s="102"/>
      <c r="MNL167" s="102"/>
      <c r="MNM167" s="102"/>
      <c r="MNN167" s="102"/>
      <c r="MNO167" s="102"/>
      <c r="MNP167" s="102"/>
      <c r="MNQ167" s="102"/>
      <c r="MNR167" s="102"/>
      <c r="MNS167" s="102"/>
      <c r="MNT167" s="102"/>
      <c r="MNU167" s="102"/>
      <c r="MNV167" s="102"/>
      <c r="MNW167" s="102"/>
      <c r="MNX167" s="102"/>
      <c r="MNY167" s="102"/>
      <c r="MNZ167" s="102"/>
      <c r="MOA167" s="102"/>
      <c r="MOB167" s="102"/>
      <c r="MOC167" s="102"/>
      <c r="MOD167" s="102"/>
      <c r="MOE167" s="102"/>
      <c r="MOF167" s="102"/>
      <c r="MOG167" s="102"/>
      <c r="MOH167" s="102"/>
      <c r="MOI167" s="102"/>
      <c r="MOJ167" s="102"/>
      <c r="MOK167" s="102"/>
      <c r="MOL167" s="102"/>
      <c r="MOM167" s="102"/>
      <c r="MON167" s="102"/>
      <c r="MOO167" s="102"/>
      <c r="MOP167" s="102"/>
      <c r="MOQ167" s="102"/>
      <c r="MOR167" s="102"/>
      <c r="MOS167" s="102"/>
      <c r="MOT167" s="102"/>
      <c r="MOU167" s="102"/>
      <c r="MOV167" s="102"/>
      <c r="MOW167" s="102"/>
      <c r="MOX167" s="102"/>
      <c r="MOY167" s="102"/>
      <c r="MOZ167" s="102"/>
      <c r="MPA167" s="102"/>
      <c r="MPB167" s="102"/>
      <c r="MPC167" s="102"/>
      <c r="MPD167" s="102"/>
      <c r="MPE167" s="102"/>
      <c r="MPF167" s="102"/>
      <c r="MPG167" s="102"/>
      <c r="MPH167" s="102"/>
      <c r="MPI167" s="102"/>
      <c r="MPJ167" s="102"/>
      <c r="MPK167" s="102"/>
      <c r="MPL167" s="102"/>
      <c r="MPM167" s="102"/>
      <c r="MPN167" s="102"/>
      <c r="MPO167" s="102"/>
      <c r="MPP167" s="102"/>
      <c r="MPQ167" s="102"/>
      <c r="MPR167" s="102"/>
      <c r="MPS167" s="102"/>
      <c r="MPT167" s="102"/>
      <c r="MPU167" s="102"/>
      <c r="MPV167" s="102"/>
      <c r="MPW167" s="102"/>
      <c r="MPX167" s="102"/>
      <c r="MPY167" s="102"/>
      <c r="MPZ167" s="102"/>
      <c r="MQA167" s="102"/>
      <c r="MQB167" s="102"/>
      <c r="MQC167" s="102"/>
      <c r="MQD167" s="102"/>
      <c r="MQE167" s="102"/>
      <c r="MQF167" s="102"/>
      <c r="MQG167" s="102"/>
      <c r="MQH167" s="102"/>
      <c r="MQI167" s="102"/>
      <c r="MQJ167" s="102"/>
      <c r="MQK167" s="102"/>
      <c r="MQL167" s="102"/>
      <c r="MQM167" s="102"/>
      <c r="MQN167" s="102"/>
      <c r="MQO167" s="102"/>
      <c r="MQP167" s="102"/>
      <c r="MQQ167" s="102"/>
      <c r="MQR167" s="102"/>
      <c r="MQS167" s="102"/>
      <c r="MQT167" s="102"/>
      <c r="MQU167" s="102"/>
      <c r="MQV167" s="102"/>
      <c r="MQW167" s="102"/>
      <c r="MQX167" s="102"/>
      <c r="MQY167" s="102"/>
      <c r="MQZ167" s="102"/>
      <c r="MRA167" s="102"/>
      <c r="MRB167" s="102"/>
      <c r="MRC167" s="102"/>
      <c r="MRD167" s="102"/>
      <c r="MRE167" s="102"/>
      <c r="MRF167" s="102"/>
      <c r="MRG167" s="102"/>
      <c r="MRH167" s="102"/>
      <c r="MRI167" s="102"/>
      <c r="MRJ167" s="102"/>
      <c r="MRK167" s="102"/>
      <c r="MRL167" s="102"/>
      <c r="MRM167" s="102"/>
      <c r="MRN167" s="102"/>
      <c r="MRO167" s="102"/>
      <c r="MRP167" s="102"/>
      <c r="MRQ167" s="102"/>
      <c r="MRR167" s="102"/>
      <c r="MRS167" s="102"/>
      <c r="MRT167" s="102"/>
      <c r="MRU167" s="102"/>
      <c r="MRV167" s="102"/>
      <c r="MRW167" s="102"/>
      <c r="MRX167" s="102"/>
      <c r="MRY167" s="102"/>
      <c r="MRZ167" s="102"/>
      <c r="MSA167" s="102"/>
      <c r="MSB167" s="102"/>
      <c r="MSC167" s="102"/>
      <c r="MSD167" s="102"/>
      <c r="MSE167" s="102"/>
      <c r="MSF167" s="102"/>
      <c r="MSG167" s="102"/>
      <c r="MSH167" s="102"/>
      <c r="MSI167" s="102"/>
      <c r="MSJ167" s="102"/>
      <c r="MSK167" s="102"/>
      <c r="MSL167" s="102"/>
      <c r="MSM167" s="102"/>
      <c r="MSN167" s="102"/>
      <c r="MSO167" s="102"/>
      <c r="MSP167" s="102"/>
      <c r="MSQ167" s="102"/>
      <c r="MSR167" s="102"/>
      <c r="MSS167" s="102"/>
      <c r="MST167" s="102"/>
      <c r="MSU167" s="102"/>
      <c r="MSV167" s="102"/>
      <c r="MSW167" s="102"/>
      <c r="MSX167" s="102"/>
      <c r="MSY167" s="102"/>
      <c r="MSZ167" s="102"/>
      <c r="MTA167" s="102"/>
      <c r="MTB167" s="102"/>
      <c r="MTC167" s="102"/>
      <c r="MTD167" s="102"/>
      <c r="MTE167" s="102"/>
      <c r="MTF167" s="102"/>
      <c r="MTG167" s="102"/>
      <c r="MTH167" s="102"/>
      <c r="MTI167" s="102"/>
      <c r="MTJ167" s="102"/>
      <c r="MTK167" s="102"/>
      <c r="MTL167" s="102"/>
      <c r="MTM167" s="102"/>
      <c r="MTN167" s="102"/>
      <c r="MTO167" s="102"/>
      <c r="MTP167" s="102"/>
      <c r="MTQ167" s="102"/>
      <c r="MTR167" s="102"/>
      <c r="MTS167" s="102"/>
      <c r="MTT167" s="102"/>
      <c r="MTU167" s="102"/>
      <c r="MTV167" s="102"/>
      <c r="MTW167" s="102"/>
      <c r="MTX167" s="102"/>
      <c r="MTY167" s="102"/>
      <c r="MTZ167" s="102"/>
      <c r="MUA167" s="102"/>
      <c r="MUB167" s="102"/>
      <c r="MUC167" s="102"/>
      <c r="MUD167" s="102"/>
      <c r="MUE167" s="102"/>
      <c r="MUF167" s="102"/>
      <c r="MUG167" s="102"/>
      <c r="MUH167" s="102"/>
      <c r="MUI167" s="102"/>
      <c r="MUJ167" s="102"/>
      <c r="MUK167" s="102"/>
      <c r="MUL167" s="102"/>
      <c r="MUM167" s="102"/>
      <c r="MUN167" s="102"/>
      <c r="MUO167" s="102"/>
      <c r="MUP167" s="102"/>
      <c r="MUQ167" s="102"/>
      <c r="MUR167" s="102"/>
      <c r="MUS167" s="102"/>
      <c r="MUT167" s="102"/>
      <c r="MUU167" s="102"/>
      <c r="MUV167" s="102"/>
      <c r="MUW167" s="102"/>
      <c r="MUX167" s="102"/>
      <c r="MUY167" s="102"/>
      <c r="MUZ167" s="102"/>
      <c r="MVA167" s="102"/>
      <c r="MVB167" s="102"/>
      <c r="MVC167" s="102"/>
      <c r="MVD167" s="102"/>
      <c r="MVE167" s="102"/>
      <c r="MVF167" s="102"/>
      <c r="MVG167" s="102"/>
      <c r="MVH167" s="102"/>
      <c r="MVI167" s="102"/>
      <c r="MVJ167" s="102"/>
      <c r="MVK167" s="102"/>
      <c r="MVL167" s="102"/>
      <c r="MVM167" s="102"/>
      <c r="MVN167" s="102"/>
      <c r="MVO167" s="102"/>
      <c r="MVP167" s="102"/>
      <c r="MVQ167" s="102"/>
      <c r="MVR167" s="102"/>
      <c r="MVS167" s="102"/>
      <c r="MVT167" s="102"/>
      <c r="MVU167" s="102"/>
      <c r="MVV167" s="102"/>
      <c r="MVW167" s="102"/>
      <c r="MVX167" s="102"/>
      <c r="MVY167" s="102"/>
      <c r="MVZ167" s="102"/>
      <c r="MWA167" s="102"/>
      <c r="MWB167" s="102"/>
      <c r="MWC167" s="102"/>
      <c r="MWD167" s="102"/>
      <c r="MWE167" s="102"/>
      <c r="MWF167" s="102"/>
      <c r="MWG167" s="102"/>
      <c r="MWH167" s="102"/>
      <c r="MWI167" s="102"/>
      <c r="MWJ167" s="102"/>
      <c r="MWK167" s="102"/>
      <c r="MWL167" s="102"/>
      <c r="MWM167" s="102"/>
      <c r="MWN167" s="102"/>
      <c r="MWO167" s="102"/>
      <c r="MWP167" s="102"/>
      <c r="MWQ167" s="102"/>
      <c r="MWR167" s="102"/>
      <c r="MWS167" s="102"/>
      <c r="MWT167" s="102"/>
      <c r="MWU167" s="102"/>
      <c r="MWV167" s="102"/>
      <c r="MWW167" s="102"/>
      <c r="MWX167" s="102"/>
      <c r="MWY167" s="102"/>
      <c r="MWZ167" s="102"/>
      <c r="MXA167" s="102"/>
      <c r="MXB167" s="102"/>
      <c r="MXC167" s="102"/>
      <c r="MXD167" s="102"/>
      <c r="MXE167" s="102"/>
      <c r="MXF167" s="102"/>
      <c r="MXG167" s="102"/>
      <c r="MXH167" s="102"/>
      <c r="MXI167" s="102"/>
      <c r="MXJ167" s="102"/>
      <c r="MXK167" s="102"/>
      <c r="MXL167" s="102"/>
      <c r="MXM167" s="102"/>
      <c r="MXN167" s="102"/>
      <c r="MXO167" s="102"/>
      <c r="MXP167" s="102"/>
      <c r="MXQ167" s="102"/>
      <c r="MXR167" s="102"/>
      <c r="MXS167" s="102"/>
      <c r="MXT167" s="102"/>
      <c r="MXU167" s="102"/>
      <c r="MXV167" s="102"/>
      <c r="MXW167" s="102"/>
      <c r="MXX167" s="102"/>
      <c r="MXY167" s="102"/>
      <c r="MXZ167" s="102"/>
      <c r="MYA167" s="102"/>
      <c r="MYB167" s="102"/>
      <c r="MYC167" s="102"/>
      <c r="MYD167" s="102"/>
      <c r="MYE167" s="102"/>
      <c r="MYF167" s="102"/>
      <c r="MYG167" s="102"/>
      <c r="MYH167" s="102"/>
      <c r="MYI167" s="102"/>
      <c r="MYJ167" s="102"/>
      <c r="MYK167" s="102"/>
      <c r="MYL167" s="102"/>
      <c r="MYM167" s="102"/>
      <c r="MYN167" s="102"/>
      <c r="MYO167" s="102"/>
      <c r="MYP167" s="102"/>
      <c r="MYQ167" s="102"/>
      <c r="MYR167" s="102"/>
      <c r="MYS167" s="102"/>
      <c r="MYT167" s="102"/>
      <c r="MYU167" s="102"/>
      <c r="MYV167" s="102"/>
      <c r="MYW167" s="102"/>
      <c r="MYX167" s="102"/>
      <c r="MYY167" s="102"/>
      <c r="MYZ167" s="102"/>
      <c r="MZA167" s="102"/>
      <c r="MZB167" s="102"/>
      <c r="MZC167" s="102"/>
      <c r="MZD167" s="102"/>
      <c r="MZE167" s="102"/>
      <c r="MZF167" s="102"/>
      <c r="MZG167" s="102"/>
      <c r="MZH167" s="102"/>
      <c r="MZI167" s="102"/>
      <c r="MZJ167" s="102"/>
      <c r="MZK167" s="102"/>
      <c r="MZL167" s="102"/>
      <c r="MZM167" s="102"/>
      <c r="MZN167" s="102"/>
      <c r="MZO167" s="102"/>
      <c r="MZP167" s="102"/>
      <c r="MZQ167" s="102"/>
      <c r="MZR167" s="102"/>
      <c r="MZS167" s="102"/>
      <c r="MZT167" s="102"/>
      <c r="MZU167" s="102"/>
      <c r="MZV167" s="102"/>
      <c r="MZW167" s="102"/>
      <c r="MZX167" s="102"/>
      <c r="MZY167" s="102"/>
      <c r="MZZ167" s="102"/>
      <c r="NAA167" s="102"/>
      <c r="NAB167" s="102"/>
      <c r="NAC167" s="102"/>
      <c r="NAD167" s="102"/>
      <c r="NAE167" s="102"/>
      <c r="NAF167" s="102"/>
      <c r="NAG167" s="102"/>
      <c r="NAH167" s="102"/>
      <c r="NAI167" s="102"/>
      <c r="NAJ167" s="102"/>
      <c r="NAK167" s="102"/>
      <c r="NAL167" s="102"/>
      <c r="NAM167" s="102"/>
      <c r="NAN167" s="102"/>
      <c r="NAO167" s="102"/>
      <c r="NAP167" s="102"/>
      <c r="NAQ167" s="102"/>
      <c r="NAR167" s="102"/>
      <c r="NAS167" s="102"/>
      <c r="NAT167" s="102"/>
      <c r="NAU167" s="102"/>
      <c r="NAV167" s="102"/>
      <c r="NAW167" s="102"/>
      <c r="NAX167" s="102"/>
      <c r="NAY167" s="102"/>
      <c r="NAZ167" s="102"/>
      <c r="NBA167" s="102"/>
      <c r="NBB167" s="102"/>
      <c r="NBC167" s="102"/>
      <c r="NBD167" s="102"/>
      <c r="NBE167" s="102"/>
      <c r="NBF167" s="102"/>
      <c r="NBG167" s="102"/>
      <c r="NBH167" s="102"/>
      <c r="NBI167" s="102"/>
      <c r="NBJ167" s="102"/>
      <c r="NBK167" s="102"/>
      <c r="NBL167" s="102"/>
      <c r="NBM167" s="102"/>
      <c r="NBN167" s="102"/>
      <c r="NBO167" s="102"/>
      <c r="NBP167" s="102"/>
      <c r="NBQ167" s="102"/>
      <c r="NBR167" s="102"/>
      <c r="NBS167" s="102"/>
      <c r="NBT167" s="102"/>
      <c r="NBU167" s="102"/>
      <c r="NBV167" s="102"/>
      <c r="NBW167" s="102"/>
      <c r="NBX167" s="102"/>
      <c r="NBY167" s="102"/>
      <c r="NBZ167" s="102"/>
      <c r="NCA167" s="102"/>
      <c r="NCB167" s="102"/>
      <c r="NCC167" s="102"/>
      <c r="NCD167" s="102"/>
      <c r="NCE167" s="102"/>
      <c r="NCF167" s="102"/>
      <c r="NCG167" s="102"/>
      <c r="NCH167" s="102"/>
      <c r="NCI167" s="102"/>
      <c r="NCJ167" s="102"/>
      <c r="NCK167" s="102"/>
      <c r="NCL167" s="102"/>
      <c r="NCM167" s="102"/>
      <c r="NCN167" s="102"/>
      <c r="NCO167" s="102"/>
      <c r="NCP167" s="102"/>
      <c r="NCQ167" s="102"/>
      <c r="NCR167" s="102"/>
      <c r="NCS167" s="102"/>
      <c r="NCT167" s="102"/>
      <c r="NCU167" s="102"/>
      <c r="NCV167" s="102"/>
      <c r="NCW167" s="102"/>
      <c r="NCX167" s="102"/>
      <c r="NCY167" s="102"/>
      <c r="NCZ167" s="102"/>
      <c r="NDA167" s="102"/>
      <c r="NDB167" s="102"/>
      <c r="NDC167" s="102"/>
      <c r="NDD167" s="102"/>
      <c r="NDE167" s="102"/>
      <c r="NDF167" s="102"/>
      <c r="NDG167" s="102"/>
      <c r="NDH167" s="102"/>
      <c r="NDI167" s="102"/>
      <c r="NDJ167" s="102"/>
      <c r="NDK167" s="102"/>
      <c r="NDL167" s="102"/>
      <c r="NDM167" s="102"/>
      <c r="NDN167" s="102"/>
      <c r="NDO167" s="102"/>
      <c r="NDP167" s="102"/>
      <c r="NDQ167" s="102"/>
      <c r="NDR167" s="102"/>
      <c r="NDS167" s="102"/>
      <c r="NDT167" s="102"/>
      <c r="NDU167" s="102"/>
      <c r="NDV167" s="102"/>
      <c r="NDW167" s="102"/>
      <c r="NDX167" s="102"/>
      <c r="NDY167" s="102"/>
      <c r="NDZ167" s="102"/>
      <c r="NEA167" s="102"/>
      <c r="NEB167" s="102"/>
      <c r="NEC167" s="102"/>
      <c r="NED167" s="102"/>
      <c r="NEE167" s="102"/>
      <c r="NEF167" s="102"/>
      <c r="NEG167" s="102"/>
      <c r="NEH167" s="102"/>
      <c r="NEI167" s="102"/>
      <c r="NEJ167" s="102"/>
      <c r="NEK167" s="102"/>
      <c r="NEL167" s="102"/>
      <c r="NEM167" s="102"/>
      <c r="NEN167" s="102"/>
      <c r="NEO167" s="102"/>
      <c r="NEP167" s="102"/>
      <c r="NEQ167" s="102"/>
      <c r="NER167" s="102"/>
      <c r="NES167" s="102"/>
      <c r="NET167" s="102"/>
      <c r="NEU167" s="102"/>
      <c r="NEV167" s="102"/>
      <c r="NEW167" s="102"/>
      <c r="NEX167" s="102"/>
      <c r="NEY167" s="102"/>
      <c r="NEZ167" s="102"/>
      <c r="NFA167" s="102"/>
      <c r="NFB167" s="102"/>
      <c r="NFC167" s="102"/>
      <c r="NFD167" s="102"/>
      <c r="NFE167" s="102"/>
      <c r="NFF167" s="102"/>
      <c r="NFG167" s="102"/>
      <c r="NFH167" s="102"/>
      <c r="NFI167" s="102"/>
      <c r="NFJ167" s="102"/>
      <c r="NFK167" s="102"/>
      <c r="NFL167" s="102"/>
      <c r="NFM167" s="102"/>
      <c r="NFN167" s="102"/>
      <c r="NFO167" s="102"/>
      <c r="NFP167" s="102"/>
      <c r="NFQ167" s="102"/>
      <c r="NFR167" s="102"/>
      <c r="NFS167" s="102"/>
      <c r="NFT167" s="102"/>
      <c r="NFU167" s="102"/>
      <c r="NFV167" s="102"/>
      <c r="NFW167" s="102"/>
      <c r="NFX167" s="102"/>
      <c r="NFY167" s="102"/>
      <c r="NFZ167" s="102"/>
      <c r="NGA167" s="102"/>
      <c r="NGB167" s="102"/>
      <c r="NGC167" s="102"/>
      <c r="NGD167" s="102"/>
      <c r="NGE167" s="102"/>
      <c r="NGF167" s="102"/>
      <c r="NGG167" s="102"/>
      <c r="NGH167" s="102"/>
      <c r="NGI167" s="102"/>
      <c r="NGJ167" s="102"/>
      <c r="NGK167" s="102"/>
      <c r="NGL167" s="102"/>
      <c r="NGM167" s="102"/>
      <c r="NGN167" s="102"/>
      <c r="NGO167" s="102"/>
      <c r="NGP167" s="102"/>
      <c r="NGQ167" s="102"/>
      <c r="NGR167" s="102"/>
      <c r="NGS167" s="102"/>
      <c r="NGT167" s="102"/>
      <c r="NGU167" s="102"/>
      <c r="NGV167" s="102"/>
      <c r="NGW167" s="102"/>
      <c r="NGX167" s="102"/>
      <c r="NGY167" s="102"/>
      <c r="NGZ167" s="102"/>
      <c r="NHA167" s="102"/>
      <c r="NHB167" s="102"/>
      <c r="NHC167" s="102"/>
      <c r="NHD167" s="102"/>
      <c r="NHE167" s="102"/>
      <c r="NHF167" s="102"/>
      <c r="NHG167" s="102"/>
      <c r="NHH167" s="102"/>
      <c r="NHI167" s="102"/>
      <c r="NHJ167" s="102"/>
      <c r="NHK167" s="102"/>
      <c r="NHL167" s="102"/>
      <c r="NHM167" s="102"/>
      <c r="NHN167" s="102"/>
      <c r="NHO167" s="102"/>
      <c r="NHP167" s="102"/>
      <c r="NHQ167" s="102"/>
      <c r="NHR167" s="102"/>
      <c r="NHS167" s="102"/>
      <c r="NHT167" s="102"/>
      <c r="NHU167" s="102"/>
      <c r="NHV167" s="102"/>
      <c r="NHW167" s="102"/>
      <c r="NHX167" s="102"/>
      <c r="NHY167" s="102"/>
      <c r="NHZ167" s="102"/>
      <c r="NIA167" s="102"/>
      <c r="NIB167" s="102"/>
      <c r="NIC167" s="102"/>
      <c r="NID167" s="102"/>
      <c r="NIE167" s="102"/>
      <c r="NIF167" s="102"/>
      <c r="NIG167" s="102"/>
      <c r="NIH167" s="102"/>
      <c r="NII167" s="102"/>
      <c r="NIJ167" s="102"/>
      <c r="NIK167" s="102"/>
      <c r="NIL167" s="102"/>
      <c r="NIM167" s="102"/>
      <c r="NIN167" s="102"/>
      <c r="NIO167" s="102"/>
      <c r="NIP167" s="102"/>
      <c r="NIQ167" s="102"/>
      <c r="NIR167" s="102"/>
      <c r="NIS167" s="102"/>
      <c r="NIT167" s="102"/>
      <c r="NIU167" s="102"/>
      <c r="NIV167" s="102"/>
      <c r="NIW167" s="102"/>
      <c r="NIX167" s="102"/>
      <c r="NIY167" s="102"/>
      <c r="NIZ167" s="102"/>
      <c r="NJA167" s="102"/>
      <c r="NJB167" s="102"/>
      <c r="NJC167" s="102"/>
      <c r="NJD167" s="102"/>
      <c r="NJE167" s="102"/>
      <c r="NJF167" s="102"/>
      <c r="NJG167" s="102"/>
      <c r="NJH167" s="102"/>
      <c r="NJI167" s="102"/>
      <c r="NJJ167" s="102"/>
      <c r="NJK167" s="102"/>
      <c r="NJL167" s="102"/>
      <c r="NJM167" s="102"/>
      <c r="NJN167" s="102"/>
      <c r="NJO167" s="102"/>
      <c r="NJP167" s="102"/>
      <c r="NJQ167" s="102"/>
      <c r="NJR167" s="102"/>
      <c r="NJS167" s="102"/>
      <c r="NJT167" s="102"/>
      <c r="NJU167" s="102"/>
      <c r="NJV167" s="102"/>
      <c r="NJW167" s="102"/>
      <c r="NJX167" s="102"/>
      <c r="NJY167" s="102"/>
      <c r="NJZ167" s="102"/>
      <c r="NKA167" s="102"/>
      <c r="NKB167" s="102"/>
      <c r="NKC167" s="102"/>
      <c r="NKD167" s="102"/>
      <c r="NKE167" s="102"/>
      <c r="NKF167" s="102"/>
      <c r="NKG167" s="102"/>
      <c r="NKH167" s="102"/>
      <c r="NKI167" s="102"/>
      <c r="NKJ167" s="102"/>
      <c r="NKK167" s="102"/>
      <c r="NKL167" s="102"/>
      <c r="NKM167" s="102"/>
      <c r="NKN167" s="102"/>
      <c r="NKO167" s="102"/>
      <c r="NKP167" s="102"/>
      <c r="NKQ167" s="102"/>
      <c r="NKR167" s="102"/>
      <c r="NKS167" s="102"/>
      <c r="NKT167" s="102"/>
      <c r="NKU167" s="102"/>
      <c r="NKV167" s="102"/>
      <c r="NKW167" s="102"/>
      <c r="NKX167" s="102"/>
      <c r="NKY167" s="102"/>
      <c r="NKZ167" s="102"/>
      <c r="NLA167" s="102"/>
      <c r="NLB167" s="102"/>
      <c r="NLC167" s="102"/>
      <c r="NLD167" s="102"/>
      <c r="NLE167" s="102"/>
      <c r="NLF167" s="102"/>
      <c r="NLG167" s="102"/>
      <c r="NLH167" s="102"/>
      <c r="NLI167" s="102"/>
      <c r="NLJ167" s="102"/>
      <c r="NLK167" s="102"/>
      <c r="NLL167" s="102"/>
      <c r="NLM167" s="102"/>
      <c r="NLN167" s="102"/>
      <c r="NLO167" s="102"/>
      <c r="NLP167" s="102"/>
      <c r="NLQ167" s="102"/>
      <c r="NLR167" s="102"/>
      <c r="NLS167" s="102"/>
      <c r="NLT167" s="102"/>
      <c r="NLU167" s="102"/>
      <c r="NLV167" s="102"/>
      <c r="NLW167" s="102"/>
      <c r="NLX167" s="102"/>
      <c r="NLY167" s="102"/>
      <c r="NLZ167" s="102"/>
      <c r="NMA167" s="102"/>
      <c r="NMB167" s="102"/>
      <c r="NMC167" s="102"/>
      <c r="NMD167" s="102"/>
      <c r="NME167" s="102"/>
      <c r="NMF167" s="102"/>
      <c r="NMG167" s="102"/>
      <c r="NMH167" s="102"/>
      <c r="NMI167" s="102"/>
      <c r="NMJ167" s="102"/>
      <c r="NMK167" s="102"/>
      <c r="NML167" s="102"/>
      <c r="NMM167" s="102"/>
      <c r="NMN167" s="102"/>
      <c r="NMO167" s="102"/>
      <c r="NMP167" s="102"/>
      <c r="NMQ167" s="102"/>
      <c r="NMR167" s="102"/>
      <c r="NMS167" s="102"/>
      <c r="NMT167" s="102"/>
      <c r="NMU167" s="102"/>
      <c r="NMV167" s="102"/>
      <c r="NMW167" s="102"/>
      <c r="NMX167" s="102"/>
      <c r="NMY167" s="102"/>
      <c r="NMZ167" s="102"/>
      <c r="NNA167" s="102"/>
      <c r="NNB167" s="102"/>
      <c r="NNC167" s="102"/>
      <c r="NND167" s="102"/>
      <c r="NNE167" s="102"/>
      <c r="NNF167" s="102"/>
      <c r="NNG167" s="102"/>
      <c r="NNH167" s="102"/>
      <c r="NNI167" s="102"/>
      <c r="NNJ167" s="102"/>
      <c r="NNK167" s="102"/>
      <c r="NNL167" s="102"/>
      <c r="NNM167" s="102"/>
      <c r="NNN167" s="102"/>
      <c r="NNO167" s="102"/>
      <c r="NNP167" s="102"/>
      <c r="NNQ167" s="102"/>
      <c r="NNR167" s="102"/>
      <c r="NNS167" s="102"/>
      <c r="NNT167" s="102"/>
      <c r="NNU167" s="102"/>
      <c r="NNV167" s="102"/>
      <c r="NNW167" s="102"/>
      <c r="NNX167" s="102"/>
      <c r="NNY167" s="102"/>
      <c r="NNZ167" s="102"/>
      <c r="NOA167" s="102"/>
      <c r="NOB167" s="102"/>
      <c r="NOC167" s="102"/>
      <c r="NOD167" s="102"/>
      <c r="NOE167" s="102"/>
      <c r="NOF167" s="102"/>
      <c r="NOG167" s="102"/>
      <c r="NOH167" s="102"/>
      <c r="NOI167" s="102"/>
      <c r="NOJ167" s="102"/>
      <c r="NOK167" s="102"/>
      <c r="NOL167" s="102"/>
      <c r="NOM167" s="102"/>
      <c r="NON167" s="102"/>
      <c r="NOO167" s="102"/>
      <c r="NOP167" s="102"/>
      <c r="NOQ167" s="102"/>
      <c r="NOR167" s="102"/>
      <c r="NOS167" s="102"/>
      <c r="NOT167" s="102"/>
      <c r="NOU167" s="102"/>
      <c r="NOV167" s="102"/>
      <c r="NOW167" s="102"/>
      <c r="NOX167" s="102"/>
      <c r="NOY167" s="102"/>
      <c r="NOZ167" s="102"/>
      <c r="NPA167" s="102"/>
      <c r="NPB167" s="102"/>
      <c r="NPC167" s="102"/>
      <c r="NPD167" s="102"/>
      <c r="NPE167" s="102"/>
      <c r="NPF167" s="102"/>
      <c r="NPG167" s="102"/>
      <c r="NPH167" s="102"/>
      <c r="NPI167" s="102"/>
      <c r="NPJ167" s="102"/>
      <c r="NPK167" s="102"/>
      <c r="NPL167" s="102"/>
      <c r="NPM167" s="102"/>
      <c r="NPN167" s="102"/>
      <c r="NPO167" s="102"/>
      <c r="NPP167" s="102"/>
      <c r="NPQ167" s="102"/>
      <c r="NPR167" s="102"/>
      <c r="NPS167" s="102"/>
      <c r="NPT167" s="102"/>
      <c r="NPU167" s="102"/>
      <c r="NPV167" s="102"/>
      <c r="NPW167" s="102"/>
      <c r="NPX167" s="102"/>
      <c r="NPY167" s="102"/>
      <c r="NPZ167" s="102"/>
      <c r="NQA167" s="102"/>
      <c r="NQB167" s="102"/>
      <c r="NQC167" s="102"/>
      <c r="NQD167" s="102"/>
      <c r="NQE167" s="102"/>
      <c r="NQF167" s="102"/>
      <c r="NQG167" s="102"/>
      <c r="NQH167" s="102"/>
      <c r="NQI167" s="102"/>
      <c r="NQJ167" s="102"/>
      <c r="NQK167" s="102"/>
      <c r="NQL167" s="102"/>
      <c r="NQM167" s="102"/>
      <c r="NQN167" s="102"/>
      <c r="NQO167" s="102"/>
      <c r="NQP167" s="102"/>
      <c r="NQQ167" s="102"/>
      <c r="NQR167" s="102"/>
      <c r="NQS167" s="102"/>
      <c r="NQT167" s="102"/>
      <c r="NQU167" s="102"/>
      <c r="NQV167" s="102"/>
      <c r="NQW167" s="102"/>
      <c r="NQX167" s="102"/>
      <c r="NQY167" s="102"/>
      <c r="NQZ167" s="102"/>
      <c r="NRA167" s="102"/>
      <c r="NRB167" s="102"/>
      <c r="NRC167" s="102"/>
      <c r="NRD167" s="102"/>
      <c r="NRE167" s="102"/>
      <c r="NRF167" s="102"/>
      <c r="NRG167" s="102"/>
      <c r="NRH167" s="102"/>
      <c r="NRI167" s="102"/>
      <c r="NRJ167" s="102"/>
      <c r="NRK167" s="102"/>
      <c r="NRL167" s="102"/>
      <c r="NRM167" s="102"/>
      <c r="NRN167" s="102"/>
      <c r="NRO167" s="102"/>
      <c r="NRP167" s="102"/>
      <c r="NRQ167" s="102"/>
      <c r="NRR167" s="102"/>
      <c r="NRS167" s="102"/>
      <c r="NRT167" s="102"/>
      <c r="NRU167" s="102"/>
      <c r="NRV167" s="102"/>
      <c r="NRW167" s="102"/>
      <c r="NRX167" s="102"/>
      <c r="NRY167" s="102"/>
      <c r="NRZ167" s="102"/>
      <c r="NSA167" s="102"/>
      <c r="NSB167" s="102"/>
      <c r="NSC167" s="102"/>
      <c r="NSD167" s="102"/>
      <c r="NSE167" s="102"/>
      <c r="NSF167" s="102"/>
      <c r="NSG167" s="102"/>
      <c r="NSH167" s="102"/>
      <c r="NSI167" s="102"/>
      <c r="NSJ167" s="102"/>
      <c r="NSK167" s="102"/>
      <c r="NSL167" s="102"/>
      <c r="NSM167" s="102"/>
      <c r="NSN167" s="102"/>
      <c r="NSO167" s="102"/>
      <c r="NSP167" s="102"/>
      <c r="NSQ167" s="102"/>
      <c r="NSR167" s="102"/>
      <c r="NSS167" s="102"/>
      <c r="NST167" s="102"/>
      <c r="NSU167" s="102"/>
      <c r="NSV167" s="102"/>
      <c r="NSW167" s="102"/>
      <c r="NSX167" s="102"/>
      <c r="NSY167" s="102"/>
      <c r="NSZ167" s="102"/>
      <c r="NTA167" s="102"/>
      <c r="NTB167" s="102"/>
      <c r="NTC167" s="102"/>
      <c r="NTD167" s="102"/>
      <c r="NTE167" s="102"/>
      <c r="NTF167" s="102"/>
      <c r="NTG167" s="102"/>
      <c r="NTH167" s="102"/>
      <c r="NTI167" s="102"/>
      <c r="NTJ167" s="102"/>
      <c r="NTK167" s="102"/>
      <c r="NTL167" s="102"/>
      <c r="NTM167" s="102"/>
      <c r="NTN167" s="102"/>
      <c r="NTO167" s="102"/>
      <c r="NTP167" s="102"/>
      <c r="NTQ167" s="102"/>
      <c r="NTR167" s="102"/>
      <c r="NTS167" s="102"/>
      <c r="NTT167" s="102"/>
      <c r="NTU167" s="102"/>
      <c r="NTV167" s="102"/>
      <c r="NTW167" s="102"/>
      <c r="NTX167" s="102"/>
      <c r="NTY167" s="102"/>
      <c r="NTZ167" s="102"/>
      <c r="NUA167" s="102"/>
      <c r="NUB167" s="102"/>
      <c r="NUC167" s="102"/>
      <c r="NUD167" s="102"/>
      <c r="NUE167" s="102"/>
      <c r="NUF167" s="102"/>
      <c r="NUG167" s="102"/>
      <c r="NUH167" s="102"/>
      <c r="NUI167" s="102"/>
      <c r="NUJ167" s="102"/>
      <c r="NUK167" s="102"/>
      <c r="NUL167" s="102"/>
      <c r="NUM167" s="102"/>
      <c r="NUN167" s="102"/>
      <c r="NUO167" s="102"/>
      <c r="NUP167" s="102"/>
      <c r="NUQ167" s="102"/>
      <c r="NUR167" s="102"/>
      <c r="NUS167" s="102"/>
      <c r="NUT167" s="102"/>
      <c r="NUU167" s="102"/>
      <c r="NUV167" s="102"/>
      <c r="NUW167" s="102"/>
      <c r="NUX167" s="102"/>
      <c r="NUY167" s="102"/>
      <c r="NUZ167" s="102"/>
      <c r="NVA167" s="102"/>
      <c r="NVB167" s="102"/>
      <c r="NVC167" s="102"/>
      <c r="NVD167" s="102"/>
      <c r="NVE167" s="102"/>
      <c r="NVF167" s="102"/>
      <c r="NVG167" s="102"/>
      <c r="NVH167" s="102"/>
      <c r="NVI167" s="102"/>
      <c r="NVJ167" s="102"/>
      <c r="NVK167" s="102"/>
      <c r="NVL167" s="102"/>
      <c r="NVM167" s="102"/>
      <c r="NVN167" s="102"/>
      <c r="NVO167" s="102"/>
      <c r="NVP167" s="102"/>
      <c r="NVQ167" s="102"/>
      <c r="NVR167" s="102"/>
      <c r="NVS167" s="102"/>
      <c r="NVT167" s="102"/>
      <c r="NVU167" s="102"/>
      <c r="NVV167" s="102"/>
      <c r="NVW167" s="102"/>
      <c r="NVX167" s="102"/>
      <c r="NVY167" s="102"/>
      <c r="NVZ167" s="102"/>
      <c r="NWA167" s="102"/>
      <c r="NWB167" s="102"/>
      <c r="NWC167" s="102"/>
      <c r="NWD167" s="102"/>
      <c r="NWE167" s="102"/>
      <c r="NWF167" s="102"/>
      <c r="NWG167" s="102"/>
      <c r="NWH167" s="102"/>
      <c r="NWI167" s="102"/>
      <c r="NWJ167" s="102"/>
      <c r="NWK167" s="102"/>
      <c r="NWL167" s="102"/>
      <c r="NWM167" s="102"/>
      <c r="NWN167" s="102"/>
      <c r="NWO167" s="102"/>
      <c r="NWP167" s="102"/>
      <c r="NWQ167" s="102"/>
      <c r="NWR167" s="102"/>
      <c r="NWS167" s="102"/>
      <c r="NWT167" s="102"/>
      <c r="NWU167" s="102"/>
      <c r="NWV167" s="102"/>
      <c r="NWW167" s="102"/>
      <c r="NWX167" s="102"/>
      <c r="NWY167" s="102"/>
      <c r="NWZ167" s="102"/>
      <c r="NXA167" s="102"/>
      <c r="NXB167" s="102"/>
      <c r="NXC167" s="102"/>
      <c r="NXD167" s="102"/>
      <c r="NXE167" s="102"/>
      <c r="NXF167" s="102"/>
      <c r="NXG167" s="102"/>
      <c r="NXH167" s="102"/>
      <c r="NXI167" s="102"/>
      <c r="NXJ167" s="102"/>
      <c r="NXK167" s="102"/>
      <c r="NXL167" s="102"/>
      <c r="NXM167" s="102"/>
      <c r="NXN167" s="102"/>
      <c r="NXO167" s="102"/>
      <c r="NXP167" s="102"/>
      <c r="NXQ167" s="102"/>
      <c r="NXR167" s="102"/>
      <c r="NXS167" s="102"/>
      <c r="NXT167" s="102"/>
      <c r="NXU167" s="102"/>
      <c r="NXV167" s="102"/>
      <c r="NXW167" s="102"/>
      <c r="NXX167" s="102"/>
      <c r="NXY167" s="102"/>
      <c r="NXZ167" s="102"/>
      <c r="NYA167" s="102"/>
      <c r="NYB167" s="102"/>
      <c r="NYC167" s="102"/>
      <c r="NYD167" s="102"/>
      <c r="NYE167" s="102"/>
      <c r="NYF167" s="102"/>
      <c r="NYG167" s="102"/>
      <c r="NYH167" s="102"/>
      <c r="NYI167" s="102"/>
      <c r="NYJ167" s="102"/>
      <c r="NYK167" s="102"/>
      <c r="NYL167" s="102"/>
      <c r="NYM167" s="102"/>
      <c r="NYN167" s="102"/>
      <c r="NYO167" s="102"/>
      <c r="NYP167" s="102"/>
      <c r="NYQ167" s="102"/>
      <c r="NYR167" s="102"/>
      <c r="NYS167" s="102"/>
      <c r="NYT167" s="102"/>
      <c r="NYU167" s="102"/>
      <c r="NYV167" s="102"/>
      <c r="NYW167" s="102"/>
      <c r="NYX167" s="102"/>
      <c r="NYY167" s="102"/>
      <c r="NYZ167" s="102"/>
      <c r="NZA167" s="102"/>
      <c r="NZB167" s="102"/>
      <c r="NZC167" s="102"/>
      <c r="NZD167" s="102"/>
      <c r="NZE167" s="102"/>
      <c r="NZF167" s="102"/>
      <c r="NZG167" s="102"/>
      <c r="NZH167" s="102"/>
      <c r="NZI167" s="102"/>
      <c r="NZJ167" s="102"/>
      <c r="NZK167" s="102"/>
      <c r="NZL167" s="102"/>
      <c r="NZM167" s="102"/>
      <c r="NZN167" s="102"/>
      <c r="NZO167" s="102"/>
      <c r="NZP167" s="102"/>
      <c r="NZQ167" s="102"/>
      <c r="NZR167" s="102"/>
      <c r="NZS167" s="102"/>
      <c r="NZT167" s="102"/>
      <c r="NZU167" s="102"/>
      <c r="NZV167" s="102"/>
      <c r="NZW167" s="102"/>
      <c r="NZX167" s="102"/>
      <c r="NZY167" s="102"/>
      <c r="NZZ167" s="102"/>
      <c r="OAA167" s="102"/>
      <c r="OAB167" s="102"/>
      <c r="OAC167" s="102"/>
      <c r="OAD167" s="102"/>
      <c r="OAE167" s="102"/>
      <c r="OAF167" s="102"/>
      <c r="OAG167" s="102"/>
      <c r="OAH167" s="102"/>
      <c r="OAI167" s="102"/>
      <c r="OAJ167" s="102"/>
      <c r="OAK167" s="102"/>
      <c r="OAL167" s="102"/>
      <c r="OAM167" s="102"/>
      <c r="OAN167" s="102"/>
      <c r="OAO167" s="102"/>
      <c r="OAP167" s="102"/>
      <c r="OAQ167" s="102"/>
      <c r="OAR167" s="102"/>
      <c r="OAS167" s="102"/>
      <c r="OAT167" s="102"/>
      <c r="OAU167" s="102"/>
      <c r="OAV167" s="102"/>
      <c r="OAW167" s="102"/>
      <c r="OAX167" s="102"/>
      <c r="OAY167" s="102"/>
      <c r="OAZ167" s="102"/>
      <c r="OBA167" s="102"/>
      <c r="OBB167" s="102"/>
      <c r="OBC167" s="102"/>
      <c r="OBD167" s="102"/>
      <c r="OBE167" s="102"/>
      <c r="OBF167" s="102"/>
      <c r="OBG167" s="102"/>
      <c r="OBH167" s="102"/>
      <c r="OBI167" s="102"/>
      <c r="OBJ167" s="102"/>
      <c r="OBK167" s="102"/>
      <c r="OBL167" s="102"/>
      <c r="OBM167" s="102"/>
      <c r="OBN167" s="102"/>
      <c r="OBO167" s="102"/>
      <c r="OBP167" s="102"/>
      <c r="OBQ167" s="102"/>
      <c r="OBR167" s="102"/>
      <c r="OBS167" s="102"/>
      <c r="OBT167" s="102"/>
      <c r="OBU167" s="102"/>
      <c r="OBV167" s="102"/>
      <c r="OBW167" s="102"/>
      <c r="OBX167" s="102"/>
      <c r="OBY167" s="102"/>
      <c r="OBZ167" s="102"/>
      <c r="OCA167" s="102"/>
      <c r="OCB167" s="102"/>
      <c r="OCC167" s="102"/>
      <c r="OCD167" s="102"/>
      <c r="OCE167" s="102"/>
      <c r="OCF167" s="102"/>
      <c r="OCG167" s="102"/>
      <c r="OCH167" s="102"/>
      <c r="OCI167" s="102"/>
      <c r="OCJ167" s="102"/>
      <c r="OCK167" s="102"/>
      <c r="OCL167" s="102"/>
      <c r="OCM167" s="102"/>
      <c r="OCN167" s="102"/>
      <c r="OCO167" s="102"/>
      <c r="OCP167" s="102"/>
      <c r="OCQ167" s="102"/>
      <c r="OCR167" s="102"/>
      <c r="OCS167" s="102"/>
      <c r="OCT167" s="102"/>
      <c r="OCU167" s="102"/>
      <c r="OCV167" s="102"/>
      <c r="OCW167" s="102"/>
      <c r="OCX167" s="102"/>
      <c r="OCY167" s="102"/>
      <c r="OCZ167" s="102"/>
      <c r="ODA167" s="102"/>
      <c r="ODB167" s="102"/>
      <c r="ODC167" s="102"/>
      <c r="ODD167" s="102"/>
      <c r="ODE167" s="102"/>
      <c r="ODF167" s="102"/>
      <c r="ODG167" s="102"/>
      <c r="ODH167" s="102"/>
      <c r="ODI167" s="102"/>
      <c r="ODJ167" s="102"/>
      <c r="ODK167" s="102"/>
      <c r="ODL167" s="102"/>
      <c r="ODM167" s="102"/>
      <c r="ODN167" s="102"/>
      <c r="ODO167" s="102"/>
      <c r="ODP167" s="102"/>
      <c r="ODQ167" s="102"/>
      <c r="ODR167" s="102"/>
      <c r="ODS167" s="102"/>
      <c r="ODT167" s="102"/>
      <c r="ODU167" s="102"/>
      <c r="ODV167" s="102"/>
      <c r="ODW167" s="102"/>
      <c r="ODX167" s="102"/>
      <c r="ODY167" s="102"/>
      <c r="ODZ167" s="102"/>
      <c r="OEA167" s="102"/>
      <c r="OEB167" s="102"/>
      <c r="OEC167" s="102"/>
      <c r="OED167" s="102"/>
      <c r="OEE167" s="102"/>
      <c r="OEF167" s="102"/>
      <c r="OEG167" s="102"/>
      <c r="OEH167" s="102"/>
      <c r="OEI167" s="102"/>
      <c r="OEJ167" s="102"/>
      <c r="OEK167" s="102"/>
      <c r="OEL167" s="102"/>
      <c r="OEM167" s="102"/>
      <c r="OEN167" s="102"/>
      <c r="OEO167" s="102"/>
      <c r="OEP167" s="102"/>
      <c r="OEQ167" s="102"/>
      <c r="OER167" s="102"/>
      <c r="OES167" s="102"/>
      <c r="OET167" s="102"/>
      <c r="OEU167" s="102"/>
      <c r="OEV167" s="102"/>
      <c r="OEW167" s="102"/>
      <c r="OEX167" s="102"/>
      <c r="OEY167" s="102"/>
      <c r="OEZ167" s="102"/>
      <c r="OFA167" s="102"/>
      <c r="OFB167" s="102"/>
      <c r="OFC167" s="102"/>
      <c r="OFD167" s="102"/>
      <c r="OFE167" s="102"/>
      <c r="OFF167" s="102"/>
      <c r="OFG167" s="102"/>
      <c r="OFH167" s="102"/>
      <c r="OFI167" s="102"/>
      <c r="OFJ167" s="102"/>
      <c r="OFK167" s="102"/>
      <c r="OFL167" s="102"/>
      <c r="OFM167" s="102"/>
      <c r="OFN167" s="102"/>
      <c r="OFO167" s="102"/>
      <c r="OFP167" s="102"/>
      <c r="OFQ167" s="102"/>
      <c r="OFR167" s="102"/>
      <c r="OFS167" s="102"/>
      <c r="OFT167" s="102"/>
      <c r="OFU167" s="102"/>
      <c r="OFV167" s="102"/>
      <c r="OFW167" s="102"/>
      <c r="OFX167" s="102"/>
      <c r="OFY167" s="102"/>
      <c r="OFZ167" s="102"/>
      <c r="OGA167" s="102"/>
      <c r="OGB167" s="102"/>
      <c r="OGC167" s="102"/>
      <c r="OGD167" s="102"/>
      <c r="OGE167" s="102"/>
      <c r="OGF167" s="102"/>
      <c r="OGG167" s="102"/>
      <c r="OGH167" s="102"/>
      <c r="OGI167" s="102"/>
      <c r="OGJ167" s="102"/>
      <c r="OGK167" s="102"/>
      <c r="OGL167" s="102"/>
      <c r="OGM167" s="102"/>
      <c r="OGN167" s="102"/>
      <c r="OGO167" s="102"/>
      <c r="OGP167" s="102"/>
      <c r="OGQ167" s="102"/>
      <c r="OGR167" s="102"/>
      <c r="OGS167" s="102"/>
      <c r="OGT167" s="102"/>
      <c r="OGU167" s="102"/>
      <c r="OGV167" s="102"/>
      <c r="OGW167" s="102"/>
      <c r="OGX167" s="102"/>
      <c r="OGY167" s="102"/>
      <c r="OGZ167" s="102"/>
      <c r="OHA167" s="102"/>
      <c r="OHB167" s="102"/>
      <c r="OHC167" s="102"/>
      <c r="OHD167" s="102"/>
      <c r="OHE167" s="102"/>
      <c r="OHF167" s="102"/>
      <c r="OHG167" s="102"/>
      <c r="OHH167" s="102"/>
      <c r="OHI167" s="102"/>
      <c r="OHJ167" s="102"/>
      <c r="OHK167" s="102"/>
      <c r="OHL167" s="102"/>
      <c r="OHM167" s="102"/>
      <c r="OHN167" s="102"/>
      <c r="OHO167" s="102"/>
      <c r="OHP167" s="102"/>
      <c r="OHQ167" s="102"/>
      <c r="OHR167" s="102"/>
      <c r="OHS167" s="102"/>
      <c r="OHT167" s="102"/>
      <c r="OHU167" s="102"/>
      <c r="OHV167" s="102"/>
      <c r="OHW167" s="102"/>
      <c r="OHX167" s="102"/>
      <c r="OHY167" s="102"/>
      <c r="OHZ167" s="102"/>
      <c r="OIA167" s="102"/>
      <c r="OIB167" s="102"/>
      <c r="OIC167" s="102"/>
      <c r="OID167" s="102"/>
      <c r="OIE167" s="102"/>
      <c r="OIF167" s="102"/>
      <c r="OIG167" s="102"/>
      <c r="OIH167" s="102"/>
      <c r="OII167" s="102"/>
      <c r="OIJ167" s="102"/>
      <c r="OIK167" s="102"/>
      <c r="OIL167" s="102"/>
      <c r="OIM167" s="102"/>
      <c r="OIN167" s="102"/>
      <c r="OIO167" s="102"/>
      <c r="OIP167" s="102"/>
      <c r="OIQ167" s="102"/>
      <c r="OIR167" s="102"/>
      <c r="OIS167" s="102"/>
      <c r="OIT167" s="102"/>
      <c r="OIU167" s="102"/>
      <c r="OIV167" s="102"/>
      <c r="OIW167" s="102"/>
      <c r="OIX167" s="102"/>
      <c r="OIY167" s="102"/>
      <c r="OIZ167" s="102"/>
      <c r="OJA167" s="102"/>
      <c r="OJB167" s="102"/>
      <c r="OJC167" s="102"/>
      <c r="OJD167" s="102"/>
      <c r="OJE167" s="102"/>
      <c r="OJF167" s="102"/>
      <c r="OJG167" s="102"/>
      <c r="OJH167" s="102"/>
      <c r="OJI167" s="102"/>
      <c r="OJJ167" s="102"/>
      <c r="OJK167" s="102"/>
      <c r="OJL167" s="102"/>
      <c r="OJM167" s="102"/>
      <c r="OJN167" s="102"/>
      <c r="OJO167" s="102"/>
      <c r="OJP167" s="102"/>
      <c r="OJQ167" s="102"/>
      <c r="OJR167" s="102"/>
      <c r="OJS167" s="102"/>
      <c r="OJT167" s="102"/>
      <c r="OJU167" s="102"/>
      <c r="OJV167" s="102"/>
      <c r="OJW167" s="102"/>
      <c r="OJX167" s="102"/>
      <c r="OJY167" s="102"/>
      <c r="OJZ167" s="102"/>
      <c r="OKA167" s="102"/>
      <c r="OKB167" s="102"/>
      <c r="OKC167" s="102"/>
      <c r="OKD167" s="102"/>
      <c r="OKE167" s="102"/>
      <c r="OKF167" s="102"/>
      <c r="OKG167" s="102"/>
      <c r="OKH167" s="102"/>
      <c r="OKI167" s="102"/>
      <c r="OKJ167" s="102"/>
      <c r="OKK167" s="102"/>
      <c r="OKL167" s="102"/>
      <c r="OKM167" s="102"/>
      <c r="OKN167" s="102"/>
      <c r="OKO167" s="102"/>
      <c r="OKP167" s="102"/>
      <c r="OKQ167" s="102"/>
      <c r="OKR167" s="102"/>
      <c r="OKS167" s="102"/>
      <c r="OKT167" s="102"/>
      <c r="OKU167" s="102"/>
      <c r="OKV167" s="102"/>
      <c r="OKW167" s="102"/>
      <c r="OKX167" s="102"/>
      <c r="OKY167" s="102"/>
      <c r="OKZ167" s="102"/>
      <c r="OLA167" s="102"/>
      <c r="OLB167" s="102"/>
      <c r="OLC167" s="102"/>
      <c r="OLD167" s="102"/>
      <c r="OLE167" s="102"/>
      <c r="OLF167" s="102"/>
      <c r="OLG167" s="102"/>
      <c r="OLH167" s="102"/>
      <c r="OLI167" s="102"/>
      <c r="OLJ167" s="102"/>
      <c r="OLK167" s="102"/>
      <c r="OLL167" s="102"/>
      <c r="OLM167" s="102"/>
      <c r="OLN167" s="102"/>
      <c r="OLO167" s="102"/>
      <c r="OLP167" s="102"/>
      <c r="OLQ167" s="102"/>
      <c r="OLR167" s="102"/>
      <c r="OLS167" s="102"/>
      <c r="OLT167" s="102"/>
      <c r="OLU167" s="102"/>
      <c r="OLV167" s="102"/>
      <c r="OLW167" s="102"/>
      <c r="OLX167" s="102"/>
      <c r="OLY167" s="102"/>
      <c r="OLZ167" s="102"/>
      <c r="OMA167" s="102"/>
      <c r="OMB167" s="102"/>
      <c r="OMC167" s="102"/>
      <c r="OMD167" s="102"/>
      <c r="OME167" s="102"/>
      <c r="OMF167" s="102"/>
      <c r="OMG167" s="102"/>
      <c r="OMH167" s="102"/>
      <c r="OMI167" s="102"/>
      <c r="OMJ167" s="102"/>
      <c r="OMK167" s="102"/>
      <c r="OML167" s="102"/>
      <c r="OMM167" s="102"/>
      <c r="OMN167" s="102"/>
      <c r="OMO167" s="102"/>
      <c r="OMP167" s="102"/>
      <c r="OMQ167" s="102"/>
      <c r="OMR167" s="102"/>
      <c r="OMS167" s="102"/>
      <c r="OMT167" s="102"/>
      <c r="OMU167" s="102"/>
      <c r="OMV167" s="102"/>
      <c r="OMW167" s="102"/>
      <c r="OMX167" s="102"/>
      <c r="OMY167" s="102"/>
      <c r="OMZ167" s="102"/>
      <c r="ONA167" s="102"/>
      <c r="ONB167" s="102"/>
      <c r="ONC167" s="102"/>
      <c r="OND167" s="102"/>
      <c r="ONE167" s="102"/>
      <c r="ONF167" s="102"/>
      <c r="ONG167" s="102"/>
      <c r="ONH167" s="102"/>
      <c r="ONI167" s="102"/>
      <c r="ONJ167" s="102"/>
      <c r="ONK167" s="102"/>
      <c r="ONL167" s="102"/>
      <c r="ONM167" s="102"/>
      <c r="ONN167" s="102"/>
      <c r="ONO167" s="102"/>
      <c r="ONP167" s="102"/>
      <c r="ONQ167" s="102"/>
      <c r="ONR167" s="102"/>
      <c r="ONS167" s="102"/>
      <c r="ONT167" s="102"/>
      <c r="ONU167" s="102"/>
      <c r="ONV167" s="102"/>
      <c r="ONW167" s="102"/>
      <c r="ONX167" s="102"/>
      <c r="ONY167" s="102"/>
      <c r="ONZ167" s="102"/>
      <c r="OOA167" s="102"/>
      <c r="OOB167" s="102"/>
      <c r="OOC167" s="102"/>
      <c r="OOD167" s="102"/>
      <c r="OOE167" s="102"/>
      <c r="OOF167" s="102"/>
      <c r="OOG167" s="102"/>
      <c r="OOH167" s="102"/>
      <c r="OOI167" s="102"/>
      <c r="OOJ167" s="102"/>
      <c r="OOK167" s="102"/>
      <c r="OOL167" s="102"/>
      <c r="OOM167" s="102"/>
      <c r="OON167" s="102"/>
      <c r="OOO167" s="102"/>
      <c r="OOP167" s="102"/>
      <c r="OOQ167" s="102"/>
      <c r="OOR167" s="102"/>
      <c r="OOS167" s="102"/>
      <c r="OOT167" s="102"/>
      <c r="OOU167" s="102"/>
      <c r="OOV167" s="102"/>
      <c r="OOW167" s="102"/>
      <c r="OOX167" s="102"/>
      <c r="OOY167" s="102"/>
      <c r="OOZ167" s="102"/>
      <c r="OPA167" s="102"/>
      <c r="OPB167" s="102"/>
      <c r="OPC167" s="102"/>
      <c r="OPD167" s="102"/>
      <c r="OPE167" s="102"/>
      <c r="OPF167" s="102"/>
      <c r="OPG167" s="102"/>
      <c r="OPH167" s="102"/>
      <c r="OPI167" s="102"/>
      <c r="OPJ167" s="102"/>
      <c r="OPK167" s="102"/>
      <c r="OPL167" s="102"/>
      <c r="OPM167" s="102"/>
      <c r="OPN167" s="102"/>
      <c r="OPO167" s="102"/>
      <c r="OPP167" s="102"/>
      <c r="OPQ167" s="102"/>
      <c r="OPR167" s="102"/>
      <c r="OPS167" s="102"/>
      <c r="OPT167" s="102"/>
      <c r="OPU167" s="102"/>
      <c r="OPV167" s="102"/>
      <c r="OPW167" s="102"/>
      <c r="OPX167" s="102"/>
      <c r="OPY167" s="102"/>
      <c r="OPZ167" s="102"/>
      <c r="OQA167" s="102"/>
      <c r="OQB167" s="102"/>
      <c r="OQC167" s="102"/>
      <c r="OQD167" s="102"/>
      <c r="OQE167" s="102"/>
      <c r="OQF167" s="102"/>
      <c r="OQG167" s="102"/>
      <c r="OQH167" s="102"/>
      <c r="OQI167" s="102"/>
      <c r="OQJ167" s="102"/>
      <c r="OQK167" s="102"/>
      <c r="OQL167" s="102"/>
      <c r="OQM167" s="102"/>
      <c r="OQN167" s="102"/>
      <c r="OQO167" s="102"/>
      <c r="OQP167" s="102"/>
      <c r="OQQ167" s="102"/>
      <c r="OQR167" s="102"/>
      <c r="OQS167" s="102"/>
      <c r="OQT167" s="102"/>
      <c r="OQU167" s="102"/>
      <c r="OQV167" s="102"/>
      <c r="OQW167" s="102"/>
      <c r="OQX167" s="102"/>
      <c r="OQY167" s="102"/>
      <c r="OQZ167" s="102"/>
      <c r="ORA167" s="102"/>
      <c r="ORB167" s="102"/>
      <c r="ORC167" s="102"/>
      <c r="ORD167" s="102"/>
      <c r="ORE167" s="102"/>
      <c r="ORF167" s="102"/>
      <c r="ORG167" s="102"/>
      <c r="ORH167" s="102"/>
      <c r="ORI167" s="102"/>
      <c r="ORJ167" s="102"/>
      <c r="ORK167" s="102"/>
      <c r="ORL167" s="102"/>
      <c r="ORM167" s="102"/>
      <c r="ORN167" s="102"/>
      <c r="ORO167" s="102"/>
      <c r="ORP167" s="102"/>
      <c r="ORQ167" s="102"/>
      <c r="ORR167" s="102"/>
      <c r="ORS167" s="102"/>
      <c r="ORT167" s="102"/>
      <c r="ORU167" s="102"/>
      <c r="ORV167" s="102"/>
      <c r="ORW167" s="102"/>
      <c r="ORX167" s="102"/>
      <c r="ORY167" s="102"/>
      <c r="ORZ167" s="102"/>
      <c r="OSA167" s="102"/>
      <c r="OSB167" s="102"/>
      <c r="OSC167" s="102"/>
      <c r="OSD167" s="102"/>
      <c r="OSE167" s="102"/>
      <c r="OSF167" s="102"/>
      <c r="OSG167" s="102"/>
      <c r="OSH167" s="102"/>
      <c r="OSI167" s="102"/>
      <c r="OSJ167" s="102"/>
      <c r="OSK167" s="102"/>
      <c r="OSL167" s="102"/>
      <c r="OSM167" s="102"/>
      <c r="OSN167" s="102"/>
      <c r="OSO167" s="102"/>
      <c r="OSP167" s="102"/>
      <c r="OSQ167" s="102"/>
      <c r="OSR167" s="102"/>
      <c r="OSS167" s="102"/>
      <c r="OST167" s="102"/>
      <c r="OSU167" s="102"/>
      <c r="OSV167" s="102"/>
      <c r="OSW167" s="102"/>
      <c r="OSX167" s="102"/>
      <c r="OSY167" s="102"/>
      <c r="OSZ167" s="102"/>
      <c r="OTA167" s="102"/>
      <c r="OTB167" s="102"/>
      <c r="OTC167" s="102"/>
      <c r="OTD167" s="102"/>
      <c r="OTE167" s="102"/>
      <c r="OTF167" s="102"/>
      <c r="OTG167" s="102"/>
      <c r="OTH167" s="102"/>
      <c r="OTI167" s="102"/>
      <c r="OTJ167" s="102"/>
      <c r="OTK167" s="102"/>
      <c r="OTL167" s="102"/>
      <c r="OTM167" s="102"/>
      <c r="OTN167" s="102"/>
      <c r="OTO167" s="102"/>
      <c r="OTP167" s="102"/>
      <c r="OTQ167" s="102"/>
      <c r="OTR167" s="102"/>
      <c r="OTS167" s="102"/>
      <c r="OTT167" s="102"/>
      <c r="OTU167" s="102"/>
      <c r="OTV167" s="102"/>
      <c r="OTW167" s="102"/>
      <c r="OTX167" s="102"/>
      <c r="OTY167" s="102"/>
      <c r="OTZ167" s="102"/>
      <c r="OUA167" s="102"/>
      <c r="OUB167" s="102"/>
      <c r="OUC167" s="102"/>
      <c r="OUD167" s="102"/>
      <c r="OUE167" s="102"/>
      <c r="OUF167" s="102"/>
      <c r="OUG167" s="102"/>
      <c r="OUH167" s="102"/>
      <c r="OUI167" s="102"/>
      <c r="OUJ167" s="102"/>
      <c r="OUK167" s="102"/>
      <c r="OUL167" s="102"/>
      <c r="OUM167" s="102"/>
      <c r="OUN167" s="102"/>
      <c r="OUO167" s="102"/>
      <c r="OUP167" s="102"/>
      <c r="OUQ167" s="102"/>
      <c r="OUR167" s="102"/>
      <c r="OUS167" s="102"/>
      <c r="OUT167" s="102"/>
      <c r="OUU167" s="102"/>
      <c r="OUV167" s="102"/>
      <c r="OUW167" s="102"/>
      <c r="OUX167" s="102"/>
      <c r="OUY167" s="102"/>
      <c r="OUZ167" s="102"/>
      <c r="OVA167" s="102"/>
      <c r="OVB167" s="102"/>
      <c r="OVC167" s="102"/>
      <c r="OVD167" s="102"/>
      <c r="OVE167" s="102"/>
      <c r="OVF167" s="102"/>
      <c r="OVG167" s="102"/>
      <c r="OVH167" s="102"/>
      <c r="OVI167" s="102"/>
      <c r="OVJ167" s="102"/>
      <c r="OVK167" s="102"/>
      <c r="OVL167" s="102"/>
      <c r="OVM167" s="102"/>
      <c r="OVN167" s="102"/>
      <c r="OVO167" s="102"/>
      <c r="OVP167" s="102"/>
      <c r="OVQ167" s="102"/>
      <c r="OVR167" s="102"/>
      <c r="OVS167" s="102"/>
      <c r="OVT167" s="102"/>
      <c r="OVU167" s="102"/>
      <c r="OVV167" s="102"/>
      <c r="OVW167" s="102"/>
      <c r="OVX167" s="102"/>
      <c r="OVY167" s="102"/>
      <c r="OVZ167" s="102"/>
      <c r="OWA167" s="102"/>
      <c r="OWB167" s="102"/>
      <c r="OWC167" s="102"/>
      <c r="OWD167" s="102"/>
      <c r="OWE167" s="102"/>
      <c r="OWF167" s="102"/>
      <c r="OWG167" s="102"/>
      <c r="OWH167" s="102"/>
      <c r="OWI167" s="102"/>
      <c r="OWJ167" s="102"/>
      <c r="OWK167" s="102"/>
      <c r="OWL167" s="102"/>
      <c r="OWM167" s="102"/>
      <c r="OWN167" s="102"/>
      <c r="OWO167" s="102"/>
      <c r="OWP167" s="102"/>
      <c r="OWQ167" s="102"/>
      <c r="OWR167" s="102"/>
      <c r="OWS167" s="102"/>
      <c r="OWT167" s="102"/>
      <c r="OWU167" s="102"/>
      <c r="OWV167" s="102"/>
      <c r="OWW167" s="102"/>
      <c r="OWX167" s="102"/>
      <c r="OWY167" s="102"/>
      <c r="OWZ167" s="102"/>
      <c r="OXA167" s="102"/>
      <c r="OXB167" s="102"/>
      <c r="OXC167" s="102"/>
      <c r="OXD167" s="102"/>
      <c r="OXE167" s="102"/>
      <c r="OXF167" s="102"/>
      <c r="OXG167" s="102"/>
      <c r="OXH167" s="102"/>
      <c r="OXI167" s="102"/>
      <c r="OXJ167" s="102"/>
      <c r="OXK167" s="102"/>
      <c r="OXL167" s="102"/>
      <c r="OXM167" s="102"/>
      <c r="OXN167" s="102"/>
      <c r="OXO167" s="102"/>
      <c r="OXP167" s="102"/>
      <c r="OXQ167" s="102"/>
      <c r="OXR167" s="102"/>
      <c r="OXS167" s="102"/>
      <c r="OXT167" s="102"/>
      <c r="OXU167" s="102"/>
      <c r="OXV167" s="102"/>
      <c r="OXW167" s="102"/>
      <c r="OXX167" s="102"/>
      <c r="OXY167" s="102"/>
      <c r="OXZ167" s="102"/>
      <c r="OYA167" s="102"/>
      <c r="OYB167" s="102"/>
      <c r="OYC167" s="102"/>
      <c r="OYD167" s="102"/>
      <c r="OYE167" s="102"/>
      <c r="OYF167" s="102"/>
      <c r="OYG167" s="102"/>
      <c r="OYH167" s="102"/>
      <c r="OYI167" s="102"/>
      <c r="OYJ167" s="102"/>
      <c r="OYK167" s="102"/>
      <c r="OYL167" s="102"/>
      <c r="OYM167" s="102"/>
      <c r="OYN167" s="102"/>
      <c r="OYO167" s="102"/>
      <c r="OYP167" s="102"/>
      <c r="OYQ167" s="102"/>
      <c r="OYR167" s="102"/>
      <c r="OYS167" s="102"/>
      <c r="OYT167" s="102"/>
      <c r="OYU167" s="102"/>
      <c r="OYV167" s="102"/>
      <c r="OYW167" s="102"/>
      <c r="OYX167" s="102"/>
      <c r="OYY167" s="102"/>
      <c r="OYZ167" s="102"/>
      <c r="OZA167" s="102"/>
      <c r="OZB167" s="102"/>
      <c r="OZC167" s="102"/>
      <c r="OZD167" s="102"/>
      <c r="OZE167" s="102"/>
      <c r="OZF167" s="102"/>
      <c r="OZG167" s="102"/>
      <c r="OZH167" s="102"/>
      <c r="OZI167" s="102"/>
      <c r="OZJ167" s="102"/>
      <c r="OZK167" s="102"/>
      <c r="OZL167" s="102"/>
      <c r="OZM167" s="102"/>
      <c r="OZN167" s="102"/>
      <c r="OZO167" s="102"/>
      <c r="OZP167" s="102"/>
      <c r="OZQ167" s="102"/>
      <c r="OZR167" s="102"/>
      <c r="OZS167" s="102"/>
      <c r="OZT167" s="102"/>
      <c r="OZU167" s="102"/>
      <c r="OZV167" s="102"/>
      <c r="OZW167" s="102"/>
      <c r="OZX167" s="102"/>
      <c r="OZY167" s="102"/>
      <c r="OZZ167" s="102"/>
      <c r="PAA167" s="102"/>
      <c r="PAB167" s="102"/>
      <c r="PAC167" s="102"/>
      <c r="PAD167" s="102"/>
      <c r="PAE167" s="102"/>
      <c r="PAF167" s="102"/>
      <c r="PAG167" s="102"/>
      <c r="PAH167" s="102"/>
      <c r="PAI167" s="102"/>
      <c r="PAJ167" s="102"/>
      <c r="PAK167" s="102"/>
      <c r="PAL167" s="102"/>
      <c r="PAM167" s="102"/>
      <c r="PAN167" s="102"/>
      <c r="PAO167" s="102"/>
      <c r="PAP167" s="102"/>
      <c r="PAQ167" s="102"/>
      <c r="PAR167" s="102"/>
      <c r="PAS167" s="102"/>
      <c r="PAT167" s="102"/>
      <c r="PAU167" s="102"/>
      <c r="PAV167" s="102"/>
      <c r="PAW167" s="102"/>
      <c r="PAX167" s="102"/>
      <c r="PAY167" s="102"/>
      <c r="PAZ167" s="102"/>
      <c r="PBA167" s="102"/>
      <c r="PBB167" s="102"/>
      <c r="PBC167" s="102"/>
      <c r="PBD167" s="102"/>
      <c r="PBE167" s="102"/>
      <c r="PBF167" s="102"/>
      <c r="PBG167" s="102"/>
      <c r="PBH167" s="102"/>
      <c r="PBI167" s="102"/>
      <c r="PBJ167" s="102"/>
      <c r="PBK167" s="102"/>
      <c r="PBL167" s="102"/>
      <c r="PBM167" s="102"/>
      <c r="PBN167" s="102"/>
      <c r="PBO167" s="102"/>
      <c r="PBP167" s="102"/>
      <c r="PBQ167" s="102"/>
      <c r="PBR167" s="102"/>
      <c r="PBS167" s="102"/>
      <c r="PBT167" s="102"/>
      <c r="PBU167" s="102"/>
      <c r="PBV167" s="102"/>
      <c r="PBW167" s="102"/>
      <c r="PBX167" s="102"/>
      <c r="PBY167" s="102"/>
      <c r="PBZ167" s="102"/>
      <c r="PCA167" s="102"/>
      <c r="PCB167" s="102"/>
      <c r="PCC167" s="102"/>
      <c r="PCD167" s="102"/>
      <c r="PCE167" s="102"/>
      <c r="PCF167" s="102"/>
      <c r="PCG167" s="102"/>
      <c r="PCH167" s="102"/>
      <c r="PCI167" s="102"/>
      <c r="PCJ167" s="102"/>
      <c r="PCK167" s="102"/>
      <c r="PCL167" s="102"/>
      <c r="PCM167" s="102"/>
      <c r="PCN167" s="102"/>
      <c r="PCO167" s="102"/>
      <c r="PCP167" s="102"/>
      <c r="PCQ167" s="102"/>
      <c r="PCR167" s="102"/>
      <c r="PCS167" s="102"/>
      <c r="PCT167" s="102"/>
      <c r="PCU167" s="102"/>
      <c r="PCV167" s="102"/>
      <c r="PCW167" s="102"/>
      <c r="PCX167" s="102"/>
      <c r="PCY167" s="102"/>
      <c r="PCZ167" s="102"/>
      <c r="PDA167" s="102"/>
      <c r="PDB167" s="102"/>
      <c r="PDC167" s="102"/>
      <c r="PDD167" s="102"/>
      <c r="PDE167" s="102"/>
      <c r="PDF167" s="102"/>
      <c r="PDG167" s="102"/>
      <c r="PDH167" s="102"/>
      <c r="PDI167" s="102"/>
      <c r="PDJ167" s="102"/>
      <c r="PDK167" s="102"/>
      <c r="PDL167" s="102"/>
      <c r="PDM167" s="102"/>
      <c r="PDN167" s="102"/>
      <c r="PDO167" s="102"/>
      <c r="PDP167" s="102"/>
      <c r="PDQ167" s="102"/>
      <c r="PDR167" s="102"/>
      <c r="PDS167" s="102"/>
      <c r="PDT167" s="102"/>
      <c r="PDU167" s="102"/>
      <c r="PDV167" s="102"/>
      <c r="PDW167" s="102"/>
      <c r="PDX167" s="102"/>
      <c r="PDY167" s="102"/>
      <c r="PDZ167" s="102"/>
      <c r="PEA167" s="102"/>
      <c r="PEB167" s="102"/>
      <c r="PEC167" s="102"/>
      <c r="PED167" s="102"/>
      <c r="PEE167" s="102"/>
      <c r="PEF167" s="102"/>
      <c r="PEG167" s="102"/>
      <c r="PEH167" s="102"/>
      <c r="PEI167" s="102"/>
      <c r="PEJ167" s="102"/>
      <c r="PEK167" s="102"/>
      <c r="PEL167" s="102"/>
      <c r="PEM167" s="102"/>
      <c r="PEN167" s="102"/>
      <c r="PEO167" s="102"/>
      <c r="PEP167" s="102"/>
      <c r="PEQ167" s="102"/>
      <c r="PER167" s="102"/>
      <c r="PES167" s="102"/>
      <c r="PET167" s="102"/>
      <c r="PEU167" s="102"/>
      <c r="PEV167" s="102"/>
      <c r="PEW167" s="102"/>
      <c r="PEX167" s="102"/>
      <c r="PEY167" s="102"/>
      <c r="PEZ167" s="102"/>
      <c r="PFA167" s="102"/>
      <c r="PFB167" s="102"/>
      <c r="PFC167" s="102"/>
      <c r="PFD167" s="102"/>
      <c r="PFE167" s="102"/>
      <c r="PFF167" s="102"/>
      <c r="PFG167" s="102"/>
      <c r="PFH167" s="102"/>
      <c r="PFI167" s="102"/>
      <c r="PFJ167" s="102"/>
      <c r="PFK167" s="102"/>
      <c r="PFL167" s="102"/>
      <c r="PFM167" s="102"/>
      <c r="PFN167" s="102"/>
      <c r="PFO167" s="102"/>
      <c r="PFP167" s="102"/>
      <c r="PFQ167" s="102"/>
      <c r="PFR167" s="102"/>
      <c r="PFS167" s="102"/>
      <c r="PFT167" s="102"/>
      <c r="PFU167" s="102"/>
      <c r="PFV167" s="102"/>
      <c r="PFW167" s="102"/>
      <c r="PFX167" s="102"/>
      <c r="PFY167" s="102"/>
      <c r="PFZ167" s="102"/>
      <c r="PGA167" s="102"/>
      <c r="PGB167" s="102"/>
      <c r="PGC167" s="102"/>
      <c r="PGD167" s="102"/>
      <c r="PGE167" s="102"/>
      <c r="PGF167" s="102"/>
      <c r="PGG167" s="102"/>
      <c r="PGH167" s="102"/>
      <c r="PGI167" s="102"/>
      <c r="PGJ167" s="102"/>
      <c r="PGK167" s="102"/>
      <c r="PGL167" s="102"/>
      <c r="PGM167" s="102"/>
      <c r="PGN167" s="102"/>
      <c r="PGO167" s="102"/>
      <c r="PGP167" s="102"/>
      <c r="PGQ167" s="102"/>
      <c r="PGR167" s="102"/>
      <c r="PGS167" s="102"/>
      <c r="PGT167" s="102"/>
      <c r="PGU167" s="102"/>
      <c r="PGV167" s="102"/>
      <c r="PGW167" s="102"/>
      <c r="PGX167" s="102"/>
      <c r="PGY167" s="102"/>
      <c r="PGZ167" s="102"/>
      <c r="PHA167" s="102"/>
      <c r="PHB167" s="102"/>
      <c r="PHC167" s="102"/>
      <c r="PHD167" s="102"/>
      <c r="PHE167" s="102"/>
      <c r="PHF167" s="102"/>
      <c r="PHG167" s="102"/>
      <c r="PHH167" s="102"/>
      <c r="PHI167" s="102"/>
      <c r="PHJ167" s="102"/>
      <c r="PHK167" s="102"/>
      <c r="PHL167" s="102"/>
      <c r="PHM167" s="102"/>
      <c r="PHN167" s="102"/>
      <c r="PHO167" s="102"/>
      <c r="PHP167" s="102"/>
      <c r="PHQ167" s="102"/>
      <c r="PHR167" s="102"/>
      <c r="PHS167" s="102"/>
      <c r="PHT167" s="102"/>
      <c r="PHU167" s="102"/>
      <c r="PHV167" s="102"/>
      <c r="PHW167" s="102"/>
      <c r="PHX167" s="102"/>
      <c r="PHY167" s="102"/>
      <c r="PHZ167" s="102"/>
      <c r="PIA167" s="102"/>
      <c r="PIB167" s="102"/>
      <c r="PIC167" s="102"/>
      <c r="PID167" s="102"/>
      <c r="PIE167" s="102"/>
      <c r="PIF167" s="102"/>
      <c r="PIG167" s="102"/>
      <c r="PIH167" s="102"/>
      <c r="PII167" s="102"/>
      <c r="PIJ167" s="102"/>
      <c r="PIK167" s="102"/>
      <c r="PIL167" s="102"/>
      <c r="PIM167" s="102"/>
      <c r="PIN167" s="102"/>
      <c r="PIO167" s="102"/>
      <c r="PIP167" s="102"/>
      <c r="PIQ167" s="102"/>
      <c r="PIR167" s="102"/>
      <c r="PIS167" s="102"/>
      <c r="PIT167" s="102"/>
      <c r="PIU167" s="102"/>
      <c r="PIV167" s="102"/>
      <c r="PIW167" s="102"/>
      <c r="PIX167" s="102"/>
      <c r="PIY167" s="102"/>
      <c r="PIZ167" s="102"/>
      <c r="PJA167" s="102"/>
      <c r="PJB167" s="102"/>
      <c r="PJC167" s="102"/>
      <c r="PJD167" s="102"/>
      <c r="PJE167" s="102"/>
      <c r="PJF167" s="102"/>
      <c r="PJG167" s="102"/>
      <c r="PJH167" s="102"/>
      <c r="PJI167" s="102"/>
      <c r="PJJ167" s="102"/>
      <c r="PJK167" s="102"/>
      <c r="PJL167" s="102"/>
      <c r="PJM167" s="102"/>
      <c r="PJN167" s="102"/>
      <c r="PJO167" s="102"/>
      <c r="PJP167" s="102"/>
      <c r="PJQ167" s="102"/>
      <c r="PJR167" s="102"/>
      <c r="PJS167" s="102"/>
      <c r="PJT167" s="102"/>
      <c r="PJU167" s="102"/>
      <c r="PJV167" s="102"/>
      <c r="PJW167" s="102"/>
      <c r="PJX167" s="102"/>
      <c r="PJY167" s="102"/>
      <c r="PJZ167" s="102"/>
      <c r="PKA167" s="102"/>
      <c r="PKB167" s="102"/>
      <c r="PKC167" s="102"/>
      <c r="PKD167" s="102"/>
      <c r="PKE167" s="102"/>
      <c r="PKF167" s="102"/>
      <c r="PKG167" s="102"/>
      <c r="PKH167" s="102"/>
      <c r="PKI167" s="102"/>
      <c r="PKJ167" s="102"/>
      <c r="PKK167" s="102"/>
      <c r="PKL167" s="102"/>
      <c r="PKM167" s="102"/>
      <c r="PKN167" s="102"/>
      <c r="PKO167" s="102"/>
      <c r="PKP167" s="102"/>
      <c r="PKQ167" s="102"/>
      <c r="PKR167" s="102"/>
      <c r="PKS167" s="102"/>
      <c r="PKT167" s="102"/>
      <c r="PKU167" s="102"/>
      <c r="PKV167" s="102"/>
      <c r="PKW167" s="102"/>
      <c r="PKX167" s="102"/>
      <c r="PKY167" s="102"/>
      <c r="PKZ167" s="102"/>
      <c r="PLA167" s="102"/>
      <c r="PLB167" s="102"/>
      <c r="PLC167" s="102"/>
      <c r="PLD167" s="102"/>
      <c r="PLE167" s="102"/>
      <c r="PLF167" s="102"/>
      <c r="PLG167" s="102"/>
      <c r="PLH167" s="102"/>
      <c r="PLI167" s="102"/>
      <c r="PLJ167" s="102"/>
      <c r="PLK167" s="102"/>
      <c r="PLL167" s="102"/>
      <c r="PLM167" s="102"/>
      <c r="PLN167" s="102"/>
      <c r="PLO167" s="102"/>
      <c r="PLP167" s="102"/>
      <c r="PLQ167" s="102"/>
      <c r="PLR167" s="102"/>
      <c r="PLS167" s="102"/>
      <c r="PLT167" s="102"/>
      <c r="PLU167" s="102"/>
      <c r="PLV167" s="102"/>
      <c r="PLW167" s="102"/>
      <c r="PLX167" s="102"/>
      <c r="PLY167" s="102"/>
      <c r="PLZ167" s="102"/>
      <c r="PMA167" s="102"/>
      <c r="PMB167" s="102"/>
      <c r="PMC167" s="102"/>
      <c r="PMD167" s="102"/>
      <c r="PME167" s="102"/>
      <c r="PMF167" s="102"/>
      <c r="PMG167" s="102"/>
      <c r="PMH167" s="102"/>
      <c r="PMI167" s="102"/>
      <c r="PMJ167" s="102"/>
      <c r="PMK167" s="102"/>
      <c r="PML167" s="102"/>
      <c r="PMM167" s="102"/>
      <c r="PMN167" s="102"/>
      <c r="PMO167" s="102"/>
      <c r="PMP167" s="102"/>
      <c r="PMQ167" s="102"/>
      <c r="PMR167" s="102"/>
      <c r="PMS167" s="102"/>
      <c r="PMT167" s="102"/>
      <c r="PMU167" s="102"/>
      <c r="PMV167" s="102"/>
      <c r="PMW167" s="102"/>
      <c r="PMX167" s="102"/>
      <c r="PMY167" s="102"/>
      <c r="PMZ167" s="102"/>
      <c r="PNA167" s="102"/>
      <c r="PNB167" s="102"/>
      <c r="PNC167" s="102"/>
      <c r="PND167" s="102"/>
      <c r="PNE167" s="102"/>
      <c r="PNF167" s="102"/>
      <c r="PNG167" s="102"/>
      <c r="PNH167" s="102"/>
      <c r="PNI167" s="102"/>
      <c r="PNJ167" s="102"/>
      <c r="PNK167" s="102"/>
      <c r="PNL167" s="102"/>
      <c r="PNM167" s="102"/>
      <c r="PNN167" s="102"/>
      <c r="PNO167" s="102"/>
      <c r="PNP167" s="102"/>
      <c r="PNQ167" s="102"/>
      <c r="PNR167" s="102"/>
      <c r="PNS167" s="102"/>
      <c r="PNT167" s="102"/>
      <c r="PNU167" s="102"/>
      <c r="PNV167" s="102"/>
      <c r="PNW167" s="102"/>
      <c r="PNX167" s="102"/>
      <c r="PNY167" s="102"/>
      <c r="PNZ167" s="102"/>
      <c r="POA167" s="102"/>
      <c r="POB167" s="102"/>
      <c r="POC167" s="102"/>
      <c r="POD167" s="102"/>
      <c r="POE167" s="102"/>
      <c r="POF167" s="102"/>
      <c r="POG167" s="102"/>
      <c r="POH167" s="102"/>
      <c r="POI167" s="102"/>
      <c r="POJ167" s="102"/>
      <c r="POK167" s="102"/>
      <c r="POL167" s="102"/>
      <c r="POM167" s="102"/>
      <c r="PON167" s="102"/>
      <c r="POO167" s="102"/>
      <c r="POP167" s="102"/>
      <c r="POQ167" s="102"/>
      <c r="POR167" s="102"/>
      <c r="POS167" s="102"/>
      <c r="POT167" s="102"/>
      <c r="POU167" s="102"/>
      <c r="POV167" s="102"/>
      <c r="POW167" s="102"/>
      <c r="POX167" s="102"/>
      <c r="POY167" s="102"/>
      <c r="POZ167" s="102"/>
      <c r="PPA167" s="102"/>
      <c r="PPB167" s="102"/>
      <c r="PPC167" s="102"/>
      <c r="PPD167" s="102"/>
      <c r="PPE167" s="102"/>
      <c r="PPF167" s="102"/>
      <c r="PPG167" s="102"/>
      <c r="PPH167" s="102"/>
      <c r="PPI167" s="102"/>
      <c r="PPJ167" s="102"/>
      <c r="PPK167" s="102"/>
      <c r="PPL167" s="102"/>
      <c r="PPM167" s="102"/>
      <c r="PPN167" s="102"/>
      <c r="PPO167" s="102"/>
      <c r="PPP167" s="102"/>
      <c r="PPQ167" s="102"/>
      <c r="PPR167" s="102"/>
      <c r="PPS167" s="102"/>
      <c r="PPT167" s="102"/>
      <c r="PPU167" s="102"/>
      <c r="PPV167" s="102"/>
      <c r="PPW167" s="102"/>
      <c r="PPX167" s="102"/>
      <c r="PPY167" s="102"/>
      <c r="PPZ167" s="102"/>
      <c r="PQA167" s="102"/>
      <c r="PQB167" s="102"/>
      <c r="PQC167" s="102"/>
      <c r="PQD167" s="102"/>
      <c r="PQE167" s="102"/>
      <c r="PQF167" s="102"/>
      <c r="PQG167" s="102"/>
      <c r="PQH167" s="102"/>
      <c r="PQI167" s="102"/>
      <c r="PQJ167" s="102"/>
      <c r="PQK167" s="102"/>
      <c r="PQL167" s="102"/>
      <c r="PQM167" s="102"/>
      <c r="PQN167" s="102"/>
      <c r="PQO167" s="102"/>
      <c r="PQP167" s="102"/>
      <c r="PQQ167" s="102"/>
      <c r="PQR167" s="102"/>
      <c r="PQS167" s="102"/>
      <c r="PQT167" s="102"/>
      <c r="PQU167" s="102"/>
      <c r="PQV167" s="102"/>
      <c r="PQW167" s="102"/>
      <c r="PQX167" s="102"/>
      <c r="PQY167" s="102"/>
      <c r="PQZ167" s="102"/>
      <c r="PRA167" s="102"/>
      <c r="PRB167" s="102"/>
      <c r="PRC167" s="102"/>
      <c r="PRD167" s="102"/>
      <c r="PRE167" s="102"/>
      <c r="PRF167" s="102"/>
      <c r="PRG167" s="102"/>
      <c r="PRH167" s="102"/>
      <c r="PRI167" s="102"/>
      <c r="PRJ167" s="102"/>
      <c r="PRK167" s="102"/>
      <c r="PRL167" s="102"/>
      <c r="PRM167" s="102"/>
      <c r="PRN167" s="102"/>
      <c r="PRO167" s="102"/>
      <c r="PRP167" s="102"/>
      <c r="PRQ167" s="102"/>
      <c r="PRR167" s="102"/>
      <c r="PRS167" s="102"/>
      <c r="PRT167" s="102"/>
      <c r="PRU167" s="102"/>
      <c r="PRV167" s="102"/>
      <c r="PRW167" s="102"/>
      <c r="PRX167" s="102"/>
      <c r="PRY167" s="102"/>
      <c r="PRZ167" s="102"/>
      <c r="PSA167" s="102"/>
      <c r="PSB167" s="102"/>
      <c r="PSC167" s="102"/>
      <c r="PSD167" s="102"/>
      <c r="PSE167" s="102"/>
      <c r="PSF167" s="102"/>
      <c r="PSG167" s="102"/>
      <c r="PSH167" s="102"/>
      <c r="PSI167" s="102"/>
      <c r="PSJ167" s="102"/>
      <c r="PSK167" s="102"/>
      <c r="PSL167" s="102"/>
      <c r="PSM167" s="102"/>
      <c r="PSN167" s="102"/>
      <c r="PSO167" s="102"/>
      <c r="PSP167" s="102"/>
      <c r="PSQ167" s="102"/>
      <c r="PSR167" s="102"/>
      <c r="PSS167" s="102"/>
      <c r="PST167" s="102"/>
      <c r="PSU167" s="102"/>
      <c r="PSV167" s="102"/>
      <c r="PSW167" s="102"/>
      <c r="PSX167" s="102"/>
      <c r="PSY167" s="102"/>
      <c r="PSZ167" s="102"/>
      <c r="PTA167" s="102"/>
      <c r="PTB167" s="102"/>
      <c r="PTC167" s="102"/>
      <c r="PTD167" s="102"/>
      <c r="PTE167" s="102"/>
      <c r="PTF167" s="102"/>
      <c r="PTG167" s="102"/>
      <c r="PTH167" s="102"/>
      <c r="PTI167" s="102"/>
      <c r="PTJ167" s="102"/>
      <c r="PTK167" s="102"/>
      <c r="PTL167" s="102"/>
      <c r="PTM167" s="102"/>
      <c r="PTN167" s="102"/>
      <c r="PTO167" s="102"/>
      <c r="PTP167" s="102"/>
      <c r="PTQ167" s="102"/>
      <c r="PTR167" s="102"/>
      <c r="PTS167" s="102"/>
      <c r="PTT167" s="102"/>
      <c r="PTU167" s="102"/>
      <c r="PTV167" s="102"/>
      <c r="PTW167" s="102"/>
      <c r="PTX167" s="102"/>
      <c r="PTY167" s="102"/>
      <c r="PTZ167" s="102"/>
      <c r="PUA167" s="102"/>
      <c r="PUB167" s="102"/>
      <c r="PUC167" s="102"/>
      <c r="PUD167" s="102"/>
      <c r="PUE167" s="102"/>
      <c r="PUF167" s="102"/>
      <c r="PUG167" s="102"/>
      <c r="PUH167" s="102"/>
      <c r="PUI167" s="102"/>
      <c r="PUJ167" s="102"/>
      <c r="PUK167" s="102"/>
      <c r="PUL167" s="102"/>
      <c r="PUM167" s="102"/>
      <c r="PUN167" s="102"/>
      <c r="PUO167" s="102"/>
      <c r="PUP167" s="102"/>
      <c r="PUQ167" s="102"/>
      <c r="PUR167" s="102"/>
      <c r="PUS167" s="102"/>
      <c r="PUT167" s="102"/>
      <c r="PUU167" s="102"/>
      <c r="PUV167" s="102"/>
      <c r="PUW167" s="102"/>
      <c r="PUX167" s="102"/>
      <c r="PUY167" s="102"/>
      <c r="PUZ167" s="102"/>
      <c r="PVA167" s="102"/>
      <c r="PVB167" s="102"/>
      <c r="PVC167" s="102"/>
      <c r="PVD167" s="102"/>
      <c r="PVE167" s="102"/>
      <c r="PVF167" s="102"/>
      <c r="PVG167" s="102"/>
      <c r="PVH167" s="102"/>
      <c r="PVI167" s="102"/>
      <c r="PVJ167" s="102"/>
      <c r="PVK167" s="102"/>
      <c r="PVL167" s="102"/>
      <c r="PVM167" s="102"/>
      <c r="PVN167" s="102"/>
      <c r="PVO167" s="102"/>
      <c r="PVP167" s="102"/>
      <c r="PVQ167" s="102"/>
      <c r="PVR167" s="102"/>
      <c r="PVS167" s="102"/>
      <c r="PVT167" s="102"/>
      <c r="PVU167" s="102"/>
      <c r="PVV167" s="102"/>
      <c r="PVW167" s="102"/>
      <c r="PVX167" s="102"/>
      <c r="PVY167" s="102"/>
      <c r="PVZ167" s="102"/>
      <c r="PWA167" s="102"/>
      <c r="PWB167" s="102"/>
      <c r="PWC167" s="102"/>
      <c r="PWD167" s="102"/>
      <c r="PWE167" s="102"/>
      <c r="PWF167" s="102"/>
      <c r="PWG167" s="102"/>
      <c r="PWH167" s="102"/>
      <c r="PWI167" s="102"/>
      <c r="PWJ167" s="102"/>
      <c r="PWK167" s="102"/>
      <c r="PWL167" s="102"/>
      <c r="PWM167" s="102"/>
      <c r="PWN167" s="102"/>
      <c r="PWO167" s="102"/>
      <c r="PWP167" s="102"/>
      <c r="PWQ167" s="102"/>
      <c r="PWR167" s="102"/>
      <c r="PWS167" s="102"/>
      <c r="PWT167" s="102"/>
      <c r="PWU167" s="102"/>
      <c r="PWV167" s="102"/>
      <c r="PWW167" s="102"/>
      <c r="PWX167" s="102"/>
      <c r="PWY167" s="102"/>
      <c r="PWZ167" s="102"/>
      <c r="PXA167" s="102"/>
      <c r="PXB167" s="102"/>
      <c r="PXC167" s="102"/>
      <c r="PXD167" s="102"/>
      <c r="PXE167" s="102"/>
      <c r="PXF167" s="102"/>
      <c r="PXG167" s="102"/>
      <c r="PXH167" s="102"/>
      <c r="PXI167" s="102"/>
      <c r="PXJ167" s="102"/>
      <c r="PXK167" s="102"/>
      <c r="PXL167" s="102"/>
      <c r="PXM167" s="102"/>
      <c r="PXN167" s="102"/>
      <c r="PXO167" s="102"/>
      <c r="PXP167" s="102"/>
      <c r="PXQ167" s="102"/>
      <c r="PXR167" s="102"/>
      <c r="PXS167" s="102"/>
      <c r="PXT167" s="102"/>
      <c r="PXU167" s="102"/>
      <c r="PXV167" s="102"/>
      <c r="PXW167" s="102"/>
      <c r="PXX167" s="102"/>
      <c r="PXY167" s="102"/>
      <c r="PXZ167" s="102"/>
      <c r="PYA167" s="102"/>
      <c r="PYB167" s="102"/>
      <c r="PYC167" s="102"/>
      <c r="PYD167" s="102"/>
      <c r="PYE167" s="102"/>
      <c r="PYF167" s="102"/>
      <c r="PYG167" s="102"/>
      <c r="PYH167" s="102"/>
      <c r="PYI167" s="102"/>
      <c r="PYJ167" s="102"/>
      <c r="PYK167" s="102"/>
      <c r="PYL167" s="102"/>
      <c r="PYM167" s="102"/>
      <c r="PYN167" s="102"/>
      <c r="PYO167" s="102"/>
      <c r="PYP167" s="102"/>
      <c r="PYQ167" s="102"/>
      <c r="PYR167" s="102"/>
      <c r="PYS167" s="102"/>
      <c r="PYT167" s="102"/>
      <c r="PYU167" s="102"/>
      <c r="PYV167" s="102"/>
      <c r="PYW167" s="102"/>
      <c r="PYX167" s="102"/>
      <c r="PYY167" s="102"/>
      <c r="PYZ167" s="102"/>
      <c r="PZA167" s="102"/>
      <c r="PZB167" s="102"/>
      <c r="PZC167" s="102"/>
      <c r="PZD167" s="102"/>
      <c r="PZE167" s="102"/>
      <c r="PZF167" s="102"/>
      <c r="PZG167" s="102"/>
      <c r="PZH167" s="102"/>
      <c r="PZI167" s="102"/>
      <c r="PZJ167" s="102"/>
      <c r="PZK167" s="102"/>
      <c r="PZL167" s="102"/>
      <c r="PZM167" s="102"/>
      <c r="PZN167" s="102"/>
      <c r="PZO167" s="102"/>
      <c r="PZP167" s="102"/>
      <c r="PZQ167" s="102"/>
      <c r="PZR167" s="102"/>
      <c r="PZS167" s="102"/>
      <c r="PZT167" s="102"/>
      <c r="PZU167" s="102"/>
      <c r="PZV167" s="102"/>
      <c r="PZW167" s="102"/>
      <c r="PZX167" s="102"/>
      <c r="PZY167" s="102"/>
      <c r="PZZ167" s="102"/>
      <c r="QAA167" s="102"/>
      <c r="QAB167" s="102"/>
      <c r="QAC167" s="102"/>
      <c r="QAD167" s="102"/>
      <c r="QAE167" s="102"/>
      <c r="QAF167" s="102"/>
      <c r="QAG167" s="102"/>
      <c r="QAH167" s="102"/>
      <c r="QAI167" s="102"/>
      <c r="QAJ167" s="102"/>
      <c r="QAK167" s="102"/>
      <c r="QAL167" s="102"/>
      <c r="QAM167" s="102"/>
      <c r="QAN167" s="102"/>
      <c r="QAO167" s="102"/>
      <c r="QAP167" s="102"/>
      <c r="QAQ167" s="102"/>
      <c r="QAR167" s="102"/>
      <c r="QAS167" s="102"/>
      <c r="QAT167" s="102"/>
      <c r="QAU167" s="102"/>
      <c r="QAV167" s="102"/>
      <c r="QAW167" s="102"/>
      <c r="QAX167" s="102"/>
      <c r="QAY167" s="102"/>
      <c r="QAZ167" s="102"/>
      <c r="QBA167" s="102"/>
      <c r="QBB167" s="102"/>
      <c r="QBC167" s="102"/>
      <c r="QBD167" s="102"/>
      <c r="QBE167" s="102"/>
      <c r="QBF167" s="102"/>
      <c r="QBG167" s="102"/>
      <c r="QBH167" s="102"/>
      <c r="QBI167" s="102"/>
      <c r="QBJ167" s="102"/>
      <c r="QBK167" s="102"/>
      <c r="QBL167" s="102"/>
      <c r="QBM167" s="102"/>
      <c r="QBN167" s="102"/>
      <c r="QBO167" s="102"/>
      <c r="QBP167" s="102"/>
      <c r="QBQ167" s="102"/>
      <c r="QBR167" s="102"/>
      <c r="QBS167" s="102"/>
      <c r="QBT167" s="102"/>
      <c r="QBU167" s="102"/>
      <c r="QBV167" s="102"/>
      <c r="QBW167" s="102"/>
      <c r="QBX167" s="102"/>
      <c r="QBY167" s="102"/>
      <c r="QBZ167" s="102"/>
      <c r="QCA167" s="102"/>
      <c r="QCB167" s="102"/>
      <c r="QCC167" s="102"/>
      <c r="QCD167" s="102"/>
      <c r="QCE167" s="102"/>
      <c r="QCF167" s="102"/>
      <c r="QCG167" s="102"/>
      <c r="QCH167" s="102"/>
      <c r="QCI167" s="102"/>
      <c r="QCJ167" s="102"/>
      <c r="QCK167" s="102"/>
      <c r="QCL167" s="102"/>
      <c r="QCM167" s="102"/>
      <c r="QCN167" s="102"/>
      <c r="QCO167" s="102"/>
      <c r="QCP167" s="102"/>
      <c r="QCQ167" s="102"/>
      <c r="QCR167" s="102"/>
      <c r="QCS167" s="102"/>
      <c r="QCT167" s="102"/>
      <c r="QCU167" s="102"/>
      <c r="QCV167" s="102"/>
      <c r="QCW167" s="102"/>
      <c r="QCX167" s="102"/>
      <c r="QCY167" s="102"/>
      <c r="QCZ167" s="102"/>
      <c r="QDA167" s="102"/>
      <c r="QDB167" s="102"/>
      <c r="QDC167" s="102"/>
      <c r="QDD167" s="102"/>
      <c r="QDE167" s="102"/>
      <c r="QDF167" s="102"/>
      <c r="QDG167" s="102"/>
      <c r="QDH167" s="102"/>
      <c r="QDI167" s="102"/>
      <c r="QDJ167" s="102"/>
      <c r="QDK167" s="102"/>
      <c r="QDL167" s="102"/>
      <c r="QDM167" s="102"/>
      <c r="QDN167" s="102"/>
      <c r="QDO167" s="102"/>
      <c r="QDP167" s="102"/>
      <c r="QDQ167" s="102"/>
      <c r="QDR167" s="102"/>
      <c r="QDS167" s="102"/>
      <c r="QDT167" s="102"/>
      <c r="QDU167" s="102"/>
      <c r="QDV167" s="102"/>
      <c r="QDW167" s="102"/>
      <c r="QDX167" s="102"/>
      <c r="QDY167" s="102"/>
      <c r="QDZ167" s="102"/>
      <c r="QEA167" s="102"/>
      <c r="QEB167" s="102"/>
      <c r="QEC167" s="102"/>
      <c r="QED167" s="102"/>
      <c r="QEE167" s="102"/>
      <c r="QEF167" s="102"/>
      <c r="QEG167" s="102"/>
      <c r="QEH167" s="102"/>
      <c r="QEI167" s="102"/>
      <c r="QEJ167" s="102"/>
      <c r="QEK167" s="102"/>
      <c r="QEL167" s="102"/>
      <c r="QEM167" s="102"/>
      <c r="QEN167" s="102"/>
      <c r="QEO167" s="102"/>
      <c r="QEP167" s="102"/>
      <c r="QEQ167" s="102"/>
      <c r="QER167" s="102"/>
      <c r="QES167" s="102"/>
      <c r="QET167" s="102"/>
      <c r="QEU167" s="102"/>
      <c r="QEV167" s="102"/>
      <c r="QEW167" s="102"/>
      <c r="QEX167" s="102"/>
      <c r="QEY167" s="102"/>
      <c r="QEZ167" s="102"/>
      <c r="QFA167" s="102"/>
      <c r="QFB167" s="102"/>
      <c r="QFC167" s="102"/>
      <c r="QFD167" s="102"/>
      <c r="QFE167" s="102"/>
      <c r="QFF167" s="102"/>
      <c r="QFG167" s="102"/>
      <c r="QFH167" s="102"/>
      <c r="QFI167" s="102"/>
      <c r="QFJ167" s="102"/>
      <c r="QFK167" s="102"/>
      <c r="QFL167" s="102"/>
      <c r="QFM167" s="102"/>
      <c r="QFN167" s="102"/>
      <c r="QFO167" s="102"/>
      <c r="QFP167" s="102"/>
      <c r="QFQ167" s="102"/>
      <c r="QFR167" s="102"/>
      <c r="QFS167" s="102"/>
      <c r="QFT167" s="102"/>
      <c r="QFU167" s="102"/>
      <c r="QFV167" s="102"/>
      <c r="QFW167" s="102"/>
      <c r="QFX167" s="102"/>
      <c r="QFY167" s="102"/>
      <c r="QFZ167" s="102"/>
      <c r="QGA167" s="102"/>
      <c r="QGB167" s="102"/>
      <c r="QGC167" s="102"/>
      <c r="QGD167" s="102"/>
      <c r="QGE167" s="102"/>
      <c r="QGF167" s="102"/>
      <c r="QGG167" s="102"/>
      <c r="QGH167" s="102"/>
      <c r="QGI167" s="102"/>
      <c r="QGJ167" s="102"/>
      <c r="QGK167" s="102"/>
      <c r="QGL167" s="102"/>
      <c r="QGM167" s="102"/>
      <c r="QGN167" s="102"/>
      <c r="QGO167" s="102"/>
      <c r="QGP167" s="102"/>
      <c r="QGQ167" s="102"/>
      <c r="QGR167" s="102"/>
      <c r="QGS167" s="102"/>
      <c r="QGT167" s="102"/>
      <c r="QGU167" s="102"/>
      <c r="QGV167" s="102"/>
      <c r="QGW167" s="102"/>
      <c r="QGX167" s="102"/>
      <c r="QGY167" s="102"/>
      <c r="QGZ167" s="102"/>
      <c r="QHA167" s="102"/>
      <c r="QHB167" s="102"/>
      <c r="QHC167" s="102"/>
      <c r="QHD167" s="102"/>
      <c r="QHE167" s="102"/>
      <c r="QHF167" s="102"/>
      <c r="QHG167" s="102"/>
      <c r="QHH167" s="102"/>
      <c r="QHI167" s="102"/>
      <c r="QHJ167" s="102"/>
      <c r="QHK167" s="102"/>
      <c r="QHL167" s="102"/>
      <c r="QHM167" s="102"/>
      <c r="QHN167" s="102"/>
      <c r="QHO167" s="102"/>
      <c r="QHP167" s="102"/>
      <c r="QHQ167" s="102"/>
      <c r="QHR167" s="102"/>
      <c r="QHS167" s="102"/>
      <c r="QHT167" s="102"/>
      <c r="QHU167" s="102"/>
      <c r="QHV167" s="102"/>
      <c r="QHW167" s="102"/>
      <c r="QHX167" s="102"/>
      <c r="QHY167" s="102"/>
      <c r="QHZ167" s="102"/>
      <c r="QIA167" s="102"/>
      <c r="QIB167" s="102"/>
      <c r="QIC167" s="102"/>
      <c r="QID167" s="102"/>
      <c r="QIE167" s="102"/>
      <c r="QIF167" s="102"/>
      <c r="QIG167" s="102"/>
      <c r="QIH167" s="102"/>
      <c r="QII167" s="102"/>
      <c r="QIJ167" s="102"/>
      <c r="QIK167" s="102"/>
      <c r="QIL167" s="102"/>
      <c r="QIM167" s="102"/>
      <c r="QIN167" s="102"/>
      <c r="QIO167" s="102"/>
      <c r="QIP167" s="102"/>
      <c r="QIQ167" s="102"/>
      <c r="QIR167" s="102"/>
      <c r="QIS167" s="102"/>
      <c r="QIT167" s="102"/>
      <c r="QIU167" s="102"/>
      <c r="QIV167" s="102"/>
      <c r="QIW167" s="102"/>
      <c r="QIX167" s="102"/>
      <c r="QIY167" s="102"/>
      <c r="QIZ167" s="102"/>
      <c r="QJA167" s="102"/>
      <c r="QJB167" s="102"/>
      <c r="QJC167" s="102"/>
      <c r="QJD167" s="102"/>
      <c r="QJE167" s="102"/>
      <c r="QJF167" s="102"/>
      <c r="QJG167" s="102"/>
      <c r="QJH167" s="102"/>
      <c r="QJI167" s="102"/>
      <c r="QJJ167" s="102"/>
      <c r="QJK167" s="102"/>
      <c r="QJL167" s="102"/>
      <c r="QJM167" s="102"/>
      <c r="QJN167" s="102"/>
      <c r="QJO167" s="102"/>
      <c r="QJP167" s="102"/>
      <c r="QJQ167" s="102"/>
      <c r="QJR167" s="102"/>
      <c r="QJS167" s="102"/>
      <c r="QJT167" s="102"/>
      <c r="QJU167" s="102"/>
      <c r="QJV167" s="102"/>
      <c r="QJW167" s="102"/>
      <c r="QJX167" s="102"/>
      <c r="QJY167" s="102"/>
      <c r="QJZ167" s="102"/>
      <c r="QKA167" s="102"/>
      <c r="QKB167" s="102"/>
      <c r="QKC167" s="102"/>
      <c r="QKD167" s="102"/>
      <c r="QKE167" s="102"/>
      <c r="QKF167" s="102"/>
      <c r="QKG167" s="102"/>
      <c r="QKH167" s="102"/>
      <c r="QKI167" s="102"/>
      <c r="QKJ167" s="102"/>
      <c r="QKK167" s="102"/>
      <c r="QKL167" s="102"/>
      <c r="QKM167" s="102"/>
      <c r="QKN167" s="102"/>
      <c r="QKO167" s="102"/>
      <c r="QKP167" s="102"/>
      <c r="QKQ167" s="102"/>
      <c r="QKR167" s="102"/>
      <c r="QKS167" s="102"/>
      <c r="QKT167" s="102"/>
      <c r="QKU167" s="102"/>
      <c r="QKV167" s="102"/>
      <c r="QKW167" s="102"/>
      <c r="QKX167" s="102"/>
      <c r="QKY167" s="102"/>
      <c r="QKZ167" s="102"/>
      <c r="QLA167" s="102"/>
      <c r="QLB167" s="102"/>
      <c r="QLC167" s="102"/>
      <c r="QLD167" s="102"/>
      <c r="QLE167" s="102"/>
      <c r="QLF167" s="102"/>
      <c r="QLG167" s="102"/>
      <c r="QLH167" s="102"/>
      <c r="QLI167" s="102"/>
      <c r="QLJ167" s="102"/>
      <c r="QLK167" s="102"/>
      <c r="QLL167" s="102"/>
      <c r="QLM167" s="102"/>
      <c r="QLN167" s="102"/>
      <c r="QLO167" s="102"/>
      <c r="QLP167" s="102"/>
      <c r="QLQ167" s="102"/>
      <c r="QLR167" s="102"/>
      <c r="QLS167" s="102"/>
      <c r="QLT167" s="102"/>
      <c r="QLU167" s="102"/>
      <c r="QLV167" s="102"/>
      <c r="QLW167" s="102"/>
      <c r="QLX167" s="102"/>
      <c r="QLY167" s="102"/>
      <c r="QLZ167" s="102"/>
      <c r="QMA167" s="102"/>
      <c r="QMB167" s="102"/>
      <c r="QMC167" s="102"/>
      <c r="QMD167" s="102"/>
      <c r="QME167" s="102"/>
      <c r="QMF167" s="102"/>
      <c r="QMG167" s="102"/>
      <c r="QMH167" s="102"/>
      <c r="QMI167" s="102"/>
      <c r="QMJ167" s="102"/>
      <c r="QMK167" s="102"/>
      <c r="QML167" s="102"/>
      <c r="QMM167" s="102"/>
      <c r="QMN167" s="102"/>
      <c r="QMO167" s="102"/>
      <c r="QMP167" s="102"/>
      <c r="QMQ167" s="102"/>
      <c r="QMR167" s="102"/>
      <c r="QMS167" s="102"/>
      <c r="QMT167" s="102"/>
      <c r="QMU167" s="102"/>
      <c r="QMV167" s="102"/>
      <c r="QMW167" s="102"/>
      <c r="QMX167" s="102"/>
      <c r="QMY167" s="102"/>
      <c r="QMZ167" s="102"/>
      <c r="QNA167" s="102"/>
      <c r="QNB167" s="102"/>
      <c r="QNC167" s="102"/>
      <c r="QND167" s="102"/>
      <c r="QNE167" s="102"/>
      <c r="QNF167" s="102"/>
      <c r="QNG167" s="102"/>
      <c r="QNH167" s="102"/>
      <c r="QNI167" s="102"/>
      <c r="QNJ167" s="102"/>
      <c r="QNK167" s="102"/>
      <c r="QNL167" s="102"/>
      <c r="QNM167" s="102"/>
      <c r="QNN167" s="102"/>
      <c r="QNO167" s="102"/>
      <c r="QNP167" s="102"/>
      <c r="QNQ167" s="102"/>
      <c r="QNR167" s="102"/>
      <c r="QNS167" s="102"/>
      <c r="QNT167" s="102"/>
      <c r="QNU167" s="102"/>
      <c r="QNV167" s="102"/>
      <c r="QNW167" s="102"/>
      <c r="QNX167" s="102"/>
      <c r="QNY167" s="102"/>
      <c r="QNZ167" s="102"/>
      <c r="QOA167" s="102"/>
      <c r="QOB167" s="102"/>
      <c r="QOC167" s="102"/>
      <c r="QOD167" s="102"/>
      <c r="QOE167" s="102"/>
      <c r="QOF167" s="102"/>
      <c r="QOG167" s="102"/>
      <c r="QOH167" s="102"/>
      <c r="QOI167" s="102"/>
      <c r="QOJ167" s="102"/>
      <c r="QOK167" s="102"/>
      <c r="QOL167" s="102"/>
      <c r="QOM167" s="102"/>
      <c r="QON167" s="102"/>
      <c r="QOO167" s="102"/>
      <c r="QOP167" s="102"/>
      <c r="QOQ167" s="102"/>
      <c r="QOR167" s="102"/>
      <c r="QOS167" s="102"/>
      <c r="QOT167" s="102"/>
      <c r="QOU167" s="102"/>
      <c r="QOV167" s="102"/>
      <c r="QOW167" s="102"/>
      <c r="QOX167" s="102"/>
      <c r="QOY167" s="102"/>
      <c r="QOZ167" s="102"/>
      <c r="QPA167" s="102"/>
      <c r="QPB167" s="102"/>
      <c r="QPC167" s="102"/>
      <c r="QPD167" s="102"/>
      <c r="QPE167" s="102"/>
      <c r="QPF167" s="102"/>
      <c r="QPG167" s="102"/>
      <c r="QPH167" s="102"/>
      <c r="QPI167" s="102"/>
      <c r="QPJ167" s="102"/>
      <c r="QPK167" s="102"/>
      <c r="QPL167" s="102"/>
      <c r="QPM167" s="102"/>
      <c r="QPN167" s="102"/>
      <c r="QPO167" s="102"/>
      <c r="QPP167" s="102"/>
      <c r="QPQ167" s="102"/>
      <c r="QPR167" s="102"/>
      <c r="QPS167" s="102"/>
      <c r="QPT167" s="102"/>
      <c r="QPU167" s="102"/>
      <c r="QPV167" s="102"/>
      <c r="QPW167" s="102"/>
      <c r="QPX167" s="102"/>
      <c r="QPY167" s="102"/>
      <c r="QPZ167" s="102"/>
      <c r="QQA167" s="102"/>
      <c r="QQB167" s="102"/>
      <c r="QQC167" s="102"/>
      <c r="QQD167" s="102"/>
      <c r="QQE167" s="102"/>
      <c r="QQF167" s="102"/>
      <c r="QQG167" s="102"/>
      <c r="QQH167" s="102"/>
      <c r="QQI167" s="102"/>
      <c r="QQJ167" s="102"/>
      <c r="QQK167" s="102"/>
      <c r="QQL167" s="102"/>
      <c r="QQM167" s="102"/>
      <c r="QQN167" s="102"/>
      <c r="QQO167" s="102"/>
      <c r="QQP167" s="102"/>
      <c r="QQQ167" s="102"/>
      <c r="QQR167" s="102"/>
      <c r="QQS167" s="102"/>
      <c r="QQT167" s="102"/>
      <c r="QQU167" s="102"/>
      <c r="QQV167" s="102"/>
      <c r="QQW167" s="102"/>
      <c r="QQX167" s="102"/>
      <c r="QQY167" s="102"/>
      <c r="QQZ167" s="102"/>
      <c r="QRA167" s="102"/>
      <c r="QRB167" s="102"/>
      <c r="QRC167" s="102"/>
      <c r="QRD167" s="102"/>
      <c r="QRE167" s="102"/>
      <c r="QRF167" s="102"/>
      <c r="QRG167" s="102"/>
      <c r="QRH167" s="102"/>
      <c r="QRI167" s="102"/>
      <c r="QRJ167" s="102"/>
      <c r="QRK167" s="102"/>
      <c r="QRL167" s="102"/>
      <c r="QRM167" s="102"/>
      <c r="QRN167" s="102"/>
      <c r="QRO167" s="102"/>
      <c r="QRP167" s="102"/>
      <c r="QRQ167" s="102"/>
      <c r="QRR167" s="102"/>
      <c r="QRS167" s="102"/>
      <c r="QRT167" s="102"/>
      <c r="QRU167" s="102"/>
      <c r="QRV167" s="102"/>
      <c r="QRW167" s="102"/>
      <c r="QRX167" s="102"/>
      <c r="QRY167" s="102"/>
      <c r="QRZ167" s="102"/>
      <c r="QSA167" s="102"/>
      <c r="QSB167" s="102"/>
      <c r="QSC167" s="102"/>
      <c r="QSD167" s="102"/>
      <c r="QSE167" s="102"/>
      <c r="QSF167" s="102"/>
      <c r="QSG167" s="102"/>
      <c r="QSH167" s="102"/>
      <c r="QSI167" s="102"/>
      <c r="QSJ167" s="102"/>
      <c r="QSK167" s="102"/>
      <c r="QSL167" s="102"/>
      <c r="QSM167" s="102"/>
      <c r="QSN167" s="102"/>
      <c r="QSO167" s="102"/>
      <c r="QSP167" s="102"/>
      <c r="QSQ167" s="102"/>
      <c r="QSR167" s="102"/>
      <c r="QSS167" s="102"/>
      <c r="QST167" s="102"/>
      <c r="QSU167" s="102"/>
      <c r="QSV167" s="102"/>
      <c r="QSW167" s="102"/>
      <c r="QSX167" s="102"/>
      <c r="QSY167" s="102"/>
      <c r="QSZ167" s="102"/>
      <c r="QTA167" s="102"/>
      <c r="QTB167" s="102"/>
      <c r="QTC167" s="102"/>
      <c r="QTD167" s="102"/>
      <c r="QTE167" s="102"/>
      <c r="QTF167" s="102"/>
      <c r="QTG167" s="102"/>
      <c r="QTH167" s="102"/>
      <c r="QTI167" s="102"/>
      <c r="QTJ167" s="102"/>
      <c r="QTK167" s="102"/>
      <c r="QTL167" s="102"/>
      <c r="QTM167" s="102"/>
      <c r="QTN167" s="102"/>
      <c r="QTO167" s="102"/>
      <c r="QTP167" s="102"/>
      <c r="QTQ167" s="102"/>
      <c r="QTR167" s="102"/>
      <c r="QTS167" s="102"/>
      <c r="QTT167" s="102"/>
      <c r="QTU167" s="102"/>
      <c r="QTV167" s="102"/>
      <c r="QTW167" s="102"/>
      <c r="QTX167" s="102"/>
      <c r="QTY167" s="102"/>
      <c r="QTZ167" s="102"/>
      <c r="QUA167" s="102"/>
      <c r="QUB167" s="102"/>
      <c r="QUC167" s="102"/>
      <c r="QUD167" s="102"/>
      <c r="QUE167" s="102"/>
      <c r="QUF167" s="102"/>
      <c r="QUG167" s="102"/>
      <c r="QUH167" s="102"/>
      <c r="QUI167" s="102"/>
      <c r="QUJ167" s="102"/>
      <c r="QUK167" s="102"/>
      <c r="QUL167" s="102"/>
      <c r="QUM167" s="102"/>
      <c r="QUN167" s="102"/>
      <c r="QUO167" s="102"/>
      <c r="QUP167" s="102"/>
      <c r="QUQ167" s="102"/>
      <c r="QUR167" s="102"/>
      <c r="QUS167" s="102"/>
      <c r="QUT167" s="102"/>
      <c r="QUU167" s="102"/>
      <c r="QUV167" s="102"/>
      <c r="QUW167" s="102"/>
      <c r="QUX167" s="102"/>
      <c r="QUY167" s="102"/>
      <c r="QUZ167" s="102"/>
      <c r="QVA167" s="102"/>
      <c r="QVB167" s="102"/>
      <c r="QVC167" s="102"/>
      <c r="QVD167" s="102"/>
      <c r="QVE167" s="102"/>
      <c r="QVF167" s="102"/>
      <c r="QVG167" s="102"/>
      <c r="QVH167" s="102"/>
      <c r="QVI167" s="102"/>
      <c r="QVJ167" s="102"/>
      <c r="QVK167" s="102"/>
      <c r="QVL167" s="102"/>
      <c r="QVM167" s="102"/>
      <c r="QVN167" s="102"/>
      <c r="QVO167" s="102"/>
      <c r="QVP167" s="102"/>
      <c r="QVQ167" s="102"/>
      <c r="QVR167" s="102"/>
      <c r="QVS167" s="102"/>
      <c r="QVT167" s="102"/>
      <c r="QVU167" s="102"/>
      <c r="QVV167" s="102"/>
      <c r="QVW167" s="102"/>
      <c r="QVX167" s="102"/>
      <c r="QVY167" s="102"/>
      <c r="QVZ167" s="102"/>
      <c r="QWA167" s="102"/>
      <c r="QWB167" s="102"/>
      <c r="QWC167" s="102"/>
      <c r="QWD167" s="102"/>
      <c r="QWE167" s="102"/>
      <c r="QWF167" s="102"/>
      <c r="QWG167" s="102"/>
      <c r="QWH167" s="102"/>
      <c r="QWI167" s="102"/>
      <c r="QWJ167" s="102"/>
      <c r="QWK167" s="102"/>
      <c r="QWL167" s="102"/>
      <c r="QWM167" s="102"/>
      <c r="QWN167" s="102"/>
      <c r="QWO167" s="102"/>
      <c r="QWP167" s="102"/>
      <c r="QWQ167" s="102"/>
      <c r="QWR167" s="102"/>
      <c r="QWS167" s="102"/>
      <c r="QWT167" s="102"/>
      <c r="QWU167" s="102"/>
      <c r="QWV167" s="102"/>
      <c r="QWW167" s="102"/>
      <c r="QWX167" s="102"/>
      <c r="QWY167" s="102"/>
      <c r="QWZ167" s="102"/>
      <c r="QXA167" s="102"/>
      <c r="QXB167" s="102"/>
      <c r="QXC167" s="102"/>
      <c r="QXD167" s="102"/>
      <c r="QXE167" s="102"/>
      <c r="QXF167" s="102"/>
      <c r="QXG167" s="102"/>
      <c r="QXH167" s="102"/>
      <c r="QXI167" s="102"/>
      <c r="QXJ167" s="102"/>
      <c r="QXK167" s="102"/>
      <c r="QXL167" s="102"/>
      <c r="QXM167" s="102"/>
      <c r="QXN167" s="102"/>
      <c r="QXO167" s="102"/>
      <c r="QXP167" s="102"/>
      <c r="QXQ167" s="102"/>
      <c r="QXR167" s="102"/>
      <c r="QXS167" s="102"/>
      <c r="QXT167" s="102"/>
      <c r="QXU167" s="102"/>
      <c r="QXV167" s="102"/>
      <c r="QXW167" s="102"/>
      <c r="QXX167" s="102"/>
      <c r="QXY167" s="102"/>
      <c r="QXZ167" s="102"/>
      <c r="QYA167" s="102"/>
      <c r="QYB167" s="102"/>
      <c r="QYC167" s="102"/>
      <c r="QYD167" s="102"/>
      <c r="QYE167" s="102"/>
      <c r="QYF167" s="102"/>
      <c r="QYG167" s="102"/>
      <c r="QYH167" s="102"/>
      <c r="QYI167" s="102"/>
      <c r="QYJ167" s="102"/>
      <c r="QYK167" s="102"/>
      <c r="QYL167" s="102"/>
      <c r="QYM167" s="102"/>
      <c r="QYN167" s="102"/>
      <c r="QYO167" s="102"/>
      <c r="QYP167" s="102"/>
      <c r="QYQ167" s="102"/>
      <c r="QYR167" s="102"/>
      <c r="QYS167" s="102"/>
      <c r="QYT167" s="102"/>
      <c r="QYU167" s="102"/>
      <c r="QYV167" s="102"/>
      <c r="QYW167" s="102"/>
      <c r="QYX167" s="102"/>
      <c r="QYY167" s="102"/>
      <c r="QYZ167" s="102"/>
      <c r="QZA167" s="102"/>
      <c r="QZB167" s="102"/>
      <c r="QZC167" s="102"/>
      <c r="QZD167" s="102"/>
      <c r="QZE167" s="102"/>
      <c r="QZF167" s="102"/>
      <c r="QZG167" s="102"/>
      <c r="QZH167" s="102"/>
      <c r="QZI167" s="102"/>
      <c r="QZJ167" s="102"/>
      <c r="QZK167" s="102"/>
      <c r="QZL167" s="102"/>
      <c r="QZM167" s="102"/>
      <c r="QZN167" s="102"/>
      <c r="QZO167" s="102"/>
      <c r="QZP167" s="102"/>
      <c r="QZQ167" s="102"/>
      <c r="QZR167" s="102"/>
      <c r="QZS167" s="102"/>
      <c r="QZT167" s="102"/>
      <c r="QZU167" s="102"/>
      <c r="QZV167" s="102"/>
      <c r="QZW167" s="102"/>
      <c r="QZX167" s="102"/>
      <c r="QZY167" s="102"/>
      <c r="QZZ167" s="102"/>
      <c r="RAA167" s="102"/>
      <c r="RAB167" s="102"/>
      <c r="RAC167" s="102"/>
      <c r="RAD167" s="102"/>
      <c r="RAE167" s="102"/>
      <c r="RAF167" s="102"/>
      <c r="RAG167" s="102"/>
      <c r="RAH167" s="102"/>
      <c r="RAI167" s="102"/>
      <c r="RAJ167" s="102"/>
      <c r="RAK167" s="102"/>
      <c r="RAL167" s="102"/>
      <c r="RAM167" s="102"/>
      <c r="RAN167" s="102"/>
      <c r="RAO167" s="102"/>
      <c r="RAP167" s="102"/>
      <c r="RAQ167" s="102"/>
      <c r="RAR167" s="102"/>
      <c r="RAS167" s="102"/>
      <c r="RAT167" s="102"/>
      <c r="RAU167" s="102"/>
      <c r="RAV167" s="102"/>
      <c r="RAW167" s="102"/>
      <c r="RAX167" s="102"/>
      <c r="RAY167" s="102"/>
      <c r="RAZ167" s="102"/>
      <c r="RBA167" s="102"/>
      <c r="RBB167" s="102"/>
      <c r="RBC167" s="102"/>
      <c r="RBD167" s="102"/>
      <c r="RBE167" s="102"/>
      <c r="RBF167" s="102"/>
      <c r="RBG167" s="102"/>
      <c r="RBH167" s="102"/>
      <c r="RBI167" s="102"/>
      <c r="RBJ167" s="102"/>
      <c r="RBK167" s="102"/>
      <c r="RBL167" s="102"/>
      <c r="RBM167" s="102"/>
      <c r="RBN167" s="102"/>
      <c r="RBO167" s="102"/>
      <c r="RBP167" s="102"/>
      <c r="RBQ167" s="102"/>
      <c r="RBR167" s="102"/>
      <c r="RBS167" s="102"/>
      <c r="RBT167" s="102"/>
      <c r="RBU167" s="102"/>
      <c r="RBV167" s="102"/>
      <c r="RBW167" s="102"/>
      <c r="RBX167" s="102"/>
      <c r="RBY167" s="102"/>
      <c r="RBZ167" s="102"/>
      <c r="RCA167" s="102"/>
      <c r="RCB167" s="102"/>
      <c r="RCC167" s="102"/>
      <c r="RCD167" s="102"/>
      <c r="RCE167" s="102"/>
      <c r="RCF167" s="102"/>
      <c r="RCG167" s="102"/>
      <c r="RCH167" s="102"/>
      <c r="RCI167" s="102"/>
      <c r="RCJ167" s="102"/>
      <c r="RCK167" s="102"/>
      <c r="RCL167" s="102"/>
      <c r="RCM167" s="102"/>
      <c r="RCN167" s="102"/>
      <c r="RCO167" s="102"/>
      <c r="RCP167" s="102"/>
      <c r="RCQ167" s="102"/>
      <c r="RCR167" s="102"/>
      <c r="RCS167" s="102"/>
      <c r="RCT167" s="102"/>
      <c r="RCU167" s="102"/>
      <c r="RCV167" s="102"/>
      <c r="RCW167" s="102"/>
      <c r="RCX167" s="102"/>
      <c r="RCY167" s="102"/>
      <c r="RCZ167" s="102"/>
      <c r="RDA167" s="102"/>
      <c r="RDB167" s="102"/>
      <c r="RDC167" s="102"/>
      <c r="RDD167" s="102"/>
      <c r="RDE167" s="102"/>
      <c r="RDF167" s="102"/>
      <c r="RDG167" s="102"/>
      <c r="RDH167" s="102"/>
      <c r="RDI167" s="102"/>
      <c r="RDJ167" s="102"/>
      <c r="RDK167" s="102"/>
      <c r="RDL167" s="102"/>
      <c r="RDM167" s="102"/>
      <c r="RDN167" s="102"/>
      <c r="RDO167" s="102"/>
      <c r="RDP167" s="102"/>
      <c r="RDQ167" s="102"/>
      <c r="RDR167" s="102"/>
      <c r="RDS167" s="102"/>
      <c r="RDT167" s="102"/>
      <c r="RDU167" s="102"/>
      <c r="RDV167" s="102"/>
      <c r="RDW167" s="102"/>
      <c r="RDX167" s="102"/>
      <c r="RDY167" s="102"/>
      <c r="RDZ167" s="102"/>
      <c r="REA167" s="102"/>
      <c r="REB167" s="102"/>
      <c r="REC167" s="102"/>
      <c r="RED167" s="102"/>
      <c r="REE167" s="102"/>
      <c r="REF167" s="102"/>
      <c r="REG167" s="102"/>
      <c r="REH167" s="102"/>
      <c r="REI167" s="102"/>
      <c r="REJ167" s="102"/>
      <c r="REK167" s="102"/>
      <c r="REL167" s="102"/>
      <c r="REM167" s="102"/>
      <c r="REN167" s="102"/>
      <c r="REO167" s="102"/>
      <c r="REP167" s="102"/>
      <c r="REQ167" s="102"/>
      <c r="RER167" s="102"/>
      <c r="RES167" s="102"/>
      <c r="RET167" s="102"/>
      <c r="REU167" s="102"/>
      <c r="REV167" s="102"/>
      <c r="REW167" s="102"/>
      <c r="REX167" s="102"/>
      <c r="REY167" s="102"/>
      <c r="REZ167" s="102"/>
      <c r="RFA167" s="102"/>
      <c r="RFB167" s="102"/>
      <c r="RFC167" s="102"/>
      <c r="RFD167" s="102"/>
      <c r="RFE167" s="102"/>
      <c r="RFF167" s="102"/>
      <c r="RFG167" s="102"/>
      <c r="RFH167" s="102"/>
      <c r="RFI167" s="102"/>
      <c r="RFJ167" s="102"/>
      <c r="RFK167" s="102"/>
      <c r="RFL167" s="102"/>
      <c r="RFM167" s="102"/>
      <c r="RFN167" s="102"/>
      <c r="RFO167" s="102"/>
      <c r="RFP167" s="102"/>
      <c r="RFQ167" s="102"/>
      <c r="RFR167" s="102"/>
      <c r="RFS167" s="102"/>
      <c r="RFT167" s="102"/>
      <c r="RFU167" s="102"/>
      <c r="RFV167" s="102"/>
      <c r="RFW167" s="102"/>
      <c r="RFX167" s="102"/>
      <c r="RFY167" s="102"/>
      <c r="RFZ167" s="102"/>
      <c r="RGA167" s="102"/>
      <c r="RGB167" s="102"/>
      <c r="RGC167" s="102"/>
      <c r="RGD167" s="102"/>
      <c r="RGE167" s="102"/>
      <c r="RGF167" s="102"/>
      <c r="RGG167" s="102"/>
      <c r="RGH167" s="102"/>
      <c r="RGI167" s="102"/>
      <c r="RGJ167" s="102"/>
      <c r="RGK167" s="102"/>
      <c r="RGL167" s="102"/>
      <c r="RGM167" s="102"/>
      <c r="RGN167" s="102"/>
      <c r="RGO167" s="102"/>
      <c r="RGP167" s="102"/>
      <c r="RGQ167" s="102"/>
      <c r="RGR167" s="102"/>
      <c r="RGS167" s="102"/>
      <c r="RGT167" s="102"/>
      <c r="RGU167" s="102"/>
      <c r="RGV167" s="102"/>
      <c r="RGW167" s="102"/>
      <c r="RGX167" s="102"/>
      <c r="RGY167" s="102"/>
      <c r="RGZ167" s="102"/>
      <c r="RHA167" s="102"/>
      <c r="RHB167" s="102"/>
      <c r="RHC167" s="102"/>
      <c r="RHD167" s="102"/>
      <c r="RHE167" s="102"/>
      <c r="RHF167" s="102"/>
      <c r="RHG167" s="102"/>
      <c r="RHH167" s="102"/>
      <c r="RHI167" s="102"/>
      <c r="RHJ167" s="102"/>
      <c r="RHK167" s="102"/>
      <c r="RHL167" s="102"/>
      <c r="RHM167" s="102"/>
      <c r="RHN167" s="102"/>
      <c r="RHO167" s="102"/>
      <c r="RHP167" s="102"/>
      <c r="RHQ167" s="102"/>
      <c r="RHR167" s="102"/>
      <c r="RHS167" s="102"/>
      <c r="RHT167" s="102"/>
      <c r="RHU167" s="102"/>
      <c r="RHV167" s="102"/>
      <c r="RHW167" s="102"/>
      <c r="RHX167" s="102"/>
      <c r="RHY167" s="102"/>
      <c r="RHZ167" s="102"/>
      <c r="RIA167" s="102"/>
      <c r="RIB167" s="102"/>
      <c r="RIC167" s="102"/>
      <c r="RID167" s="102"/>
      <c r="RIE167" s="102"/>
      <c r="RIF167" s="102"/>
      <c r="RIG167" s="102"/>
      <c r="RIH167" s="102"/>
      <c r="RII167" s="102"/>
      <c r="RIJ167" s="102"/>
      <c r="RIK167" s="102"/>
      <c r="RIL167" s="102"/>
      <c r="RIM167" s="102"/>
      <c r="RIN167" s="102"/>
      <c r="RIO167" s="102"/>
      <c r="RIP167" s="102"/>
      <c r="RIQ167" s="102"/>
      <c r="RIR167" s="102"/>
      <c r="RIS167" s="102"/>
      <c r="RIT167" s="102"/>
      <c r="RIU167" s="102"/>
      <c r="RIV167" s="102"/>
      <c r="RIW167" s="102"/>
      <c r="RIX167" s="102"/>
      <c r="RIY167" s="102"/>
      <c r="RIZ167" s="102"/>
      <c r="RJA167" s="102"/>
      <c r="RJB167" s="102"/>
      <c r="RJC167" s="102"/>
      <c r="RJD167" s="102"/>
      <c r="RJE167" s="102"/>
      <c r="RJF167" s="102"/>
      <c r="RJG167" s="102"/>
      <c r="RJH167" s="102"/>
      <c r="RJI167" s="102"/>
      <c r="RJJ167" s="102"/>
      <c r="RJK167" s="102"/>
      <c r="RJL167" s="102"/>
      <c r="RJM167" s="102"/>
      <c r="RJN167" s="102"/>
      <c r="RJO167" s="102"/>
      <c r="RJP167" s="102"/>
      <c r="RJQ167" s="102"/>
      <c r="RJR167" s="102"/>
      <c r="RJS167" s="102"/>
      <c r="RJT167" s="102"/>
      <c r="RJU167" s="102"/>
      <c r="RJV167" s="102"/>
      <c r="RJW167" s="102"/>
      <c r="RJX167" s="102"/>
      <c r="RJY167" s="102"/>
      <c r="RJZ167" s="102"/>
      <c r="RKA167" s="102"/>
      <c r="RKB167" s="102"/>
      <c r="RKC167" s="102"/>
      <c r="RKD167" s="102"/>
      <c r="RKE167" s="102"/>
      <c r="RKF167" s="102"/>
      <c r="RKG167" s="102"/>
      <c r="RKH167" s="102"/>
      <c r="RKI167" s="102"/>
      <c r="RKJ167" s="102"/>
      <c r="RKK167" s="102"/>
      <c r="RKL167" s="102"/>
      <c r="RKM167" s="102"/>
      <c r="RKN167" s="102"/>
      <c r="RKO167" s="102"/>
      <c r="RKP167" s="102"/>
      <c r="RKQ167" s="102"/>
      <c r="RKR167" s="102"/>
      <c r="RKS167" s="102"/>
      <c r="RKT167" s="102"/>
      <c r="RKU167" s="102"/>
      <c r="RKV167" s="102"/>
      <c r="RKW167" s="102"/>
      <c r="RKX167" s="102"/>
      <c r="RKY167" s="102"/>
      <c r="RKZ167" s="102"/>
      <c r="RLA167" s="102"/>
      <c r="RLB167" s="102"/>
      <c r="RLC167" s="102"/>
      <c r="RLD167" s="102"/>
      <c r="RLE167" s="102"/>
      <c r="RLF167" s="102"/>
      <c r="RLG167" s="102"/>
      <c r="RLH167" s="102"/>
      <c r="RLI167" s="102"/>
      <c r="RLJ167" s="102"/>
      <c r="RLK167" s="102"/>
      <c r="RLL167" s="102"/>
      <c r="RLM167" s="102"/>
      <c r="RLN167" s="102"/>
      <c r="RLO167" s="102"/>
      <c r="RLP167" s="102"/>
      <c r="RLQ167" s="102"/>
      <c r="RLR167" s="102"/>
      <c r="RLS167" s="102"/>
      <c r="RLT167" s="102"/>
      <c r="RLU167" s="102"/>
      <c r="RLV167" s="102"/>
      <c r="RLW167" s="102"/>
      <c r="RLX167" s="102"/>
      <c r="RLY167" s="102"/>
      <c r="RLZ167" s="102"/>
      <c r="RMA167" s="102"/>
      <c r="RMB167" s="102"/>
      <c r="RMC167" s="102"/>
      <c r="RMD167" s="102"/>
      <c r="RME167" s="102"/>
      <c r="RMF167" s="102"/>
      <c r="RMG167" s="102"/>
      <c r="RMH167" s="102"/>
      <c r="RMI167" s="102"/>
      <c r="RMJ167" s="102"/>
      <c r="RMK167" s="102"/>
      <c r="RML167" s="102"/>
      <c r="RMM167" s="102"/>
      <c r="RMN167" s="102"/>
      <c r="RMO167" s="102"/>
      <c r="RMP167" s="102"/>
      <c r="RMQ167" s="102"/>
      <c r="RMR167" s="102"/>
      <c r="RMS167" s="102"/>
      <c r="RMT167" s="102"/>
      <c r="RMU167" s="102"/>
      <c r="RMV167" s="102"/>
      <c r="RMW167" s="102"/>
      <c r="RMX167" s="102"/>
      <c r="RMY167" s="102"/>
      <c r="RMZ167" s="102"/>
      <c r="RNA167" s="102"/>
      <c r="RNB167" s="102"/>
      <c r="RNC167" s="102"/>
      <c r="RND167" s="102"/>
      <c r="RNE167" s="102"/>
      <c r="RNF167" s="102"/>
      <c r="RNG167" s="102"/>
      <c r="RNH167" s="102"/>
      <c r="RNI167" s="102"/>
      <c r="RNJ167" s="102"/>
      <c r="RNK167" s="102"/>
      <c r="RNL167" s="102"/>
      <c r="RNM167" s="102"/>
      <c r="RNN167" s="102"/>
      <c r="RNO167" s="102"/>
      <c r="RNP167" s="102"/>
      <c r="RNQ167" s="102"/>
      <c r="RNR167" s="102"/>
      <c r="RNS167" s="102"/>
      <c r="RNT167" s="102"/>
      <c r="RNU167" s="102"/>
      <c r="RNV167" s="102"/>
      <c r="RNW167" s="102"/>
      <c r="RNX167" s="102"/>
      <c r="RNY167" s="102"/>
      <c r="RNZ167" s="102"/>
      <c r="ROA167" s="102"/>
      <c r="ROB167" s="102"/>
      <c r="ROC167" s="102"/>
      <c r="ROD167" s="102"/>
      <c r="ROE167" s="102"/>
      <c r="ROF167" s="102"/>
      <c r="ROG167" s="102"/>
      <c r="ROH167" s="102"/>
      <c r="ROI167" s="102"/>
      <c r="ROJ167" s="102"/>
      <c r="ROK167" s="102"/>
      <c r="ROL167" s="102"/>
      <c r="ROM167" s="102"/>
      <c r="RON167" s="102"/>
      <c r="ROO167" s="102"/>
      <c r="ROP167" s="102"/>
      <c r="ROQ167" s="102"/>
      <c r="ROR167" s="102"/>
      <c r="ROS167" s="102"/>
      <c r="ROT167" s="102"/>
      <c r="ROU167" s="102"/>
      <c r="ROV167" s="102"/>
      <c r="ROW167" s="102"/>
      <c r="ROX167" s="102"/>
      <c r="ROY167" s="102"/>
      <c r="ROZ167" s="102"/>
      <c r="RPA167" s="102"/>
      <c r="RPB167" s="102"/>
      <c r="RPC167" s="102"/>
      <c r="RPD167" s="102"/>
      <c r="RPE167" s="102"/>
      <c r="RPF167" s="102"/>
      <c r="RPG167" s="102"/>
      <c r="RPH167" s="102"/>
      <c r="RPI167" s="102"/>
      <c r="RPJ167" s="102"/>
      <c r="RPK167" s="102"/>
      <c r="RPL167" s="102"/>
      <c r="RPM167" s="102"/>
      <c r="RPN167" s="102"/>
      <c r="RPO167" s="102"/>
      <c r="RPP167" s="102"/>
      <c r="RPQ167" s="102"/>
      <c r="RPR167" s="102"/>
      <c r="RPS167" s="102"/>
      <c r="RPT167" s="102"/>
      <c r="RPU167" s="102"/>
      <c r="RPV167" s="102"/>
      <c r="RPW167" s="102"/>
      <c r="RPX167" s="102"/>
      <c r="RPY167" s="102"/>
      <c r="RPZ167" s="102"/>
      <c r="RQA167" s="102"/>
      <c r="RQB167" s="102"/>
      <c r="RQC167" s="102"/>
      <c r="RQD167" s="102"/>
      <c r="RQE167" s="102"/>
      <c r="RQF167" s="102"/>
      <c r="RQG167" s="102"/>
      <c r="RQH167" s="102"/>
      <c r="RQI167" s="102"/>
      <c r="RQJ167" s="102"/>
      <c r="RQK167" s="102"/>
      <c r="RQL167" s="102"/>
      <c r="RQM167" s="102"/>
      <c r="RQN167" s="102"/>
      <c r="RQO167" s="102"/>
      <c r="RQP167" s="102"/>
      <c r="RQQ167" s="102"/>
      <c r="RQR167" s="102"/>
      <c r="RQS167" s="102"/>
      <c r="RQT167" s="102"/>
      <c r="RQU167" s="102"/>
      <c r="RQV167" s="102"/>
      <c r="RQW167" s="102"/>
      <c r="RQX167" s="102"/>
      <c r="RQY167" s="102"/>
      <c r="RQZ167" s="102"/>
      <c r="RRA167" s="102"/>
      <c r="RRB167" s="102"/>
      <c r="RRC167" s="102"/>
      <c r="RRD167" s="102"/>
      <c r="RRE167" s="102"/>
      <c r="RRF167" s="102"/>
      <c r="RRG167" s="102"/>
      <c r="RRH167" s="102"/>
      <c r="RRI167" s="102"/>
      <c r="RRJ167" s="102"/>
      <c r="RRK167" s="102"/>
      <c r="RRL167" s="102"/>
      <c r="RRM167" s="102"/>
      <c r="RRN167" s="102"/>
      <c r="RRO167" s="102"/>
      <c r="RRP167" s="102"/>
      <c r="RRQ167" s="102"/>
      <c r="RRR167" s="102"/>
      <c r="RRS167" s="102"/>
      <c r="RRT167" s="102"/>
      <c r="RRU167" s="102"/>
      <c r="RRV167" s="102"/>
      <c r="RRW167" s="102"/>
      <c r="RRX167" s="102"/>
      <c r="RRY167" s="102"/>
      <c r="RRZ167" s="102"/>
      <c r="RSA167" s="102"/>
      <c r="RSB167" s="102"/>
      <c r="RSC167" s="102"/>
      <c r="RSD167" s="102"/>
      <c r="RSE167" s="102"/>
      <c r="RSF167" s="102"/>
      <c r="RSG167" s="102"/>
      <c r="RSH167" s="102"/>
      <c r="RSI167" s="102"/>
      <c r="RSJ167" s="102"/>
      <c r="RSK167" s="102"/>
      <c r="RSL167" s="102"/>
      <c r="RSM167" s="102"/>
      <c r="RSN167" s="102"/>
      <c r="RSO167" s="102"/>
      <c r="RSP167" s="102"/>
      <c r="RSQ167" s="102"/>
      <c r="RSR167" s="102"/>
      <c r="RSS167" s="102"/>
      <c r="RST167" s="102"/>
      <c r="RSU167" s="102"/>
      <c r="RSV167" s="102"/>
      <c r="RSW167" s="102"/>
      <c r="RSX167" s="102"/>
      <c r="RSY167" s="102"/>
      <c r="RSZ167" s="102"/>
      <c r="RTA167" s="102"/>
      <c r="RTB167" s="102"/>
      <c r="RTC167" s="102"/>
      <c r="RTD167" s="102"/>
      <c r="RTE167" s="102"/>
      <c r="RTF167" s="102"/>
      <c r="RTG167" s="102"/>
      <c r="RTH167" s="102"/>
      <c r="RTI167" s="102"/>
      <c r="RTJ167" s="102"/>
      <c r="RTK167" s="102"/>
      <c r="RTL167" s="102"/>
      <c r="RTM167" s="102"/>
      <c r="RTN167" s="102"/>
      <c r="RTO167" s="102"/>
      <c r="RTP167" s="102"/>
      <c r="RTQ167" s="102"/>
      <c r="RTR167" s="102"/>
      <c r="RTS167" s="102"/>
      <c r="RTT167" s="102"/>
      <c r="RTU167" s="102"/>
      <c r="RTV167" s="102"/>
      <c r="RTW167" s="102"/>
      <c r="RTX167" s="102"/>
      <c r="RTY167" s="102"/>
      <c r="RTZ167" s="102"/>
      <c r="RUA167" s="102"/>
      <c r="RUB167" s="102"/>
      <c r="RUC167" s="102"/>
      <c r="RUD167" s="102"/>
      <c r="RUE167" s="102"/>
      <c r="RUF167" s="102"/>
      <c r="RUG167" s="102"/>
      <c r="RUH167" s="102"/>
      <c r="RUI167" s="102"/>
      <c r="RUJ167" s="102"/>
      <c r="RUK167" s="102"/>
      <c r="RUL167" s="102"/>
      <c r="RUM167" s="102"/>
      <c r="RUN167" s="102"/>
      <c r="RUO167" s="102"/>
      <c r="RUP167" s="102"/>
      <c r="RUQ167" s="102"/>
      <c r="RUR167" s="102"/>
      <c r="RUS167" s="102"/>
      <c r="RUT167" s="102"/>
      <c r="RUU167" s="102"/>
      <c r="RUV167" s="102"/>
      <c r="RUW167" s="102"/>
      <c r="RUX167" s="102"/>
      <c r="RUY167" s="102"/>
      <c r="RUZ167" s="102"/>
      <c r="RVA167" s="102"/>
      <c r="RVB167" s="102"/>
      <c r="RVC167" s="102"/>
      <c r="RVD167" s="102"/>
      <c r="RVE167" s="102"/>
      <c r="RVF167" s="102"/>
      <c r="RVG167" s="102"/>
      <c r="RVH167" s="102"/>
      <c r="RVI167" s="102"/>
      <c r="RVJ167" s="102"/>
      <c r="RVK167" s="102"/>
      <c r="RVL167" s="102"/>
      <c r="RVM167" s="102"/>
      <c r="RVN167" s="102"/>
      <c r="RVO167" s="102"/>
      <c r="RVP167" s="102"/>
      <c r="RVQ167" s="102"/>
      <c r="RVR167" s="102"/>
      <c r="RVS167" s="102"/>
      <c r="RVT167" s="102"/>
      <c r="RVU167" s="102"/>
      <c r="RVV167" s="102"/>
      <c r="RVW167" s="102"/>
      <c r="RVX167" s="102"/>
      <c r="RVY167" s="102"/>
      <c r="RVZ167" s="102"/>
      <c r="RWA167" s="102"/>
      <c r="RWB167" s="102"/>
      <c r="RWC167" s="102"/>
      <c r="RWD167" s="102"/>
      <c r="RWE167" s="102"/>
      <c r="RWF167" s="102"/>
      <c r="RWG167" s="102"/>
      <c r="RWH167" s="102"/>
      <c r="RWI167" s="102"/>
      <c r="RWJ167" s="102"/>
      <c r="RWK167" s="102"/>
      <c r="RWL167" s="102"/>
      <c r="RWM167" s="102"/>
      <c r="RWN167" s="102"/>
      <c r="RWO167" s="102"/>
      <c r="RWP167" s="102"/>
      <c r="RWQ167" s="102"/>
      <c r="RWR167" s="102"/>
      <c r="RWS167" s="102"/>
      <c r="RWT167" s="102"/>
      <c r="RWU167" s="102"/>
      <c r="RWV167" s="102"/>
      <c r="RWW167" s="102"/>
      <c r="RWX167" s="102"/>
      <c r="RWY167" s="102"/>
      <c r="RWZ167" s="102"/>
      <c r="RXA167" s="102"/>
      <c r="RXB167" s="102"/>
      <c r="RXC167" s="102"/>
      <c r="RXD167" s="102"/>
      <c r="RXE167" s="102"/>
      <c r="RXF167" s="102"/>
      <c r="RXG167" s="102"/>
      <c r="RXH167" s="102"/>
      <c r="RXI167" s="102"/>
      <c r="RXJ167" s="102"/>
      <c r="RXK167" s="102"/>
      <c r="RXL167" s="102"/>
      <c r="RXM167" s="102"/>
      <c r="RXN167" s="102"/>
      <c r="RXO167" s="102"/>
      <c r="RXP167" s="102"/>
      <c r="RXQ167" s="102"/>
      <c r="RXR167" s="102"/>
      <c r="RXS167" s="102"/>
      <c r="RXT167" s="102"/>
      <c r="RXU167" s="102"/>
      <c r="RXV167" s="102"/>
      <c r="RXW167" s="102"/>
      <c r="RXX167" s="102"/>
      <c r="RXY167" s="102"/>
      <c r="RXZ167" s="102"/>
      <c r="RYA167" s="102"/>
      <c r="RYB167" s="102"/>
      <c r="RYC167" s="102"/>
      <c r="RYD167" s="102"/>
      <c r="RYE167" s="102"/>
      <c r="RYF167" s="102"/>
      <c r="RYG167" s="102"/>
      <c r="RYH167" s="102"/>
      <c r="RYI167" s="102"/>
      <c r="RYJ167" s="102"/>
      <c r="RYK167" s="102"/>
      <c r="RYL167" s="102"/>
      <c r="RYM167" s="102"/>
      <c r="RYN167" s="102"/>
      <c r="RYO167" s="102"/>
      <c r="RYP167" s="102"/>
      <c r="RYQ167" s="102"/>
      <c r="RYR167" s="102"/>
      <c r="RYS167" s="102"/>
      <c r="RYT167" s="102"/>
      <c r="RYU167" s="102"/>
      <c r="RYV167" s="102"/>
      <c r="RYW167" s="102"/>
      <c r="RYX167" s="102"/>
      <c r="RYY167" s="102"/>
      <c r="RYZ167" s="102"/>
      <c r="RZA167" s="102"/>
      <c r="RZB167" s="102"/>
      <c r="RZC167" s="102"/>
      <c r="RZD167" s="102"/>
      <c r="RZE167" s="102"/>
      <c r="RZF167" s="102"/>
      <c r="RZG167" s="102"/>
      <c r="RZH167" s="102"/>
      <c r="RZI167" s="102"/>
      <c r="RZJ167" s="102"/>
      <c r="RZK167" s="102"/>
      <c r="RZL167" s="102"/>
      <c r="RZM167" s="102"/>
      <c r="RZN167" s="102"/>
      <c r="RZO167" s="102"/>
      <c r="RZP167" s="102"/>
      <c r="RZQ167" s="102"/>
      <c r="RZR167" s="102"/>
      <c r="RZS167" s="102"/>
      <c r="RZT167" s="102"/>
      <c r="RZU167" s="102"/>
      <c r="RZV167" s="102"/>
      <c r="RZW167" s="102"/>
      <c r="RZX167" s="102"/>
      <c r="RZY167" s="102"/>
      <c r="RZZ167" s="102"/>
      <c r="SAA167" s="102"/>
      <c r="SAB167" s="102"/>
      <c r="SAC167" s="102"/>
      <c r="SAD167" s="102"/>
      <c r="SAE167" s="102"/>
      <c r="SAF167" s="102"/>
      <c r="SAG167" s="102"/>
      <c r="SAH167" s="102"/>
      <c r="SAI167" s="102"/>
      <c r="SAJ167" s="102"/>
      <c r="SAK167" s="102"/>
      <c r="SAL167" s="102"/>
      <c r="SAM167" s="102"/>
      <c r="SAN167" s="102"/>
      <c r="SAO167" s="102"/>
      <c r="SAP167" s="102"/>
      <c r="SAQ167" s="102"/>
      <c r="SAR167" s="102"/>
      <c r="SAS167" s="102"/>
      <c r="SAT167" s="102"/>
      <c r="SAU167" s="102"/>
      <c r="SAV167" s="102"/>
      <c r="SAW167" s="102"/>
      <c r="SAX167" s="102"/>
      <c r="SAY167" s="102"/>
      <c r="SAZ167" s="102"/>
      <c r="SBA167" s="102"/>
      <c r="SBB167" s="102"/>
      <c r="SBC167" s="102"/>
      <c r="SBD167" s="102"/>
      <c r="SBE167" s="102"/>
      <c r="SBF167" s="102"/>
      <c r="SBG167" s="102"/>
      <c r="SBH167" s="102"/>
      <c r="SBI167" s="102"/>
      <c r="SBJ167" s="102"/>
      <c r="SBK167" s="102"/>
      <c r="SBL167" s="102"/>
      <c r="SBM167" s="102"/>
      <c r="SBN167" s="102"/>
      <c r="SBO167" s="102"/>
      <c r="SBP167" s="102"/>
      <c r="SBQ167" s="102"/>
      <c r="SBR167" s="102"/>
      <c r="SBS167" s="102"/>
      <c r="SBT167" s="102"/>
      <c r="SBU167" s="102"/>
      <c r="SBV167" s="102"/>
      <c r="SBW167" s="102"/>
      <c r="SBX167" s="102"/>
      <c r="SBY167" s="102"/>
      <c r="SBZ167" s="102"/>
      <c r="SCA167" s="102"/>
      <c r="SCB167" s="102"/>
      <c r="SCC167" s="102"/>
      <c r="SCD167" s="102"/>
      <c r="SCE167" s="102"/>
      <c r="SCF167" s="102"/>
      <c r="SCG167" s="102"/>
      <c r="SCH167" s="102"/>
      <c r="SCI167" s="102"/>
      <c r="SCJ167" s="102"/>
      <c r="SCK167" s="102"/>
      <c r="SCL167" s="102"/>
      <c r="SCM167" s="102"/>
      <c r="SCN167" s="102"/>
      <c r="SCO167" s="102"/>
      <c r="SCP167" s="102"/>
      <c r="SCQ167" s="102"/>
      <c r="SCR167" s="102"/>
      <c r="SCS167" s="102"/>
      <c r="SCT167" s="102"/>
      <c r="SCU167" s="102"/>
      <c r="SCV167" s="102"/>
      <c r="SCW167" s="102"/>
      <c r="SCX167" s="102"/>
      <c r="SCY167" s="102"/>
      <c r="SCZ167" s="102"/>
      <c r="SDA167" s="102"/>
      <c r="SDB167" s="102"/>
      <c r="SDC167" s="102"/>
      <c r="SDD167" s="102"/>
      <c r="SDE167" s="102"/>
      <c r="SDF167" s="102"/>
      <c r="SDG167" s="102"/>
      <c r="SDH167" s="102"/>
      <c r="SDI167" s="102"/>
      <c r="SDJ167" s="102"/>
      <c r="SDK167" s="102"/>
      <c r="SDL167" s="102"/>
      <c r="SDM167" s="102"/>
      <c r="SDN167" s="102"/>
      <c r="SDO167" s="102"/>
      <c r="SDP167" s="102"/>
      <c r="SDQ167" s="102"/>
      <c r="SDR167" s="102"/>
      <c r="SDS167" s="102"/>
      <c r="SDT167" s="102"/>
      <c r="SDU167" s="102"/>
      <c r="SDV167" s="102"/>
      <c r="SDW167" s="102"/>
      <c r="SDX167" s="102"/>
      <c r="SDY167" s="102"/>
      <c r="SDZ167" s="102"/>
      <c r="SEA167" s="102"/>
      <c r="SEB167" s="102"/>
      <c r="SEC167" s="102"/>
      <c r="SED167" s="102"/>
      <c r="SEE167" s="102"/>
      <c r="SEF167" s="102"/>
      <c r="SEG167" s="102"/>
      <c r="SEH167" s="102"/>
      <c r="SEI167" s="102"/>
      <c r="SEJ167" s="102"/>
      <c r="SEK167" s="102"/>
      <c r="SEL167" s="102"/>
      <c r="SEM167" s="102"/>
      <c r="SEN167" s="102"/>
      <c r="SEO167" s="102"/>
      <c r="SEP167" s="102"/>
      <c r="SEQ167" s="102"/>
      <c r="SER167" s="102"/>
      <c r="SES167" s="102"/>
      <c r="SET167" s="102"/>
      <c r="SEU167" s="102"/>
      <c r="SEV167" s="102"/>
      <c r="SEW167" s="102"/>
      <c r="SEX167" s="102"/>
      <c r="SEY167" s="102"/>
      <c r="SEZ167" s="102"/>
      <c r="SFA167" s="102"/>
      <c r="SFB167" s="102"/>
      <c r="SFC167" s="102"/>
      <c r="SFD167" s="102"/>
      <c r="SFE167" s="102"/>
      <c r="SFF167" s="102"/>
      <c r="SFG167" s="102"/>
      <c r="SFH167" s="102"/>
      <c r="SFI167" s="102"/>
      <c r="SFJ167" s="102"/>
      <c r="SFK167" s="102"/>
      <c r="SFL167" s="102"/>
      <c r="SFM167" s="102"/>
      <c r="SFN167" s="102"/>
      <c r="SFO167" s="102"/>
      <c r="SFP167" s="102"/>
      <c r="SFQ167" s="102"/>
      <c r="SFR167" s="102"/>
      <c r="SFS167" s="102"/>
      <c r="SFT167" s="102"/>
      <c r="SFU167" s="102"/>
      <c r="SFV167" s="102"/>
      <c r="SFW167" s="102"/>
      <c r="SFX167" s="102"/>
      <c r="SFY167" s="102"/>
      <c r="SFZ167" s="102"/>
      <c r="SGA167" s="102"/>
      <c r="SGB167" s="102"/>
      <c r="SGC167" s="102"/>
      <c r="SGD167" s="102"/>
      <c r="SGE167" s="102"/>
      <c r="SGF167" s="102"/>
      <c r="SGG167" s="102"/>
      <c r="SGH167" s="102"/>
      <c r="SGI167" s="102"/>
      <c r="SGJ167" s="102"/>
      <c r="SGK167" s="102"/>
      <c r="SGL167" s="102"/>
      <c r="SGM167" s="102"/>
      <c r="SGN167" s="102"/>
      <c r="SGO167" s="102"/>
      <c r="SGP167" s="102"/>
      <c r="SGQ167" s="102"/>
      <c r="SGR167" s="102"/>
      <c r="SGS167" s="102"/>
      <c r="SGT167" s="102"/>
      <c r="SGU167" s="102"/>
      <c r="SGV167" s="102"/>
      <c r="SGW167" s="102"/>
      <c r="SGX167" s="102"/>
      <c r="SGY167" s="102"/>
      <c r="SGZ167" s="102"/>
      <c r="SHA167" s="102"/>
      <c r="SHB167" s="102"/>
      <c r="SHC167" s="102"/>
      <c r="SHD167" s="102"/>
      <c r="SHE167" s="102"/>
      <c r="SHF167" s="102"/>
      <c r="SHG167" s="102"/>
      <c r="SHH167" s="102"/>
      <c r="SHI167" s="102"/>
      <c r="SHJ167" s="102"/>
      <c r="SHK167" s="102"/>
      <c r="SHL167" s="102"/>
      <c r="SHM167" s="102"/>
      <c r="SHN167" s="102"/>
      <c r="SHO167" s="102"/>
      <c r="SHP167" s="102"/>
      <c r="SHQ167" s="102"/>
      <c r="SHR167" s="102"/>
      <c r="SHS167" s="102"/>
      <c r="SHT167" s="102"/>
      <c r="SHU167" s="102"/>
      <c r="SHV167" s="102"/>
      <c r="SHW167" s="102"/>
      <c r="SHX167" s="102"/>
      <c r="SHY167" s="102"/>
      <c r="SHZ167" s="102"/>
      <c r="SIA167" s="102"/>
      <c r="SIB167" s="102"/>
      <c r="SIC167" s="102"/>
      <c r="SID167" s="102"/>
      <c r="SIE167" s="102"/>
      <c r="SIF167" s="102"/>
      <c r="SIG167" s="102"/>
      <c r="SIH167" s="102"/>
      <c r="SII167" s="102"/>
      <c r="SIJ167" s="102"/>
      <c r="SIK167" s="102"/>
      <c r="SIL167" s="102"/>
      <c r="SIM167" s="102"/>
      <c r="SIN167" s="102"/>
      <c r="SIO167" s="102"/>
      <c r="SIP167" s="102"/>
      <c r="SIQ167" s="102"/>
      <c r="SIR167" s="102"/>
      <c r="SIS167" s="102"/>
      <c r="SIT167" s="102"/>
      <c r="SIU167" s="102"/>
      <c r="SIV167" s="102"/>
      <c r="SIW167" s="102"/>
      <c r="SIX167" s="102"/>
      <c r="SIY167" s="102"/>
      <c r="SIZ167" s="102"/>
      <c r="SJA167" s="102"/>
      <c r="SJB167" s="102"/>
      <c r="SJC167" s="102"/>
      <c r="SJD167" s="102"/>
      <c r="SJE167" s="102"/>
      <c r="SJF167" s="102"/>
      <c r="SJG167" s="102"/>
      <c r="SJH167" s="102"/>
      <c r="SJI167" s="102"/>
      <c r="SJJ167" s="102"/>
      <c r="SJK167" s="102"/>
      <c r="SJL167" s="102"/>
      <c r="SJM167" s="102"/>
      <c r="SJN167" s="102"/>
      <c r="SJO167" s="102"/>
      <c r="SJP167" s="102"/>
      <c r="SJQ167" s="102"/>
      <c r="SJR167" s="102"/>
      <c r="SJS167" s="102"/>
      <c r="SJT167" s="102"/>
      <c r="SJU167" s="102"/>
      <c r="SJV167" s="102"/>
      <c r="SJW167" s="102"/>
      <c r="SJX167" s="102"/>
      <c r="SJY167" s="102"/>
      <c r="SJZ167" s="102"/>
      <c r="SKA167" s="102"/>
      <c r="SKB167" s="102"/>
      <c r="SKC167" s="102"/>
      <c r="SKD167" s="102"/>
      <c r="SKE167" s="102"/>
      <c r="SKF167" s="102"/>
      <c r="SKG167" s="102"/>
      <c r="SKH167" s="102"/>
      <c r="SKI167" s="102"/>
      <c r="SKJ167" s="102"/>
      <c r="SKK167" s="102"/>
      <c r="SKL167" s="102"/>
      <c r="SKM167" s="102"/>
      <c r="SKN167" s="102"/>
      <c r="SKO167" s="102"/>
      <c r="SKP167" s="102"/>
      <c r="SKQ167" s="102"/>
      <c r="SKR167" s="102"/>
      <c r="SKS167" s="102"/>
      <c r="SKT167" s="102"/>
      <c r="SKU167" s="102"/>
      <c r="SKV167" s="102"/>
      <c r="SKW167" s="102"/>
      <c r="SKX167" s="102"/>
      <c r="SKY167" s="102"/>
      <c r="SKZ167" s="102"/>
      <c r="SLA167" s="102"/>
      <c r="SLB167" s="102"/>
      <c r="SLC167" s="102"/>
      <c r="SLD167" s="102"/>
      <c r="SLE167" s="102"/>
      <c r="SLF167" s="102"/>
      <c r="SLG167" s="102"/>
      <c r="SLH167" s="102"/>
      <c r="SLI167" s="102"/>
      <c r="SLJ167" s="102"/>
      <c r="SLK167" s="102"/>
      <c r="SLL167" s="102"/>
      <c r="SLM167" s="102"/>
      <c r="SLN167" s="102"/>
      <c r="SLO167" s="102"/>
      <c r="SLP167" s="102"/>
      <c r="SLQ167" s="102"/>
      <c r="SLR167" s="102"/>
      <c r="SLS167" s="102"/>
      <c r="SLT167" s="102"/>
      <c r="SLU167" s="102"/>
      <c r="SLV167" s="102"/>
      <c r="SLW167" s="102"/>
      <c r="SLX167" s="102"/>
      <c r="SLY167" s="102"/>
      <c r="SLZ167" s="102"/>
      <c r="SMA167" s="102"/>
      <c r="SMB167" s="102"/>
      <c r="SMC167" s="102"/>
      <c r="SMD167" s="102"/>
      <c r="SME167" s="102"/>
      <c r="SMF167" s="102"/>
      <c r="SMG167" s="102"/>
      <c r="SMH167" s="102"/>
      <c r="SMI167" s="102"/>
      <c r="SMJ167" s="102"/>
      <c r="SMK167" s="102"/>
      <c r="SML167" s="102"/>
      <c r="SMM167" s="102"/>
      <c r="SMN167" s="102"/>
      <c r="SMO167" s="102"/>
      <c r="SMP167" s="102"/>
      <c r="SMQ167" s="102"/>
      <c r="SMR167" s="102"/>
      <c r="SMS167" s="102"/>
      <c r="SMT167" s="102"/>
      <c r="SMU167" s="102"/>
      <c r="SMV167" s="102"/>
      <c r="SMW167" s="102"/>
      <c r="SMX167" s="102"/>
      <c r="SMY167" s="102"/>
      <c r="SMZ167" s="102"/>
      <c r="SNA167" s="102"/>
      <c r="SNB167" s="102"/>
      <c r="SNC167" s="102"/>
      <c r="SND167" s="102"/>
      <c r="SNE167" s="102"/>
      <c r="SNF167" s="102"/>
      <c r="SNG167" s="102"/>
      <c r="SNH167" s="102"/>
      <c r="SNI167" s="102"/>
      <c r="SNJ167" s="102"/>
      <c r="SNK167" s="102"/>
      <c r="SNL167" s="102"/>
      <c r="SNM167" s="102"/>
      <c r="SNN167" s="102"/>
      <c r="SNO167" s="102"/>
      <c r="SNP167" s="102"/>
      <c r="SNQ167" s="102"/>
      <c r="SNR167" s="102"/>
      <c r="SNS167" s="102"/>
      <c r="SNT167" s="102"/>
      <c r="SNU167" s="102"/>
      <c r="SNV167" s="102"/>
      <c r="SNW167" s="102"/>
      <c r="SNX167" s="102"/>
      <c r="SNY167" s="102"/>
      <c r="SNZ167" s="102"/>
      <c r="SOA167" s="102"/>
      <c r="SOB167" s="102"/>
      <c r="SOC167" s="102"/>
      <c r="SOD167" s="102"/>
      <c r="SOE167" s="102"/>
      <c r="SOF167" s="102"/>
      <c r="SOG167" s="102"/>
      <c r="SOH167" s="102"/>
      <c r="SOI167" s="102"/>
      <c r="SOJ167" s="102"/>
      <c r="SOK167" s="102"/>
      <c r="SOL167" s="102"/>
      <c r="SOM167" s="102"/>
      <c r="SON167" s="102"/>
      <c r="SOO167" s="102"/>
      <c r="SOP167" s="102"/>
      <c r="SOQ167" s="102"/>
      <c r="SOR167" s="102"/>
      <c r="SOS167" s="102"/>
      <c r="SOT167" s="102"/>
      <c r="SOU167" s="102"/>
      <c r="SOV167" s="102"/>
      <c r="SOW167" s="102"/>
      <c r="SOX167" s="102"/>
      <c r="SOY167" s="102"/>
      <c r="SOZ167" s="102"/>
      <c r="SPA167" s="102"/>
      <c r="SPB167" s="102"/>
      <c r="SPC167" s="102"/>
      <c r="SPD167" s="102"/>
      <c r="SPE167" s="102"/>
      <c r="SPF167" s="102"/>
      <c r="SPG167" s="102"/>
      <c r="SPH167" s="102"/>
      <c r="SPI167" s="102"/>
      <c r="SPJ167" s="102"/>
      <c r="SPK167" s="102"/>
      <c r="SPL167" s="102"/>
      <c r="SPM167" s="102"/>
      <c r="SPN167" s="102"/>
      <c r="SPO167" s="102"/>
      <c r="SPP167" s="102"/>
      <c r="SPQ167" s="102"/>
      <c r="SPR167" s="102"/>
      <c r="SPS167" s="102"/>
      <c r="SPT167" s="102"/>
      <c r="SPU167" s="102"/>
      <c r="SPV167" s="102"/>
      <c r="SPW167" s="102"/>
      <c r="SPX167" s="102"/>
      <c r="SPY167" s="102"/>
      <c r="SPZ167" s="102"/>
      <c r="SQA167" s="102"/>
      <c r="SQB167" s="102"/>
      <c r="SQC167" s="102"/>
      <c r="SQD167" s="102"/>
      <c r="SQE167" s="102"/>
      <c r="SQF167" s="102"/>
      <c r="SQG167" s="102"/>
      <c r="SQH167" s="102"/>
      <c r="SQI167" s="102"/>
      <c r="SQJ167" s="102"/>
      <c r="SQK167" s="102"/>
      <c r="SQL167" s="102"/>
      <c r="SQM167" s="102"/>
      <c r="SQN167" s="102"/>
      <c r="SQO167" s="102"/>
      <c r="SQP167" s="102"/>
      <c r="SQQ167" s="102"/>
      <c r="SQR167" s="102"/>
      <c r="SQS167" s="102"/>
      <c r="SQT167" s="102"/>
      <c r="SQU167" s="102"/>
      <c r="SQV167" s="102"/>
      <c r="SQW167" s="102"/>
      <c r="SQX167" s="102"/>
      <c r="SQY167" s="102"/>
      <c r="SQZ167" s="102"/>
      <c r="SRA167" s="102"/>
      <c r="SRB167" s="102"/>
      <c r="SRC167" s="102"/>
      <c r="SRD167" s="102"/>
      <c r="SRE167" s="102"/>
      <c r="SRF167" s="102"/>
      <c r="SRG167" s="102"/>
      <c r="SRH167" s="102"/>
      <c r="SRI167" s="102"/>
      <c r="SRJ167" s="102"/>
      <c r="SRK167" s="102"/>
      <c r="SRL167" s="102"/>
      <c r="SRM167" s="102"/>
      <c r="SRN167" s="102"/>
      <c r="SRO167" s="102"/>
      <c r="SRP167" s="102"/>
      <c r="SRQ167" s="102"/>
      <c r="SRR167" s="102"/>
      <c r="SRS167" s="102"/>
      <c r="SRT167" s="102"/>
      <c r="SRU167" s="102"/>
      <c r="SRV167" s="102"/>
      <c r="SRW167" s="102"/>
      <c r="SRX167" s="102"/>
      <c r="SRY167" s="102"/>
      <c r="SRZ167" s="102"/>
      <c r="SSA167" s="102"/>
      <c r="SSB167" s="102"/>
      <c r="SSC167" s="102"/>
      <c r="SSD167" s="102"/>
      <c r="SSE167" s="102"/>
      <c r="SSF167" s="102"/>
      <c r="SSG167" s="102"/>
      <c r="SSH167" s="102"/>
      <c r="SSI167" s="102"/>
      <c r="SSJ167" s="102"/>
      <c r="SSK167" s="102"/>
      <c r="SSL167" s="102"/>
      <c r="SSM167" s="102"/>
      <c r="SSN167" s="102"/>
      <c r="SSO167" s="102"/>
      <c r="SSP167" s="102"/>
      <c r="SSQ167" s="102"/>
      <c r="SSR167" s="102"/>
      <c r="SSS167" s="102"/>
      <c r="SST167" s="102"/>
      <c r="SSU167" s="102"/>
      <c r="SSV167" s="102"/>
      <c r="SSW167" s="102"/>
      <c r="SSX167" s="102"/>
      <c r="SSY167" s="102"/>
      <c r="SSZ167" s="102"/>
      <c r="STA167" s="102"/>
      <c r="STB167" s="102"/>
      <c r="STC167" s="102"/>
      <c r="STD167" s="102"/>
      <c r="STE167" s="102"/>
      <c r="STF167" s="102"/>
      <c r="STG167" s="102"/>
      <c r="STH167" s="102"/>
      <c r="STI167" s="102"/>
      <c r="STJ167" s="102"/>
      <c r="STK167" s="102"/>
      <c r="STL167" s="102"/>
      <c r="STM167" s="102"/>
      <c r="STN167" s="102"/>
      <c r="STO167" s="102"/>
      <c r="STP167" s="102"/>
      <c r="STQ167" s="102"/>
      <c r="STR167" s="102"/>
      <c r="STS167" s="102"/>
      <c r="STT167" s="102"/>
      <c r="STU167" s="102"/>
      <c r="STV167" s="102"/>
      <c r="STW167" s="102"/>
      <c r="STX167" s="102"/>
      <c r="STY167" s="102"/>
      <c r="STZ167" s="102"/>
      <c r="SUA167" s="102"/>
      <c r="SUB167" s="102"/>
      <c r="SUC167" s="102"/>
      <c r="SUD167" s="102"/>
      <c r="SUE167" s="102"/>
      <c r="SUF167" s="102"/>
      <c r="SUG167" s="102"/>
      <c r="SUH167" s="102"/>
      <c r="SUI167" s="102"/>
      <c r="SUJ167" s="102"/>
      <c r="SUK167" s="102"/>
      <c r="SUL167" s="102"/>
      <c r="SUM167" s="102"/>
      <c r="SUN167" s="102"/>
      <c r="SUO167" s="102"/>
      <c r="SUP167" s="102"/>
      <c r="SUQ167" s="102"/>
      <c r="SUR167" s="102"/>
      <c r="SUS167" s="102"/>
      <c r="SUT167" s="102"/>
      <c r="SUU167" s="102"/>
      <c r="SUV167" s="102"/>
      <c r="SUW167" s="102"/>
      <c r="SUX167" s="102"/>
      <c r="SUY167" s="102"/>
      <c r="SUZ167" s="102"/>
      <c r="SVA167" s="102"/>
      <c r="SVB167" s="102"/>
      <c r="SVC167" s="102"/>
      <c r="SVD167" s="102"/>
      <c r="SVE167" s="102"/>
      <c r="SVF167" s="102"/>
      <c r="SVG167" s="102"/>
      <c r="SVH167" s="102"/>
      <c r="SVI167" s="102"/>
      <c r="SVJ167" s="102"/>
      <c r="SVK167" s="102"/>
      <c r="SVL167" s="102"/>
      <c r="SVM167" s="102"/>
      <c r="SVN167" s="102"/>
      <c r="SVO167" s="102"/>
      <c r="SVP167" s="102"/>
      <c r="SVQ167" s="102"/>
      <c r="SVR167" s="102"/>
      <c r="SVS167" s="102"/>
      <c r="SVT167" s="102"/>
      <c r="SVU167" s="102"/>
      <c r="SVV167" s="102"/>
      <c r="SVW167" s="102"/>
      <c r="SVX167" s="102"/>
      <c r="SVY167" s="102"/>
      <c r="SVZ167" s="102"/>
      <c r="SWA167" s="102"/>
      <c r="SWB167" s="102"/>
      <c r="SWC167" s="102"/>
      <c r="SWD167" s="102"/>
      <c r="SWE167" s="102"/>
      <c r="SWF167" s="102"/>
      <c r="SWG167" s="102"/>
      <c r="SWH167" s="102"/>
      <c r="SWI167" s="102"/>
      <c r="SWJ167" s="102"/>
      <c r="SWK167" s="102"/>
      <c r="SWL167" s="102"/>
      <c r="SWM167" s="102"/>
      <c r="SWN167" s="102"/>
      <c r="SWO167" s="102"/>
      <c r="SWP167" s="102"/>
      <c r="SWQ167" s="102"/>
      <c r="SWR167" s="102"/>
      <c r="SWS167" s="102"/>
      <c r="SWT167" s="102"/>
      <c r="SWU167" s="102"/>
      <c r="SWV167" s="102"/>
      <c r="SWW167" s="102"/>
      <c r="SWX167" s="102"/>
      <c r="SWY167" s="102"/>
      <c r="SWZ167" s="102"/>
      <c r="SXA167" s="102"/>
      <c r="SXB167" s="102"/>
      <c r="SXC167" s="102"/>
      <c r="SXD167" s="102"/>
      <c r="SXE167" s="102"/>
      <c r="SXF167" s="102"/>
      <c r="SXG167" s="102"/>
      <c r="SXH167" s="102"/>
      <c r="SXI167" s="102"/>
      <c r="SXJ167" s="102"/>
      <c r="SXK167" s="102"/>
      <c r="SXL167" s="102"/>
      <c r="SXM167" s="102"/>
      <c r="SXN167" s="102"/>
      <c r="SXO167" s="102"/>
      <c r="SXP167" s="102"/>
      <c r="SXQ167" s="102"/>
      <c r="SXR167" s="102"/>
      <c r="SXS167" s="102"/>
      <c r="SXT167" s="102"/>
      <c r="SXU167" s="102"/>
      <c r="SXV167" s="102"/>
      <c r="SXW167" s="102"/>
      <c r="SXX167" s="102"/>
      <c r="SXY167" s="102"/>
      <c r="SXZ167" s="102"/>
      <c r="SYA167" s="102"/>
      <c r="SYB167" s="102"/>
      <c r="SYC167" s="102"/>
      <c r="SYD167" s="102"/>
      <c r="SYE167" s="102"/>
      <c r="SYF167" s="102"/>
      <c r="SYG167" s="102"/>
      <c r="SYH167" s="102"/>
      <c r="SYI167" s="102"/>
      <c r="SYJ167" s="102"/>
      <c r="SYK167" s="102"/>
      <c r="SYL167" s="102"/>
      <c r="SYM167" s="102"/>
      <c r="SYN167" s="102"/>
      <c r="SYO167" s="102"/>
      <c r="SYP167" s="102"/>
      <c r="SYQ167" s="102"/>
      <c r="SYR167" s="102"/>
      <c r="SYS167" s="102"/>
      <c r="SYT167" s="102"/>
      <c r="SYU167" s="102"/>
      <c r="SYV167" s="102"/>
      <c r="SYW167" s="102"/>
      <c r="SYX167" s="102"/>
      <c r="SYY167" s="102"/>
      <c r="SYZ167" s="102"/>
      <c r="SZA167" s="102"/>
      <c r="SZB167" s="102"/>
      <c r="SZC167" s="102"/>
      <c r="SZD167" s="102"/>
      <c r="SZE167" s="102"/>
      <c r="SZF167" s="102"/>
      <c r="SZG167" s="102"/>
      <c r="SZH167" s="102"/>
      <c r="SZI167" s="102"/>
      <c r="SZJ167" s="102"/>
      <c r="SZK167" s="102"/>
      <c r="SZL167" s="102"/>
      <c r="SZM167" s="102"/>
      <c r="SZN167" s="102"/>
      <c r="SZO167" s="102"/>
      <c r="SZP167" s="102"/>
      <c r="SZQ167" s="102"/>
      <c r="SZR167" s="102"/>
      <c r="SZS167" s="102"/>
      <c r="SZT167" s="102"/>
      <c r="SZU167" s="102"/>
      <c r="SZV167" s="102"/>
      <c r="SZW167" s="102"/>
      <c r="SZX167" s="102"/>
      <c r="SZY167" s="102"/>
      <c r="SZZ167" s="102"/>
      <c r="TAA167" s="102"/>
      <c r="TAB167" s="102"/>
      <c r="TAC167" s="102"/>
      <c r="TAD167" s="102"/>
      <c r="TAE167" s="102"/>
      <c r="TAF167" s="102"/>
      <c r="TAG167" s="102"/>
      <c r="TAH167" s="102"/>
      <c r="TAI167" s="102"/>
      <c r="TAJ167" s="102"/>
      <c r="TAK167" s="102"/>
      <c r="TAL167" s="102"/>
      <c r="TAM167" s="102"/>
      <c r="TAN167" s="102"/>
      <c r="TAO167" s="102"/>
      <c r="TAP167" s="102"/>
      <c r="TAQ167" s="102"/>
      <c r="TAR167" s="102"/>
      <c r="TAS167" s="102"/>
      <c r="TAT167" s="102"/>
      <c r="TAU167" s="102"/>
      <c r="TAV167" s="102"/>
      <c r="TAW167" s="102"/>
      <c r="TAX167" s="102"/>
      <c r="TAY167" s="102"/>
      <c r="TAZ167" s="102"/>
      <c r="TBA167" s="102"/>
      <c r="TBB167" s="102"/>
      <c r="TBC167" s="102"/>
      <c r="TBD167" s="102"/>
      <c r="TBE167" s="102"/>
      <c r="TBF167" s="102"/>
      <c r="TBG167" s="102"/>
      <c r="TBH167" s="102"/>
      <c r="TBI167" s="102"/>
      <c r="TBJ167" s="102"/>
      <c r="TBK167" s="102"/>
      <c r="TBL167" s="102"/>
      <c r="TBM167" s="102"/>
      <c r="TBN167" s="102"/>
      <c r="TBO167" s="102"/>
      <c r="TBP167" s="102"/>
      <c r="TBQ167" s="102"/>
      <c r="TBR167" s="102"/>
      <c r="TBS167" s="102"/>
      <c r="TBT167" s="102"/>
      <c r="TBU167" s="102"/>
      <c r="TBV167" s="102"/>
      <c r="TBW167" s="102"/>
      <c r="TBX167" s="102"/>
      <c r="TBY167" s="102"/>
      <c r="TBZ167" s="102"/>
      <c r="TCA167" s="102"/>
      <c r="TCB167" s="102"/>
      <c r="TCC167" s="102"/>
      <c r="TCD167" s="102"/>
      <c r="TCE167" s="102"/>
      <c r="TCF167" s="102"/>
      <c r="TCG167" s="102"/>
      <c r="TCH167" s="102"/>
      <c r="TCI167" s="102"/>
      <c r="TCJ167" s="102"/>
      <c r="TCK167" s="102"/>
      <c r="TCL167" s="102"/>
      <c r="TCM167" s="102"/>
      <c r="TCN167" s="102"/>
      <c r="TCO167" s="102"/>
      <c r="TCP167" s="102"/>
      <c r="TCQ167" s="102"/>
      <c r="TCR167" s="102"/>
      <c r="TCS167" s="102"/>
      <c r="TCT167" s="102"/>
      <c r="TCU167" s="102"/>
      <c r="TCV167" s="102"/>
      <c r="TCW167" s="102"/>
      <c r="TCX167" s="102"/>
      <c r="TCY167" s="102"/>
      <c r="TCZ167" s="102"/>
      <c r="TDA167" s="102"/>
      <c r="TDB167" s="102"/>
      <c r="TDC167" s="102"/>
      <c r="TDD167" s="102"/>
      <c r="TDE167" s="102"/>
      <c r="TDF167" s="102"/>
      <c r="TDG167" s="102"/>
      <c r="TDH167" s="102"/>
      <c r="TDI167" s="102"/>
      <c r="TDJ167" s="102"/>
      <c r="TDK167" s="102"/>
      <c r="TDL167" s="102"/>
      <c r="TDM167" s="102"/>
      <c r="TDN167" s="102"/>
      <c r="TDO167" s="102"/>
      <c r="TDP167" s="102"/>
      <c r="TDQ167" s="102"/>
      <c r="TDR167" s="102"/>
      <c r="TDS167" s="102"/>
      <c r="TDT167" s="102"/>
      <c r="TDU167" s="102"/>
      <c r="TDV167" s="102"/>
      <c r="TDW167" s="102"/>
      <c r="TDX167" s="102"/>
      <c r="TDY167" s="102"/>
      <c r="TDZ167" s="102"/>
      <c r="TEA167" s="102"/>
      <c r="TEB167" s="102"/>
      <c r="TEC167" s="102"/>
      <c r="TED167" s="102"/>
      <c r="TEE167" s="102"/>
      <c r="TEF167" s="102"/>
      <c r="TEG167" s="102"/>
      <c r="TEH167" s="102"/>
      <c r="TEI167" s="102"/>
      <c r="TEJ167" s="102"/>
      <c r="TEK167" s="102"/>
      <c r="TEL167" s="102"/>
      <c r="TEM167" s="102"/>
      <c r="TEN167" s="102"/>
      <c r="TEO167" s="102"/>
      <c r="TEP167" s="102"/>
      <c r="TEQ167" s="102"/>
      <c r="TER167" s="102"/>
      <c r="TES167" s="102"/>
      <c r="TET167" s="102"/>
      <c r="TEU167" s="102"/>
      <c r="TEV167" s="102"/>
      <c r="TEW167" s="102"/>
      <c r="TEX167" s="102"/>
      <c r="TEY167" s="102"/>
      <c r="TEZ167" s="102"/>
      <c r="TFA167" s="102"/>
      <c r="TFB167" s="102"/>
      <c r="TFC167" s="102"/>
      <c r="TFD167" s="102"/>
      <c r="TFE167" s="102"/>
      <c r="TFF167" s="102"/>
      <c r="TFG167" s="102"/>
      <c r="TFH167" s="102"/>
      <c r="TFI167" s="102"/>
      <c r="TFJ167" s="102"/>
      <c r="TFK167" s="102"/>
      <c r="TFL167" s="102"/>
      <c r="TFM167" s="102"/>
      <c r="TFN167" s="102"/>
      <c r="TFO167" s="102"/>
      <c r="TFP167" s="102"/>
      <c r="TFQ167" s="102"/>
      <c r="TFR167" s="102"/>
      <c r="TFS167" s="102"/>
      <c r="TFT167" s="102"/>
      <c r="TFU167" s="102"/>
      <c r="TFV167" s="102"/>
      <c r="TFW167" s="102"/>
      <c r="TFX167" s="102"/>
      <c r="TFY167" s="102"/>
      <c r="TFZ167" s="102"/>
      <c r="TGA167" s="102"/>
      <c r="TGB167" s="102"/>
      <c r="TGC167" s="102"/>
      <c r="TGD167" s="102"/>
      <c r="TGE167" s="102"/>
      <c r="TGF167" s="102"/>
      <c r="TGG167" s="102"/>
      <c r="TGH167" s="102"/>
      <c r="TGI167" s="102"/>
      <c r="TGJ167" s="102"/>
      <c r="TGK167" s="102"/>
      <c r="TGL167" s="102"/>
      <c r="TGM167" s="102"/>
      <c r="TGN167" s="102"/>
      <c r="TGO167" s="102"/>
      <c r="TGP167" s="102"/>
      <c r="TGQ167" s="102"/>
      <c r="TGR167" s="102"/>
      <c r="TGS167" s="102"/>
      <c r="TGT167" s="102"/>
      <c r="TGU167" s="102"/>
      <c r="TGV167" s="102"/>
      <c r="TGW167" s="102"/>
      <c r="TGX167" s="102"/>
      <c r="TGY167" s="102"/>
      <c r="TGZ167" s="102"/>
      <c r="THA167" s="102"/>
      <c r="THB167" s="102"/>
      <c r="THC167" s="102"/>
      <c r="THD167" s="102"/>
      <c r="THE167" s="102"/>
      <c r="THF167" s="102"/>
      <c r="THG167" s="102"/>
      <c r="THH167" s="102"/>
      <c r="THI167" s="102"/>
      <c r="THJ167" s="102"/>
      <c r="THK167" s="102"/>
      <c r="THL167" s="102"/>
      <c r="THM167" s="102"/>
      <c r="THN167" s="102"/>
      <c r="THO167" s="102"/>
      <c r="THP167" s="102"/>
      <c r="THQ167" s="102"/>
      <c r="THR167" s="102"/>
      <c r="THS167" s="102"/>
      <c r="THT167" s="102"/>
      <c r="THU167" s="102"/>
      <c r="THV167" s="102"/>
      <c r="THW167" s="102"/>
      <c r="THX167" s="102"/>
      <c r="THY167" s="102"/>
      <c r="THZ167" s="102"/>
      <c r="TIA167" s="102"/>
      <c r="TIB167" s="102"/>
      <c r="TIC167" s="102"/>
      <c r="TID167" s="102"/>
      <c r="TIE167" s="102"/>
      <c r="TIF167" s="102"/>
      <c r="TIG167" s="102"/>
      <c r="TIH167" s="102"/>
      <c r="TII167" s="102"/>
      <c r="TIJ167" s="102"/>
      <c r="TIK167" s="102"/>
      <c r="TIL167" s="102"/>
      <c r="TIM167" s="102"/>
      <c r="TIN167" s="102"/>
      <c r="TIO167" s="102"/>
      <c r="TIP167" s="102"/>
      <c r="TIQ167" s="102"/>
      <c r="TIR167" s="102"/>
      <c r="TIS167" s="102"/>
      <c r="TIT167" s="102"/>
      <c r="TIU167" s="102"/>
      <c r="TIV167" s="102"/>
      <c r="TIW167" s="102"/>
      <c r="TIX167" s="102"/>
      <c r="TIY167" s="102"/>
      <c r="TIZ167" s="102"/>
      <c r="TJA167" s="102"/>
      <c r="TJB167" s="102"/>
      <c r="TJC167" s="102"/>
      <c r="TJD167" s="102"/>
      <c r="TJE167" s="102"/>
      <c r="TJF167" s="102"/>
      <c r="TJG167" s="102"/>
      <c r="TJH167" s="102"/>
      <c r="TJI167" s="102"/>
      <c r="TJJ167" s="102"/>
      <c r="TJK167" s="102"/>
      <c r="TJL167" s="102"/>
      <c r="TJM167" s="102"/>
      <c r="TJN167" s="102"/>
      <c r="TJO167" s="102"/>
      <c r="TJP167" s="102"/>
      <c r="TJQ167" s="102"/>
      <c r="TJR167" s="102"/>
      <c r="TJS167" s="102"/>
      <c r="TJT167" s="102"/>
      <c r="TJU167" s="102"/>
      <c r="TJV167" s="102"/>
      <c r="TJW167" s="102"/>
      <c r="TJX167" s="102"/>
      <c r="TJY167" s="102"/>
      <c r="TJZ167" s="102"/>
      <c r="TKA167" s="102"/>
      <c r="TKB167" s="102"/>
      <c r="TKC167" s="102"/>
      <c r="TKD167" s="102"/>
      <c r="TKE167" s="102"/>
      <c r="TKF167" s="102"/>
      <c r="TKG167" s="102"/>
      <c r="TKH167" s="102"/>
      <c r="TKI167" s="102"/>
      <c r="TKJ167" s="102"/>
      <c r="TKK167" s="102"/>
      <c r="TKL167" s="102"/>
      <c r="TKM167" s="102"/>
      <c r="TKN167" s="102"/>
      <c r="TKO167" s="102"/>
      <c r="TKP167" s="102"/>
      <c r="TKQ167" s="102"/>
      <c r="TKR167" s="102"/>
      <c r="TKS167" s="102"/>
      <c r="TKT167" s="102"/>
      <c r="TKU167" s="102"/>
      <c r="TKV167" s="102"/>
      <c r="TKW167" s="102"/>
      <c r="TKX167" s="102"/>
      <c r="TKY167" s="102"/>
      <c r="TKZ167" s="102"/>
      <c r="TLA167" s="102"/>
      <c r="TLB167" s="102"/>
      <c r="TLC167" s="102"/>
      <c r="TLD167" s="102"/>
      <c r="TLE167" s="102"/>
      <c r="TLF167" s="102"/>
      <c r="TLG167" s="102"/>
      <c r="TLH167" s="102"/>
      <c r="TLI167" s="102"/>
      <c r="TLJ167" s="102"/>
      <c r="TLK167" s="102"/>
      <c r="TLL167" s="102"/>
      <c r="TLM167" s="102"/>
      <c r="TLN167" s="102"/>
      <c r="TLO167" s="102"/>
      <c r="TLP167" s="102"/>
      <c r="TLQ167" s="102"/>
      <c r="TLR167" s="102"/>
      <c r="TLS167" s="102"/>
      <c r="TLT167" s="102"/>
      <c r="TLU167" s="102"/>
      <c r="TLV167" s="102"/>
      <c r="TLW167" s="102"/>
      <c r="TLX167" s="102"/>
      <c r="TLY167" s="102"/>
      <c r="TLZ167" s="102"/>
      <c r="TMA167" s="102"/>
      <c r="TMB167" s="102"/>
      <c r="TMC167" s="102"/>
      <c r="TMD167" s="102"/>
      <c r="TME167" s="102"/>
      <c r="TMF167" s="102"/>
      <c r="TMG167" s="102"/>
      <c r="TMH167" s="102"/>
      <c r="TMI167" s="102"/>
      <c r="TMJ167" s="102"/>
      <c r="TMK167" s="102"/>
      <c r="TML167" s="102"/>
      <c r="TMM167" s="102"/>
      <c r="TMN167" s="102"/>
      <c r="TMO167" s="102"/>
      <c r="TMP167" s="102"/>
      <c r="TMQ167" s="102"/>
      <c r="TMR167" s="102"/>
      <c r="TMS167" s="102"/>
      <c r="TMT167" s="102"/>
      <c r="TMU167" s="102"/>
      <c r="TMV167" s="102"/>
      <c r="TMW167" s="102"/>
      <c r="TMX167" s="102"/>
      <c r="TMY167" s="102"/>
      <c r="TMZ167" s="102"/>
      <c r="TNA167" s="102"/>
      <c r="TNB167" s="102"/>
      <c r="TNC167" s="102"/>
      <c r="TND167" s="102"/>
      <c r="TNE167" s="102"/>
      <c r="TNF167" s="102"/>
      <c r="TNG167" s="102"/>
      <c r="TNH167" s="102"/>
      <c r="TNI167" s="102"/>
      <c r="TNJ167" s="102"/>
      <c r="TNK167" s="102"/>
      <c r="TNL167" s="102"/>
      <c r="TNM167" s="102"/>
      <c r="TNN167" s="102"/>
      <c r="TNO167" s="102"/>
      <c r="TNP167" s="102"/>
      <c r="TNQ167" s="102"/>
      <c r="TNR167" s="102"/>
      <c r="TNS167" s="102"/>
      <c r="TNT167" s="102"/>
      <c r="TNU167" s="102"/>
      <c r="TNV167" s="102"/>
      <c r="TNW167" s="102"/>
      <c r="TNX167" s="102"/>
      <c r="TNY167" s="102"/>
      <c r="TNZ167" s="102"/>
      <c r="TOA167" s="102"/>
      <c r="TOB167" s="102"/>
      <c r="TOC167" s="102"/>
      <c r="TOD167" s="102"/>
      <c r="TOE167" s="102"/>
      <c r="TOF167" s="102"/>
      <c r="TOG167" s="102"/>
      <c r="TOH167" s="102"/>
      <c r="TOI167" s="102"/>
      <c r="TOJ167" s="102"/>
      <c r="TOK167" s="102"/>
      <c r="TOL167" s="102"/>
      <c r="TOM167" s="102"/>
      <c r="TON167" s="102"/>
      <c r="TOO167" s="102"/>
      <c r="TOP167" s="102"/>
      <c r="TOQ167" s="102"/>
      <c r="TOR167" s="102"/>
      <c r="TOS167" s="102"/>
      <c r="TOT167" s="102"/>
      <c r="TOU167" s="102"/>
      <c r="TOV167" s="102"/>
      <c r="TOW167" s="102"/>
      <c r="TOX167" s="102"/>
      <c r="TOY167" s="102"/>
      <c r="TOZ167" s="102"/>
      <c r="TPA167" s="102"/>
      <c r="TPB167" s="102"/>
      <c r="TPC167" s="102"/>
      <c r="TPD167" s="102"/>
      <c r="TPE167" s="102"/>
      <c r="TPF167" s="102"/>
      <c r="TPG167" s="102"/>
      <c r="TPH167" s="102"/>
      <c r="TPI167" s="102"/>
      <c r="TPJ167" s="102"/>
      <c r="TPK167" s="102"/>
      <c r="TPL167" s="102"/>
      <c r="TPM167" s="102"/>
      <c r="TPN167" s="102"/>
      <c r="TPO167" s="102"/>
      <c r="TPP167" s="102"/>
      <c r="TPQ167" s="102"/>
      <c r="TPR167" s="102"/>
      <c r="TPS167" s="102"/>
      <c r="TPT167" s="102"/>
      <c r="TPU167" s="102"/>
      <c r="TPV167" s="102"/>
      <c r="TPW167" s="102"/>
      <c r="TPX167" s="102"/>
      <c r="TPY167" s="102"/>
      <c r="TPZ167" s="102"/>
      <c r="TQA167" s="102"/>
      <c r="TQB167" s="102"/>
      <c r="TQC167" s="102"/>
      <c r="TQD167" s="102"/>
      <c r="TQE167" s="102"/>
      <c r="TQF167" s="102"/>
      <c r="TQG167" s="102"/>
      <c r="TQH167" s="102"/>
      <c r="TQI167" s="102"/>
      <c r="TQJ167" s="102"/>
      <c r="TQK167" s="102"/>
      <c r="TQL167" s="102"/>
      <c r="TQM167" s="102"/>
      <c r="TQN167" s="102"/>
      <c r="TQO167" s="102"/>
      <c r="TQP167" s="102"/>
      <c r="TQQ167" s="102"/>
      <c r="TQR167" s="102"/>
      <c r="TQS167" s="102"/>
      <c r="TQT167" s="102"/>
      <c r="TQU167" s="102"/>
      <c r="TQV167" s="102"/>
      <c r="TQW167" s="102"/>
      <c r="TQX167" s="102"/>
      <c r="TQY167" s="102"/>
      <c r="TQZ167" s="102"/>
      <c r="TRA167" s="102"/>
      <c r="TRB167" s="102"/>
      <c r="TRC167" s="102"/>
      <c r="TRD167" s="102"/>
      <c r="TRE167" s="102"/>
      <c r="TRF167" s="102"/>
      <c r="TRG167" s="102"/>
      <c r="TRH167" s="102"/>
      <c r="TRI167" s="102"/>
      <c r="TRJ167" s="102"/>
      <c r="TRK167" s="102"/>
      <c r="TRL167" s="102"/>
      <c r="TRM167" s="102"/>
      <c r="TRN167" s="102"/>
      <c r="TRO167" s="102"/>
      <c r="TRP167" s="102"/>
      <c r="TRQ167" s="102"/>
      <c r="TRR167" s="102"/>
      <c r="TRS167" s="102"/>
      <c r="TRT167" s="102"/>
      <c r="TRU167" s="102"/>
      <c r="TRV167" s="102"/>
      <c r="TRW167" s="102"/>
      <c r="TRX167" s="102"/>
      <c r="TRY167" s="102"/>
      <c r="TRZ167" s="102"/>
      <c r="TSA167" s="102"/>
      <c r="TSB167" s="102"/>
      <c r="TSC167" s="102"/>
      <c r="TSD167" s="102"/>
      <c r="TSE167" s="102"/>
      <c r="TSF167" s="102"/>
      <c r="TSG167" s="102"/>
      <c r="TSH167" s="102"/>
      <c r="TSI167" s="102"/>
      <c r="TSJ167" s="102"/>
      <c r="TSK167" s="102"/>
      <c r="TSL167" s="102"/>
      <c r="TSM167" s="102"/>
      <c r="TSN167" s="102"/>
      <c r="TSO167" s="102"/>
      <c r="TSP167" s="102"/>
      <c r="TSQ167" s="102"/>
      <c r="TSR167" s="102"/>
      <c r="TSS167" s="102"/>
      <c r="TST167" s="102"/>
      <c r="TSU167" s="102"/>
      <c r="TSV167" s="102"/>
      <c r="TSW167" s="102"/>
      <c r="TSX167" s="102"/>
      <c r="TSY167" s="102"/>
      <c r="TSZ167" s="102"/>
      <c r="TTA167" s="102"/>
      <c r="TTB167" s="102"/>
      <c r="TTC167" s="102"/>
      <c r="TTD167" s="102"/>
      <c r="TTE167" s="102"/>
      <c r="TTF167" s="102"/>
      <c r="TTG167" s="102"/>
      <c r="TTH167" s="102"/>
      <c r="TTI167" s="102"/>
      <c r="TTJ167" s="102"/>
      <c r="TTK167" s="102"/>
      <c r="TTL167" s="102"/>
      <c r="TTM167" s="102"/>
      <c r="TTN167" s="102"/>
      <c r="TTO167" s="102"/>
      <c r="TTP167" s="102"/>
      <c r="TTQ167" s="102"/>
      <c r="TTR167" s="102"/>
      <c r="TTS167" s="102"/>
      <c r="TTT167" s="102"/>
      <c r="TTU167" s="102"/>
      <c r="TTV167" s="102"/>
      <c r="TTW167" s="102"/>
      <c r="TTX167" s="102"/>
      <c r="TTY167" s="102"/>
      <c r="TTZ167" s="102"/>
      <c r="TUA167" s="102"/>
      <c r="TUB167" s="102"/>
      <c r="TUC167" s="102"/>
      <c r="TUD167" s="102"/>
      <c r="TUE167" s="102"/>
      <c r="TUF167" s="102"/>
      <c r="TUG167" s="102"/>
      <c r="TUH167" s="102"/>
      <c r="TUI167" s="102"/>
      <c r="TUJ167" s="102"/>
      <c r="TUK167" s="102"/>
      <c r="TUL167" s="102"/>
      <c r="TUM167" s="102"/>
      <c r="TUN167" s="102"/>
      <c r="TUO167" s="102"/>
      <c r="TUP167" s="102"/>
      <c r="TUQ167" s="102"/>
      <c r="TUR167" s="102"/>
      <c r="TUS167" s="102"/>
      <c r="TUT167" s="102"/>
      <c r="TUU167" s="102"/>
      <c r="TUV167" s="102"/>
      <c r="TUW167" s="102"/>
      <c r="TUX167" s="102"/>
      <c r="TUY167" s="102"/>
      <c r="TUZ167" s="102"/>
      <c r="TVA167" s="102"/>
      <c r="TVB167" s="102"/>
      <c r="TVC167" s="102"/>
      <c r="TVD167" s="102"/>
      <c r="TVE167" s="102"/>
      <c r="TVF167" s="102"/>
      <c r="TVG167" s="102"/>
      <c r="TVH167" s="102"/>
      <c r="TVI167" s="102"/>
      <c r="TVJ167" s="102"/>
      <c r="TVK167" s="102"/>
      <c r="TVL167" s="102"/>
      <c r="TVM167" s="102"/>
      <c r="TVN167" s="102"/>
      <c r="TVO167" s="102"/>
      <c r="TVP167" s="102"/>
      <c r="TVQ167" s="102"/>
      <c r="TVR167" s="102"/>
      <c r="TVS167" s="102"/>
      <c r="TVT167" s="102"/>
      <c r="TVU167" s="102"/>
      <c r="TVV167" s="102"/>
      <c r="TVW167" s="102"/>
      <c r="TVX167" s="102"/>
      <c r="TVY167" s="102"/>
      <c r="TVZ167" s="102"/>
      <c r="TWA167" s="102"/>
      <c r="TWB167" s="102"/>
      <c r="TWC167" s="102"/>
      <c r="TWD167" s="102"/>
      <c r="TWE167" s="102"/>
      <c r="TWF167" s="102"/>
      <c r="TWG167" s="102"/>
      <c r="TWH167" s="102"/>
      <c r="TWI167" s="102"/>
      <c r="TWJ167" s="102"/>
      <c r="TWK167" s="102"/>
      <c r="TWL167" s="102"/>
      <c r="TWM167" s="102"/>
      <c r="TWN167" s="102"/>
      <c r="TWO167" s="102"/>
      <c r="TWP167" s="102"/>
      <c r="TWQ167" s="102"/>
      <c r="TWR167" s="102"/>
      <c r="TWS167" s="102"/>
      <c r="TWT167" s="102"/>
      <c r="TWU167" s="102"/>
      <c r="TWV167" s="102"/>
      <c r="TWW167" s="102"/>
      <c r="TWX167" s="102"/>
      <c r="TWY167" s="102"/>
      <c r="TWZ167" s="102"/>
      <c r="TXA167" s="102"/>
      <c r="TXB167" s="102"/>
      <c r="TXC167" s="102"/>
      <c r="TXD167" s="102"/>
      <c r="TXE167" s="102"/>
      <c r="TXF167" s="102"/>
      <c r="TXG167" s="102"/>
      <c r="TXH167" s="102"/>
      <c r="TXI167" s="102"/>
      <c r="TXJ167" s="102"/>
      <c r="TXK167" s="102"/>
      <c r="TXL167" s="102"/>
      <c r="TXM167" s="102"/>
      <c r="TXN167" s="102"/>
      <c r="TXO167" s="102"/>
      <c r="TXP167" s="102"/>
      <c r="TXQ167" s="102"/>
      <c r="TXR167" s="102"/>
      <c r="TXS167" s="102"/>
      <c r="TXT167" s="102"/>
      <c r="TXU167" s="102"/>
      <c r="TXV167" s="102"/>
      <c r="TXW167" s="102"/>
      <c r="TXX167" s="102"/>
      <c r="TXY167" s="102"/>
      <c r="TXZ167" s="102"/>
      <c r="TYA167" s="102"/>
      <c r="TYB167" s="102"/>
      <c r="TYC167" s="102"/>
      <c r="TYD167" s="102"/>
      <c r="TYE167" s="102"/>
      <c r="TYF167" s="102"/>
      <c r="TYG167" s="102"/>
      <c r="TYH167" s="102"/>
      <c r="TYI167" s="102"/>
      <c r="TYJ167" s="102"/>
      <c r="TYK167" s="102"/>
      <c r="TYL167" s="102"/>
      <c r="TYM167" s="102"/>
      <c r="TYN167" s="102"/>
      <c r="TYO167" s="102"/>
      <c r="TYP167" s="102"/>
      <c r="TYQ167" s="102"/>
      <c r="TYR167" s="102"/>
      <c r="TYS167" s="102"/>
      <c r="TYT167" s="102"/>
      <c r="TYU167" s="102"/>
      <c r="TYV167" s="102"/>
      <c r="TYW167" s="102"/>
      <c r="TYX167" s="102"/>
      <c r="TYY167" s="102"/>
      <c r="TYZ167" s="102"/>
      <c r="TZA167" s="102"/>
      <c r="TZB167" s="102"/>
      <c r="TZC167" s="102"/>
      <c r="TZD167" s="102"/>
      <c r="TZE167" s="102"/>
      <c r="TZF167" s="102"/>
      <c r="TZG167" s="102"/>
      <c r="TZH167" s="102"/>
      <c r="TZI167" s="102"/>
      <c r="TZJ167" s="102"/>
      <c r="TZK167" s="102"/>
      <c r="TZL167" s="102"/>
      <c r="TZM167" s="102"/>
      <c r="TZN167" s="102"/>
      <c r="TZO167" s="102"/>
      <c r="TZP167" s="102"/>
      <c r="TZQ167" s="102"/>
      <c r="TZR167" s="102"/>
      <c r="TZS167" s="102"/>
      <c r="TZT167" s="102"/>
      <c r="TZU167" s="102"/>
      <c r="TZV167" s="102"/>
      <c r="TZW167" s="102"/>
      <c r="TZX167" s="102"/>
      <c r="TZY167" s="102"/>
      <c r="TZZ167" s="102"/>
      <c r="UAA167" s="102"/>
      <c r="UAB167" s="102"/>
      <c r="UAC167" s="102"/>
      <c r="UAD167" s="102"/>
      <c r="UAE167" s="102"/>
      <c r="UAF167" s="102"/>
      <c r="UAG167" s="102"/>
      <c r="UAH167" s="102"/>
      <c r="UAI167" s="102"/>
      <c r="UAJ167" s="102"/>
      <c r="UAK167" s="102"/>
      <c r="UAL167" s="102"/>
      <c r="UAM167" s="102"/>
      <c r="UAN167" s="102"/>
      <c r="UAO167" s="102"/>
      <c r="UAP167" s="102"/>
      <c r="UAQ167" s="102"/>
      <c r="UAR167" s="102"/>
      <c r="UAS167" s="102"/>
      <c r="UAT167" s="102"/>
      <c r="UAU167" s="102"/>
      <c r="UAV167" s="102"/>
      <c r="UAW167" s="102"/>
      <c r="UAX167" s="102"/>
      <c r="UAY167" s="102"/>
      <c r="UAZ167" s="102"/>
      <c r="UBA167" s="102"/>
      <c r="UBB167" s="102"/>
      <c r="UBC167" s="102"/>
      <c r="UBD167" s="102"/>
      <c r="UBE167" s="102"/>
      <c r="UBF167" s="102"/>
      <c r="UBG167" s="102"/>
      <c r="UBH167" s="102"/>
      <c r="UBI167" s="102"/>
      <c r="UBJ167" s="102"/>
      <c r="UBK167" s="102"/>
      <c r="UBL167" s="102"/>
      <c r="UBM167" s="102"/>
      <c r="UBN167" s="102"/>
      <c r="UBO167" s="102"/>
      <c r="UBP167" s="102"/>
      <c r="UBQ167" s="102"/>
      <c r="UBR167" s="102"/>
      <c r="UBS167" s="102"/>
      <c r="UBT167" s="102"/>
      <c r="UBU167" s="102"/>
      <c r="UBV167" s="102"/>
      <c r="UBW167" s="102"/>
      <c r="UBX167" s="102"/>
      <c r="UBY167" s="102"/>
      <c r="UBZ167" s="102"/>
      <c r="UCA167" s="102"/>
      <c r="UCB167" s="102"/>
      <c r="UCC167" s="102"/>
      <c r="UCD167" s="102"/>
      <c r="UCE167" s="102"/>
      <c r="UCF167" s="102"/>
      <c r="UCG167" s="102"/>
      <c r="UCH167" s="102"/>
      <c r="UCI167" s="102"/>
      <c r="UCJ167" s="102"/>
      <c r="UCK167" s="102"/>
      <c r="UCL167" s="102"/>
      <c r="UCM167" s="102"/>
      <c r="UCN167" s="102"/>
      <c r="UCO167" s="102"/>
      <c r="UCP167" s="102"/>
      <c r="UCQ167" s="102"/>
      <c r="UCR167" s="102"/>
      <c r="UCS167" s="102"/>
      <c r="UCT167" s="102"/>
      <c r="UCU167" s="102"/>
      <c r="UCV167" s="102"/>
      <c r="UCW167" s="102"/>
      <c r="UCX167" s="102"/>
      <c r="UCY167" s="102"/>
      <c r="UCZ167" s="102"/>
      <c r="UDA167" s="102"/>
      <c r="UDB167" s="102"/>
      <c r="UDC167" s="102"/>
      <c r="UDD167" s="102"/>
      <c r="UDE167" s="102"/>
      <c r="UDF167" s="102"/>
      <c r="UDG167" s="102"/>
      <c r="UDH167" s="102"/>
      <c r="UDI167" s="102"/>
      <c r="UDJ167" s="102"/>
      <c r="UDK167" s="102"/>
      <c r="UDL167" s="102"/>
      <c r="UDM167" s="102"/>
      <c r="UDN167" s="102"/>
      <c r="UDO167" s="102"/>
      <c r="UDP167" s="102"/>
      <c r="UDQ167" s="102"/>
      <c r="UDR167" s="102"/>
      <c r="UDS167" s="102"/>
      <c r="UDT167" s="102"/>
      <c r="UDU167" s="102"/>
      <c r="UDV167" s="102"/>
      <c r="UDW167" s="102"/>
      <c r="UDX167" s="102"/>
      <c r="UDY167" s="102"/>
      <c r="UDZ167" s="102"/>
      <c r="UEA167" s="102"/>
      <c r="UEB167" s="102"/>
      <c r="UEC167" s="102"/>
      <c r="UED167" s="102"/>
      <c r="UEE167" s="102"/>
      <c r="UEF167" s="102"/>
      <c r="UEG167" s="102"/>
      <c r="UEH167" s="102"/>
      <c r="UEI167" s="102"/>
      <c r="UEJ167" s="102"/>
      <c r="UEK167" s="102"/>
      <c r="UEL167" s="102"/>
      <c r="UEM167" s="102"/>
      <c r="UEN167" s="102"/>
      <c r="UEO167" s="102"/>
      <c r="UEP167" s="102"/>
      <c r="UEQ167" s="102"/>
      <c r="UER167" s="102"/>
      <c r="UES167" s="102"/>
      <c r="UET167" s="102"/>
      <c r="UEU167" s="102"/>
      <c r="UEV167" s="102"/>
      <c r="UEW167" s="102"/>
      <c r="UEX167" s="102"/>
      <c r="UEY167" s="102"/>
      <c r="UEZ167" s="102"/>
      <c r="UFA167" s="102"/>
      <c r="UFB167" s="102"/>
      <c r="UFC167" s="102"/>
      <c r="UFD167" s="102"/>
      <c r="UFE167" s="102"/>
      <c r="UFF167" s="102"/>
      <c r="UFG167" s="102"/>
      <c r="UFH167" s="102"/>
      <c r="UFI167" s="102"/>
      <c r="UFJ167" s="102"/>
      <c r="UFK167" s="102"/>
      <c r="UFL167" s="102"/>
      <c r="UFM167" s="102"/>
      <c r="UFN167" s="102"/>
      <c r="UFO167" s="102"/>
      <c r="UFP167" s="102"/>
      <c r="UFQ167" s="102"/>
      <c r="UFR167" s="102"/>
      <c r="UFS167" s="102"/>
      <c r="UFT167" s="102"/>
      <c r="UFU167" s="102"/>
      <c r="UFV167" s="102"/>
      <c r="UFW167" s="102"/>
      <c r="UFX167" s="102"/>
      <c r="UFY167" s="102"/>
      <c r="UFZ167" s="102"/>
      <c r="UGA167" s="102"/>
      <c r="UGB167" s="102"/>
      <c r="UGC167" s="102"/>
      <c r="UGD167" s="102"/>
      <c r="UGE167" s="102"/>
      <c r="UGF167" s="102"/>
      <c r="UGG167" s="102"/>
      <c r="UGH167" s="102"/>
      <c r="UGI167" s="102"/>
      <c r="UGJ167" s="102"/>
      <c r="UGK167" s="102"/>
      <c r="UGL167" s="102"/>
      <c r="UGM167" s="102"/>
      <c r="UGN167" s="102"/>
      <c r="UGO167" s="102"/>
      <c r="UGP167" s="102"/>
      <c r="UGQ167" s="102"/>
      <c r="UGR167" s="102"/>
      <c r="UGS167" s="102"/>
      <c r="UGT167" s="102"/>
      <c r="UGU167" s="102"/>
      <c r="UGV167" s="102"/>
      <c r="UGW167" s="102"/>
      <c r="UGX167" s="102"/>
      <c r="UGY167" s="102"/>
      <c r="UGZ167" s="102"/>
      <c r="UHA167" s="102"/>
      <c r="UHB167" s="102"/>
      <c r="UHC167" s="102"/>
      <c r="UHD167" s="102"/>
      <c r="UHE167" s="102"/>
      <c r="UHF167" s="102"/>
      <c r="UHG167" s="102"/>
      <c r="UHH167" s="102"/>
      <c r="UHI167" s="102"/>
      <c r="UHJ167" s="102"/>
      <c r="UHK167" s="102"/>
      <c r="UHL167" s="102"/>
      <c r="UHM167" s="102"/>
      <c r="UHN167" s="102"/>
      <c r="UHO167" s="102"/>
      <c r="UHP167" s="102"/>
      <c r="UHQ167" s="102"/>
      <c r="UHR167" s="102"/>
      <c r="UHS167" s="102"/>
      <c r="UHT167" s="102"/>
      <c r="UHU167" s="102"/>
      <c r="UHV167" s="102"/>
      <c r="UHW167" s="102"/>
      <c r="UHX167" s="102"/>
      <c r="UHY167" s="102"/>
      <c r="UHZ167" s="102"/>
      <c r="UIA167" s="102"/>
      <c r="UIB167" s="102"/>
      <c r="UIC167" s="102"/>
      <c r="UID167" s="102"/>
      <c r="UIE167" s="102"/>
      <c r="UIF167" s="102"/>
      <c r="UIG167" s="102"/>
      <c r="UIH167" s="102"/>
      <c r="UII167" s="102"/>
      <c r="UIJ167" s="102"/>
      <c r="UIK167" s="102"/>
      <c r="UIL167" s="102"/>
      <c r="UIM167" s="102"/>
      <c r="UIN167" s="102"/>
      <c r="UIO167" s="102"/>
      <c r="UIP167" s="102"/>
      <c r="UIQ167" s="102"/>
      <c r="UIR167" s="102"/>
      <c r="UIS167" s="102"/>
      <c r="UIT167" s="102"/>
      <c r="UIU167" s="102"/>
      <c r="UIV167" s="102"/>
      <c r="UIW167" s="102"/>
      <c r="UIX167" s="102"/>
      <c r="UIY167" s="102"/>
      <c r="UIZ167" s="102"/>
      <c r="UJA167" s="102"/>
      <c r="UJB167" s="102"/>
      <c r="UJC167" s="102"/>
      <c r="UJD167" s="102"/>
      <c r="UJE167" s="102"/>
      <c r="UJF167" s="102"/>
      <c r="UJG167" s="102"/>
      <c r="UJH167" s="102"/>
      <c r="UJI167" s="102"/>
      <c r="UJJ167" s="102"/>
      <c r="UJK167" s="102"/>
      <c r="UJL167" s="102"/>
      <c r="UJM167" s="102"/>
      <c r="UJN167" s="102"/>
      <c r="UJO167" s="102"/>
      <c r="UJP167" s="102"/>
      <c r="UJQ167" s="102"/>
      <c r="UJR167" s="102"/>
      <c r="UJS167" s="102"/>
      <c r="UJT167" s="102"/>
      <c r="UJU167" s="102"/>
      <c r="UJV167" s="102"/>
      <c r="UJW167" s="102"/>
      <c r="UJX167" s="102"/>
      <c r="UJY167" s="102"/>
      <c r="UJZ167" s="102"/>
      <c r="UKA167" s="102"/>
      <c r="UKB167" s="102"/>
      <c r="UKC167" s="102"/>
      <c r="UKD167" s="102"/>
      <c r="UKE167" s="102"/>
      <c r="UKF167" s="102"/>
      <c r="UKG167" s="102"/>
      <c r="UKH167" s="102"/>
      <c r="UKI167" s="102"/>
      <c r="UKJ167" s="102"/>
      <c r="UKK167" s="102"/>
      <c r="UKL167" s="102"/>
      <c r="UKM167" s="102"/>
      <c r="UKN167" s="102"/>
      <c r="UKO167" s="102"/>
      <c r="UKP167" s="102"/>
      <c r="UKQ167" s="102"/>
      <c r="UKR167" s="102"/>
      <c r="UKS167" s="102"/>
      <c r="UKT167" s="102"/>
      <c r="UKU167" s="102"/>
      <c r="UKV167" s="102"/>
      <c r="UKW167" s="102"/>
      <c r="UKX167" s="102"/>
      <c r="UKY167" s="102"/>
      <c r="UKZ167" s="102"/>
      <c r="ULA167" s="102"/>
      <c r="ULB167" s="102"/>
      <c r="ULC167" s="102"/>
      <c r="ULD167" s="102"/>
      <c r="ULE167" s="102"/>
      <c r="ULF167" s="102"/>
      <c r="ULG167" s="102"/>
      <c r="ULH167" s="102"/>
      <c r="ULI167" s="102"/>
      <c r="ULJ167" s="102"/>
      <c r="ULK167" s="102"/>
      <c r="ULL167" s="102"/>
      <c r="ULM167" s="102"/>
      <c r="ULN167" s="102"/>
      <c r="ULO167" s="102"/>
      <c r="ULP167" s="102"/>
      <c r="ULQ167" s="102"/>
      <c r="ULR167" s="102"/>
      <c r="ULS167" s="102"/>
      <c r="ULT167" s="102"/>
      <c r="ULU167" s="102"/>
      <c r="ULV167" s="102"/>
      <c r="ULW167" s="102"/>
      <c r="ULX167" s="102"/>
      <c r="ULY167" s="102"/>
      <c r="ULZ167" s="102"/>
      <c r="UMA167" s="102"/>
      <c r="UMB167" s="102"/>
      <c r="UMC167" s="102"/>
      <c r="UMD167" s="102"/>
      <c r="UME167" s="102"/>
      <c r="UMF167" s="102"/>
      <c r="UMG167" s="102"/>
      <c r="UMH167" s="102"/>
      <c r="UMI167" s="102"/>
      <c r="UMJ167" s="102"/>
      <c r="UMK167" s="102"/>
      <c r="UML167" s="102"/>
      <c r="UMM167" s="102"/>
      <c r="UMN167" s="102"/>
      <c r="UMO167" s="102"/>
      <c r="UMP167" s="102"/>
      <c r="UMQ167" s="102"/>
      <c r="UMR167" s="102"/>
      <c r="UMS167" s="102"/>
      <c r="UMT167" s="102"/>
      <c r="UMU167" s="102"/>
      <c r="UMV167" s="102"/>
      <c r="UMW167" s="102"/>
      <c r="UMX167" s="102"/>
      <c r="UMY167" s="102"/>
      <c r="UMZ167" s="102"/>
      <c r="UNA167" s="102"/>
      <c r="UNB167" s="102"/>
      <c r="UNC167" s="102"/>
      <c r="UND167" s="102"/>
      <c r="UNE167" s="102"/>
      <c r="UNF167" s="102"/>
      <c r="UNG167" s="102"/>
      <c r="UNH167" s="102"/>
      <c r="UNI167" s="102"/>
      <c r="UNJ167" s="102"/>
      <c r="UNK167" s="102"/>
      <c r="UNL167" s="102"/>
      <c r="UNM167" s="102"/>
      <c r="UNN167" s="102"/>
      <c r="UNO167" s="102"/>
      <c r="UNP167" s="102"/>
      <c r="UNQ167" s="102"/>
      <c r="UNR167" s="102"/>
      <c r="UNS167" s="102"/>
      <c r="UNT167" s="102"/>
      <c r="UNU167" s="102"/>
      <c r="UNV167" s="102"/>
      <c r="UNW167" s="102"/>
      <c r="UNX167" s="102"/>
      <c r="UNY167" s="102"/>
      <c r="UNZ167" s="102"/>
      <c r="UOA167" s="102"/>
      <c r="UOB167" s="102"/>
      <c r="UOC167" s="102"/>
      <c r="UOD167" s="102"/>
      <c r="UOE167" s="102"/>
      <c r="UOF167" s="102"/>
      <c r="UOG167" s="102"/>
      <c r="UOH167" s="102"/>
      <c r="UOI167" s="102"/>
      <c r="UOJ167" s="102"/>
      <c r="UOK167" s="102"/>
      <c r="UOL167" s="102"/>
      <c r="UOM167" s="102"/>
      <c r="UON167" s="102"/>
      <c r="UOO167" s="102"/>
      <c r="UOP167" s="102"/>
      <c r="UOQ167" s="102"/>
      <c r="UOR167" s="102"/>
      <c r="UOS167" s="102"/>
      <c r="UOT167" s="102"/>
      <c r="UOU167" s="102"/>
      <c r="UOV167" s="102"/>
      <c r="UOW167" s="102"/>
      <c r="UOX167" s="102"/>
      <c r="UOY167" s="102"/>
      <c r="UOZ167" s="102"/>
      <c r="UPA167" s="102"/>
      <c r="UPB167" s="102"/>
      <c r="UPC167" s="102"/>
      <c r="UPD167" s="102"/>
      <c r="UPE167" s="102"/>
      <c r="UPF167" s="102"/>
      <c r="UPG167" s="102"/>
      <c r="UPH167" s="102"/>
      <c r="UPI167" s="102"/>
      <c r="UPJ167" s="102"/>
      <c r="UPK167" s="102"/>
      <c r="UPL167" s="102"/>
      <c r="UPM167" s="102"/>
      <c r="UPN167" s="102"/>
      <c r="UPO167" s="102"/>
      <c r="UPP167" s="102"/>
      <c r="UPQ167" s="102"/>
      <c r="UPR167" s="102"/>
      <c r="UPS167" s="102"/>
      <c r="UPT167" s="102"/>
      <c r="UPU167" s="102"/>
      <c r="UPV167" s="102"/>
      <c r="UPW167" s="102"/>
      <c r="UPX167" s="102"/>
      <c r="UPY167" s="102"/>
      <c r="UPZ167" s="102"/>
      <c r="UQA167" s="102"/>
      <c r="UQB167" s="102"/>
      <c r="UQC167" s="102"/>
      <c r="UQD167" s="102"/>
      <c r="UQE167" s="102"/>
      <c r="UQF167" s="102"/>
      <c r="UQG167" s="102"/>
      <c r="UQH167" s="102"/>
      <c r="UQI167" s="102"/>
      <c r="UQJ167" s="102"/>
      <c r="UQK167" s="102"/>
      <c r="UQL167" s="102"/>
      <c r="UQM167" s="102"/>
      <c r="UQN167" s="102"/>
      <c r="UQO167" s="102"/>
      <c r="UQP167" s="102"/>
      <c r="UQQ167" s="102"/>
      <c r="UQR167" s="102"/>
      <c r="UQS167" s="102"/>
      <c r="UQT167" s="102"/>
      <c r="UQU167" s="102"/>
      <c r="UQV167" s="102"/>
      <c r="UQW167" s="102"/>
      <c r="UQX167" s="102"/>
      <c r="UQY167" s="102"/>
      <c r="UQZ167" s="102"/>
      <c r="URA167" s="102"/>
      <c r="URB167" s="102"/>
      <c r="URC167" s="102"/>
      <c r="URD167" s="102"/>
      <c r="URE167" s="102"/>
      <c r="URF167" s="102"/>
      <c r="URG167" s="102"/>
      <c r="URH167" s="102"/>
      <c r="URI167" s="102"/>
      <c r="URJ167" s="102"/>
      <c r="URK167" s="102"/>
      <c r="URL167" s="102"/>
      <c r="URM167" s="102"/>
      <c r="URN167" s="102"/>
      <c r="URO167" s="102"/>
      <c r="URP167" s="102"/>
      <c r="URQ167" s="102"/>
      <c r="URR167" s="102"/>
      <c r="URS167" s="102"/>
      <c r="URT167" s="102"/>
      <c r="URU167" s="102"/>
      <c r="URV167" s="102"/>
      <c r="URW167" s="102"/>
      <c r="URX167" s="102"/>
      <c r="URY167" s="102"/>
      <c r="URZ167" s="102"/>
      <c r="USA167" s="102"/>
      <c r="USB167" s="102"/>
      <c r="USC167" s="102"/>
      <c r="USD167" s="102"/>
      <c r="USE167" s="102"/>
      <c r="USF167" s="102"/>
      <c r="USG167" s="102"/>
      <c r="USH167" s="102"/>
      <c r="USI167" s="102"/>
      <c r="USJ167" s="102"/>
      <c r="USK167" s="102"/>
      <c r="USL167" s="102"/>
      <c r="USM167" s="102"/>
      <c r="USN167" s="102"/>
      <c r="USO167" s="102"/>
      <c r="USP167" s="102"/>
      <c r="USQ167" s="102"/>
      <c r="USR167" s="102"/>
      <c r="USS167" s="102"/>
      <c r="UST167" s="102"/>
      <c r="USU167" s="102"/>
      <c r="USV167" s="102"/>
      <c r="USW167" s="102"/>
      <c r="USX167" s="102"/>
      <c r="USY167" s="102"/>
      <c r="USZ167" s="102"/>
      <c r="UTA167" s="102"/>
      <c r="UTB167" s="102"/>
      <c r="UTC167" s="102"/>
      <c r="UTD167" s="102"/>
      <c r="UTE167" s="102"/>
      <c r="UTF167" s="102"/>
      <c r="UTG167" s="102"/>
      <c r="UTH167" s="102"/>
      <c r="UTI167" s="102"/>
      <c r="UTJ167" s="102"/>
      <c r="UTK167" s="102"/>
      <c r="UTL167" s="102"/>
      <c r="UTM167" s="102"/>
      <c r="UTN167" s="102"/>
      <c r="UTO167" s="102"/>
      <c r="UTP167" s="102"/>
      <c r="UTQ167" s="102"/>
      <c r="UTR167" s="102"/>
      <c r="UTS167" s="102"/>
      <c r="UTT167" s="102"/>
      <c r="UTU167" s="102"/>
      <c r="UTV167" s="102"/>
      <c r="UTW167" s="102"/>
      <c r="UTX167" s="102"/>
      <c r="UTY167" s="102"/>
      <c r="UTZ167" s="102"/>
      <c r="UUA167" s="102"/>
      <c r="UUB167" s="102"/>
      <c r="UUC167" s="102"/>
      <c r="UUD167" s="102"/>
      <c r="UUE167" s="102"/>
      <c r="UUF167" s="102"/>
      <c r="UUG167" s="102"/>
      <c r="UUH167" s="102"/>
      <c r="UUI167" s="102"/>
      <c r="UUJ167" s="102"/>
      <c r="UUK167" s="102"/>
      <c r="UUL167" s="102"/>
      <c r="UUM167" s="102"/>
      <c r="UUN167" s="102"/>
      <c r="UUO167" s="102"/>
      <c r="UUP167" s="102"/>
      <c r="UUQ167" s="102"/>
      <c r="UUR167" s="102"/>
      <c r="UUS167" s="102"/>
      <c r="UUT167" s="102"/>
      <c r="UUU167" s="102"/>
      <c r="UUV167" s="102"/>
      <c r="UUW167" s="102"/>
      <c r="UUX167" s="102"/>
      <c r="UUY167" s="102"/>
      <c r="UUZ167" s="102"/>
      <c r="UVA167" s="102"/>
      <c r="UVB167" s="102"/>
      <c r="UVC167" s="102"/>
      <c r="UVD167" s="102"/>
      <c r="UVE167" s="102"/>
      <c r="UVF167" s="102"/>
      <c r="UVG167" s="102"/>
      <c r="UVH167" s="102"/>
      <c r="UVI167" s="102"/>
      <c r="UVJ167" s="102"/>
      <c r="UVK167" s="102"/>
      <c r="UVL167" s="102"/>
      <c r="UVM167" s="102"/>
      <c r="UVN167" s="102"/>
      <c r="UVO167" s="102"/>
      <c r="UVP167" s="102"/>
      <c r="UVQ167" s="102"/>
      <c r="UVR167" s="102"/>
      <c r="UVS167" s="102"/>
      <c r="UVT167" s="102"/>
      <c r="UVU167" s="102"/>
      <c r="UVV167" s="102"/>
      <c r="UVW167" s="102"/>
      <c r="UVX167" s="102"/>
      <c r="UVY167" s="102"/>
      <c r="UVZ167" s="102"/>
      <c r="UWA167" s="102"/>
      <c r="UWB167" s="102"/>
      <c r="UWC167" s="102"/>
      <c r="UWD167" s="102"/>
      <c r="UWE167" s="102"/>
      <c r="UWF167" s="102"/>
      <c r="UWG167" s="102"/>
      <c r="UWH167" s="102"/>
      <c r="UWI167" s="102"/>
      <c r="UWJ167" s="102"/>
      <c r="UWK167" s="102"/>
      <c r="UWL167" s="102"/>
      <c r="UWM167" s="102"/>
      <c r="UWN167" s="102"/>
      <c r="UWO167" s="102"/>
      <c r="UWP167" s="102"/>
      <c r="UWQ167" s="102"/>
      <c r="UWR167" s="102"/>
      <c r="UWS167" s="102"/>
      <c r="UWT167" s="102"/>
      <c r="UWU167" s="102"/>
      <c r="UWV167" s="102"/>
      <c r="UWW167" s="102"/>
      <c r="UWX167" s="102"/>
      <c r="UWY167" s="102"/>
      <c r="UWZ167" s="102"/>
      <c r="UXA167" s="102"/>
      <c r="UXB167" s="102"/>
      <c r="UXC167" s="102"/>
      <c r="UXD167" s="102"/>
      <c r="UXE167" s="102"/>
      <c r="UXF167" s="102"/>
      <c r="UXG167" s="102"/>
      <c r="UXH167" s="102"/>
      <c r="UXI167" s="102"/>
      <c r="UXJ167" s="102"/>
      <c r="UXK167" s="102"/>
      <c r="UXL167" s="102"/>
      <c r="UXM167" s="102"/>
      <c r="UXN167" s="102"/>
      <c r="UXO167" s="102"/>
      <c r="UXP167" s="102"/>
      <c r="UXQ167" s="102"/>
      <c r="UXR167" s="102"/>
      <c r="UXS167" s="102"/>
      <c r="UXT167" s="102"/>
      <c r="UXU167" s="102"/>
      <c r="UXV167" s="102"/>
      <c r="UXW167" s="102"/>
      <c r="UXX167" s="102"/>
      <c r="UXY167" s="102"/>
      <c r="UXZ167" s="102"/>
      <c r="UYA167" s="102"/>
      <c r="UYB167" s="102"/>
      <c r="UYC167" s="102"/>
      <c r="UYD167" s="102"/>
      <c r="UYE167" s="102"/>
      <c r="UYF167" s="102"/>
      <c r="UYG167" s="102"/>
      <c r="UYH167" s="102"/>
      <c r="UYI167" s="102"/>
      <c r="UYJ167" s="102"/>
      <c r="UYK167" s="102"/>
      <c r="UYL167" s="102"/>
      <c r="UYM167" s="102"/>
      <c r="UYN167" s="102"/>
      <c r="UYO167" s="102"/>
      <c r="UYP167" s="102"/>
      <c r="UYQ167" s="102"/>
      <c r="UYR167" s="102"/>
      <c r="UYS167" s="102"/>
      <c r="UYT167" s="102"/>
      <c r="UYU167" s="102"/>
      <c r="UYV167" s="102"/>
      <c r="UYW167" s="102"/>
      <c r="UYX167" s="102"/>
      <c r="UYY167" s="102"/>
      <c r="UYZ167" s="102"/>
      <c r="UZA167" s="102"/>
      <c r="UZB167" s="102"/>
      <c r="UZC167" s="102"/>
      <c r="UZD167" s="102"/>
      <c r="UZE167" s="102"/>
      <c r="UZF167" s="102"/>
      <c r="UZG167" s="102"/>
      <c r="UZH167" s="102"/>
      <c r="UZI167" s="102"/>
      <c r="UZJ167" s="102"/>
      <c r="UZK167" s="102"/>
      <c r="UZL167" s="102"/>
      <c r="UZM167" s="102"/>
      <c r="UZN167" s="102"/>
      <c r="UZO167" s="102"/>
      <c r="UZP167" s="102"/>
      <c r="UZQ167" s="102"/>
      <c r="UZR167" s="102"/>
      <c r="UZS167" s="102"/>
      <c r="UZT167" s="102"/>
      <c r="UZU167" s="102"/>
      <c r="UZV167" s="102"/>
      <c r="UZW167" s="102"/>
      <c r="UZX167" s="102"/>
      <c r="UZY167" s="102"/>
      <c r="UZZ167" s="102"/>
      <c r="VAA167" s="102"/>
      <c r="VAB167" s="102"/>
      <c r="VAC167" s="102"/>
      <c r="VAD167" s="102"/>
      <c r="VAE167" s="102"/>
      <c r="VAF167" s="102"/>
      <c r="VAG167" s="102"/>
      <c r="VAH167" s="102"/>
      <c r="VAI167" s="102"/>
      <c r="VAJ167" s="102"/>
      <c r="VAK167" s="102"/>
      <c r="VAL167" s="102"/>
      <c r="VAM167" s="102"/>
      <c r="VAN167" s="102"/>
      <c r="VAO167" s="102"/>
      <c r="VAP167" s="102"/>
      <c r="VAQ167" s="102"/>
      <c r="VAR167" s="102"/>
      <c r="VAS167" s="102"/>
      <c r="VAT167" s="102"/>
      <c r="VAU167" s="102"/>
      <c r="VAV167" s="102"/>
      <c r="VAW167" s="102"/>
      <c r="VAX167" s="102"/>
      <c r="VAY167" s="102"/>
      <c r="VAZ167" s="102"/>
      <c r="VBA167" s="102"/>
      <c r="VBB167" s="102"/>
      <c r="VBC167" s="102"/>
      <c r="VBD167" s="102"/>
      <c r="VBE167" s="102"/>
      <c r="VBF167" s="102"/>
      <c r="VBG167" s="102"/>
      <c r="VBH167" s="102"/>
      <c r="VBI167" s="102"/>
      <c r="VBJ167" s="102"/>
      <c r="VBK167" s="102"/>
      <c r="VBL167" s="102"/>
      <c r="VBM167" s="102"/>
      <c r="VBN167" s="102"/>
      <c r="VBO167" s="102"/>
      <c r="VBP167" s="102"/>
      <c r="VBQ167" s="102"/>
      <c r="VBR167" s="102"/>
      <c r="VBS167" s="102"/>
      <c r="VBT167" s="102"/>
      <c r="VBU167" s="102"/>
      <c r="VBV167" s="102"/>
      <c r="VBW167" s="102"/>
      <c r="VBX167" s="102"/>
      <c r="VBY167" s="102"/>
      <c r="VBZ167" s="102"/>
      <c r="VCA167" s="102"/>
      <c r="VCB167" s="102"/>
      <c r="VCC167" s="102"/>
      <c r="VCD167" s="102"/>
      <c r="VCE167" s="102"/>
      <c r="VCF167" s="102"/>
      <c r="VCG167" s="102"/>
      <c r="VCH167" s="102"/>
      <c r="VCI167" s="102"/>
      <c r="VCJ167" s="102"/>
      <c r="VCK167" s="102"/>
      <c r="VCL167" s="102"/>
      <c r="VCM167" s="102"/>
      <c r="VCN167" s="102"/>
      <c r="VCO167" s="102"/>
      <c r="VCP167" s="102"/>
      <c r="VCQ167" s="102"/>
      <c r="VCR167" s="102"/>
      <c r="VCS167" s="102"/>
      <c r="VCT167" s="102"/>
      <c r="VCU167" s="102"/>
      <c r="VCV167" s="102"/>
      <c r="VCW167" s="102"/>
      <c r="VCX167" s="102"/>
      <c r="VCY167" s="102"/>
      <c r="VCZ167" s="102"/>
      <c r="VDA167" s="102"/>
      <c r="VDB167" s="102"/>
      <c r="VDC167" s="102"/>
      <c r="VDD167" s="102"/>
      <c r="VDE167" s="102"/>
      <c r="VDF167" s="102"/>
      <c r="VDG167" s="102"/>
      <c r="VDH167" s="102"/>
      <c r="VDI167" s="102"/>
      <c r="VDJ167" s="102"/>
      <c r="VDK167" s="102"/>
      <c r="VDL167" s="102"/>
      <c r="VDM167" s="102"/>
      <c r="VDN167" s="102"/>
      <c r="VDO167" s="102"/>
      <c r="VDP167" s="102"/>
      <c r="VDQ167" s="102"/>
      <c r="VDR167" s="102"/>
      <c r="VDS167" s="102"/>
      <c r="VDT167" s="102"/>
      <c r="VDU167" s="102"/>
      <c r="VDV167" s="102"/>
      <c r="VDW167" s="102"/>
      <c r="VDX167" s="102"/>
      <c r="VDY167" s="102"/>
      <c r="VDZ167" s="102"/>
      <c r="VEA167" s="102"/>
      <c r="VEB167" s="102"/>
      <c r="VEC167" s="102"/>
      <c r="VED167" s="102"/>
      <c r="VEE167" s="102"/>
      <c r="VEF167" s="102"/>
      <c r="VEG167" s="102"/>
      <c r="VEH167" s="102"/>
      <c r="VEI167" s="102"/>
      <c r="VEJ167" s="102"/>
      <c r="VEK167" s="102"/>
      <c r="VEL167" s="102"/>
      <c r="VEM167" s="102"/>
      <c r="VEN167" s="102"/>
      <c r="VEO167" s="102"/>
      <c r="VEP167" s="102"/>
      <c r="VEQ167" s="102"/>
      <c r="VER167" s="102"/>
      <c r="VES167" s="102"/>
      <c r="VET167" s="102"/>
      <c r="VEU167" s="102"/>
      <c r="VEV167" s="102"/>
      <c r="VEW167" s="102"/>
      <c r="VEX167" s="102"/>
      <c r="VEY167" s="102"/>
      <c r="VEZ167" s="102"/>
      <c r="VFA167" s="102"/>
      <c r="VFB167" s="102"/>
      <c r="VFC167" s="102"/>
      <c r="VFD167" s="102"/>
      <c r="VFE167" s="102"/>
      <c r="VFF167" s="102"/>
      <c r="VFG167" s="102"/>
      <c r="VFH167" s="102"/>
      <c r="VFI167" s="102"/>
      <c r="VFJ167" s="102"/>
      <c r="VFK167" s="102"/>
      <c r="VFL167" s="102"/>
      <c r="VFM167" s="102"/>
      <c r="VFN167" s="102"/>
      <c r="VFO167" s="102"/>
      <c r="VFP167" s="102"/>
      <c r="VFQ167" s="102"/>
      <c r="VFR167" s="102"/>
      <c r="VFS167" s="102"/>
      <c r="VFT167" s="102"/>
      <c r="VFU167" s="102"/>
      <c r="VFV167" s="102"/>
      <c r="VFW167" s="102"/>
      <c r="VFX167" s="102"/>
      <c r="VFY167" s="102"/>
      <c r="VFZ167" s="102"/>
      <c r="VGA167" s="102"/>
      <c r="VGB167" s="102"/>
      <c r="VGC167" s="102"/>
      <c r="VGD167" s="102"/>
      <c r="VGE167" s="102"/>
      <c r="VGF167" s="102"/>
      <c r="VGG167" s="102"/>
      <c r="VGH167" s="102"/>
      <c r="VGI167" s="102"/>
      <c r="VGJ167" s="102"/>
      <c r="VGK167" s="102"/>
      <c r="VGL167" s="102"/>
      <c r="VGM167" s="102"/>
      <c r="VGN167" s="102"/>
      <c r="VGO167" s="102"/>
      <c r="VGP167" s="102"/>
      <c r="VGQ167" s="102"/>
      <c r="VGR167" s="102"/>
      <c r="VGS167" s="102"/>
      <c r="VGT167" s="102"/>
      <c r="VGU167" s="102"/>
      <c r="VGV167" s="102"/>
      <c r="VGW167" s="102"/>
      <c r="VGX167" s="102"/>
      <c r="VGY167" s="102"/>
      <c r="VGZ167" s="102"/>
      <c r="VHA167" s="102"/>
      <c r="VHB167" s="102"/>
      <c r="VHC167" s="102"/>
      <c r="VHD167" s="102"/>
      <c r="VHE167" s="102"/>
      <c r="VHF167" s="102"/>
      <c r="VHG167" s="102"/>
      <c r="VHH167" s="102"/>
      <c r="VHI167" s="102"/>
      <c r="VHJ167" s="102"/>
      <c r="VHK167" s="102"/>
      <c r="VHL167" s="102"/>
      <c r="VHM167" s="102"/>
      <c r="VHN167" s="102"/>
      <c r="VHO167" s="102"/>
      <c r="VHP167" s="102"/>
      <c r="VHQ167" s="102"/>
      <c r="VHR167" s="102"/>
      <c r="VHS167" s="102"/>
      <c r="VHT167" s="102"/>
      <c r="VHU167" s="102"/>
      <c r="VHV167" s="102"/>
      <c r="VHW167" s="102"/>
      <c r="VHX167" s="102"/>
      <c r="VHY167" s="102"/>
      <c r="VHZ167" s="102"/>
      <c r="VIA167" s="102"/>
      <c r="VIB167" s="102"/>
      <c r="VIC167" s="102"/>
      <c r="VID167" s="102"/>
      <c r="VIE167" s="102"/>
      <c r="VIF167" s="102"/>
      <c r="VIG167" s="102"/>
      <c r="VIH167" s="102"/>
      <c r="VII167" s="102"/>
      <c r="VIJ167" s="102"/>
      <c r="VIK167" s="102"/>
      <c r="VIL167" s="102"/>
      <c r="VIM167" s="102"/>
      <c r="VIN167" s="102"/>
      <c r="VIO167" s="102"/>
      <c r="VIP167" s="102"/>
      <c r="VIQ167" s="102"/>
      <c r="VIR167" s="102"/>
      <c r="VIS167" s="102"/>
      <c r="VIT167" s="102"/>
      <c r="VIU167" s="102"/>
      <c r="VIV167" s="102"/>
      <c r="VIW167" s="102"/>
      <c r="VIX167" s="102"/>
      <c r="VIY167" s="102"/>
      <c r="VIZ167" s="102"/>
      <c r="VJA167" s="102"/>
      <c r="VJB167" s="102"/>
      <c r="VJC167" s="102"/>
      <c r="VJD167" s="102"/>
      <c r="VJE167" s="102"/>
      <c r="VJF167" s="102"/>
      <c r="VJG167" s="102"/>
      <c r="VJH167" s="102"/>
      <c r="VJI167" s="102"/>
      <c r="VJJ167" s="102"/>
      <c r="VJK167" s="102"/>
      <c r="VJL167" s="102"/>
      <c r="VJM167" s="102"/>
      <c r="VJN167" s="102"/>
      <c r="VJO167" s="102"/>
      <c r="VJP167" s="102"/>
      <c r="VJQ167" s="102"/>
      <c r="VJR167" s="102"/>
      <c r="VJS167" s="102"/>
      <c r="VJT167" s="102"/>
      <c r="VJU167" s="102"/>
      <c r="VJV167" s="102"/>
      <c r="VJW167" s="102"/>
      <c r="VJX167" s="102"/>
      <c r="VJY167" s="102"/>
      <c r="VJZ167" s="102"/>
      <c r="VKA167" s="102"/>
      <c r="VKB167" s="102"/>
      <c r="VKC167" s="102"/>
      <c r="VKD167" s="102"/>
      <c r="VKE167" s="102"/>
      <c r="VKF167" s="102"/>
      <c r="VKG167" s="102"/>
      <c r="VKH167" s="102"/>
      <c r="VKI167" s="102"/>
      <c r="VKJ167" s="102"/>
      <c r="VKK167" s="102"/>
      <c r="VKL167" s="102"/>
      <c r="VKM167" s="102"/>
      <c r="VKN167" s="102"/>
      <c r="VKO167" s="102"/>
      <c r="VKP167" s="102"/>
      <c r="VKQ167" s="102"/>
      <c r="VKR167" s="102"/>
      <c r="VKS167" s="102"/>
      <c r="VKT167" s="102"/>
      <c r="VKU167" s="102"/>
      <c r="VKV167" s="102"/>
      <c r="VKW167" s="102"/>
      <c r="VKX167" s="102"/>
      <c r="VKY167" s="102"/>
      <c r="VKZ167" s="102"/>
      <c r="VLA167" s="102"/>
      <c r="VLB167" s="102"/>
      <c r="VLC167" s="102"/>
      <c r="VLD167" s="102"/>
      <c r="VLE167" s="102"/>
      <c r="VLF167" s="102"/>
      <c r="VLG167" s="102"/>
      <c r="VLH167" s="102"/>
      <c r="VLI167" s="102"/>
      <c r="VLJ167" s="102"/>
      <c r="VLK167" s="102"/>
      <c r="VLL167" s="102"/>
      <c r="VLM167" s="102"/>
      <c r="VLN167" s="102"/>
      <c r="VLO167" s="102"/>
      <c r="VLP167" s="102"/>
      <c r="VLQ167" s="102"/>
      <c r="VLR167" s="102"/>
      <c r="VLS167" s="102"/>
      <c r="VLT167" s="102"/>
      <c r="VLU167" s="102"/>
      <c r="VLV167" s="102"/>
      <c r="VLW167" s="102"/>
      <c r="VLX167" s="102"/>
      <c r="VLY167" s="102"/>
      <c r="VLZ167" s="102"/>
      <c r="VMA167" s="102"/>
      <c r="VMB167" s="102"/>
      <c r="VMC167" s="102"/>
      <c r="VMD167" s="102"/>
      <c r="VME167" s="102"/>
      <c r="VMF167" s="102"/>
      <c r="VMG167" s="102"/>
      <c r="VMH167" s="102"/>
      <c r="VMI167" s="102"/>
      <c r="VMJ167" s="102"/>
      <c r="VMK167" s="102"/>
      <c r="VML167" s="102"/>
      <c r="VMM167" s="102"/>
      <c r="VMN167" s="102"/>
      <c r="VMO167" s="102"/>
      <c r="VMP167" s="102"/>
      <c r="VMQ167" s="102"/>
      <c r="VMR167" s="102"/>
      <c r="VMS167" s="102"/>
      <c r="VMT167" s="102"/>
      <c r="VMU167" s="102"/>
      <c r="VMV167" s="102"/>
      <c r="VMW167" s="102"/>
      <c r="VMX167" s="102"/>
      <c r="VMY167" s="102"/>
      <c r="VMZ167" s="102"/>
      <c r="VNA167" s="102"/>
      <c r="VNB167" s="102"/>
      <c r="VNC167" s="102"/>
      <c r="VND167" s="102"/>
      <c r="VNE167" s="102"/>
      <c r="VNF167" s="102"/>
      <c r="VNG167" s="102"/>
      <c r="VNH167" s="102"/>
      <c r="VNI167" s="102"/>
      <c r="VNJ167" s="102"/>
      <c r="VNK167" s="102"/>
      <c r="VNL167" s="102"/>
      <c r="VNM167" s="102"/>
      <c r="VNN167" s="102"/>
      <c r="VNO167" s="102"/>
      <c r="VNP167" s="102"/>
      <c r="VNQ167" s="102"/>
      <c r="VNR167" s="102"/>
      <c r="VNS167" s="102"/>
      <c r="VNT167" s="102"/>
      <c r="VNU167" s="102"/>
      <c r="VNV167" s="102"/>
      <c r="VNW167" s="102"/>
      <c r="VNX167" s="102"/>
      <c r="VNY167" s="102"/>
      <c r="VNZ167" s="102"/>
      <c r="VOA167" s="102"/>
      <c r="VOB167" s="102"/>
      <c r="VOC167" s="102"/>
      <c r="VOD167" s="102"/>
      <c r="VOE167" s="102"/>
      <c r="VOF167" s="102"/>
      <c r="VOG167" s="102"/>
      <c r="VOH167" s="102"/>
      <c r="VOI167" s="102"/>
      <c r="VOJ167" s="102"/>
      <c r="VOK167" s="102"/>
      <c r="VOL167" s="102"/>
      <c r="VOM167" s="102"/>
      <c r="VON167" s="102"/>
      <c r="VOO167" s="102"/>
      <c r="VOP167" s="102"/>
      <c r="VOQ167" s="102"/>
      <c r="VOR167" s="102"/>
      <c r="VOS167" s="102"/>
      <c r="VOT167" s="102"/>
      <c r="VOU167" s="102"/>
      <c r="VOV167" s="102"/>
      <c r="VOW167" s="102"/>
      <c r="VOX167" s="102"/>
      <c r="VOY167" s="102"/>
      <c r="VOZ167" s="102"/>
      <c r="VPA167" s="102"/>
      <c r="VPB167" s="102"/>
      <c r="VPC167" s="102"/>
      <c r="VPD167" s="102"/>
      <c r="VPE167" s="102"/>
      <c r="VPF167" s="102"/>
      <c r="VPG167" s="102"/>
      <c r="VPH167" s="102"/>
      <c r="VPI167" s="102"/>
      <c r="VPJ167" s="102"/>
      <c r="VPK167" s="102"/>
      <c r="VPL167" s="102"/>
      <c r="VPM167" s="102"/>
      <c r="VPN167" s="102"/>
      <c r="VPO167" s="102"/>
      <c r="VPP167" s="102"/>
      <c r="VPQ167" s="102"/>
      <c r="VPR167" s="102"/>
      <c r="VPS167" s="102"/>
      <c r="VPT167" s="102"/>
      <c r="VPU167" s="102"/>
      <c r="VPV167" s="102"/>
      <c r="VPW167" s="102"/>
      <c r="VPX167" s="102"/>
      <c r="VPY167" s="102"/>
      <c r="VPZ167" s="102"/>
      <c r="VQA167" s="102"/>
      <c r="VQB167" s="102"/>
      <c r="VQC167" s="102"/>
      <c r="VQD167" s="102"/>
      <c r="VQE167" s="102"/>
      <c r="VQF167" s="102"/>
      <c r="VQG167" s="102"/>
      <c r="VQH167" s="102"/>
      <c r="VQI167" s="102"/>
      <c r="VQJ167" s="102"/>
      <c r="VQK167" s="102"/>
      <c r="VQL167" s="102"/>
      <c r="VQM167" s="102"/>
      <c r="VQN167" s="102"/>
      <c r="VQO167" s="102"/>
      <c r="VQP167" s="102"/>
      <c r="VQQ167" s="102"/>
      <c r="VQR167" s="102"/>
      <c r="VQS167" s="102"/>
      <c r="VQT167" s="102"/>
      <c r="VQU167" s="102"/>
      <c r="VQV167" s="102"/>
      <c r="VQW167" s="102"/>
      <c r="VQX167" s="102"/>
      <c r="VQY167" s="102"/>
      <c r="VQZ167" s="102"/>
      <c r="VRA167" s="102"/>
      <c r="VRB167" s="102"/>
      <c r="VRC167" s="102"/>
      <c r="VRD167" s="102"/>
      <c r="VRE167" s="102"/>
      <c r="VRF167" s="102"/>
      <c r="VRG167" s="102"/>
      <c r="VRH167" s="102"/>
      <c r="VRI167" s="102"/>
      <c r="VRJ167" s="102"/>
      <c r="VRK167" s="102"/>
      <c r="VRL167" s="102"/>
      <c r="VRM167" s="102"/>
      <c r="VRN167" s="102"/>
      <c r="VRO167" s="102"/>
      <c r="VRP167" s="102"/>
      <c r="VRQ167" s="102"/>
      <c r="VRR167" s="102"/>
      <c r="VRS167" s="102"/>
      <c r="VRT167" s="102"/>
      <c r="VRU167" s="102"/>
      <c r="VRV167" s="102"/>
      <c r="VRW167" s="102"/>
      <c r="VRX167" s="102"/>
      <c r="VRY167" s="102"/>
      <c r="VRZ167" s="102"/>
      <c r="VSA167" s="102"/>
      <c r="VSB167" s="102"/>
      <c r="VSC167" s="102"/>
      <c r="VSD167" s="102"/>
      <c r="VSE167" s="102"/>
      <c r="VSF167" s="102"/>
      <c r="VSG167" s="102"/>
      <c r="VSH167" s="102"/>
      <c r="VSI167" s="102"/>
      <c r="VSJ167" s="102"/>
      <c r="VSK167" s="102"/>
      <c r="VSL167" s="102"/>
      <c r="VSM167" s="102"/>
      <c r="VSN167" s="102"/>
      <c r="VSO167" s="102"/>
      <c r="VSP167" s="102"/>
      <c r="VSQ167" s="102"/>
      <c r="VSR167" s="102"/>
      <c r="VSS167" s="102"/>
      <c r="VST167" s="102"/>
      <c r="VSU167" s="102"/>
      <c r="VSV167" s="102"/>
      <c r="VSW167" s="102"/>
      <c r="VSX167" s="102"/>
      <c r="VSY167" s="102"/>
      <c r="VSZ167" s="102"/>
      <c r="VTA167" s="102"/>
      <c r="VTB167" s="102"/>
      <c r="VTC167" s="102"/>
      <c r="VTD167" s="102"/>
      <c r="VTE167" s="102"/>
      <c r="VTF167" s="102"/>
      <c r="VTG167" s="102"/>
      <c r="VTH167" s="102"/>
      <c r="VTI167" s="102"/>
      <c r="VTJ167" s="102"/>
      <c r="VTK167" s="102"/>
      <c r="VTL167" s="102"/>
      <c r="VTM167" s="102"/>
      <c r="VTN167" s="102"/>
      <c r="VTO167" s="102"/>
      <c r="VTP167" s="102"/>
      <c r="VTQ167" s="102"/>
      <c r="VTR167" s="102"/>
      <c r="VTS167" s="102"/>
      <c r="VTT167" s="102"/>
      <c r="VTU167" s="102"/>
      <c r="VTV167" s="102"/>
      <c r="VTW167" s="102"/>
      <c r="VTX167" s="102"/>
      <c r="VTY167" s="102"/>
      <c r="VTZ167" s="102"/>
      <c r="VUA167" s="102"/>
      <c r="VUB167" s="102"/>
      <c r="VUC167" s="102"/>
      <c r="VUD167" s="102"/>
      <c r="VUE167" s="102"/>
      <c r="VUF167" s="102"/>
      <c r="VUG167" s="102"/>
      <c r="VUH167" s="102"/>
      <c r="VUI167" s="102"/>
      <c r="VUJ167" s="102"/>
      <c r="VUK167" s="102"/>
      <c r="VUL167" s="102"/>
      <c r="VUM167" s="102"/>
      <c r="VUN167" s="102"/>
      <c r="VUO167" s="102"/>
      <c r="VUP167" s="102"/>
      <c r="VUQ167" s="102"/>
      <c r="VUR167" s="102"/>
      <c r="VUS167" s="102"/>
      <c r="VUT167" s="102"/>
      <c r="VUU167" s="102"/>
      <c r="VUV167" s="102"/>
      <c r="VUW167" s="102"/>
      <c r="VUX167" s="102"/>
      <c r="VUY167" s="102"/>
      <c r="VUZ167" s="102"/>
      <c r="VVA167" s="102"/>
      <c r="VVB167" s="102"/>
      <c r="VVC167" s="102"/>
      <c r="VVD167" s="102"/>
      <c r="VVE167" s="102"/>
      <c r="VVF167" s="102"/>
      <c r="VVG167" s="102"/>
      <c r="VVH167" s="102"/>
      <c r="VVI167" s="102"/>
      <c r="VVJ167" s="102"/>
      <c r="VVK167" s="102"/>
      <c r="VVL167" s="102"/>
      <c r="VVM167" s="102"/>
      <c r="VVN167" s="102"/>
      <c r="VVO167" s="102"/>
      <c r="VVP167" s="102"/>
      <c r="VVQ167" s="102"/>
      <c r="VVR167" s="102"/>
      <c r="VVS167" s="102"/>
      <c r="VVT167" s="102"/>
      <c r="VVU167" s="102"/>
      <c r="VVV167" s="102"/>
      <c r="VVW167" s="102"/>
      <c r="VVX167" s="102"/>
      <c r="VVY167" s="102"/>
      <c r="VVZ167" s="102"/>
      <c r="VWA167" s="102"/>
      <c r="VWB167" s="102"/>
      <c r="VWC167" s="102"/>
      <c r="VWD167" s="102"/>
      <c r="VWE167" s="102"/>
      <c r="VWF167" s="102"/>
      <c r="VWG167" s="102"/>
      <c r="VWH167" s="102"/>
      <c r="VWI167" s="102"/>
      <c r="VWJ167" s="102"/>
      <c r="VWK167" s="102"/>
      <c r="VWL167" s="102"/>
      <c r="VWM167" s="102"/>
      <c r="VWN167" s="102"/>
      <c r="VWO167" s="102"/>
      <c r="VWP167" s="102"/>
      <c r="VWQ167" s="102"/>
      <c r="VWR167" s="102"/>
      <c r="VWS167" s="102"/>
      <c r="VWT167" s="102"/>
      <c r="VWU167" s="102"/>
      <c r="VWV167" s="102"/>
      <c r="VWW167" s="102"/>
      <c r="VWX167" s="102"/>
      <c r="VWY167" s="102"/>
      <c r="VWZ167" s="102"/>
      <c r="VXA167" s="102"/>
      <c r="VXB167" s="102"/>
      <c r="VXC167" s="102"/>
      <c r="VXD167" s="102"/>
      <c r="VXE167" s="102"/>
      <c r="VXF167" s="102"/>
      <c r="VXG167" s="102"/>
      <c r="VXH167" s="102"/>
      <c r="VXI167" s="102"/>
      <c r="VXJ167" s="102"/>
      <c r="VXK167" s="102"/>
      <c r="VXL167" s="102"/>
      <c r="VXM167" s="102"/>
      <c r="VXN167" s="102"/>
      <c r="VXO167" s="102"/>
      <c r="VXP167" s="102"/>
      <c r="VXQ167" s="102"/>
      <c r="VXR167" s="102"/>
      <c r="VXS167" s="102"/>
      <c r="VXT167" s="102"/>
      <c r="VXU167" s="102"/>
      <c r="VXV167" s="102"/>
      <c r="VXW167" s="102"/>
      <c r="VXX167" s="102"/>
      <c r="VXY167" s="102"/>
      <c r="VXZ167" s="102"/>
      <c r="VYA167" s="102"/>
      <c r="VYB167" s="102"/>
      <c r="VYC167" s="102"/>
      <c r="VYD167" s="102"/>
      <c r="VYE167" s="102"/>
      <c r="VYF167" s="102"/>
      <c r="VYG167" s="102"/>
      <c r="VYH167" s="102"/>
      <c r="VYI167" s="102"/>
      <c r="VYJ167" s="102"/>
      <c r="VYK167" s="102"/>
      <c r="VYL167" s="102"/>
      <c r="VYM167" s="102"/>
      <c r="VYN167" s="102"/>
      <c r="VYO167" s="102"/>
      <c r="VYP167" s="102"/>
      <c r="VYQ167" s="102"/>
      <c r="VYR167" s="102"/>
      <c r="VYS167" s="102"/>
      <c r="VYT167" s="102"/>
      <c r="VYU167" s="102"/>
      <c r="VYV167" s="102"/>
      <c r="VYW167" s="102"/>
      <c r="VYX167" s="102"/>
      <c r="VYY167" s="102"/>
      <c r="VYZ167" s="102"/>
      <c r="VZA167" s="102"/>
      <c r="VZB167" s="102"/>
      <c r="VZC167" s="102"/>
      <c r="VZD167" s="102"/>
      <c r="VZE167" s="102"/>
      <c r="VZF167" s="102"/>
      <c r="VZG167" s="102"/>
      <c r="VZH167" s="102"/>
      <c r="VZI167" s="102"/>
      <c r="VZJ167" s="102"/>
      <c r="VZK167" s="102"/>
      <c r="VZL167" s="102"/>
      <c r="VZM167" s="102"/>
      <c r="VZN167" s="102"/>
      <c r="VZO167" s="102"/>
      <c r="VZP167" s="102"/>
      <c r="VZQ167" s="102"/>
      <c r="VZR167" s="102"/>
      <c r="VZS167" s="102"/>
      <c r="VZT167" s="102"/>
      <c r="VZU167" s="102"/>
      <c r="VZV167" s="102"/>
      <c r="VZW167" s="102"/>
      <c r="VZX167" s="102"/>
      <c r="VZY167" s="102"/>
      <c r="VZZ167" s="102"/>
      <c r="WAA167" s="102"/>
      <c r="WAB167" s="102"/>
      <c r="WAC167" s="102"/>
      <c r="WAD167" s="102"/>
      <c r="WAE167" s="102"/>
      <c r="WAF167" s="102"/>
      <c r="WAG167" s="102"/>
      <c r="WAH167" s="102"/>
      <c r="WAI167" s="102"/>
      <c r="WAJ167" s="102"/>
      <c r="WAK167" s="102"/>
      <c r="WAL167" s="102"/>
      <c r="WAM167" s="102"/>
      <c r="WAN167" s="102"/>
      <c r="WAO167" s="102"/>
      <c r="WAP167" s="102"/>
      <c r="WAQ167" s="102"/>
      <c r="WAR167" s="102"/>
      <c r="WAS167" s="102"/>
      <c r="WAT167" s="102"/>
      <c r="WAU167" s="102"/>
      <c r="WAV167" s="102"/>
      <c r="WAW167" s="102"/>
      <c r="WAX167" s="102"/>
      <c r="WAY167" s="102"/>
      <c r="WAZ167" s="102"/>
      <c r="WBA167" s="102"/>
      <c r="WBB167" s="102"/>
      <c r="WBC167" s="102"/>
      <c r="WBD167" s="102"/>
      <c r="WBE167" s="102"/>
      <c r="WBF167" s="102"/>
      <c r="WBG167" s="102"/>
      <c r="WBH167" s="102"/>
      <c r="WBI167" s="102"/>
      <c r="WBJ167" s="102"/>
      <c r="WBK167" s="102"/>
      <c r="WBL167" s="102"/>
      <c r="WBM167" s="102"/>
      <c r="WBN167" s="102"/>
      <c r="WBO167" s="102"/>
      <c r="WBP167" s="102"/>
      <c r="WBQ167" s="102"/>
      <c r="WBR167" s="102"/>
      <c r="WBS167" s="102"/>
      <c r="WBT167" s="102"/>
      <c r="WBU167" s="102"/>
      <c r="WBV167" s="102"/>
      <c r="WBW167" s="102"/>
      <c r="WBX167" s="102"/>
      <c r="WBY167" s="102"/>
      <c r="WBZ167" s="102"/>
      <c r="WCA167" s="102"/>
      <c r="WCB167" s="102"/>
      <c r="WCC167" s="102"/>
      <c r="WCD167" s="102"/>
      <c r="WCE167" s="102"/>
      <c r="WCF167" s="102"/>
      <c r="WCG167" s="102"/>
      <c r="WCH167" s="102"/>
      <c r="WCI167" s="102"/>
      <c r="WCJ167" s="102"/>
      <c r="WCK167" s="102"/>
      <c r="WCL167" s="102"/>
      <c r="WCM167" s="102"/>
      <c r="WCN167" s="102"/>
      <c r="WCO167" s="102"/>
      <c r="WCP167" s="102"/>
      <c r="WCQ167" s="102"/>
      <c r="WCR167" s="102"/>
      <c r="WCS167" s="102"/>
      <c r="WCT167" s="102"/>
      <c r="WCU167" s="102"/>
      <c r="WCV167" s="102"/>
      <c r="WCW167" s="102"/>
      <c r="WCX167" s="102"/>
      <c r="WCY167" s="102"/>
      <c r="WCZ167" s="102"/>
      <c r="WDA167" s="102"/>
      <c r="WDB167" s="102"/>
      <c r="WDC167" s="102"/>
      <c r="WDD167" s="102"/>
      <c r="WDE167" s="102"/>
      <c r="WDF167" s="102"/>
      <c r="WDG167" s="102"/>
      <c r="WDH167" s="102"/>
      <c r="WDI167" s="102"/>
      <c r="WDJ167" s="102"/>
      <c r="WDK167" s="102"/>
      <c r="WDL167" s="102"/>
      <c r="WDM167" s="102"/>
      <c r="WDN167" s="102"/>
      <c r="WDO167" s="102"/>
      <c r="WDP167" s="102"/>
      <c r="WDQ167" s="102"/>
      <c r="WDR167" s="102"/>
      <c r="WDS167" s="102"/>
      <c r="WDT167" s="102"/>
      <c r="WDU167" s="102"/>
      <c r="WDV167" s="102"/>
      <c r="WDW167" s="102"/>
      <c r="WDX167" s="102"/>
      <c r="WDY167" s="102"/>
      <c r="WDZ167" s="102"/>
      <c r="WEA167" s="102"/>
      <c r="WEB167" s="102"/>
      <c r="WEC167" s="102"/>
      <c r="WED167" s="102"/>
      <c r="WEE167" s="102"/>
      <c r="WEF167" s="102"/>
      <c r="WEG167" s="102"/>
      <c r="WEH167" s="102"/>
      <c r="WEI167" s="102"/>
      <c r="WEJ167" s="102"/>
      <c r="WEK167" s="102"/>
      <c r="WEL167" s="102"/>
      <c r="WEM167" s="102"/>
      <c r="WEN167" s="102"/>
      <c r="WEO167" s="102"/>
      <c r="WEP167" s="102"/>
      <c r="WEQ167" s="102"/>
      <c r="WER167" s="102"/>
      <c r="WES167" s="102"/>
      <c r="WET167" s="102"/>
      <c r="WEU167" s="102"/>
      <c r="WEV167" s="102"/>
      <c r="WEW167" s="102"/>
      <c r="WEX167" s="102"/>
      <c r="WEY167" s="102"/>
      <c r="WEZ167" s="102"/>
      <c r="WFA167" s="102"/>
      <c r="WFB167" s="102"/>
      <c r="WFC167" s="102"/>
      <c r="WFD167" s="102"/>
      <c r="WFE167" s="102"/>
      <c r="WFF167" s="102"/>
      <c r="WFG167" s="102"/>
      <c r="WFH167" s="102"/>
      <c r="WFI167" s="102"/>
      <c r="WFJ167" s="102"/>
      <c r="WFK167" s="102"/>
      <c r="WFL167" s="102"/>
      <c r="WFM167" s="102"/>
      <c r="WFN167" s="102"/>
      <c r="WFO167" s="102"/>
      <c r="WFP167" s="102"/>
      <c r="WFQ167" s="102"/>
      <c r="WFR167" s="102"/>
      <c r="WFS167" s="102"/>
      <c r="WFT167" s="102"/>
      <c r="WFU167" s="102"/>
      <c r="WFV167" s="102"/>
      <c r="WFW167" s="102"/>
      <c r="WFX167" s="102"/>
      <c r="WFY167" s="102"/>
      <c r="WFZ167" s="102"/>
      <c r="WGA167" s="102"/>
      <c r="WGB167" s="102"/>
      <c r="WGC167" s="102"/>
      <c r="WGD167" s="102"/>
      <c r="WGE167" s="102"/>
      <c r="WGF167" s="102"/>
      <c r="WGG167" s="102"/>
      <c r="WGH167" s="102"/>
      <c r="WGI167" s="102"/>
      <c r="WGJ167" s="102"/>
      <c r="WGK167" s="102"/>
      <c r="WGL167" s="102"/>
      <c r="WGM167" s="102"/>
      <c r="WGN167" s="102"/>
      <c r="WGO167" s="102"/>
      <c r="WGP167" s="102"/>
      <c r="WGQ167" s="102"/>
      <c r="WGR167" s="102"/>
      <c r="WGS167" s="102"/>
      <c r="WGT167" s="102"/>
      <c r="WGU167" s="102"/>
      <c r="WGV167" s="102"/>
      <c r="WGW167" s="102"/>
      <c r="WGX167" s="102"/>
      <c r="WGY167" s="102"/>
      <c r="WGZ167" s="102"/>
      <c r="WHA167" s="102"/>
      <c r="WHB167" s="102"/>
      <c r="WHC167" s="102"/>
      <c r="WHD167" s="102"/>
      <c r="WHE167" s="102"/>
      <c r="WHF167" s="102"/>
      <c r="WHG167" s="102"/>
      <c r="WHH167" s="102"/>
      <c r="WHI167" s="102"/>
      <c r="WHJ167" s="102"/>
      <c r="WHK167" s="102"/>
      <c r="WHL167" s="102"/>
      <c r="WHM167" s="102"/>
      <c r="WHN167" s="102"/>
      <c r="WHO167" s="102"/>
      <c r="WHP167" s="102"/>
      <c r="WHQ167" s="102"/>
      <c r="WHR167" s="102"/>
      <c r="WHS167" s="102"/>
      <c r="WHT167" s="102"/>
      <c r="WHU167" s="102"/>
      <c r="WHV167" s="102"/>
      <c r="WHW167" s="102"/>
      <c r="WHX167" s="102"/>
      <c r="WHY167" s="102"/>
      <c r="WHZ167" s="102"/>
      <c r="WIA167" s="102"/>
      <c r="WIB167" s="102"/>
      <c r="WIC167" s="102"/>
      <c r="WID167" s="102"/>
      <c r="WIE167" s="102"/>
      <c r="WIF167" s="102"/>
      <c r="WIG167" s="102"/>
      <c r="WIH167" s="102"/>
      <c r="WII167" s="102"/>
      <c r="WIJ167" s="102"/>
      <c r="WIK167" s="102"/>
      <c r="WIL167" s="102"/>
      <c r="WIM167" s="102"/>
      <c r="WIN167" s="102"/>
      <c r="WIO167" s="102"/>
      <c r="WIP167" s="102"/>
      <c r="WIQ167" s="102"/>
      <c r="WIR167" s="102"/>
      <c r="WIS167" s="102"/>
      <c r="WIT167" s="102"/>
      <c r="WIU167" s="102"/>
      <c r="WIV167" s="102"/>
      <c r="WIW167" s="102"/>
      <c r="WIX167" s="102"/>
      <c r="WIY167" s="102"/>
      <c r="WIZ167" s="102"/>
      <c r="WJA167" s="102"/>
      <c r="WJB167" s="102"/>
      <c r="WJC167" s="102"/>
      <c r="WJD167" s="102"/>
      <c r="WJE167" s="102"/>
      <c r="WJF167" s="102"/>
      <c r="WJG167" s="102"/>
      <c r="WJH167" s="102"/>
      <c r="WJI167" s="102"/>
      <c r="WJJ167" s="102"/>
      <c r="WJK167" s="102"/>
      <c r="WJL167" s="102"/>
      <c r="WJM167" s="102"/>
      <c r="WJN167" s="102"/>
      <c r="WJO167" s="102"/>
      <c r="WJP167" s="102"/>
      <c r="WJQ167" s="102"/>
      <c r="WJR167" s="102"/>
      <c r="WJS167" s="102"/>
      <c r="WJT167" s="102"/>
      <c r="WJU167" s="102"/>
      <c r="WJV167" s="102"/>
      <c r="WJW167" s="102"/>
      <c r="WJX167" s="102"/>
      <c r="WJY167" s="102"/>
      <c r="WJZ167" s="102"/>
      <c r="WKA167" s="102"/>
      <c r="WKB167" s="102"/>
      <c r="WKC167" s="102"/>
      <c r="WKD167" s="102"/>
      <c r="WKE167" s="102"/>
      <c r="WKF167" s="102"/>
      <c r="WKG167" s="102"/>
      <c r="WKH167" s="102"/>
      <c r="WKI167" s="102"/>
      <c r="WKJ167" s="102"/>
      <c r="WKK167" s="102"/>
      <c r="WKL167" s="102"/>
      <c r="WKM167" s="102"/>
      <c r="WKN167" s="102"/>
      <c r="WKO167" s="102"/>
      <c r="WKP167" s="102"/>
      <c r="WKQ167" s="102"/>
      <c r="WKR167" s="102"/>
      <c r="WKS167" s="102"/>
      <c r="WKT167" s="102"/>
      <c r="WKU167" s="102"/>
      <c r="WKV167" s="102"/>
      <c r="WKW167" s="102"/>
      <c r="WKX167" s="102"/>
      <c r="WKY167" s="102"/>
      <c r="WKZ167" s="102"/>
      <c r="WLA167" s="102"/>
      <c r="WLB167" s="102"/>
      <c r="WLC167" s="102"/>
      <c r="WLD167" s="102"/>
      <c r="WLE167" s="102"/>
      <c r="WLF167" s="102"/>
      <c r="WLG167" s="102"/>
      <c r="WLH167" s="102"/>
      <c r="WLI167" s="102"/>
      <c r="WLJ167" s="102"/>
      <c r="WLK167" s="102"/>
      <c r="WLL167" s="102"/>
      <c r="WLM167" s="102"/>
      <c r="WLN167" s="102"/>
      <c r="WLO167" s="102"/>
      <c r="WLP167" s="102"/>
      <c r="WLQ167" s="102"/>
      <c r="WLR167" s="102"/>
      <c r="WLS167" s="102"/>
      <c r="WLT167" s="102"/>
      <c r="WLU167" s="102"/>
      <c r="WLV167" s="102"/>
      <c r="WLW167" s="102"/>
      <c r="WLX167" s="102"/>
      <c r="WLY167" s="102"/>
      <c r="WLZ167" s="102"/>
      <c r="WMA167" s="102"/>
      <c r="WMB167" s="102"/>
      <c r="WMC167" s="102"/>
      <c r="WMD167" s="102"/>
      <c r="WME167" s="102"/>
      <c r="WMF167" s="102"/>
      <c r="WMG167" s="102"/>
      <c r="WMH167" s="102"/>
      <c r="WMI167" s="102"/>
      <c r="WMJ167" s="102"/>
      <c r="WMK167" s="102"/>
      <c r="WML167" s="102"/>
      <c r="WMM167" s="102"/>
      <c r="WMN167" s="102"/>
      <c r="WMO167" s="102"/>
      <c r="WMP167" s="102"/>
      <c r="WMQ167" s="102"/>
      <c r="WMR167" s="102"/>
      <c r="WMS167" s="102"/>
      <c r="WMT167" s="102"/>
      <c r="WMU167" s="102"/>
      <c r="WMV167" s="102"/>
      <c r="WMW167" s="102"/>
      <c r="WMX167" s="102"/>
      <c r="WMY167" s="102"/>
      <c r="WMZ167" s="102"/>
      <c r="WNA167" s="102"/>
      <c r="WNB167" s="102"/>
      <c r="WNC167" s="102"/>
      <c r="WND167" s="102"/>
      <c r="WNE167" s="102"/>
      <c r="WNF167" s="102"/>
      <c r="WNG167" s="102"/>
      <c r="WNH167" s="102"/>
      <c r="WNI167" s="102"/>
      <c r="WNJ167" s="102"/>
      <c r="WNK167" s="102"/>
      <c r="WNL167" s="102"/>
      <c r="WNM167" s="102"/>
      <c r="WNN167" s="102"/>
      <c r="WNO167" s="102"/>
      <c r="WNP167" s="102"/>
      <c r="WNQ167" s="102"/>
      <c r="WNR167" s="102"/>
      <c r="WNS167" s="102"/>
      <c r="WNT167" s="102"/>
      <c r="WNU167" s="102"/>
      <c r="WNV167" s="102"/>
      <c r="WNW167" s="102"/>
      <c r="WNX167" s="102"/>
      <c r="WNY167" s="102"/>
      <c r="WNZ167" s="102"/>
      <c r="WOA167" s="102"/>
      <c r="WOB167" s="102"/>
      <c r="WOC167" s="102"/>
      <c r="WOD167" s="102"/>
      <c r="WOE167" s="102"/>
      <c r="WOF167" s="102"/>
      <c r="WOG167" s="102"/>
      <c r="WOH167" s="102"/>
      <c r="WOI167" s="102"/>
      <c r="WOJ167" s="102"/>
      <c r="WOK167" s="102"/>
      <c r="WOL167" s="102"/>
      <c r="WOM167" s="102"/>
      <c r="WON167" s="102"/>
      <c r="WOO167" s="102"/>
      <c r="WOP167" s="102"/>
      <c r="WOQ167" s="102"/>
      <c r="WOR167" s="102"/>
      <c r="WOS167" s="102"/>
      <c r="WOT167" s="102"/>
      <c r="WOU167" s="102"/>
      <c r="WOV167" s="102"/>
      <c r="WOW167" s="102"/>
      <c r="WOX167" s="102"/>
      <c r="WOY167" s="102"/>
      <c r="WOZ167" s="102"/>
      <c r="WPA167" s="102"/>
      <c r="WPB167" s="102"/>
      <c r="WPC167" s="102"/>
      <c r="WPD167" s="102"/>
      <c r="WPE167" s="102"/>
      <c r="WPF167" s="102"/>
      <c r="WPG167" s="102"/>
      <c r="WPH167" s="102"/>
      <c r="WPI167" s="102"/>
      <c r="WPJ167" s="102"/>
      <c r="WPK167" s="102"/>
      <c r="WPL167" s="102"/>
      <c r="WPM167" s="102"/>
      <c r="WPN167" s="102"/>
      <c r="WPO167" s="102"/>
      <c r="WPP167" s="102"/>
      <c r="WPQ167" s="102"/>
      <c r="WPR167" s="102"/>
      <c r="WPS167" s="102"/>
      <c r="WPT167" s="102"/>
      <c r="WPU167" s="102"/>
      <c r="WPV167" s="102"/>
      <c r="WPW167" s="102"/>
      <c r="WPX167" s="102"/>
      <c r="WPY167" s="102"/>
      <c r="WPZ167" s="102"/>
      <c r="WQA167" s="102"/>
      <c r="WQB167" s="102"/>
      <c r="WQC167" s="102"/>
      <c r="WQD167" s="102"/>
      <c r="WQE167" s="102"/>
      <c r="WQF167" s="102"/>
      <c r="WQG167" s="102"/>
      <c r="WQH167" s="102"/>
      <c r="WQI167" s="102"/>
      <c r="WQJ167" s="102"/>
      <c r="WQK167" s="102"/>
      <c r="WQL167" s="102"/>
      <c r="WQM167" s="102"/>
      <c r="WQN167" s="102"/>
      <c r="WQO167" s="102"/>
      <c r="WQP167" s="102"/>
      <c r="WQQ167" s="102"/>
      <c r="WQR167" s="102"/>
      <c r="WQS167" s="102"/>
      <c r="WQT167" s="102"/>
      <c r="WQU167" s="102"/>
      <c r="WQV167" s="102"/>
      <c r="WQW167" s="102"/>
      <c r="WQX167" s="102"/>
      <c r="WQY167" s="102"/>
      <c r="WQZ167" s="102"/>
      <c r="WRA167" s="102"/>
      <c r="WRB167" s="102"/>
      <c r="WRC167" s="102"/>
      <c r="WRD167" s="102"/>
      <c r="WRE167" s="102"/>
      <c r="WRF167" s="102"/>
      <c r="WRG167" s="102"/>
      <c r="WRH167" s="102"/>
      <c r="WRI167" s="102"/>
      <c r="WRJ167" s="102"/>
      <c r="WRK167" s="102"/>
      <c r="WRL167" s="102"/>
      <c r="WRM167" s="102"/>
      <c r="WRN167" s="102"/>
      <c r="WRO167" s="102"/>
      <c r="WRP167" s="102"/>
      <c r="WRQ167" s="102"/>
      <c r="WRR167" s="102"/>
      <c r="WRS167" s="102"/>
      <c r="WRT167" s="102"/>
      <c r="WRU167" s="102"/>
      <c r="WRV167" s="102"/>
      <c r="WRW167" s="102"/>
      <c r="WRX167" s="102"/>
      <c r="WRY167" s="102"/>
      <c r="WRZ167" s="102"/>
      <c r="WSA167" s="102"/>
      <c r="WSB167" s="102"/>
      <c r="WSC167" s="102"/>
      <c r="WSD167" s="102"/>
      <c r="WSE167" s="102"/>
      <c r="WSF167" s="102"/>
      <c r="WSG167" s="102"/>
      <c r="WSH167" s="102"/>
      <c r="WSI167" s="102"/>
      <c r="WSJ167" s="102"/>
      <c r="WSK167" s="102"/>
      <c r="WSL167" s="102"/>
      <c r="WSM167" s="102"/>
      <c r="WSN167" s="102"/>
      <c r="WSO167" s="102"/>
      <c r="WSP167" s="102"/>
      <c r="WSQ167" s="102"/>
      <c r="WSR167" s="102"/>
      <c r="WSS167" s="102"/>
      <c r="WST167" s="102"/>
      <c r="WSU167" s="102"/>
      <c r="WSV167" s="102"/>
      <c r="WSW167" s="102"/>
      <c r="WSX167" s="102"/>
      <c r="WSY167" s="102"/>
      <c r="WSZ167" s="102"/>
      <c r="WTA167" s="102"/>
      <c r="WTB167" s="102"/>
      <c r="WTC167" s="102"/>
      <c r="WTD167" s="102"/>
      <c r="WTE167" s="102"/>
      <c r="WTF167" s="102"/>
      <c r="WTG167" s="102"/>
      <c r="WTH167" s="102"/>
      <c r="WTI167" s="102"/>
      <c r="WTJ167" s="102"/>
      <c r="WTK167" s="102"/>
      <c r="WTL167" s="102"/>
      <c r="WTM167" s="102"/>
      <c r="WTN167" s="102"/>
      <c r="WTO167" s="102"/>
      <c r="WTP167" s="102"/>
      <c r="WTQ167" s="102"/>
      <c r="WTR167" s="102"/>
      <c r="WTS167" s="102"/>
      <c r="WTT167" s="102"/>
      <c r="WTU167" s="102"/>
      <c r="WTV167" s="102"/>
      <c r="WTW167" s="102"/>
      <c r="WTX167" s="102"/>
      <c r="WTY167" s="102"/>
      <c r="WTZ167" s="102"/>
      <c r="WUA167" s="102"/>
      <c r="WUB167" s="102"/>
      <c r="WUC167" s="102"/>
      <c r="WUD167" s="102"/>
      <c r="WUE167" s="102"/>
      <c r="WUF167" s="102"/>
      <c r="WUG167" s="102"/>
      <c r="WUH167" s="102"/>
      <c r="WUI167" s="102"/>
      <c r="WUJ167" s="102"/>
      <c r="WUK167" s="102"/>
      <c r="WUL167" s="102"/>
      <c r="WUM167" s="102"/>
      <c r="WUN167" s="102"/>
      <c r="WUO167" s="102"/>
      <c r="WUP167" s="102"/>
      <c r="WUQ167" s="102"/>
      <c r="WUR167" s="102"/>
      <c r="WUS167" s="102"/>
      <c r="WUT167" s="102"/>
      <c r="WUU167" s="102"/>
      <c r="WUV167" s="102"/>
      <c r="WUW167" s="102"/>
      <c r="WUX167" s="102"/>
      <c r="WUY167" s="102"/>
      <c r="WUZ167" s="102"/>
      <c r="WVA167" s="102"/>
      <c r="WVB167" s="102"/>
      <c r="WVC167" s="102"/>
      <c r="WVD167" s="102"/>
      <c r="WVE167" s="102"/>
      <c r="WVF167" s="102"/>
      <c r="WVG167" s="102"/>
      <c r="WVH167" s="102"/>
      <c r="WVI167" s="102"/>
      <c r="WVJ167" s="102"/>
      <c r="WVK167" s="102"/>
      <c r="WVL167" s="102"/>
      <c r="WVM167" s="102"/>
      <c r="WVN167" s="102"/>
      <c r="WVO167" s="102"/>
      <c r="WVP167" s="102"/>
      <c r="WVQ167" s="102"/>
      <c r="WVR167" s="102"/>
      <c r="WVS167" s="102"/>
      <c r="WVT167" s="102"/>
      <c r="WVU167" s="102"/>
      <c r="WVV167" s="102"/>
      <c r="WVW167" s="102"/>
      <c r="WVX167" s="102"/>
      <c r="WVY167" s="102"/>
      <c r="WVZ167" s="102"/>
      <c r="WWA167" s="102"/>
      <c r="WWB167" s="102"/>
      <c r="WWC167" s="102"/>
      <c r="WWD167" s="102"/>
      <c r="WWE167" s="102"/>
      <c r="WWF167" s="102"/>
      <c r="WWG167" s="102"/>
      <c r="WWH167" s="102"/>
      <c r="WWI167" s="102"/>
      <c r="WWJ167" s="102"/>
      <c r="WWK167" s="102"/>
      <c r="WWL167" s="102"/>
      <c r="WWM167" s="102"/>
      <c r="WWN167" s="102"/>
      <c r="WWO167" s="102"/>
      <c r="WWP167" s="102"/>
      <c r="WWQ167" s="102"/>
      <c r="WWR167" s="102"/>
      <c r="WWS167" s="102"/>
      <c r="WWT167" s="102"/>
      <c r="WWU167" s="102"/>
      <c r="WWV167" s="102"/>
      <c r="WWW167" s="102"/>
      <c r="WWX167" s="102"/>
      <c r="WWY167" s="102"/>
      <c r="WWZ167" s="102"/>
      <c r="WXA167" s="102"/>
      <c r="WXB167" s="102"/>
      <c r="WXC167" s="102"/>
      <c r="WXD167" s="102"/>
      <c r="WXE167" s="102"/>
      <c r="WXF167" s="102"/>
      <c r="WXG167" s="102"/>
      <c r="WXH167" s="102"/>
      <c r="WXI167" s="102"/>
      <c r="WXJ167" s="102"/>
      <c r="WXK167" s="102"/>
      <c r="WXL167" s="102"/>
      <c r="WXM167" s="102"/>
      <c r="WXN167" s="102"/>
      <c r="WXO167" s="102"/>
      <c r="WXP167" s="102"/>
      <c r="WXQ167" s="102"/>
      <c r="WXR167" s="102"/>
      <c r="WXS167" s="102"/>
      <c r="WXT167" s="102"/>
      <c r="WXU167" s="102"/>
      <c r="WXV167" s="102"/>
      <c r="WXW167" s="102"/>
      <c r="WXX167" s="102"/>
      <c r="WXY167" s="102"/>
      <c r="WXZ167" s="102"/>
      <c r="WYA167" s="102"/>
      <c r="WYB167" s="102"/>
      <c r="WYC167" s="102"/>
      <c r="WYD167" s="102"/>
      <c r="WYE167" s="102"/>
      <c r="WYF167" s="102"/>
      <c r="WYG167" s="102"/>
      <c r="WYH167" s="102"/>
      <c r="WYI167" s="102"/>
      <c r="WYJ167" s="102"/>
      <c r="WYK167" s="102"/>
      <c r="WYL167" s="102"/>
      <c r="WYM167" s="102"/>
      <c r="WYN167" s="102"/>
      <c r="WYO167" s="102"/>
      <c r="WYP167" s="102"/>
      <c r="WYQ167" s="102"/>
      <c r="WYR167" s="102"/>
      <c r="WYS167" s="102"/>
      <c r="WYT167" s="102"/>
      <c r="WYU167" s="102"/>
      <c r="WYV167" s="102"/>
      <c r="WYW167" s="102"/>
      <c r="WYX167" s="102"/>
      <c r="WYY167" s="102"/>
      <c r="WYZ167" s="102"/>
      <c r="WZA167" s="102"/>
      <c r="WZB167" s="102"/>
      <c r="WZC167" s="102"/>
      <c r="WZD167" s="102"/>
      <c r="WZE167" s="102"/>
      <c r="WZF167" s="102"/>
      <c r="WZG167" s="102"/>
      <c r="WZH167" s="102"/>
      <c r="WZI167" s="102"/>
      <c r="WZJ167" s="102"/>
      <c r="WZK167" s="102"/>
      <c r="WZL167" s="102"/>
      <c r="WZM167" s="102"/>
      <c r="WZN167" s="102"/>
      <c r="WZO167" s="102"/>
      <c r="WZP167" s="102"/>
      <c r="WZQ167" s="102"/>
      <c r="WZR167" s="102"/>
      <c r="WZS167" s="102"/>
      <c r="WZT167" s="102"/>
      <c r="WZU167" s="102"/>
      <c r="WZV167" s="102"/>
      <c r="WZW167" s="102"/>
      <c r="WZX167" s="102"/>
      <c r="WZY167" s="102"/>
      <c r="WZZ167" s="102"/>
      <c r="XAA167" s="102"/>
      <c r="XAB167" s="102"/>
      <c r="XAC167" s="102"/>
      <c r="XAD167" s="102"/>
      <c r="XAE167" s="102"/>
      <c r="XAF167" s="102"/>
      <c r="XAG167" s="102"/>
      <c r="XAH167" s="102"/>
      <c r="XAI167" s="102"/>
      <c r="XAJ167" s="102"/>
      <c r="XAK167" s="102"/>
      <c r="XAL167" s="102"/>
      <c r="XAM167" s="102"/>
      <c r="XAN167" s="102"/>
      <c r="XAO167" s="102"/>
      <c r="XAP167" s="102"/>
      <c r="XAQ167" s="102"/>
      <c r="XAR167" s="102"/>
      <c r="XAS167" s="102"/>
      <c r="XAT167" s="102"/>
      <c r="XAU167" s="102"/>
      <c r="XAV167" s="102"/>
      <c r="XAW167" s="102"/>
      <c r="XAX167" s="102"/>
      <c r="XAY167" s="102"/>
      <c r="XAZ167" s="102"/>
      <c r="XBA167" s="102"/>
      <c r="XBB167" s="102"/>
      <c r="XBC167" s="102"/>
      <c r="XBD167" s="102"/>
      <c r="XBE167" s="102"/>
      <c r="XBF167" s="102"/>
      <c r="XBG167" s="102"/>
      <c r="XBH167" s="102"/>
      <c r="XBI167" s="102"/>
      <c r="XBJ167" s="102"/>
      <c r="XBK167" s="102"/>
      <c r="XBL167" s="102"/>
      <c r="XBM167" s="102"/>
      <c r="XBN167" s="102"/>
      <c r="XBO167" s="102"/>
      <c r="XBP167" s="102"/>
      <c r="XBQ167" s="102"/>
      <c r="XBR167" s="102"/>
      <c r="XBS167" s="102"/>
      <c r="XBT167" s="102"/>
      <c r="XBU167" s="102"/>
      <c r="XBV167" s="102"/>
      <c r="XBW167" s="102"/>
      <c r="XBX167" s="102"/>
      <c r="XBY167" s="102"/>
      <c r="XBZ167" s="102"/>
      <c r="XCA167" s="102"/>
      <c r="XCB167" s="102"/>
      <c r="XCC167" s="102"/>
      <c r="XCD167" s="102"/>
      <c r="XCE167" s="102"/>
      <c r="XCF167" s="102"/>
      <c r="XCG167" s="102"/>
      <c r="XCH167" s="102"/>
      <c r="XCI167" s="102"/>
      <c r="XCJ167" s="102"/>
      <c r="XCK167" s="102"/>
      <c r="XCL167" s="102"/>
      <c r="XCM167" s="102"/>
      <c r="XCN167" s="102"/>
      <c r="XCO167" s="102"/>
      <c r="XCP167" s="102"/>
      <c r="XCQ167" s="102"/>
      <c r="XCR167" s="102"/>
      <c r="XCS167" s="102"/>
      <c r="XCT167" s="102"/>
      <c r="XCU167" s="102"/>
      <c r="XCV167" s="102"/>
      <c r="XCW167" s="102"/>
      <c r="XCX167" s="102"/>
      <c r="XCY167" s="102"/>
      <c r="XCZ167" s="102"/>
      <c r="XDA167" s="102"/>
      <c r="XDB167" s="102"/>
      <c r="XDC167" s="102"/>
      <c r="XDD167" s="102"/>
      <c r="XDE167" s="102"/>
      <c r="XDF167" s="102"/>
      <c r="XDG167" s="102"/>
      <c r="XDH167" s="102"/>
      <c r="XDI167" s="102"/>
      <c r="XDJ167" s="102"/>
      <c r="XDK167" s="102"/>
      <c r="XDL167" s="102"/>
      <c r="XDM167" s="102"/>
      <c r="XDN167" s="102"/>
      <c r="XDO167" s="102"/>
      <c r="XDP167" s="102"/>
      <c r="XDQ167" s="102"/>
      <c r="XDR167" s="102"/>
      <c r="XDS167" s="102"/>
      <c r="XDT167" s="102"/>
      <c r="XDU167" s="102"/>
      <c r="XDV167" s="102"/>
      <c r="XDW167" s="102"/>
      <c r="XDX167" s="102"/>
      <c r="XDY167" s="102"/>
      <c r="XDZ167" s="102"/>
      <c r="XEA167" s="102"/>
      <c r="XEB167" s="102"/>
      <c r="XEC167" s="102"/>
      <c r="XED167" s="102"/>
      <c r="XEE167" s="102"/>
      <c r="XEF167" s="102"/>
      <c r="XEG167" s="102"/>
      <c r="XEH167" s="102"/>
      <c r="XEI167" s="102"/>
      <c r="XEJ167" s="102"/>
      <c r="XEK167" s="35"/>
      <c r="XEL167" s="36"/>
      <c r="XEM167" s="37"/>
      <c r="XEN167" s="37"/>
      <c r="XEO167" s="37"/>
      <c r="XEP167" s="37"/>
      <c r="XEQ167" s="38"/>
      <c r="XER167" s="38"/>
      <c r="XES167" s="38"/>
      <c r="XET167" s="38"/>
      <c r="XEU167" s="38"/>
      <c r="XEV167" s="38"/>
      <c r="XEW167" s="38"/>
      <c r="XEX167" s="38"/>
    </row>
    <row r="168" spans="1:16378" s="49" customFormat="1" ht="51.75" x14ac:dyDescent="0.25">
      <c r="A168" s="43" t="s">
        <v>87</v>
      </c>
      <c r="B168" s="44" t="s">
        <v>88</v>
      </c>
      <c r="C168" s="72"/>
      <c r="D168" s="72"/>
      <c r="E168" s="72"/>
      <c r="F168" s="72"/>
      <c r="G168" s="46">
        <f>G187+G188</f>
        <v>31805</v>
      </c>
      <c r="H168" s="46">
        <f>H187+H188</f>
        <v>31805</v>
      </c>
      <c r="I168" s="46">
        <f t="shared" ref="I168:AH168" si="203">SUM(I169:I186)</f>
        <v>0</v>
      </c>
      <c r="J168" s="46">
        <f t="shared" si="203"/>
        <v>0</v>
      </c>
      <c r="K168" s="46">
        <f t="shared" si="203"/>
        <v>0</v>
      </c>
      <c r="L168" s="46">
        <f t="shared" si="203"/>
        <v>0</v>
      </c>
      <c r="M168" s="46">
        <f t="shared" ref="M168:T168" si="204">M187+M188</f>
        <v>2000</v>
      </c>
      <c r="N168" s="46">
        <f t="shared" si="204"/>
        <v>2000</v>
      </c>
      <c r="O168" s="46">
        <f t="shared" si="204"/>
        <v>2000</v>
      </c>
      <c r="P168" s="46">
        <f t="shared" si="204"/>
        <v>2000</v>
      </c>
      <c r="Q168" s="46">
        <f t="shared" si="204"/>
        <v>27500</v>
      </c>
      <c r="R168" s="46">
        <f t="shared" si="204"/>
        <v>0</v>
      </c>
      <c r="S168" s="46">
        <f t="shared" si="204"/>
        <v>29500</v>
      </c>
      <c r="T168" s="46">
        <f t="shared" si="204"/>
        <v>29500</v>
      </c>
      <c r="U168" s="46">
        <f t="shared" si="203"/>
        <v>56362</v>
      </c>
      <c r="V168" s="46">
        <f t="shared" si="203"/>
        <v>56362</v>
      </c>
      <c r="W168" s="46">
        <f t="shared" si="203"/>
        <v>65550</v>
      </c>
      <c r="X168" s="46">
        <f t="shared" si="203"/>
        <v>65550</v>
      </c>
      <c r="Y168" s="46">
        <f t="shared" si="203"/>
        <v>95106</v>
      </c>
      <c r="Z168" s="46">
        <f t="shared" si="203"/>
        <v>95106</v>
      </c>
      <c r="AA168" s="46">
        <f t="shared" si="203"/>
        <v>217018</v>
      </c>
      <c r="AB168" s="46">
        <f t="shared" si="203"/>
        <v>217018</v>
      </c>
      <c r="AC168" s="46">
        <f t="shared" si="203"/>
        <v>79620</v>
      </c>
      <c r="AD168" s="46">
        <f t="shared" si="203"/>
        <v>36420</v>
      </c>
      <c r="AE168" s="46">
        <f t="shared" si="203"/>
        <v>24050</v>
      </c>
      <c r="AF168" s="46">
        <f t="shared" si="203"/>
        <v>24050</v>
      </c>
      <c r="AG168" s="46">
        <f t="shared" si="203"/>
        <v>0</v>
      </c>
      <c r="AH168" s="46">
        <f t="shared" si="203"/>
        <v>0</v>
      </c>
      <c r="AI168" s="73"/>
      <c r="AJ168" s="19">
        <v>1</v>
      </c>
      <c r="AK168" s="22"/>
      <c r="AL168" s="22"/>
      <c r="AM168" s="12"/>
      <c r="AN168" s="12"/>
      <c r="AO168" s="12"/>
      <c r="AP168" s="12">
        <f t="shared" si="197"/>
        <v>0</v>
      </c>
      <c r="AQ168" s="12"/>
      <c r="AR168" s="12">
        <f t="shared" si="155"/>
        <v>0</v>
      </c>
      <c r="AS168" s="12"/>
      <c r="AT168" s="12">
        <f t="shared" si="185"/>
        <v>0</v>
      </c>
      <c r="AU168" s="12"/>
      <c r="AV168" s="12">
        <f t="shared" si="186"/>
        <v>0</v>
      </c>
    </row>
    <row r="169" spans="1:16378" ht="49.5" hidden="1" x14ac:dyDescent="0.25">
      <c r="A169" s="64" t="s">
        <v>414</v>
      </c>
      <c r="B169" s="9" t="s">
        <v>415</v>
      </c>
      <c r="C169" s="61" t="s">
        <v>416</v>
      </c>
      <c r="D169" s="61" t="s">
        <v>417</v>
      </c>
      <c r="E169" s="61" t="s">
        <v>91</v>
      </c>
      <c r="F169" s="61" t="s">
        <v>418</v>
      </c>
      <c r="G169" s="80">
        <v>149563</v>
      </c>
      <c r="H169" s="5">
        <f>G169</f>
        <v>149563</v>
      </c>
      <c r="I169" s="5"/>
      <c r="J169" s="5"/>
      <c r="K169" s="5"/>
      <c r="L169" s="5"/>
      <c r="M169" s="5">
        <v>122450</v>
      </c>
      <c r="N169" s="63">
        <v>122450</v>
      </c>
      <c r="O169" s="5">
        <v>122450</v>
      </c>
      <c r="P169" s="63">
        <v>122450</v>
      </c>
      <c r="Q169" s="54"/>
      <c r="R169" s="54"/>
      <c r="S169" s="68">
        <f t="shared" ref="S169:T184" si="205">O169</f>
        <v>122450</v>
      </c>
      <c r="T169" s="68">
        <f t="shared" si="205"/>
        <v>122450</v>
      </c>
      <c r="U169" s="5">
        <f t="shared" ref="U169:U176" si="206">V169</f>
        <v>39500</v>
      </c>
      <c r="V169" s="5">
        <v>39500</v>
      </c>
      <c r="W169" s="5">
        <f>X169</f>
        <v>36000</v>
      </c>
      <c r="X169" s="5">
        <v>36000</v>
      </c>
      <c r="Y169" s="5">
        <f>Z169</f>
        <v>70000</v>
      </c>
      <c r="Z169" s="5">
        <v>70000</v>
      </c>
      <c r="AA169" s="63">
        <f t="shared" ref="AA169:AB186" si="207">U169+W169+Y169</f>
        <v>145500</v>
      </c>
      <c r="AB169" s="63">
        <f t="shared" si="207"/>
        <v>145500</v>
      </c>
      <c r="AC169" s="63"/>
      <c r="AD169" s="63"/>
      <c r="AE169" s="63">
        <f t="shared" ref="AE169:AE192" si="208">AF169</f>
        <v>0</v>
      </c>
      <c r="AF169" s="63">
        <f t="shared" ref="AF169:AF192" si="209">IF(AB169=0,AD169,0)</f>
        <v>0</v>
      </c>
      <c r="AG169" s="5"/>
      <c r="AH169" s="5"/>
      <c r="AI169" s="27"/>
      <c r="AJ169" s="19">
        <f t="shared" si="174"/>
        <v>0</v>
      </c>
      <c r="AK169" s="22">
        <f t="shared" si="180"/>
        <v>0</v>
      </c>
      <c r="AL169" s="22"/>
      <c r="AM169" s="12">
        <f t="shared" ref="AM169:AM186" si="210">IF(AJ169=0,1,0)</f>
        <v>1</v>
      </c>
      <c r="AO169" s="12">
        <f t="shared" ref="AO169:AO186" si="211">IF(P169=0,1,0)</f>
        <v>0</v>
      </c>
      <c r="AP169" s="12">
        <f t="shared" si="197"/>
        <v>0</v>
      </c>
      <c r="AQ169" s="12">
        <f t="shared" ref="AQ169:AQ186" si="212">IF(N169=0,1,0)</f>
        <v>0</v>
      </c>
      <c r="AR169" s="12">
        <f t="shared" si="155"/>
        <v>0</v>
      </c>
      <c r="AS169" s="12">
        <f t="shared" ref="AS169:AS185" si="213">IF(Q169=0,0,1)</f>
        <v>0</v>
      </c>
      <c r="AT169" s="12">
        <f t="shared" si="185"/>
        <v>0</v>
      </c>
      <c r="AU169" s="12">
        <f t="shared" ref="AU169:AU186" si="214">IF(R169=0,0,1)</f>
        <v>0</v>
      </c>
      <c r="AV169" s="12">
        <f t="shared" si="186"/>
        <v>0</v>
      </c>
    </row>
    <row r="170" spans="1:16378" ht="66" hidden="1" x14ac:dyDescent="0.25">
      <c r="A170" s="64" t="s">
        <v>419</v>
      </c>
      <c r="B170" s="9" t="s">
        <v>420</v>
      </c>
      <c r="C170" s="61" t="s">
        <v>104</v>
      </c>
      <c r="D170" s="61" t="s">
        <v>421</v>
      </c>
      <c r="E170" s="61">
        <v>2016</v>
      </c>
      <c r="F170" s="61" t="s">
        <v>422</v>
      </c>
      <c r="G170" s="80">
        <v>5538</v>
      </c>
      <c r="H170" s="5">
        <f t="shared" ref="H170:H176" si="215">G170</f>
        <v>5538</v>
      </c>
      <c r="I170" s="5"/>
      <c r="J170" s="5"/>
      <c r="K170" s="5"/>
      <c r="L170" s="5"/>
      <c r="M170" s="5">
        <v>5000</v>
      </c>
      <c r="N170" s="63">
        <f>M170</f>
        <v>5000</v>
      </c>
      <c r="O170" s="5">
        <v>5000</v>
      </c>
      <c r="P170" s="63">
        <f>O170</f>
        <v>5000</v>
      </c>
      <c r="Q170" s="54"/>
      <c r="R170" s="54"/>
      <c r="S170" s="68">
        <f t="shared" si="205"/>
        <v>5000</v>
      </c>
      <c r="T170" s="68">
        <f t="shared" si="205"/>
        <v>5000</v>
      </c>
      <c r="U170" s="5">
        <f t="shared" si="206"/>
        <v>5000</v>
      </c>
      <c r="V170" s="5">
        <v>5000</v>
      </c>
      <c r="W170" s="5"/>
      <c r="X170" s="5"/>
      <c r="Y170" s="5"/>
      <c r="Z170" s="5"/>
      <c r="AA170" s="63">
        <f t="shared" si="207"/>
        <v>5000</v>
      </c>
      <c r="AB170" s="63">
        <f t="shared" si="207"/>
        <v>5000</v>
      </c>
      <c r="AC170" s="63">
        <f>O170-AA170</f>
        <v>0</v>
      </c>
      <c r="AD170" s="63">
        <f>P170-AB170</f>
        <v>0</v>
      </c>
      <c r="AE170" s="63">
        <f t="shared" si="208"/>
        <v>0</v>
      </c>
      <c r="AF170" s="63">
        <f t="shared" si="209"/>
        <v>0</v>
      </c>
      <c r="AG170" s="5"/>
      <c r="AH170" s="5"/>
      <c r="AI170" s="27"/>
      <c r="AJ170" s="19">
        <f t="shared" si="174"/>
        <v>0</v>
      </c>
      <c r="AK170" s="22">
        <f t="shared" si="180"/>
        <v>0</v>
      </c>
      <c r="AL170" s="22"/>
      <c r="AM170" s="12">
        <f t="shared" si="210"/>
        <v>1</v>
      </c>
      <c r="AO170" s="12">
        <f t="shared" si="211"/>
        <v>0</v>
      </c>
      <c r="AP170" s="12">
        <f t="shared" si="197"/>
        <v>0</v>
      </c>
      <c r="AQ170" s="12">
        <f t="shared" si="212"/>
        <v>0</v>
      </c>
      <c r="AR170" s="12">
        <f t="shared" si="155"/>
        <v>0</v>
      </c>
      <c r="AS170" s="12">
        <f t="shared" si="213"/>
        <v>0</v>
      </c>
      <c r="AT170" s="12">
        <f t="shared" si="185"/>
        <v>0</v>
      </c>
      <c r="AU170" s="12">
        <f t="shared" si="214"/>
        <v>0</v>
      </c>
      <c r="AV170" s="12">
        <f t="shared" si="186"/>
        <v>0</v>
      </c>
    </row>
    <row r="171" spans="1:16378" ht="82.5" hidden="1" x14ac:dyDescent="0.25">
      <c r="A171" s="64" t="s">
        <v>423</v>
      </c>
      <c r="B171" s="9" t="s">
        <v>424</v>
      </c>
      <c r="C171" s="61" t="s">
        <v>95</v>
      </c>
      <c r="D171" s="9" t="s">
        <v>425</v>
      </c>
      <c r="E171" s="61">
        <v>2016</v>
      </c>
      <c r="F171" s="61" t="s">
        <v>426</v>
      </c>
      <c r="G171" s="80">
        <v>1756</v>
      </c>
      <c r="H171" s="5">
        <f t="shared" si="215"/>
        <v>1756</v>
      </c>
      <c r="I171" s="5"/>
      <c r="J171" s="5"/>
      <c r="K171" s="5"/>
      <c r="L171" s="5"/>
      <c r="M171" s="5">
        <f>G171*0.9</f>
        <v>1580.4</v>
      </c>
      <c r="N171" s="63">
        <f>M171</f>
        <v>1580.4</v>
      </c>
      <c r="O171" s="5">
        <f>P171</f>
        <v>1420</v>
      </c>
      <c r="P171" s="63">
        <v>1420</v>
      </c>
      <c r="Q171" s="54"/>
      <c r="R171" s="54"/>
      <c r="S171" s="68">
        <f t="shared" si="205"/>
        <v>1420</v>
      </c>
      <c r="T171" s="68">
        <f t="shared" si="205"/>
        <v>1420</v>
      </c>
      <c r="U171" s="5">
        <f t="shared" si="206"/>
        <v>1630</v>
      </c>
      <c r="V171" s="5">
        <v>1630</v>
      </c>
      <c r="W171" s="5"/>
      <c r="X171" s="5"/>
      <c r="Y171" s="5"/>
      <c r="Z171" s="5"/>
      <c r="AA171" s="63">
        <f t="shared" si="207"/>
        <v>1630</v>
      </c>
      <c r="AB171" s="63">
        <f t="shared" si="207"/>
        <v>1630</v>
      </c>
      <c r="AC171" s="63"/>
      <c r="AD171" s="63"/>
      <c r="AE171" s="63">
        <f t="shared" si="208"/>
        <v>0</v>
      </c>
      <c r="AF171" s="63">
        <f t="shared" si="209"/>
        <v>0</v>
      </c>
      <c r="AG171" s="5"/>
      <c r="AH171" s="5"/>
      <c r="AI171" s="27"/>
      <c r="AJ171" s="19">
        <f t="shared" si="174"/>
        <v>0</v>
      </c>
      <c r="AK171" s="22">
        <f t="shared" si="180"/>
        <v>0</v>
      </c>
      <c r="AL171" s="22"/>
      <c r="AM171" s="12">
        <f t="shared" si="210"/>
        <v>1</v>
      </c>
      <c r="AO171" s="12">
        <f t="shared" si="211"/>
        <v>0</v>
      </c>
      <c r="AP171" s="12">
        <f t="shared" si="197"/>
        <v>0</v>
      </c>
      <c r="AQ171" s="12">
        <f t="shared" si="212"/>
        <v>0</v>
      </c>
      <c r="AR171" s="12">
        <f t="shared" si="155"/>
        <v>0</v>
      </c>
      <c r="AS171" s="12">
        <f t="shared" si="213"/>
        <v>0</v>
      </c>
      <c r="AT171" s="12">
        <f t="shared" si="185"/>
        <v>0</v>
      </c>
      <c r="AU171" s="12">
        <f t="shared" si="214"/>
        <v>0</v>
      </c>
      <c r="AV171" s="12">
        <f t="shared" si="186"/>
        <v>0</v>
      </c>
    </row>
    <row r="172" spans="1:16378" ht="49.5" hidden="1" x14ac:dyDescent="0.25">
      <c r="A172" s="64" t="s">
        <v>427</v>
      </c>
      <c r="B172" s="9" t="s">
        <v>428</v>
      </c>
      <c r="C172" s="61" t="s">
        <v>95</v>
      </c>
      <c r="D172" s="9" t="s">
        <v>429</v>
      </c>
      <c r="E172" s="61" t="s">
        <v>97</v>
      </c>
      <c r="F172" s="61" t="s">
        <v>430</v>
      </c>
      <c r="G172" s="63">
        <v>2163</v>
      </c>
      <c r="H172" s="5">
        <f t="shared" si="215"/>
        <v>2163</v>
      </c>
      <c r="I172" s="5"/>
      <c r="J172" s="5"/>
      <c r="K172" s="5"/>
      <c r="L172" s="5"/>
      <c r="M172" s="5">
        <v>1950</v>
      </c>
      <c r="N172" s="63">
        <f>M172</f>
        <v>1950</v>
      </c>
      <c r="O172" s="5">
        <v>1950</v>
      </c>
      <c r="P172" s="63">
        <f>O172</f>
        <v>1950</v>
      </c>
      <c r="Q172" s="54"/>
      <c r="R172" s="54"/>
      <c r="S172" s="68">
        <f t="shared" si="205"/>
        <v>1950</v>
      </c>
      <c r="T172" s="68">
        <f t="shared" si="205"/>
        <v>1950</v>
      </c>
      <c r="U172" s="5">
        <f t="shared" si="206"/>
        <v>1000</v>
      </c>
      <c r="V172" s="5">
        <v>1000</v>
      </c>
      <c r="W172" s="5">
        <f>X172</f>
        <v>950</v>
      </c>
      <c r="X172" s="5">
        <v>950</v>
      </c>
      <c r="Y172" s="5"/>
      <c r="Z172" s="5"/>
      <c r="AA172" s="63">
        <f t="shared" si="207"/>
        <v>1950</v>
      </c>
      <c r="AB172" s="63">
        <f t="shared" si="207"/>
        <v>1950</v>
      </c>
      <c r="AC172" s="63">
        <f>O172-AA172</f>
        <v>0</v>
      </c>
      <c r="AD172" s="63">
        <f>P172-AB172</f>
        <v>0</v>
      </c>
      <c r="AE172" s="63">
        <f t="shared" si="208"/>
        <v>0</v>
      </c>
      <c r="AF172" s="63">
        <f t="shared" si="209"/>
        <v>0</v>
      </c>
      <c r="AG172" s="5"/>
      <c r="AH172" s="5"/>
      <c r="AI172" s="27"/>
      <c r="AJ172" s="19">
        <f t="shared" si="174"/>
        <v>0</v>
      </c>
      <c r="AK172" s="22">
        <f t="shared" si="180"/>
        <v>0</v>
      </c>
      <c r="AL172" s="22"/>
      <c r="AM172" s="12">
        <f t="shared" si="210"/>
        <v>1</v>
      </c>
      <c r="AO172" s="12">
        <f t="shared" si="211"/>
        <v>0</v>
      </c>
      <c r="AP172" s="12">
        <f t="shared" si="197"/>
        <v>0</v>
      </c>
      <c r="AQ172" s="12">
        <f t="shared" si="212"/>
        <v>0</v>
      </c>
      <c r="AR172" s="12">
        <f t="shared" si="155"/>
        <v>0</v>
      </c>
      <c r="AS172" s="12">
        <f t="shared" si="213"/>
        <v>0</v>
      </c>
      <c r="AT172" s="12">
        <f t="shared" si="185"/>
        <v>0</v>
      </c>
      <c r="AU172" s="12">
        <f t="shared" si="214"/>
        <v>0</v>
      </c>
      <c r="AV172" s="12">
        <f t="shared" si="186"/>
        <v>0</v>
      </c>
    </row>
    <row r="173" spans="1:16378" ht="49.5" hidden="1" x14ac:dyDescent="0.25">
      <c r="A173" s="64" t="s">
        <v>431</v>
      </c>
      <c r="B173" s="9" t="s">
        <v>432</v>
      </c>
      <c r="C173" s="61" t="s">
        <v>194</v>
      </c>
      <c r="D173" s="61" t="s">
        <v>433</v>
      </c>
      <c r="E173" s="61" t="s">
        <v>97</v>
      </c>
      <c r="F173" s="61" t="s">
        <v>434</v>
      </c>
      <c r="G173" s="80">
        <v>13954</v>
      </c>
      <c r="H173" s="5">
        <f t="shared" si="215"/>
        <v>13954</v>
      </c>
      <c r="I173" s="5"/>
      <c r="J173" s="5"/>
      <c r="K173" s="5"/>
      <c r="L173" s="5"/>
      <c r="M173" s="5">
        <v>12560</v>
      </c>
      <c r="N173" s="63">
        <f>M173</f>
        <v>12560</v>
      </c>
      <c r="O173" s="5">
        <v>12560</v>
      </c>
      <c r="P173" s="63">
        <f>O173</f>
        <v>12560</v>
      </c>
      <c r="Q173" s="54"/>
      <c r="R173" s="54"/>
      <c r="S173" s="68">
        <f t="shared" si="205"/>
        <v>12560</v>
      </c>
      <c r="T173" s="68">
        <f t="shared" si="205"/>
        <v>12560</v>
      </c>
      <c r="U173" s="104">
        <f t="shared" si="206"/>
        <v>154</v>
      </c>
      <c r="V173" s="104">
        <v>154</v>
      </c>
      <c r="W173" s="5">
        <f>X173</f>
        <v>10200</v>
      </c>
      <c r="X173" s="5">
        <v>10200</v>
      </c>
      <c r="Y173" s="5">
        <f>Z173</f>
        <v>2206</v>
      </c>
      <c r="Z173" s="5">
        <f>P173-V173-X173</f>
        <v>2206</v>
      </c>
      <c r="AA173" s="63">
        <f t="shared" si="207"/>
        <v>12560</v>
      </c>
      <c r="AB173" s="63">
        <f t="shared" si="207"/>
        <v>12560</v>
      </c>
      <c r="AC173" s="63">
        <f>O173-AA173</f>
        <v>0</v>
      </c>
      <c r="AD173" s="63">
        <f>P173-AB173</f>
        <v>0</v>
      </c>
      <c r="AE173" s="63">
        <f t="shared" si="208"/>
        <v>0</v>
      </c>
      <c r="AF173" s="63">
        <f t="shared" si="209"/>
        <v>0</v>
      </c>
      <c r="AG173" s="5"/>
      <c r="AH173" s="5"/>
      <c r="AI173" s="27"/>
      <c r="AJ173" s="19">
        <f t="shared" si="174"/>
        <v>0</v>
      </c>
      <c r="AK173" s="22">
        <f t="shared" si="180"/>
        <v>0</v>
      </c>
      <c r="AL173" s="22"/>
      <c r="AM173" s="12">
        <f t="shared" si="210"/>
        <v>1</v>
      </c>
      <c r="AO173" s="12">
        <f t="shared" si="211"/>
        <v>0</v>
      </c>
      <c r="AP173" s="12">
        <f t="shared" si="197"/>
        <v>0</v>
      </c>
      <c r="AQ173" s="12">
        <f t="shared" si="212"/>
        <v>0</v>
      </c>
      <c r="AR173" s="12">
        <f t="shared" si="155"/>
        <v>0</v>
      </c>
      <c r="AS173" s="12">
        <f t="shared" si="213"/>
        <v>0</v>
      </c>
      <c r="AT173" s="12">
        <f t="shared" si="185"/>
        <v>0</v>
      </c>
      <c r="AU173" s="12">
        <f t="shared" si="214"/>
        <v>0</v>
      </c>
      <c r="AV173" s="12">
        <f t="shared" si="186"/>
        <v>0</v>
      </c>
    </row>
    <row r="174" spans="1:16378" ht="66" hidden="1" x14ac:dyDescent="0.25">
      <c r="A174" s="64" t="s">
        <v>435</v>
      </c>
      <c r="B174" s="9" t="s">
        <v>436</v>
      </c>
      <c r="C174" s="61" t="s">
        <v>437</v>
      </c>
      <c r="D174" s="61" t="s">
        <v>438</v>
      </c>
      <c r="E174" s="61">
        <v>2016</v>
      </c>
      <c r="F174" s="61" t="s">
        <v>439</v>
      </c>
      <c r="G174" s="80">
        <v>10083</v>
      </c>
      <c r="H174" s="5">
        <f t="shared" si="215"/>
        <v>10083</v>
      </c>
      <c r="I174" s="5"/>
      <c r="J174" s="5"/>
      <c r="K174" s="5"/>
      <c r="L174" s="5"/>
      <c r="M174" s="5">
        <v>9100</v>
      </c>
      <c r="N174" s="63">
        <v>9100</v>
      </c>
      <c r="O174" s="5">
        <f>P174</f>
        <v>9100</v>
      </c>
      <c r="P174" s="63">
        <f>N174</f>
        <v>9100</v>
      </c>
      <c r="Q174" s="54"/>
      <c r="R174" s="54"/>
      <c r="S174" s="68">
        <f t="shared" si="205"/>
        <v>9100</v>
      </c>
      <c r="T174" s="68">
        <f t="shared" si="205"/>
        <v>9100</v>
      </c>
      <c r="U174" s="5">
        <f t="shared" si="206"/>
        <v>6934</v>
      </c>
      <c r="V174" s="5">
        <v>6934</v>
      </c>
      <c r="W174" s="5">
        <f>X174</f>
        <v>2540</v>
      </c>
      <c r="X174" s="5">
        <v>2540</v>
      </c>
      <c r="Y174" s="5"/>
      <c r="Z174" s="5"/>
      <c r="AA174" s="63">
        <f t="shared" si="207"/>
        <v>9474</v>
      </c>
      <c r="AB174" s="63">
        <f t="shared" si="207"/>
        <v>9474</v>
      </c>
      <c r="AC174" s="63"/>
      <c r="AD174" s="63"/>
      <c r="AE174" s="63">
        <f t="shared" si="208"/>
        <v>0</v>
      </c>
      <c r="AF174" s="63">
        <f t="shared" si="209"/>
        <v>0</v>
      </c>
      <c r="AG174" s="5"/>
      <c r="AH174" s="5"/>
      <c r="AI174" s="27"/>
      <c r="AJ174" s="19">
        <f t="shared" si="174"/>
        <v>0</v>
      </c>
      <c r="AK174" s="22">
        <f t="shared" si="180"/>
        <v>0</v>
      </c>
      <c r="AL174" s="22"/>
      <c r="AM174" s="12">
        <f t="shared" si="210"/>
        <v>1</v>
      </c>
      <c r="AO174" s="12">
        <f t="shared" si="211"/>
        <v>0</v>
      </c>
      <c r="AP174" s="12">
        <f t="shared" si="197"/>
        <v>0</v>
      </c>
      <c r="AQ174" s="12">
        <f t="shared" si="212"/>
        <v>0</v>
      </c>
      <c r="AR174" s="12">
        <f t="shared" si="155"/>
        <v>0</v>
      </c>
      <c r="AS174" s="12">
        <f t="shared" si="213"/>
        <v>0</v>
      </c>
      <c r="AT174" s="12">
        <f t="shared" si="185"/>
        <v>0</v>
      </c>
      <c r="AU174" s="12">
        <f t="shared" si="214"/>
        <v>0</v>
      </c>
      <c r="AV174" s="12">
        <f t="shared" si="186"/>
        <v>0</v>
      </c>
    </row>
    <row r="175" spans="1:16378" ht="115.5" hidden="1" x14ac:dyDescent="0.25">
      <c r="A175" s="64" t="s">
        <v>440</v>
      </c>
      <c r="B175" s="9" t="s">
        <v>441</v>
      </c>
      <c r="C175" s="61" t="s">
        <v>442</v>
      </c>
      <c r="D175" s="61" t="s">
        <v>443</v>
      </c>
      <c r="E175" s="61" t="s">
        <v>97</v>
      </c>
      <c r="F175" s="61" t="s">
        <v>444</v>
      </c>
      <c r="G175" s="63">
        <v>4900</v>
      </c>
      <c r="H175" s="5">
        <f t="shared" si="215"/>
        <v>4900</v>
      </c>
      <c r="I175" s="5"/>
      <c r="J175" s="5"/>
      <c r="K175" s="5"/>
      <c r="L175" s="5"/>
      <c r="M175" s="5">
        <v>4400</v>
      </c>
      <c r="N175" s="63">
        <f t="shared" ref="N175:N184" si="216">M175</f>
        <v>4400</v>
      </c>
      <c r="O175" s="5">
        <f>P175</f>
        <v>4400</v>
      </c>
      <c r="P175" s="63">
        <v>4400</v>
      </c>
      <c r="Q175" s="54"/>
      <c r="R175" s="54"/>
      <c r="S175" s="68">
        <f t="shared" si="205"/>
        <v>4400</v>
      </c>
      <c r="T175" s="68">
        <f t="shared" si="205"/>
        <v>4400</v>
      </c>
      <c r="U175" s="5">
        <f t="shared" si="206"/>
        <v>144</v>
      </c>
      <c r="V175" s="5">
        <v>144</v>
      </c>
      <c r="W175" s="5">
        <f>X175</f>
        <v>4360</v>
      </c>
      <c r="X175" s="5">
        <v>4360</v>
      </c>
      <c r="Y175" s="5"/>
      <c r="Z175" s="5"/>
      <c r="AA175" s="63">
        <f t="shared" si="207"/>
        <v>4504</v>
      </c>
      <c r="AB175" s="63">
        <f t="shared" si="207"/>
        <v>4504</v>
      </c>
      <c r="AC175" s="63"/>
      <c r="AD175" s="63"/>
      <c r="AE175" s="63">
        <f t="shared" si="208"/>
        <v>0</v>
      </c>
      <c r="AF175" s="63">
        <f t="shared" si="209"/>
        <v>0</v>
      </c>
      <c r="AG175" s="5"/>
      <c r="AH175" s="5"/>
      <c r="AI175" s="27"/>
      <c r="AJ175" s="19">
        <f t="shared" si="174"/>
        <v>0</v>
      </c>
      <c r="AK175" s="22">
        <f t="shared" si="180"/>
        <v>0</v>
      </c>
      <c r="AL175" s="22"/>
      <c r="AM175" s="12">
        <f t="shared" si="210"/>
        <v>1</v>
      </c>
      <c r="AO175" s="12">
        <f t="shared" si="211"/>
        <v>0</v>
      </c>
      <c r="AP175" s="12">
        <f t="shared" si="197"/>
        <v>0</v>
      </c>
      <c r="AQ175" s="12">
        <f t="shared" si="212"/>
        <v>0</v>
      </c>
      <c r="AR175" s="12">
        <f t="shared" si="155"/>
        <v>0</v>
      </c>
      <c r="AS175" s="12">
        <f t="shared" si="213"/>
        <v>0</v>
      </c>
      <c r="AT175" s="12">
        <f t="shared" si="185"/>
        <v>0</v>
      </c>
      <c r="AU175" s="12">
        <f t="shared" si="214"/>
        <v>0</v>
      </c>
      <c r="AV175" s="12">
        <f t="shared" si="186"/>
        <v>0</v>
      </c>
    </row>
    <row r="176" spans="1:16378" ht="49.5" hidden="1" x14ac:dyDescent="0.25">
      <c r="A176" s="64" t="s">
        <v>445</v>
      </c>
      <c r="B176" s="9" t="s">
        <v>446</v>
      </c>
      <c r="C176" s="61" t="s">
        <v>447</v>
      </c>
      <c r="D176" s="61" t="s">
        <v>448</v>
      </c>
      <c r="E176" s="61" t="s">
        <v>97</v>
      </c>
      <c r="F176" s="61" t="s">
        <v>449</v>
      </c>
      <c r="G176" s="63">
        <v>2788</v>
      </c>
      <c r="H176" s="5">
        <f t="shared" si="215"/>
        <v>2788</v>
      </c>
      <c r="I176" s="5"/>
      <c r="J176" s="5"/>
      <c r="K176" s="5"/>
      <c r="L176" s="5"/>
      <c r="M176" s="5">
        <v>2500</v>
      </c>
      <c r="N176" s="63">
        <f t="shared" si="216"/>
        <v>2500</v>
      </c>
      <c r="O176" s="5">
        <v>2500</v>
      </c>
      <c r="P176" s="63">
        <f t="shared" ref="P176:P184" si="217">O176</f>
        <v>2500</v>
      </c>
      <c r="Q176" s="54"/>
      <c r="R176" s="54"/>
      <c r="S176" s="68">
        <f t="shared" si="205"/>
        <v>2500</v>
      </c>
      <c r="T176" s="68">
        <f t="shared" si="205"/>
        <v>2500</v>
      </c>
      <c r="U176" s="5">
        <f t="shared" si="206"/>
        <v>2000</v>
      </c>
      <c r="V176" s="5">
        <v>2000</v>
      </c>
      <c r="W176" s="5"/>
      <c r="X176" s="5"/>
      <c r="Y176" s="5">
        <f>Z176</f>
        <v>500</v>
      </c>
      <c r="Z176" s="5">
        <f>P176-V176-X176</f>
        <v>500</v>
      </c>
      <c r="AA176" s="63">
        <f t="shared" si="207"/>
        <v>2500</v>
      </c>
      <c r="AB176" s="63">
        <f t="shared" si="207"/>
        <v>2500</v>
      </c>
      <c r="AC176" s="63">
        <f t="shared" ref="AC176:AD186" si="218">O176-AA176</f>
        <v>0</v>
      </c>
      <c r="AD176" s="63">
        <f t="shared" si="218"/>
        <v>0</v>
      </c>
      <c r="AE176" s="63">
        <f t="shared" si="208"/>
        <v>0</v>
      </c>
      <c r="AF176" s="63">
        <f t="shared" si="209"/>
        <v>0</v>
      </c>
      <c r="AG176" s="5"/>
      <c r="AH176" s="5"/>
      <c r="AI176" s="27"/>
      <c r="AJ176" s="19">
        <f t="shared" si="174"/>
        <v>0</v>
      </c>
      <c r="AK176" s="22">
        <f t="shared" si="180"/>
        <v>0</v>
      </c>
      <c r="AL176" s="22"/>
      <c r="AM176" s="12">
        <f t="shared" si="210"/>
        <v>1</v>
      </c>
      <c r="AO176" s="12">
        <f t="shared" si="211"/>
        <v>0</v>
      </c>
      <c r="AP176" s="12">
        <f t="shared" si="197"/>
        <v>0</v>
      </c>
      <c r="AQ176" s="12">
        <f t="shared" si="212"/>
        <v>0</v>
      </c>
      <c r="AR176" s="12">
        <f t="shared" si="155"/>
        <v>0</v>
      </c>
      <c r="AS176" s="12">
        <f t="shared" si="213"/>
        <v>0</v>
      </c>
      <c r="AT176" s="12">
        <f t="shared" si="185"/>
        <v>0</v>
      </c>
      <c r="AU176" s="12">
        <f t="shared" si="214"/>
        <v>0</v>
      </c>
      <c r="AV176" s="12">
        <f t="shared" si="186"/>
        <v>0</v>
      </c>
    </row>
    <row r="177" spans="1:48" ht="49.5" hidden="1" x14ac:dyDescent="0.25">
      <c r="A177" s="64" t="s">
        <v>450</v>
      </c>
      <c r="B177" s="9" t="s">
        <v>451</v>
      </c>
      <c r="C177" s="61" t="s">
        <v>95</v>
      </c>
      <c r="D177" s="61" t="s">
        <v>452</v>
      </c>
      <c r="E177" s="61" t="s">
        <v>97</v>
      </c>
      <c r="F177" s="61" t="s">
        <v>453</v>
      </c>
      <c r="G177" s="75">
        <f t="shared" ref="G177:G184" si="219">H177</f>
        <v>1917</v>
      </c>
      <c r="H177" s="63">
        <v>1917</v>
      </c>
      <c r="I177" s="63"/>
      <c r="J177" s="63"/>
      <c r="K177" s="63"/>
      <c r="L177" s="63"/>
      <c r="M177" s="68">
        <v>1720</v>
      </c>
      <c r="N177" s="63">
        <f t="shared" si="216"/>
        <v>1720</v>
      </c>
      <c r="O177" s="68">
        <v>1720</v>
      </c>
      <c r="P177" s="63">
        <f t="shared" si="217"/>
        <v>1720</v>
      </c>
      <c r="Q177" s="54"/>
      <c r="R177" s="54"/>
      <c r="S177" s="68">
        <f t="shared" si="205"/>
        <v>1720</v>
      </c>
      <c r="T177" s="68">
        <f t="shared" si="205"/>
        <v>1720</v>
      </c>
      <c r="U177" s="63"/>
      <c r="V177" s="63"/>
      <c r="W177" s="63">
        <f>X177</f>
        <v>1500</v>
      </c>
      <c r="X177" s="63">
        <v>1500</v>
      </c>
      <c r="Y177" s="63"/>
      <c r="Z177" s="63"/>
      <c r="AA177" s="63">
        <f t="shared" si="207"/>
        <v>1500</v>
      </c>
      <c r="AB177" s="63">
        <f t="shared" si="207"/>
        <v>1500</v>
      </c>
      <c r="AC177" s="63">
        <f t="shared" si="218"/>
        <v>220</v>
      </c>
      <c r="AD177" s="63">
        <f t="shared" si="218"/>
        <v>220</v>
      </c>
      <c r="AE177" s="63">
        <f t="shared" si="208"/>
        <v>0</v>
      </c>
      <c r="AF177" s="63">
        <f t="shared" si="209"/>
        <v>0</v>
      </c>
      <c r="AG177" s="63"/>
      <c r="AH177" s="63"/>
      <c r="AI177" s="69"/>
      <c r="AJ177" s="19">
        <f t="shared" si="174"/>
        <v>0</v>
      </c>
      <c r="AK177" s="22">
        <f t="shared" si="180"/>
        <v>0</v>
      </c>
      <c r="AL177" s="22"/>
      <c r="AM177" s="12">
        <f t="shared" si="210"/>
        <v>1</v>
      </c>
      <c r="AO177" s="12">
        <f t="shared" si="211"/>
        <v>0</v>
      </c>
      <c r="AP177" s="12">
        <f t="shared" si="197"/>
        <v>0</v>
      </c>
      <c r="AQ177" s="12">
        <f t="shared" si="212"/>
        <v>0</v>
      </c>
      <c r="AR177" s="12">
        <f t="shared" si="155"/>
        <v>0</v>
      </c>
      <c r="AS177" s="12">
        <f t="shared" si="213"/>
        <v>0</v>
      </c>
      <c r="AT177" s="12">
        <f t="shared" si="185"/>
        <v>0</v>
      </c>
      <c r="AU177" s="12">
        <f t="shared" si="214"/>
        <v>0</v>
      </c>
      <c r="AV177" s="12">
        <f t="shared" si="186"/>
        <v>0</v>
      </c>
    </row>
    <row r="178" spans="1:48" ht="49.5" hidden="1" x14ac:dyDescent="0.25">
      <c r="A178" s="64" t="s">
        <v>454</v>
      </c>
      <c r="B178" s="9" t="s">
        <v>455</v>
      </c>
      <c r="C178" s="61" t="s">
        <v>58</v>
      </c>
      <c r="D178" s="61" t="s">
        <v>456</v>
      </c>
      <c r="E178" s="61" t="s">
        <v>109</v>
      </c>
      <c r="F178" s="61" t="s">
        <v>457</v>
      </c>
      <c r="G178" s="75">
        <f t="shared" si="219"/>
        <v>18026</v>
      </c>
      <c r="H178" s="80">
        <v>18026</v>
      </c>
      <c r="I178" s="63"/>
      <c r="J178" s="63"/>
      <c r="K178" s="63"/>
      <c r="L178" s="63"/>
      <c r="M178" s="68">
        <v>16200</v>
      </c>
      <c r="N178" s="63">
        <f t="shared" si="216"/>
        <v>16200</v>
      </c>
      <c r="O178" s="68">
        <v>16200</v>
      </c>
      <c r="P178" s="63">
        <f t="shared" si="217"/>
        <v>16200</v>
      </c>
      <c r="Q178" s="54"/>
      <c r="R178" s="54"/>
      <c r="S178" s="68">
        <f t="shared" si="205"/>
        <v>16200</v>
      </c>
      <c r="T178" s="68">
        <f t="shared" si="205"/>
        <v>16200</v>
      </c>
      <c r="U178" s="63"/>
      <c r="V178" s="63"/>
      <c r="W178" s="63">
        <f>X178</f>
        <v>10000</v>
      </c>
      <c r="X178" s="63">
        <v>10000</v>
      </c>
      <c r="Y178" s="63">
        <f t="shared" ref="Y178:Y184" si="220">Z178</f>
        <v>5500</v>
      </c>
      <c r="Z178" s="63">
        <v>5500</v>
      </c>
      <c r="AA178" s="63">
        <f t="shared" si="207"/>
        <v>15500</v>
      </c>
      <c r="AB178" s="63">
        <f t="shared" si="207"/>
        <v>15500</v>
      </c>
      <c r="AC178" s="63">
        <f t="shared" si="218"/>
        <v>700</v>
      </c>
      <c r="AD178" s="63">
        <f t="shared" si="218"/>
        <v>700</v>
      </c>
      <c r="AE178" s="63">
        <f t="shared" si="208"/>
        <v>0</v>
      </c>
      <c r="AF178" s="63">
        <f t="shared" si="209"/>
        <v>0</v>
      </c>
      <c r="AG178" s="63"/>
      <c r="AH178" s="63"/>
      <c r="AI178" s="69"/>
      <c r="AJ178" s="19">
        <f t="shared" si="174"/>
        <v>0</v>
      </c>
      <c r="AK178" s="22">
        <f t="shared" si="180"/>
        <v>0</v>
      </c>
      <c r="AL178" s="22"/>
      <c r="AM178" s="12">
        <f t="shared" si="210"/>
        <v>1</v>
      </c>
      <c r="AO178" s="12">
        <f t="shared" si="211"/>
        <v>0</v>
      </c>
      <c r="AP178" s="12">
        <f t="shared" si="197"/>
        <v>0</v>
      </c>
      <c r="AQ178" s="12">
        <f t="shared" si="212"/>
        <v>0</v>
      </c>
      <c r="AR178" s="12">
        <f t="shared" si="155"/>
        <v>0</v>
      </c>
      <c r="AS178" s="12">
        <f t="shared" si="213"/>
        <v>0</v>
      </c>
      <c r="AT178" s="12">
        <f t="shared" si="185"/>
        <v>0</v>
      </c>
      <c r="AU178" s="12">
        <f t="shared" si="214"/>
        <v>0</v>
      </c>
      <c r="AV178" s="12">
        <f t="shared" si="186"/>
        <v>0</v>
      </c>
    </row>
    <row r="179" spans="1:48" ht="105" hidden="1" x14ac:dyDescent="0.25">
      <c r="A179" s="64" t="s">
        <v>458</v>
      </c>
      <c r="B179" s="9" t="s">
        <v>459</v>
      </c>
      <c r="C179" s="61" t="s">
        <v>460</v>
      </c>
      <c r="D179" s="61" t="s">
        <v>892</v>
      </c>
      <c r="E179" s="70" t="s">
        <v>461</v>
      </c>
      <c r="F179" s="61" t="s">
        <v>462</v>
      </c>
      <c r="G179" s="75">
        <f t="shared" si="219"/>
        <v>3949</v>
      </c>
      <c r="H179" s="80">
        <v>3949</v>
      </c>
      <c r="I179" s="63"/>
      <c r="J179" s="63"/>
      <c r="K179" s="63"/>
      <c r="L179" s="63"/>
      <c r="M179" s="68">
        <v>4200</v>
      </c>
      <c r="N179" s="63">
        <f t="shared" si="216"/>
        <v>4200</v>
      </c>
      <c r="O179" s="68">
        <f>P179</f>
        <v>3550</v>
      </c>
      <c r="P179" s="63">
        <v>3550</v>
      </c>
      <c r="Q179" s="54"/>
      <c r="R179" s="54"/>
      <c r="S179" s="68">
        <f t="shared" si="205"/>
        <v>3550</v>
      </c>
      <c r="T179" s="68">
        <f t="shared" si="205"/>
        <v>3550</v>
      </c>
      <c r="U179" s="58"/>
      <c r="V179" s="58"/>
      <c r="W179" s="58"/>
      <c r="X179" s="58"/>
      <c r="Y179" s="54">
        <f t="shared" si="220"/>
        <v>3000</v>
      </c>
      <c r="Z179" s="54">
        <v>3000</v>
      </c>
      <c r="AA179" s="63">
        <f t="shared" si="207"/>
        <v>3000</v>
      </c>
      <c r="AB179" s="63">
        <f t="shared" si="207"/>
        <v>3000</v>
      </c>
      <c r="AC179" s="63">
        <f t="shared" si="218"/>
        <v>550</v>
      </c>
      <c r="AD179" s="63">
        <f t="shared" si="218"/>
        <v>550</v>
      </c>
      <c r="AE179" s="63">
        <f t="shared" si="208"/>
        <v>0</v>
      </c>
      <c r="AF179" s="63">
        <f t="shared" si="209"/>
        <v>0</v>
      </c>
      <c r="AG179" s="58"/>
      <c r="AH179" s="58"/>
      <c r="AI179" s="69"/>
      <c r="AJ179" s="19">
        <f t="shared" si="174"/>
        <v>0</v>
      </c>
      <c r="AK179" s="22">
        <f t="shared" si="180"/>
        <v>0</v>
      </c>
      <c r="AL179" s="22"/>
      <c r="AM179" s="12">
        <f t="shared" si="210"/>
        <v>1</v>
      </c>
      <c r="AO179" s="12">
        <f t="shared" si="211"/>
        <v>0</v>
      </c>
      <c r="AP179" s="12">
        <f t="shared" si="197"/>
        <v>0</v>
      </c>
      <c r="AQ179" s="12">
        <f t="shared" si="212"/>
        <v>0</v>
      </c>
      <c r="AR179" s="12">
        <f t="shared" si="155"/>
        <v>0</v>
      </c>
      <c r="AS179" s="12">
        <f t="shared" si="213"/>
        <v>0</v>
      </c>
      <c r="AT179" s="12">
        <f t="shared" si="185"/>
        <v>0</v>
      </c>
      <c r="AU179" s="12">
        <f t="shared" si="214"/>
        <v>0</v>
      </c>
      <c r="AV179" s="12">
        <f t="shared" si="186"/>
        <v>0</v>
      </c>
    </row>
    <row r="180" spans="1:48" ht="247.5" hidden="1" x14ac:dyDescent="0.25">
      <c r="A180" s="64" t="s">
        <v>463</v>
      </c>
      <c r="B180" s="9" t="s">
        <v>464</v>
      </c>
      <c r="C180" s="61" t="s">
        <v>465</v>
      </c>
      <c r="D180" s="61" t="s">
        <v>466</v>
      </c>
      <c r="E180" s="70" t="s">
        <v>461</v>
      </c>
      <c r="F180" s="61" t="s">
        <v>467</v>
      </c>
      <c r="G180" s="75">
        <f t="shared" si="219"/>
        <v>3390</v>
      </c>
      <c r="H180" s="80">
        <v>3390</v>
      </c>
      <c r="I180" s="63"/>
      <c r="J180" s="63"/>
      <c r="K180" s="63"/>
      <c r="L180" s="63"/>
      <c r="M180" s="68">
        <v>2700</v>
      </c>
      <c r="N180" s="63">
        <f t="shared" si="216"/>
        <v>2700</v>
      </c>
      <c r="O180" s="63">
        <f>P180</f>
        <v>3050</v>
      </c>
      <c r="P180" s="63">
        <v>3050</v>
      </c>
      <c r="Q180" s="54"/>
      <c r="R180" s="54"/>
      <c r="S180" s="68">
        <f t="shared" si="205"/>
        <v>3050</v>
      </c>
      <c r="T180" s="68">
        <f t="shared" si="205"/>
        <v>3050</v>
      </c>
      <c r="U180" s="53"/>
      <c r="V180" s="53"/>
      <c r="W180" s="53"/>
      <c r="X180" s="53"/>
      <c r="Y180" s="54">
        <f t="shared" si="220"/>
        <v>2700</v>
      </c>
      <c r="Z180" s="54">
        <v>2700</v>
      </c>
      <c r="AA180" s="63">
        <f t="shared" si="207"/>
        <v>2700</v>
      </c>
      <c r="AB180" s="63">
        <f t="shared" si="207"/>
        <v>2700</v>
      </c>
      <c r="AC180" s="63">
        <f t="shared" si="218"/>
        <v>350</v>
      </c>
      <c r="AD180" s="63">
        <f t="shared" si="218"/>
        <v>350</v>
      </c>
      <c r="AE180" s="63">
        <f t="shared" si="208"/>
        <v>0</v>
      </c>
      <c r="AF180" s="63">
        <f t="shared" si="209"/>
        <v>0</v>
      </c>
      <c r="AG180" s="53"/>
      <c r="AH180" s="53"/>
      <c r="AI180" s="69"/>
      <c r="AJ180" s="19">
        <f t="shared" si="174"/>
        <v>0</v>
      </c>
      <c r="AK180" s="22">
        <f t="shared" si="180"/>
        <v>0</v>
      </c>
      <c r="AL180" s="22"/>
      <c r="AM180" s="12">
        <f t="shared" si="210"/>
        <v>1</v>
      </c>
      <c r="AO180" s="12">
        <f t="shared" si="211"/>
        <v>0</v>
      </c>
      <c r="AP180" s="12">
        <f t="shared" si="197"/>
        <v>0</v>
      </c>
      <c r="AQ180" s="12">
        <f t="shared" si="212"/>
        <v>0</v>
      </c>
      <c r="AR180" s="12">
        <f t="shared" si="155"/>
        <v>0</v>
      </c>
      <c r="AS180" s="12">
        <f t="shared" si="213"/>
        <v>0</v>
      </c>
      <c r="AT180" s="12">
        <f t="shared" si="185"/>
        <v>0</v>
      </c>
      <c r="AU180" s="12">
        <f t="shared" si="214"/>
        <v>0</v>
      </c>
      <c r="AV180" s="12">
        <f t="shared" si="186"/>
        <v>0</v>
      </c>
    </row>
    <row r="181" spans="1:48" ht="82.5" hidden="1" x14ac:dyDescent="0.25">
      <c r="A181" s="64" t="s">
        <v>468</v>
      </c>
      <c r="B181" s="9" t="s">
        <v>469</v>
      </c>
      <c r="C181" s="61"/>
      <c r="D181" s="61" t="s">
        <v>470</v>
      </c>
      <c r="E181" s="70" t="s">
        <v>461</v>
      </c>
      <c r="F181" s="61" t="s">
        <v>471</v>
      </c>
      <c r="G181" s="75">
        <f t="shared" si="219"/>
        <v>2233</v>
      </c>
      <c r="H181" s="80">
        <v>2233</v>
      </c>
      <c r="I181" s="63"/>
      <c r="J181" s="63"/>
      <c r="K181" s="63"/>
      <c r="L181" s="63"/>
      <c r="M181" s="68">
        <f>N181</f>
        <v>4950</v>
      </c>
      <c r="N181" s="63">
        <v>4950</v>
      </c>
      <c r="O181" s="68">
        <f>P181</f>
        <v>2000</v>
      </c>
      <c r="P181" s="63">
        <v>2000</v>
      </c>
      <c r="Q181" s="54"/>
      <c r="R181" s="54"/>
      <c r="S181" s="68">
        <f t="shared" si="205"/>
        <v>2000</v>
      </c>
      <c r="T181" s="68">
        <f t="shared" si="205"/>
        <v>2000</v>
      </c>
      <c r="U181" s="58"/>
      <c r="V181" s="58"/>
      <c r="W181" s="58"/>
      <c r="X181" s="58"/>
      <c r="Y181" s="54">
        <f t="shared" si="220"/>
        <v>1800</v>
      </c>
      <c r="Z181" s="54">
        <v>1800</v>
      </c>
      <c r="AA181" s="63">
        <f t="shared" si="207"/>
        <v>1800</v>
      </c>
      <c r="AB181" s="63">
        <f t="shared" si="207"/>
        <v>1800</v>
      </c>
      <c r="AC181" s="63">
        <f t="shared" si="218"/>
        <v>200</v>
      </c>
      <c r="AD181" s="63">
        <f t="shared" si="218"/>
        <v>200</v>
      </c>
      <c r="AE181" s="63">
        <f t="shared" si="208"/>
        <v>0</v>
      </c>
      <c r="AF181" s="63">
        <f t="shared" si="209"/>
        <v>0</v>
      </c>
      <c r="AG181" s="58"/>
      <c r="AH181" s="58"/>
      <c r="AI181" s="69"/>
      <c r="AJ181" s="19">
        <f t="shared" si="174"/>
        <v>0</v>
      </c>
      <c r="AK181" s="22">
        <f t="shared" si="180"/>
        <v>0</v>
      </c>
      <c r="AL181" s="22"/>
      <c r="AM181" s="12">
        <f t="shared" si="210"/>
        <v>1</v>
      </c>
      <c r="AO181" s="12">
        <f t="shared" si="211"/>
        <v>0</v>
      </c>
      <c r="AP181" s="12">
        <f t="shared" si="197"/>
        <v>0</v>
      </c>
      <c r="AQ181" s="12">
        <f t="shared" si="212"/>
        <v>0</v>
      </c>
      <c r="AR181" s="12">
        <f t="shared" si="155"/>
        <v>0</v>
      </c>
      <c r="AS181" s="12">
        <f t="shared" si="213"/>
        <v>0</v>
      </c>
      <c r="AT181" s="12">
        <f t="shared" si="185"/>
        <v>0</v>
      </c>
      <c r="AU181" s="12">
        <f t="shared" si="214"/>
        <v>0</v>
      </c>
      <c r="AV181" s="12">
        <f t="shared" si="186"/>
        <v>0</v>
      </c>
    </row>
    <row r="182" spans="1:48" ht="49.5" hidden="1" x14ac:dyDescent="0.25">
      <c r="A182" s="64" t="s">
        <v>472</v>
      </c>
      <c r="B182" s="9" t="s">
        <v>473</v>
      </c>
      <c r="C182" s="61"/>
      <c r="D182" s="61" t="s">
        <v>474</v>
      </c>
      <c r="E182" s="70" t="s">
        <v>461</v>
      </c>
      <c r="F182" s="61" t="s">
        <v>475</v>
      </c>
      <c r="G182" s="75">
        <f t="shared" si="219"/>
        <v>3149</v>
      </c>
      <c r="H182" s="80">
        <v>3149</v>
      </c>
      <c r="I182" s="63"/>
      <c r="J182" s="63"/>
      <c r="K182" s="63"/>
      <c r="L182" s="63"/>
      <c r="M182" s="68">
        <f>N182</f>
        <v>3960</v>
      </c>
      <c r="N182" s="63">
        <v>3960</v>
      </c>
      <c r="O182" s="68">
        <f>P182</f>
        <v>2850</v>
      </c>
      <c r="P182" s="63">
        <v>2850</v>
      </c>
      <c r="Q182" s="54"/>
      <c r="R182" s="54"/>
      <c r="S182" s="68">
        <f t="shared" si="205"/>
        <v>2850</v>
      </c>
      <c r="T182" s="68">
        <f t="shared" si="205"/>
        <v>2850</v>
      </c>
      <c r="U182" s="63"/>
      <c r="V182" s="63"/>
      <c r="W182" s="63"/>
      <c r="X182" s="63"/>
      <c r="Y182" s="105">
        <f t="shared" si="220"/>
        <v>2400</v>
      </c>
      <c r="Z182" s="105">
        <v>2400</v>
      </c>
      <c r="AA182" s="63">
        <f t="shared" si="207"/>
        <v>2400</v>
      </c>
      <c r="AB182" s="63">
        <f t="shared" si="207"/>
        <v>2400</v>
      </c>
      <c r="AC182" s="63">
        <f t="shared" si="218"/>
        <v>450</v>
      </c>
      <c r="AD182" s="63">
        <f t="shared" si="218"/>
        <v>450</v>
      </c>
      <c r="AE182" s="63">
        <f t="shared" si="208"/>
        <v>0</v>
      </c>
      <c r="AF182" s="63">
        <f t="shared" si="209"/>
        <v>0</v>
      </c>
      <c r="AG182" s="63"/>
      <c r="AH182" s="63"/>
      <c r="AI182" s="69"/>
      <c r="AJ182" s="19">
        <f t="shared" si="174"/>
        <v>0</v>
      </c>
      <c r="AK182" s="22">
        <f t="shared" si="180"/>
        <v>0</v>
      </c>
      <c r="AL182" s="22"/>
      <c r="AM182" s="12">
        <f t="shared" si="210"/>
        <v>1</v>
      </c>
      <c r="AO182" s="12">
        <f t="shared" si="211"/>
        <v>0</v>
      </c>
      <c r="AP182" s="12">
        <f t="shared" si="197"/>
        <v>0</v>
      </c>
      <c r="AQ182" s="12">
        <f t="shared" si="212"/>
        <v>0</v>
      </c>
      <c r="AR182" s="12">
        <f t="shared" si="155"/>
        <v>0</v>
      </c>
      <c r="AS182" s="12">
        <f t="shared" si="213"/>
        <v>0</v>
      </c>
      <c r="AT182" s="12">
        <f t="shared" si="185"/>
        <v>0</v>
      </c>
      <c r="AU182" s="12">
        <f t="shared" si="214"/>
        <v>0</v>
      </c>
      <c r="AV182" s="12">
        <f t="shared" si="186"/>
        <v>0</v>
      </c>
    </row>
    <row r="183" spans="1:48" ht="66" hidden="1" x14ac:dyDescent="0.25">
      <c r="A183" s="64" t="s">
        <v>476</v>
      </c>
      <c r="B183" s="91" t="s">
        <v>477</v>
      </c>
      <c r="C183" s="61" t="s">
        <v>478</v>
      </c>
      <c r="D183" s="61" t="s">
        <v>479</v>
      </c>
      <c r="E183" s="70" t="s">
        <v>461</v>
      </c>
      <c r="F183" s="61" t="s">
        <v>480</v>
      </c>
      <c r="G183" s="74">
        <f t="shared" si="219"/>
        <v>5920</v>
      </c>
      <c r="H183" s="80">
        <v>5920</v>
      </c>
      <c r="I183" s="63"/>
      <c r="J183" s="63"/>
      <c r="K183" s="63"/>
      <c r="L183" s="63"/>
      <c r="M183" s="68">
        <f>N183</f>
        <v>5400</v>
      </c>
      <c r="N183" s="63">
        <v>5400</v>
      </c>
      <c r="O183" s="68">
        <f>M183</f>
        <v>5400</v>
      </c>
      <c r="P183" s="63">
        <f>N183</f>
        <v>5400</v>
      </c>
      <c r="Q183" s="54"/>
      <c r="R183" s="54"/>
      <c r="S183" s="68">
        <f t="shared" si="205"/>
        <v>5400</v>
      </c>
      <c r="T183" s="68">
        <f t="shared" si="205"/>
        <v>5400</v>
      </c>
      <c r="U183" s="63"/>
      <c r="V183" s="63"/>
      <c r="W183" s="63"/>
      <c r="X183" s="63"/>
      <c r="Y183" s="105">
        <f t="shared" si="220"/>
        <v>3500</v>
      </c>
      <c r="Z183" s="105">
        <v>3500</v>
      </c>
      <c r="AA183" s="63">
        <f t="shared" si="207"/>
        <v>3500</v>
      </c>
      <c r="AB183" s="63">
        <f t="shared" si="207"/>
        <v>3500</v>
      </c>
      <c r="AC183" s="63">
        <f t="shared" si="218"/>
        <v>1900</v>
      </c>
      <c r="AD183" s="63">
        <f t="shared" si="218"/>
        <v>1900</v>
      </c>
      <c r="AE183" s="63">
        <f t="shared" si="208"/>
        <v>0</v>
      </c>
      <c r="AF183" s="63">
        <f t="shared" si="209"/>
        <v>0</v>
      </c>
      <c r="AG183" s="63"/>
      <c r="AH183" s="63"/>
      <c r="AI183" s="69"/>
      <c r="AJ183" s="19">
        <f t="shared" si="174"/>
        <v>0</v>
      </c>
      <c r="AK183" s="22">
        <f t="shared" si="180"/>
        <v>0</v>
      </c>
      <c r="AL183" s="22"/>
      <c r="AM183" s="12">
        <f t="shared" si="210"/>
        <v>1</v>
      </c>
      <c r="AO183" s="12">
        <f t="shared" si="211"/>
        <v>0</v>
      </c>
      <c r="AP183" s="12">
        <f t="shared" si="197"/>
        <v>0</v>
      </c>
      <c r="AQ183" s="12">
        <f t="shared" si="212"/>
        <v>0</v>
      </c>
      <c r="AR183" s="12">
        <f t="shared" si="155"/>
        <v>0</v>
      </c>
      <c r="AS183" s="12">
        <f t="shared" si="213"/>
        <v>0</v>
      </c>
      <c r="AT183" s="12">
        <f t="shared" si="185"/>
        <v>0</v>
      </c>
      <c r="AU183" s="12">
        <f t="shared" si="214"/>
        <v>0</v>
      </c>
      <c r="AV183" s="12">
        <f t="shared" si="186"/>
        <v>0</v>
      </c>
    </row>
    <row r="184" spans="1:48" ht="49.5" hidden="1" x14ac:dyDescent="0.25">
      <c r="A184" s="64" t="s">
        <v>481</v>
      </c>
      <c r="B184" s="9" t="s">
        <v>482</v>
      </c>
      <c r="C184" s="61" t="s">
        <v>95</v>
      </c>
      <c r="D184" s="61" t="s">
        <v>479</v>
      </c>
      <c r="E184" s="70" t="s">
        <v>116</v>
      </c>
      <c r="F184" s="61" t="s">
        <v>483</v>
      </c>
      <c r="G184" s="75">
        <f t="shared" si="219"/>
        <v>12821</v>
      </c>
      <c r="H184" s="80">
        <v>12821</v>
      </c>
      <c r="I184" s="63"/>
      <c r="J184" s="63"/>
      <c r="K184" s="63"/>
      <c r="L184" s="63"/>
      <c r="M184" s="68">
        <v>11500</v>
      </c>
      <c r="N184" s="63">
        <f t="shared" si="216"/>
        <v>11500</v>
      </c>
      <c r="O184" s="68">
        <v>11500</v>
      </c>
      <c r="P184" s="63">
        <f t="shared" si="217"/>
        <v>11500</v>
      </c>
      <c r="Q184" s="54"/>
      <c r="R184" s="54"/>
      <c r="S184" s="68">
        <f t="shared" si="205"/>
        <v>11500</v>
      </c>
      <c r="T184" s="68">
        <f t="shared" si="205"/>
        <v>11500</v>
      </c>
      <c r="U184" s="58"/>
      <c r="V184" s="58"/>
      <c r="W184" s="58"/>
      <c r="X184" s="58"/>
      <c r="Y184" s="54">
        <f t="shared" si="220"/>
        <v>3500</v>
      </c>
      <c r="Z184" s="54">
        <v>3500</v>
      </c>
      <c r="AA184" s="63">
        <f t="shared" si="207"/>
        <v>3500</v>
      </c>
      <c r="AB184" s="63">
        <f t="shared" si="207"/>
        <v>3500</v>
      </c>
      <c r="AC184" s="63">
        <f t="shared" si="218"/>
        <v>8000</v>
      </c>
      <c r="AD184" s="63">
        <f t="shared" si="218"/>
        <v>8000</v>
      </c>
      <c r="AE184" s="63">
        <f t="shared" si="208"/>
        <v>0</v>
      </c>
      <c r="AF184" s="63">
        <f t="shared" si="209"/>
        <v>0</v>
      </c>
      <c r="AG184" s="58"/>
      <c r="AH184" s="58"/>
      <c r="AI184" s="69"/>
      <c r="AJ184" s="19">
        <f t="shared" si="174"/>
        <v>0</v>
      </c>
      <c r="AK184" s="22">
        <f t="shared" si="180"/>
        <v>0</v>
      </c>
      <c r="AL184" s="22"/>
      <c r="AM184" s="12">
        <f t="shared" si="210"/>
        <v>1</v>
      </c>
      <c r="AO184" s="12">
        <f t="shared" si="211"/>
        <v>0</v>
      </c>
      <c r="AP184" s="12">
        <f t="shared" si="197"/>
        <v>0</v>
      </c>
      <c r="AQ184" s="12">
        <f t="shared" si="212"/>
        <v>0</v>
      </c>
      <c r="AR184" s="12">
        <f t="shared" si="155"/>
        <v>0</v>
      </c>
      <c r="AS184" s="12">
        <f t="shared" si="213"/>
        <v>0</v>
      </c>
      <c r="AT184" s="12">
        <f t="shared" si="185"/>
        <v>0</v>
      </c>
      <c r="AU184" s="12">
        <f t="shared" si="214"/>
        <v>0</v>
      </c>
      <c r="AV184" s="12">
        <f t="shared" si="186"/>
        <v>0</v>
      </c>
    </row>
    <row r="185" spans="1:48" ht="33" hidden="1" x14ac:dyDescent="0.25">
      <c r="A185" s="64" t="s">
        <v>484</v>
      </c>
      <c r="B185" s="9" t="s">
        <v>485</v>
      </c>
      <c r="C185" s="61" t="s">
        <v>146</v>
      </c>
      <c r="D185" s="61" t="s">
        <v>479</v>
      </c>
      <c r="E185" s="61" t="s">
        <v>290</v>
      </c>
      <c r="F185" s="61"/>
      <c r="G185" s="80">
        <v>5000</v>
      </c>
      <c r="H185" s="80">
        <f t="shared" ref="H185" si="221">G185</f>
        <v>5000</v>
      </c>
      <c r="I185" s="63"/>
      <c r="J185" s="63"/>
      <c r="K185" s="63"/>
      <c r="L185" s="63"/>
      <c r="M185" s="68">
        <f>G185*0.9</f>
        <v>4500</v>
      </c>
      <c r="N185" s="68">
        <f>H185*0.9</f>
        <v>4500</v>
      </c>
      <c r="O185" s="68">
        <f>M185*0.9</f>
        <v>4050</v>
      </c>
      <c r="P185" s="68">
        <f>N185*0.9</f>
        <v>4050</v>
      </c>
      <c r="Q185" s="54"/>
      <c r="R185" s="54"/>
      <c r="S185" s="68">
        <f>O185</f>
        <v>4050</v>
      </c>
      <c r="T185" s="68">
        <f>P185</f>
        <v>4050</v>
      </c>
      <c r="U185" s="58"/>
      <c r="V185" s="58"/>
      <c r="W185" s="58"/>
      <c r="X185" s="58"/>
      <c r="Y185" s="58"/>
      <c r="Z185" s="58"/>
      <c r="AA185" s="63">
        <f t="shared" si="207"/>
        <v>0</v>
      </c>
      <c r="AB185" s="63">
        <f t="shared" si="207"/>
        <v>0</v>
      </c>
      <c r="AC185" s="63">
        <f t="shared" si="218"/>
        <v>4050</v>
      </c>
      <c r="AD185" s="63">
        <f t="shared" si="218"/>
        <v>4050</v>
      </c>
      <c r="AE185" s="63">
        <f t="shared" si="208"/>
        <v>4050</v>
      </c>
      <c r="AF185" s="63">
        <f t="shared" si="209"/>
        <v>4050</v>
      </c>
      <c r="AG185" s="58"/>
      <c r="AH185" s="58"/>
      <c r="AI185" s="69"/>
      <c r="AJ185" s="19">
        <f t="shared" si="174"/>
        <v>0</v>
      </c>
      <c r="AK185" s="22">
        <f t="shared" si="180"/>
        <v>0</v>
      </c>
      <c r="AL185" s="22"/>
      <c r="AM185" s="12">
        <f t="shared" si="210"/>
        <v>1</v>
      </c>
      <c r="AO185" s="12">
        <f t="shared" si="211"/>
        <v>0</v>
      </c>
      <c r="AP185" s="12">
        <f t="shared" si="197"/>
        <v>0</v>
      </c>
      <c r="AQ185" s="12">
        <f t="shared" si="212"/>
        <v>0</v>
      </c>
      <c r="AR185" s="12">
        <f t="shared" si="155"/>
        <v>0</v>
      </c>
      <c r="AS185" s="12">
        <f t="shared" si="213"/>
        <v>0</v>
      </c>
      <c r="AT185" s="12">
        <f t="shared" si="185"/>
        <v>0</v>
      </c>
      <c r="AU185" s="12">
        <f t="shared" si="214"/>
        <v>0</v>
      </c>
      <c r="AV185" s="12">
        <f t="shared" si="186"/>
        <v>0</v>
      </c>
    </row>
    <row r="186" spans="1:48" ht="132" hidden="1" x14ac:dyDescent="0.25">
      <c r="A186" s="60">
        <v>22</v>
      </c>
      <c r="B186" s="91" t="s">
        <v>486</v>
      </c>
      <c r="C186" s="162" t="s">
        <v>487</v>
      </c>
      <c r="D186" s="65" t="s">
        <v>488</v>
      </c>
      <c r="E186" s="65" t="s">
        <v>101</v>
      </c>
      <c r="F186" s="61"/>
      <c r="G186" s="5">
        <v>68000</v>
      </c>
      <c r="H186" s="5">
        <v>20000</v>
      </c>
      <c r="I186" s="63"/>
      <c r="J186" s="63"/>
      <c r="K186" s="63"/>
      <c r="L186" s="63"/>
      <c r="M186" s="68"/>
      <c r="N186" s="63"/>
      <c r="O186" s="68">
        <f>48000*0.9+P186</f>
        <v>63200</v>
      </c>
      <c r="P186" s="63">
        <f>H186</f>
        <v>20000</v>
      </c>
      <c r="Q186" s="54"/>
      <c r="R186" s="54"/>
      <c r="S186" s="68">
        <f>48000*0.9+T186</f>
        <v>63200</v>
      </c>
      <c r="T186" s="63">
        <v>20000</v>
      </c>
      <c r="U186" s="63"/>
      <c r="V186" s="63"/>
      <c r="W186" s="63"/>
      <c r="X186" s="63"/>
      <c r="Y186" s="63"/>
      <c r="Z186" s="63"/>
      <c r="AA186" s="63">
        <f t="shared" si="207"/>
        <v>0</v>
      </c>
      <c r="AB186" s="63">
        <f t="shared" si="207"/>
        <v>0</v>
      </c>
      <c r="AC186" s="63">
        <f t="shared" si="218"/>
        <v>63200</v>
      </c>
      <c r="AD186" s="63">
        <f t="shared" si="218"/>
        <v>20000</v>
      </c>
      <c r="AE186" s="63">
        <f t="shared" si="208"/>
        <v>20000</v>
      </c>
      <c r="AF186" s="63">
        <f t="shared" si="209"/>
        <v>20000</v>
      </c>
      <c r="AG186" s="63"/>
      <c r="AH186" s="63"/>
      <c r="AI186" s="25" t="s">
        <v>489</v>
      </c>
      <c r="AJ186" s="19">
        <f t="shared" si="174"/>
        <v>0</v>
      </c>
      <c r="AK186" s="22">
        <f t="shared" si="180"/>
        <v>0</v>
      </c>
      <c r="AL186" s="22"/>
      <c r="AM186" s="12">
        <f t="shared" si="210"/>
        <v>1</v>
      </c>
      <c r="AO186" s="12">
        <f t="shared" si="211"/>
        <v>0</v>
      </c>
      <c r="AP186" s="12">
        <f t="shared" si="197"/>
        <v>0</v>
      </c>
      <c r="AQ186" s="12">
        <f t="shared" si="212"/>
        <v>1</v>
      </c>
      <c r="AR186" s="12">
        <f t="shared" si="155"/>
        <v>20000</v>
      </c>
      <c r="AU186" s="12">
        <f t="shared" si="214"/>
        <v>0</v>
      </c>
      <c r="AV186" s="12">
        <f t="shared" si="186"/>
        <v>0</v>
      </c>
    </row>
    <row r="187" spans="1:48" ht="56.25" customHeight="1" x14ac:dyDescent="0.25">
      <c r="A187" s="64" t="s">
        <v>490</v>
      </c>
      <c r="B187" s="9" t="s">
        <v>496</v>
      </c>
      <c r="C187" s="61" t="s">
        <v>104</v>
      </c>
      <c r="D187" s="61"/>
      <c r="E187" s="61" t="s">
        <v>290</v>
      </c>
      <c r="F187" s="61"/>
      <c r="G187" s="7">
        <f>H187</f>
        <v>24354</v>
      </c>
      <c r="H187" s="7">
        <v>24354</v>
      </c>
      <c r="I187" s="63"/>
      <c r="J187" s="63"/>
      <c r="K187" s="63"/>
      <c r="L187" s="63"/>
      <c r="M187" s="68">
        <v>1000</v>
      </c>
      <c r="N187" s="63">
        <f>M187</f>
        <v>1000</v>
      </c>
      <c r="O187" s="68">
        <v>1000</v>
      </c>
      <c r="P187" s="63">
        <f>O187</f>
        <v>1000</v>
      </c>
      <c r="Q187" s="8">
        <f t="shared" ref="Q187:Q188" si="222">T187-P187</f>
        <v>21500</v>
      </c>
      <c r="R187" s="54"/>
      <c r="S187" s="4">
        <f>T187</f>
        <v>22500</v>
      </c>
      <c r="T187" s="3">
        <v>22500</v>
      </c>
      <c r="U187" s="63"/>
      <c r="V187" s="63"/>
      <c r="W187" s="63"/>
      <c r="X187" s="63"/>
      <c r="Y187" s="63"/>
      <c r="Z187" s="63"/>
      <c r="AA187" s="63">
        <f>U187+W187+Y187</f>
        <v>0</v>
      </c>
      <c r="AB187" s="63">
        <f>V187+X187+Z187</f>
        <v>0</v>
      </c>
      <c r="AC187" s="63">
        <f>O187-AA187</f>
        <v>1000</v>
      </c>
      <c r="AD187" s="63">
        <f>P187-AB187</f>
        <v>1000</v>
      </c>
      <c r="AE187" s="63">
        <f>AF187</f>
        <v>1000</v>
      </c>
      <c r="AF187" s="63">
        <f>IF(AB187=0,AD187,0)</f>
        <v>1000</v>
      </c>
      <c r="AG187" s="54">
        <f>G187*0.9-O187</f>
        <v>20918.600000000002</v>
      </c>
      <c r="AH187" s="54">
        <f>H187*0.9-P187</f>
        <v>20918.600000000002</v>
      </c>
      <c r="AI187" s="25" t="s">
        <v>912</v>
      </c>
      <c r="AJ187" s="19">
        <f>IF(P187-T187=0,0,1)</f>
        <v>1</v>
      </c>
      <c r="AK187" s="22">
        <f>AJ187</f>
        <v>1</v>
      </c>
      <c r="AL187" s="22"/>
      <c r="AM187" s="12">
        <f>IF(AJ187=0,1,0)</f>
        <v>0</v>
      </c>
      <c r="AO187" s="12">
        <f>IF(P187=0,1,0)</f>
        <v>0</v>
      </c>
      <c r="AP187" s="12">
        <f>IF(AO187=1,N187,0)</f>
        <v>0</v>
      </c>
      <c r="AQ187" s="12">
        <f>IF(N187=0,1,0)</f>
        <v>0</v>
      </c>
      <c r="AR187" s="12">
        <f>IF(AQ187=1,P187,0)</f>
        <v>0</v>
      </c>
      <c r="AS187" s="12">
        <f>IF(Q187=0,0,1)</f>
        <v>1</v>
      </c>
      <c r="AT187" s="12">
        <f>IF(AS187=1,Q187,0)</f>
        <v>21500</v>
      </c>
      <c r="AU187" s="12">
        <f>IF(R187=0,0,1)</f>
        <v>0</v>
      </c>
      <c r="AV187" s="12">
        <f>IF(AU187=1,R187,0)</f>
        <v>0</v>
      </c>
    </row>
    <row r="188" spans="1:48" ht="49.5" x14ac:dyDescent="0.25">
      <c r="A188" s="64" t="s">
        <v>492</v>
      </c>
      <c r="B188" s="91" t="s">
        <v>499</v>
      </c>
      <c r="C188" s="61" t="s">
        <v>230</v>
      </c>
      <c r="D188" s="61" t="s">
        <v>479</v>
      </c>
      <c r="E188" s="61" t="s">
        <v>290</v>
      </c>
      <c r="F188" s="61"/>
      <c r="G188" s="74">
        <f>H188</f>
        <v>7451</v>
      </c>
      <c r="H188" s="80">
        <v>7451</v>
      </c>
      <c r="I188" s="63"/>
      <c r="J188" s="63"/>
      <c r="K188" s="63"/>
      <c r="L188" s="63"/>
      <c r="M188" s="68">
        <v>1000</v>
      </c>
      <c r="N188" s="63">
        <f>M188</f>
        <v>1000</v>
      </c>
      <c r="O188" s="68">
        <v>1000</v>
      </c>
      <c r="P188" s="63">
        <f>O188</f>
        <v>1000</v>
      </c>
      <c r="Q188" s="8">
        <f t="shared" si="222"/>
        <v>6000</v>
      </c>
      <c r="R188" s="54"/>
      <c r="S188" s="4">
        <f t="shared" ref="S188" si="223">T188</f>
        <v>7000</v>
      </c>
      <c r="T188" s="3">
        <v>7000</v>
      </c>
      <c r="U188" s="58"/>
      <c r="V188" s="58"/>
      <c r="W188" s="58"/>
      <c r="X188" s="58"/>
      <c r="Y188" s="58"/>
      <c r="Z188" s="58"/>
      <c r="AA188" s="63">
        <f>U188+W188+Y188</f>
        <v>0</v>
      </c>
      <c r="AB188" s="63">
        <f>V188+X188+Z188</f>
        <v>0</v>
      </c>
      <c r="AC188" s="63">
        <f>O188-AA188</f>
        <v>1000</v>
      </c>
      <c r="AD188" s="63">
        <f>P188-AB188</f>
        <v>1000</v>
      </c>
      <c r="AE188" s="63">
        <f>AF188</f>
        <v>1000</v>
      </c>
      <c r="AF188" s="63">
        <f>IF(AB188=0,AD188,0)</f>
        <v>1000</v>
      </c>
      <c r="AG188" s="54">
        <f>G188*0.9-O188</f>
        <v>5705.9000000000005</v>
      </c>
      <c r="AH188" s="54">
        <f>H188*0.9-P188</f>
        <v>5705.9000000000005</v>
      </c>
      <c r="AI188" s="25" t="s">
        <v>912</v>
      </c>
      <c r="AJ188" s="19">
        <f>IF(P188-T188=0,0,1)</f>
        <v>1</v>
      </c>
      <c r="AK188" s="22">
        <f>AJ188</f>
        <v>1</v>
      </c>
      <c r="AL188" s="22"/>
      <c r="AM188" s="12">
        <f>IF(AJ188=0,1,0)</f>
        <v>0</v>
      </c>
      <c r="AO188" s="12">
        <f>IF(P188=0,1,0)</f>
        <v>0</v>
      </c>
      <c r="AP188" s="12">
        <f>IF(AO188=1,N188,0)</f>
        <v>0</v>
      </c>
      <c r="AQ188" s="12">
        <f>IF(N188=0,1,0)</f>
        <v>0</v>
      </c>
      <c r="AR188" s="12">
        <f>IF(AQ188=1,P188,0)</f>
        <v>0</v>
      </c>
      <c r="AS188" s="12">
        <f>IF(Q188=0,0,1)</f>
        <v>1</v>
      </c>
      <c r="AT188" s="12">
        <f>IF(AS188=1,Q188,0)</f>
        <v>6000</v>
      </c>
      <c r="AU188" s="12">
        <f>IF(R188=0,0,1)</f>
        <v>0</v>
      </c>
      <c r="AV188" s="12">
        <f>IF(AU188=1,R188,0)</f>
        <v>0</v>
      </c>
    </row>
    <row r="189" spans="1:48" s="49" customFormat="1" ht="34.5" x14ac:dyDescent="0.25">
      <c r="A189" s="93" t="s">
        <v>47</v>
      </c>
      <c r="B189" s="44" t="s">
        <v>138</v>
      </c>
      <c r="C189" s="77"/>
      <c r="D189" s="77"/>
      <c r="E189" s="77"/>
      <c r="F189" s="77"/>
      <c r="G189" s="97">
        <f>G193</f>
        <v>33165</v>
      </c>
      <c r="H189" s="97">
        <f>H193</f>
        <v>33165</v>
      </c>
      <c r="I189" s="97">
        <f>I192+I187+I188</f>
        <v>0</v>
      </c>
      <c r="J189" s="97">
        <f>J192+J187+J188</f>
        <v>0</v>
      </c>
      <c r="K189" s="97">
        <f>K192+K187+K188</f>
        <v>0</v>
      </c>
      <c r="L189" s="97">
        <f>L192+L187+L188</f>
        <v>0</v>
      </c>
      <c r="M189" s="97">
        <f t="shared" ref="M189:S189" si="224">M193</f>
        <v>1000</v>
      </c>
      <c r="N189" s="97">
        <f t="shared" si="224"/>
        <v>1000</v>
      </c>
      <c r="O189" s="97">
        <f t="shared" si="224"/>
        <v>14000</v>
      </c>
      <c r="P189" s="97">
        <f t="shared" si="224"/>
        <v>14000</v>
      </c>
      <c r="Q189" s="97">
        <f t="shared" si="224"/>
        <v>0</v>
      </c>
      <c r="R189" s="97">
        <f t="shared" si="224"/>
        <v>0</v>
      </c>
      <c r="S189" s="97">
        <f t="shared" si="224"/>
        <v>14000</v>
      </c>
      <c r="T189" s="97">
        <f t="shared" ref="T189" si="225">T193</f>
        <v>14000</v>
      </c>
      <c r="U189" s="97">
        <f>U192+U187+U188</f>
        <v>0</v>
      </c>
      <c r="V189" s="97">
        <f>V192+V187+V188</f>
        <v>0</v>
      </c>
      <c r="W189" s="97">
        <f>W192+W187+W188</f>
        <v>0</v>
      </c>
      <c r="X189" s="97">
        <f>X192+X187+X188</f>
        <v>0</v>
      </c>
      <c r="Y189" s="106"/>
      <c r="Z189" s="106"/>
      <c r="AA189" s="106"/>
      <c r="AB189" s="106"/>
      <c r="AC189" s="97">
        <f t="shared" ref="AC189:AH189" si="226">SUM(AC190:AC192)</f>
        <v>10880</v>
      </c>
      <c r="AD189" s="97">
        <f t="shared" si="226"/>
        <v>10880</v>
      </c>
      <c r="AE189" s="97">
        <f t="shared" si="226"/>
        <v>10880</v>
      </c>
      <c r="AF189" s="97">
        <f t="shared" si="226"/>
        <v>10880</v>
      </c>
      <c r="AG189" s="97">
        <f t="shared" si="226"/>
        <v>17020</v>
      </c>
      <c r="AH189" s="97">
        <f t="shared" si="226"/>
        <v>17020</v>
      </c>
      <c r="AI189" s="79"/>
      <c r="AJ189" s="19">
        <v>1</v>
      </c>
      <c r="AK189" s="22"/>
      <c r="AL189" s="22"/>
      <c r="AM189" s="12"/>
      <c r="AN189" s="12"/>
      <c r="AO189" s="12"/>
      <c r="AP189" s="12">
        <f t="shared" si="197"/>
        <v>0</v>
      </c>
      <c r="AQ189" s="12"/>
      <c r="AR189" s="12">
        <f t="shared" si="155"/>
        <v>0</v>
      </c>
      <c r="AS189" s="12"/>
      <c r="AT189" s="12">
        <f t="shared" si="185"/>
        <v>0</v>
      </c>
      <c r="AU189" s="12"/>
      <c r="AV189" s="12">
        <f t="shared" si="186"/>
        <v>0</v>
      </c>
    </row>
    <row r="190" spans="1:48" ht="32.25" hidden="1" customHeight="1" x14ac:dyDescent="0.25">
      <c r="A190" s="64" t="s">
        <v>495</v>
      </c>
      <c r="B190" s="91" t="s">
        <v>491</v>
      </c>
      <c r="C190" s="61" t="s">
        <v>194</v>
      </c>
      <c r="D190" s="61" t="s">
        <v>479</v>
      </c>
      <c r="E190" s="70" t="s">
        <v>168</v>
      </c>
      <c r="F190" s="61"/>
      <c r="G190" s="74">
        <v>10000</v>
      </c>
      <c r="H190" s="80">
        <v>10000</v>
      </c>
      <c r="I190" s="63"/>
      <c r="J190" s="63"/>
      <c r="K190" s="63"/>
      <c r="L190" s="63"/>
      <c r="M190" s="68">
        <v>5000</v>
      </c>
      <c r="N190" s="63">
        <f>M190</f>
        <v>5000</v>
      </c>
      <c r="O190" s="68">
        <v>5000</v>
      </c>
      <c r="P190" s="63">
        <f>O190</f>
        <v>5000</v>
      </c>
      <c r="Q190" s="54"/>
      <c r="R190" s="54"/>
      <c r="S190" s="68">
        <v>5000</v>
      </c>
      <c r="T190" s="63">
        <f>S190</f>
        <v>5000</v>
      </c>
      <c r="U190" s="58"/>
      <c r="V190" s="58"/>
      <c r="W190" s="58"/>
      <c r="X190" s="58"/>
      <c r="Y190" s="58"/>
      <c r="Z190" s="58"/>
      <c r="AA190" s="63">
        <f t="shared" ref="AA190:AB192" si="227">U190+W190+Y190</f>
        <v>0</v>
      </c>
      <c r="AB190" s="63">
        <f t="shared" si="227"/>
        <v>0</v>
      </c>
      <c r="AC190" s="63">
        <f t="shared" ref="AC190:AD192" si="228">O190-AA190</f>
        <v>5000</v>
      </c>
      <c r="AD190" s="63">
        <f t="shared" si="228"/>
        <v>5000</v>
      </c>
      <c r="AE190" s="63">
        <f t="shared" si="208"/>
        <v>5000</v>
      </c>
      <c r="AF190" s="63">
        <f t="shared" si="209"/>
        <v>5000</v>
      </c>
      <c r="AG190" s="54">
        <f t="shared" ref="AG190:AH192" si="229">G190*0.9-O190</f>
        <v>4000</v>
      </c>
      <c r="AH190" s="54">
        <f t="shared" si="229"/>
        <v>4000</v>
      </c>
      <c r="AI190" s="69"/>
      <c r="AJ190" s="19">
        <f t="shared" si="174"/>
        <v>0</v>
      </c>
      <c r="AK190" s="22">
        <f t="shared" ref="AK190:AK242" si="230">AJ190</f>
        <v>0</v>
      </c>
      <c r="AL190" s="22"/>
      <c r="AM190" s="12">
        <f t="shared" ref="AM190:AM192" si="231">IF(AJ190=0,1,0)</f>
        <v>1</v>
      </c>
      <c r="AO190" s="12">
        <f t="shared" ref="AO190:AO192" si="232">IF(P190=0,1,0)</f>
        <v>0</v>
      </c>
      <c r="AP190" s="12">
        <f t="shared" si="197"/>
        <v>0</v>
      </c>
      <c r="AQ190" s="12">
        <f t="shared" ref="AQ190:AQ192" si="233">IF(N190=0,1,0)</f>
        <v>0</v>
      </c>
      <c r="AR190" s="12">
        <f t="shared" si="155"/>
        <v>0</v>
      </c>
      <c r="AS190" s="12">
        <f>IF(Q190=0,0,1)</f>
        <v>0</v>
      </c>
      <c r="AT190" s="12">
        <f t="shared" si="185"/>
        <v>0</v>
      </c>
      <c r="AU190" s="12">
        <f t="shared" ref="AU190:AU192" si="234">IF(R190=0,0,1)</f>
        <v>0</v>
      </c>
      <c r="AV190" s="12">
        <f t="shared" si="186"/>
        <v>0</v>
      </c>
    </row>
    <row r="191" spans="1:48" ht="49.5" hidden="1" x14ac:dyDescent="0.25">
      <c r="A191" s="64" t="s">
        <v>497</v>
      </c>
      <c r="B191" s="91" t="s">
        <v>493</v>
      </c>
      <c r="C191" s="61" t="s">
        <v>494</v>
      </c>
      <c r="D191" s="61" t="s">
        <v>479</v>
      </c>
      <c r="E191" s="70" t="s">
        <v>168</v>
      </c>
      <c r="F191" s="61"/>
      <c r="G191" s="74">
        <v>9000</v>
      </c>
      <c r="H191" s="80">
        <v>9000</v>
      </c>
      <c r="I191" s="63"/>
      <c r="J191" s="63"/>
      <c r="K191" s="63"/>
      <c r="L191" s="63"/>
      <c r="M191" s="68">
        <v>4880</v>
      </c>
      <c r="N191" s="63">
        <f>M191</f>
        <v>4880</v>
      </c>
      <c r="O191" s="68">
        <v>4880</v>
      </c>
      <c r="P191" s="63">
        <f>O191</f>
        <v>4880</v>
      </c>
      <c r="Q191" s="54"/>
      <c r="R191" s="54"/>
      <c r="S191" s="68">
        <v>4880</v>
      </c>
      <c r="T191" s="63">
        <f>S191</f>
        <v>4880</v>
      </c>
      <c r="U191" s="63"/>
      <c r="V191" s="63"/>
      <c r="W191" s="63"/>
      <c r="X191" s="63"/>
      <c r="Y191" s="63"/>
      <c r="Z191" s="63"/>
      <c r="AA191" s="63">
        <f t="shared" si="227"/>
        <v>0</v>
      </c>
      <c r="AB191" s="63">
        <f t="shared" si="227"/>
        <v>0</v>
      </c>
      <c r="AC191" s="63">
        <f t="shared" si="228"/>
        <v>4880</v>
      </c>
      <c r="AD191" s="63">
        <f t="shared" si="228"/>
        <v>4880</v>
      </c>
      <c r="AE191" s="63">
        <f t="shared" si="208"/>
        <v>4880</v>
      </c>
      <c r="AF191" s="63">
        <f t="shared" si="209"/>
        <v>4880</v>
      </c>
      <c r="AG191" s="54">
        <f t="shared" si="229"/>
        <v>3220</v>
      </c>
      <c r="AH191" s="54">
        <f t="shared" si="229"/>
        <v>3220</v>
      </c>
      <c r="AI191" s="69"/>
      <c r="AJ191" s="19">
        <f t="shared" si="174"/>
        <v>0</v>
      </c>
      <c r="AK191" s="22">
        <f t="shared" si="230"/>
        <v>0</v>
      </c>
      <c r="AL191" s="22"/>
      <c r="AM191" s="12">
        <f t="shared" si="231"/>
        <v>1</v>
      </c>
      <c r="AO191" s="12">
        <f t="shared" si="232"/>
        <v>0</v>
      </c>
      <c r="AP191" s="12">
        <f t="shared" si="197"/>
        <v>0</v>
      </c>
      <c r="AQ191" s="12">
        <f t="shared" si="233"/>
        <v>0</v>
      </c>
      <c r="AR191" s="12">
        <f t="shared" si="155"/>
        <v>0</v>
      </c>
      <c r="AS191" s="12">
        <f>IF(Q191=0,0,1)</f>
        <v>0</v>
      </c>
      <c r="AT191" s="12">
        <f t="shared" si="185"/>
        <v>0</v>
      </c>
      <c r="AU191" s="12">
        <f t="shared" si="234"/>
        <v>0</v>
      </c>
      <c r="AV191" s="12">
        <f t="shared" si="186"/>
        <v>0</v>
      </c>
    </row>
    <row r="192" spans="1:48" ht="50.25" hidden="1" customHeight="1" x14ac:dyDescent="0.25">
      <c r="A192" s="64" t="s">
        <v>498</v>
      </c>
      <c r="B192" s="9" t="s">
        <v>2081</v>
      </c>
      <c r="C192" s="61" t="s">
        <v>95</v>
      </c>
      <c r="D192" s="61" t="s">
        <v>398</v>
      </c>
      <c r="E192" s="61" t="s">
        <v>162</v>
      </c>
      <c r="F192" s="61"/>
      <c r="G192" s="7">
        <f>H192</f>
        <v>12000</v>
      </c>
      <c r="H192" s="7">
        <v>12000</v>
      </c>
      <c r="I192" s="63"/>
      <c r="J192" s="63"/>
      <c r="K192" s="63"/>
      <c r="L192" s="63"/>
      <c r="M192" s="68">
        <f>N192</f>
        <v>1000</v>
      </c>
      <c r="N192" s="68">
        <v>1000</v>
      </c>
      <c r="O192" s="80">
        <f>P192</f>
        <v>1000</v>
      </c>
      <c r="P192" s="80">
        <v>1000</v>
      </c>
      <c r="Q192" s="54"/>
      <c r="R192" s="54"/>
      <c r="S192" s="80">
        <f>T192</f>
        <v>1000</v>
      </c>
      <c r="T192" s="80">
        <v>1000</v>
      </c>
      <c r="U192" s="63"/>
      <c r="V192" s="63"/>
      <c r="W192" s="63"/>
      <c r="X192" s="63"/>
      <c r="Y192" s="63"/>
      <c r="Z192" s="63"/>
      <c r="AA192" s="63">
        <f t="shared" si="227"/>
        <v>0</v>
      </c>
      <c r="AB192" s="63">
        <f t="shared" si="227"/>
        <v>0</v>
      </c>
      <c r="AC192" s="63">
        <f t="shared" si="228"/>
        <v>1000</v>
      </c>
      <c r="AD192" s="63">
        <f t="shared" si="228"/>
        <v>1000</v>
      </c>
      <c r="AE192" s="63">
        <f t="shared" si="208"/>
        <v>1000</v>
      </c>
      <c r="AF192" s="63">
        <f t="shared" si="209"/>
        <v>1000</v>
      </c>
      <c r="AG192" s="54">
        <f t="shared" si="229"/>
        <v>9800</v>
      </c>
      <c r="AH192" s="54">
        <f t="shared" si="229"/>
        <v>9800</v>
      </c>
      <c r="AI192" s="25"/>
      <c r="AJ192" s="19">
        <f t="shared" ref="AJ192" si="235">IF(N192-T192=0,0,1)</f>
        <v>0</v>
      </c>
      <c r="AK192" s="22">
        <f t="shared" si="230"/>
        <v>0</v>
      </c>
      <c r="AL192" s="22"/>
      <c r="AM192" s="12">
        <f t="shared" si="231"/>
        <v>1</v>
      </c>
      <c r="AO192" s="12">
        <f t="shared" si="232"/>
        <v>0</v>
      </c>
      <c r="AP192" s="12">
        <f t="shared" si="197"/>
        <v>0</v>
      </c>
      <c r="AQ192" s="12">
        <f t="shared" si="233"/>
        <v>0</v>
      </c>
      <c r="AR192" s="12">
        <f t="shared" si="155"/>
        <v>0</v>
      </c>
      <c r="AU192" s="12">
        <f t="shared" si="234"/>
        <v>0</v>
      </c>
      <c r="AV192" s="12">
        <f t="shared" si="186"/>
        <v>0</v>
      </c>
    </row>
    <row r="193" spans="1:48" ht="50.25" customHeight="1" x14ac:dyDescent="0.25">
      <c r="A193" s="64" t="s">
        <v>1298</v>
      </c>
      <c r="B193" s="153" t="s">
        <v>910</v>
      </c>
      <c r="C193" s="61" t="s">
        <v>95</v>
      </c>
      <c r="D193" s="61" t="s">
        <v>398</v>
      </c>
      <c r="E193" s="61" t="s">
        <v>168</v>
      </c>
      <c r="F193" s="61"/>
      <c r="G193" s="7">
        <f>H193</f>
        <v>33165</v>
      </c>
      <c r="H193" s="7">
        <v>33165</v>
      </c>
      <c r="I193" s="63"/>
      <c r="J193" s="63"/>
      <c r="K193" s="63"/>
      <c r="L193" s="63"/>
      <c r="M193" s="68">
        <v>1000</v>
      </c>
      <c r="N193" s="63">
        <f>M193</f>
        <v>1000</v>
      </c>
      <c r="O193" s="80">
        <f>P193</f>
        <v>14000</v>
      </c>
      <c r="P193" s="80">
        <v>14000</v>
      </c>
      <c r="Q193" s="54"/>
      <c r="R193" s="54"/>
      <c r="S193" s="80">
        <f>T193</f>
        <v>14000</v>
      </c>
      <c r="T193" s="80">
        <v>14000</v>
      </c>
      <c r="U193" s="63"/>
      <c r="V193" s="63"/>
      <c r="W193" s="63"/>
      <c r="X193" s="63"/>
      <c r="Y193" s="63"/>
      <c r="Z193" s="63"/>
      <c r="AA193" s="63">
        <f t="shared" ref="AA193" si="236">U193+W193+Y193</f>
        <v>0</v>
      </c>
      <c r="AB193" s="63">
        <f t="shared" ref="AB193" si="237">V193+X193+Z193</f>
        <v>0</v>
      </c>
      <c r="AC193" s="63">
        <f t="shared" ref="AC193" si="238">O193-AA193</f>
        <v>14000</v>
      </c>
      <c r="AD193" s="63">
        <f t="shared" ref="AD193" si="239">P193-AB193</f>
        <v>14000</v>
      </c>
      <c r="AE193" s="63">
        <f t="shared" ref="AE193" si="240">AF193</f>
        <v>14000</v>
      </c>
      <c r="AF193" s="63">
        <f t="shared" ref="AF193" si="241">IF(AB193=0,AD193,0)</f>
        <v>14000</v>
      </c>
      <c r="AG193" s="54">
        <f t="shared" ref="AG193" si="242">G193*0.9-O193</f>
        <v>15848.5</v>
      </c>
      <c r="AH193" s="54">
        <f t="shared" ref="AH193" si="243">H193*0.9-P193</f>
        <v>15848.5</v>
      </c>
      <c r="AI193" s="25" t="s">
        <v>911</v>
      </c>
      <c r="AJ193" s="19">
        <v>1</v>
      </c>
      <c r="AK193" s="22">
        <f t="shared" ref="AK193" si="244">AJ193</f>
        <v>1</v>
      </c>
      <c r="AL193" s="22"/>
      <c r="AM193" s="12">
        <f t="shared" ref="AM193" si="245">IF(AJ193=0,1,0)</f>
        <v>0</v>
      </c>
      <c r="AO193" s="12">
        <f t="shared" ref="AO193" si="246">IF(P193=0,1,0)</f>
        <v>0</v>
      </c>
      <c r="AP193" s="12">
        <f t="shared" ref="AP193" si="247">IF(AO193=1,N193,0)</f>
        <v>0</v>
      </c>
      <c r="AQ193" s="12">
        <f t="shared" ref="AQ193" si="248">IF(N193=0,1,0)</f>
        <v>0</v>
      </c>
      <c r="AR193" s="12">
        <f t="shared" ref="AR193" si="249">IF(AQ193=1,P193,0)</f>
        <v>0</v>
      </c>
      <c r="AU193" s="12">
        <f t="shared" ref="AU193" si="250">IF(R193=0,0,1)</f>
        <v>0</v>
      </c>
      <c r="AV193" s="12">
        <f t="shared" ref="AV193" si="251">IF(AU193=1,R193,0)</f>
        <v>0</v>
      </c>
    </row>
    <row r="194" spans="1:48" s="34" customFormat="1" ht="33" hidden="1" x14ac:dyDescent="0.25">
      <c r="A194" s="28" t="s">
        <v>500</v>
      </c>
      <c r="B194" s="29" t="s">
        <v>501</v>
      </c>
      <c r="C194" s="30"/>
      <c r="D194" s="30"/>
      <c r="E194" s="30"/>
      <c r="F194" s="30"/>
      <c r="G194" s="31">
        <f>G195+G201</f>
        <v>272055</v>
      </c>
      <c r="H194" s="31">
        <f t="shared" ref="H194:AH194" si="252">H195+H201</f>
        <v>272055</v>
      </c>
      <c r="I194" s="31">
        <f t="shared" si="252"/>
        <v>26250</v>
      </c>
      <c r="J194" s="31">
        <f t="shared" si="252"/>
        <v>26250</v>
      </c>
      <c r="K194" s="31">
        <f t="shared" si="252"/>
        <v>26250</v>
      </c>
      <c r="L194" s="31">
        <f t="shared" si="252"/>
        <v>26250</v>
      </c>
      <c r="M194" s="31">
        <f t="shared" si="252"/>
        <v>220000</v>
      </c>
      <c r="N194" s="31">
        <f t="shared" si="252"/>
        <v>220000</v>
      </c>
      <c r="O194" s="31">
        <f t="shared" si="252"/>
        <v>149100</v>
      </c>
      <c r="P194" s="31">
        <f t="shared" si="252"/>
        <v>149100</v>
      </c>
      <c r="Q194" s="31">
        <f t="shared" si="252"/>
        <v>0</v>
      </c>
      <c r="R194" s="31">
        <f t="shared" si="252"/>
        <v>0</v>
      </c>
      <c r="S194" s="31">
        <f t="shared" si="252"/>
        <v>149100</v>
      </c>
      <c r="T194" s="31">
        <f t="shared" si="252"/>
        <v>149100</v>
      </c>
      <c r="U194" s="31">
        <f t="shared" si="252"/>
        <v>43810</v>
      </c>
      <c r="V194" s="31">
        <f t="shared" si="252"/>
        <v>43810</v>
      </c>
      <c r="W194" s="31">
        <f t="shared" si="252"/>
        <v>27496</v>
      </c>
      <c r="X194" s="31">
        <f t="shared" si="252"/>
        <v>27496</v>
      </c>
      <c r="Y194" s="31">
        <f t="shared" si="252"/>
        <v>31700</v>
      </c>
      <c r="Z194" s="31">
        <f t="shared" si="252"/>
        <v>31700</v>
      </c>
      <c r="AA194" s="31">
        <f t="shared" si="252"/>
        <v>103006</v>
      </c>
      <c r="AB194" s="31">
        <f t="shared" si="252"/>
        <v>103006</v>
      </c>
      <c r="AC194" s="31">
        <f t="shared" si="252"/>
        <v>47176</v>
      </c>
      <c r="AD194" s="31">
        <f t="shared" si="252"/>
        <v>47176</v>
      </c>
      <c r="AE194" s="31">
        <f t="shared" si="252"/>
        <v>22000</v>
      </c>
      <c r="AF194" s="31">
        <f t="shared" si="252"/>
        <v>22000</v>
      </c>
      <c r="AG194" s="31">
        <f t="shared" si="252"/>
        <v>0</v>
      </c>
      <c r="AH194" s="31">
        <f t="shared" si="252"/>
        <v>0</v>
      </c>
      <c r="AI194" s="32"/>
      <c r="AJ194" s="19">
        <f t="shared" si="174"/>
        <v>0</v>
      </c>
      <c r="AK194" s="22"/>
      <c r="AL194" s="22"/>
      <c r="AM194" s="12"/>
      <c r="AN194" s="12"/>
      <c r="AO194" s="12"/>
      <c r="AP194" s="12">
        <f t="shared" si="197"/>
        <v>0</v>
      </c>
      <c r="AQ194" s="12"/>
      <c r="AR194" s="12">
        <f t="shared" si="155"/>
        <v>0</v>
      </c>
      <c r="AS194" s="12"/>
      <c r="AT194" s="12">
        <f t="shared" si="185"/>
        <v>0</v>
      </c>
      <c r="AU194" s="12"/>
      <c r="AV194" s="12">
        <f t="shared" si="186"/>
        <v>0</v>
      </c>
    </row>
    <row r="195" spans="1:48" s="42" customFormat="1" ht="51.75" hidden="1" x14ac:dyDescent="0.25">
      <c r="A195" s="35" t="s">
        <v>45</v>
      </c>
      <c r="B195" s="36" t="s">
        <v>46</v>
      </c>
      <c r="C195" s="37"/>
      <c r="D195" s="37"/>
      <c r="E195" s="37"/>
      <c r="F195" s="37"/>
      <c r="G195" s="38">
        <f t="shared" ref="G195:P195" si="253">G196</f>
        <v>47735</v>
      </c>
      <c r="H195" s="38">
        <f t="shared" si="253"/>
        <v>47735</v>
      </c>
      <c r="I195" s="38">
        <f t="shared" si="253"/>
        <v>26250</v>
      </c>
      <c r="J195" s="38">
        <f t="shared" si="253"/>
        <v>26250</v>
      </c>
      <c r="K195" s="38">
        <f t="shared" si="253"/>
        <v>26250</v>
      </c>
      <c r="L195" s="38">
        <f t="shared" si="253"/>
        <v>26250</v>
      </c>
      <c r="M195" s="38">
        <f t="shared" si="253"/>
        <v>13700</v>
      </c>
      <c r="N195" s="38">
        <f t="shared" si="253"/>
        <v>13700</v>
      </c>
      <c r="O195" s="38">
        <f t="shared" si="253"/>
        <v>13700</v>
      </c>
      <c r="P195" s="38">
        <f t="shared" si="253"/>
        <v>13700</v>
      </c>
      <c r="Q195" s="39"/>
      <c r="R195" s="39"/>
      <c r="S195" s="38">
        <f t="shared" ref="S195:AH195" si="254">S196</f>
        <v>13700</v>
      </c>
      <c r="T195" s="38">
        <f t="shared" si="254"/>
        <v>13700</v>
      </c>
      <c r="U195" s="38">
        <f t="shared" si="254"/>
        <v>13000</v>
      </c>
      <c r="V195" s="38">
        <f t="shared" si="254"/>
        <v>13000</v>
      </c>
      <c r="W195" s="39">
        <f t="shared" si="254"/>
        <v>0</v>
      </c>
      <c r="X195" s="39">
        <f t="shared" si="254"/>
        <v>0</v>
      </c>
      <c r="Y195" s="39">
        <f t="shared" si="254"/>
        <v>0</v>
      </c>
      <c r="Z195" s="39">
        <f t="shared" si="254"/>
        <v>0</v>
      </c>
      <c r="AA195" s="39">
        <f t="shared" si="254"/>
        <v>13000</v>
      </c>
      <c r="AB195" s="39">
        <f t="shared" si="254"/>
        <v>13000</v>
      </c>
      <c r="AC195" s="39">
        <f t="shared" si="254"/>
        <v>700</v>
      </c>
      <c r="AD195" s="39">
        <f t="shared" si="254"/>
        <v>700</v>
      </c>
      <c r="AE195" s="39">
        <f t="shared" si="254"/>
        <v>0</v>
      </c>
      <c r="AF195" s="39">
        <f t="shared" si="254"/>
        <v>0</v>
      </c>
      <c r="AG195" s="39">
        <f t="shared" si="254"/>
        <v>0</v>
      </c>
      <c r="AH195" s="39">
        <f t="shared" si="254"/>
        <v>0</v>
      </c>
      <c r="AI195" s="40"/>
      <c r="AJ195" s="19">
        <f t="shared" si="174"/>
        <v>0</v>
      </c>
      <c r="AK195" s="22"/>
      <c r="AL195" s="22"/>
      <c r="AM195" s="12"/>
      <c r="AN195" s="12"/>
      <c r="AO195" s="12"/>
      <c r="AP195" s="12">
        <f t="shared" si="197"/>
        <v>0</v>
      </c>
      <c r="AQ195" s="12"/>
      <c r="AR195" s="12">
        <f t="shared" si="155"/>
        <v>0</v>
      </c>
      <c r="AS195" s="12"/>
      <c r="AT195" s="12">
        <f t="shared" si="185"/>
        <v>0</v>
      </c>
      <c r="AU195" s="12"/>
      <c r="AV195" s="12">
        <f t="shared" si="186"/>
        <v>0</v>
      </c>
    </row>
    <row r="196" spans="1:48" s="49" customFormat="1" ht="34.5" hidden="1" x14ac:dyDescent="0.25">
      <c r="A196" s="43" t="s">
        <v>47</v>
      </c>
      <c r="B196" s="44" t="s">
        <v>48</v>
      </c>
      <c r="C196" s="45"/>
      <c r="D196" s="45"/>
      <c r="E196" s="45"/>
      <c r="F196" s="45"/>
      <c r="G196" s="46">
        <f t="shared" ref="G196:P196" si="255">SUM(G198:G200)</f>
        <v>47735</v>
      </c>
      <c r="H196" s="46">
        <f t="shared" si="255"/>
        <v>47735</v>
      </c>
      <c r="I196" s="46">
        <f t="shared" si="255"/>
        <v>26250</v>
      </c>
      <c r="J196" s="46">
        <f t="shared" si="255"/>
        <v>26250</v>
      </c>
      <c r="K196" s="46">
        <f t="shared" si="255"/>
        <v>26250</v>
      </c>
      <c r="L196" s="46">
        <f t="shared" si="255"/>
        <v>26250</v>
      </c>
      <c r="M196" s="46">
        <f t="shared" si="255"/>
        <v>13700</v>
      </c>
      <c r="N196" s="46">
        <f t="shared" si="255"/>
        <v>13700</v>
      </c>
      <c r="O196" s="46">
        <f t="shared" si="255"/>
        <v>13700</v>
      </c>
      <c r="P196" s="46">
        <f t="shared" si="255"/>
        <v>13700</v>
      </c>
      <c r="Q196" s="94"/>
      <c r="R196" s="94"/>
      <c r="S196" s="46">
        <f t="shared" ref="S196:AH196" si="256">SUM(S198:S200)</f>
        <v>13700</v>
      </c>
      <c r="T196" s="46">
        <f t="shared" si="256"/>
        <v>13700</v>
      </c>
      <c r="U196" s="46">
        <f t="shared" si="256"/>
        <v>13000</v>
      </c>
      <c r="V196" s="46">
        <f t="shared" si="256"/>
        <v>13000</v>
      </c>
      <c r="W196" s="94">
        <f t="shared" si="256"/>
        <v>0</v>
      </c>
      <c r="X196" s="94">
        <f t="shared" si="256"/>
        <v>0</v>
      </c>
      <c r="Y196" s="94">
        <f t="shared" si="256"/>
        <v>0</v>
      </c>
      <c r="Z196" s="94">
        <f t="shared" si="256"/>
        <v>0</v>
      </c>
      <c r="AA196" s="94">
        <f t="shared" si="256"/>
        <v>13000</v>
      </c>
      <c r="AB196" s="94">
        <f t="shared" si="256"/>
        <v>13000</v>
      </c>
      <c r="AC196" s="94">
        <f t="shared" si="256"/>
        <v>700</v>
      </c>
      <c r="AD196" s="94">
        <f t="shared" si="256"/>
        <v>700</v>
      </c>
      <c r="AE196" s="94">
        <f t="shared" si="256"/>
        <v>0</v>
      </c>
      <c r="AF196" s="94">
        <f t="shared" si="256"/>
        <v>0</v>
      </c>
      <c r="AG196" s="94">
        <f t="shared" si="256"/>
        <v>0</v>
      </c>
      <c r="AH196" s="94">
        <f t="shared" si="256"/>
        <v>0</v>
      </c>
      <c r="AI196" s="47"/>
      <c r="AJ196" s="19">
        <f t="shared" si="174"/>
        <v>0</v>
      </c>
      <c r="AK196" s="22"/>
      <c r="AL196" s="22"/>
      <c r="AM196" s="12"/>
      <c r="AN196" s="12"/>
      <c r="AO196" s="12"/>
      <c r="AP196" s="12">
        <f t="shared" si="197"/>
        <v>0</v>
      </c>
      <c r="AQ196" s="12"/>
      <c r="AR196" s="12">
        <f t="shared" si="155"/>
        <v>0</v>
      </c>
      <c r="AS196" s="12"/>
      <c r="AT196" s="12">
        <f t="shared" si="185"/>
        <v>0</v>
      </c>
      <c r="AU196" s="12"/>
      <c r="AV196" s="12">
        <f t="shared" si="186"/>
        <v>0</v>
      </c>
    </row>
    <row r="197" spans="1:48" ht="17.25" hidden="1" x14ac:dyDescent="0.25">
      <c r="A197" s="50"/>
      <c r="B197" s="51" t="s">
        <v>49</v>
      </c>
      <c r="C197" s="52"/>
      <c r="D197" s="52"/>
      <c r="E197" s="52"/>
      <c r="F197" s="52"/>
      <c r="G197" s="53"/>
      <c r="H197" s="53"/>
      <c r="I197" s="53"/>
      <c r="J197" s="53"/>
      <c r="K197" s="53"/>
      <c r="L197" s="53"/>
      <c r="M197" s="53"/>
      <c r="N197" s="53"/>
      <c r="O197" s="53"/>
      <c r="P197" s="53"/>
      <c r="Q197" s="54"/>
      <c r="R197" s="54"/>
      <c r="S197" s="53"/>
      <c r="T197" s="53"/>
      <c r="U197" s="63"/>
      <c r="V197" s="63"/>
      <c r="W197" s="63"/>
      <c r="X197" s="63"/>
      <c r="Y197" s="63"/>
      <c r="Z197" s="63"/>
      <c r="AA197" s="63"/>
      <c r="AB197" s="63"/>
      <c r="AC197" s="63"/>
      <c r="AD197" s="63"/>
      <c r="AE197" s="63"/>
      <c r="AF197" s="63"/>
      <c r="AG197" s="63"/>
      <c r="AH197" s="63"/>
      <c r="AI197" s="55"/>
      <c r="AJ197" s="19">
        <f t="shared" si="174"/>
        <v>0</v>
      </c>
      <c r="AK197" s="22"/>
      <c r="AL197" s="22"/>
    </row>
    <row r="198" spans="1:48" ht="69" hidden="1" x14ac:dyDescent="0.25">
      <c r="A198" s="50"/>
      <c r="B198" s="56" t="s">
        <v>50</v>
      </c>
      <c r="C198" s="57"/>
      <c r="D198" s="57"/>
      <c r="E198" s="57"/>
      <c r="F198" s="57"/>
      <c r="G198" s="58"/>
      <c r="H198" s="58"/>
      <c r="I198" s="58"/>
      <c r="J198" s="58"/>
      <c r="K198" s="58"/>
      <c r="L198" s="58"/>
      <c r="M198" s="58"/>
      <c r="N198" s="58"/>
      <c r="O198" s="58"/>
      <c r="P198" s="58"/>
      <c r="Q198" s="54"/>
      <c r="R198" s="54"/>
      <c r="S198" s="58"/>
      <c r="T198" s="58"/>
      <c r="U198" s="63"/>
      <c r="V198" s="63"/>
      <c r="W198" s="63"/>
      <c r="X198" s="63"/>
      <c r="Y198" s="63"/>
      <c r="Z198" s="63"/>
      <c r="AA198" s="63"/>
      <c r="AB198" s="63"/>
      <c r="AC198" s="63"/>
      <c r="AD198" s="63"/>
      <c r="AE198" s="63"/>
      <c r="AF198" s="63"/>
      <c r="AG198" s="63"/>
      <c r="AH198" s="63"/>
      <c r="AI198" s="59"/>
      <c r="AJ198" s="19">
        <f t="shared" si="174"/>
        <v>0</v>
      </c>
      <c r="AK198" s="22"/>
      <c r="AL198" s="22"/>
    </row>
    <row r="199" spans="1:48" ht="66" hidden="1" x14ac:dyDescent="0.25">
      <c r="A199" s="60">
        <v>1</v>
      </c>
      <c r="B199" s="107" t="s">
        <v>502</v>
      </c>
      <c r="C199" s="9" t="s">
        <v>336</v>
      </c>
      <c r="D199" s="61"/>
      <c r="E199" s="61" t="s">
        <v>72</v>
      </c>
      <c r="F199" s="61" t="s">
        <v>503</v>
      </c>
      <c r="G199" s="108">
        <v>13071</v>
      </c>
      <c r="H199" s="80">
        <f>G199</f>
        <v>13071</v>
      </c>
      <c r="I199" s="63">
        <f>J199</f>
        <v>2000</v>
      </c>
      <c r="J199" s="63">
        <v>2000</v>
      </c>
      <c r="K199" s="63">
        <f>L199</f>
        <v>2000</v>
      </c>
      <c r="L199" s="63">
        <f>J199</f>
        <v>2000</v>
      </c>
      <c r="M199" s="68">
        <f>N199</f>
        <v>9700</v>
      </c>
      <c r="N199" s="63">
        <v>9700</v>
      </c>
      <c r="O199" s="68">
        <f>P199</f>
        <v>9700</v>
      </c>
      <c r="P199" s="63">
        <v>9700</v>
      </c>
      <c r="Q199" s="54"/>
      <c r="R199" s="54"/>
      <c r="S199" s="68">
        <f>T199</f>
        <v>9700</v>
      </c>
      <c r="T199" s="63">
        <v>9700</v>
      </c>
      <c r="U199" s="63">
        <f>V199</f>
        <v>9000</v>
      </c>
      <c r="V199" s="63">
        <v>9000</v>
      </c>
      <c r="W199" s="63"/>
      <c r="X199" s="63"/>
      <c r="Y199" s="63"/>
      <c r="Z199" s="63"/>
      <c r="AA199" s="63">
        <f t="shared" ref="AA199:AB200" si="257">U199+W199+Y199</f>
        <v>9000</v>
      </c>
      <c r="AB199" s="63">
        <f t="shared" si="257"/>
        <v>9000</v>
      </c>
      <c r="AC199" s="63">
        <f>O199-AA199</f>
        <v>700</v>
      </c>
      <c r="AD199" s="63">
        <f>P199-AB199</f>
        <v>700</v>
      </c>
      <c r="AE199" s="63">
        <f t="shared" ref="AE199:AE200" si="258">AF199</f>
        <v>0</v>
      </c>
      <c r="AF199" s="63">
        <f t="shared" ref="AF199:AF200" si="259">IF(AB199=0,AD199,0)</f>
        <v>0</v>
      </c>
      <c r="AG199" s="63"/>
      <c r="AH199" s="63"/>
      <c r="AI199" s="69"/>
      <c r="AJ199" s="19">
        <f t="shared" si="174"/>
        <v>0</v>
      </c>
      <c r="AK199" s="22">
        <f t="shared" si="230"/>
        <v>0</v>
      </c>
      <c r="AL199" s="22"/>
      <c r="AM199" s="12">
        <f>IF(AJ199=0,1,0)</f>
        <v>1</v>
      </c>
      <c r="AO199" s="12">
        <f>IF(P199=0,1,0)</f>
        <v>0</v>
      </c>
      <c r="AP199" s="12">
        <f>IF(AO199=1,N199,0)</f>
        <v>0</v>
      </c>
      <c r="AQ199" s="12">
        <f>IF(N199=0,1,0)</f>
        <v>0</v>
      </c>
      <c r="AR199" s="12">
        <f>IF(AQ199=1,P199,0)</f>
        <v>0</v>
      </c>
      <c r="AS199" s="12">
        <f>IF(Q199=0,0,1)</f>
        <v>0</v>
      </c>
      <c r="AT199" s="12">
        <f t="shared" si="185"/>
        <v>0</v>
      </c>
      <c r="AU199" s="12">
        <f>IF(R199=0,0,1)</f>
        <v>0</v>
      </c>
      <c r="AV199" s="12">
        <f t="shared" si="186"/>
        <v>0</v>
      </c>
    </row>
    <row r="200" spans="1:48" ht="82.5" hidden="1" x14ac:dyDescent="0.25">
      <c r="A200" s="60">
        <v>2</v>
      </c>
      <c r="B200" s="107" t="s">
        <v>504</v>
      </c>
      <c r="C200" s="61" t="s">
        <v>99</v>
      </c>
      <c r="D200" s="61"/>
      <c r="E200" s="61" t="s">
        <v>72</v>
      </c>
      <c r="F200" s="61" t="s">
        <v>505</v>
      </c>
      <c r="G200" s="68">
        <v>34664</v>
      </c>
      <c r="H200" s="80">
        <f>G200</f>
        <v>34664</v>
      </c>
      <c r="I200" s="63">
        <f>J200</f>
        <v>24250</v>
      </c>
      <c r="J200" s="63">
        <v>24250</v>
      </c>
      <c r="K200" s="63">
        <f>L200</f>
        <v>24250</v>
      </c>
      <c r="L200" s="63">
        <f>J200</f>
        <v>24250</v>
      </c>
      <c r="M200" s="68">
        <f>N200</f>
        <v>4000</v>
      </c>
      <c r="N200" s="63">
        <v>4000</v>
      </c>
      <c r="O200" s="68">
        <f>P200</f>
        <v>4000</v>
      </c>
      <c r="P200" s="63">
        <v>4000</v>
      </c>
      <c r="Q200" s="54"/>
      <c r="R200" s="54"/>
      <c r="S200" s="68">
        <f>T200</f>
        <v>4000</v>
      </c>
      <c r="T200" s="63">
        <v>4000</v>
      </c>
      <c r="U200" s="63">
        <f>V200</f>
        <v>4000</v>
      </c>
      <c r="V200" s="63">
        <v>4000</v>
      </c>
      <c r="W200" s="63"/>
      <c r="X200" s="63"/>
      <c r="Y200" s="63"/>
      <c r="Z200" s="63"/>
      <c r="AA200" s="63">
        <f t="shared" si="257"/>
        <v>4000</v>
      </c>
      <c r="AB200" s="63">
        <f t="shared" si="257"/>
        <v>4000</v>
      </c>
      <c r="AC200" s="63">
        <f>O200-AA200</f>
        <v>0</v>
      </c>
      <c r="AD200" s="63">
        <f>P200-AB200</f>
        <v>0</v>
      </c>
      <c r="AE200" s="63">
        <f t="shared" si="258"/>
        <v>0</v>
      </c>
      <c r="AF200" s="63">
        <f t="shared" si="259"/>
        <v>0</v>
      </c>
      <c r="AG200" s="63"/>
      <c r="AH200" s="63"/>
      <c r="AI200" s="69"/>
      <c r="AJ200" s="19">
        <f t="shared" si="174"/>
        <v>0</v>
      </c>
      <c r="AK200" s="22">
        <f t="shared" si="230"/>
        <v>0</v>
      </c>
      <c r="AL200" s="22"/>
      <c r="AM200" s="12">
        <f>IF(AJ200=0,1,0)</f>
        <v>1</v>
      </c>
      <c r="AO200" s="12">
        <f>IF(P200=0,1,0)</f>
        <v>0</v>
      </c>
      <c r="AP200" s="12">
        <f>IF(AO200=1,N200,0)</f>
        <v>0</v>
      </c>
      <c r="AQ200" s="12">
        <f>IF(N200=0,1,0)</f>
        <v>0</v>
      </c>
      <c r="AR200" s="12">
        <f>IF(AQ200=1,P200,0)</f>
        <v>0</v>
      </c>
      <c r="AS200" s="12">
        <f>IF(Q200=0,0,1)</f>
        <v>0</v>
      </c>
      <c r="AT200" s="12">
        <f t="shared" si="185"/>
        <v>0</v>
      </c>
      <c r="AU200" s="12">
        <f>IF(R200=0,0,1)</f>
        <v>0</v>
      </c>
      <c r="AV200" s="12">
        <f t="shared" si="186"/>
        <v>0</v>
      </c>
    </row>
    <row r="201" spans="1:48" s="42" customFormat="1" ht="34.5" hidden="1" x14ac:dyDescent="0.25">
      <c r="A201" s="35" t="s">
        <v>85</v>
      </c>
      <c r="B201" s="36" t="s">
        <v>86</v>
      </c>
      <c r="C201" s="37"/>
      <c r="D201" s="37"/>
      <c r="E201" s="37"/>
      <c r="F201" s="37"/>
      <c r="G201" s="38">
        <f>G202</f>
        <v>224320</v>
      </c>
      <c r="H201" s="38">
        <f>H202</f>
        <v>224320</v>
      </c>
      <c r="I201" s="38"/>
      <c r="J201" s="38"/>
      <c r="K201" s="38"/>
      <c r="L201" s="38"/>
      <c r="M201" s="38">
        <f t="shared" ref="M201:P201" si="260">M202</f>
        <v>206300</v>
      </c>
      <c r="N201" s="38">
        <f t="shared" si="260"/>
        <v>206300</v>
      </c>
      <c r="O201" s="38">
        <f t="shared" si="260"/>
        <v>135400</v>
      </c>
      <c r="P201" s="38">
        <f t="shared" si="260"/>
        <v>135400</v>
      </c>
      <c r="Q201" s="39"/>
      <c r="R201" s="38"/>
      <c r="S201" s="38">
        <f t="shared" ref="S201:AH201" si="261">S202</f>
        <v>135400</v>
      </c>
      <c r="T201" s="38">
        <f t="shared" si="261"/>
        <v>135400</v>
      </c>
      <c r="U201" s="38">
        <f t="shared" si="261"/>
        <v>30810</v>
      </c>
      <c r="V201" s="38">
        <f t="shared" si="261"/>
        <v>30810</v>
      </c>
      <c r="W201" s="38">
        <f t="shared" si="261"/>
        <v>27496</v>
      </c>
      <c r="X201" s="38">
        <f t="shared" si="261"/>
        <v>27496</v>
      </c>
      <c r="Y201" s="38">
        <f t="shared" si="261"/>
        <v>31700</v>
      </c>
      <c r="Z201" s="38">
        <f t="shared" si="261"/>
        <v>31700</v>
      </c>
      <c r="AA201" s="38">
        <f t="shared" si="261"/>
        <v>90006</v>
      </c>
      <c r="AB201" s="38">
        <f t="shared" si="261"/>
        <v>90006</v>
      </c>
      <c r="AC201" s="38">
        <f t="shared" si="261"/>
        <v>46476</v>
      </c>
      <c r="AD201" s="38">
        <f t="shared" si="261"/>
        <v>46476</v>
      </c>
      <c r="AE201" s="38">
        <f t="shared" si="261"/>
        <v>22000</v>
      </c>
      <c r="AF201" s="38">
        <f t="shared" si="261"/>
        <v>22000</v>
      </c>
      <c r="AG201" s="38">
        <f t="shared" si="261"/>
        <v>0</v>
      </c>
      <c r="AH201" s="38">
        <f t="shared" si="261"/>
        <v>0</v>
      </c>
      <c r="AI201" s="40"/>
      <c r="AJ201" s="19">
        <f t="shared" si="174"/>
        <v>0</v>
      </c>
      <c r="AK201" s="109"/>
      <c r="AL201" s="109"/>
      <c r="AM201" s="41"/>
      <c r="AN201" s="41"/>
      <c r="AO201" s="41"/>
      <c r="AP201" s="41"/>
      <c r="AQ201" s="41"/>
      <c r="AR201" s="41"/>
      <c r="AS201" s="41"/>
      <c r="AT201" s="41"/>
      <c r="AU201" s="41"/>
      <c r="AV201" s="41"/>
    </row>
    <row r="202" spans="1:48" s="49" customFormat="1" ht="51.75" hidden="1" x14ac:dyDescent="0.25">
      <c r="A202" s="43" t="s">
        <v>87</v>
      </c>
      <c r="B202" s="44" t="s">
        <v>88</v>
      </c>
      <c r="C202" s="72"/>
      <c r="D202" s="72"/>
      <c r="E202" s="72"/>
      <c r="F202" s="72"/>
      <c r="G202" s="46">
        <f>SUM(G203:G218)</f>
        <v>224320</v>
      </c>
      <c r="H202" s="46">
        <f t="shared" ref="H202:AH202" si="262">SUM(H203:H218)</f>
        <v>224320</v>
      </c>
      <c r="I202" s="46">
        <f t="shared" si="262"/>
        <v>0</v>
      </c>
      <c r="J202" s="46">
        <f t="shared" si="262"/>
        <v>0</v>
      </c>
      <c r="K202" s="46">
        <f t="shared" si="262"/>
        <v>0</v>
      </c>
      <c r="L202" s="46">
        <f t="shared" si="262"/>
        <v>0</v>
      </c>
      <c r="M202" s="46">
        <f t="shared" si="262"/>
        <v>206300</v>
      </c>
      <c r="N202" s="46">
        <f t="shared" si="262"/>
        <v>206300</v>
      </c>
      <c r="O202" s="46">
        <f t="shared" si="262"/>
        <v>135400</v>
      </c>
      <c r="P202" s="46">
        <f t="shared" si="262"/>
        <v>135400</v>
      </c>
      <c r="Q202" s="46">
        <f t="shared" si="262"/>
        <v>0</v>
      </c>
      <c r="R202" s="46">
        <f t="shared" si="262"/>
        <v>0</v>
      </c>
      <c r="S202" s="46">
        <f t="shared" si="262"/>
        <v>135400</v>
      </c>
      <c r="T202" s="46">
        <f t="shared" si="262"/>
        <v>135400</v>
      </c>
      <c r="U202" s="46">
        <f t="shared" si="262"/>
        <v>30810</v>
      </c>
      <c r="V202" s="46">
        <f t="shared" si="262"/>
        <v>30810</v>
      </c>
      <c r="W202" s="46">
        <f t="shared" si="262"/>
        <v>27496</v>
      </c>
      <c r="X202" s="46">
        <f t="shared" si="262"/>
        <v>27496</v>
      </c>
      <c r="Y202" s="46">
        <f t="shared" si="262"/>
        <v>31700</v>
      </c>
      <c r="Z202" s="46">
        <f t="shared" si="262"/>
        <v>31700</v>
      </c>
      <c r="AA202" s="46">
        <f t="shared" si="262"/>
        <v>90006</v>
      </c>
      <c r="AB202" s="46">
        <f t="shared" si="262"/>
        <v>90006</v>
      </c>
      <c r="AC202" s="46">
        <f t="shared" si="262"/>
        <v>46476</v>
      </c>
      <c r="AD202" s="46">
        <f t="shared" si="262"/>
        <v>46476</v>
      </c>
      <c r="AE202" s="46">
        <f t="shared" si="262"/>
        <v>22000</v>
      </c>
      <c r="AF202" s="46">
        <f t="shared" si="262"/>
        <v>22000</v>
      </c>
      <c r="AG202" s="46">
        <f t="shared" si="262"/>
        <v>0</v>
      </c>
      <c r="AH202" s="46">
        <f t="shared" si="262"/>
        <v>0</v>
      </c>
      <c r="AI202" s="73"/>
      <c r="AJ202" s="19">
        <f t="shared" si="174"/>
        <v>0</v>
      </c>
      <c r="AK202" s="110"/>
      <c r="AL202" s="110"/>
      <c r="AM202" s="48"/>
      <c r="AN202" s="48"/>
      <c r="AO202" s="48"/>
      <c r="AP202" s="48"/>
      <c r="AQ202" s="48"/>
      <c r="AR202" s="48"/>
      <c r="AS202" s="48"/>
      <c r="AT202" s="48"/>
      <c r="AU202" s="48"/>
      <c r="AV202" s="48"/>
    </row>
    <row r="203" spans="1:48" ht="99" hidden="1" x14ac:dyDescent="0.25">
      <c r="A203" s="60">
        <v>3</v>
      </c>
      <c r="B203" s="107" t="s">
        <v>506</v>
      </c>
      <c r="C203" s="61" t="s">
        <v>507</v>
      </c>
      <c r="D203" s="61" t="s">
        <v>508</v>
      </c>
      <c r="E203" s="61">
        <v>2016</v>
      </c>
      <c r="F203" s="61" t="s">
        <v>509</v>
      </c>
      <c r="G203" s="68">
        <v>16701</v>
      </c>
      <c r="H203" s="80">
        <f t="shared" ref="H203:H210" si="263">G203</f>
        <v>16701</v>
      </c>
      <c r="I203" s="63"/>
      <c r="J203" s="63"/>
      <c r="K203" s="63"/>
      <c r="L203" s="63"/>
      <c r="M203" s="68">
        <f t="shared" ref="M203:M218" si="264">N203</f>
        <v>15270</v>
      </c>
      <c r="N203" s="63">
        <v>15270</v>
      </c>
      <c r="O203" s="68">
        <f t="shared" ref="O203:O218" si="265">P203</f>
        <v>15270</v>
      </c>
      <c r="P203" s="63">
        <f>N203</f>
        <v>15270</v>
      </c>
      <c r="Q203" s="54"/>
      <c r="R203" s="54"/>
      <c r="S203" s="68">
        <f t="shared" ref="S203:S212" si="266">T203</f>
        <v>15270</v>
      </c>
      <c r="T203" s="63">
        <f>P203</f>
        <v>15270</v>
      </c>
      <c r="U203" s="63">
        <f>V203</f>
        <v>10000</v>
      </c>
      <c r="V203" s="63">
        <v>10000</v>
      </c>
      <c r="W203" s="63">
        <f>X203</f>
        <v>6352</v>
      </c>
      <c r="X203" s="63">
        <v>6352</v>
      </c>
      <c r="Y203" s="63"/>
      <c r="Z203" s="63"/>
      <c r="AA203" s="63">
        <f t="shared" ref="AA203:AB218" si="267">U203+W203+Y203</f>
        <v>16352</v>
      </c>
      <c r="AB203" s="63">
        <f t="shared" si="267"/>
        <v>16352</v>
      </c>
      <c r="AC203" s="63"/>
      <c r="AD203" s="63"/>
      <c r="AE203" s="63">
        <f t="shared" ref="AE203:AE218" si="268">AF203</f>
        <v>0</v>
      </c>
      <c r="AF203" s="63">
        <f t="shared" ref="AF203:AF218" si="269">IF(AB203=0,AD203,0)</f>
        <v>0</v>
      </c>
      <c r="AG203" s="63"/>
      <c r="AH203" s="63"/>
      <c r="AI203" s="69"/>
      <c r="AJ203" s="19">
        <f t="shared" si="174"/>
        <v>0</v>
      </c>
      <c r="AK203" s="22">
        <f t="shared" si="230"/>
        <v>0</v>
      </c>
      <c r="AL203" s="22"/>
      <c r="AM203" s="12">
        <f t="shared" ref="AM203:AM218" si="270">IF(AJ203=0,1,0)</f>
        <v>1</v>
      </c>
      <c r="AO203" s="12">
        <f t="shared" ref="AO203:AO218" si="271">IF(P203=0,1,0)</f>
        <v>0</v>
      </c>
      <c r="AP203" s="12">
        <f t="shared" ref="AP203:AP251" si="272">IF(AO203=1,N203,0)</f>
        <v>0</v>
      </c>
      <c r="AQ203" s="12">
        <f t="shared" ref="AQ203:AQ218" si="273">IF(N203=0,1,0)</f>
        <v>0</v>
      </c>
      <c r="AR203" s="12">
        <f t="shared" ref="AR203:AR266" si="274">IF(AQ203=1,P203,0)</f>
        <v>0</v>
      </c>
      <c r="AS203" s="12">
        <f t="shared" ref="AS203:AS218" si="275">IF(Q203=0,0,1)</f>
        <v>0</v>
      </c>
      <c r="AT203" s="12">
        <f t="shared" si="185"/>
        <v>0</v>
      </c>
      <c r="AU203" s="12">
        <f t="shared" ref="AU203:AU212" si="276">IF(R203=0,0,1)</f>
        <v>0</v>
      </c>
      <c r="AV203" s="12">
        <f t="shared" si="186"/>
        <v>0</v>
      </c>
    </row>
    <row r="204" spans="1:48" ht="99" hidden="1" x14ac:dyDescent="0.25">
      <c r="A204" s="60">
        <v>4</v>
      </c>
      <c r="B204" s="9" t="s">
        <v>510</v>
      </c>
      <c r="C204" s="61" t="s">
        <v>511</v>
      </c>
      <c r="D204" s="61" t="s">
        <v>512</v>
      </c>
      <c r="E204" s="61">
        <v>2016</v>
      </c>
      <c r="F204" s="61" t="s">
        <v>513</v>
      </c>
      <c r="G204" s="80">
        <v>8080</v>
      </c>
      <c r="H204" s="80">
        <f t="shared" si="263"/>
        <v>8080</v>
      </c>
      <c r="I204" s="63"/>
      <c r="J204" s="63"/>
      <c r="K204" s="63"/>
      <c r="L204" s="63"/>
      <c r="M204" s="68">
        <f t="shared" si="264"/>
        <v>7700</v>
      </c>
      <c r="N204" s="63">
        <v>7700</v>
      </c>
      <c r="O204" s="68">
        <f t="shared" si="265"/>
        <v>7700</v>
      </c>
      <c r="P204" s="63">
        <v>7700</v>
      </c>
      <c r="Q204" s="54"/>
      <c r="R204" s="54"/>
      <c r="S204" s="68">
        <f t="shared" si="266"/>
        <v>7700</v>
      </c>
      <c r="T204" s="63">
        <v>7700</v>
      </c>
      <c r="U204" s="63">
        <f>V204</f>
        <v>5000</v>
      </c>
      <c r="V204" s="63">
        <v>5000</v>
      </c>
      <c r="W204" s="63"/>
      <c r="X204" s="63"/>
      <c r="Y204" s="63"/>
      <c r="Z204" s="63"/>
      <c r="AA204" s="63">
        <f t="shared" si="267"/>
        <v>5000</v>
      </c>
      <c r="AB204" s="63">
        <f t="shared" si="267"/>
        <v>5000</v>
      </c>
      <c r="AC204" s="63">
        <f t="shared" ref="AC204:AD218" si="277">O204-AA204</f>
        <v>2700</v>
      </c>
      <c r="AD204" s="63">
        <f t="shared" si="277"/>
        <v>2700</v>
      </c>
      <c r="AE204" s="63">
        <f t="shared" si="268"/>
        <v>0</v>
      </c>
      <c r="AF204" s="63">
        <f t="shared" si="269"/>
        <v>0</v>
      </c>
      <c r="AG204" s="63"/>
      <c r="AH204" s="63"/>
      <c r="AI204" s="69"/>
      <c r="AJ204" s="19">
        <f t="shared" si="174"/>
        <v>0</v>
      </c>
      <c r="AK204" s="22">
        <f t="shared" si="230"/>
        <v>0</v>
      </c>
      <c r="AL204" s="22"/>
      <c r="AM204" s="12">
        <f t="shared" si="270"/>
        <v>1</v>
      </c>
      <c r="AO204" s="12">
        <f t="shared" si="271"/>
        <v>0</v>
      </c>
      <c r="AP204" s="12">
        <f t="shared" si="272"/>
        <v>0</v>
      </c>
      <c r="AQ204" s="12">
        <f t="shared" si="273"/>
        <v>0</v>
      </c>
      <c r="AR204" s="12">
        <f t="shared" si="274"/>
        <v>0</v>
      </c>
      <c r="AS204" s="12">
        <f t="shared" si="275"/>
        <v>0</v>
      </c>
      <c r="AT204" s="12">
        <f t="shared" si="185"/>
        <v>0</v>
      </c>
      <c r="AU204" s="12">
        <f t="shared" si="276"/>
        <v>0</v>
      </c>
      <c r="AV204" s="12">
        <f t="shared" si="186"/>
        <v>0</v>
      </c>
    </row>
    <row r="205" spans="1:48" ht="82.5" hidden="1" x14ac:dyDescent="0.25">
      <c r="A205" s="60">
        <v>5</v>
      </c>
      <c r="B205" s="9" t="s">
        <v>514</v>
      </c>
      <c r="C205" s="61" t="s">
        <v>515</v>
      </c>
      <c r="D205" s="61" t="s">
        <v>516</v>
      </c>
      <c r="E205" s="61">
        <v>2016</v>
      </c>
      <c r="F205" s="61" t="s">
        <v>517</v>
      </c>
      <c r="G205" s="80">
        <v>15084</v>
      </c>
      <c r="H205" s="80">
        <f t="shared" si="263"/>
        <v>15084</v>
      </c>
      <c r="I205" s="63"/>
      <c r="J205" s="63"/>
      <c r="K205" s="63"/>
      <c r="L205" s="63"/>
      <c r="M205" s="68">
        <f t="shared" si="264"/>
        <v>13710</v>
      </c>
      <c r="N205" s="63">
        <v>13710</v>
      </c>
      <c r="O205" s="68">
        <f t="shared" si="265"/>
        <v>13710</v>
      </c>
      <c r="P205" s="63">
        <v>13710</v>
      </c>
      <c r="Q205" s="54"/>
      <c r="R205" s="54"/>
      <c r="S205" s="68">
        <f t="shared" si="266"/>
        <v>13710</v>
      </c>
      <c r="T205" s="63">
        <v>13710</v>
      </c>
      <c r="U205" s="63">
        <f>V205</f>
        <v>12800</v>
      </c>
      <c r="V205" s="63">
        <v>12800</v>
      </c>
      <c r="W205" s="63"/>
      <c r="X205" s="63"/>
      <c r="Y205" s="63"/>
      <c r="Z205" s="63"/>
      <c r="AA205" s="63">
        <f t="shared" si="267"/>
        <v>12800</v>
      </c>
      <c r="AB205" s="63">
        <f t="shared" si="267"/>
        <v>12800</v>
      </c>
      <c r="AC205" s="63">
        <f t="shared" si="277"/>
        <v>910</v>
      </c>
      <c r="AD205" s="63">
        <f t="shared" si="277"/>
        <v>910</v>
      </c>
      <c r="AE205" s="63">
        <f t="shared" si="268"/>
        <v>0</v>
      </c>
      <c r="AF205" s="63">
        <f t="shared" si="269"/>
        <v>0</v>
      </c>
      <c r="AG205" s="63"/>
      <c r="AH205" s="63"/>
      <c r="AI205" s="69"/>
      <c r="AJ205" s="19">
        <f t="shared" si="174"/>
        <v>0</v>
      </c>
      <c r="AK205" s="22">
        <f t="shared" si="230"/>
        <v>0</v>
      </c>
      <c r="AL205" s="22"/>
      <c r="AM205" s="12">
        <f t="shared" si="270"/>
        <v>1</v>
      </c>
      <c r="AO205" s="12">
        <f t="shared" si="271"/>
        <v>0</v>
      </c>
      <c r="AP205" s="12">
        <f t="shared" si="272"/>
        <v>0</v>
      </c>
      <c r="AQ205" s="12">
        <f t="shared" si="273"/>
        <v>0</v>
      </c>
      <c r="AR205" s="12">
        <f t="shared" si="274"/>
        <v>0</v>
      </c>
      <c r="AS205" s="12">
        <f t="shared" si="275"/>
        <v>0</v>
      </c>
      <c r="AT205" s="12">
        <f t="shared" si="185"/>
        <v>0</v>
      </c>
      <c r="AU205" s="12">
        <f t="shared" si="276"/>
        <v>0</v>
      </c>
      <c r="AV205" s="12">
        <f t="shared" si="186"/>
        <v>0</v>
      </c>
    </row>
    <row r="206" spans="1:48" ht="49.5" hidden="1" x14ac:dyDescent="0.25">
      <c r="A206" s="60">
        <v>6</v>
      </c>
      <c r="B206" s="91" t="s">
        <v>518</v>
      </c>
      <c r="C206" s="61" t="s">
        <v>519</v>
      </c>
      <c r="D206" s="61" t="s">
        <v>520</v>
      </c>
      <c r="E206" s="61">
        <v>2016</v>
      </c>
      <c r="F206" s="61" t="s">
        <v>521</v>
      </c>
      <c r="G206" s="80">
        <v>1992</v>
      </c>
      <c r="H206" s="80">
        <f t="shared" si="263"/>
        <v>1992</v>
      </c>
      <c r="I206" s="63"/>
      <c r="J206" s="63"/>
      <c r="K206" s="63"/>
      <c r="L206" s="63"/>
      <c r="M206" s="68">
        <f t="shared" si="264"/>
        <v>1720</v>
      </c>
      <c r="N206" s="63">
        <v>1720</v>
      </c>
      <c r="O206" s="68">
        <f t="shared" si="265"/>
        <v>1720</v>
      </c>
      <c r="P206" s="63">
        <v>1720</v>
      </c>
      <c r="Q206" s="54"/>
      <c r="R206" s="54"/>
      <c r="S206" s="68">
        <f t="shared" si="266"/>
        <v>1720</v>
      </c>
      <c r="T206" s="63">
        <v>1720</v>
      </c>
      <c r="U206" s="63">
        <f>V206</f>
        <v>10</v>
      </c>
      <c r="V206" s="63">
        <v>10</v>
      </c>
      <c r="W206" s="63">
        <f>X206</f>
        <v>1700</v>
      </c>
      <c r="X206" s="63">
        <v>1700</v>
      </c>
      <c r="Y206" s="63"/>
      <c r="Z206" s="63"/>
      <c r="AA206" s="63">
        <f t="shared" si="267"/>
        <v>1710</v>
      </c>
      <c r="AB206" s="63">
        <f t="shared" si="267"/>
        <v>1710</v>
      </c>
      <c r="AC206" s="63">
        <f t="shared" si="277"/>
        <v>10</v>
      </c>
      <c r="AD206" s="63">
        <f t="shared" si="277"/>
        <v>10</v>
      </c>
      <c r="AE206" s="63">
        <f t="shared" si="268"/>
        <v>0</v>
      </c>
      <c r="AF206" s="63">
        <f t="shared" si="269"/>
        <v>0</v>
      </c>
      <c r="AG206" s="63"/>
      <c r="AH206" s="63"/>
      <c r="AI206" s="69"/>
      <c r="AJ206" s="19">
        <f t="shared" si="174"/>
        <v>0</v>
      </c>
      <c r="AK206" s="22">
        <f t="shared" si="230"/>
        <v>0</v>
      </c>
      <c r="AL206" s="22"/>
      <c r="AM206" s="12">
        <f t="shared" si="270"/>
        <v>1</v>
      </c>
      <c r="AO206" s="12">
        <f t="shared" si="271"/>
        <v>0</v>
      </c>
      <c r="AP206" s="12">
        <f t="shared" si="272"/>
        <v>0</v>
      </c>
      <c r="AQ206" s="12">
        <f t="shared" si="273"/>
        <v>0</v>
      </c>
      <c r="AR206" s="12">
        <f t="shared" si="274"/>
        <v>0</v>
      </c>
      <c r="AS206" s="12">
        <f t="shared" si="275"/>
        <v>0</v>
      </c>
      <c r="AT206" s="12">
        <f t="shared" si="185"/>
        <v>0</v>
      </c>
      <c r="AU206" s="12">
        <f t="shared" si="276"/>
        <v>0</v>
      </c>
      <c r="AV206" s="12">
        <f t="shared" si="186"/>
        <v>0</v>
      </c>
    </row>
    <row r="207" spans="1:48" ht="66" hidden="1" x14ac:dyDescent="0.25">
      <c r="A207" s="60">
        <v>7</v>
      </c>
      <c r="B207" s="9" t="s">
        <v>522</v>
      </c>
      <c r="C207" s="61" t="s">
        <v>519</v>
      </c>
      <c r="D207" s="61" t="s">
        <v>523</v>
      </c>
      <c r="E207" s="61">
        <v>2016</v>
      </c>
      <c r="F207" s="61" t="s">
        <v>524</v>
      </c>
      <c r="G207" s="80">
        <v>3500</v>
      </c>
      <c r="H207" s="80">
        <f t="shared" si="263"/>
        <v>3500</v>
      </c>
      <c r="I207" s="63"/>
      <c r="J207" s="63"/>
      <c r="K207" s="63"/>
      <c r="L207" s="63"/>
      <c r="M207" s="68">
        <f t="shared" si="264"/>
        <v>3440</v>
      </c>
      <c r="N207" s="63">
        <v>3440</v>
      </c>
      <c r="O207" s="68">
        <f t="shared" si="265"/>
        <v>3440</v>
      </c>
      <c r="P207" s="63">
        <v>3440</v>
      </c>
      <c r="Q207" s="54"/>
      <c r="R207" s="54"/>
      <c r="S207" s="68">
        <f t="shared" si="266"/>
        <v>3440</v>
      </c>
      <c r="T207" s="63">
        <v>3440</v>
      </c>
      <c r="U207" s="63">
        <f>V207</f>
        <v>3000</v>
      </c>
      <c r="V207" s="63">
        <v>3000</v>
      </c>
      <c r="W207" s="63"/>
      <c r="X207" s="63"/>
      <c r="Y207" s="63"/>
      <c r="Z207" s="63"/>
      <c r="AA207" s="63">
        <f t="shared" si="267"/>
        <v>3000</v>
      </c>
      <c r="AB207" s="63">
        <f t="shared" si="267"/>
        <v>3000</v>
      </c>
      <c r="AC207" s="63">
        <f t="shared" si="277"/>
        <v>440</v>
      </c>
      <c r="AD207" s="63">
        <f t="shared" si="277"/>
        <v>440</v>
      </c>
      <c r="AE207" s="63">
        <f t="shared" si="268"/>
        <v>0</v>
      </c>
      <c r="AF207" s="63">
        <f t="shared" si="269"/>
        <v>0</v>
      </c>
      <c r="AG207" s="63"/>
      <c r="AH207" s="63"/>
      <c r="AI207" s="69"/>
      <c r="AJ207" s="19">
        <f t="shared" si="174"/>
        <v>0</v>
      </c>
      <c r="AK207" s="22">
        <f t="shared" si="230"/>
        <v>0</v>
      </c>
      <c r="AL207" s="22"/>
      <c r="AM207" s="12">
        <f t="shared" si="270"/>
        <v>1</v>
      </c>
      <c r="AO207" s="12">
        <f t="shared" si="271"/>
        <v>0</v>
      </c>
      <c r="AP207" s="12">
        <f t="shared" si="272"/>
        <v>0</v>
      </c>
      <c r="AQ207" s="12">
        <f t="shared" si="273"/>
        <v>0</v>
      </c>
      <c r="AR207" s="12">
        <f t="shared" si="274"/>
        <v>0</v>
      </c>
      <c r="AS207" s="12">
        <f t="shared" si="275"/>
        <v>0</v>
      </c>
      <c r="AT207" s="12">
        <f t="shared" si="185"/>
        <v>0</v>
      </c>
      <c r="AU207" s="12">
        <f t="shared" si="276"/>
        <v>0</v>
      </c>
      <c r="AV207" s="12">
        <f t="shared" si="186"/>
        <v>0</v>
      </c>
    </row>
    <row r="208" spans="1:48" ht="115.5" hidden="1" x14ac:dyDescent="0.25">
      <c r="A208" s="60">
        <v>8</v>
      </c>
      <c r="B208" s="91" t="s">
        <v>525</v>
      </c>
      <c r="C208" s="61" t="s">
        <v>526</v>
      </c>
      <c r="D208" s="61" t="s">
        <v>527</v>
      </c>
      <c r="E208" s="61">
        <v>2017</v>
      </c>
      <c r="F208" s="61" t="s">
        <v>528</v>
      </c>
      <c r="G208" s="74">
        <v>4905</v>
      </c>
      <c r="H208" s="80">
        <f t="shared" si="263"/>
        <v>4905</v>
      </c>
      <c r="I208" s="63"/>
      <c r="J208" s="63"/>
      <c r="K208" s="63"/>
      <c r="L208" s="63"/>
      <c r="M208" s="68">
        <f t="shared" si="264"/>
        <v>4660</v>
      </c>
      <c r="N208" s="63">
        <v>4660</v>
      </c>
      <c r="O208" s="68">
        <f t="shared" si="265"/>
        <v>4660</v>
      </c>
      <c r="P208" s="63">
        <v>4660</v>
      </c>
      <c r="Q208" s="54"/>
      <c r="R208" s="54"/>
      <c r="S208" s="68">
        <f t="shared" si="266"/>
        <v>4660</v>
      </c>
      <c r="T208" s="63">
        <v>4660</v>
      </c>
      <c r="U208" s="63"/>
      <c r="V208" s="63"/>
      <c r="W208" s="63">
        <f>X208</f>
        <v>4281</v>
      </c>
      <c r="X208" s="63">
        <v>4281</v>
      </c>
      <c r="Y208" s="63"/>
      <c r="Z208" s="63"/>
      <c r="AA208" s="63">
        <f t="shared" si="267"/>
        <v>4281</v>
      </c>
      <c r="AB208" s="63">
        <f t="shared" si="267"/>
        <v>4281</v>
      </c>
      <c r="AC208" s="63">
        <f t="shared" si="277"/>
        <v>379</v>
      </c>
      <c r="AD208" s="63">
        <f t="shared" si="277"/>
        <v>379</v>
      </c>
      <c r="AE208" s="63">
        <f t="shared" si="268"/>
        <v>0</v>
      </c>
      <c r="AF208" s="63">
        <f t="shared" si="269"/>
        <v>0</v>
      </c>
      <c r="AG208" s="63"/>
      <c r="AH208" s="63"/>
      <c r="AI208" s="69"/>
      <c r="AJ208" s="19">
        <f t="shared" si="174"/>
        <v>0</v>
      </c>
      <c r="AK208" s="22">
        <f t="shared" si="230"/>
        <v>0</v>
      </c>
      <c r="AL208" s="22"/>
      <c r="AM208" s="12">
        <f t="shared" si="270"/>
        <v>1</v>
      </c>
      <c r="AO208" s="12">
        <f t="shared" si="271"/>
        <v>0</v>
      </c>
      <c r="AP208" s="12">
        <f t="shared" si="272"/>
        <v>0</v>
      </c>
      <c r="AQ208" s="12">
        <f t="shared" si="273"/>
        <v>0</v>
      </c>
      <c r="AR208" s="12">
        <f t="shared" si="274"/>
        <v>0</v>
      </c>
      <c r="AS208" s="12">
        <f t="shared" si="275"/>
        <v>0</v>
      </c>
      <c r="AT208" s="12">
        <f t="shared" si="185"/>
        <v>0</v>
      </c>
      <c r="AU208" s="12">
        <f t="shared" si="276"/>
        <v>0</v>
      </c>
      <c r="AV208" s="12">
        <f t="shared" si="186"/>
        <v>0</v>
      </c>
    </row>
    <row r="209" spans="1:48" ht="99" hidden="1" x14ac:dyDescent="0.25">
      <c r="A209" s="60">
        <v>9</v>
      </c>
      <c r="B209" s="91" t="s">
        <v>529</v>
      </c>
      <c r="C209" s="61" t="s">
        <v>530</v>
      </c>
      <c r="D209" s="61" t="s">
        <v>531</v>
      </c>
      <c r="E209" s="61" t="s">
        <v>109</v>
      </c>
      <c r="F209" s="61" t="s">
        <v>532</v>
      </c>
      <c r="G209" s="74">
        <v>9852</v>
      </c>
      <c r="H209" s="80">
        <f t="shared" si="263"/>
        <v>9852</v>
      </c>
      <c r="I209" s="63" t="s">
        <v>533</v>
      </c>
      <c r="J209" s="63"/>
      <c r="K209" s="63"/>
      <c r="L209" s="63"/>
      <c r="M209" s="68">
        <f t="shared" si="264"/>
        <v>8960</v>
      </c>
      <c r="N209" s="63">
        <v>8960</v>
      </c>
      <c r="O209" s="68">
        <f t="shared" si="265"/>
        <v>8960</v>
      </c>
      <c r="P209" s="63">
        <v>8960</v>
      </c>
      <c r="Q209" s="54"/>
      <c r="R209" s="54"/>
      <c r="S209" s="68">
        <f t="shared" si="266"/>
        <v>8960</v>
      </c>
      <c r="T209" s="63">
        <v>8960</v>
      </c>
      <c r="U209" s="63"/>
      <c r="V209" s="63"/>
      <c r="W209" s="63">
        <f>X209</f>
        <v>8000</v>
      </c>
      <c r="X209" s="63">
        <v>8000</v>
      </c>
      <c r="Y209" s="63"/>
      <c r="Z209" s="63"/>
      <c r="AA209" s="63">
        <f t="shared" si="267"/>
        <v>8000</v>
      </c>
      <c r="AB209" s="63">
        <f t="shared" si="267"/>
        <v>8000</v>
      </c>
      <c r="AC209" s="63">
        <f t="shared" si="277"/>
        <v>960</v>
      </c>
      <c r="AD209" s="63">
        <f t="shared" si="277"/>
        <v>960</v>
      </c>
      <c r="AE209" s="63">
        <f t="shared" si="268"/>
        <v>0</v>
      </c>
      <c r="AF209" s="63">
        <f t="shared" si="269"/>
        <v>0</v>
      </c>
      <c r="AG209" s="63"/>
      <c r="AH209" s="63"/>
      <c r="AI209" s="69"/>
      <c r="AJ209" s="19">
        <f t="shared" si="174"/>
        <v>0</v>
      </c>
      <c r="AK209" s="22">
        <f t="shared" si="230"/>
        <v>0</v>
      </c>
      <c r="AL209" s="22"/>
      <c r="AM209" s="12">
        <f t="shared" si="270"/>
        <v>1</v>
      </c>
      <c r="AO209" s="12">
        <f t="shared" si="271"/>
        <v>0</v>
      </c>
      <c r="AP209" s="12">
        <f t="shared" si="272"/>
        <v>0</v>
      </c>
      <c r="AQ209" s="12">
        <f t="shared" si="273"/>
        <v>0</v>
      </c>
      <c r="AR209" s="12">
        <f t="shared" si="274"/>
        <v>0</v>
      </c>
      <c r="AS209" s="12">
        <f t="shared" si="275"/>
        <v>0</v>
      </c>
      <c r="AT209" s="12">
        <f t="shared" si="185"/>
        <v>0</v>
      </c>
      <c r="AU209" s="12">
        <f t="shared" si="276"/>
        <v>0</v>
      </c>
      <c r="AV209" s="12">
        <f t="shared" si="186"/>
        <v>0</v>
      </c>
    </row>
    <row r="210" spans="1:48" ht="165" hidden="1" x14ac:dyDescent="0.25">
      <c r="A210" s="60">
        <v>10</v>
      </c>
      <c r="B210" s="91" t="s">
        <v>534</v>
      </c>
      <c r="C210" s="61" t="s">
        <v>535</v>
      </c>
      <c r="D210" s="61" t="s">
        <v>536</v>
      </c>
      <c r="E210" s="61" t="s">
        <v>109</v>
      </c>
      <c r="F210" s="61" t="s">
        <v>537</v>
      </c>
      <c r="G210" s="74">
        <v>10021</v>
      </c>
      <c r="H210" s="80">
        <f t="shared" si="263"/>
        <v>10021</v>
      </c>
      <c r="I210" s="63"/>
      <c r="J210" s="63"/>
      <c r="K210" s="63"/>
      <c r="L210" s="63"/>
      <c r="M210" s="68">
        <f t="shared" si="264"/>
        <v>9110</v>
      </c>
      <c r="N210" s="63">
        <v>9110</v>
      </c>
      <c r="O210" s="68">
        <f t="shared" si="265"/>
        <v>9110</v>
      </c>
      <c r="P210" s="63">
        <v>9110</v>
      </c>
      <c r="Q210" s="54"/>
      <c r="R210" s="54"/>
      <c r="S210" s="68">
        <f t="shared" si="266"/>
        <v>9110</v>
      </c>
      <c r="T210" s="63">
        <v>9110</v>
      </c>
      <c r="U210" s="63"/>
      <c r="V210" s="63"/>
      <c r="W210" s="63">
        <f>X210</f>
        <v>7163</v>
      </c>
      <c r="X210" s="63">
        <v>7163</v>
      </c>
      <c r="Y210" s="63"/>
      <c r="Z210" s="63"/>
      <c r="AA210" s="63">
        <f t="shared" si="267"/>
        <v>7163</v>
      </c>
      <c r="AB210" s="63">
        <f t="shared" si="267"/>
        <v>7163</v>
      </c>
      <c r="AC210" s="63">
        <f t="shared" si="277"/>
        <v>1947</v>
      </c>
      <c r="AD210" s="63">
        <f t="shared" si="277"/>
        <v>1947</v>
      </c>
      <c r="AE210" s="63">
        <f t="shared" si="268"/>
        <v>0</v>
      </c>
      <c r="AF210" s="63">
        <f t="shared" si="269"/>
        <v>0</v>
      </c>
      <c r="AG210" s="63"/>
      <c r="AH210" s="63"/>
      <c r="AI210" s="69"/>
      <c r="AJ210" s="19">
        <f t="shared" si="174"/>
        <v>0</v>
      </c>
      <c r="AK210" s="22">
        <f t="shared" si="230"/>
        <v>0</v>
      </c>
      <c r="AL210" s="22"/>
      <c r="AM210" s="12">
        <f t="shared" si="270"/>
        <v>1</v>
      </c>
      <c r="AO210" s="12">
        <f t="shared" si="271"/>
        <v>0</v>
      </c>
      <c r="AP210" s="12">
        <f t="shared" si="272"/>
        <v>0</v>
      </c>
      <c r="AQ210" s="12">
        <f t="shared" si="273"/>
        <v>0</v>
      </c>
      <c r="AR210" s="12">
        <f t="shared" si="274"/>
        <v>0</v>
      </c>
      <c r="AS210" s="12">
        <f t="shared" si="275"/>
        <v>0</v>
      </c>
      <c r="AT210" s="12">
        <f t="shared" si="185"/>
        <v>0</v>
      </c>
      <c r="AU210" s="12">
        <f t="shared" si="276"/>
        <v>0</v>
      </c>
      <c r="AV210" s="12">
        <f t="shared" si="186"/>
        <v>0</v>
      </c>
    </row>
    <row r="211" spans="1:48" ht="115.5" hidden="1" x14ac:dyDescent="0.25">
      <c r="A211" s="60">
        <v>11</v>
      </c>
      <c r="B211" s="91" t="s">
        <v>538</v>
      </c>
      <c r="C211" s="61" t="s">
        <v>176</v>
      </c>
      <c r="D211" s="61" t="s">
        <v>539</v>
      </c>
      <c r="E211" s="61" t="s">
        <v>116</v>
      </c>
      <c r="F211" s="61"/>
      <c r="G211" s="74">
        <f>H211</f>
        <v>14850</v>
      </c>
      <c r="H211" s="80">
        <v>14850</v>
      </c>
      <c r="I211" s="63"/>
      <c r="J211" s="63"/>
      <c r="K211" s="63"/>
      <c r="L211" s="63"/>
      <c r="M211" s="63">
        <f t="shared" si="264"/>
        <v>13500</v>
      </c>
      <c r="N211" s="63">
        <v>13500</v>
      </c>
      <c r="O211" s="63">
        <f t="shared" si="265"/>
        <v>13500</v>
      </c>
      <c r="P211" s="63">
        <v>13500</v>
      </c>
      <c r="Q211" s="54"/>
      <c r="R211" s="54"/>
      <c r="S211" s="63">
        <f t="shared" si="266"/>
        <v>13500</v>
      </c>
      <c r="T211" s="63">
        <v>13500</v>
      </c>
      <c r="U211" s="63"/>
      <c r="V211" s="63"/>
      <c r="W211" s="63"/>
      <c r="X211" s="63"/>
      <c r="Y211" s="63">
        <v>5000</v>
      </c>
      <c r="Z211" s="63">
        <v>5000</v>
      </c>
      <c r="AA211" s="63">
        <f t="shared" si="267"/>
        <v>5000</v>
      </c>
      <c r="AB211" s="63">
        <f t="shared" si="267"/>
        <v>5000</v>
      </c>
      <c r="AC211" s="63">
        <f t="shared" si="277"/>
        <v>8500</v>
      </c>
      <c r="AD211" s="63">
        <f t="shared" si="277"/>
        <v>8500</v>
      </c>
      <c r="AE211" s="63">
        <f t="shared" si="268"/>
        <v>0</v>
      </c>
      <c r="AF211" s="63">
        <f t="shared" si="269"/>
        <v>0</v>
      </c>
      <c r="AG211" s="63"/>
      <c r="AH211" s="63"/>
      <c r="AI211" s="25"/>
      <c r="AJ211" s="19">
        <f t="shared" si="174"/>
        <v>0</v>
      </c>
      <c r="AK211" s="22">
        <f t="shared" si="230"/>
        <v>0</v>
      </c>
      <c r="AL211" s="22"/>
      <c r="AM211" s="12">
        <f t="shared" si="270"/>
        <v>1</v>
      </c>
      <c r="AO211" s="12">
        <f t="shared" si="271"/>
        <v>0</v>
      </c>
      <c r="AP211" s="12">
        <f t="shared" si="272"/>
        <v>0</v>
      </c>
      <c r="AQ211" s="12">
        <f t="shared" si="273"/>
        <v>0</v>
      </c>
      <c r="AR211" s="12">
        <f t="shared" si="274"/>
        <v>0</v>
      </c>
      <c r="AS211" s="12">
        <f t="shared" si="275"/>
        <v>0</v>
      </c>
      <c r="AT211" s="12">
        <f t="shared" si="185"/>
        <v>0</v>
      </c>
      <c r="AU211" s="12">
        <f t="shared" si="276"/>
        <v>0</v>
      </c>
      <c r="AV211" s="12">
        <f t="shared" si="186"/>
        <v>0</v>
      </c>
    </row>
    <row r="212" spans="1:48" ht="66" hidden="1" x14ac:dyDescent="0.25">
      <c r="A212" s="60">
        <v>12</v>
      </c>
      <c r="B212" s="9" t="s">
        <v>540</v>
      </c>
      <c r="C212" s="61" t="s">
        <v>541</v>
      </c>
      <c r="D212" s="61" t="s">
        <v>542</v>
      </c>
      <c r="E212" s="61" t="s">
        <v>461</v>
      </c>
      <c r="F212" s="61"/>
      <c r="G212" s="80">
        <v>12000</v>
      </c>
      <c r="H212" s="80">
        <f>G212</f>
        <v>12000</v>
      </c>
      <c r="I212" s="63"/>
      <c r="J212" s="63"/>
      <c r="K212" s="63"/>
      <c r="L212" s="63"/>
      <c r="M212" s="68">
        <f t="shared" si="264"/>
        <v>12000</v>
      </c>
      <c r="N212" s="63">
        <v>12000</v>
      </c>
      <c r="O212" s="68">
        <f t="shared" si="265"/>
        <v>12000</v>
      </c>
      <c r="P212" s="63">
        <v>12000</v>
      </c>
      <c r="Q212" s="54"/>
      <c r="R212" s="54"/>
      <c r="S212" s="68">
        <f t="shared" si="266"/>
        <v>12000</v>
      </c>
      <c r="T212" s="63">
        <v>12000</v>
      </c>
      <c r="U212" s="63"/>
      <c r="V212" s="63"/>
      <c r="W212" s="63"/>
      <c r="X212" s="63"/>
      <c r="Y212" s="63"/>
      <c r="Z212" s="63"/>
      <c r="AA212" s="63">
        <f t="shared" si="267"/>
        <v>0</v>
      </c>
      <c r="AB212" s="63">
        <f t="shared" si="267"/>
        <v>0</v>
      </c>
      <c r="AC212" s="63">
        <f t="shared" si="277"/>
        <v>12000</v>
      </c>
      <c r="AD212" s="63">
        <f t="shared" si="277"/>
        <v>12000</v>
      </c>
      <c r="AE212" s="63">
        <f t="shared" si="268"/>
        <v>12000</v>
      </c>
      <c r="AF212" s="63">
        <f t="shared" si="269"/>
        <v>12000</v>
      </c>
      <c r="AG212" s="63"/>
      <c r="AH212" s="63"/>
      <c r="AI212" s="69"/>
      <c r="AJ212" s="19">
        <f t="shared" ref="AJ212:AJ275" si="278">IF(P212-T212=0,0,1)</f>
        <v>0</v>
      </c>
      <c r="AK212" s="22">
        <f t="shared" si="230"/>
        <v>0</v>
      </c>
      <c r="AL212" s="22"/>
      <c r="AM212" s="12">
        <f t="shared" si="270"/>
        <v>1</v>
      </c>
      <c r="AO212" s="12">
        <f t="shared" si="271"/>
        <v>0</v>
      </c>
      <c r="AP212" s="12">
        <f t="shared" si="272"/>
        <v>0</v>
      </c>
      <c r="AQ212" s="12">
        <f t="shared" si="273"/>
        <v>0</v>
      </c>
      <c r="AR212" s="12">
        <f t="shared" si="274"/>
        <v>0</v>
      </c>
      <c r="AS212" s="12">
        <f t="shared" si="275"/>
        <v>0</v>
      </c>
      <c r="AT212" s="12">
        <f t="shared" si="185"/>
        <v>0</v>
      </c>
      <c r="AU212" s="12">
        <f t="shared" si="276"/>
        <v>0</v>
      </c>
      <c r="AV212" s="12">
        <f t="shared" si="186"/>
        <v>0</v>
      </c>
    </row>
    <row r="213" spans="1:48" ht="40.5" hidden="1" customHeight="1" x14ac:dyDescent="0.25">
      <c r="A213" s="60">
        <v>13</v>
      </c>
      <c r="B213" s="9" t="s">
        <v>543</v>
      </c>
      <c r="C213" s="61"/>
      <c r="D213" s="61"/>
      <c r="E213" s="61" t="s">
        <v>116</v>
      </c>
      <c r="F213" s="61"/>
      <c r="G213" s="74">
        <f t="shared" ref="G213:G218" si="279">H213</f>
        <v>60000</v>
      </c>
      <c r="H213" s="80">
        <v>60000</v>
      </c>
      <c r="I213" s="63"/>
      <c r="J213" s="63"/>
      <c r="K213" s="63"/>
      <c r="L213" s="63"/>
      <c r="M213" s="68">
        <f t="shared" si="264"/>
        <v>53700</v>
      </c>
      <c r="N213" s="63">
        <f>54500-800</f>
        <v>53700</v>
      </c>
      <c r="O213" s="68"/>
      <c r="P213" s="63"/>
      <c r="Q213" s="54"/>
      <c r="R213" s="54"/>
      <c r="S213" s="68"/>
      <c r="T213" s="63"/>
      <c r="U213" s="63"/>
      <c r="V213" s="63"/>
      <c r="W213" s="63"/>
      <c r="X213" s="63"/>
      <c r="Y213" s="63"/>
      <c r="Z213" s="63"/>
      <c r="AA213" s="63">
        <f t="shared" si="267"/>
        <v>0</v>
      </c>
      <c r="AB213" s="63">
        <f t="shared" si="267"/>
        <v>0</v>
      </c>
      <c r="AC213" s="63">
        <f t="shared" si="277"/>
        <v>0</v>
      </c>
      <c r="AD213" s="63">
        <f t="shared" si="277"/>
        <v>0</v>
      </c>
      <c r="AE213" s="63">
        <f t="shared" si="268"/>
        <v>0</v>
      </c>
      <c r="AF213" s="63">
        <f t="shared" si="269"/>
        <v>0</v>
      </c>
      <c r="AG213" s="63"/>
      <c r="AH213" s="63"/>
      <c r="AI213" s="25" t="s">
        <v>284</v>
      </c>
      <c r="AJ213" s="19">
        <f t="shared" si="278"/>
        <v>0</v>
      </c>
      <c r="AK213" s="22">
        <f t="shared" si="230"/>
        <v>0</v>
      </c>
      <c r="AL213" s="22"/>
      <c r="AM213" s="12">
        <f t="shared" si="270"/>
        <v>1</v>
      </c>
      <c r="AO213" s="12">
        <f t="shared" si="271"/>
        <v>1</v>
      </c>
      <c r="AP213" s="12">
        <f t="shared" si="272"/>
        <v>53700</v>
      </c>
      <c r="AQ213" s="12">
        <f t="shared" si="273"/>
        <v>0</v>
      </c>
      <c r="AR213" s="12">
        <f t="shared" si="274"/>
        <v>0</v>
      </c>
      <c r="AS213" s="12">
        <f t="shared" si="275"/>
        <v>0</v>
      </c>
      <c r="AT213" s="12">
        <f t="shared" si="185"/>
        <v>0</v>
      </c>
    </row>
    <row r="214" spans="1:48" ht="109.5" hidden="1" customHeight="1" x14ac:dyDescent="0.25">
      <c r="A214" s="60">
        <v>14</v>
      </c>
      <c r="B214" s="9" t="s">
        <v>544</v>
      </c>
      <c r="C214" s="61"/>
      <c r="D214" s="61"/>
      <c r="E214" s="61" t="s">
        <v>116</v>
      </c>
      <c r="F214" s="61"/>
      <c r="G214" s="74">
        <f t="shared" si="279"/>
        <v>30000</v>
      </c>
      <c r="H214" s="80">
        <v>30000</v>
      </c>
      <c r="I214" s="63"/>
      <c r="J214" s="63"/>
      <c r="K214" s="63"/>
      <c r="L214" s="63"/>
      <c r="M214" s="68">
        <f t="shared" si="264"/>
        <v>27200</v>
      </c>
      <c r="N214" s="63">
        <v>27200</v>
      </c>
      <c r="O214" s="68">
        <f t="shared" si="265"/>
        <v>10000</v>
      </c>
      <c r="P214" s="63">
        <v>10000</v>
      </c>
      <c r="Q214" s="54"/>
      <c r="R214" s="54"/>
      <c r="S214" s="68">
        <f t="shared" ref="S214:S218" si="280">T214</f>
        <v>10000</v>
      </c>
      <c r="T214" s="63">
        <v>10000</v>
      </c>
      <c r="U214" s="63"/>
      <c r="V214" s="63"/>
      <c r="W214" s="63"/>
      <c r="X214" s="63"/>
      <c r="Y214" s="63"/>
      <c r="Z214" s="63"/>
      <c r="AA214" s="63">
        <f t="shared" si="267"/>
        <v>0</v>
      </c>
      <c r="AB214" s="63">
        <f t="shared" si="267"/>
        <v>0</v>
      </c>
      <c r="AC214" s="63">
        <f t="shared" si="277"/>
        <v>10000</v>
      </c>
      <c r="AD214" s="63">
        <f t="shared" si="277"/>
        <v>10000</v>
      </c>
      <c r="AE214" s="63">
        <f t="shared" si="268"/>
        <v>10000</v>
      </c>
      <c r="AF214" s="63">
        <f t="shared" si="269"/>
        <v>10000</v>
      </c>
      <c r="AG214" s="63"/>
      <c r="AH214" s="63"/>
      <c r="AI214" s="25" t="s">
        <v>545</v>
      </c>
      <c r="AJ214" s="19">
        <f t="shared" si="278"/>
        <v>0</v>
      </c>
      <c r="AK214" s="22">
        <f t="shared" si="230"/>
        <v>0</v>
      </c>
      <c r="AL214" s="22"/>
      <c r="AM214" s="12">
        <f t="shared" si="270"/>
        <v>1</v>
      </c>
      <c r="AO214" s="12">
        <f t="shared" si="271"/>
        <v>0</v>
      </c>
      <c r="AP214" s="12">
        <f t="shared" si="272"/>
        <v>0</v>
      </c>
      <c r="AQ214" s="12">
        <f t="shared" si="273"/>
        <v>0</v>
      </c>
      <c r="AR214" s="12">
        <f t="shared" si="274"/>
        <v>0</v>
      </c>
      <c r="AS214" s="12">
        <f t="shared" si="275"/>
        <v>0</v>
      </c>
      <c r="AT214" s="12">
        <f t="shared" si="185"/>
        <v>0</v>
      </c>
      <c r="AU214" s="12">
        <f>IF(R214=0,0,1)</f>
        <v>0</v>
      </c>
      <c r="AV214" s="12">
        <f t="shared" si="186"/>
        <v>0</v>
      </c>
    </row>
    <row r="215" spans="1:48" ht="132" hidden="1" x14ac:dyDescent="0.25">
      <c r="A215" s="60">
        <v>15</v>
      </c>
      <c r="B215" s="9" t="s">
        <v>546</v>
      </c>
      <c r="C215" s="61"/>
      <c r="D215" s="61" t="s">
        <v>547</v>
      </c>
      <c r="E215" s="61" t="s">
        <v>116</v>
      </c>
      <c r="F215" s="61"/>
      <c r="G215" s="74">
        <f t="shared" si="279"/>
        <v>2039</v>
      </c>
      <c r="H215" s="80">
        <v>2039</v>
      </c>
      <c r="I215" s="63"/>
      <c r="J215" s="63"/>
      <c r="K215" s="63"/>
      <c r="L215" s="63"/>
      <c r="M215" s="68">
        <f t="shared" si="264"/>
        <v>1950</v>
      </c>
      <c r="N215" s="63">
        <v>1950</v>
      </c>
      <c r="O215" s="68">
        <f t="shared" si="265"/>
        <v>1950</v>
      </c>
      <c r="P215" s="63">
        <v>1950</v>
      </c>
      <c r="Q215" s="54"/>
      <c r="R215" s="54"/>
      <c r="S215" s="68">
        <f t="shared" si="280"/>
        <v>1950</v>
      </c>
      <c r="T215" s="63">
        <v>1950</v>
      </c>
      <c r="U215" s="111"/>
      <c r="V215" s="111"/>
      <c r="W215" s="112"/>
      <c r="X215" s="112"/>
      <c r="Y215" s="112">
        <v>1500</v>
      </c>
      <c r="Z215" s="112">
        <v>1500</v>
      </c>
      <c r="AA215" s="63">
        <f t="shared" si="267"/>
        <v>1500</v>
      </c>
      <c r="AB215" s="63">
        <f t="shared" si="267"/>
        <v>1500</v>
      </c>
      <c r="AC215" s="63">
        <f t="shared" si="277"/>
        <v>450</v>
      </c>
      <c r="AD215" s="63">
        <f t="shared" si="277"/>
        <v>450</v>
      </c>
      <c r="AE215" s="63">
        <f t="shared" si="268"/>
        <v>0</v>
      </c>
      <c r="AF215" s="63">
        <f t="shared" si="269"/>
        <v>0</v>
      </c>
      <c r="AG215" s="112"/>
      <c r="AH215" s="112"/>
      <c r="AI215" s="69"/>
      <c r="AJ215" s="19">
        <f t="shared" si="278"/>
        <v>0</v>
      </c>
      <c r="AK215" s="22">
        <f t="shared" si="230"/>
        <v>0</v>
      </c>
      <c r="AL215" s="22"/>
      <c r="AM215" s="12">
        <f t="shared" si="270"/>
        <v>1</v>
      </c>
      <c r="AO215" s="12">
        <f t="shared" si="271"/>
        <v>0</v>
      </c>
      <c r="AP215" s="12">
        <f t="shared" si="272"/>
        <v>0</v>
      </c>
      <c r="AQ215" s="12">
        <f t="shared" si="273"/>
        <v>0</v>
      </c>
      <c r="AR215" s="12">
        <f t="shared" si="274"/>
        <v>0</v>
      </c>
      <c r="AS215" s="12">
        <f t="shared" si="275"/>
        <v>0</v>
      </c>
      <c r="AT215" s="12">
        <f t="shared" si="185"/>
        <v>0</v>
      </c>
      <c r="AU215" s="12">
        <f>IF(R215=0,0,1)</f>
        <v>0</v>
      </c>
      <c r="AV215" s="12">
        <f t="shared" si="186"/>
        <v>0</v>
      </c>
    </row>
    <row r="216" spans="1:48" ht="115.5" hidden="1" x14ac:dyDescent="0.25">
      <c r="A216" s="60">
        <v>16</v>
      </c>
      <c r="B216" s="9" t="s">
        <v>548</v>
      </c>
      <c r="C216" s="61"/>
      <c r="D216" s="61" t="s">
        <v>549</v>
      </c>
      <c r="E216" s="61" t="s">
        <v>116</v>
      </c>
      <c r="F216" s="61"/>
      <c r="G216" s="74">
        <f t="shared" si="279"/>
        <v>1500</v>
      </c>
      <c r="H216" s="80">
        <v>1500</v>
      </c>
      <c r="I216" s="63"/>
      <c r="J216" s="63"/>
      <c r="K216" s="63"/>
      <c r="L216" s="63"/>
      <c r="M216" s="68">
        <f t="shared" si="264"/>
        <v>1420</v>
      </c>
      <c r="N216" s="63">
        <v>1420</v>
      </c>
      <c r="O216" s="68">
        <f t="shared" si="265"/>
        <v>1420</v>
      </c>
      <c r="P216" s="63">
        <v>1420</v>
      </c>
      <c r="Q216" s="54"/>
      <c r="R216" s="54"/>
      <c r="S216" s="68">
        <f t="shared" si="280"/>
        <v>1420</v>
      </c>
      <c r="T216" s="63">
        <v>1420</v>
      </c>
      <c r="U216" s="63"/>
      <c r="V216" s="63"/>
      <c r="W216" s="63"/>
      <c r="X216" s="63"/>
      <c r="Y216" s="63">
        <v>1200</v>
      </c>
      <c r="Z216" s="63">
        <v>1200</v>
      </c>
      <c r="AA216" s="63">
        <f t="shared" si="267"/>
        <v>1200</v>
      </c>
      <c r="AB216" s="63">
        <f t="shared" si="267"/>
        <v>1200</v>
      </c>
      <c r="AC216" s="63">
        <f t="shared" si="277"/>
        <v>220</v>
      </c>
      <c r="AD216" s="63">
        <f t="shared" si="277"/>
        <v>220</v>
      </c>
      <c r="AE216" s="63">
        <f t="shared" si="268"/>
        <v>0</v>
      </c>
      <c r="AF216" s="63">
        <f t="shared" si="269"/>
        <v>0</v>
      </c>
      <c r="AG216" s="63"/>
      <c r="AH216" s="63"/>
      <c r="AI216" s="69"/>
      <c r="AJ216" s="19">
        <f t="shared" si="278"/>
        <v>0</v>
      </c>
      <c r="AK216" s="22">
        <f t="shared" si="230"/>
        <v>0</v>
      </c>
      <c r="AL216" s="22"/>
      <c r="AM216" s="12">
        <f t="shared" si="270"/>
        <v>1</v>
      </c>
      <c r="AO216" s="12">
        <f t="shared" si="271"/>
        <v>0</v>
      </c>
      <c r="AP216" s="12">
        <f t="shared" si="272"/>
        <v>0</v>
      </c>
      <c r="AQ216" s="12">
        <f t="shared" si="273"/>
        <v>0</v>
      </c>
      <c r="AR216" s="12">
        <f t="shared" si="274"/>
        <v>0</v>
      </c>
      <c r="AS216" s="12">
        <f t="shared" si="275"/>
        <v>0</v>
      </c>
      <c r="AT216" s="12">
        <f t="shared" si="185"/>
        <v>0</v>
      </c>
      <c r="AU216" s="12">
        <f>IF(R216=0,0,1)</f>
        <v>0</v>
      </c>
      <c r="AV216" s="12">
        <f t="shared" si="186"/>
        <v>0</v>
      </c>
    </row>
    <row r="217" spans="1:48" ht="99" hidden="1" x14ac:dyDescent="0.25">
      <c r="A217" s="60">
        <v>17</v>
      </c>
      <c r="B217" s="9" t="s">
        <v>550</v>
      </c>
      <c r="C217" s="61"/>
      <c r="D217" s="61" t="s">
        <v>551</v>
      </c>
      <c r="E217" s="61" t="s">
        <v>116</v>
      </c>
      <c r="F217" s="61"/>
      <c r="G217" s="74">
        <f t="shared" si="279"/>
        <v>5000</v>
      </c>
      <c r="H217" s="80">
        <v>5000</v>
      </c>
      <c r="I217" s="63"/>
      <c r="J217" s="63"/>
      <c r="K217" s="63"/>
      <c r="L217" s="63"/>
      <c r="M217" s="68">
        <f t="shared" si="264"/>
        <v>4760</v>
      </c>
      <c r="N217" s="63">
        <v>4760</v>
      </c>
      <c r="O217" s="68">
        <f t="shared" si="265"/>
        <v>4760</v>
      </c>
      <c r="P217" s="63">
        <v>4760</v>
      </c>
      <c r="Q217" s="54"/>
      <c r="R217" s="54"/>
      <c r="S217" s="68">
        <f t="shared" si="280"/>
        <v>4760</v>
      </c>
      <c r="T217" s="63">
        <v>4760</v>
      </c>
      <c r="U217" s="63"/>
      <c r="V217" s="63"/>
      <c r="W217" s="63"/>
      <c r="X217" s="63"/>
      <c r="Y217" s="63">
        <v>4000</v>
      </c>
      <c r="Z217" s="63">
        <v>4000</v>
      </c>
      <c r="AA217" s="63">
        <f t="shared" si="267"/>
        <v>4000</v>
      </c>
      <c r="AB217" s="63">
        <f t="shared" si="267"/>
        <v>4000</v>
      </c>
      <c r="AC217" s="63">
        <f t="shared" si="277"/>
        <v>760</v>
      </c>
      <c r="AD217" s="63">
        <f t="shared" si="277"/>
        <v>760</v>
      </c>
      <c r="AE217" s="63">
        <f t="shared" si="268"/>
        <v>0</v>
      </c>
      <c r="AF217" s="63">
        <f t="shared" si="269"/>
        <v>0</v>
      </c>
      <c r="AG217" s="63"/>
      <c r="AH217" s="63"/>
      <c r="AI217" s="69"/>
      <c r="AJ217" s="19">
        <f t="shared" si="278"/>
        <v>0</v>
      </c>
      <c r="AK217" s="22">
        <f t="shared" si="230"/>
        <v>0</v>
      </c>
      <c r="AL217" s="22"/>
      <c r="AM217" s="12">
        <f t="shared" si="270"/>
        <v>1</v>
      </c>
      <c r="AO217" s="12">
        <f t="shared" si="271"/>
        <v>0</v>
      </c>
      <c r="AP217" s="12">
        <f t="shared" si="272"/>
        <v>0</v>
      </c>
      <c r="AQ217" s="12">
        <f t="shared" si="273"/>
        <v>0</v>
      </c>
      <c r="AR217" s="12">
        <f t="shared" si="274"/>
        <v>0</v>
      </c>
      <c r="AS217" s="12">
        <f t="shared" si="275"/>
        <v>0</v>
      </c>
      <c r="AT217" s="12">
        <f t="shared" si="185"/>
        <v>0</v>
      </c>
      <c r="AU217" s="12">
        <f>IF(R217=0,0,1)</f>
        <v>0</v>
      </c>
      <c r="AV217" s="12">
        <f t="shared" si="186"/>
        <v>0</v>
      </c>
    </row>
    <row r="218" spans="1:48" ht="66" hidden="1" x14ac:dyDescent="0.25">
      <c r="A218" s="60">
        <v>18</v>
      </c>
      <c r="B218" s="9" t="s">
        <v>552</v>
      </c>
      <c r="C218" s="61"/>
      <c r="D218" s="61"/>
      <c r="E218" s="61" t="s">
        <v>101</v>
      </c>
      <c r="F218" s="61" t="s">
        <v>553</v>
      </c>
      <c r="G218" s="74">
        <f t="shared" si="279"/>
        <v>28796</v>
      </c>
      <c r="H218" s="80">
        <v>28796</v>
      </c>
      <c r="I218" s="63"/>
      <c r="J218" s="63"/>
      <c r="K218" s="63"/>
      <c r="L218" s="63"/>
      <c r="M218" s="68">
        <f t="shared" si="264"/>
        <v>27200</v>
      </c>
      <c r="N218" s="63">
        <v>27200</v>
      </c>
      <c r="O218" s="68">
        <f t="shared" si="265"/>
        <v>27200</v>
      </c>
      <c r="P218" s="63">
        <v>27200</v>
      </c>
      <c r="Q218" s="54"/>
      <c r="R218" s="54"/>
      <c r="S218" s="68">
        <f t="shared" si="280"/>
        <v>27200</v>
      </c>
      <c r="T218" s="63">
        <v>27200</v>
      </c>
      <c r="U218" s="63"/>
      <c r="V218" s="63"/>
      <c r="W218" s="63"/>
      <c r="X218" s="63"/>
      <c r="Y218" s="63">
        <v>20000</v>
      </c>
      <c r="Z218" s="63">
        <v>20000</v>
      </c>
      <c r="AA218" s="63">
        <f t="shared" si="267"/>
        <v>20000</v>
      </c>
      <c r="AB218" s="63">
        <f t="shared" si="267"/>
        <v>20000</v>
      </c>
      <c r="AC218" s="63">
        <f t="shared" si="277"/>
        <v>7200</v>
      </c>
      <c r="AD218" s="63">
        <f t="shared" si="277"/>
        <v>7200</v>
      </c>
      <c r="AE218" s="63">
        <f t="shared" si="268"/>
        <v>0</v>
      </c>
      <c r="AF218" s="63">
        <f t="shared" si="269"/>
        <v>0</v>
      </c>
      <c r="AG218" s="63"/>
      <c r="AH218" s="63"/>
      <c r="AI218" s="69"/>
      <c r="AJ218" s="19">
        <f t="shared" si="278"/>
        <v>0</v>
      </c>
      <c r="AK218" s="22">
        <f t="shared" si="230"/>
        <v>0</v>
      </c>
      <c r="AL218" s="22"/>
      <c r="AM218" s="12">
        <f t="shared" si="270"/>
        <v>1</v>
      </c>
      <c r="AO218" s="12">
        <f t="shared" si="271"/>
        <v>0</v>
      </c>
      <c r="AP218" s="12">
        <f t="shared" si="272"/>
        <v>0</v>
      </c>
      <c r="AQ218" s="12">
        <f t="shared" si="273"/>
        <v>0</v>
      </c>
      <c r="AR218" s="12">
        <f t="shared" si="274"/>
        <v>0</v>
      </c>
      <c r="AS218" s="12">
        <f t="shared" si="275"/>
        <v>0</v>
      </c>
      <c r="AT218" s="12">
        <f t="shared" si="185"/>
        <v>0</v>
      </c>
      <c r="AU218" s="12">
        <f>IF(R218=0,0,1)</f>
        <v>0</v>
      </c>
      <c r="AV218" s="12">
        <f t="shared" si="186"/>
        <v>0</v>
      </c>
    </row>
    <row r="219" spans="1:48" s="34" customFormat="1" ht="33" hidden="1" x14ac:dyDescent="0.25">
      <c r="A219" s="28" t="s">
        <v>554</v>
      </c>
      <c r="B219" s="29" t="s">
        <v>555</v>
      </c>
      <c r="C219" s="30"/>
      <c r="D219" s="30"/>
      <c r="E219" s="30"/>
      <c r="F219" s="30"/>
      <c r="G219" s="31">
        <f>G220+G228</f>
        <v>462133</v>
      </c>
      <c r="H219" s="31">
        <f t="shared" ref="H219:U219" si="281">H220+H228</f>
        <v>427133</v>
      </c>
      <c r="I219" s="31">
        <f t="shared" si="281"/>
        <v>121703</v>
      </c>
      <c r="J219" s="31">
        <f t="shared" si="281"/>
        <v>91682</v>
      </c>
      <c r="K219" s="31">
        <f t="shared" si="281"/>
        <v>121703</v>
      </c>
      <c r="L219" s="31">
        <f t="shared" si="281"/>
        <v>91682</v>
      </c>
      <c r="M219" s="31">
        <f t="shared" si="281"/>
        <v>150000</v>
      </c>
      <c r="N219" s="31">
        <f t="shared" si="281"/>
        <v>150000</v>
      </c>
      <c r="O219" s="31">
        <f t="shared" si="281"/>
        <v>75000</v>
      </c>
      <c r="P219" s="31">
        <f t="shared" si="281"/>
        <v>75000</v>
      </c>
      <c r="Q219" s="31">
        <f t="shared" si="281"/>
        <v>0</v>
      </c>
      <c r="R219" s="31">
        <f t="shared" si="281"/>
        <v>0</v>
      </c>
      <c r="S219" s="31">
        <f t="shared" si="281"/>
        <v>75000</v>
      </c>
      <c r="T219" s="31">
        <f t="shared" si="281"/>
        <v>75000</v>
      </c>
      <c r="U219" s="31">
        <f t="shared" si="281"/>
        <v>8139</v>
      </c>
      <c r="V219" s="31">
        <f>V220+V228</f>
        <v>8139</v>
      </c>
      <c r="W219" s="31">
        <f t="shared" ref="W219:AA219" si="282">W220+W228</f>
        <v>4150</v>
      </c>
      <c r="X219" s="31">
        <f>X220+X228</f>
        <v>4150</v>
      </c>
      <c r="Y219" s="31">
        <f t="shared" ref="Y219" si="283">Y220+Y228</f>
        <v>12000</v>
      </c>
      <c r="Z219" s="31">
        <f>Z220+Z228</f>
        <v>12000</v>
      </c>
      <c r="AA219" s="31">
        <f t="shared" si="282"/>
        <v>23410</v>
      </c>
      <c r="AB219" s="31">
        <f>AB220+AB228</f>
        <v>23410</v>
      </c>
      <c r="AC219" s="31">
        <f t="shared" ref="AC219:AG219" si="284">AC220+AC228</f>
        <v>21590</v>
      </c>
      <c r="AD219" s="31">
        <f>AD220+AD228</f>
        <v>21590</v>
      </c>
      <c r="AE219" s="31">
        <f t="shared" ref="AE219" si="285">AE220+AE228</f>
        <v>0</v>
      </c>
      <c r="AF219" s="31">
        <f>AF220+AF228</f>
        <v>0</v>
      </c>
      <c r="AG219" s="31">
        <f t="shared" si="284"/>
        <v>0</v>
      </c>
      <c r="AH219" s="31">
        <f>AH220+AH228</f>
        <v>0</v>
      </c>
      <c r="AI219" s="32"/>
      <c r="AJ219" s="19">
        <f t="shared" si="278"/>
        <v>0</v>
      </c>
      <c r="AK219" s="22"/>
      <c r="AL219" s="22"/>
      <c r="AM219" s="12"/>
      <c r="AN219" s="12"/>
      <c r="AO219" s="12"/>
      <c r="AP219" s="12">
        <f t="shared" si="272"/>
        <v>0</v>
      </c>
      <c r="AQ219" s="12"/>
      <c r="AR219" s="12">
        <f t="shared" si="274"/>
        <v>0</v>
      </c>
      <c r="AS219" s="12"/>
      <c r="AT219" s="12">
        <f t="shared" si="185"/>
        <v>0</v>
      </c>
      <c r="AU219" s="12"/>
      <c r="AV219" s="12">
        <f t="shared" si="186"/>
        <v>0</v>
      </c>
    </row>
    <row r="220" spans="1:48" s="42" customFormat="1" ht="51.75" hidden="1" x14ac:dyDescent="0.25">
      <c r="A220" s="35" t="s">
        <v>45</v>
      </c>
      <c r="B220" s="36" t="s">
        <v>46</v>
      </c>
      <c r="C220" s="37"/>
      <c r="D220" s="37"/>
      <c r="E220" s="37"/>
      <c r="F220" s="37"/>
      <c r="G220" s="38">
        <f>G221</f>
        <v>285000</v>
      </c>
      <c r="H220" s="38">
        <f t="shared" ref="H220:P220" si="286">H221</f>
        <v>250000</v>
      </c>
      <c r="I220" s="38">
        <f t="shared" si="286"/>
        <v>121703</v>
      </c>
      <c r="J220" s="38">
        <f t="shared" si="286"/>
        <v>91682</v>
      </c>
      <c r="K220" s="38">
        <f t="shared" si="286"/>
        <v>121703</v>
      </c>
      <c r="L220" s="38">
        <f t="shared" si="286"/>
        <v>91682</v>
      </c>
      <c r="M220" s="38">
        <f t="shared" si="286"/>
        <v>25000</v>
      </c>
      <c r="N220" s="38">
        <f t="shared" si="286"/>
        <v>25000</v>
      </c>
      <c r="O220" s="38">
        <f t="shared" si="286"/>
        <v>25000</v>
      </c>
      <c r="P220" s="38">
        <f t="shared" si="286"/>
        <v>25000</v>
      </c>
      <c r="Q220" s="39"/>
      <c r="R220" s="39"/>
      <c r="S220" s="38">
        <f t="shared" ref="S220:AH220" si="287">S221</f>
        <v>25000</v>
      </c>
      <c r="T220" s="38">
        <f t="shared" si="287"/>
        <v>25000</v>
      </c>
      <c r="U220" s="38">
        <f t="shared" si="287"/>
        <v>7260</v>
      </c>
      <c r="V220" s="38">
        <f t="shared" si="287"/>
        <v>7260</v>
      </c>
      <c r="W220" s="38">
        <f t="shared" si="287"/>
        <v>4150</v>
      </c>
      <c r="X220" s="38">
        <f t="shared" si="287"/>
        <v>4150</v>
      </c>
      <c r="Y220" s="38">
        <f t="shared" si="287"/>
        <v>6000</v>
      </c>
      <c r="Z220" s="38">
        <f t="shared" si="287"/>
        <v>6000</v>
      </c>
      <c r="AA220" s="38">
        <f t="shared" si="287"/>
        <v>17410</v>
      </c>
      <c r="AB220" s="38">
        <f t="shared" si="287"/>
        <v>17410</v>
      </c>
      <c r="AC220" s="38">
        <f t="shared" si="287"/>
        <v>7590</v>
      </c>
      <c r="AD220" s="38">
        <f t="shared" si="287"/>
        <v>7590</v>
      </c>
      <c r="AE220" s="38">
        <f t="shared" si="287"/>
        <v>0</v>
      </c>
      <c r="AF220" s="38">
        <f t="shared" si="287"/>
        <v>0</v>
      </c>
      <c r="AG220" s="38">
        <f t="shared" si="287"/>
        <v>0</v>
      </c>
      <c r="AH220" s="38">
        <f t="shared" si="287"/>
        <v>0</v>
      </c>
      <c r="AI220" s="40"/>
      <c r="AJ220" s="19">
        <f t="shared" si="278"/>
        <v>0</v>
      </c>
      <c r="AK220" s="22"/>
      <c r="AL220" s="22"/>
      <c r="AM220" s="12"/>
      <c r="AN220" s="12"/>
      <c r="AO220" s="12"/>
      <c r="AP220" s="12">
        <f t="shared" si="272"/>
        <v>0</v>
      </c>
      <c r="AQ220" s="12"/>
      <c r="AR220" s="12">
        <f t="shared" si="274"/>
        <v>0</v>
      </c>
      <c r="AS220" s="12"/>
      <c r="AT220" s="12">
        <f t="shared" si="185"/>
        <v>0</v>
      </c>
      <c r="AU220" s="12"/>
      <c r="AV220" s="12">
        <f t="shared" si="186"/>
        <v>0</v>
      </c>
    </row>
    <row r="221" spans="1:48" s="49" customFormat="1" ht="34.5" hidden="1" x14ac:dyDescent="0.25">
      <c r="A221" s="43" t="s">
        <v>47</v>
      </c>
      <c r="B221" s="44" t="s">
        <v>48</v>
      </c>
      <c r="C221" s="45"/>
      <c r="D221" s="45"/>
      <c r="E221" s="45"/>
      <c r="F221" s="45"/>
      <c r="G221" s="46">
        <f t="shared" ref="G221:M221" si="288">G224</f>
        <v>285000</v>
      </c>
      <c r="H221" s="46">
        <f t="shared" si="288"/>
        <v>250000</v>
      </c>
      <c r="I221" s="46">
        <f t="shared" si="288"/>
        <v>121703</v>
      </c>
      <c r="J221" s="46">
        <f t="shared" si="288"/>
        <v>91682</v>
      </c>
      <c r="K221" s="46">
        <f t="shared" si="288"/>
        <v>121703</v>
      </c>
      <c r="L221" s="46">
        <f t="shared" si="288"/>
        <v>91682</v>
      </c>
      <c r="M221" s="46">
        <f t="shared" si="288"/>
        <v>25000</v>
      </c>
      <c r="N221" s="46">
        <f>N224</f>
        <v>25000</v>
      </c>
      <c r="O221" s="46">
        <f t="shared" ref="O221" si="289">O224</f>
        <v>25000</v>
      </c>
      <c r="P221" s="46">
        <f>P224</f>
        <v>25000</v>
      </c>
      <c r="Q221" s="94"/>
      <c r="R221" s="94"/>
      <c r="S221" s="46">
        <f t="shared" ref="S221" si="290">S224</f>
        <v>25000</v>
      </c>
      <c r="T221" s="46">
        <f>T224</f>
        <v>25000</v>
      </c>
      <c r="U221" s="46">
        <f t="shared" ref="U221" si="291">U224</f>
        <v>7260</v>
      </c>
      <c r="V221" s="46">
        <f>V224</f>
        <v>7260</v>
      </c>
      <c r="W221" s="46">
        <f t="shared" ref="W221:AA221" si="292">W224</f>
        <v>4150</v>
      </c>
      <c r="X221" s="46">
        <f>X224</f>
        <v>4150</v>
      </c>
      <c r="Y221" s="46">
        <f t="shared" ref="Y221" si="293">Y224</f>
        <v>6000</v>
      </c>
      <c r="Z221" s="46">
        <f>Z224</f>
        <v>6000</v>
      </c>
      <c r="AA221" s="46">
        <f t="shared" si="292"/>
        <v>17410</v>
      </c>
      <c r="AB221" s="46">
        <f>AB224</f>
        <v>17410</v>
      </c>
      <c r="AC221" s="46">
        <f t="shared" ref="AC221:AG221" si="294">AC224</f>
        <v>7590</v>
      </c>
      <c r="AD221" s="46">
        <f>AD224</f>
        <v>7590</v>
      </c>
      <c r="AE221" s="46">
        <f t="shared" ref="AE221" si="295">AE224</f>
        <v>0</v>
      </c>
      <c r="AF221" s="46">
        <f>AF224</f>
        <v>0</v>
      </c>
      <c r="AG221" s="46">
        <f t="shared" si="294"/>
        <v>0</v>
      </c>
      <c r="AH221" s="46">
        <f>AH224</f>
        <v>0</v>
      </c>
      <c r="AI221" s="47"/>
      <c r="AJ221" s="19">
        <f t="shared" si="278"/>
        <v>0</v>
      </c>
      <c r="AK221" s="22"/>
      <c r="AL221" s="22"/>
      <c r="AM221" s="12"/>
      <c r="AN221" s="12"/>
      <c r="AO221" s="12"/>
      <c r="AP221" s="12">
        <f t="shared" si="272"/>
        <v>0</v>
      </c>
      <c r="AQ221" s="12"/>
      <c r="AR221" s="12">
        <f t="shared" si="274"/>
        <v>0</v>
      </c>
      <c r="AS221" s="12"/>
      <c r="AT221" s="12">
        <f t="shared" si="185"/>
        <v>0</v>
      </c>
      <c r="AU221" s="12"/>
      <c r="AV221" s="12">
        <f t="shared" si="186"/>
        <v>0</v>
      </c>
    </row>
    <row r="222" spans="1:48" ht="17.25" hidden="1" x14ac:dyDescent="0.25">
      <c r="A222" s="50"/>
      <c r="B222" s="51" t="s">
        <v>49</v>
      </c>
      <c r="C222" s="52"/>
      <c r="D222" s="52"/>
      <c r="E222" s="52"/>
      <c r="F222" s="52"/>
      <c r="G222" s="53"/>
      <c r="H222" s="53"/>
      <c r="I222" s="53"/>
      <c r="J222" s="53"/>
      <c r="K222" s="53"/>
      <c r="L222" s="53"/>
      <c r="M222" s="53"/>
      <c r="N222" s="53"/>
      <c r="O222" s="53"/>
      <c r="P222" s="53"/>
      <c r="Q222" s="54"/>
      <c r="R222" s="54"/>
      <c r="S222" s="53"/>
      <c r="T222" s="53"/>
      <c r="U222" s="63"/>
      <c r="V222" s="63"/>
      <c r="W222" s="63"/>
      <c r="X222" s="63"/>
      <c r="Y222" s="63"/>
      <c r="Z222" s="63"/>
      <c r="AA222" s="63"/>
      <c r="AB222" s="63"/>
      <c r="AC222" s="63"/>
      <c r="AD222" s="63"/>
      <c r="AE222" s="63"/>
      <c r="AF222" s="63"/>
      <c r="AG222" s="63"/>
      <c r="AH222" s="63"/>
      <c r="AI222" s="55"/>
      <c r="AJ222" s="19">
        <f t="shared" si="278"/>
        <v>0</v>
      </c>
      <c r="AK222" s="22"/>
      <c r="AL222" s="22"/>
      <c r="AP222" s="12">
        <f t="shared" si="272"/>
        <v>0</v>
      </c>
      <c r="AR222" s="12">
        <f t="shared" si="274"/>
        <v>0</v>
      </c>
      <c r="AT222" s="12">
        <f t="shared" si="185"/>
        <v>0</v>
      </c>
      <c r="AV222" s="12">
        <f t="shared" si="186"/>
        <v>0</v>
      </c>
    </row>
    <row r="223" spans="1:48" ht="69" hidden="1" x14ac:dyDescent="0.25">
      <c r="A223" s="50"/>
      <c r="B223" s="56" t="s">
        <v>50</v>
      </c>
      <c r="C223" s="57"/>
      <c r="D223" s="57"/>
      <c r="E223" s="57"/>
      <c r="F223" s="57"/>
      <c r="G223" s="58"/>
      <c r="H223" s="58"/>
      <c r="I223" s="58"/>
      <c r="J223" s="58"/>
      <c r="K223" s="58"/>
      <c r="L223" s="58"/>
      <c r="M223" s="58"/>
      <c r="N223" s="58"/>
      <c r="O223" s="58"/>
      <c r="P223" s="58"/>
      <c r="Q223" s="54"/>
      <c r="R223" s="54"/>
      <c r="S223" s="58"/>
      <c r="T223" s="58"/>
      <c r="U223" s="63"/>
      <c r="V223" s="63"/>
      <c r="W223" s="63"/>
      <c r="X223" s="63"/>
      <c r="Y223" s="63"/>
      <c r="Z223" s="63"/>
      <c r="AA223" s="63"/>
      <c r="AB223" s="63"/>
      <c r="AC223" s="63"/>
      <c r="AD223" s="63"/>
      <c r="AE223" s="63"/>
      <c r="AF223" s="63"/>
      <c r="AG223" s="63"/>
      <c r="AH223" s="63"/>
      <c r="AI223" s="59"/>
      <c r="AJ223" s="19">
        <f t="shared" si="278"/>
        <v>0</v>
      </c>
      <c r="AK223" s="22"/>
      <c r="AL223" s="22"/>
      <c r="AP223" s="12">
        <f t="shared" si="272"/>
        <v>0</v>
      </c>
      <c r="AR223" s="12">
        <f t="shared" si="274"/>
        <v>0</v>
      </c>
      <c r="AT223" s="12">
        <f t="shared" ref="AT223:AT286" si="296">IF(AS223=1,Q223,0)</f>
        <v>0</v>
      </c>
      <c r="AV223" s="12">
        <f t="shared" ref="AV223:AV251" si="297">IF(AU223=1,R223,0)</f>
        <v>0</v>
      </c>
    </row>
    <row r="224" spans="1:48" ht="115.5" hidden="1" x14ac:dyDescent="0.25">
      <c r="A224" s="60">
        <v>1</v>
      </c>
      <c r="B224" s="9" t="s">
        <v>556</v>
      </c>
      <c r="C224" s="61" t="s">
        <v>557</v>
      </c>
      <c r="D224" s="61"/>
      <c r="E224" s="61" t="s">
        <v>558</v>
      </c>
      <c r="F224" s="61" t="s">
        <v>559</v>
      </c>
      <c r="G224" s="80">
        <v>285000</v>
      </c>
      <c r="H224" s="80">
        <v>250000</v>
      </c>
      <c r="I224" s="63">
        <f>84521+18538+13290+5003+351</f>
        <v>121703</v>
      </c>
      <c r="J224" s="63">
        <f>84521-30021+18538+13290+5003+351</f>
        <v>91682</v>
      </c>
      <c r="K224" s="63">
        <f>I224</f>
        <v>121703</v>
      </c>
      <c r="L224" s="63">
        <f>J224</f>
        <v>91682</v>
      </c>
      <c r="M224" s="68">
        <f>N224</f>
        <v>25000</v>
      </c>
      <c r="N224" s="63">
        <v>25000</v>
      </c>
      <c r="O224" s="68">
        <f>P224</f>
        <v>25000</v>
      </c>
      <c r="P224" s="63">
        <v>25000</v>
      </c>
      <c r="Q224" s="54"/>
      <c r="R224" s="54"/>
      <c r="S224" s="68">
        <f>T224</f>
        <v>25000</v>
      </c>
      <c r="T224" s="63">
        <v>25000</v>
      </c>
      <c r="U224" s="63">
        <v>7260</v>
      </c>
      <c r="V224" s="63">
        <v>7260</v>
      </c>
      <c r="W224" s="63">
        <f>X224</f>
        <v>4150</v>
      </c>
      <c r="X224" s="63">
        <v>4150</v>
      </c>
      <c r="Y224" s="63">
        <f>Z224</f>
        <v>6000</v>
      </c>
      <c r="Z224" s="63">
        <v>6000</v>
      </c>
      <c r="AA224" s="63">
        <f t="shared" ref="AA224:AB224" si="298">U224+W224+Y224</f>
        <v>17410</v>
      </c>
      <c r="AB224" s="63">
        <f t="shared" si="298"/>
        <v>17410</v>
      </c>
      <c r="AC224" s="63">
        <f>O224-AA224</f>
        <v>7590</v>
      </c>
      <c r="AD224" s="63">
        <f>P224-AB224</f>
        <v>7590</v>
      </c>
      <c r="AE224" s="63">
        <f t="shared" ref="AE224" si="299">AF224</f>
        <v>0</v>
      </c>
      <c r="AF224" s="63">
        <f t="shared" ref="AF224" si="300">IF(AB224=0,AD224,0)</f>
        <v>0</v>
      </c>
      <c r="AG224" s="63"/>
      <c r="AH224" s="63"/>
      <c r="AI224" s="69"/>
      <c r="AJ224" s="19">
        <f t="shared" si="278"/>
        <v>0</v>
      </c>
      <c r="AK224" s="22">
        <f t="shared" si="230"/>
        <v>0</v>
      </c>
      <c r="AL224" s="22"/>
      <c r="AM224" s="12">
        <f>IF(AJ224=0,1,0)</f>
        <v>1</v>
      </c>
      <c r="AO224" s="12">
        <f>IF(P224=0,1,0)</f>
        <v>0</v>
      </c>
      <c r="AP224" s="12">
        <f t="shared" si="272"/>
        <v>0</v>
      </c>
      <c r="AQ224" s="12">
        <f>IF(N224=0,1,0)</f>
        <v>0</v>
      </c>
      <c r="AR224" s="12">
        <f t="shared" si="274"/>
        <v>0</v>
      </c>
      <c r="AS224" s="12">
        <f>IF(Q224=0,0,1)</f>
        <v>0</v>
      </c>
      <c r="AT224" s="12">
        <f t="shared" si="296"/>
        <v>0</v>
      </c>
      <c r="AU224" s="12">
        <f>IF(R224=0,0,1)</f>
        <v>0</v>
      </c>
      <c r="AV224" s="12">
        <f t="shared" si="297"/>
        <v>0</v>
      </c>
    </row>
    <row r="225" spans="1:48" ht="47.25" hidden="1" x14ac:dyDescent="0.25">
      <c r="A225" s="60"/>
      <c r="B225" s="113" t="s">
        <v>560</v>
      </c>
      <c r="C225" s="114" t="s">
        <v>52</v>
      </c>
      <c r="D225" s="115" t="s">
        <v>561</v>
      </c>
      <c r="E225" s="83">
        <v>2016</v>
      </c>
      <c r="F225" s="114" t="s">
        <v>562</v>
      </c>
      <c r="G225" s="116">
        <v>1360</v>
      </c>
      <c r="H225" s="80"/>
      <c r="I225" s="63">
        <f t="shared" ref="I225:K226" si="301">J225</f>
        <v>300</v>
      </c>
      <c r="J225" s="86">
        <v>300</v>
      </c>
      <c r="K225" s="63">
        <f t="shared" si="301"/>
        <v>300</v>
      </c>
      <c r="L225" s="86">
        <v>300</v>
      </c>
      <c r="M225" s="68">
        <f>N225</f>
        <v>300</v>
      </c>
      <c r="N225" s="86">
        <f>I225</f>
        <v>300</v>
      </c>
      <c r="O225" s="68">
        <f>P225</f>
        <v>1049</v>
      </c>
      <c r="P225" s="86">
        <v>1049</v>
      </c>
      <c r="Q225" s="54"/>
      <c r="R225" s="54"/>
      <c r="S225" s="68">
        <f>T225</f>
        <v>1049</v>
      </c>
      <c r="T225" s="86">
        <v>1049</v>
      </c>
      <c r="U225" s="63"/>
      <c r="V225" s="63"/>
      <c r="W225" s="63"/>
      <c r="X225" s="63"/>
      <c r="Y225" s="63"/>
      <c r="Z225" s="63"/>
      <c r="AA225" s="63"/>
      <c r="AB225" s="63"/>
      <c r="AC225" s="63"/>
      <c r="AD225" s="63"/>
      <c r="AE225" s="63"/>
      <c r="AF225" s="63"/>
      <c r="AG225" s="63"/>
      <c r="AH225" s="63"/>
      <c r="AI225" s="69"/>
      <c r="AJ225" s="19">
        <f t="shared" si="278"/>
        <v>0</v>
      </c>
      <c r="AK225" s="22">
        <f t="shared" si="230"/>
        <v>0</v>
      </c>
      <c r="AL225" s="22"/>
      <c r="AM225" s="12">
        <f>IF(AJ225=0,1,0)</f>
        <v>1</v>
      </c>
      <c r="AO225" s="12">
        <f>IF(P225=0,1,0)</f>
        <v>0</v>
      </c>
      <c r="AP225" s="12">
        <f t="shared" si="272"/>
        <v>0</v>
      </c>
      <c r="AQ225" s="12">
        <f>IF(N225=0,1,0)</f>
        <v>0</v>
      </c>
      <c r="AR225" s="12">
        <f t="shared" si="274"/>
        <v>0</v>
      </c>
      <c r="AS225" s="12">
        <f>IF(Q225=0,0,1)</f>
        <v>0</v>
      </c>
      <c r="AT225" s="12">
        <f t="shared" si="296"/>
        <v>0</v>
      </c>
      <c r="AU225" s="12">
        <f>IF(R225=0,0,1)</f>
        <v>0</v>
      </c>
      <c r="AV225" s="12">
        <f t="shared" si="297"/>
        <v>0</v>
      </c>
    </row>
    <row r="226" spans="1:48" ht="110.25" hidden="1" x14ac:dyDescent="0.25">
      <c r="A226" s="60"/>
      <c r="B226" s="117" t="s">
        <v>563</v>
      </c>
      <c r="C226" s="114" t="s">
        <v>52</v>
      </c>
      <c r="D226" s="61"/>
      <c r="E226" s="114" t="s">
        <v>564</v>
      </c>
      <c r="F226" s="114" t="s">
        <v>565</v>
      </c>
      <c r="G226" s="116">
        <v>17941</v>
      </c>
      <c r="H226" s="80"/>
      <c r="I226" s="63">
        <f t="shared" si="301"/>
        <v>10150</v>
      </c>
      <c r="J226" s="116">
        <f>9000+1150</f>
        <v>10150</v>
      </c>
      <c r="K226" s="63">
        <f t="shared" si="301"/>
        <v>10150</v>
      </c>
      <c r="L226" s="116">
        <f>9000+1150</f>
        <v>10150</v>
      </c>
      <c r="M226" s="68">
        <f>N226</f>
        <v>7790</v>
      </c>
      <c r="N226" s="86">
        <v>7790</v>
      </c>
      <c r="O226" s="68">
        <f>P226</f>
        <v>5246</v>
      </c>
      <c r="P226" s="86">
        <v>5246</v>
      </c>
      <c r="Q226" s="54"/>
      <c r="R226" s="54"/>
      <c r="S226" s="68">
        <f>T226</f>
        <v>5246</v>
      </c>
      <c r="T226" s="86">
        <v>5246</v>
      </c>
      <c r="U226" s="63"/>
      <c r="V226" s="63"/>
      <c r="W226" s="63"/>
      <c r="X226" s="63"/>
      <c r="Y226" s="63"/>
      <c r="Z226" s="63"/>
      <c r="AA226" s="63"/>
      <c r="AB226" s="63"/>
      <c r="AC226" s="63"/>
      <c r="AD226" s="63"/>
      <c r="AE226" s="63"/>
      <c r="AF226" s="63"/>
      <c r="AG226" s="63"/>
      <c r="AH226" s="63"/>
      <c r="AI226" s="69"/>
      <c r="AJ226" s="19">
        <f t="shared" si="278"/>
        <v>0</v>
      </c>
      <c r="AK226" s="22">
        <f t="shared" si="230"/>
        <v>0</v>
      </c>
      <c r="AL226" s="22"/>
      <c r="AM226" s="12">
        <f>IF(AJ226=0,1,0)</f>
        <v>1</v>
      </c>
      <c r="AO226" s="12">
        <f>IF(P226=0,1,0)</f>
        <v>0</v>
      </c>
      <c r="AP226" s="12">
        <f t="shared" si="272"/>
        <v>0</v>
      </c>
      <c r="AQ226" s="12">
        <f>IF(N226=0,1,0)</f>
        <v>0</v>
      </c>
      <c r="AR226" s="12">
        <f t="shared" si="274"/>
        <v>0</v>
      </c>
      <c r="AS226" s="12">
        <f>IF(Q226=0,0,1)</f>
        <v>0</v>
      </c>
      <c r="AT226" s="12">
        <f t="shared" si="296"/>
        <v>0</v>
      </c>
      <c r="AU226" s="12">
        <f>IF(R226=0,0,1)</f>
        <v>0</v>
      </c>
      <c r="AV226" s="12">
        <f t="shared" si="297"/>
        <v>0</v>
      </c>
    </row>
    <row r="227" spans="1:48" ht="47.25" hidden="1" x14ac:dyDescent="0.25">
      <c r="A227" s="60"/>
      <c r="B227" s="113" t="s">
        <v>566</v>
      </c>
      <c r="C227" s="114" t="s">
        <v>52</v>
      </c>
      <c r="D227" s="61"/>
      <c r="E227" s="83">
        <v>2016</v>
      </c>
      <c r="F227" s="114" t="s">
        <v>567</v>
      </c>
      <c r="G227" s="116">
        <v>3067</v>
      </c>
      <c r="H227" s="80"/>
      <c r="I227" s="63"/>
      <c r="J227" s="63"/>
      <c r="K227" s="63"/>
      <c r="L227" s="63"/>
      <c r="M227" s="68">
        <f>N227</f>
        <v>3100</v>
      </c>
      <c r="N227" s="86">
        <v>3100</v>
      </c>
      <c r="O227" s="68">
        <f>P227</f>
        <v>3100</v>
      </c>
      <c r="P227" s="86">
        <v>3100</v>
      </c>
      <c r="Q227" s="54"/>
      <c r="R227" s="54"/>
      <c r="S227" s="68">
        <f>T227</f>
        <v>3100</v>
      </c>
      <c r="T227" s="86">
        <v>3100</v>
      </c>
      <c r="U227" s="26"/>
      <c r="V227" s="26"/>
      <c r="W227" s="26"/>
      <c r="X227" s="26"/>
      <c r="Y227" s="26"/>
      <c r="Z227" s="26"/>
      <c r="AA227" s="26"/>
      <c r="AB227" s="26"/>
      <c r="AC227" s="26"/>
      <c r="AD227" s="26"/>
      <c r="AE227" s="26"/>
      <c r="AF227" s="26"/>
      <c r="AG227" s="26"/>
      <c r="AH227" s="26"/>
      <c r="AI227" s="69"/>
      <c r="AJ227" s="19">
        <f t="shared" si="278"/>
        <v>0</v>
      </c>
      <c r="AK227" s="22">
        <f t="shared" si="230"/>
        <v>0</v>
      </c>
      <c r="AL227" s="22"/>
      <c r="AM227" s="12">
        <f>IF(AJ227=0,1,0)</f>
        <v>1</v>
      </c>
      <c r="AO227" s="12">
        <f>IF(P227=0,1,0)</f>
        <v>0</v>
      </c>
      <c r="AP227" s="12">
        <f t="shared" si="272"/>
        <v>0</v>
      </c>
      <c r="AQ227" s="12">
        <f>IF(N227=0,1,0)</f>
        <v>0</v>
      </c>
      <c r="AR227" s="12">
        <f t="shared" si="274"/>
        <v>0</v>
      </c>
      <c r="AS227" s="12">
        <f>IF(Q227=0,0,1)</f>
        <v>0</v>
      </c>
      <c r="AT227" s="12">
        <f t="shared" si="296"/>
        <v>0</v>
      </c>
      <c r="AU227" s="12">
        <f>IF(R227=0,0,1)</f>
        <v>0</v>
      </c>
      <c r="AV227" s="12">
        <f t="shared" si="297"/>
        <v>0</v>
      </c>
    </row>
    <row r="228" spans="1:48" s="42" customFormat="1" ht="34.5" hidden="1" x14ac:dyDescent="0.25">
      <c r="A228" s="35" t="s">
        <v>85</v>
      </c>
      <c r="B228" s="36" t="s">
        <v>86</v>
      </c>
      <c r="C228" s="37"/>
      <c r="D228" s="37"/>
      <c r="E228" s="37"/>
      <c r="F228" s="37"/>
      <c r="G228" s="38">
        <f>G229</f>
        <v>177133</v>
      </c>
      <c r="H228" s="38">
        <f t="shared" ref="H228:AH228" si="302">H229</f>
        <v>177133</v>
      </c>
      <c r="I228" s="38">
        <f t="shared" si="302"/>
        <v>0</v>
      </c>
      <c r="J228" s="38">
        <f t="shared" si="302"/>
        <v>0</v>
      </c>
      <c r="K228" s="38">
        <f t="shared" si="302"/>
        <v>0</v>
      </c>
      <c r="L228" s="38">
        <f t="shared" si="302"/>
        <v>0</v>
      </c>
      <c r="M228" s="38">
        <f t="shared" si="302"/>
        <v>125000</v>
      </c>
      <c r="N228" s="38">
        <f t="shared" si="302"/>
        <v>125000</v>
      </c>
      <c r="O228" s="38">
        <f t="shared" si="302"/>
        <v>50000</v>
      </c>
      <c r="P228" s="38">
        <f t="shared" si="302"/>
        <v>50000</v>
      </c>
      <c r="Q228" s="38">
        <f t="shared" si="302"/>
        <v>0</v>
      </c>
      <c r="R228" s="38">
        <f t="shared" si="302"/>
        <v>0</v>
      </c>
      <c r="S228" s="38">
        <f t="shared" si="302"/>
        <v>50000</v>
      </c>
      <c r="T228" s="38">
        <f t="shared" si="302"/>
        <v>50000</v>
      </c>
      <c r="U228" s="38">
        <f t="shared" si="302"/>
        <v>879</v>
      </c>
      <c r="V228" s="38">
        <f t="shared" si="302"/>
        <v>879</v>
      </c>
      <c r="W228" s="38">
        <f t="shared" si="302"/>
        <v>0</v>
      </c>
      <c r="X228" s="38">
        <f t="shared" si="302"/>
        <v>0</v>
      </c>
      <c r="Y228" s="38">
        <f t="shared" si="302"/>
        <v>6000</v>
      </c>
      <c r="Z228" s="38">
        <f t="shared" si="302"/>
        <v>6000</v>
      </c>
      <c r="AA228" s="38">
        <f t="shared" si="302"/>
        <v>6000</v>
      </c>
      <c r="AB228" s="38">
        <f t="shared" si="302"/>
        <v>6000</v>
      </c>
      <c r="AC228" s="38">
        <f t="shared" si="302"/>
        <v>14000</v>
      </c>
      <c r="AD228" s="38">
        <f t="shared" si="302"/>
        <v>14000</v>
      </c>
      <c r="AE228" s="38">
        <f t="shared" si="302"/>
        <v>0</v>
      </c>
      <c r="AF228" s="38">
        <f t="shared" si="302"/>
        <v>0</v>
      </c>
      <c r="AG228" s="38">
        <f t="shared" si="302"/>
        <v>0</v>
      </c>
      <c r="AH228" s="38">
        <f t="shared" si="302"/>
        <v>0</v>
      </c>
      <c r="AI228" s="40"/>
      <c r="AJ228" s="19">
        <f t="shared" si="278"/>
        <v>0</v>
      </c>
      <c r="AK228" s="22"/>
      <c r="AL228" s="22"/>
      <c r="AM228" s="12"/>
      <c r="AN228" s="12"/>
      <c r="AO228" s="12"/>
      <c r="AP228" s="12">
        <f t="shared" si="272"/>
        <v>0</v>
      </c>
      <c r="AQ228" s="12"/>
      <c r="AR228" s="12">
        <f t="shared" si="274"/>
        <v>0</v>
      </c>
      <c r="AS228" s="12"/>
      <c r="AT228" s="12">
        <f t="shared" si="296"/>
        <v>0</v>
      </c>
      <c r="AU228" s="12"/>
      <c r="AV228" s="12">
        <f t="shared" si="297"/>
        <v>0</v>
      </c>
    </row>
    <row r="229" spans="1:48" s="49" customFormat="1" ht="51.75" hidden="1" x14ac:dyDescent="0.25">
      <c r="A229" s="43" t="s">
        <v>87</v>
      </c>
      <c r="B229" s="44" t="s">
        <v>88</v>
      </c>
      <c r="C229" s="72"/>
      <c r="D229" s="72"/>
      <c r="E229" s="72"/>
      <c r="F229" s="72"/>
      <c r="G229" s="46">
        <f>SUM(G230:G235)</f>
        <v>177133</v>
      </c>
      <c r="H229" s="46">
        <f t="shared" ref="H229:AH229" si="303">SUM(H230:H235)</f>
        <v>177133</v>
      </c>
      <c r="I229" s="46">
        <f t="shared" si="303"/>
        <v>0</v>
      </c>
      <c r="J229" s="46">
        <f t="shared" si="303"/>
        <v>0</v>
      </c>
      <c r="K229" s="46">
        <f t="shared" si="303"/>
        <v>0</v>
      </c>
      <c r="L229" s="46">
        <f t="shared" si="303"/>
        <v>0</v>
      </c>
      <c r="M229" s="46">
        <f t="shared" si="303"/>
        <v>125000</v>
      </c>
      <c r="N229" s="46">
        <f t="shared" si="303"/>
        <v>125000</v>
      </c>
      <c r="O229" s="46">
        <f t="shared" si="303"/>
        <v>50000</v>
      </c>
      <c r="P229" s="46">
        <f t="shared" si="303"/>
        <v>50000</v>
      </c>
      <c r="Q229" s="46">
        <f t="shared" si="303"/>
        <v>0</v>
      </c>
      <c r="R229" s="46">
        <f t="shared" si="303"/>
        <v>0</v>
      </c>
      <c r="S229" s="46">
        <f t="shared" si="303"/>
        <v>50000</v>
      </c>
      <c r="T229" s="46">
        <f t="shared" si="303"/>
        <v>50000</v>
      </c>
      <c r="U229" s="46">
        <f t="shared" si="303"/>
        <v>879</v>
      </c>
      <c r="V229" s="46">
        <f t="shared" si="303"/>
        <v>879</v>
      </c>
      <c r="W229" s="46">
        <f t="shared" si="303"/>
        <v>0</v>
      </c>
      <c r="X229" s="46">
        <f t="shared" si="303"/>
        <v>0</v>
      </c>
      <c r="Y229" s="46">
        <f t="shared" si="303"/>
        <v>6000</v>
      </c>
      <c r="Z229" s="46">
        <f t="shared" si="303"/>
        <v>6000</v>
      </c>
      <c r="AA229" s="46">
        <f t="shared" si="303"/>
        <v>6000</v>
      </c>
      <c r="AB229" s="46">
        <f t="shared" si="303"/>
        <v>6000</v>
      </c>
      <c r="AC229" s="46">
        <f t="shared" si="303"/>
        <v>14000</v>
      </c>
      <c r="AD229" s="46">
        <f t="shared" si="303"/>
        <v>14000</v>
      </c>
      <c r="AE229" s="46">
        <f t="shared" si="303"/>
        <v>0</v>
      </c>
      <c r="AF229" s="46">
        <f t="shared" si="303"/>
        <v>0</v>
      </c>
      <c r="AG229" s="46">
        <f t="shared" si="303"/>
        <v>0</v>
      </c>
      <c r="AH229" s="46">
        <f t="shared" si="303"/>
        <v>0</v>
      </c>
      <c r="AI229" s="73"/>
      <c r="AJ229" s="19">
        <f t="shared" si="278"/>
        <v>0</v>
      </c>
      <c r="AK229" s="22"/>
      <c r="AL229" s="22"/>
      <c r="AM229" s="12"/>
      <c r="AN229" s="12"/>
      <c r="AO229" s="12"/>
      <c r="AP229" s="12">
        <f t="shared" si="272"/>
        <v>0</v>
      </c>
      <c r="AQ229" s="12"/>
      <c r="AR229" s="12">
        <f t="shared" si="274"/>
        <v>0</v>
      </c>
      <c r="AS229" s="12"/>
      <c r="AT229" s="12">
        <f t="shared" si="296"/>
        <v>0</v>
      </c>
      <c r="AU229" s="12"/>
      <c r="AV229" s="12">
        <f t="shared" si="297"/>
        <v>0</v>
      </c>
    </row>
    <row r="230" spans="1:48" ht="33" hidden="1" x14ac:dyDescent="0.25">
      <c r="A230" s="60">
        <v>2</v>
      </c>
      <c r="B230" s="9" t="s">
        <v>568</v>
      </c>
      <c r="C230" s="61" t="s">
        <v>569</v>
      </c>
      <c r="D230" s="61"/>
      <c r="E230" s="61" t="s">
        <v>101</v>
      </c>
      <c r="F230" s="61"/>
      <c r="G230" s="80">
        <v>22800</v>
      </c>
      <c r="H230" s="80">
        <f t="shared" ref="H230:H234" si="304">G230</f>
        <v>22800</v>
      </c>
      <c r="I230" s="63"/>
      <c r="J230" s="63"/>
      <c r="K230" s="63"/>
      <c r="L230" s="63"/>
      <c r="M230" s="68">
        <f t="shared" ref="M230:M235" si="305">N230</f>
        <v>20000</v>
      </c>
      <c r="N230" s="63">
        <v>20000</v>
      </c>
      <c r="O230" s="68">
        <f t="shared" ref="O230:O235" si="306">P230</f>
        <v>20000</v>
      </c>
      <c r="P230" s="63">
        <v>20000</v>
      </c>
      <c r="Q230" s="63"/>
      <c r="R230" s="63"/>
      <c r="S230" s="68">
        <f t="shared" ref="S230" si="307">T230</f>
        <v>20000</v>
      </c>
      <c r="T230" s="63">
        <v>20000</v>
      </c>
      <c r="U230" s="53"/>
      <c r="V230" s="53"/>
      <c r="W230" s="53"/>
      <c r="X230" s="53"/>
      <c r="Y230" s="53">
        <f>Z230</f>
        <v>6000</v>
      </c>
      <c r="Z230" s="53">
        <v>6000</v>
      </c>
      <c r="AA230" s="63">
        <f t="shared" ref="AA230:AB230" si="308">U230+W230+Y230</f>
        <v>6000</v>
      </c>
      <c r="AB230" s="63">
        <f t="shared" si="308"/>
        <v>6000</v>
      </c>
      <c r="AC230" s="63">
        <f>O230-AA230</f>
        <v>14000</v>
      </c>
      <c r="AD230" s="63">
        <f>P230-AB230</f>
        <v>14000</v>
      </c>
      <c r="AE230" s="63">
        <f t="shared" ref="AE230" si="309">AF230</f>
        <v>0</v>
      </c>
      <c r="AF230" s="63">
        <f t="shared" ref="AF230" si="310">IF(AB230=0,AD230,0)</f>
        <v>0</v>
      </c>
      <c r="AG230" s="53"/>
      <c r="AH230" s="53"/>
      <c r="AI230" s="69"/>
      <c r="AJ230" s="19">
        <f t="shared" si="278"/>
        <v>0</v>
      </c>
      <c r="AK230" s="22">
        <f t="shared" si="230"/>
        <v>0</v>
      </c>
      <c r="AL230" s="22"/>
      <c r="AM230" s="12">
        <f t="shared" ref="AM230:AM235" si="311">IF(AJ230=0,1,0)</f>
        <v>1</v>
      </c>
      <c r="AO230" s="12">
        <f t="shared" ref="AO230:AO235" si="312">IF(P230=0,1,0)</f>
        <v>0</v>
      </c>
      <c r="AP230" s="12">
        <f t="shared" si="272"/>
        <v>0</v>
      </c>
      <c r="AQ230" s="12">
        <f t="shared" ref="AQ230:AQ235" si="313">IF(N230=0,1,0)</f>
        <v>0</v>
      </c>
      <c r="AR230" s="12">
        <f t="shared" si="274"/>
        <v>0</v>
      </c>
      <c r="AS230" s="12">
        <f t="shared" ref="AS230:AS235" si="314">IF(Q230=0,0,1)</f>
        <v>0</v>
      </c>
      <c r="AT230" s="12">
        <f t="shared" si="296"/>
        <v>0</v>
      </c>
      <c r="AU230" s="12">
        <f>IF(R230=0,0,1)</f>
        <v>0</v>
      </c>
      <c r="AV230" s="12">
        <f t="shared" si="297"/>
        <v>0</v>
      </c>
    </row>
    <row r="231" spans="1:48" ht="82.5" hidden="1" customHeight="1" x14ac:dyDescent="0.25">
      <c r="A231" s="60">
        <v>3</v>
      </c>
      <c r="B231" s="9" t="s">
        <v>570</v>
      </c>
      <c r="C231" s="61" t="s">
        <v>571</v>
      </c>
      <c r="D231" s="61"/>
      <c r="E231" s="61" t="s">
        <v>101</v>
      </c>
      <c r="F231" s="61"/>
      <c r="G231" s="80">
        <v>27700</v>
      </c>
      <c r="H231" s="80">
        <f t="shared" si="304"/>
        <v>27700</v>
      </c>
      <c r="I231" s="63"/>
      <c r="J231" s="63"/>
      <c r="K231" s="63"/>
      <c r="L231" s="63"/>
      <c r="M231" s="68">
        <f t="shared" si="305"/>
        <v>24000</v>
      </c>
      <c r="N231" s="63">
        <v>24000</v>
      </c>
      <c r="O231" s="68"/>
      <c r="P231" s="63"/>
      <c r="Q231" s="63"/>
      <c r="R231" s="63"/>
      <c r="S231" s="68"/>
      <c r="T231" s="63"/>
      <c r="U231" s="58"/>
      <c r="V231" s="58"/>
      <c r="W231" s="58"/>
      <c r="X231" s="58"/>
      <c r="Y231" s="58"/>
      <c r="Z231" s="58"/>
      <c r="AA231" s="58"/>
      <c r="AB231" s="58"/>
      <c r="AC231" s="58"/>
      <c r="AD231" s="58"/>
      <c r="AE231" s="58"/>
      <c r="AF231" s="58"/>
      <c r="AG231" s="58"/>
      <c r="AH231" s="58"/>
      <c r="AI231" s="1942" t="s">
        <v>572</v>
      </c>
      <c r="AJ231" s="19">
        <f t="shared" si="278"/>
        <v>0</v>
      </c>
      <c r="AK231" s="22">
        <f t="shared" si="230"/>
        <v>0</v>
      </c>
      <c r="AL231" s="22"/>
      <c r="AM231" s="12">
        <f t="shared" si="311"/>
        <v>1</v>
      </c>
      <c r="AO231" s="12">
        <f t="shared" si="312"/>
        <v>1</v>
      </c>
      <c r="AP231" s="12">
        <f t="shared" si="272"/>
        <v>24000</v>
      </c>
      <c r="AQ231" s="12">
        <f t="shared" si="313"/>
        <v>0</v>
      </c>
      <c r="AR231" s="12">
        <f t="shared" si="274"/>
        <v>0</v>
      </c>
      <c r="AS231" s="12">
        <f t="shared" si="314"/>
        <v>0</v>
      </c>
      <c r="AT231" s="12">
        <f t="shared" si="296"/>
        <v>0</v>
      </c>
    </row>
    <row r="232" spans="1:48" ht="33" hidden="1" x14ac:dyDescent="0.25">
      <c r="A232" s="60">
        <v>4</v>
      </c>
      <c r="B232" s="9" t="s">
        <v>573</v>
      </c>
      <c r="C232" s="61" t="s">
        <v>574</v>
      </c>
      <c r="D232" s="61"/>
      <c r="E232" s="61" t="s">
        <v>116</v>
      </c>
      <c r="F232" s="61"/>
      <c r="G232" s="80">
        <v>20000</v>
      </c>
      <c r="H232" s="80">
        <f t="shared" si="304"/>
        <v>20000</v>
      </c>
      <c r="I232" s="63"/>
      <c r="J232" s="63"/>
      <c r="K232" s="63"/>
      <c r="L232" s="63"/>
      <c r="M232" s="68">
        <f t="shared" si="305"/>
        <v>18000</v>
      </c>
      <c r="N232" s="63">
        <v>18000</v>
      </c>
      <c r="O232" s="68"/>
      <c r="P232" s="63"/>
      <c r="Q232" s="63"/>
      <c r="R232" s="63"/>
      <c r="S232" s="68"/>
      <c r="T232" s="63"/>
      <c r="U232" s="63"/>
      <c r="V232" s="63"/>
      <c r="W232" s="63"/>
      <c r="X232" s="63"/>
      <c r="Y232" s="63"/>
      <c r="Z232" s="63"/>
      <c r="AA232" s="63"/>
      <c r="AB232" s="63"/>
      <c r="AC232" s="63"/>
      <c r="AD232" s="63"/>
      <c r="AE232" s="63"/>
      <c r="AF232" s="63"/>
      <c r="AG232" s="63"/>
      <c r="AH232" s="63"/>
      <c r="AI232" s="1943"/>
      <c r="AJ232" s="19">
        <f t="shared" si="278"/>
        <v>0</v>
      </c>
      <c r="AK232" s="22">
        <f t="shared" si="230"/>
        <v>0</v>
      </c>
      <c r="AL232" s="22"/>
      <c r="AM232" s="12">
        <f t="shared" si="311"/>
        <v>1</v>
      </c>
      <c r="AO232" s="12">
        <f t="shared" si="312"/>
        <v>1</v>
      </c>
      <c r="AP232" s="12">
        <f t="shared" si="272"/>
        <v>18000</v>
      </c>
      <c r="AQ232" s="12">
        <f t="shared" si="313"/>
        <v>0</v>
      </c>
      <c r="AR232" s="12">
        <f t="shared" si="274"/>
        <v>0</v>
      </c>
      <c r="AS232" s="12">
        <f t="shared" si="314"/>
        <v>0</v>
      </c>
      <c r="AT232" s="12">
        <f t="shared" si="296"/>
        <v>0</v>
      </c>
    </row>
    <row r="233" spans="1:48" ht="33" hidden="1" x14ac:dyDescent="0.25">
      <c r="A233" s="60">
        <v>5</v>
      </c>
      <c r="B233" s="9" t="s">
        <v>575</v>
      </c>
      <c r="C233" s="61" t="s">
        <v>576</v>
      </c>
      <c r="D233" s="61"/>
      <c r="E233" s="61" t="s">
        <v>116</v>
      </c>
      <c r="F233" s="61"/>
      <c r="G233" s="80">
        <v>20000</v>
      </c>
      <c r="H233" s="80">
        <f t="shared" si="304"/>
        <v>20000</v>
      </c>
      <c r="I233" s="63"/>
      <c r="J233" s="63"/>
      <c r="K233" s="63"/>
      <c r="L233" s="63"/>
      <c r="M233" s="68">
        <f t="shared" si="305"/>
        <v>18000</v>
      </c>
      <c r="N233" s="63">
        <v>18000</v>
      </c>
      <c r="O233" s="68"/>
      <c r="P233" s="63"/>
      <c r="Q233" s="63"/>
      <c r="R233" s="63"/>
      <c r="S233" s="68"/>
      <c r="T233" s="63"/>
      <c r="U233" s="63"/>
      <c r="V233" s="63"/>
      <c r="W233" s="63"/>
      <c r="X233" s="63"/>
      <c r="Y233" s="63"/>
      <c r="Z233" s="63"/>
      <c r="AA233" s="63"/>
      <c r="AB233" s="63"/>
      <c r="AC233" s="63"/>
      <c r="AD233" s="63"/>
      <c r="AE233" s="63"/>
      <c r="AF233" s="63"/>
      <c r="AG233" s="63"/>
      <c r="AH233" s="63"/>
      <c r="AI233" s="1943"/>
      <c r="AJ233" s="19">
        <f t="shared" si="278"/>
        <v>0</v>
      </c>
      <c r="AK233" s="22">
        <f t="shared" si="230"/>
        <v>0</v>
      </c>
      <c r="AL233" s="22"/>
      <c r="AM233" s="12">
        <f t="shared" si="311"/>
        <v>1</v>
      </c>
      <c r="AO233" s="12">
        <f t="shared" si="312"/>
        <v>1</v>
      </c>
      <c r="AP233" s="12">
        <f t="shared" si="272"/>
        <v>18000</v>
      </c>
      <c r="AQ233" s="12">
        <f t="shared" si="313"/>
        <v>0</v>
      </c>
      <c r="AR233" s="12">
        <f t="shared" si="274"/>
        <v>0</v>
      </c>
      <c r="AS233" s="12">
        <f t="shared" si="314"/>
        <v>0</v>
      </c>
      <c r="AT233" s="12">
        <f t="shared" si="296"/>
        <v>0</v>
      </c>
    </row>
    <row r="234" spans="1:48" ht="48" hidden="1" customHeight="1" x14ac:dyDescent="0.25">
      <c r="A234" s="60">
        <v>6</v>
      </c>
      <c r="B234" s="9" t="s">
        <v>577</v>
      </c>
      <c r="C234" s="61" t="s">
        <v>578</v>
      </c>
      <c r="D234" s="61"/>
      <c r="E234" s="61" t="s">
        <v>116</v>
      </c>
      <c r="F234" s="61"/>
      <c r="G234" s="80">
        <v>18000</v>
      </c>
      <c r="H234" s="80">
        <f t="shared" si="304"/>
        <v>18000</v>
      </c>
      <c r="I234" s="63"/>
      <c r="J234" s="63"/>
      <c r="K234" s="63"/>
      <c r="L234" s="63"/>
      <c r="M234" s="68">
        <f t="shared" si="305"/>
        <v>15000</v>
      </c>
      <c r="N234" s="63">
        <v>15000</v>
      </c>
      <c r="O234" s="68"/>
      <c r="P234" s="63"/>
      <c r="Q234" s="63"/>
      <c r="R234" s="63"/>
      <c r="S234" s="68"/>
      <c r="T234" s="63"/>
      <c r="U234" s="63"/>
      <c r="V234" s="63"/>
      <c r="W234" s="63"/>
      <c r="X234" s="63"/>
      <c r="Y234" s="63"/>
      <c r="Z234" s="63"/>
      <c r="AA234" s="63"/>
      <c r="AB234" s="63"/>
      <c r="AC234" s="63"/>
      <c r="AD234" s="63"/>
      <c r="AE234" s="63"/>
      <c r="AF234" s="63"/>
      <c r="AG234" s="63"/>
      <c r="AH234" s="63"/>
      <c r="AI234" s="1944"/>
      <c r="AJ234" s="19">
        <f t="shared" si="278"/>
        <v>0</v>
      </c>
      <c r="AK234" s="22">
        <f t="shared" si="230"/>
        <v>0</v>
      </c>
      <c r="AL234" s="22"/>
      <c r="AM234" s="12">
        <f t="shared" si="311"/>
        <v>1</v>
      </c>
      <c r="AO234" s="12">
        <f t="shared" si="312"/>
        <v>1</v>
      </c>
      <c r="AP234" s="12">
        <f t="shared" si="272"/>
        <v>15000</v>
      </c>
      <c r="AQ234" s="12">
        <f t="shared" si="313"/>
        <v>0</v>
      </c>
      <c r="AR234" s="12">
        <f t="shared" si="274"/>
        <v>0</v>
      </c>
      <c r="AS234" s="12">
        <f t="shared" si="314"/>
        <v>0</v>
      </c>
      <c r="AT234" s="12">
        <f t="shared" si="296"/>
        <v>0</v>
      </c>
    </row>
    <row r="235" spans="1:48" ht="49.5" hidden="1" x14ac:dyDescent="0.25">
      <c r="A235" s="60">
        <v>7</v>
      </c>
      <c r="B235" s="9" t="s">
        <v>579</v>
      </c>
      <c r="C235" s="61" t="s">
        <v>580</v>
      </c>
      <c r="D235" s="61"/>
      <c r="E235" s="61" t="s">
        <v>101</v>
      </c>
      <c r="F235" s="118" t="s">
        <v>581</v>
      </c>
      <c r="G235" s="4">
        <f>H235</f>
        <v>68633</v>
      </c>
      <c r="H235" s="7">
        <v>68633</v>
      </c>
      <c r="I235" s="63"/>
      <c r="J235" s="63"/>
      <c r="K235" s="63"/>
      <c r="L235" s="63"/>
      <c r="M235" s="68">
        <f t="shared" si="305"/>
        <v>30000</v>
      </c>
      <c r="N235" s="63">
        <v>30000</v>
      </c>
      <c r="O235" s="68">
        <f t="shared" si="306"/>
        <v>30000</v>
      </c>
      <c r="P235" s="63">
        <v>30000</v>
      </c>
      <c r="Q235" s="63"/>
      <c r="R235" s="63"/>
      <c r="S235" s="68">
        <f t="shared" ref="S235" si="315">T235</f>
        <v>30000</v>
      </c>
      <c r="T235" s="63">
        <v>30000</v>
      </c>
      <c r="U235" s="63">
        <f>V235</f>
        <v>879</v>
      </c>
      <c r="V235" s="63">
        <v>879</v>
      </c>
      <c r="W235" s="63"/>
      <c r="X235" s="63"/>
      <c r="Y235" s="63"/>
      <c r="Z235" s="63"/>
      <c r="AA235" s="63"/>
      <c r="AB235" s="63"/>
      <c r="AC235" s="63"/>
      <c r="AD235" s="63"/>
      <c r="AE235" s="63"/>
      <c r="AF235" s="63"/>
      <c r="AG235" s="63"/>
      <c r="AH235" s="63"/>
      <c r="AI235" s="69"/>
      <c r="AJ235" s="19">
        <f t="shared" si="278"/>
        <v>0</v>
      </c>
      <c r="AK235" s="22">
        <f t="shared" si="230"/>
        <v>0</v>
      </c>
      <c r="AL235" s="22"/>
      <c r="AM235" s="12">
        <f t="shared" si="311"/>
        <v>1</v>
      </c>
      <c r="AO235" s="12">
        <f t="shared" si="312"/>
        <v>0</v>
      </c>
      <c r="AP235" s="12">
        <f t="shared" si="272"/>
        <v>0</v>
      </c>
      <c r="AQ235" s="12">
        <f t="shared" si="313"/>
        <v>0</v>
      </c>
      <c r="AR235" s="12">
        <f t="shared" si="274"/>
        <v>0</v>
      </c>
      <c r="AS235" s="12">
        <f t="shared" si="314"/>
        <v>0</v>
      </c>
      <c r="AT235" s="12">
        <f t="shared" si="296"/>
        <v>0</v>
      </c>
      <c r="AU235" s="12">
        <f>IF(R235=0,0,1)</f>
        <v>0</v>
      </c>
      <c r="AV235" s="12">
        <f t="shared" si="297"/>
        <v>0</v>
      </c>
    </row>
    <row r="236" spans="1:48" s="34" customFormat="1" ht="33" x14ac:dyDescent="0.25">
      <c r="A236" s="28" t="s">
        <v>582</v>
      </c>
      <c r="B236" s="29" t="s">
        <v>583</v>
      </c>
      <c r="C236" s="30"/>
      <c r="D236" s="30"/>
      <c r="E236" s="30"/>
      <c r="F236" s="30"/>
      <c r="G236" s="31">
        <f>G243</f>
        <v>238011</v>
      </c>
      <c r="H236" s="31">
        <f t="shared" ref="H236:L236" si="316">H243</f>
        <v>100832</v>
      </c>
      <c r="I236" s="31">
        <f t="shared" si="316"/>
        <v>0</v>
      </c>
      <c r="J236" s="31">
        <f t="shared" si="316"/>
        <v>0</v>
      </c>
      <c r="K236" s="31">
        <f t="shared" si="316"/>
        <v>0</v>
      </c>
      <c r="L236" s="31">
        <f t="shared" si="316"/>
        <v>0</v>
      </c>
      <c r="M236" s="31">
        <f t="shared" ref="M236:R236" si="317">M243+M237</f>
        <v>130390</v>
      </c>
      <c r="N236" s="31">
        <f t="shared" si="317"/>
        <v>130390</v>
      </c>
      <c r="O236" s="31">
        <f t="shared" si="317"/>
        <v>184390</v>
      </c>
      <c r="P236" s="31">
        <f t="shared" si="317"/>
        <v>152390</v>
      </c>
      <c r="Q236" s="31">
        <f t="shared" si="317"/>
        <v>3000</v>
      </c>
      <c r="R236" s="31">
        <f t="shared" si="317"/>
        <v>22830</v>
      </c>
      <c r="S236" s="31">
        <f t="shared" ref="S236:X236" si="318">S243</f>
        <v>3000</v>
      </c>
      <c r="T236" s="31">
        <f t="shared" si="318"/>
        <v>3000</v>
      </c>
      <c r="U236" s="31">
        <f t="shared" si="318"/>
        <v>35425</v>
      </c>
      <c r="V236" s="31">
        <f t="shared" si="318"/>
        <v>35425</v>
      </c>
      <c r="W236" s="31">
        <f t="shared" si="318"/>
        <v>7804</v>
      </c>
      <c r="X236" s="31">
        <f t="shared" si="318"/>
        <v>7804</v>
      </c>
      <c r="Y236" s="31">
        <f>Y237+Y243</f>
        <v>31150</v>
      </c>
      <c r="Z236" s="31">
        <f t="shared" ref="Z236" si="319">Z237+Z243</f>
        <v>31150</v>
      </c>
      <c r="AA236" s="31">
        <f>AA237+AA243</f>
        <v>134296</v>
      </c>
      <c r="AB236" s="31">
        <f t="shared" ref="AB236" si="320">AB237+AB243</f>
        <v>134296</v>
      </c>
      <c r="AC236" s="31">
        <f>AC237+AC243</f>
        <v>77013</v>
      </c>
      <c r="AD236" s="31">
        <f t="shared" ref="AD236:AH236" si="321">AD237+AD243</f>
        <v>77013</v>
      </c>
      <c r="AE236" s="31">
        <f>AE237+AE243</f>
        <v>60000</v>
      </c>
      <c r="AF236" s="31">
        <f t="shared" ref="AF236" si="322">AF237+AF243</f>
        <v>60000</v>
      </c>
      <c r="AG236" s="31">
        <f>AG237+AG243</f>
        <v>75000</v>
      </c>
      <c r="AH236" s="31">
        <f t="shared" si="321"/>
        <v>75000</v>
      </c>
      <c r="AI236" s="32"/>
      <c r="AJ236" s="19">
        <f t="shared" si="278"/>
        <v>1</v>
      </c>
      <c r="AK236" s="22"/>
      <c r="AL236" s="22"/>
      <c r="AM236" s="12"/>
      <c r="AN236" s="12"/>
      <c r="AO236" s="12"/>
      <c r="AP236" s="12">
        <f t="shared" si="272"/>
        <v>0</v>
      </c>
      <c r="AQ236" s="12"/>
      <c r="AR236" s="12">
        <f t="shared" si="274"/>
        <v>0</v>
      </c>
      <c r="AS236" s="12"/>
      <c r="AT236" s="12">
        <f t="shared" si="296"/>
        <v>0</v>
      </c>
      <c r="AU236" s="12"/>
      <c r="AV236" s="12">
        <f t="shared" si="297"/>
        <v>0</v>
      </c>
    </row>
    <row r="237" spans="1:48" s="42" customFormat="1" ht="51.75" x14ac:dyDescent="0.25">
      <c r="A237" s="35" t="s">
        <v>45</v>
      </c>
      <c r="B237" s="36" t="s">
        <v>46</v>
      </c>
      <c r="C237" s="37"/>
      <c r="D237" s="37"/>
      <c r="E237" s="37"/>
      <c r="F237" s="37"/>
      <c r="G237" s="38">
        <f>G238</f>
        <v>79292</v>
      </c>
      <c r="H237" s="38">
        <f t="shared" ref="H237:AH237" si="323">H238</f>
        <v>71560</v>
      </c>
      <c r="I237" s="38">
        <f t="shared" si="323"/>
        <v>7445</v>
      </c>
      <c r="J237" s="38">
        <f t="shared" si="323"/>
        <v>7445</v>
      </c>
      <c r="K237" s="38">
        <f t="shared" si="323"/>
        <v>7445</v>
      </c>
      <c r="L237" s="38">
        <f t="shared" si="323"/>
        <v>7445</v>
      </c>
      <c r="M237" s="38">
        <f t="shared" si="323"/>
        <v>57560</v>
      </c>
      <c r="N237" s="38">
        <f t="shared" si="323"/>
        <v>57560</v>
      </c>
      <c r="O237" s="38">
        <f t="shared" si="323"/>
        <v>71560</v>
      </c>
      <c r="P237" s="38">
        <f t="shared" si="323"/>
        <v>71560</v>
      </c>
      <c r="Q237" s="38">
        <f t="shared" si="323"/>
        <v>3000</v>
      </c>
      <c r="R237" s="38">
        <f t="shared" si="323"/>
        <v>0</v>
      </c>
      <c r="S237" s="38">
        <f t="shared" si="323"/>
        <v>74560</v>
      </c>
      <c r="T237" s="38">
        <f t="shared" si="323"/>
        <v>74560</v>
      </c>
      <c r="U237" s="38">
        <f t="shared" si="323"/>
        <v>37617</v>
      </c>
      <c r="V237" s="38">
        <f t="shared" si="323"/>
        <v>37617</v>
      </c>
      <c r="W237" s="38">
        <f t="shared" si="323"/>
        <v>22300</v>
      </c>
      <c r="X237" s="38">
        <f t="shared" si="323"/>
        <v>22300</v>
      </c>
      <c r="Y237" s="38">
        <f t="shared" si="323"/>
        <v>3000</v>
      </c>
      <c r="Z237" s="38">
        <f t="shared" si="323"/>
        <v>3000</v>
      </c>
      <c r="AA237" s="38">
        <f t="shared" si="323"/>
        <v>62917</v>
      </c>
      <c r="AB237" s="38">
        <f t="shared" si="323"/>
        <v>62917</v>
      </c>
      <c r="AC237" s="38">
        <f t="shared" si="323"/>
        <v>17013</v>
      </c>
      <c r="AD237" s="38">
        <f t="shared" si="323"/>
        <v>17013</v>
      </c>
      <c r="AE237" s="38">
        <f t="shared" si="323"/>
        <v>0</v>
      </c>
      <c r="AF237" s="38">
        <f t="shared" si="323"/>
        <v>0</v>
      </c>
      <c r="AG237" s="38">
        <f t="shared" si="323"/>
        <v>0</v>
      </c>
      <c r="AH237" s="38">
        <f t="shared" si="323"/>
        <v>0</v>
      </c>
      <c r="AI237" s="40"/>
      <c r="AJ237" s="19">
        <f t="shared" si="278"/>
        <v>1</v>
      </c>
      <c r="AK237" s="22"/>
      <c r="AL237" s="22"/>
      <c r="AM237" s="12"/>
      <c r="AN237" s="12"/>
      <c r="AO237" s="12"/>
      <c r="AP237" s="12">
        <f t="shared" si="272"/>
        <v>0</v>
      </c>
      <c r="AQ237" s="12"/>
      <c r="AR237" s="12">
        <f t="shared" si="274"/>
        <v>0</v>
      </c>
      <c r="AS237" s="12"/>
      <c r="AT237" s="12">
        <f t="shared" si="296"/>
        <v>0</v>
      </c>
      <c r="AU237" s="12"/>
      <c r="AV237" s="12">
        <f t="shared" si="297"/>
        <v>0</v>
      </c>
    </row>
    <row r="238" spans="1:48" s="49" customFormat="1" ht="34.5" x14ac:dyDescent="0.25">
      <c r="A238" s="43" t="s">
        <v>47</v>
      </c>
      <c r="B238" s="44" t="s">
        <v>48</v>
      </c>
      <c r="C238" s="45"/>
      <c r="D238" s="45"/>
      <c r="E238" s="45"/>
      <c r="F238" s="45"/>
      <c r="G238" s="46">
        <f>G241</f>
        <v>79292</v>
      </c>
      <c r="H238" s="46">
        <f>H241</f>
        <v>71560</v>
      </c>
      <c r="I238" s="46">
        <f t="shared" ref="I238:L238" si="324">SUM(I241:I242)</f>
        <v>7445</v>
      </c>
      <c r="J238" s="46">
        <f t="shared" si="324"/>
        <v>7445</v>
      </c>
      <c r="K238" s="46">
        <f t="shared" si="324"/>
        <v>7445</v>
      </c>
      <c r="L238" s="46">
        <f t="shared" si="324"/>
        <v>7445</v>
      </c>
      <c r="M238" s="46">
        <f t="shared" ref="M238:T238" si="325">M241</f>
        <v>57560</v>
      </c>
      <c r="N238" s="46">
        <f t="shared" si="325"/>
        <v>57560</v>
      </c>
      <c r="O238" s="46">
        <f t="shared" si="325"/>
        <v>71560</v>
      </c>
      <c r="P238" s="46">
        <f t="shared" si="325"/>
        <v>71560</v>
      </c>
      <c r="Q238" s="46">
        <f t="shared" si="325"/>
        <v>3000</v>
      </c>
      <c r="R238" s="46">
        <f t="shared" si="325"/>
        <v>0</v>
      </c>
      <c r="S238" s="46">
        <f t="shared" si="325"/>
        <v>74560</v>
      </c>
      <c r="T238" s="46">
        <f t="shared" si="325"/>
        <v>74560</v>
      </c>
      <c r="U238" s="46">
        <f t="shared" ref="U238" si="326">SUM(U241:U242)</f>
        <v>37617</v>
      </c>
      <c r="V238" s="46">
        <f>SUM(V241:V242)</f>
        <v>37617</v>
      </c>
      <c r="W238" s="46">
        <f t="shared" ref="W238:AA238" si="327">SUM(W241:W242)</f>
        <v>22300</v>
      </c>
      <c r="X238" s="46">
        <f>SUM(X241:X242)</f>
        <v>22300</v>
      </c>
      <c r="Y238" s="46">
        <f t="shared" ref="Y238" si="328">SUM(Y241:Y242)</f>
        <v>3000</v>
      </c>
      <c r="Z238" s="46">
        <f>SUM(Z241:Z242)</f>
        <v>3000</v>
      </c>
      <c r="AA238" s="46">
        <f t="shared" si="327"/>
        <v>62917</v>
      </c>
      <c r="AB238" s="46">
        <f>SUM(AB241:AB242)</f>
        <v>62917</v>
      </c>
      <c r="AC238" s="46">
        <f t="shared" ref="AC238:AG238" si="329">SUM(AC241:AC242)</f>
        <v>17013</v>
      </c>
      <c r="AD238" s="46">
        <f>SUM(AD241:AD242)</f>
        <v>17013</v>
      </c>
      <c r="AE238" s="46">
        <f t="shared" ref="AE238" si="330">SUM(AE241:AE242)</f>
        <v>0</v>
      </c>
      <c r="AF238" s="46">
        <f>SUM(AF241:AF242)</f>
        <v>0</v>
      </c>
      <c r="AG238" s="46">
        <f t="shared" si="329"/>
        <v>0</v>
      </c>
      <c r="AH238" s="46">
        <f>SUM(AH241:AH242)</f>
        <v>0</v>
      </c>
      <c r="AI238" s="47"/>
      <c r="AJ238" s="19">
        <f t="shared" si="278"/>
        <v>1</v>
      </c>
      <c r="AK238" s="22"/>
      <c r="AL238" s="22"/>
      <c r="AM238" s="12"/>
      <c r="AN238" s="12"/>
      <c r="AO238" s="12"/>
      <c r="AP238" s="12">
        <f t="shared" si="272"/>
        <v>0</v>
      </c>
      <c r="AQ238" s="12"/>
      <c r="AR238" s="12">
        <f t="shared" si="274"/>
        <v>0</v>
      </c>
      <c r="AS238" s="12"/>
      <c r="AT238" s="12">
        <f t="shared" si="296"/>
        <v>0</v>
      </c>
      <c r="AU238" s="12"/>
      <c r="AV238" s="12">
        <f t="shared" si="297"/>
        <v>0</v>
      </c>
    </row>
    <row r="239" spans="1:48" ht="17.25" hidden="1" x14ac:dyDescent="0.25">
      <c r="A239" s="50"/>
      <c r="B239" s="51" t="s">
        <v>49</v>
      </c>
      <c r="C239" s="52"/>
      <c r="D239" s="52"/>
      <c r="E239" s="52"/>
      <c r="F239" s="52"/>
      <c r="G239" s="53"/>
      <c r="H239" s="53"/>
      <c r="I239" s="53"/>
      <c r="J239" s="53"/>
      <c r="K239" s="53"/>
      <c r="L239" s="53"/>
      <c r="M239" s="53"/>
      <c r="N239" s="53"/>
      <c r="O239" s="53"/>
      <c r="P239" s="53"/>
      <c r="Q239" s="54"/>
      <c r="R239" s="54"/>
      <c r="S239" s="53"/>
      <c r="T239" s="53"/>
      <c r="U239" s="63"/>
      <c r="V239" s="63"/>
      <c r="W239" s="63"/>
      <c r="X239" s="63"/>
      <c r="Y239" s="63"/>
      <c r="Z239" s="63"/>
      <c r="AA239" s="63"/>
      <c r="AB239" s="63"/>
      <c r="AC239" s="63"/>
      <c r="AD239" s="63"/>
      <c r="AE239" s="63"/>
      <c r="AF239" s="63"/>
      <c r="AG239" s="63"/>
      <c r="AH239" s="63"/>
      <c r="AI239" s="55"/>
      <c r="AJ239" s="19">
        <f t="shared" si="278"/>
        <v>0</v>
      </c>
      <c r="AK239" s="22"/>
      <c r="AL239" s="22"/>
      <c r="AP239" s="12">
        <f t="shared" si="272"/>
        <v>0</v>
      </c>
      <c r="AR239" s="12">
        <f t="shared" si="274"/>
        <v>0</v>
      </c>
      <c r="AT239" s="12">
        <f t="shared" si="296"/>
        <v>0</v>
      </c>
      <c r="AV239" s="12">
        <f t="shared" si="297"/>
        <v>0</v>
      </c>
    </row>
    <row r="240" spans="1:48" ht="69" hidden="1" x14ac:dyDescent="0.25">
      <c r="A240" s="50"/>
      <c r="B240" s="56" t="s">
        <v>50</v>
      </c>
      <c r="C240" s="57"/>
      <c r="D240" s="57"/>
      <c r="E240" s="57"/>
      <c r="F240" s="57"/>
      <c r="G240" s="58"/>
      <c r="H240" s="58"/>
      <c r="I240" s="58"/>
      <c r="J240" s="58"/>
      <c r="K240" s="58"/>
      <c r="L240" s="58"/>
      <c r="M240" s="58"/>
      <c r="N240" s="58"/>
      <c r="O240" s="58"/>
      <c r="P240" s="58"/>
      <c r="Q240" s="54"/>
      <c r="R240" s="54"/>
      <c r="S240" s="58"/>
      <c r="T240" s="58"/>
      <c r="U240" s="63"/>
      <c r="V240" s="63"/>
      <c r="W240" s="63"/>
      <c r="X240" s="63"/>
      <c r="Y240" s="63"/>
      <c r="Z240" s="63"/>
      <c r="AA240" s="63"/>
      <c r="AB240" s="63"/>
      <c r="AC240" s="63"/>
      <c r="AD240" s="63"/>
      <c r="AE240" s="63"/>
      <c r="AF240" s="63"/>
      <c r="AG240" s="63"/>
      <c r="AH240" s="63"/>
      <c r="AI240" s="59"/>
      <c r="AJ240" s="19">
        <f t="shared" si="278"/>
        <v>0</v>
      </c>
      <c r="AK240" s="22"/>
      <c r="AL240" s="22"/>
      <c r="AP240" s="12">
        <f t="shared" si="272"/>
        <v>0</v>
      </c>
      <c r="AR240" s="12">
        <f t="shared" si="274"/>
        <v>0</v>
      </c>
      <c r="AT240" s="12">
        <f t="shared" si="296"/>
        <v>0</v>
      </c>
      <c r="AV240" s="12">
        <f t="shared" si="297"/>
        <v>0</v>
      </c>
    </row>
    <row r="241" spans="1:16378" s="157" customFormat="1" ht="82.5" x14ac:dyDescent="0.25">
      <c r="A241" s="152">
        <v>1</v>
      </c>
      <c r="B241" s="153" t="s">
        <v>584</v>
      </c>
      <c r="C241" s="1" t="s">
        <v>99</v>
      </c>
      <c r="D241" s="1" t="s">
        <v>585</v>
      </c>
      <c r="E241" s="1" t="s">
        <v>77</v>
      </c>
      <c r="F241" s="1" t="s">
        <v>586</v>
      </c>
      <c r="G241" s="6">
        <v>79292</v>
      </c>
      <c r="H241" s="7">
        <v>71560</v>
      </c>
      <c r="I241" s="3">
        <f>J241</f>
        <v>445</v>
      </c>
      <c r="J241" s="6">
        <v>445</v>
      </c>
      <c r="K241" s="3">
        <f>I241</f>
        <v>445</v>
      </c>
      <c r="L241" s="3">
        <f>J241</f>
        <v>445</v>
      </c>
      <c r="M241" s="4">
        <f>N241</f>
        <v>57560</v>
      </c>
      <c r="N241" s="3">
        <v>57560</v>
      </c>
      <c r="O241" s="4">
        <f>P241</f>
        <v>71560</v>
      </c>
      <c r="P241" s="3">
        <f>N241+14000</f>
        <v>71560</v>
      </c>
      <c r="Q241" s="8">
        <v>3000</v>
      </c>
      <c r="R241" s="8"/>
      <c r="S241" s="4">
        <f>T241</f>
        <v>74560</v>
      </c>
      <c r="T241" s="3">
        <f>Q241+P241</f>
        <v>74560</v>
      </c>
      <c r="U241" s="3">
        <f>V241</f>
        <v>31617</v>
      </c>
      <c r="V241" s="3">
        <v>31617</v>
      </c>
      <c r="W241" s="3">
        <f>X241</f>
        <v>22300</v>
      </c>
      <c r="X241" s="3">
        <v>22300</v>
      </c>
      <c r="Y241" s="3">
        <f>Z241</f>
        <v>3000</v>
      </c>
      <c r="Z241" s="3">
        <v>3000</v>
      </c>
      <c r="AA241" s="3">
        <f t="shared" ref="AA241:AB242" si="331">U241+W241+Y241</f>
        <v>56917</v>
      </c>
      <c r="AB241" s="3">
        <f t="shared" si="331"/>
        <v>56917</v>
      </c>
      <c r="AC241" s="3">
        <f>O241-AA241</f>
        <v>14643</v>
      </c>
      <c r="AD241" s="3">
        <f>P241-AB241</f>
        <v>14643</v>
      </c>
      <c r="AE241" s="3">
        <f t="shared" ref="AE241:AE242" si="332">AF241</f>
        <v>0</v>
      </c>
      <c r="AF241" s="3">
        <f t="shared" ref="AF241:AF242" si="333">IF(AB241=0,AD241,0)</f>
        <v>0</v>
      </c>
      <c r="AG241" s="3"/>
      <c r="AH241" s="3"/>
      <c r="AI241" s="334" t="s">
        <v>587</v>
      </c>
      <c r="AJ241" s="801">
        <f t="shared" si="278"/>
        <v>1</v>
      </c>
      <c r="AK241" s="155">
        <f t="shared" si="230"/>
        <v>1</v>
      </c>
      <c r="AL241" s="155"/>
      <c r="AM241" s="156">
        <f>IF(AJ241=0,1,0)</f>
        <v>0</v>
      </c>
      <c r="AN241" s="156"/>
      <c r="AO241" s="156">
        <f>IF(P241=0,1,0)</f>
        <v>0</v>
      </c>
      <c r="AP241" s="156">
        <f t="shared" si="272"/>
        <v>0</v>
      </c>
      <c r="AQ241" s="156">
        <f>IF(N241=0,1,0)</f>
        <v>0</v>
      </c>
      <c r="AR241" s="156">
        <f t="shared" si="274"/>
        <v>0</v>
      </c>
      <c r="AS241" s="156">
        <f>IF(Q241=0,0,1)</f>
        <v>1</v>
      </c>
      <c r="AT241" s="156">
        <f t="shared" si="296"/>
        <v>3000</v>
      </c>
      <c r="AU241" s="156">
        <f>IF(R241=0,0,1)</f>
        <v>0</v>
      </c>
      <c r="AV241" s="156">
        <f t="shared" si="297"/>
        <v>0</v>
      </c>
    </row>
    <row r="242" spans="1:16378" ht="82.5" hidden="1" x14ac:dyDescent="0.25">
      <c r="A242" s="60">
        <v>2</v>
      </c>
      <c r="B242" s="91" t="s">
        <v>588</v>
      </c>
      <c r="C242" s="61" t="s">
        <v>52</v>
      </c>
      <c r="D242" s="61" t="s">
        <v>589</v>
      </c>
      <c r="E242" s="61" t="s">
        <v>199</v>
      </c>
      <c r="F242" s="61" t="s">
        <v>590</v>
      </c>
      <c r="G242" s="68">
        <v>18874</v>
      </c>
      <c r="H242" s="80">
        <v>15369</v>
      </c>
      <c r="I242" s="63">
        <f>J242</f>
        <v>7000</v>
      </c>
      <c r="J242" s="62">
        <v>7000</v>
      </c>
      <c r="K242" s="63">
        <f>I242</f>
        <v>7000</v>
      </c>
      <c r="L242" s="63">
        <f>J242</f>
        <v>7000</v>
      </c>
      <c r="M242" s="68">
        <f>N242</f>
        <v>8370</v>
      </c>
      <c r="N242" s="63">
        <v>8370</v>
      </c>
      <c r="O242" s="68">
        <f>P242</f>
        <v>8370</v>
      </c>
      <c r="P242" s="63">
        <v>8370</v>
      </c>
      <c r="Q242" s="54"/>
      <c r="R242" s="54"/>
      <c r="S242" s="68">
        <f>T242</f>
        <v>8370</v>
      </c>
      <c r="T242" s="63">
        <v>8370</v>
      </c>
      <c r="U242" s="63">
        <f>V242</f>
        <v>6000</v>
      </c>
      <c r="V242" s="63">
        <v>6000</v>
      </c>
      <c r="W242" s="63"/>
      <c r="X242" s="63"/>
      <c r="Y242" s="63"/>
      <c r="Z242" s="63"/>
      <c r="AA242" s="63">
        <f t="shared" si="331"/>
        <v>6000</v>
      </c>
      <c r="AB242" s="63">
        <f t="shared" si="331"/>
        <v>6000</v>
      </c>
      <c r="AC242" s="63">
        <f>O242-AA242</f>
        <v>2370</v>
      </c>
      <c r="AD242" s="63">
        <f>P242-AB242</f>
        <v>2370</v>
      </c>
      <c r="AE242" s="63">
        <f t="shared" si="332"/>
        <v>0</v>
      </c>
      <c r="AF242" s="63">
        <f t="shared" si="333"/>
        <v>0</v>
      </c>
      <c r="AG242" s="63"/>
      <c r="AH242" s="63"/>
      <c r="AI242" s="69"/>
      <c r="AJ242" s="19">
        <f t="shared" si="278"/>
        <v>0</v>
      </c>
      <c r="AK242" s="22">
        <f t="shared" si="230"/>
        <v>0</v>
      </c>
      <c r="AL242" s="22"/>
      <c r="AM242" s="12">
        <f>IF(AJ242=0,1,0)</f>
        <v>1</v>
      </c>
      <c r="AO242" s="12">
        <f>IF(P242=0,1,0)</f>
        <v>0</v>
      </c>
      <c r="AP242" s="12">
        <f t="shared" si="272"/>
        <v>0</v>
      </c>
      <c r="AQ242" s="12">
        <f>IF(N242=0,1,0)</f>
        <v>0</v>
      </c>
      <c r="AR242" s="12">
        <f t="shared" si="274"/>
        <v>0</v>
      </c>
      <c r="AS242" s="12">
        <f>IF(Q242=0,0,1)</f>
        <v>0</v>
      </c>
      <c r="AT242" s="12">
        <f t="shared" si="296"/>
        <v>0</v>
      </c>
      <c r="AU242" s="12">
        <f>IF(R242=0,0,1)</f>
        <v>0</v>
      </c>
      <c r="AV242" s="12">
        <f t="shared" si="297"/>
        <v>0</v>
      </c>
    </row>
    <row r="243" spans="1:16378" s="34" customFormat="1" ht="34.5" x14ac:dyDescent="0.25">
      <c r="A243" s="35" t="s">
        <v>85</v>
      </c>
      <c r="B243" s="36" t="s">
        <v>86</v>
      </c>
      <c r="C243" s="37"/>
      <c r="D243" s="37"/>
      <c r="E243" s="37"/>
      <c r="F243" s="37"/>
      <c r="G243" s="38">
        <f>G244+G269</f>
        <v>238011</v>
      </c>
      <c r="H243" s="38">
        <f t="shared" ref="H243:AH243" si="334">H244+H269</f>
        <v>100832</v>
      </c>
      <c r="I243" s="38">
        <f t="shared" si="334"/>
        <v>0</v>
      </c>
      <c r="J243" s="38">
        <f t="shared" si="334"/>
        <v>0</v>
      </c>
      <c r="K243" s="38">
        <f t="shared" si="334"/>
        <v>0</v>
      </c>
      <c r="L243" s="38">
        <f t="shared" si="334"/>
        <v>0</v>
      </c>
      <c r="M243" s="38">
        <f t="shared" si="334"/>
        <v>72830</v>
      </c>
      <c r="N243" s="38">
        <f t="shared" si="334"/>
        <v>72830</v>
      </c>
      <c r="O243" s="38">
        <f t="shared" si="334"/>
        <v>112830</v>
      </c>
      <c r="P243" s="38">
        <f t="shared" si="334"/>
        <v>80830</v>
      </c>
      <c r="Q243" s="38">
        <f t="shared" si="334"/>
        <v>0</v>
      </c>
      <c r="R243" s="38">
        <f t="shared" si="334"/>
        <v>22830</v>
      </c>
      <c r="S243" s="38">
        <f t="shared" si="334"/>
        <v>3000</v>
      </c>
      <c r="T243" s="38">
        <f t="shared" si="334"/>
        <v>3000</v>
      </c>
      <c r="U243" s="38">
        <f t="shared" si="334"/>
        <v>35425</v>
      </c>
      <c r="V243" s="38">
        <f t="shared" si="334"/>
        <v>35425</v>
      </c>
      <c r="W243" s="38">
        <f t="shared" si="334"/>
        <v>7804</v>
      </c>
      <c r="X243" s="38">
        <f t="shared" si="334"/>
        <v>7804</v>
      </c>
      <c r="Y243" s="38">
        <f t="shared" si="334"/>
        <v>28150</v>
      </c>
      <c r="Z243" s="38">
        <f t="shared" si="334"/>
        <v>28150</v>
      </c>
      <c r="AA243" s="38">
        <f t="shared" si="334"/>
        <v>71379</v>
      </c>
      <c r="AB243" s="38">
        <f t="shared" si="334"/>
        <v>71379</v>
      </c>
      <c r="AC243" s="38">
        <f t="shared" si="334"/>
        <v>60000</v>
      </c>
      <c r="AD243" s="38">
        <f t="shared" si="334"/>
        <v>60000</v>
      </c>
      <c r="AE243" s="38">
        <f t="shared" si="334"/>
        <v>60000</v>
      </c>
      <c r="AF243" s="38">
        <f t="shared" si="334"/>
        <v>60000</v>
      </c>
      <c r="AG243" s="38">
        <f t="shared" si="334"/>
        <v>75000</v>
      </c>
      <c r="AH243" s="38">
        <f t="shared" si="334"/>
        <v>75000</v>
      </c>
      <c r="AI243" s="38"/>
      <c r="AJ243" s="19">
        <f t="shared" si="278"/>
        <v>1</v>
      </c>
      <c r="AK243" s="42"/>
      <c r="AL243" s="42"/>
      <c r="AM243" s="42"/>
      <c r="AN243" s="42"/>
      <c r="AO243" s="42"/>
      <c r="AP243" s="42">
        <f t="shared" si="272"/>
        <v>0</v>
      </c>
      <c r="AQ243" s="42"/>
      <c r="AR243" s="42">
        <f t="shared" si="274"/>
        <v>0</v>
      </c>
      <c r="AS243" s="42"/>
      <c r="AT243" s="42">
        <f t="shared" si="296"/>
        <v>0</v>
      </c>
      <c r="AU243" s="42"/>
      <c r="AV243" s="42">
        <f t="shared" si="297"/>
        <v>0</v>
      </c>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c r="GR243" s="42"/>
      <c r="GS243" s="42"/>
      <c r="GT243" s="42"/>
      <c r="GU243" s="42"/>
      <c r="GV243" s="42"/>
      <c r="GW243" s="42"/>
      <c r="GX243" s="42"/>
      <c r="GY243" s="42"/>
      <c r="GZ243" s="42"/>
      <c r="HA243" s="42"/>
      <c r="HB243" s="42"/>
      <c r="HC243" s="42"/>
      <c r="HD243" s="42"/>
      <c r="HE243" s="42"/>
      <c r="HF243" s="42"/>
      <c r="HG243" s="42"/>
      <c r="HH243" s="42"/>
      <c r="HI243" s="42"/>
      <c r="HJ243" s="42"/>
      <c r="HK243" s="42"/>
      <c r="HL243" s="42"/>
      <c r="HM243" s="42"/>
      <c r="HN243" s="42"/>
      <c r="HO243" s="42"/>
      <c r="HP243" s="42"/>
      <c r="HQ243" s="42"/>
      <c r="HR243" s="42"/>
      <c r="HS243" s="42"/>
      <c r="HT243" s="42"/>
      <c r="HU243" s="42"/>
      <c r="HV243" s="42"/>
      <c r="HW243" s="42"/>
      <c r="HX243" s="42"/>
      <c r="HY243" s="42"/>
      <c r="HZ243" s="42"/>
      <c r="IA243" s="42"/>
      <c r="IB243" s="42"/>
      <c r="IC243" s="42"/>
      <c r="ID243" s="42"/>
      <c r="IE243" s="42"/>
      <c r="IF243" s="42"/>
      <c r="IG243" s="42"/>
      <c r="IH243" s="42"/>
      <c r="II243" s="42"/>
      <c r="IJ243" s="42"/>
      <c r="IK243" s="42"/>
      <c r="IL243" s="42"/>
      <c r="IM243" s="42"/>
      <c r="IN243" s="42"/>
      <c r="IO243" s="42"/>
      <c r="IP243" s="42"/>
      <c r="IQ243" s="42"/>
      <c r="IR243" s="42"/>
      <c r="IS243" s="42"/>
      <c r="IT243" s="42"/>
      <c r="IU243" s="42"/>
      <c r="IV243" s="42"/>
      <c r="IW243" s="42"/>
      <c r="IX243" s="42"/>
      <c r="IY243" s="42"/>
      <c r="IZ243" s="42"/>
      <c r="JA243" s="42"/>
      <c r="JB243" s="42"/>
      <c r="JC243" s="42"/>
      <c r="JD243" s="42"/>
      <c r="JE243" s="42"/>
      <c r="JF243" s="42"/>
      <c r="JG243" s="42"/>
      <c r="JH243" s="42"/>
      <c r="JI243" s="42"/>
      <c r="JJ243" s="42"/>
      <c r="JK243" s="42"/>
      <c r="JL243" s="42"/>
      <c r="JM243" s="42"/>
      <c r="JN243" s="42"/>
      <c r="JO243" s="42"/>
      <c r="JP243" s="42"/>
      <c r="JQ243" s="42"/>
      <c r="JR243" s="42"/>
      <c r="JS243" s="42"/>
      <c r="JT243" s="42"/>
      <c r="JU243" s="42"/>
      <c r="JV243" s="42"/>
      <c r="JW243" s="42"/>
      <c r="JX243" s="42"/>
      <c r="JY243" s="42"/>
      <c r="JZ243" s="42"/>
      <c r="KA243" s="42"/>
      <c r="KB243" s="42"/>
      <c r="KC243" s="42"/>
      <c r="KD243" s="42"/>
      <c r="KE243" s="42"/>
      <c r="KF243" s="42"/>
      <c r="KG243" s="42"/>
      <c r="KH243" s="42"/>
      <c r="KI243" s="42"/>
      <c r="KJ243" s="42"/>
      <c r="KK243" s="42"/>
      <c r="KL243" s="42"/>
      <c r="KM243" s="42"/>
      <c r="KN243" s="42"/>
      <c r="KO243" s="42"/>
      <c r="KP243" s="42"/>
      <c r="KQ243" s="42"/>
      <c r="KR243" s="42"/>
      <c r="KS243" s="42"/>
      <c r="KT243" s="42"/>
      <c r="KU243" s="42"/>
      <c r="KV243" s="42"/>
      <c r="KW243" s="42"/>
      <c r="KX243" s="42"/>
      <c r="KY243" s="42"/>
      <c r="KZ243" s="42"/>
      <c r="LA243" s="42"/>
      <c r="LB243" s="42"/>
      <c r="LC243" s="42"/>
      <c r="LD243" s="42"/>
      <c r="LE243" s="42"/>
      <c r="LF243" s="42"/>
      <c r="LG243" s="42"/>
      <c r="LH243" s="42"/>
      <c r="LI243" s="42"/>
      <c r="LJ243" s="42"/>
      <c r="LK243" s="42"/>
      <c r="LL243" s="42"/>
      <c r="LM243" s="42"/>
      <c r="LN243" s="42"/>
      <c r="LO243" s="42"/>
      <c r="LP243" s="42"/>
      <c r="LQ243" s="42"/>
      <c r="LR243" s="42"/>
      <c r="LS243" s="42"/>
      <c r="LT243" s="42"/>
      <c r="LU243" s="42"/>
      <c r="LV243" s="42"/>
      <c r="LW243" s="42"/>
      <c r="LX243" s="42"/>
      <c r="LY243" s="42"/>
      <c r="LZ243" s="42"/>
      <c r="MA243" s="42"/>
      <c r="MB243" s="42"/>
      <c r="MC243" s="42"/>
      <c r="MD243" s="42"/>
      <c r="ME243" s="42"/>
      <c r="MF243" s="42"/>
      <c r="MG243" s="42"/>
      <c r="MH243" s="42"/>
      <c r="MI243" s="42"/>
      <c r="MJ243" s="42"/>
      <c r="MK243" s="42"/>
      <c r="ML243" s="42"/>
      <c r="MM243" s="42"/>
      <c r="MN243" s="42"/>
      <c r="MO243" s="42"/>
      <c r="MP243" s="42"/>
      <c r="MQ243" s="42"/>
      <c r="MR243" s="42"/>
      <c r="MS243" s="42"/>
      <c r="MT243" s="42"/>
      <c r="MU243" s="42"/>
      <c r="MV243" s="42"/>
      <c r="MW243" s="42"/>
      <c r="MX243" s="42"/>
      <c r="MY243" s="42"/>
      <c r="MZ243" s="42"/>
      <c r="NA243" s="42"/>
      <c r="NB243" s="42"/>
      <c r="NC243" s="42"/>
      <c r="ND243" s="42"/>
      <c r="NE243" s="42"/>
      <c r="NF243" s="42"/>
      <c r="NG243" s="42"/>
      <c r="NH243" s="42"/>
      <c r="NI243" s="42"/>
      <c r="NJ243" s="42"/>
      <c r="NK243" s="42"/>
      <c r="NL243" s="42"/>
      <c r="NM243" s="42"/>
      <c r="NN243" s="42"/>
      <c r="NO243" s="42"/>
      <c r="NP243" s="42"/>
      <c r="NQ243" s="42"/>
      <c r="NR243" s="42"/>
      <c r="NS243" s="42"/>
      <c r="NT243" s="42"/>
      <c r="NU243" s="42"/>
      <c r="NV243" s="42"/>
      <c r="NW243" s="42"/>
      <c r="NX243" s="42"/>
      <c r="NY243" s="42"/>
      <c r="NZ243" s="42"/>
      <c r="OA243" s="42"/>
      <c r="OB243" s="42"/>
      <c r="OC243" s="42"/>
      <c r="OD243" s="42"/>
      <c r="OE243" s="42"/>
      <c r="OF243" s="42"/>
      <c r="OG243" s="42"/>
      <c r="OH243" s="42"/>
      <c r="OI243" s="42"/>
      <c r="OJ243" s="42"/>
      <c r="OK243" s="42"/>
      <c r="OL243" s="42"/>
      <c r="OM243" s="42"/>
      <c r="ON243" s="42"/>
      <c r="OO243" s="42"/>
      <c r="OP243" s="42"/>
      <c r="OQ243" s="42"/>
      <c r="OR243" s="42"/>
      <c r="OS243" s="42"/>
      <c r="OT243" s="42"/>
      <c r="OU243" s="42"/>
      <c r="OV243" s="42"/>
      <c r="OW243" s="42"/>
      <c r="OX243" s="42"/>
      <c r="OY243" s="42"/>
      <c r="OZ243" s="42"/>
      <c r="PA243" s="42"/>
      <c r="PB243" s="42"/>
      <c r="PC243" s="42"/>
      <c r="PD243" s="42"/>
      <c r="PE243" s="42"/>
      <c r="PF243" s="42"/>
      <c r="PG243" s="42"/>
      <c r="PH243" s="42"/>
      <c r="PI243" s="42"/>
      <c r="PJ243" s="42"/>
      <c r="PK243" s="42"/>
      <c r="PL243" s="42"/>
      <c r="PM243" s="42"/>
      <c r="PN243" s="42"/>
      <c r="PO243" s="42"/>
      <c r="PP243" s="42"/>
      <c r="PQ243" s="42"/>
      <c r="PR243" s="42"/>
      <c r="PS243" s="42"/>
      <c r="PT243" s="42"/>
      <c r="PU243" s="42"/>
      <c r="PV243" s="42"/>
      <c r="PW243" s="42"/>
      <c r="PX243" s="42"/>
      <c r="PY243" s="42"/>
      <c r="PZ243" s="42"/>
      <c r="QA243" s="42"/>
      <c r="QB243" s="42"/>
      <c r="QC243" s="42"/>
      <c r="QD243" s="42"/>
      <c r="QE243" s="42"/>
      <c r="QF243" s="42"/>
      <c r="QG243" s="42"/>
      <c r="QH243" s="42"/>
      <c r="QI243" s="42"/>
      <c r="QJ243" s="42"/>
      <c r="QK243" s="42"/>
      <c r="QL243" s="42"/>
      <c r="QM243" s="42"/>
      <c r="QN243" s="42"/>
      <c r="QO243" s="42"/>
      <c r="QP243" s="42"/>
      <c r="QQ243" s="42"/>
      <c r="QR243" s="42"/>
      <c r="QS243" s="42"/>
      <c r="QT243" s="42"/>
      <c r="QU243" s="42"/>
      <c r="QV243" s="42"/>
      <c r="QW243" s="42"/>
      <c r="QX243" s="42"/>
      <c r="QY243" s="42"/>
      <c r="QZ243" s="42"/>
      <c r="RA243" s="42"/>
      <c r="RB243" s="42"/>
      <c r="RC243" s="42"/>
      <c r="RD243" s="42"/>
      <c r="RE243" s="42"/>
      <c r="RF243" s="42"/>
      <c r="RG243" s="42"/>
      <c r="RH243" s="42"/>
      <c r="RI243" s="42"/>
      <c r="RJ243" s="42"/>
      <c r="RK243" s="42"/>
      <c r="RL243" s="42"/>
      <c r="RM243" s="42"/>
      <c r="RN243" s="42"/>
      <c r="RO243" s="42"/>
      <c r="RP243" s="42"/>
      <c r="RQ243" s="42"/>
      <c r="RR243" s="42"/>
      <c r="RS243" s="42"/>
      <c r="RT243" s="42"/>
      <c r="RU243" s="42"/>
      <c r="RV243" s="42"/>
      <c r="RW243" s="42"/>
      <c r="RX243" s="42"/>
      <c r="RY243" s="42"/>
      <c r="RZ243" s="42"/>
      <c r="SA243" s="42"/>
      <c r="SB243" s="42"/>
      <c r="SC243" s="42"/>
      <c r="SD243" s="42"/>
      <c r="SE243" s="42"/>
      <c r="SF243" s="42"/>
      <c r="SG243" s="42"/>
      <c r="SH243" s="42"/>
      <c r="SI243" s="42"/>
      <c r="SJ243" s="42"/>
      <c r="SK243" s="42"/>
      <c r="SL243" s="42"/>
      <c r="SM243" s="42"/>
      <c r="SN243" s="42"/>
      <c r="SO243" s="42"/>
      <c r="SP243" s="42"/>
      <c r="SQ243" s="42"/>
      <c r="SR243" s="42"/>
      <c r="SS243" s="42"/>
      <c r="ST243" s="42"/>
      <c r="SU243" s="42"/>
      <c r="SV243" s="42"/>
      <c r="SW243" s="42"/>
      <c r="SX243" s="42"/>
      <c r="SY243" s="42"/>
      <c r="SZ243" s="42"/>
      <c r="TA243" s="42"/>
      <c r="TB243" s="42"/>
      <c r="TC243" s="42"/>
      <c r="TD243" s="42"/>
      <c r="TE243" s="42"/>
      <c r="TF243" s="42"/>
      <c r="TG243" s="42"/>
      <c r="TH243" s="42"/>
      <c r="TI243" s="42"/>
      <c r="TJ243" s="42"/>
      <c r="TK243" s="42"/>
      <c r="TL243" s="42"/>
      <c r="TM243" s="42"/>
      <c r="TN243" s="42"/>
      <c r="TO243" s="42"/>
      <c r="TP243" s="42"/>
      <c r="TQ243" s="42"/>
      <c r="TR243" s="42"/>
      <c r="TS243" s="42"/>
      <c r="TT243" s="42"/>
      <c r="TU243" s="42"/>
      <c r="TV243" s="42"/>
      <c r="TW243" s="42"/>
      <c r="TX243" s="42"/>
      <c r="TY243" s="42"/>
      <c r="TZ243" s="42"/>
      <c r="UA243" s="42"/>
      <c r="UB243" s="42"/>
      <c r="UC243" s="42"/>
      <c r="UD243" s="42"/>
      <c r="UE243" s="42"/>
      <c r="UF243" s="42"/>
      <c r="UG243" s="42"/>
      <c r="UH243" s="42"/>
      <c r="UI243" s="42"/>
      <c r="UJ243" s="42"/>
      <c r="UK243" s="42"/>
      <c r="UL243" s="42"/>
      <c r="UM243" s="42"/>
      <c r="UN243" s="42"/>
      <c r="UO243" s="42"/>
      <c r="UP243" s="42"/>
      <c r="UQ243" s="42"/>
      <c r="UR243" s="42"/>
      <c r="US243" s="42"/>
      <c r="UT243" s="42"/>
      <c r="UU243" s="42"/>
      <c r="UV243" s="42"/>
      <c r="UW243" s="42"/>
      <c r="UX243" s="42"/>
      <c r="UY243" s="42"/>
      <c r="UZ243" s="42"/>
      <c r="VA243" s="42"/>
      <c r="VB243" s="42"/>
      <c r="VC243" s="42"/>
      <c r="VD243" s="42"/>
      <c r="VE243" s="42"/>
      <c r="VF243" s="42"/>
      <c r="VG243" s="42"/>
      <c r="VH243" s="42"/>
      <c r="VI243" s="42"/>
      <c r="VJ243" s="42"/>
      <c r="VK243" s="42"/>
      <c r="VL243" s="42"/>
      <c r="VM243" s="42"/>
      <c r="VN243" s="42"/>
      <c r="VO243" s="42"/>
      <c r="VP243" s="42"/>
      <c r="VQ243" s="42"/>
      <c r="VR243" s="42"/>
      <c r="VS243" s="42"/>
      <c r="VT243" s="42"/>
      <c r="VU243" s="42"/>
      <c r="VV243" s="42"/>
      <c r="VW243" s="42"/>
      <c r="VX243" s="42"/>
      <c r="VY243" s="42"/>
      <c r="VZ243" s="42"/>
      <c r="WA243" s="42"/>
      <c r="WB243" s="42"/>
      <c r="WC243" s="42"/>
      <c r="WD243" s="42"/>
      <c r="WE243" s="42"/>
      <c r="WF243" s="42"/>
      <c r="WG243" s="42"/>
      <c r="WH243" s="42"/>
      <c r="WI243" s="42"/>
      <c r="WJ243" s="42"/>
      <c r="WK243" s="42"/>
      <c r="WL243" s="42"/>
      <c r="WM243" s="42"/>
      <c r="WN243" s="42"/>
      <c r="WO243" s="42"/>
      <c r="WP243" s="42"/>
      <c r="WQ243" s="42"/>
      <c r="WR243" s="42"/>
      <c r="WS243" s="42"/>
      <c r="WT243" s="42"/>
      <c r="WU243" s="42"/>
      <c r="WV243" s="42"/>
      <c r="WW243" s="42"/>
      <c r="WX243" s="42"/>
      <c r="WY243" s="42"/>
      <c r="WZ243" s="42"/>
      <c r="XA243" s="42"/>
      <c r="XB243" s="42"/>
      <c r="XC243" s="42"/>
      <c r="XD243" s="42"/>
      <c r="XE243" s="42"/>
      <c r="XF243" s="42"/>
      <c r="XG243" s="42"/>
      <c r="XH243" s="42"/>
      <c r="XI243" s="42"/>
      <c r="XJ243" s="42"/>
      <c r="XK243" s="42"/>
      <c r="XL243" s="42"/>
      <c r="XM243" s="42"/>
      <c r="XN243" s="42"/>
      <c r="XO243" s="42"/>
      <c r="XP243" s="42"/>
      <c r="XQ243" s="42"/>
      <c r="XR243" s="42"/>
      <c r="XS243" s="42"/>
      <c r="XT243" s="42"/>
      <c r="XU243" s="42"/>
      <c r="XV243" s="42"/>
      <c r="XW243" s="42"/>
      <c r="XX243" s="42"/>
      <c r="XY243" s="42"/>
      <c r="XZ243" s="42"/>
      <c r="YA243" s="42"/>
      <c r="YB243" s="42"/>
      <c r="YC243" s="42"/>
      <c r="YD243" s="42"/>
      <c r="YE243" s="42"/>
      <c r="YF243" s="42"/>
      <c r="YG243" s="42"/>
      <c r="YH243" s="42"/>
      <c r="YI243" s="42"/>
      <c r="YJ243" s="42"/>
      <c r="YK243" s="42"/>
      <c r="YL243" s="42"/>
      <c r="YM243" s="42"/>
      <c r="YN243" s="42"/>
      <c r="YO243" s="42"/>
      <c r="YP243" s="42"/>
      <c r="YQ243" s="42"/>
      <c r="YR243" s="42"/>
      <c r="YS243" s="42"/>
      <c r="YT243" s="42"/>
      <c r="YU243" s="42"/>
      <c r="YV243" s="42"/>
      <c r="YW243" s="42"/>
      <c r="YX243" s="42"/>
      <c r="YY243" s="42"/>
      <c r="YZ243" s="42"/>
      <c r="ZA243" s="42"/>
      <c r="ZB243" s="42"/>
      <c r="ZC243" s="42"/>
      <c r="ZD243" s="42"/>
      <c r="ZE243" s="42"/>
      <c r="ZF243" s="42"/>
      <c r="ZG243" s="42"/>
      <c r="ZH243" s="42"/>
      <c r="ZI243" s="42"/>
      <c r="ZJ243" s="42"/>
      <c r="ZK243" s="42"/>
      <c r="ZL243" s="42"/>
      <c r="ZM243" s="42"/>
      <c r="ZN243" s="42"/>
      <c r="ZO243" s="42"/>
      <c r="ZP243" s="42"/>
      <c r="ZQ243" s="42"/>
      <c r="ZR243" s="42"/>
      <c r="ZS243" s="42"/>
      <c r="ZT243" s="42"/>
      <c r="ZU243" s="42"/>
      <c r="ZV243" s="42"/>
      <c r="ZW243" s="42"/>
      <c r="ZX243" s="42"/>
      <c r="ZY243" s="42"/>
      <c r="ZZ243" s="42"/>
      <c r="AAA243" s="42"/>
      <c r="AAB243" s="42"/>
      <c r="AAC243" s="42"/>
      <c r="AAD243" s="42"/>
      <c r="AAE243" s="42"/>
      <c r="AAF243" s="42"/>
      <c r="AAG243" s="42"/>
      <c r="AAH243" s="42"/>
      <c r="AAI243" s="42"/>
      <c r="AAJ243" s="42"/>
      <c r="AAK243" s="42"/>
      <c r="AAL243" s="42"/>
      <c r="AAM243" s="42"/>
      <c r="AAN243" s="42"/>
      <c r="AAO243" s="42"/>
      <c r="AAP243" s="42"/>
      <c r="AAQ243" s="42"/>
      <c r="AAR243" s="42"/>
      <c r="AAS243" s="42"/>
      <c r="AAT243" s="42"/>
      <c r="AAU243" s="42"/>
      <c r="AAV243" s="42"/>
      <c r="AAW243" s="42"/>
      <c r="AAX243" s="42"/>
      <c r="AAY243" s="42"/>
      <c r="AAZ243" s="42"/>
      <c r="ABA243" s="42"/>
      <c r="ABB243" s="42"/>
      <c r="ABC243" s="42"/>
      <c r="ABD243" s="42"/>
      <c r="ABE243" s="42"/>
      <c r="ABF243" s="42"/>
      <c r="ABG243" s="42"/>
      <c r="ABH243" s="42"/>
      <c r="ABI243" s="42"/>
      <c r="ABJ243" s="42"/>
      <c r="ABK243" s="42"/>
      <c r="ABL243" s="42"/>
      <c r="ABM243" s="42"/>
      <c r="ABN243" s="42"/>
      <c r="ABO243" s="42"/>
      <c r="ABP243" s="42"/>
      <c r="ABQ243" s="42"/>
      <c r="ABR243" s="42"/>
      <c r="ABS243" s="42"/>
      <c r="ABT243" s="42"/>
      <c r="ABU243" s="42"/>
      <c r="ABV243" s="42"/>
      <c r="ABW243" s="42"/>
      <c r="ABX243" s="42"/>
      <c r="ABY243" s="42"/>
      <c r="ABZ243" s="42"/>
      <c r="ACA243" s="42"/>
      <c r="ACB243" s="42"/>
      <c r="ACC243" s="42"/>
      <c r="ACD243" s="42"/>
      <c r="ACE243" s="42"/>
      <c r="ACF243" s="42"/>
      <c r="ACG243" s="42"/>
      <c r="ACH243" s="42"/>
      <c r="ACI243" s="42"/>
      <c r="ACJ243" s="42"/>
      <c r="ACK243" s="42"/>
      <c r="ACL243" s="42"/>
      <c r="ACM243" s="42"/>
      <c r="ACN243" s="42"/>
      <c r="ACO243" s="42"/>
      <c r="ACP243" s="42"/>
      <c r="ACQ243" s="42"/>
      <c r="ACR243" s="42"/>
      <c r="ACS243" s="42"/>
      <c r="ACT243" s="42"/>
      <c r="ACU243" s="42"/>
      <c r="ACV243" s="42"/>
      <c r="ACW243" s="42"/>
      <c r="ACX243" s="42"/>
      <c r="ACY243" s="42"/>
      <c r="ACZ243" s="42"/>
      <c r="ADA243" s="42"/>
      <c r="ADB243" s="42"/>
      <c r="ADC243" s="42"/>
      <c r="ADD243" s="42"/>
      <c r="ADE243" s="42"/>
      <c r="ADF243" s="42"/>
      <c r="ADG243" s="42"/>
      <c r="ADH243" s="42"/>
      <c r="ADI243" s="42"/>
      <c r="ADJ243" s="42"/>
      <c r="ADK243" s="42"/>
      <c r="ADL243" s="42"/>
      <c r="ADM243" s="42"/>
      <c r="ADN243" s="42"/>
      <c r="ADO243" s="42"/>
      <c r="ADP243" s="42"/>
      <c r="ADQ243" s="42"/>
      <c r="ADR243" s="42"/>
      <c r="ADS243" s="42"/>
      <c r="ADT243" s="42"/>
      <c r="ADU243" s="42"/>
      <c r="ADV243" s="42"/>
      <c r="ADW243" s="42"/>
      <c r="ADX243" s="42"/>
      <c r="ADY243" s="42"/>
      <c r="ADZ243" s="42"/>
      <c r="AEA243" s="42"/>
      <c r="AEB243" s="42"/>
      <c r="AEC243" s="42"/>
      <c r="AED243" s="42"/>
      <c r="AEE243" s="42"/>
      <c r="AEF243" s="42"/>
      <c r="AEG243" s="42"/>
      <c r="AEH243" s="42"/>
      <c r="AEI243" s="42"/>
      <c r="AEJ243" s="42"/>
      <c r="AEK243" s="42"/>
      <c r="AEL243" s="42"/>
      <c r="AEM243" s="42"/>
      <c r="AEN243" s="42"/>
      <c r="AEO243" s="42"/>
      <c r="AEP243" s="42"/>
      <c r="AEQ243" s="42"/>
      <c r="AER243" s="42"/>
      <c r="AES243" s="42"/>
      <c r="AET243" s="42"/>
      <c r="AEU243" s="42"/>
      <c r="AEV243" s="42"/>
      <c r="AEW243" s="42"/>
      <c r="AEX243" s="42"/>
      <c r="AEY243" s="42"/>
      <c r="AEZ243" s="42"/>
      <c r="AFA243" s="42"/>
      <c r="AFB243" s="42"/>
      <c r="AFC243" s="42"/>
      <c r="AFD243" s="42"/>
      <c r="AFE243" s="42"/>
      <c r="AFF243" s="42"/>
      <c r="AFG243" s="42"/>
      <c r="AFH243" s="42"/>
      <c r="AFI243" s="42"/>
      <c r="AFJ243" s="42"/>
      <c r="AFK243" s="42"/>
      <c r="AFL243" s="42"/>
      <c r="AFM243" s="42"/>
      <c r="AFN243" s="42"/>
      <c r="AFO243" s="42"/>
      <c r="AFP243" s="42"/>
      <c r="AFQ243" s="42"/>
      <c r="AFR243" s="42"/>
      <c r="AFS243" s="42"/>
      <c r="AFT243" s="42"/>
      <c r="AFU243" s="42"/>
      <c r="AFV243" s="42"/>
      <c r="AFW243" s="42"/>
      <c r="AFX243" s="42"/>
      <c r="AFY243" s="42"/>
      <c r="AFZ243" s="42"/>
      <c r="AGA243" s="42"/>
      <c r="AGB243" s="42"/>
      <c r="AGC243" s="42"/>
      <c r="AGD243" s="42"/>
      <c r="AGE243" s="42"/>
      <c r="AGF243" s="42"/>
      <c r="AGG243" s="42"/>
      <c r="AGH243" s="42"/>
      <c r="AGI243" s="42"/>
      <c r="AGJ243" s="42"/>
      <c r="AGK243" s="42"/>
      <c r="AGL243" s="42"/>
      <c r="AGM243" s="42"/>
      <c r="AGN243" s="42"/>
      <c r="AGO243" s="42"/>
      <c r="AGP243" s="42"/>
      <c r="AGQ243" s="42"/>
      <c r="AGR243" s="42"/>
      <c r="AGS243" s="42"/>
      <c r="AGT243" s="42"/>
      <c r="AGU243" s="42"/>
      <c r="AGV243" s="42"/>
      <c r="AGW243" s="42"/>
      <c r="AGX243" s="42"/>
      <c r="AGY243" s="42"/>
      <c r="AGZ243" s="42"/>
      <c r="AHA243" s="42"/>
      <c r="AHB243" s="42"/>
      <c r="AHC243" s="42"/>
      <c r="AHD243" s="42"/>
      <c r="AHE243" s="42"/>
      <c r="AHF243" s="42"/>
      <c r="AHG243" s="42"/>
      <c r="AHH243" s="42"/>
      <c r="AHI243" s="42"/>
      <c r="AHJ243" s="42"/>
      <c r="AHK243" s="42"/>
      <c r="AHL243" s="42"/>
      <c r="AHM243" s="42"/>
      <c r="AHN243" s="42"/>
      <c r="AHO243" s="42"/>
      <c r="AHP243" s="42"/>
      <c r="AHQ243" s="42"/>
      <c r="AHR243" s="42"/>
      <c r="AHS243" s="42"/>
      <c r="AHT243" s="42"/>
      <c r="AHU243" s="42"/>
      <c r="AHV243" s="42"/>
      <c r="AHW243" s="42"/>
      <c r="AHX243" s="42"/>
      <c r="AHY243" s="42"/>
      <c r="AHZ243" s="42"/>
      <c r="AIA243" s="42"/>
      <c r="AIB243" s="42"/>
      <c r="AIC243" s="42"/>
      <c r="AID243" s="42"/>
      <c r="AIE243" s="42"/>
      <c r="AIF243" s="42"/>
      <c r="AIG243" s="42"/>
      <c r="AIH243" s="42"/>
      <c r="AII243" s="42"/>
      <c r="AIJ243" s="42"/>
      <c r="AIK243" s="42"/>
      <c r="AIL243" s="42"/>
      <c r="AIM243" s="42"/>
      <c r="AIN243" s="42"/>
      <c r="AIO243" s="42"/>
      <c r="AIP243" s="42"/>
      <c r="AIQ243" s="42"/>
      <c r="AIR243" s="42"/>
      <c r="AIS243" s="42"/>
      <c r="AIT243" s="42"/>
      <c r="AIU243" s="42"/>
      <c r="AIV243" s="42"/>
      <c r="AIW243" s="42"/>
      <c r="AIX243" s="42"/>
      <c r="AIY243" s="42"/>
      <c r="AIZ243" s="42"/>
      <c r="AJA243" s="42"/>
      <c r="AJB243" s="42"/>
      <c r="AJC243" s="42"/>
      <c r="AJD243" s="42"/>
      <c r="AJE243" s="42"/>
      <c r="AJF243" s="42"/>
      <c r="AJG243" s="42"/>
      <c r="AJH243" s="42"/>
      <c r="AJI243" s="42"/>
      <c r="AJJ243" s="42"/>
      <c r="AJK243" s="42"/>
      <c r="AJL243" s="42"/>
      <c r="AJM243" s="42"/>
      <c r="AJN243" s="42"/>
      <c r="AJO243" s="42"/>
      <c r="AJP243" s="42"/>
      <c r="AJQ243" s="42"/>
      <c r="AJR243" s="42"/>
      <c r="AJS243" s="42"/>
      <c r="AJT243" s="42"/>
      <c r="AJU243" s="42"/>
      <c r="AJV243" s="42"/>
      <c r="AJW243" s="42"/>
      <c r="AJX243" s="42"/>
      <c r="AJY243" s="42"/>
      <c r="AJZ243" s="42"/>
      <c r="AKA243" s="42"/>
      <c r="AKB243" s="42"/>
      <c r="AKC243" s="42"/>
      <c r="AKD243" s="42"/>
      <c r="AKE243" s="42"/>
      <c r="AKF243" s="42"/>
      <c r="AKG243" s="42"/>
      <c r="AKH243" s="42"/>
      <c r="AKI243" s="42"/>
      <c r="AKJ243" s="42"/>
      <c r="AKK243" s="42"/>
      <c r="AKL243" s="42"/>
      <c r="AKM243" s="42"/>
      <c r="AKN243" s="42"/>
      <c r="AKO243" s="42"/>
      <c r="AKP243" s="42"/>
      <c r="AKQ243" s="42"/>
      <c r="AKR243" s="42"/>
      <c r="AKS243" s="42"/>
      <c r="AKT243" s="42"/>
      <c r="AKU243" s="42"/>
      <c r="AKV243" s="42"/>
      <c r="AKW243" s="42"/>
      <c r="AKX243" s="42"/>
      <c r="AKY243" s="42"/>
      <c r="AKZ243" s="42"/>
      <c r="ALA243" s="42"/>
      <c r="ALB243" s="42"/>
      <c r="ALC243" s="42"/>
      <c r="ALD243" s="42"/>
      <c r="ALE243" s="42"/>
      <c r="ALF243" s="42"/>
      <c r="ALG243" s="42"/>
      <c r="ALH243" s="42"/>
      <c r="ALI243" s="42"/>
      <c r="ALJ243" s="42"/>
      <c r="ALK243" s="42"/>
      <c r="ALL243" s="42"/>
      <c r="ALM243" s="42"/>
      <c r="ALN243" s="42"/>
      <c r="ALO243" s="42"/>
      <c r="ALP243" s="42"/>
      <c r="ALQ243" s="42"/>
      <c r="ALR243" s="42"/>
      <c r="ALS243" s="42"/>
      <c r="ALT243" s="42"/>
      <c r="ALU243" s="42"/>
      <c r="ALV243" s="42"/>
      <c r="ALW243" s="42"/>
      <c r="ALX243" s="42"/>
      <c r="ALY243" s="42"/>
      <c r="ALZ243" s="42"/>
      <c r="AMA243" s="42"/>
      <c r="AMB243" s="42"/>
      <c r="AMC243" s="42"/>
      <c r="AMD243" s="42"/>
      <c r="AME243" s="42"/>
      <c r="AMF243" s="42"/>
      <c r="AMG243" s="42"/>
      <c r="AMH243" s="42"/>
      <c r="AMI243" s="42"/>
      <c r="AMJ243" s="42"/>
      <c r="AMK243" s="42"/>
      <c r="AML243" s="42"/>
      <c r="AMM243" s="42"/>
      <c r="AMN243" s="42"/>
      <c r="AMO243" s="42"/>
      <c r="AMP243" s="42"/>
      <c r="AMQ243" s="42"/>
      <c r="AMR243" s="42"/>
      <c r="AMS243" s="42"/>
      <c r="AMT243" s="42"/>
      <c r="AMU243" s="42"/>
      <c r="AMV243" s="42"/>
      <c r="AMW243" s="42"/>
      <c r="AMX243" s="42"/>
      <c r="AMY243" s="42"/>
      <c r="AMZ243" s="42"/>
      <c r="ANA243" s="42"/>
      <c r="ANB243" s="42"/>
      <c r="ANC243" s="42"/>
      <c r="AND243" s="42"/>
      <c r="ANE243" s="42"/>
      <c r="ANF243" s="42"/>
      <c r="ANG243" s="42"/>
      <c r="ANH243" s="42"/>
      <c r="ANI243" s="42"/>
      <c r="ANJ243" s="42"/>
      <c r="ANK243" s="42"/>
      <c r="ANL243" s="42"/>
      <c r="ANM243" s="42"/>
      <c r="ANN243" s="42"/>
      <c r="ANO243" s="42"/>
      <c r="ANP243" s="42"/>
      <c r="ANQ243" s="42"/>
      <c r="ANR243" s="42"/>
      <c r="ANS243" s="42"/>
      <c r="ANT243" s="42"/>
      <c r="ANU243" s="42"/>
      <c r="ANV243" s="42"/>
      <c r="ANW243" s="42"/>
      <c r="ANX243" s="42"/>
      <c r="ANY243" s="42"/>
      <c r="ANZ243" s="42"/>
      <c r="AOA243" s="42"/>
      <c r="AOB243" s="42"/>
      <c r="AOC243" s="42"/>
      <c r="AOD243" s="42"/>
      <c r="AOE243" s="42"/>
      <c r="AOF243" s="42"/>
      <c r="AOG243" s="42"/>
      <c r="AOH243" s="42"/>
      <c r="AOI243" s="42"/>
      <c r="AOJ243" s="42"/>
      <c r="AOK243" s="42"/>
      <c r="AOL243" s="42"/>
      <c r="AOM243" s="42"/>
      <c r="AON243" s="42"/>
      <c r="AOO243" s="42"/>
      <c r="AOP243" s="42"/>
      <c r="AOQ243" s="42"/>
      <c r="AOR243" s="42"/>
      <c r="AOS243" s="42"/>
      <c r="AOT243" s="42"/>
      <c r="AOU243" s="42"/>
      <c r="AOV243" s="42"/>
      <c r="AOW243" s="42"/>
      <c r="AOX243" s="42"/>
      <c r="AOY243" s="42"/>
      <c r="AOZ243" s="42"/>
      <c r="APA243" s="42"/>
      <c r="APB243" s="42"/>
      <c r="APC243" s="42"/>
      <c r="APD243" s="42"/>
      <c r="APE243" s="42"/>
      <c r="APF243" s="42"/>
      <c r="APG243" s="42"/>
      <c r="APH243" s="42"/>
      <c r="API243" s="42"/>
      <c r="APJ243" s="42"/>
      <c r="APK243" s="42"/>
      <c r="APL243" s="42"/>
      <c r="APM243" s="42"/>
      <c r="APN243" s="42"/>
      <c r="APO243" s="42"/>
      <c r="APP243" s="42"/>
      <c r="APQ243" s="42"/>
      <c r="APR243" s="42"/>
      <c r="APS243" s="42"/>
      <c r="APT243" s="42"/>
      <c r="APU243" s="42"/>
      <c r="APV243" s="42"/>
      <c r="APW243" s="42"/>
      <c r="APX243" s="42"/>
      <c r="APY243" s="42"/>
      <c r="APZ243" s="42"/>
      <c r="AQA243" s="42"/>
      <c r="AQB243" s="42"/>
      <c r="AQC243" s="42"/>
      <c r="AQD243" s="42"/>
      <c r="AQE243" s="42"/>
      <c r="AQF243" s="42"/>
      <c r="AQG243" s="42"/>
      <c r="AQH243" s="42"/>
      <c r="AQI243" s="42"/>
      <c r="AQJ243" s="42"/>
      <c r="AQK243" s="42"/>
      <c r="AQL243" s="42"/>
      <c r="AQM243" s="42"/>
      <c r="AQN243" s="42"/>
      <c r="AQO243" s="42"/>
      <c r="AQP243" s="42"/>
      <c r="AQQ243" s="42"/>
      <c r="AQR243" s="42"/>
      <c r="AQS243" s="42"/>
      <c r="AQT243" s="42"/>
      <c r="AQU243" s="42"/>
      <c r="AQV243" s="42"/>
      <c r="AQW243" s="42"/>
      <c r="AQX243" s="42"/>
      <c r="AQY243" s="42"/>
      <c r="AQZ243" s="42"/>
      <c r="ARA243" s="42"/>
      <c r="ARB243" s="42"/>
      <c r="ARC243" s="42"/>
      <c r="ARD243" s="42"/>
      <c r="ARE243" s="42"/>
      <c r="ARF243" s="42"/>
      <c r="ARG243" s="42"/>
      <c r="ARH243" s="42"/>
      <c r="ARI243" s="42"/>
      <c r="ARJ243" s="42"/>
      <c r="ARK243" s="42"/>
      <c r="ARL243" s="42"/>
      <c r="ARM243" s="42"/>
      <c r="ARN243" s="42"/>
      <c r="ARO243" s="42"/>
      <c r="ARP243" s="42"/>
      <c r="ARQ243" s="42"/>
      <c r="ARR243" s="42"/>
      <c r="ARS243" s="42"/>
      <c r="ART243" s="42"/>
      <c r="ARU243" s="42"/>
      <c r="ARV243" s="42"/>
      <c r="ARW243" s="42"/>
      <c r="ARX243" s="42"/>
      <c r="ARY243" s="42"/>
      <c r="ARZ243" s="42"/>
      <c r="ASA243" s="42"/>
      <c r="ASB243" s="42"/>
      <c r="ASC243" s="42"/>
      <c r="ASD243" s="42"/>
      <c r="ASE243" s="42"/>
      <c r="ASF243" s="42"/>
      <c r="ASG243" s="42"/>
      <c r="ASH243" s="42"/>
      <c r="ASI243" s="42"/>
      <c r="ASJ243" s="42"/>
      <c r="ASK243" s="42"/>
      <c r="ASL243" s="42"/>
      <c r="ASM243" s="42"/>
      <c r="ASN243" s="42"/>
      <c r="ASO243" s="42"/>
      <c r="ASP243" s="42"/>
      <c r="ASQ243" s="42"/>
      <c r="ASR243" s="42"/>
      <c r="ASS243" s="42"/>
      <c r="AST243" s="42"/>
      <c r="ASU243" s="42"/>
      <c r="ASV243" s="42"/>
      <c r="ASW243" s="42"/>
      <c r="ASX243" s="42"/>
      <c r="ASY243" s="42"/>
      <c r="ASZ243" s="42"/>
      <c r="ATA243" s="42"/>
      <c r="ATB243" s="42"/>
      <c r="ATC243" s="42"/>
      <c r="ATD243" s="42"/>
      <c r="ATE243" s="42"/>
      <c r="ATF243" s="42"/>
      <c r="ATG243" s="42"/>
      <c r="ATH243" s="42"/>
      <c r="ATI243" s="42"/>
      <c r="ATJ243" s="42"/>
      <c r="ATK243" s="42"/>
      <c r="ATL243" s="42"/>
      <c r="ATM243" s="42"/>
      <c r="ATN243" s="42"/>
      <c r="ATO243" s="42"/>
      <c r="ATP243" s="42"/>
      <c r="ATQ243" s="42"/>
      <c r="ATR243" s="42"/>
      <c r="ATS243" s="42"/>
      <c r="ATT243" s="42"/>
      <c r="ATU243" s="42"/>
      <c r="ATV243" s="42"/>
      <c r="ATW243" s="42"/>
      <c r="ATX243" s="42"/>
      <c r="ATY243" s="42"/>
      <c r="ATZ243" s="42"/>
      <c r="AUA243" s="42"/>
      <c r="AUB243" s="42"/>
      <c r="AUC243" s="42"/>
      <c r="AUD243" s="42"/>
      <c r="AUE243" s="42"/>
      <c r="AUF243" s="42"/>
      <c r="AUG243" s="42"/>
      <c r="AUH243" s="42"/>
      <c r="AUI243" s="42"/>
      <c r="AUJ243" s="42"/>
      <c r="AUK243" s="42"/>
      <c r="AUL243" s="42"/>
      <c r="AUM243" s="42"/>
      <c r="AUN243" s="42"/>
      <c r="AUO243" s="42"/>
      <c r="AUP243" s="42"/>
      <c r="AUQ243" s="42"/>
      <c r="AUR243" s="42"/>
      <c r="AUS243" s="42"/>
      <c r="AUT243" s="42"/>
      <c r="AUU243" s="42"/>
      <c r="AUV243" s="42"/>
      <c r="AUW243" s="42"/>
      <c r="AUX243" s="42"/>
      <c r="AUY243" s="42"/>
      <c r="AUZ243" s="42"/>
      <c r="AVA243" s="42"/>
      <c r="AVB243" s="42"/>
      <c r="AVC243" s="42"/>
      <c r="AVD243" s="42"/>
      <c r="AVE243" s="42"/>
      <c r="AVF243" s="42"/>
      <c r="AVG243" s="42"/>
      <c r="AVH243" s="42"/>
      <c r="AVI243" s="42"/>
      <c r="AVJ243" s="42"/>
      <c r="AVK243" s="42"/>
      <c r="AVL243" s="42"/>
      <c r="AVM243" s="42"/>
      <c r="AVN243" s="42"/>
      <c r="AVO243" s="42"/>
      <c r="AVP243" s="42"/>
      <c r="AVQ243" s="42"/>
      <c r="AVR243" s="42"/>
      <c r="AVS243" s="42"/>
      <c r="AVT243" s="42"/>
      <c r="AVU243" s="42"/>
      <c r="AVV243" s="42"/>
      <c r="AVW243" s="42"/>
      <c r="AVX243" s="42"/>
      <c r="AVY243" s="42"/>
      <c r="AVZ243" s="42"/>
      <c r="AWA243" s="42"/>
      <c r="AWB243" s="42"/>
      <c r="AWC243" s="42"/>
      <c r="AWD243" s="42"/>
      <c r="AWE243" s="42"/>
      <c r="AWF243" s="42"/>
      <c r="AWG243" s="42"/>
      <c r="AWH243" s="42"/>
      <c r="AWI243" s="42"/>
      <c r="AWJ243" s="42"/>
      <c r="AWK243" s="42"/>
      <c r="AWL243" s="42"/>
      <c r="AWM243" s="42"/>
      <c r="AWN243" s="42"/>
      <c r="AWO243" s="42"/>
      <c r="AWP243" s="42"/>
      <c r="AWQ243" s="42"/>
      <c r="AWR243" s="42"/>
      <c r="AWS243" s="42"/>
      <c r="AWT243" s="42"/>
      <c r="AWU243" s="42"/>
      <c r="AWV243" s="42"/>
      <c r="AWW243" s="42"/>
      <c r="AWX243" s="42"/>
      <c r="AWY243" s="42"/>
      <c r="AWZ243" s="42"/>
      <c r="AXA243" s="42"/>
      <c r="AXB243" s="42"/>
      <c r="AXC243" s="42"/>
      <c r="AXD243" s="42"/>
      <c r="AXE243" s="42"/>
      <c r="AXF243" s="42"/>
      <c r="AXG243" s="42"/>
      <c r="AXH243" s="42"/>
      <c r="AXI243" s="42"/>
      <c r="AXJ243" s="42"/>
      <c r="AXK243" s="42"/>
      <c r="AXL243" s="42"/>
      <c r="AXM243" s="42"/>
      <c r="AXN243" s="42"/>
      <c r="AXO243" s="42"/>
      <c r="AXP243" s="42"/>
      <c r="AXQ243" s="42"/>
      <c r="AXR243" s="42"/>
      <c r="AXS243" s="42"/>
      <c r="AXT243" s="42"/>
      <c r="AXU243" s="42"/>
      <c r="AXV243" s="42"/>
      <c r="AXW243" s="42"/>
      <c r="AXX243" s="42"/>
      <c r="AXY243" s="42"/>
      <c r="AXZ243" s="42"/>
      <c r="AYA243" s="42"/>
      <c r="AYB243" s="42"/>
      <c r="AYC243" s="42"/>
      <c r="AYD243" s="42"/>
      <c r="AYE243" s="42"/>
      <c r="AYF243" s="42"/>
      <c r="AYG243" s="42"/>
      <c r="AYH243" s="42"/>
      <c r="AYI243" s="42"/>
      <c r="AYJ243" s="42"/>
      <c r="AYK243" s="42"/>
      <c r="AYL243" s="42"/>
      <c r="AYM243" s="42"/>
      <c r="AYN243" s="42"/>
      <c r="AYO243" s="42"/>
      <c r="AYP243" s="42"/>
      <c r="AYQ243" s="42"/>
      <c r="AYR243" s="42"/>
      <c r="AYS243" s="42"/>
      <c r="AYT243" s="42"/>
      <c r="AYU243" s="42"/>
      <c r="AYV243" s="42"/>
      <c r="AYW243" s="42"/>
      <c r="AYX243" s="42"/>
      <c r="AYY243" s="42"/>
      <c r="AYZ243" s="42"/>
      <c r="AZA243" s="42"/>
      <c r="AZB243" s="42"/>
      <c r="AZC243" s="42"/>
      <c r="AZD243" s="42"/>
      <c r="AZE243" s="42"/>
      <c r="AZF243" s="42"/>
      <c r="AZG243" s="42"/>
      <c r="AZH243" s="42"/>
      <c r="AZI243" s="42"/>
      <c r="AZJ243" s="42"/>
      <c r="AZK243" s="42"/>
      <c r="AZL243" s="42"/>
      <c r="AZM243" s="42"/>
      <c r="AZN243" s="42"/>
      <c r="AZO243" s="42"/>
      <c r="AZP243" s="42"/>
      <c r="AZQ243" s="42"/>
      <c r="AZR243" s="42"/>
      <c r="AZS243" s="42"/>
      <c r="AZT243" s="42"/>
      <c r="AZU243" s="42"/>
      <c r="AZV243" s="42"/>
      <c r="AZW243" s="42"/>
      <c r="AZX243" s="42"/>
      <c r="AZY243" s="42"/>
      <c r="AZZ243" s="42"/>
      <c r="BAA243" s="42"/>
      <c r="BAB243" s="42"/>
      <c r="BAC243" s="42"/>
      <c r="BAD243" s="42"/>
      <c r="BAE243" s="42"/>
      <c r="BAF243" s="42"/>
      <c r="BAG243" s="42"/>
      <c r="BAH243" s="42"/>
      <c r="BAI243" s="42"/>
      <c r="BAJ243" s="42"/>
      <c r="BAK243" s="42"/>
      <c r="BAL243" s="42"/>
      <c r="BAM243" s="42"/>
      <c r="BAN243" s="42"/>
      <c r="BAO243" s="42"/>
      <c r="BAP243" s="42"/>
      <c r="BAQ243" s="42"/>
      <c r="BAR243" s="42"/>
      <c r="BAS243" s="42"/>
      <c r="BAT243" s="42"/>
      <c r="BAU243" s="42"/>
      <c r="BAV243" s="42"/>
      <c r="BAW243" s="42"/>
      <c r="BAX243" s="42"/>
      <c r="BAY243" s="42"/>
      <c r="BAZ243" s="42"/>
      <c r="BBA243" s="42"/>
      <c r="BBB243" s="42"/>
      <c r="BBC243" s="42"/>
      <c r="BBD243" s="42"/>
      <c r="BBE243" s="42"/>
      <c r="BBF243" s="42"/>
      <c r="BBG243" s="42"/>
      <c r="BBH243" s="42"/>
      <c r="BBI243" s="42"/>
      <c r="BBJ243" s="42"/>
      <c r="BBK243" s="42"/>
      <c r="BBL243" s="42"/>
      <c r="BBM243" s="42"/>
      <c r="BBN243" s="42"/>
      <c r="BBO243" s="42"/>
      <c r="BBP243" s="42"/>
      <c r="BBQ243" s="42"/>
      <c r="BBR243" s="42"/>
      <c r="BBS243" s="42"/>
      <c r="BBT243" s="42"/>
      <c r="BBU243" s="42"/>
      <c r="BBV243" s="42"/>
      <c r="BBW243" s="42"/>
      <c r="BBX243" s="42"/>
      <c r="BBY243" s="42"/>
      <c r="BBZ243" s="42"/>
      <c r="BCA243" s="42"/>
      <c r="BCB243" s="42"/>
      <c r="BCC243" s="42"/>
      <c r="BCD243" s="42"/>
      <c r="BCE243" s="42"/>
      <c r="BCF243" s="42"/>
      <c r="BCG243" s="42"/>
      <c r="BCH243" s="42"/>
      <c r="BCI243" s="42"/>
      <c r="BCJ243" s="42"/>
      <c r="BCK243" s="42"/>
      <c r="BCL243" s="42"/>
      <c r="BCM243" s="42"/>
      <c r="BCN243" s="42"/>
      <c r="BCO243" s="42"/>
      <c r="BCP243" s="42"/>
      <c r="BCQ243" s="42"/>
      <c r="BCR243" s="42"/>
      <c r="BCS243" s="42"/>
      <c r="BCT243" s="42"/>
      <c r="BCU243" s="42"/>
      <c r="BCV243" s="42"/>
      <c r="BCW243" s="42"/>
      <c r="BCX243" s="42"/>
      <c r="BCY243" s="42"/>
      <c r="BCZ243" s="42"/>
      <c r="BDA243" s="42"/>
      <c r="BDB243" s="42"/>
      <c r="BDC243" s="42"/>
      <c r="BDD243" s="42"/>
      <c r="BDE243" s="42"/>
      <c r="BDF243" s="42"/>
      <c r="BDG243" s="42"/>
      <c r="BDH243" s="42"/>
      <c r="BDI243" s="42"/>
      <c r="BDJ243" s="42"/>
      <c r="BDK243" s="42"/>
      <c r="BDL243" s="42"/>
      <c r="BDM243" s="42"/>
      <c r="BDN243" s="42"/>
      <c r="BDO243" s="42"/>
      <c r="BDP243" s="42"/>
      <c r="BDQ243" s="42"/>
      <c r="BDR243" s="42"/>
      <c r="BDS243" s="42"/>
      <c r="BDT243" s="42"/>
      <c r="BDU243" s="42"/>
      <c r="BDV243" s="42"/>
      <c r="BDW243" s="42"/>
      <c r="BDX243" s="42"/>
      <c r="BDY243" s="42"/>
      <c r="BDZ243" s="42"/>
      <c r="BEA243" s="42"/>
      <c r="BEB243" s="42"/>
      <c r="BEC243" s="42"/>
      <c r="BED243" s="42"/>
      <c r="BEE243" s="42"/>
      <c r="BEF243" s="42"/>
      <c r="BEG243" s="42"/>
      <c r="BEH243" s="42"/>
      <c r="BEI243" s="42"/>
      <c r="BEJ243" s="42"/>
      <c r="BEK243" s="42"/>
      <c r="BEL243" s="42"/>
      <c r="BEM243" s="42"/>
      <c r="BEN243" s="42"/>
      <c r="BEO243" s="42"/>
      <c r="BEP243" s="42"/>
      <c r="BEQ243" s="42"/>
      <c r="BER243" s="42"/>
      <c r="BES243" s="42"/>
      <c r="BET243" s="42"/>
      <c r="BEU243" s="42"/>
      <c r="BEV243" s="42"/>
      <c r="BEW243" s="42"/>
      <c r="BEX243" s="42"/>
      <c r="BEY243" s="42"/>
      <c r="BEZ243" s="42"/>
      <c r="BFA243" s="42"/>
      <c r="BFB243" s="42"/>
      <c r="BFC243" s="42"/>
      <c r="BFD243" s="42"/>
      <c r="BFE243" s="42"/>
      <c r="BFF243" s="42"/>
      <c r="BFG243" s="42"/>
      <c r="BFH243" s="42"/>
      <c r="BFI243" s="42"/>
      <c r="BFJ243" s="42"/>
      <c r="BFK243" s="42"/>
      <c r="BFL243" s="42"/>
      <c r="BFM243" s="42"/>
      <c r="BFN243" s="42"/>
      <c r="BFO243" s="42"/>
      <c r="BFP243" s="42"/>
      <c r="BFQ243" s="42"/>
      <c r="BFR243" s="42"/>
      <c r="BFS243" s="42"/>
      <c r="BFT243" s="42"/>
      <c r="BFU243" s="42"/>
      <c r="BFV243" s="42"/>
      <c r="BFW243" s="42"/>
      <c r="BFX243" s="42"/>
      <c r="BFY243" s="42"/>
      <c r="BFZ243" s="42"/>
      <c r="BGA243" s="42"/>
      <c r="BGB243" s="42"/>
      <c r="BGC243" s="42"/>
      <c r="BGD243" s="42"/>
      <c r="BGE243" s="42"/>
      <c r="BGF243" s="42"/>
      <c r="BGG243" s="42"/>
      <c r="BGH243" s="42"/>
      <c r="BGI243" s="42"/>
      <c r="BGJ243" s="42"/>
      <c r="BGK243" s="42"/>
      <c r="BGL243" s="42"/>
      <c r="BGM243" s="42"/>
      <c r="BGN243" s="42"/>
      <c r="BGO243" s="42"/>
      <c r="BGP243" s="42"/>
      <c r="BGQ243" s="42"/>
      <c r="BGR243" s="42"/>
      <c r="BGS243" s="42"/>
      <c r="BGT243" s="42"/>
      <c r="BGU243" s="42"/>
      <c r="BGV243" s="42"/>
      <c r="BGW243" s="42"/>
      <c r="BGX243" s="42"/>
      <c r="BGY243" s="42"/>
      <c r="BGZ243" s="42"/>
      <c r="BHA243" s="42"/>
      <c r="BHB243" s="42"/>
      <c r="BHC243" s="42"/>
      <c r="BHD243" s="42"/>
      <c r="BHE243" s="42"/>
      <c r="BHF243" s="42"/>
      <c r="BHG243" s="42"/>
      <c r="BHH243" s="42"/>
      <c r="BHI243" s="42"/>
      <c r="BHJ243" s="42"/>
      <c r="BHK243" s="42"/>
      <c r="BHL243" s="42"/>
      <c r="BHM243" s="42"/>
      <c r="BHN243" s="42"/>
      <c r="BHO243" s="42"/>
      <c r="BHP243" s="42"/>
      <c r="BHQ243" s="42"/>
      <c r="BHR243" s="42"/>
      <c r="BHS243" s="42"/>
      <c r="BHT243" s="42"/>
      <c r="BHU243" s="42"/>
      <c r="BHV243" s="42"/>
      <c r="BHW243" s="42"/>
      <c r="BHX243" s="42"/>
      <c r="BHY243" s="42"/>
      <c r="BHZ243" s="42"/>
      <c r="BIA243" s="42"/>
      <c r="BIB243" s="42"/>
      <c r="BIC243" s="42"/>
      <c r="BID243" s="42"/>
      <c r="BIE243" s="42"/>
      <c r="BIF243" s="42"/>
      <c r="BIG243" s="42"/>
      <c r="BIH243" s="42"/>
      <c r="BII243" s="42"/>
      <c r="BIJ243" s="42"/>
      <c r="BIK243" s="42"/>
      <c r="BIL243" s="42"/>
      <c r="BIM243" s="42"/>
      <c r="BIN243" s="42"/>
      <c r="BIO243" s="42"/>
      <c r="BIP243" s="42"/>
      <c r="BIQ243" s="42"/>
      <c r="BIR243" s="42"/>
      <c r="BIS243" s="42"/>
      <c r="BIT243" s="42"/>
      <c r="BIU243" s="42"/>
      <c r="BIV243" s="42"/>
      <c r="BIW243" s="42"/>
      <c r="BIX243" s="42"/>
      <c r="BIY243" s="42"/>
      <c r="BIZ243" s="42"/>
      <c r="BJA243" s="42"/>
      <c r="BJB243" s="42"/>
      <c r="BJC243" s="42"/>
      <c r="BJD243" s="42"/>
      <c r="BJE243" s="42"/>
      <c r="BJF243" s="42"/>
      <c r="BJG243" s="42"/>
      <c r="BJH243" s="42"/>
      <c r="BJI243" s="42"/>
      <c r="BJJ243" s="42"/>
      <c r="BJK243" s="42"/>
      <c r="BJL243" s="42"/>
      <c r="BJM243" s="42"/>
      <c r="BJN243" s="42"/>
      <c r="BJO243" s="42"/>
      <c r="BJP243" s="42"/>
      <c r="BJQ243" s="42"/>
      <c r="BJR243" s="42"/>
      <c r="BJS243" s="42"/>
      <c r="BJT243" s="42"/>
      <c r="BJU243" s="42"/>
      <c r="BJV243" s="42"/>
      <c r="BJW243" s="42"/>
      <c r="BJX243" s="42"/>
      <c r="BJY243" s="42"/>
      <c r="BJZ243" s="42"/>
      <c r="BKA243" s="42"/>
      <c r="BKB243" s="42"/>
      <c r="BKC243" s="42"/>
      <c r="BKD243" s="42"/>
      <c r="BKE243" s="42"/>
      <c r="BKF243" s="42"/>
      <c r="BKG243" s="42"/>
      <c r="BKH243" s="42"/>
      <c r="BKI243" s="42"/>
      <c r="BKJ243" s="42"/>
      <c r="BKK243" s="42"/>
      <c r="BKL243" s="42"/>
      <c r="BKM243" s="42"/>
      <c r="BKN243" s="42"/>
      <c r="BKO243" s="42"/>
      <c r="BKP243" s="42"/>
      <c r="BKQ243" s="42"/>
      <c r="BKR243" s="42"/>
      <c r="BKS243" s="42"/>
      <c r="BKT243" s="42"/>
      <c r="BKU243" s="42"/>
      <c r="BKV243" s="42"/>
      <c r="BKW243" s="42"/>
      <c r="BKX243" s="42"/>
      <c r="BKY243" s="42"/>
      <c r="BKZ243" s="42"/>
      <c r="BLA243" s="42"/>
      <c r="BLB243" s="42"/>
      <c r="BLC243" s="42"/>
      <c r="BLD243" s="42"/>
      <c r="BLE243" s="42"/>
      <c r="BLF243" s="42"/>
      <c r="BLG243" s="42"/>
      <c r="BLH243" s="42"/>
      <c r="BLI243" s="42"/>
      <c r="BLJ243" s="42"/>
      <c r="BLK243" s="42"/>
      <c r="BLL243" s="42"/>
      <c r="BLM243" s="42"/>
      <c r="BLN243" s="42"/>
      <c r="BLO243" s="42"/>
      <c r="BLP243" s="42"/>
      <c r="BLQ243" s="42"/>
      <c r="BLR243" s="42"/>
      <c r="BLS243" s="42"/>
      <c r="BLT243" s="42"/>
      <c r="BLU243" s="42"/>
      <c r="BLV243" s="42"/>
      <c r="BLW243" s="42"/>
      <c r="BLX243" s="42"/>
      <c r="BLY243" s="42"/>
      <c r="BLZ243" s="42"/>
      <c r="BMA243" s="42"/>
      <c r="BMB243" s="42"/>
      <c r="BMC243" s="42"/>
      <c r="BMD243" s="42"/>
      <c r="BME243" s="42"/>
      <c r="BMF243" s="42"/>
      <c r="BMG243" s="42"/>
      <c r="BMH243" s="42"/>
      <c r="BMI243" s="42"/>
      <c r="BMJ243" s="42"/>
      <c r="BMK243" s="42"/>
      <c r="BML243" s="42"/>
      <c r="BMM243" s="42"/>
      <c r="BMN243" s="42"/>
      <c r="BMO243" s="42"/>
      <c r="BMP243" s="42"/>
      <c r="BMQ243" s="42"/>
      <c r="BMR243" s="42"/>
      <c r="BMS243" s="42"/>
      <c r="BMT243" s="42"/>
      <c r="BMU243" s="42"/>
      <c r="BMV243" s="42"/>
      <c r="BMW243" s="42"/>
      <c r="BMX243" s="42"/>
      <c r="BMY243" s="42"/>
      <c r="BMZ243" s="42"/>
      <c r="BNA243" s="42"/>
      <c r="BNB243" s="42"/>
      <c r="BNC243" s="42"/>
      <c r="BND243" s="42"/>
      <c r="BNE243" s="42"/>
      <c r="BNF243" s="42"/>
      <c r="BNG243" s="42"/>
      <c r="BNH243" s="42"/>
      <c r="BNI243" s="42"/>
      <c r="BNJ243" s="42"/>
      <c r="BNK243" s="42"/>
      <c r="BNL243" s="42"/>
      <c r="BNM243" s="42"/>
      <c r="BNN243" s="42"/>
      <c r="BNO243" s="42"/>
      <c r="BNP243" s="42"/>
      <c r="BNQ243" s="42"/>
      <c r="BNR243" s="42"/>
      <c r="BNS243" s="42"/>
      <c r="BNT243" s="42"/>
      <c r="BNU243" s="42"/>
      <c r="BNV243" s="42"/>
      <c r="BNW243" s="42"/>
      <c r="BNX243" s="42"/>
      <c r="BNY243" s="42"/>
      <c r="BNZ243" s="42"/>
      <c r="BOA243" s="42"/>
      <c r="BOB243" s="42"/>
      <c r="BOC243" s="42"/>
      <c r="BOD243" s="42"/>
      <c r="BOE243" s="42"/>
      <c r="BOF243" s="42"/>
      <c r="BOG243" s="42"/>
      <c r="BOH243" s="42"/>
      <c r="BOI243" s="42"/>
      <c r="BOJ243" s="42"/>
      <c r="BOK243" s="42"/>
      <c r="BOL243" s="42"/>
      <c r="BOM243" s="42"/>
      <c r="BON243" s="42"/>
      <c r="BOO243" s="42"/>
      <c r="BOP243" s="42"/>
      <c r="BOQ243" s="42"/>
      <c r="BOR243" s="42"/>
      <c r="BOS243" s="42"/>
      <c r="BOT243" s="42"/>
      <c r="BOU243" s="42"/>
      <c r="BOV243" s="42"/>
      <c r="BOW243" s="42"/>
      <c r="BOX243" s="42"/>
      <c r="BOY243" s="42"/>
      <c r="BOZ243" s="42"/>
      <c r="BPA243" s="42"/>
      <c r="BPB243" s="42"/>
      <c r="BPC243" s="42"/>
      <c r="BPD243" s="42"/>
      <c r="BPE243" s="42"/>
      <c r="BPF243" s="42"/>
      <c r="BPG243" s="42"/>
      <c r="BPH243" s="42"/>
      <c r="BPI243" s="42"/>
      <c r="BPJ243" s="42"/>
      <c r="BPK243" s="42"/>
      <c r="BPL243" s="42"/>
      <c r="BPM243" s="42"/>
      <c r="BPN243" s="42"/>
      <c r="BPO243" s="42"/>
      <c r="BPP243" s="42"/>
      <c r="BPQ243" s="42"/>
      <c r="BPR243" s="42"/>
      <c r="BPS243" s="42"/>
      <c r="BPT243" s="42"/>
      <c r="BPU243" s="42"/>
      <c r="BPV243" s="42"/>
      <c r="BPW243" s="42"/>
      <c r="BPX243" s="42"/>
      <c r="BPY243" s="42"/>
      <c r="BPZ243" s="42"/>
      <c r="BQA243" s="42"/>
      <c r="BQB243" s="42"/>
      <c r="BQC243" s="42"/>
      <c r="BQD243" s="42"/>
      <c r="BQE243" s="42"/>
      <c r="BQF243" s="42"/>
      <c r="BQG243" s="42"/>
      <c r="BQH243" s="42"/>
      <c r="BQI243" s="42"/>
      <c r="BQJ243" s="42"/>
      <c r="BQK243" s="42"/>
      <c r="BQL243" s="42"/>
      <c r="BQM243" s="42"/>
      <c r="BQN243" s="42"/>
      <c r="BQO243" s="42"/>
      <c r="BQP243" s="42"/>
      <c r="BQQ243" s="42"/>
      <c r="BQR243" s="42"/>
      <c r="BQS243" s="42"/>
      <c r="BQT243" s="42"/>
      <c r="BQU243" s="42"/>
      <c r="BQV243" s="42"/>
      <c r="BQW243" s="42"/>
      <c r="BQX243" s="42"/>
      <c r="BQY243" s="42"/>
      <c r="BQZ243" s="42"/>
      <c r="BRA243" s="42"/>
      <c r="BRB243" s="42"/>
      <c r="BRC243" s="42"/>
      <c r="BRD243" s="42"/>
      <c r="BRE243" s="42"/>
      <c r="BRF243" s="42"/>
      <c r="BRG243" s="42"/>
      <c r="BRH243" s="42"/>
      <c r="BRI243" s="42"/>
      <c r="BRJ243" s="42"/>
      <c r="BRK243" s="42"/>
      <c r="BRL243" s="42"/>
      <c r="BRM243" s="42"/>
      <c r="BRN243" s="42"/>
      <c r="BRO243" s="42"/>
      <c r="BRP243" s="42"/>
      <c r="BRQ243" s="42"/>
      <c r="BRR243" s="42"/>
      <c r="BRS243" s="42"/>
      <c r="BRT243" s="42"/>
      <c r="BRU243" s="42"/>
      <c r="BRV243" s="42"/>
      <c r="BRW243" s="42"/>
      <c r="BRX243" s="42"/>
      <c r="BRY243" s="42"/>
      <c r="BRZ243" s="42"/>
      <c r="BSA243" s="42"/>
      <c r="BSB243" s="42"/>
      <c r="BSC243" s="42"/>
      <c r="BSD243" s="42"/>
      <c r="BSE243" s="42"/>
      <c r="BSF243" s="42"/>
      <c r="BSG243" s="42"/>
      <c r="BSH243" s="42"/>
      <c r="BSI243" s="42"/>
      <c r="BSJ243" s="42"/>
      <c r="BSK243" s="42"/>
      <c r="BSL243" s="42"/>
      <c r="BSM243" s="42"/>
      <c r="BSN243" s="42"/>
      <c r="BSO243" s="42"/>
      <c r="BSP243" s="42"/>
      <c r="BSQ243" s="42"/>
      <c r="BSR243" s="42"/>
      <c r="BSS243" s="42"/>
      <c r="BST243" s="42"/>
      <c r="BSU243" s="42"/>
      <c r="BSV243" s="42"/>
      <c r="BSW243" s="42"/>
      <c r="BSX243" s="42"/>
      <c r="BSY243" s="42"/>
      <c r="BSZ243" s="42"/>
      <c r="BTA243" s="42"/>
      <c r="BTB243" s="42"/>
      <c r="BTC243" s="42"/>
      <c r="BTD243" s="42"/>
      <c r="BTE243" s="42"/>
      <c r="BTF243" s="42"/>
      <c r="BTG243" s="42"/>
      <c r="BTH243" s="42"/>
      <c r="BTI243" s="42"/>
      <c r="BTJ243" s="42"/>
      <c r="BTK243" s="42"/>
      <c r="BTL243" s="42"/>
      <c r="BTM243" s="42"/>
      <c r="BTN243" s="42"/>
      <c r="BTO243" s="42"/>
      <c r="BTP243" s="42"/>
      <c r="BTQ243" s="42"/>
      <c r="BTR243" s="42"/>
      <c r="BTS243" s="42"/>
      <c r="BTT243" s="42"/>
      <c r="BTU243" s="42"/>
      <c r="BTV243" s="42"/>
      <c r="BTW243" s="42"/>
      <c r="BTX243" s="42"/>
      <c r="BTY243" s="42"/>
      <c r="BTZ243" s="42"/>
      <c r="BUA243" s="42"/>
      <c r="BUB243" s="42"/>
      <c r="BUC243" s="42"/>
      <c r="BUD243" s="42"/>
      <c r="BUE243" s="42"/>
      <c r="BUF243" s="42"/>
      <c r="BUG243" s="42"/>
      <c r="BUH243" s="42"/>
      <c r="BUI243" s="42"/>
      <c r="BUJ243" s="42"/>
      <c r="BUK243" s="42"/>
      <c r="BUL243" s="42"/>
      <c r="BUM243" s="42"/>
      <c r="BUN243" s="42"/>
      <c r="BUO243" s="42"/>
      <c r="BUP243" s="42"/>
      <c r="BUQ243" s="42"/>
      <c r="BUR243" s="42"/>
      <c r="BUS243" s="42"/>
      <c r="BUT243" s="42"/>
      <c r="BUU243" s="42"/>
      <c r="BUV243" s="42"/>
      <c r="BUW243" s="42"/>
      <c r="BUX243" s="42"/>
      <c r="BUY243" s="42"/>
      <c r="BUZ243" s="42"/>
      <c r="BVA243" s="42"/>
      <c r="BVB243" s="42"/>
      <c r="BVC243" s="42"/>
      <c r="BVD243" s="42"/>
      <c r="BVE243" s="42"/>
      <c r="BVF243" s="42"/>
      <c r="BVG243" s="42"/>
      <c r="BVH243" s="42"/>
      <c r="BVI243" s="42"/>
      <c r="BVJ243" s="42"/>
      <c r="BVK243" s="42"/>
      <c r="BVL243" s="42"/>
      <c r="BVM243" s="42"/>
      <c r="BVN243" s="42"/>
      <c r="BVO243" s="42"/>
      <c r="BVP243" s="42"/>
      <c r="BVQ243" s="42"/>
      <c r="BVR243" s="42"/>
      <c r="BVS243" s="42"/>
      <c r="BVT243" s="42"/>
      <c r="BVU243" s="42"/>
      <c r="BVV243" s="42"/>
      <c r="BVW243" s="42"/>
      <c r="BVX243" s="42"/>
      <c r="BVY243" s="42"/>
      <c r="BVZ243" s="42"/>
      <c r="BWA243" s="42"/>
      <c r="BWB243" s="42"/>
      <c r="BWC243" s="42"/>
      <c r="BWD243" s="42"/>
      <c r="BWE243" s="42"/>
      <c r="BWF243" s="42"/>
      <c r="BWG243" s="42"/>
      <c r="BWH243" s="42"/>
      <c r="BWI243" s="42"/>
      <c r="BWJ243" s="42"/>
      <c r="BWK243" s="42"/>
      <c r="BWL243" s="42"/>
      <c r="BWM243" s="42"/>
      <c r="BWN243" s="42"/>
      <c r="BWO243" s="42"/>
      <c r="BWP243" s="42"/>
      <c r="BWQ243" s="42"/>
      <c r="BWR243" s="42"/>
      <c r="BWS243" s="42"/>
      <c r="BWT243" s="42"/>
      <c r="BWU243" s="42"/>
      <c r="BWV243" s="42"/>
      <c r="BWW243" s="42"/>
      <c r="BWX243" s="42"/>
      <c r="BWY243" s="42"/>
      <c r="BWZ243" s="42"/>
      <c r="BXA243" s="42"/>
      <c r="BXB243" s="42"/>
      <c r="BXC243" s="42"/>
      <c r="BXD243" s="42"/>
      <c r="BXE243" s="42"/>
      <c r="BXF243" s="42"/>
      <c r="BXG243" s="42"/>
      <c r="BXH243" s="42"/>
      <c r="BXI243" s="42"/>
      <c r="BXJ243" s="42"/>
      <c r="BXK243" s="42"/>
      <c r="BXL243" s="42"/>
      <c r="BXM243" s="42"/>
      <c r="BXN243" s="42"/>
      <c r="BXO243" s="42"/>
      <c r="BXP243" s="42"/>
      <c r="BXQ243" s="42"/>
      <c r="BXR243" s="42"/>
      <c r="BXS243" s="42"/>
      <c r="BXT243" s="42"/>
      <c r="BXU243" s="42"/>
      <c r="BXV243" s="42"/>
      <c r="BXW243" s="42"/>
      <c r="BXX243" s="42"/>
      <c r="BXY243" s="42"/>
      <c r="BXZ243" s="42"/>
      <c r="BYA243" s="42"/>
      <c r="BYB243" s="42"/>
      <c r="BYC243" s="42"/>
      <c r="BYD243" s="42"/>
      <c r="BYE243" s="42"/>
      <c r="BYF243" s="42"/>
      <c r="BYG243" s="42"/>
      <c r="BYH243" s="42"/>
      <c r="BYI243" s="42"/>
      <c r="BYJ243" s="42"/>
      <c r="BYK243" s="42"/>
      <c r="BYL243" s="42"/>
      <c r="BYM243" s="42"/>
      <c r="BYN243" s="42"/>
      <c r="BYO243" s="42"/>
      <c r="BYP243" s="42"/>
      <c r="BYQ243" s="42"/>
      <c r="BYR243" s="42"/>
      <c r="BYS243" s="42"/>
      <c r="BYT243" s="42"/>
      <c r="BYU243" s="42"/>
      <c r="BYV243" s="42"/>
      <c r="BYW243" s="42"/>
      <c r="BYX243" s="42"/>
      <c r="BYY243" s="42"/>
      <c r="BYZ243" s="42"/>
      <c r="BZA243" s="42"/>
      <c r="BZB243" s="42"/>
      <c r="BZC243" s="42"/>
      <c r="BZD243" s="42"/>
      <c r="BZE243" s="42"/>
      <c r="BZF243" s="42"/>
      <c r="BZG243" s="42"/>
      <c r="BZH243" s="42"/>
      <c r="BZI243" s="42"/>
      <c r="BZJ243" s="42"/>
      <c r="BZK243" s="42"/>
      <c r="BZL243" s="42"/>
      <c r="BZM243" s="42"/>
      <c r="BZN243" s="42"/>
      <c r="BZO243" s="42"/>
      <c r="BZP243" s="42"/>
      <c r="BZQ243" s="42"/>
      <c r="BZR243" s="42"/>
      <c r="BZS243" s="42"/>
      <c r="BZT243" s="42"/>
      <c r="BZU243" s="42"/>
      <c r="BZV243" s="42"/>
      <c r="BZW243" s="42"/>
      <c r="BZX243" s="42"/>
      <c r="BZY243" s="42"/>
      <c r="BZZ243" s="42"/>
      <c r="CAA243" s="42"/>
      <c r="CAB243" s="42"/>
      <c r="CAC243" s="42"/>
      <c r="CAD243" s="42"/>
      <c r="CAE243" s="42"/>
      <c r="CAF243" s="42"/>
      <c r="CAG243" s="42"/>
      <c r="CAH243" s="42"/>
      <c r="CAI243" s="42"/>
      <c r="CAJ243" s="42"/>
      <c r="CAK243" s="42"/>
      <c r="CAL243" s="42"/>
      <c r="CAM243" s="42"/>
      <c r="CAN243" s="42"/>
      <c r="CAO243" s="42"/>
      <c r="CAP243" s="42"/>
      <c r="CAQ243" s="42"/>
      <c r="CAR243" s="42"/>
      <c r="CAS243" s="42"/>
      <c r="CAT243" s="42"/>
      <c r="CAU243" s="42"/>
      <c r="CAV243" s="42"/>
      <c r="CAW243" s="42"/>
      <c r="CAX243" s="42"/>
      <c r="CAY243" s="42"/>
      <c r="CAZ243" s="42"/>
      <c r="CBA243" s="42"/>
      <c r="CBB243" s="42"/>
      <c r="CBC243" s="42"/>
      <c r="CBD243" s="42"/>
      <c r="CBE243" s="42"/>
      <c r="CBF243" s="42"/>
      <c r="CBG243" s="42"/>
      <c r="CBH243" s="42"/>
      <c r="CBI243" s="42"/>
      <c r="CBJ243" s="42"/>
      <c r="CBK243" s="42"/>
      <c r="CBL243" s="42"/>
      <c r="CBM243" s="42"/>
      <c r="CBN243" s="42"/>
      <c r="CBO243" s="42"/>
      <c r="CBP243" s="42"/>
      <c r="CBQ243" s="42"/>
      <c r="CBR243" s="42"/>
      <c r="CBS243" s="42"/>
      <c r="CBT243" s="42"/>
      <c r="CBU243" s="42"/>
      <c r="CBV243" s="42"/>
      <c r="CBW243" s="42"/>
      <c r="CBX243" s="42"/>
      <c r="CBY243" s="42"/>
      <c r="CBZ243" s="42"/>
      <c r="CCA243" s="42"/>
      <c r="CCB243" s="42"/>
      <c r="CCC243" s="42"/>
      <c r="CCD243" s="42"/>
      <c r="CCE243" s="42"/>
      <c r="CCF243" s="42"/>
      <c r="CCG243" s="42"/>
      <c r="CCH243" s="42"/>
      <c r="CCI243" s="42"/>
      <c r="CCJ243" s="42"/>
      <c r="CCK243" s="42"/>
      <c r="CCL243" s="42"/>
      <c r="CCM243" s="42"/>
      <c r="CCN243" s="42"/>
      <c r="CCO243" s="42"/>
      <c r="CCP243" s="42"/>
      <c r="CCQ243" s="42"/>
      <c r="CCR243" s="42"/>
      <c r="CCS243" s="42"/>
      <c r="CCT243" s="42"/>
      <c r="CCU243" s="42"/>
      <c r="CCV243" s="42"/>
      <c r="CCW243" s="42"/>
      <c r="CCX243" s="42"/>
      <c r="CCY243" s="42"/>
      <c r="CCZ243" s="42"/>
      <c r="CDA243" s="42"/>
      <c r="CDB243" s="42"/>
      <c r="CDC243" s="42"/>
      <c r="CDD243" s="42"/>
      <c r="CDE243" s="42"/>
      <c r="CDF243" s="42"/>
      <c r="CDG243" s="42"/>
      <c r="CDH243" s="42"/>
      <c r="CDI243" s="42"/>
      <c r="CDJ243" s="42"/>
      <c r="CDK243" s="42"/>
      <c r="CDL243" s="42"/>
      <c r="CDM243" s="42"/>
      <c r="CDN243" s="42"/>
      <c r="CDO243" s="42"/>
      <c r="CDP243" s="42"/>
      <c r="CDQ243" s="42"/>
      <c r="CDR243" s="42"/>
      <c r="CDS243" s="42"/>
      <c r="CDT243" s="42"/>
      <c r="CDU243" s="42"/>
      <c r="CDV243" s="42"/>
      <c r="CDW243" s="42"/>
      <c r="CDX243" s="42"/>
      <c r="CDY243" s="42"/>
      <c r="CDZ243" s="42"/>
      <c r="CEA243" s="42"/>
      <c r="CEB243" s="42"/>
      <c r="CEC243" s="42"/>
      <c r="CED243" s="42"/>
      <c r="CEE243" s="42"/>
      <c r="CEF243" s="42"/>
      <c r="CEG243" s="42"/>
      <c r="CEH243" s="42"/>
      <c r="CEI243" s="42"/>
      <c r="CEJ243" s="42"/>
      <c r="CEK243" s="42"/>
      <c r="CEL243" s="42"/>
      <c r="CEM243" s="42"/>
      <c r="CEN243" s="42"/>
      <c r="CEO243" s="42"/>
      <c r="CEP243" s="42"/>
      <c r="CEQ243" s="42"/>
      <c r="CER243" s="42"/>
      <c r="CES243" s="42"/>
      <c r="CET243" s="42"/>
      <c r="CEU243" s="42"/>
      <c r="CEV243" s="42"/>
      <c r="CEW243" s="42"/>
      <c r="CEX243" s="42"/>
      <c r="CEY243" s="42"/>
      <c r="CEZ243" s="42"/>
      <c r="CFA243" s="42"/>
      <c r="CFB243" s="42"/>
      <c r="CFC243" s="42"/>
      <c r="CFD243" s="42"/>
      <c r="CFE243" s="42"/>
      <c r="CFF243" s="42"/>
      <c r="CFG243" s="42"/>
      <c r="CFH243" s="42"/>
      <c r="CFI243" s="42"/>
      <c r="CFJ243" s="42"/>
      <c r="CFK243" s="42"/>
      <c r="CFL243" s="42"/>
      <c r="CFM243" s="42"/>
      <c r="CFN243" s="42"/>
      <c r="CFO243" s="42"/>
      <c r="CFP243" s="42"/>
      <c r="CFQ243" s="42"/>
      <c r="CFR243" s="42"/>
      <c r="CFS243" s="42"/>
      <c r="CFT243" s="42"/>
      <c r="CFU243" s="42"/>
      <c r="CFV243" s="42"/>
      <c r="CFW243" s="42"/>
      <c r="CFX243" s="42"/>
      <c r="CFY243" s="42"/>
      <c r="CFZ243" s="42"/>
      <c r="CGA243" s="42"/>
      <c r="CGB243" s="42"/>
      <c r="CGC243" s="42"/>
      <c r="CGD243" s="42"/>
      <c r="CGE243" s="42"/>
      <c r="CGF243" s="42"/>
      <c r="CGG243" s="42"/>
      <c r="CGH243" s="42"/>
      <c r="CGI243" s="42"/>
      <c r="CGJ243" s="42"/>
      <c r="CGK243" s="42"/>
      <c r="CGL243" s="42"/>
      <c r="CGM243" s="42"/>
      <c r="CGN243" s="42"/>
      <c r="CGO243" s="42"/>
      <c r="CGP243" s="42"/>
      <c r="CGQ243" s="42"/>
      <c r="CGR243" s="42"/>
      <c r="CGS243" s="42"/>
      <c r="CGT243" s="42"/>
      <c r="CGU243" s="42"/>
      <c r="CGV243" s="42"/>
      <c r="CGW243" s="42"/>
      <c r="CGX243" s="42"/>
      <c r="CGY243" s="42"/>
      <c r="CGZ243" s="42"/>
      <c r="CHA243" s="42"/>
      <c r="CHB243" s="42"/>
      <c r="CHC243" s="42"/>
      <c r="CHD243" s="42"/>
      <c r="CHE243" s="42"/>
      <c r="CHF243" s="42"/>
      <c r="CHG243" s="42"/>
      <c r="CHH243" s="42"/>
      <c r="CHI243" s="42"/>
      <c r="CHJ243" s="42"/>
      <c r="CHK243" s="42"/>
      <c r="CHL243" s="42"/>
      <c r="CHM243" s="42"/>
      <c r="CHN243" s="42"/>
      <c r="CHO243" s="42"/>
      <c r="CHP243" s="42"/>
      <c r="CHQ243" s="42"/>
      <c r="CHR243" s="42"/>
      <c r="CHS243" s="42"/>
      <c r="CHT243" s="42"/>
      <c r="CHU243" s="42"/>
      <c r="CHV243" s="42"/>
      <c r="CHW243" s="42"/>
      <c r="CHX243" s="42"/>
      <c r="CHY243" s="42"/>
      <c r="CHZ243" s="42"/>
      <c r="CIA243" s="42"/>
      <c r="CIB243" s="42"/>
      <c r="CIC243" s="42"/>
      <c r="CID243" s="42"/>
      <c r="CIE243" s="42"/>
      <c r="CIF243" s="42"/>
      <c r="CIG243" s="42"/>
      <c r="CIH243" s="42"/>
      <c r="CII243" s="42"/>
      <c r="CIJ243" s="42"/>
      <c r="CIK243" s="42"/>
      <c r="CIL243" s="42"/>
      <c r="CIM243" s="42"/>
      <c r="CIN243" s="42"/>
      <c r="CIO243" s="42"/>
      <c r="CIP243" s="42"/>
      <c r="CIQ243" s="42"/>
      <c r="CIR243" s="42"/>
      <c r="CIS243" s="42"/>
      <c r="CIT243" s="42"/>
      <c r="CIU243" s="42"/>
      <c r="CIV243" s="42"/>
      <c r="CIW243" s="42"/>
      <c r="CIX243" s="42"/>
      <c r="CIY243" s="42"/>
      <c r="CIZ243" s="42"/>
      <c r="CJA243" s="42"/>
      <c r="CJB243" s="42"/>
      <c r="CJC243" s="42"/>
      <c r="CJD243" s="42"/>
      <c r="CJE243" s="42"/>
      <c r="CJF243" s="42"/>
      <c r="CJG243" s="42"/>
      <c r="CJH243" s="42"/>
      <c r="CJI243" s="42"/>
      <c r="CJJ243" s="42"/>
      <c r="CJK243" s="42"/>
      <c r="CJL243" s="42"/>
      <c r="CJM243" s="42"/>
      <c r="CJN243" s="42"/>
      <c r="CJO243" s="42"/>
      <c r="CJP243" s="42"/>
      <c r="CJQ243" s="42"/>
      <c r="CJR243" s="42"/>
      <c r="CJS243" s="42"/>
      <c r="CJT243" s="42"/>
      <c r="CJU243" s="42"/>
      <c r="CJV243" s="42"/>
      <c r="CJW243" s="42"/>
      <c r="CJX243" s="42"/>
      <c r="CJY243" s="42"/>
      <c r="CJZ243" s="42"/>
      <c r="CKA243" s="42"/>
      <c r="CKB243" s="42"/>
      <c r="CKC243" s="42"/>
      <c r="CKD243" s="42"/>
      <c r="CKE243" s="42"/>
      <c r="CKF243" s="42"/>
      <c r="CKG243" s="42"/>
      <c r="CKH243" s="42"/>
      <c r="CKI243" s="42"/>
      <c r="CKJ243" s="42"/>
      <c r="CKK243" s="42"/>
      <c r="CKL243" s="42"/>
      <c r="CKM243" s="42"/>
      <c r="CKN243" s="42"/>
      <c r="CKO243" s="42"/>
      <c r="CKP243" s="42"/>
      <c r="CKQ243" s="42"/>
      <c r="CKR243" s="42"/>
      <c r="CKS243" s="42"/>
      <c r="CKT243" s="42"/>
      <c r="CKU243" s="42"/>
      <c r="CKV243" s="42"/>
      <c r="CKW243" s="42"/>
      <c r="CKX243" s="42"/>
      <c r="CKY243" s="42"/>
      <c r="CKZ243" s="42"/>
      <c r="CLA243" s="42"/>
      <c r="CLB243" s="42"/>
      <c r="CLC243" s="42"/>
      <c r="CLD243" s="42"/>
      <c r="CLE243" s="42"/>
      <c r="CLF243" s="42"/>
      <c r="CLG243" s="42"/>
      <c r="CLH243" s="42"/>
      <c r="CLI243" s="42"/>
      <c r="CLJ243" s="42"/>
      <c r="CLK243" s="42"/>
      <c r="CLL243" s="42"/>
      <c r="CLM243" s="42"/>
      <c r="CLN243" s="42"/>
      <c r="CLO243" s="42"/>
      <c r="CLP243" s="42"/>
      <c r="CLQ243" s="42"/>
      <c r="CLR243" s="42"/>
      <c r="CLS243" s="42"/>
      <c r="CLT243" s="42"/>
      <c r="CLU243" s="42"/>
      <c r="CLV243" s="42"/>
      <c r="CLW243" s="42"/>
      <c r="CLX243" s="42"/>
      <c r="CLY243" s="42"/>
      <c r="CLZ243" s="42"/>
      <c r="CMA243" s="42"/>
      <c r="CMB243" s="42"/>
      <c r="CMC243" s="42"/>
      <c r="CMD243" s="42"/>
      <c r="CME243" s="42"/>
      <c r="CMF243" s="42"/>
      <c r="CMG243" s="42"/>
      <c r="CMH243" s="42"/>
      <c r="CMI243" s="42"/>
      <c r="CMJ243" s="42"/>
      <c r="CMK243" s="42"/>
      <c r="CML243" s="42"/>
      <c r="CMM243" s="42"/>
      <c r="CMN243" s="42"/>
      <c r="CMO243" s="42"/>
      <c r="CMP243" s="42"/>
      <c r="CMQ243" s="42"/>
      <c r="CMR243" s="42"/>
      <c r="CMS243" s="42"/>
      <c r="CMT243" s="42"/>
      <c r="CMU243" s="42"/>
      <c r="CMV243" s="42"/>
      <c r="CMW243" s="42"/>
      <c r="CMX243" s="42"/>
      <c r="CMY243" s="42"/>
      <c r="CMZ243" s="42"/>
      <c r="CNA243" s="42"/>
      <c r="CNB243" s="42"/>
      <c r="CNC243" s="42"/>
      <c r="CND243" s="42"/>
      <c r="CNE243" s="42"/>
      <c r="CNF243" s="42"/>
      <c r="CNG243" s="42"/>
      <c r="CNH243" s="42"/>
      <c r="CNI243" s="42"/>
      <c r="CNJ243" s="42"/>
      <c r="CNK243" s="42"/>
      <c r="CNL243" s="42"/>
      <c r="CNM243" s="42"/>
      <c r="CNN243" s="42"/>
      <c r="CNO243" s="42"/>
      <c r="CNP243" s="42"/>
      <c r="CNQ243" s="42"/>
      <c r="CNR243" s="42"/>
      <c r="CNS243" s="42"/>
      <c r="CNT243" s="42"/>
      <c r="CNU243" s="42"/>
      <c r="CNV243" s="42"/>
      <c r="CNW243" s="42"/>
      <c r="CNX243" s="42"/>
      <c r="CNY243" s="42"/>
      <c r="CNZ243" s="42"/>
      <c r="COA243" s="42"/>
      <c r="COB243" s="42"/>
      <c r="COC243" s="42"/>
      <c r="COD243" s="42"/>
      <c r="COE243" s="42"/>
      <c r="COF243" s="42"/>
      <c r="COG243" s="42"/>
      <c r="COH243" s="42"/>
      <c r="COI243" s="42"/>
      <c r="COJ243" s="42"/>
      <c r="COK243" s="42"/>
      <c r="COL243" s="42"/>
      <c r="COM243" s="42"/>
      <c r="CON243" s="42"/>
      <c r="COO243" s="42"/>
      <c r="COP243" s="42"/>
      <c r="COQ243" s="42"/>
      <c r="COR243" s="42"/>
      <c r="COS243" s="42"/>
      <c r="COT243" s="42"/>
      <c r="COU243" s="42"/>
      <c r="COV243" s="42"/>
      <c r="COW243" s="42"/>
      <c r="COX243" s="42"/>
      <c r="COY243" s="42"/>
      <c r="COZ243" s="42"/>
      <c r="CPA243" s="42"/>
      <c r="CPB243" s="42"/>
      <c r="CPC243" s="42"/>
      <c r="CPD243" s="42"/>
      <c r="CPE243" s="42"/>
      <c r="CPF243" s="42"/>
      <c r="CPG243" s="42"/>
      <c r="CPH243" s="42"/>
      <c r="CPI243" s="42"/>
      <c r="CPJ243" s="42"/>
      <c r="CPK243" s="42"/>
      <c r="CPL243" s="42"/>
      <c r="CPM243" s="42"/>
      <c r="CPN243" s="42"/>
      <c r="CPO243" s="42"/>
      <c r="CPP243" s="42"/>
      <c r="CPQ243" s="42"/>
      <c r="CPR243" s="42"/>
      <c r="CPS243" s="42"/>
      <c r="CPT243" s="42"/>
      <c r="CPU243" s="42"/>
      <c r="CPV243" s="42"/>
      <c r="CPW243" s="42"/>
      <c r="CPX243" s="42"/>
      <c r="CPY243" s="42"/>
      <c r="CPZ243" s="42"/>
      <c r="CQA243" s="42"/>
      <c r="CQB243" s="42"/>
      <c r="CQC243" s="42"/>
      <c r="CQD243" s="42"/>
      <c r="CQE243" s="42"/>
      <c r="CQF243" s="42"/>
      <c r="CQG243" s="42"/>
      <c r="CQH243" s="42"/>
      <c r="CQI243" s="42"/>
      <c r="CQJ243" s="42"/>
      <c r="CQK243" s="42"/>
      <c r="CQL243" s="42"/>
      <c r="CQM243" s="42"/>
      <c r="CQN243" s="42"/>
      <c r="CQO243" s="42"/>
      <c r="CQP243" s="42"/>
      <c r="CQQ243" s="42"/>
      <c r="CQR243" s="42"/>
      <c r="CQS243" s="42"/>
      <c r="CQT243" s="42"/>
      <c r="CQU243" s="42"/>
      <c r="CQV243" s="42"/>
      <c r="CQW243" s="42"/>
      <c r="CQX243" s="42"/>
      <c r="CQY243" s="42"/>
      <c r="CQZ243" s="42"/>
      <c r="CRA243" s="42"/>
      <c r="CRB243" s="42"/>
      <c r="CRC243" s="42"/>
      <c r="CRD243" s="42"/>
      <c r="CRE243" s="42"/>
      <c r="CRF243" s="42"/>
      <c r="CRG243" s="42"/>
      <c r="CRH243" s="42"/>
      <c r="CRI243" s="42"/>
      <c r="CRJ243" s="42"/>
      <c r="CRK243" s="42"/>
      <c r="CRL243" s="42"/>
      <c r="CRM243" s="42"/>
      <c r="CRN243" s="42"/>
      <c r="CRO243" s="42"/>
      <c r="CRP243" s="42"/>
      <c r="CRQ243" s="42"/>
      <c r="CRR243" s="42"/>
      <c r="CRS243" s="42"/>
      <c r="CRT243" s="42"/>
      <c r="CRU243" s="42"/>
      <c r="CRV243" s="42"/>
      <c r="CRW243" s="42"/>
      <c r="CRX243" s="42"/>
      <c r="CRY243" s="42"/>
      <c r="CRZ243" s="42"/>
      <c r="CSA243" s="42"/>
      <c r="CSB243" s="42"/>
      <c r="CSC243" s="42"/>
      <c r="CSD243" s="42"/>
      <c r="CSE243" s="42"/>
      <c r="CSF243" s="42"/>
      <c r="CSG243" s="42"/>
      <c r="CSH243" s="42"/>
      <c r="CSI243" s="42"/>
      <c r="CSJ243" s="42"/>
      <c r="CSK243" s="42"/>
      <c r="CSL243" s="42"/>
      <c r="CSM243" s="42"/>
      <c r="CSN243" s="42"/>
      <c r="CSO243" s="42"/>
      <c r="CSP243" s="42"/>
      <c r="CSQ243" s="42"/>
      <c r="CSR243" s="42"/>
      <c r="CSS243" s="42"/>
      <c r="CST243" s="42"/>
      <c r="CSU243" s="42"/>
      <c r="CSV243" s="42"/>
      <c r="CSW243" s="42"/>
      <c r="CSX243" s="42"/>
      <c r="CSY243" s="42"/>
      <c r="CSZ243" s="42"/>
      <c r="CTA243" s="42"/>
      <c r="CTB243" s="42"/>
      <c r="CTC243" s="42"/>
      <c r="CTD243" s="42"/>
      <c r="CTE243" s="42"/>
      <c r="CTF243" s="42"/>
      <c r="CTG243" s="42"/>
      <c r="CTH243" s="42"/>
      <c r="CTI243" s="42"/>
      <c r="CTJ243" s="42"/>
      <c r="CTK243" s="42"/>
      <c r="CTL243" s="42"/>
      <c r="CTM243" s="42"/>
      <c r="CTN243" s="42"/>
      <c r="CTO243" s="42"/>
      <c r="CTP243" s="42"/>
      <c r="CTQ243" s="42"/>
      <c r="CTR243" s="42"/>
      <c r="CTS243" s="42"/>
      <c r="CTT243" s="42"/>
      <c r="CTU243" s="42"/>
      <c r="CTV243" s="42"/>
      <c r="CTW243" s="42"/>
      <c r="CTX243" s="42"/>
      <c r="CTY243" s="42"/>
      <c r="CTZ243" s="42"/>
      <c r="CUA243" s="42"/>
      <c r="CUB243" s="42"/>
      <c r="CUC243" s="42"/>
      <c r="CUD243" s="42"/>
      <c r="CUE243" s="42"/>
      <c r="CUF243" s="42"/>
      <c r="CUG243" s="42"/>
      <c r="CUH243" s="42"/>
      <c r="CUI243" s="42"/>
      <c r="CUJ243" s="42"/>
      <c r="CUK243" s="42"/>
      <c r="CUL243" s="42"/>
      <c r="CUM243" s="42"/>
      <c r="CUN243" s="42"/>
      <c r="CUO243" s="42"/>
      <c r="CUP243" s="42"/>
      <c r="CUQ243" s="42"/>
      <c r="CUR243" s="42"/>
      <c r="CUS243" s="42"/>
      <c r="CUT243" s="42"/>
      <c r="CUU243" s="42"/>
      <c r="CUV243" s="42"/>
      <c r="CUW243" s="42"/>
      <c r="CUX243" s="42"/>
      <c r="CUY243" s="42"/>
      <c r="CUZ243" s="42"/>
      <c r="CVA243" s="42"/>
      <c r="CVB243" s="42"/>
      <c r="CVC243" s="42"/>
      <c r="CVD243" s="42"/>
      <c r="CVE243" s="42"/>
      <c r="CVF243" s="42"/>
      <c r="CVG243" s="42"/>
      <c r="CVH243" s="42"/>
      <c r="CVI243" s="42"/>
      <c r="CVJ243" s="42"/>
      <c r="CVK243" s="42"/>
      <c r="CVL243" s="42"/>
      <c r="CVM243" s="42"/>
      <c r="CVN243" s="42"/>
      <c r="CVO243" s="42"/>
      <c r="CVP243" s="42"/>
      <c r="CVQ243" s="42"/>
      <c r="CVR243" s="42"/>
      <c r="CVS243" s="42"/>
      <c r="CVT243" s="42"/>
      <c r="CVU243" s="42"/>
      <c r="CVV243" s="42"/>
      <c r="CVW243" s="42"/>
      <c r="CVX243" s="42"/>
      <c r="CVY243" s="42"/>
      <c r="CVZ243" s="42"/>
      <c r="CWA243" s="42"/>
      <c r="CWB243" s="42"/>
      <c r="CWC243" s="42"/>
      <c r="CWD243" s="42"/>
      <c r="CWE243" s="42"/>
      <c r="CWF243" s="42"/>
      <c r="CWG243" s="42"/>
      <c r="CWH243" s="42"/>
      <c r="CWI243" s="42"/>
      <c r="CWJ243" s="42"/>
      <c r="CWK243" s="42"/>
      <c r="CWL243" s="42"/>
      <c r="CWM243" s="42"/>
      <c r="CWN243" s="42"/>
      <c r="CWO243" s="42"/>
      <c r="CWP243" s="42"/>
      <c r="CWQ243" s="42"/>
      <c r="CWR243" s="42"/>
      <c r="CWS243" s="42"/>
      <c r="CWT243" s="42"/>
      <c r="CWU243" s="42"/>
      <c r="CWV243" s="42"/>
      <c r="CWW243" s="42"/>
      <c r="CWX243" s="42"/>
      <c r="CWY243" s="42"/>
      <c r="CWZ243" s="42"/>
      <c r="CXA243" s="42"/>
      <c r="CXB243" s="42"/>
      <c r="CXC243" s="42"/>
      <c r="CXD243" s="42"/>
      <c r="CXE243" s="42"/>
      <c r="CXF243" s="42"/>
      <c r="CXG243" s="42"/>
      <c r="CXH243" s="42"/>
      <c r="CXI243" s="42"/>
      <c r="CXJ243" s="42"/>
      <c r="CXK243" s="42"/>
      <c r="CXL243" s="42"/>
      <c r="CXM243" s="42"/>
      <c r="CXN243" s="42"/>
      <c r="CXO243" s="42"/>
      <c r="CXP243" s="42"/>
      <c r="CXQ243" s="42"/>
      <c r="CXR243" s="42"/>
      <c r="CXS243" s="42"/>
      <c r="CXT243" s="42"/>
      <c r="CXU243" s="42"/>
      <c r="CXV243" s="42"/>
      <c r="CXW243" s="42"/>
      <c r="CXX243" s="42"/>
      <c r="CXY243" s="42"/>
      <c r="CXZ243" s="42"/>
      <c r="CYA243" s="42"/>
      <c r="CYB243" s="42"/>
      <c r="CYC243" s="42"/>
      <c r="CYD243" s="42"/>
      <c r="CYE243" s="42"/>
      <c r="CYF243" s="42"/>
      <c r="CYG243" s="42"/>
      <c r="CYH243" s="42"/>
      <c r="CYI243" s="42"/>
      <c r="CYJ243" s="42"/>
      <c r="CYK243" s="42"/>
      <c r="CYL243" s="42"/>
      <c r="CYM243" s="42"/>
      <c r="CYN243" s="42"/>
      <c r="CYO243" s="42"/>
      <c r="CYP243" s="42"/>
      <c r="CYQ243" s="42"/>
      <c r="CYR243" s="42"/>
      <c r="CYS243" s="42"/>
      <c r="CYT243" s="42"/>
      <c r="CYU243" s="42"/>
      <c r="CYV243" s="42"/>
      <c r="CYW243" s="42"/>
      <c r="CYX243" s="42"/>
      <c r="CYY243" s="42"/>
      <c r="CYZ243" s="42"/>
      <c r="CZA243" s="42"/>
      <c r="CZB243" s="42"/>
      <c r="CZC243" s="42"/>
      <c r="CZD243" s="42"/>
      <c r="CZE243" s="42"/>
      <c r="CZF243" s="42"/>
      <c r="CZG243" s="42"/>
      <c r="CZH243" s="42"/>
      <c r="CZI243" s="42"/>
      <c r="CZJ243" s="42"/>
      <c r="CZK243" s="42"/>
      <c r="CZL243" s="42"/>
      <c r="CZM243" s="42"/>
      <c r="CZN243" s="42"/>
      <c r="CZO243" s="42"/>
      <c r="CZP243" s="42"/>
      <c r="CZQ243" s="42"/>
      <c r="CZR243" s="42"/>
      <c r="CZS243" s="42"/>
      <c r="CZT243" s="42"/>
      <c r="CZU243" s="42"/>
      <c r="CZV243" s="42"/>
      <c r="CZW243" s="42"/>
      <c r="CZX243" s="42"/>
      <c r="CZY243" s="42"/>
      <c r="CZZ243" s="42"/>
      <c r="DAA243" s="42"/>
      <c r="DAB243" s="42"/>
      <c r="DAC243" s="42"/>
      <c r="DAD243" s="42"/>
      <c r="DAE243" s="42"/>
      <c r="DAF243" s="42"/>
      <c r="DAG243" s="42"/>
      <c r="DAH243" s="42"/>
      <c r="DAI243" s="42"/>
      <c r="DAJ243" s="42"/>
      <c r="DAK243" s="42"/>
      <c r="DAL243" s="42"/>
      <c r="DAM243" s="42"/>
      <c r="DAN243" s="42"/>
      <c r="DAO243" s="42"/>
      <c r="DAP243" s="42"/>
      <c r="DAQ243" s="42"/>
      <c r="DAR243" s="42"/>
      <c r="DAS243" s="42"/>
      <c r="DAT243" s="42"/>
      <c r="DAU243" s="42"/>
      <c r="DAV243" s="42"/>
      <c r="DAW243" s="42"/>
      <c r="DAX243" s="42"/>
      <c r="DAY243" s="42"/>
      <c r="DAZ243" s="42"/>
      <c r="DBA243" s="42"/>
      <c r="DBB243" s="42"/>
      <c r="DBC243" s="42"/>
      <c r="DBD243" s="42"/>
      <c r="DBE243" s="42"/>
      <c r="DBF243" s="42"/>
      <c r="DBG243" s="42"/>
      <c r="DBH243" s="42"/>
      <c r="DBI243" s="42"/>
      <c r="DBJ243" s="42"/>
      <c r="DBK243" s="42"/>
      <c r="DBL243" s="42"/>
      <c r="DBM243" s="42"/>
      <c r="DBN243" s="42"/>
      <c r="DBO243" s="42"/>
      <c r="DBP243" s="42"/>
      <c r="DBQ243" s="42"/>
      <c r="DBR243" s="42"/>
      <c r="DBS243" s="42"/>
      <c r="DBT243" s="42"/>
      <c r="DBU243" s="42"/>
      <c r="DBV243" s="42"/>
      <c r="DBW243" s="42"/>
      <c r="DBX243" s="42"/>
      <c r="DBY243" s="42"/>
      <c r="DBZ243" s="42"/>
      <c r="DCA243" s="42"/>
      <c r="DCB243" s="42"/>
      <c r="DCC243" s="42"/>
      <c r="DCD243" s="42"/>
      <c r="DCE243" s="42"/>
      <c r="DCF243" s="42"/>
      <c r="DCG243" s="42"/>
      <c r="DCH243" s="42"/>
      <c r="DCI243" s="42"/>
      <c r="DCJ243" s="42"/>
      <c r="DCK243" s="42"/>
      <c r="DCL243" s="42"/>
      <c r="DCM243" s="42"/>
      <c r="DCN243" s="42"/>
      <c r="DCO243" s="42"/>
      <c r="DCP243" s="42"/>
      <c r="DCQ243" s="42"/>
      <c r="DCR243" s="42"/>
      <c r="DCS243" s="42"/>
      <c r="DCT243" s="42"/>
      <c r="DCU243" s="42"/>
      <c r="DCV243" s="42"/>
      <c r="DCW243" s="42"/>
      <c r="DCX243" s="42"/>
      <c r="DCY243" s="42"/>
      <c r="DCZ243" s="42"/>
      <c r="DDA243" s="42"/>
      <c r="DDB243" s="42"/>
      <c r="DDC243" s="42"/>
      <c r="DDD243" s="42"/>
      <c r="DDE243" s="42"/>
      <c r="DDF243" s="42"/>
      <c r="DDG243" s="42"/>
      <c r="DDH243" s="42"/>
      <c r="DDI243" s="42"/>
      <c r="DDJ243" s="42"/>
      <c r="DDK243" s="42"/>
      <c r="DDL243" s="42"/>
      <c r="DDM243" s="42"/>
      <c r="DDN243" s="42"/>
      <c r="DDO243" s="42"/>
      <c r="DDP243" s="42"/>
      <c r="DDQ243" s="42"/>
      <c r="DDR243" s="42"/>
      <c r="DDS243" s="42"/>
      <c r="DDT243" s="42"/>
      <c r="DDU243" s="42"/>
      <c r="DDV243" s="42"/>
      <c r="DDW243" s="42"/>
      <c r="DDX243" s="42"/>
      <c r="DDY243" s="42"/>
      <c r="DDZ243" s="42"/>
      <c r="DEA243" s="42"/>
      <c r="DEB243" s="42"/>
      <c r="DEC243" s="42"/>
      <c r="DED243" s="42"/>
      <c r="DEE243" s="42"/>
      <c r="DEF243" s="42"/>
      <c r="DEG243" s="42"/>
      <c r="DEH243" s="42"/>
      <c r="DEI243" s="42"/>
      <c r="DEJ243" s="42"/>
      <c r="DEK243" s="42"/>
      <c r="DEL243" s="42"/>
      <c r="DEM243" s="42"/>
      <c r="DEN243" s="42"/>
      <c r="DEO243" s="42"/>
      <c r="DEP243" s="42"/>
      <c r="DEQ243" s="42"/>
      <c r="DER243" s="42"/>
      <c r="DES243" s="42"/>
      <c r="DET243" s="42"/>
      <c r="DEU243" s="42"/>
      <c r="DEV243" s="42"/>
      <c r="DEW243" s="42"/>
      <c r="DEX243" s="42"/>
      <c r="DEY243" s="42"/>
      <c r="DEZ243" s="42"/>
      <c r="DFA243" s="42"/>
      <c r="DFB243" s="42"/>
      <c r="DFC243" s="42"/>
      <c r="DFD243" s="42"/>
      <c r="DFE243" s="42"/>
      <c r="DFF243" s="42"/>
      <c r="DFG243" s="42"/>
      <c r="DFH243" s="42"/>
      <c r="DFI243" s="42"/>
      <c r="DFJ243" s="42"/>
      <c r="DFK243" s="42"/>
      <c r="DFL243" s="42"/>
      <c r="DFM243" s="42"/>
      <c r="DFN243" s="42"/>
      <c r="DFO243" s="42"/>
      <c r="DFP243" s="42"/>
      <c r="DFQ243" s="42"/>
      <c r="DFR243" s="42"/>
      <c r="DFS243" s="42"/>
      <c r="DFT243" s="42"/>
      <c r="DFU243" s="42"/>
      <c r="DFV243" s="42"/>
      <c r="DFW243" s="42"/>
      <c r="DFX243" s="42"/>
      <c r="DFY243" s="42"/>
      <c r="DFZ243" s="42"/>
      <c r="DGA243" s="42"/>
      <c r="DGB243" s="42"/>
      <c r="DGC243" s="42"/>
      <c r="DGD243" s="42"/>
      <c r="DGE243" s="42"/>
      <c r="DGF243" s="42"/>
      <c r="DGG243" s="42"/>
      <c r="DGH243" s="42"/>
      <c r="DGI243" s="42"/>
      <c r="DGJ243" s="42"/>
      <c r="DGK243" s="42"/>
      <c r="DGL243" s="42"/>
      <c r="DGM243" s="42"/>
      <c r="DGN243" s="42"/>
      <c r="DGO243" s="42"/>
      <c r="DGP243" s="42"/>
      <c r="DGQ243" s="42"/>
      <c r="DGR243" s="42"/>
      <c r="DGS243" s="42"/>
      <c r="DGT243" s="42"/>
      <c r="DGU243" s="42"/>
      <c r="DGV243" s="42"/>
      <c r="DGW243" s="42"/>
      <c r="DGX243" s="42"/>
      <c r="DGY243" s="42"/>
      <c r="DGZ243" s="42"/>
      <c r="DHA243" s="42"/>
      <c r="DHB243" s="42"/>
      <c r="DHC243" s="42"/>
      <c r="DHD243" s="42"/>
      <c r="DHE243" s="42"/>
      <c r="DHF243" s="42"/>
      <c r="DHG243" s="42"/>
      <c r="DHH243" s="42"/>
      <c r="DHI243" s="42"/>
      <c r="DHJ243" s="42"/>
      <c r="DHK243" s="42"/>
      <c r="DHL243" s="42"/>
      <c r="DHM243" s="42"/>
      <c r="DHN243" s="42"/>
      <c r="DHO243" s="42"/>
      <c r="DHP243" s="42"/>
      <c r="DHQ243" s="42"/>
      <c r="DHR243" s="42"/>
      <c r="DHS243" s="42"/>
      <c r="DHT243" s="42"/>
      <c r="DHU243" s="42"/>
      <c r="DHV243" s="42"/>
      <c r="DHW243" s="42"/>
      <c r="DHX243" s="42"/>
      <c r="DHY243" s="42"/>
      <c r="DHZ243" s="42"/>
      <c r="DIA243" s="42"/>
      <c r="DIB243" s="42"/>
      <c r="DIC243" s="42"/>
      <c r="DID243" s="42"/>
      <c r="DIE243" s="42"/>
      <c r="DIF243" s="42"/>
      <c r="DIG243" s="42"/>
      <c r="DIH243" s="42"/>
      <c r="DII243" s="42"/>
      <c r="DIJ243" s="42"/>
      <c r="DIK243" s="42"/>
      <c r="DIL243" s="42"/>
      <c r="DIM243" s="42"/>
      <c r="DIN243" s="42"/>
      <c r="DIO243" s="42"/>
      <c r="DIP243" s="42"/>
      <c r="DIQ243" s="42"/>
      <c r="DIR243" s="42"/>
      <c r="DIS243" s="42"/>
      <c r="DIT243" s="42"/>
      <c r="DIU243" s="42"/>
      <c r="DIV243" s="42"/>
      <c r="DIW243" s="42"/>
      <c r="DIX243" s="42"/>
      <c r="DIY243" s="42"/>
      <c r="DIZ243" s="42"/>
      <c r="DJA243" s="42"/>
      <c r="DJB243" s="42"/>
      <c r="DJC243" s="42"/>
      <c r="DJD243" s="42"/>
      <c r="DJE243" s="42"/>
      <c r="DJF243" s="42"/>
      <c r="DJG243" s="42"/>
      <c r="DJH243" s="42"/>
      <c r="DJI243" s="42"/>
      <c r="DJJ243" s="42"/>
      <c r="DJK243" s="42"/>
      <c r="DJL243" s="42"/>
      <c r="DJM243" s="42"/>
      <c r="DJN243" s="42"/>
      <c r="DJO243" s="42"/>
      <c r="DJP243" s="42"/>
      <c r="DJQ243" s="42"/>
      <c r="DJR243" s="42"/>
      <c r="DJS243" s="42"/>
      <c r="DJT243" s="42"/>
      <c r="DJU243" s="42"/>
      <c r="DJV243" s="42"/>
      <c r="DJW243" s="42"/>
      <c r="DJX243" s="42"/>
      <c r="DJY243" s="42"/>
      <c r="DJZ243" s="42"/>
      <c r="DKA243" s="42"/>
      <c r="DKB243" s="42"/>
      <c r="DKC243" s="42"/>
      <c r="DKD243" s="42"/>
      <c r="DKE243" s="42"/>
      <c r="DKF243" s="42"/>
      <c r="DKG243" s="42"/>
      <c r="DKH243" s="42"/>
      <c r="DKI243" s="42"/>
      <c r="DKJ243" s="42"/>
      <c r="DKK243" s="42"/>
      <c r="DKL243" s="42"/>
      <c r="DKM243" s="42"/>
      <c r="DKN243" s="42"/>
      <c r="DKO243" s="42"/>
      <c r="DKP243" s="42"/>
      <c r="DKQ243" s="42"/>
      <c r="DKR243" s="42"/>
      <c r="DKS243" s="42"/>
      <c r="DKT243" s="42"/>
      <c r="DKU243" s="42"/>
      <c r="DKV243" s="42"/>
      <c r="DKW243" s="42"/>
      <c r="DKX243" s="42"/>
      <c r="DKY243" s="42"/>
      <c r="DKZ243" s="42"/>
      <c r="DLA243" s="42"/>
      <c r="DLB243" s="42"/>
      <c r="DLC243" s="42"/>
      <c r="DLD243" s="42"/>
      <c r="DLE243" s="42"/>
      <c r="DLF243" s="42"/>
      <c r="DLG243" s="42"/>
      <c r="DLH243" s="42"/>
      <c r="DLI243" s="42"/>
      <c r="DLJ243" s="42"/>
      <c r="DLK243" s="42"/>
      <c r="DLL243" s="42"/>
      <c r="DLM243" s="42"/>
      <c r="DLN243" s="42"/>
      <c r="DLO243" s="42"/>
      <c r="DLP243" s="42"/>
      <c r="DLQ243" s="42"/>
      <c r="DLR243" s="42"/>
      <c r="DLS243" s="42"/>
      <c r="DLT243" s="42"/>
      <c r="DLU243" s="42"/>
      <c r="DLV243" s="42"/>
      <c r="DLW243" s="42"/>
      <c r="DLX243" s="42"/>
      <c r="DLY243" s="42"/>
      <c r="DLZ243" s="42"/>
      <c r="DMA243" s="42"/>
      <c r="DMB243" s="42"/>
      <c r="DMC243" s="42"/>
      <c r="DMD243" s="42"/>
      <c r="DME243" s="42"/>
      <c r="DMF243" s="42"/>
      <c r="DMG243" s="42"/>
      <c r="DMH243" s="42"/>
      <c r="DMI243" s="42"/>
      <c r="DMJ243" s="42"/>
      <c r="DMK243" s="42"/>
      <c r="DML243" s="42"/>
      <c r="DMM243" s="42"/>
      <c r="DMN243" s="42"/>
      <c r="DMO243" s="42"/>
      <c r="DMP243" s="42"/>
      <c r="DMQ243" s="42"/>
      <c r="DMR243" s="42"/>
      <c r="DMS243" s="42"/>
      <c r="DMT243" s="42"/>
      <c r="DMU243" s="42"/>
      <c r="DMV243" s="42"/>
      <c r="DMW243" s="42"/>
      <c r="DMX243" s="42"/>
      <c r="DMY243" s="42"/>
      <c r="DMZ243" s="42"/>
      <c r="DNA243" s="42"/>
      <c r="DNB243" s="42"/>
      <c r="DNC243" s="42"/>
      <c r="DND243" s="42"/>
      <c r="DNE243" s="42"/>
      <c r="DNF243" s="42"/>
      <c r="DNG243" s="42"/>
      <c r="DNH243" s="42"/>
      <c r="DNI243" s="42"/>
      <c r="DNJ243" s="42"/>
      <c r="DNK243" s="42"/>
      <c r="DNL243" s="42"/>
      <c r="DNM243" s="42"/>
      <c r="DNN243" s="42"/>
      <c r="DNO243" s="42"/>
      <c r="DNP243" s="42"/>
      <c r="DNQ243" s="42"/>
      <c r="DNR243" s="42"/>
      <c r="DNS243" s="42"/>
      <c r="DNT243" s="42"/>
      <c r="DNU243" s="42"/>
      <c r="DNV243" s="42"/>
      <c r="DNW243" s="42"/>
      <c r="DNX243" s="42"/>
      <c r="DNY243" s="42"/>
      <c r="DNZ243" s="42"/>
      <c r="DOA243" s="42"/>
      <c r="DOB243" s="42"/>
      <c r="DOC243" s="42"/>
      <c r="DOD243" s="42"/>
      <c r="DOE243" s="42"/>
      <c r="DOF243" s="42"/>
      <c r="DOG243" s="42"/>
      <c r="DOH243" s="42"/>
      <c r="DOI243" s="42"/>
      <c r="DOJ243" s="42"/>
      <c r="DOK243" s="42"/>
      <c r="DOL243" s="42"/>
      <c r="DOM243" s="42"/>
      <c r="DON243" s="42"/>
      <c r="DOO243" s="42"/>
      <c r="DOP243" s="42"/>
      <c r="DOQ243" s="42"/>
      <c r="DOR243" s="42"/>
      <c r="DOS243" s="42"/>
      <c r="DOT243" s="42"/>
      <c r="DOU243" s="42"/>
      <c r="DOV243" s="42"/>
      <c r="DOW243" s="42"/>
      <c r="DOX243" s="42"/>
      <c r="DOY243" s="42"/>
      <c r="DOZ243" s="42"/>
      <c r="DPA243" s="42"/>
      <c r="DPB243" s="42"/>
      <c r="DPC243" s="42"/>
      <c r="DPD243" s="42"/>
      <c r="DPE243" s="42"/>
      <c r="DPF243" s="42"/>
      <c r="DPG243" s="42"/>
      <c r="DPH243" s="42"/>
      <c r="DPI243" s="42"/>
      <c r="DPJ243" s="42"/>
      <c r="DPK243" s="42"/>
      <c r="DPL243" s="42"/>
      <c r="DPM243" s="42"/>
      <c r="DPN243" s="42"/>
      <c r="DPO243" s="42"/>
      <c r="DPP243" s="42"/>
      <c r="DPQ243" s="42"/>
      <c r="DPR243" s="42"/>
      <c r="DPS243" s="42"/>
      <c r="DPT243" s="42"/>
      <c r="DPU243" s="42"/>
      <c r="DPV243" s="42"/>
      <c r="DPW243" s="42"/>
      <c r="DPX243" s="42"/>
      <c r="DPY243" s="42"/>
      <c r="DPZ243" s="42"/>
      <c r="DQA243" s="42"/>
      <c r="DQB243" s="42"/>
      <c r="DQC243" s="42"/>
      <c r="DQD243" s="42"/>
      <c r="DQE243" s="42"/>
      <c r="DQF243" s="42"/>
      <c r="DQG243" s="42"/>
      <c r="DQH243" s="42"/>
      <c r="DQI243" s="42"/>
      <c r="DQJ243" s="42"/>
      <c r="DQK243" s="42"/>
      <c r="DQL243" s="42"/>
      <c r="DQM243" s="42"/>
      <c r="DQN243" s="42"/>
      <c r="DQO243" s="42"/>
      <c r="DQP243" s="42"/>
      <c r="DQQ243" s="42"/>
      <c r="DQR243" s="42"/>
      <c r="DQS243" s="42"/>
      <c r="DQT243" s="42"/>
      <c r="DQU243" s="42"/>
      <c r="DQV243" s="42"/>
      <c r="DQW243" s="42"/>
      <c r="DQX243" s="42"/>
      <c r="DQY243" s="42"/>
      <c r="DQZ243" s="42"/>
      <c r="DRA243" s="42"/>
      <c r="DRB243" s="42"/>
      <c r="DRC243" s="42"/>
      <c r="DRD243" s="42"/>
      <c r="DRE243" s="42"/>
      <c r="DRF243" s="42"/>
      <c r="DRG243" s="42"/>
      <c r="DRH243" s="42"/>
      <c r="DRI243" s="42"/>
      <c r="DRJ243" s="42"/>
      <c r="DRK243" s="42"/>
      <c r="DRL243" s="42"/>
      <c r="DRM243" s="42"/>
      <c r="DRN243" s="42"/>
      <c r="DRO243" s="42"/>
      <c r="DRP243" s="42"/>
      <c r="DRQ243" s="42"/>
      <c r="DRR243" s="42"/>
      <c r="DRS243" s="42"/>
      <c r="DRT243" s="42"/>
      <c r="DRU243" s="42"/>
      <c r="DRV243" s="42"/>
      <c r="DRW243" s="42"/>
      <c r="DRX243" s="42"/>
      <c r="DRY243" s="42"/>
      <c r="DRZ243" s="42"/>
      <c r="DSA243" s="42"/>
      <c r="DSB243" s="42"/>
      <c r="DSC243" s="42"/>
      <c r="DSD243" s="42"/>
      <c r="DSE243" s="42"/>
      <c r="DSF243" s="42"/>
      <c r="DSG243" s="42"/>
      <c r="DSH243" s="42"/>
      <c r="DSI243" s="42"/>
      <c r="DSJ243" s="42"/>
      <c r="DSK243" s="42"/>
      <c r="DSL243" s="42"/>
      <c r="DSM243" s="42"/>
      <c r="DSN243" s="42"/>
      <c r="DSO243" s="42"/>
      <c r="DSP243" s="42"/>
      <c r="DSQ243" s="42"/>
      <c r="DSR243" s="42"/>
      <c r="DSS243" s="42"/>
      <c r="DST243" s="42"/>
      <c r="DSU243" s="42"/>
      <c r="DSV243" s="42"/>
      <c r="DSW243" s="42"/>
      <c r="DSX243" s="42"/>
      <c r="DSY243" s="42"/>
      <c r="DSZ243" s="42"/>
      <c r="DTA243" s="42"/>
      <c r="DTB243" s="42"/>
      <c r="DTC243" s="42"/>
      <c r="DTD243" s="42"/>
      <c r="DTE243" s="42"/>
      <c r="DTF243" s="42"/>
      <c r="DTG243" s="42"/>
      <c r="DTH243" s="42"/>
      <c r="DTI243" s="42"/>
      <c r="DTJ243" s="42"/>
      <c r="DTK243" s="42"/>
      <c r="DTL243" s="42"/>
      <c r="DTM243" s="42"/>
      <c r="DTN243" s="42"/>
      <c r="DTO243" s="42"/>
      <c r="DTP243" s="42"/>
      <c r="DTQ243" s="42"/>
      <c r="DTR243" s="42"/>
      <c r="DTS243" s="42"/>
      <c r="DTT243" s="42"/>
      <c r="DTU243" s="42"/>
      <c r="DTV243" s="42"/>
      <c r="DTW243" s="42"/>
      <c r="DTX243" s="42"/>
      <c r="DTY243" s="42"/>
      <c r="DTZ243" s="42"/>
      <c r="DUA243" s="42"/>
      <c r="DUB243" s="42"/>
      <c r="DUC243" s="42"/>
      <c r="DUD243" s="42"/>
      <c r="DUE243" s="42"/>
      <c r="DUF243" s="42"/>
      <c r="DUG243" s="42"/>
      <c r="DUH243" s="42"/>
      <c r="DUI243" s="42"/>
      <c r="DUJ243" s="42"/>
      <c r="DUK243" s="42"/>
      <c r="DUL243" s="42"/>
      <c r="DUM243" s="42"/>
      <c r="DUN243" s="42"/>
      <c r="DUO243" s="42"/>
      <c r="DUP243" s="42"/>
      <c r="DUQ243" s="42"/>
      <c r="DUR243" s="42"/>
      <c r="DUS243" s="42"/>
      <c r="DUT243" s="42"/>
      <c r="DUU243" s="42"/>
      <c r="DUV243" s="42"/>
      <c r="DUW243" s="42"/>
      <c r="DUX243" s="42"/>
      <c r="DUY243" s="42"/>
      <c r="DUZ243" s="42"/>
      <c r="DVA243" s="42"/>
      <c r="DVB243" s="42"/>
      <c r="DVC243" s="42"/>
      <c r="DVD243" s="42"/>
      <c r="DVE243" s="42"/>
      <c r="DVF243" s="42"/>
      <c r="DVG243" s="42"/>
      <c r="DVH243" s="42"/>
      <c r="DVI243" s="42"/>
      <c r="DVJ243" s="42"/>
      <c r="DVK243" s="42"/>
      <c r="DVL243" s="42"/>
      <c r="DVM243" s="42"/>
      <c r="DVN243" s="42"/>
      <c r="DVO243" s="42"/>
      <c r="DVP243" s="42"/>
      <c r="DVQ243" s="42"/>
      <c r="DVR243" s="42"/>
      <c r="DVS243" s="42"/>
      <c r="DVT243" s="42"/>
      <c r="DVU243" s="42"/>
      <c r="DVV243" s="42"/>
      <c r="DVW243" s="42"/>
      <c r="DVX243" s="42"/>
      <c r="DVY243" s="42"/>
      <c r="DVZ243" s="42"/>
      <c r="DWA243" s="42"/>
      <c r="DWB243" s="42"/>
      <c r="DWC243" s="42"/>
      <c r="DWD243" s="42"/>
      <c r="DWE243" s="42"/>
      <c r="DWF243" s="42"/>
      <c r="DWG243" s="42"/>
      <c r="DWH243" s="42"/>
      <c r="DWI243" s="42"/>
      <c r="DWJ243" s="42"/>
      <c r="DWK243" s="42"/>
      <c r="DWL243" s="42"/>
      <c r="DWM243" s="42"/>
      <c r="DWN243" s="42"/>
      <c r="DWO243" s="42"/>
      <c r="DWP243" s="42"/>
      <c r="DWQ243" s="42"/>
      <c r="DWR243" s="42"/>
      <c r="DWS243" s="42"/>
      <c r="DWT243" s="42"/>
      <c r="DWU243" s="42"/>
      <c r="DWV243" s="42"/>
      <c r="DWW243" s="42"/>
      <c r="DWX243" s="42"/>
      <c r="DWY243" s="42"/>
      <c r="DWZ243" s="42"/>
      <c r="DXA243" s="42"/>
      <c r="DXB243" s="42"/>
      <c r="DXC243" s="42"/>
      <c r="DXD243" s="42"/>
      <c r="DXE243" s="42"/>
      <c r="DXF243" s="42"/>
      <c r="DXG243" s="42"/>
      <c r="DXH243" s="42"/>
      <c r="DXI243" s="42"/>
      <c r="DXJ243" s="42"/>
      <c r="DXK243" s="42"/>
      <c r="DXL243" s="42"/>
      <c r="DXM243" s="42"/>
      <c r="DXN243" s="42"/>
      <c r="DXO243" s="42"/>
      <c r="DXP243" s="42"/>
      <c r="DXQ243" s="42"/>
      <c r="DXR243" s="42"/>
      <c r="DXS243" s="42"/>
      <c r="DXT243" s="42"/>
      <c r="DXU243" s="42"/>
      <c r="DXV243" s="42"/>
      <c r="DXW243" s="42"/>
      <c r="DXX243" s="42"/>
      <c r="DXY243" s="42"/>
      <c r="DXZ243" s="42"/>
      <c r="DYA243" s="42"/>
      <c r="DYB243" s="42"/>
      <c r="DYC243" s="42"/>
      <c r="DYD243" s="42"/>
      <c r="DYE243" s="42"/>
      <c r="DYF243" s="42"/>
      <c r="DYG243" s="42"/>
      <c r="DYH243" s="42"/>
      <c r="DYI243" s="42"/>
      <c r="DYJ243" s="42"/>
      <c r="DYK243" s="42"/>
      <c r="DYL243" s="42"/>
      <c r="DYM243" s="42"/>
      <c r="DYN243" s="42"/>
      <c r="DYO243" s="42"/>
      <c r="DYP243" s="42"/>
      <c r="DYQ243" s="42"/>
      <c r="DYR243" s="42"/>
      <c r="DYS243" s="42"/>
      <c r="DYT243" s="42"/>
      <c r="DYU243" s="42"/>
      <c r="DYV243" s="42"/>
      <c r="DYW243" s="42"/>
      <c r="DYX243" s="42"/>
      <c r="DYY243" s="42"/>
      <c r="DYZ243" s="42"/>
      <c r="DZA243" s="42"/>
      <c r="DZB243" s="42"/>
      <c r="DZC243" s="42"/>
      <c r="DZD243" s="42"/>
      <c r="DZE243" s="42"/>
      <c r="DZF243" s="42"/>
      <c r="DZG243" s="42"/>
      <c r="DZH243" s="42"/>
      <c r="DZI243" s="42"/>
      <c r="DZJ243" s="42"/>
      <c r="DZK243" s="42"/>
      <c r="DZL243" s="42"/>
      <c r="DZM243" s="42"/>
      <c r="DZN243" s="42"/>
      <c r="DZO243" s="42"/>
      <c r="DZP243" s="42"/>
      <c r="DZQ243" s="42"/>
      <c r="DZR243" s="42"/>
      <c r="DZS243" s="42"/>
      <c r="DZT243" s="42"/>
      <c r="DZU243" s="42"/>
      <c r="DZV243" s="42"/>
      <c r="DZW243" s="42"/>
      <c r="DZX243" s="42"/>
      <c r="DZY243" s="42"/>
      <c r="DZZ243" s="42"/>
      <c r="EAA243" s="42"/>
      <c r="EAB243" s="42"/>
      <c r="EAC243" s="42"/>
      <c r="EAD243" s="42"/>
      <c r="EAE243" s="42"/>
      <c r="EAF243" s="42"/>
      <c r="EAG243" s="42"/>
      <c r="EAH243" s="42"/>
      <c r="EAI243" s="42"/>
      <c r="EAJ243" s="42"/>
      <c r="EAK243" s="42"/>
      <c r="EAL243" s="42"/>
      <c r="EAM243" s="42"/>
      <c r="EAN243" s="42"/>
      <c r="EAO243" s="42"/>
      <c r="EAP243" s="42"/>
      <c r="EAQ243" s="42"/>
      <c r="EAR243" s="42"/>
      <c r="EAS243" s="42"/>
      <c r="EAT243" s="42"/>
      <c r="EAU243" s="42"/>
      <c r="EAV243" s="42"/>
      <c r="EAW243" s="42"/>
      <c r="EAX243" s="42"/>
      <c r="EAY243" s="42"/>
      <c r="EAZ243" s="42"/>
      <c r="EBA243" s="42"/>
      <c r="EBB243" s="42"/>
      <c r="EBC243" s="42"/>
      <c r="EBD243" s="42"/>
      <c r="EBE243" s="42"/>
      <c r="EBF243" s="42"/>
      <c r="EBG243" s="42"/>
      <c r="EBH243" s="42"/>
      <c r="EBI243" s="42"/>
      <c r="EBJ243" s="42"/>
      <c r="EBK243" s="42"/>
      <c r="EBL243" s="42"/>
      <c r="EBM243" s="42"/>
      <c r="EBN243" s="42"/>
      <c r="EBO243" s="42"/>
      <c r="EBP243" s="42"/>
      <c r="EBQ243" s="42"/>
      <c r="EBR243" s="42"/>
      <c r="EBS243" s="42"/>
      <c r="EBT243" s="42"/>
      <c r="EBU243" s="42"/>
      <c r="EBV243" s="42"/>
      <c r="EBW243" s="42"/>
      <c r="EBX243" s="42"/>
      <c r="EBY243" s="42"/>
      <c r="EBZ243" s="42"/>
      <c r="ECA243" s="42"/>
      <c r="ECB243" s="42"/>
      <c r="ECC243" s="42"/>
      <c r="ECD243" s="42"/>
      <c r="ECE243" s="42"/>
      <c r="ECF243" s="42"/>
      <c r="ECG243" s="42"/>
      <c r="ECH243" s="42"/>
      <c r="ECI243" s="42"/>
      <c r="ECJ243" s="42"/>
      <c r="ECK243" s="42"/>
      <c r="ECL243" s="42"/>
      <c r="ECM243" s="42"/>
      <c r="ECN243" s="42"/>
      <c r="ECO243" s="42"/>
      <c r="ECP243" s="42"/>
      <c r="ECQ243" s="42"/>
      <c r="ECR243" s="42"/>
      <c r="ECS243" s="42"/>
      <c r="ECT243" s="42"/>
      <c r="ECU243" s="42"/>
      <c r="ECV243" s="42"/>
      <c r="ECW243" s="42"/>
      <c r="ECX243" s="42"/>
      <c r="ECY243" s="42"/>
      <c r="ECZ243" s="42"/>
      <c r="EDA243" s="42"/>
      <c r="EDB243" s="42"/>
      <c r="EDC243" s="42"/>
      <c r="EDD243" s="42"/>
      <c r="EDE243" s="42"/>
      <c r="EDF243" s="42"/>
      <c r="EDG243" s="42"/>
      <c r="EDH243" s="42"/>
      <c r="EDI243" s="42"/>
      <c r="EDJ243" s="42"/>
      <c r="EDK243" s="42"/>
      <c r="EDL243" s="42"/>
      <c r="EDM243" s="42"/>
      <c r="EDN243" s="42"/>
      <c r="EDO243" s="42"/>
      <c r="EDP243" s="42"/>
      <c r="EDQ243" s="42"/>
      <c r="EDR243" s="42"/>
      <c r="EDS243" s="42"/>
      <c r="EDT243" s="42"/>
      <c r="EDU243" s="42"/>
      <c r="EDV243" s="42"/>
      <c r="EDW243" s="42"/>
      <c r="EDX243" s="42"/>
      <c r="EDY243" s="42"/>
      <c r="EDZ243" s="42"/>
      <c r="EEA243" s="42"/>
      <c r="EEB243" s="42"/>
      <c r="EEC243" s="42"/>
      <c r="EED243" s="42"/>
      <c r="EEE243" s="42"/>
      <c r="EEF243" s="42"/>
      <c r="EEG243" s="42"/>
      <c r="EEH243" s="42"/>
      <c r="EEI243" s="42"/>
      <c r="EEJ243" s="42"/>
      <c r="EEK243" s="42"/>
      <c r="EEL243" s="42"/>
      <c r="EEM243" s="42"/>
      <c r="EEN243" s="42"/>
      <c r="EEO243" s="42"/>
      <c r="EEP243" s="42"/>
      <c r="EEQ243" s="42"/>
      <c r="EER243" s="42"/>
      <c r="EES243" s="42"/>
      <c r="EET243" s="42"/>
      <c r="EEU243" s="42"/>
      <c r="EEV243" s="42"/>
      <c r="EEW243" s="42"/>
      <c r="EEX243" s="42"/>
      <c r="EEY243" s="42"/>
      <c r="EEZ243" s="42"/>
      <c r="EFA243" s="42"/>
      <c r="EFB243" s="42"/>
      <c r="EFC243" s="42"/>
      <c r="EFD243" s="42"/>
      <c r="EFE243" s="42"/>
      <c r="EFF243" s="42"/>
      <c r="EFG243" s="42"/>
      <c r="EFH243" s="42"/>
      <c r="EFI243" s="42"/>
      <c r="EFJ243" s="42"/>
      <c r="EFK243" s="42"/>
      <c r="EFL243" s="42"/>
      <c r="EFM243" s="42"/>
      <c r="EFN243" s="42"/>
      <c r="EFO243" s="42"/>
      <c r="EFP243" s="42"/>
      <c r="EFQ243" s="42"/>
      <c r="EFR243" s="42"/>
      <c r="EFS243" s="42"/>
      <c r="EFT243" s="42"/>
      <c r="EFU243" s="42"/>
      <c r="EFV243" s="42"/>
      <c r="EFW243" s="42"/>
      <c r="EFX243" s="42"/>
      <c r="EFY243" s="42"/>
      <c r="EFZ243" s="42"/>
      <c r="EGA243" s="42"/>
      <c r="EGB243" s="42"/>
      <c r="EGC243" s="42"/>
      <c r="EGD243" s="42"/>
      <c r="EGE243" s="42"/>
      <c r="EGF243" s="42"/>
      <c r="EGG243" s="42"/>
      <c r="EGH243" s="42"/>
      <c r="EGI243" s="42"/>
      <c r="EGJ243" s="42"/>
      <c r="EGK243" s="42"/>
      <c r="EGL243" s="42"/>
      <c r="EGM243" s="42"/>
      <c r="EGN243" s="42"/>
      <c r="EGO243" s="42"/>
      <c r="EGP243" s="42"/>
      <c r="EGQ243" s="42"/>
      <c r="EGR243" s="42"/>
      <c r="EGS243" s="42"/>
      <c r="EGT243" s="42"/>
      <c r="EGU243" s="42"/>
      <c r="EGV243" s="42"/>
      <c r="EGW243" s="42"/>
      <c r="EGX243" s="42"/>
      <c r="EGY243" s="42"/>
      <c r="EGZ243" s="42"/>
      <c r="EHA243" s="42"/>
      <c r="EHB243" s="42"/>
      <c r="EHC243" s="42"/>
      <c r="EHD243" s="42"/>
      <c r="EHE243" s="42"/>
      <c r="EHF243" s="42"/>
      <c r="EHG243" s="42"/>
      <c r="EHH243" s="42"/>
      <c r="EHI243" s="42"/>
      <c r="EHJ243" s="42"/>
      <c r="EHK243" s="42"/>
      <c r="EHL243" s="42"/>
      <c r="EHM243" s="42"/>
      <c r="EHN243" s="42"/>
      <c r="EHO243" s="42"/>
      <c r="EHP243" s="42"/>
      <c r="EHQ243" s="42"/>
      <c r="EHR243" s="42"/>
      <c r="EHS243" s="42"/>
      <c r="EHT243" s="42"/>
      <c r="EHU243" s="42"/>
      <c r="EHV243" s="42"/>
      <c r="EHW243" s="42"/>
      <c r="EHX243" s="42"/>
      <c r="EHY243" s="42"/>
      <c r="EHZ243" s="42"/>
      <c r="EIA243" s="42"/>
      <c r="EIB243" s="42"/>
      <c r="EIC243" s="42"/>
      <c r="EID243" s="42"/>
      <c r="EIE243" s="42"/>
      <c r="EIF243" s="42"/>
      <c r="EIG243" s="42"/>
      <c r="EIH243" s="42"/>
      <c r="EII243" s="42"/>
      <c r="EIJ243" s="42"/>
      <c r="EIK243" s="42"/>
      <c r="EIL243" s="42"/>
      <c r="EIM243" s="42"/>
      <c r="EIN243" s="42"/>
      <c r="EIO243" s="42"/>
      <c r="EIP243" s="42"/>
      <c r="EIQ243" s="42"/>
      <c r="EIR243" s="42"/>
      <c r="EIS243" s="42"/>
      <c r="EIT243" s="42"/>
      <c r="EIU243" s="42"/>
      <c r="EIV243" s="42"/>
      <c r="EIW243" s="42"/>
      <c r="EIX243" s="42"/>
      <c r="EIY243" s="42"/>
      <c r="EIZ243" s="42"/>
      <c r="EJA243" s="42"/>
      <c r="EJB243" s="42"/>
      <c r="EJC243" s="42"/>
      <c r="EJD243" s="42"/>
      <c r="EJE243" s="42"/>
      <c r="EJF243" s="42"/>
      <c r="EJG243" s="42"/>
      <c r="EJH243" s="42"/>
      <c r="EJI243" s="42"/>
      <c r="EJJ243" s="42"/>
      <c r="EJK243" s="42"/>
      <c r="EJL243" s="42"/>
      <c r="EJM243" s="42"/>
      <c r="EJN243" s="42"/>
      <c r="EJO243" s="42"/>
      <c r="EJP243" s="42"/>
      <c r="EJQ243" s="42"/>
      <c r="EJR243" s="42"/>
      <c r="EJS243" s="42"/>
      <c r="EJT243" s="42"/>
      <c r="EJU243" s="42"/>
      <c r="EJV243" s="42"/>
      <c r="EJW243" s="42"/>
      <c r="EJX243" s="42"/>
      <c r="EJY243" s="42"/>
      <c r="EJZ243" s="42"/>
      <c r="EKA243" s="42"/>
      <c r="EKB243" s="42"/>
      <c r="EKC243" s="42"/>
      <c r="EKD243" s="42"/>
      <c r="EKE243" s="42"/>
      <c r="EKF243" s="42"/>
      <c r="EKG243" s="42"/>
      <c r="EKH243" s="42"/>
      <c r="EKI243" s="42"/>
      <c r="EKJ243" s="42"/>
      <c r="EKK243" s="42"/>
      <c r="EKL243" s="42"/>
      <c r="EKM243" s="42"/>
      <c r="EKN243" s="42"/>
      <c r="EKO243" s="42"/>
      <c r="EKP243" s="42"/>
      <c r="EKQ243" s="42"/>
      <c r="EKR243" s="42"/>
      <c r="EKS243" s="42"/>
      <c r="EKT243" s="42"/>
      <c r="EKU243" s="42"/>
      <c r="EKV243" s="42"/>
      <c r="EKW243" s="42"/>
      <c r="EKX243" s="42"/>
      <c r="EKY243" s="42"/>
      <c r="EKZ243" s="42"/>
      <c r="ELA243" s="42"/>
      <c r="ELB243" s="42"/>
      <c r="ELC243" s="42"/>
      <c r="ELD243" s="42"/>
      <c r="ELE243" s="42"/>
      <c r="ELF243" s="42"/>
      <c r="ELG243" s="42"/>
      <c r="ELH243" s="42"/>
      <c r="ELI243" s="42"/>
      <c r="ELJ243" s="42"/>
      <c r="ELK243" s="42"/>
      <c r="ELL243" s="42"/>
      <c r="ELM243" s="42"/>
      <c r="ELN243" s="42"/>
      <c r="ELO243" s="42"/>
      <c r="ELP243" s="42"/>
      <c r="ELQ243" s="42"/>
      <c r="ELR243" s="42"/>
      <c r="ELS243" s="42"/>
      <c r="ELT243" s="42"/>
      <c r="ELU243" s="42"/>
      <c r="ELV243" s="42"/>
      <c r="ELW243" s="42"/>
      <c r="ELX243" s="42"/>
      <c r="ELY243" s="42"/>
      <c r="ELZ243" s="42"/>
      <c r="EMA243" s="42"/>
      <c r="EMB243" s="42"/>
      <c r="EMC243" s="42"/>
      <c r="EMD243" s="42"/>
      <c r="EME243" s="42"/>
      <c r="EMF243" s="42"/>
      <c r="EMG243" s="42"/>
      <c r="EMH243" s="42"/>
      <c r="EMI243" s="42"/>
      <c r="EMJ243" s="42"/>
      <c r="EMK243" s="42"/>
      <c r="EML243" s="42"/>
      <c r="EMM243" s="42"/>
      <c r="EMN243" s="42"/>
      <c r="EMO243" s="42"/>
      <c r="EMP243" s="42"/>
      <c r="EMQ243" s="42"/>
      <c r="EMR243" s="42"/>
      <c r="EMS243" s="42"/>
      <c r="EMT243" s="42"/>
      <c r="EMU243" s="42"/>
      <c r="EMV243" s="42"/>
      <c r="EMW243" s="42"/>
      <c r="EMX243" s="42"/>
      <c r="EMY243" s="42"/>
      <c r="EMZ243" s="42"/>
      <c r="ENA243" s="42"/>
      <c r="ENB243" s="42"/>
      <c r="ENC243" s="42"/>
      <c r="END243" s="42"/>
      <c r="ENE243" s="42"/>
      <c r="ENF243" s="42"/>
      <c r="ENG243" s="42"/>
      <c r="ENH243" s="42"/>
      <c r="ENI243" s="42"/>
      <c r="ENJ243" s="42"/>
      <c r="ENK243" s="42"/>
      <c r="ENL243" s="42"/>
      <c r="ENM243" s="42"/>
      <c r="ENN243" s="42"/>
      <c r="ENO243" s="42"/>
      <c r="ENP243" s="42"/>
      <c r="ENQ243" s="42"/>
      <c r="ENR243" s="42"/>
      <c r="ENS243" s="42"/>
      <c r="ENT243" s="42"/>
      <c r="ENU243" s="42"/>
      <c r="ENV243" s="42"/>
      <c r="ENW243" s="42"/>
      <c r="ENX243" s="42"/>
      <c r="ENY243" s="42"/>
      <c r="ENZ243" s="42"/>
      <c r="EOA243" s="42"/>
      <c r="EOB243" s="42"/>
      <c r="EOC243" s="42"/>
      <c r="EOD243" s="42"/>
      <c r="EOE243" s="42"/>
      <c r="EOF243" s="42"/>
      <c r="EOG243" s="42"/>
      <c r="EOH243" s="42"/>
      <c r="EOI243" s="42"/>
      <c r="EOJ243" s="42"/>
      <c r="EOK243" s="42"/>
      <c r="EOL243" s="42"/>
      <c r="EOM243" s="42"/>
      <c r="EON243" s="42"/>
      <c r="EOO243" s="42"/>
      <c r="EOP243" s="42"/>
      <c r="EOQ243" s="42"/>
      <c r="EOR243" s="42"/>
      <c r="EOS243" s="42"/>
      <c r="EOT243" s="42"/>
      <c r="EOU243" s="42"/>
      <c r="EOV243" s="42"/>
      <c r="EOW243" s="42"/>
      <c r="EOX243" s="42"/>
      <c r="EOY243" s="42"/>
      <c r="EOZ243" s="42"/>
      <c r="EPA243" s="42"/>
      <c r="EPB243" s="42"/>
      <c r="EPC243" s="42"/>
      <c r="EPD243" s="42"/>
      <c r="EPE243" s="42"/>
      <c r="EPF243" s="42"/>
      <c r="EPG243" s="42"/>
      <c r="EPH243" s="42"/>
      <c r="EPI243" s="42"/>
      <c r="EPJ243" s="42"/>
      <c r="EPK243" s="42"/>
      <c r="EPL243" s="42"/>
      <c r="EPM243" s="42"/>
      <c r="EPN243" s="42"/>
      <c r="EPO243" s="42"/>
      <c r="EPP243" s="42"/>
      <c r="EPQ243" s="42"/>
      <c r="EPR243" s="42"/>
      <c r="EPS243" s="42"/>
      <c r="EPT243" s="42"/>
      <c r="EPU243" s="42"/>
      <c r="EPV243" s="42"/>
      <c r="EPW243" s="42"/>
      <c r="EPX243" s="42"/>
      <c r="EPY243" s="42"/>
      <c r="EPZ243" s="42"/>
      <c r="EQA243" s="42"/>
      <c r="EQB243" s="42"/>
      <c r="EQC243" s="42"/>
      <c r="EQD243" s="42"/>
      <c r="EQE243" s="42"/>
      <c r="EQF243" s="42"/>
      <c r="EQG243" s="42"/>
      <c r="EQH243" s="42"/>
      <c r="EQI243" s="42"/>
      <c r="EQJ243" s="42"/>
      <c r="EQK243" s="42"/>
      <c r="EQL243" s="42"/>
      <c r="EQM243" s="42"/>
      <c r="EQN243" s="42"/>
      <c r="EQO243" s="42"/>
      <c r="EQP243" s="42"/>
      <c r="EQQ243" s="42"/>
      <c r="EQR243" s="42"/>
      <c r="EQS243" s="42"/>
      <c r="EQT243" s="42"/>
      <c r="EQU243" s="42"/>
      <c r="EQV243" s="42"/>
      <c r="EQW243" s="42"/>
      <c r="EQX243" s="42"/>
      <c r="EQY243" s="42"/>
      <c r="EQZ243" s="42"/>
      <c r="ERA243" s="42"/>
      <c r="ERB243" s="42"/>
      <c r="ERC243" s="42"/>
      <c r="ERD243" s="42"/>
      <c r="ERE243" s="42"/>
      <c r="ERF243" s="42"/>
      <c r="ERG243" s="42"/>
      <c r="ERH243" s="42"/>
      <c r="ERI243" s="42"/>
      <c r="ERJ243" s="42"/>
      <c r="ERK243" s="42"/>
      <c r="ERL243" s="42"/>
      <c r="ERM243" s="42"/>
      <c r="ERN243" s="42"/>
      <c r="ERO243" s="42"/>
      <c r="ERP243" s="42"/>
      <c r="ERQ243" s="42"/>
      <c r="ERR243" s="42"/>
      <c r="ERS243" s="42"/>
      <c r="ERT243" s="42"/>
      <c r="ERU243" s="42"/>
      <c r="ERV243" s="42"/>
      <c r="ERW243" s="42"/>
      <c r="ERX243" s="42"/>
      <c r="ERY243" s="42"/>
      <c r="ERZ243" s="42"/>
      <c r="ESA243" s="42"/>
      <c r="ESB243" s="42"/>
      <c r="ESC243" s="42"/>
      <c r="ESD243" s="42"/>
      <c r="ESE243" s="42"/>
      <c r="ESF243" s="42"/>
      <c r="ESG243" s="42"/>
      <c r="ESH243" s="42"/>
      <c r="ESI243" s="42"/>
      <c r="ESJ243" s="42"/>
      <c r="ESK243" s="42"/>
      <c r="ESL243" s="42"/>
      <c r="ESM243" s="42"/>
      <c r="ESN243" s="42"/>
      <c r="ESO243" s="42"/>
      <c r="ESP243" s="42"/>
      <c r="ESQ243" s="42"/>
      <c r="ESR243" s="42"/>
      <c r="ESS243" s="42"/>
      <c r="EST243" s="42"/>
      <c r="ESU243" s="42"/>
      <c r="ESV243" s="42"/>
      <c r="ESW243" s="42"/>
      <c r="ESX243" s="42"/>
      <c r="ESY243" s="42"/>
      <c r="ESZ243" s="42"/>
      <c r="ETA243" s="42"/>
      <c r="ETB243" s="42"/>
      <c r="ETC243" s="42"/>
      <c r="ETD243" s="42"/>
      <c r="ETE243" s="42"/>
      <c r="ETF243" s="42"/>
      <c r="ETG243" s="42"/>
      <c r="ETH243" s="42"/>
      <c r="ETI243" s="42"/>
      <c r="ETJ243" s="42"/>
      <c r="ETK243" s="42"/>
      <c r="ETL243" s="42"/>
      <c r="ETM243" s="42"/>
      <c r="ETN243" s="42"/>
      <c r="ETO243" s="42"/>
      <c r="ETP243" s="42"/>
      <c r="ETQ243" s="42"/>
      <c r="ETR243" s="42"/>
      <c r="ETS243" s="42"/>
      <c r="ETT243" s="42"/>
      <c r="ETU243" s="42"/>
      <c r="ETV243" s="42"/>
      <c r="ETW243" s="42"/>
      <c r="ETX243" s="42"/>
      <c r="ETY243" s="42"/>
      <c r="ETZ243" s="42"/>
      <c r="EUA243" s="42"/>
      <c r="EUB243" s="42"/>
      <c r="EUC243" s="42"/>
      <c r="EUD243" s="42"/>
      <c r="EUE243" s="42"/>
      <c r="EUF243" s="42"/>
      <c r="EUG243" s="42"/>
      <c r="EUH243" s="42"/>
      <c r="EUI243" s="42"/>
      <c r="EUJ243" s="42"/>
      <c r="EUK243" s="42"/>
      <c r="EUL243" s="42"/>
      <c r="EUM243" s="42"/>
      <c r="EUN243" s="42"/>
      <c r="EUO243" s="42"/>
      <c r="EUP243" s="42"/>
      <c r="EUQ243" s="42"/>
      <c r="EUR243" s="42"/>
      <c r="EUS243" s="42"/>
      <c r="EUT243" s="42"/>
      <c r="EUU243" s="42"/>
      <c r="EUV243" s="42"/>
      <c r="EUW243" s="42"/>
      <c r="EUX243" s="42"/>
      <c r="EUY243" s="42"/>
      <c r="EUZ243" s="42"/>
      <c r="EVA243" s="42"/>
      <c r="EVB243" s="42"/>
      <c r="EVC243" s="42"/>
      <c r="EVD243" s="42"/>
      <c r="EVE243" s="42"/>
      <c r="EVF243" s="42"/>
      <c r="EVG243" s="42"/>
      <c r="EVH243" s="42"/>
      <c r="EVI243" s="42"/>
      <c r="EVJ243" s="42"/>
      <c r="EVK243" s="42"/>
      <c r="EVL243" s="42"/>
      <c r="EVM243" s="42"/>
      <c r="EVN243" s="42"/>
      <c r="EVO243" s="42"/>
      <c r="EVP243" s="42"/>
      <c r="EVQ243" s="42"/>
      <c r="EVR243" s="42"/>
      <c r="EVS243" s="42"/>
      <c r="EVT243" s="42"/>
      <c r="EVU243" s="42"/>
      <c r="EVV243" s="42"/>
      <c r="EVW243" s="42"/>
      <c r="EVX243" s="42"/>
      <c r="EVY243" s="42"/>
      <c r="EVZ243" s="42"/>
      <c r="EWA243" s="42"/>
      <c r="EWB243" s="42"/>
      <c r="EWC243" s="42"/>
      <c r="EWD243" s="42"/>
      <c r="EWE243" s="42"/>
      <c r="EWF243" s="42"/>
      <c r="EWG243" s="42"/>
      <c r="EWH243" s="42"/>
      <c r="EWI243" s="42"/>
      <c r="EWJ243" s="42"/>
      <c r="EWK243" s="42"/>
      <c r="EWL243" s="42"/>
      <c r="EWM243" s="42"/>
      <c r="EWN243" s="42"/>
      <c r="EWO243" s="42"/>
      <c r="EWP243" s="42"/>
      <c r="EWQ243" s="42"/>
      <c r="EWR243" s="42"/>
      <c r="EWS243" s="42"/>
      <c r="EWT243" s="42"/>
      <c r="EWU243" s="42"/>
      <c r="EWV243" s="42"/>
      <c r="EWW243" s="42"/>
      <c r="EWX243" s="42"/>
      <c r="EWY243" s="42"/>
      <c r="EWZ243" s="42"/>
      <c r="EXA243" s="42"/>
      <c r="EXB243" s="42"/>
      <c r="EXC243" s="42"/>
      <c r="EXD243" s="42"/>
      <c r="EXE243" s="42"/>
      <c r="EXF243" s="42"/>
      <c r="EXG243" s="42"/>
      <c r="EXH243" s="42"/>
      <c r="EXI243" s="42"/>
      <c r="EXJ243" s="42"/>
      <c r="EXK243" s="42"/>
      <c r="EXL243" s="42"/>
      <c r="EXM243" s="42"/>
      <c r="EXN243" s="42"/>
      <c r="EXO243" s="42"/>
      <c r="EXP243" s="42"/>
      <c r="EXQ243" s="42"/>
      <c r="EXR243" s="42"/>
      <c r="EXS243" s="42"/>
      <c r="EXT243" s="42"/>
      <c r="EXU243" s="42"/>
      <c r="EXV243" s="42"/>
      <c r="EXW243" s="42"/>
      <c r="EXX243" s="42"/>
      <c r="EXY243" s="42"/>
      <c r="EXZ243" s="42"/>
      <c r="EYA243" s="42"/>
      <c r="EYB243" s="42"/>
      <c r="EYC243" s="42"/>
      <c r="EYD243" s="42"/>
      <c r="EYE243" s="42"/>
      <c r="EYF243" s="42"/>
      <c r="EYG243" s="42"/>
      <c r="EYH243" s="42"/>
      <c r="EYI243" s="42"/>
      <c r="EYJ243" s="42"/>
      <c r="EYK243" s="42"/>
      <c r="EYL243" s="42"/>
      <c r="EYM243" s="42"/>
      <c r="EYN243" s="42"/>
      <c r="EYO243" s="42"/>
      <c r="EYP243" s="42"/>
      <c r="EYQ243" s="42"/>
      <c r="EYR243" s="42"/>
      <c r="EYS243" s="42"/>
      <c r="EYT243" s="42"/>
      <c r="EYU243" s="42"/>
      <c r="EYV243" s="42"/>
      <c r="EYW243" s="42"/>
      <c r="EYX243" s="42"/>
      <c r="EYY243" s="42"/>
      <c r="EYZ243" s="42"/>
      <c r="EZA243" s="42"/>
      <c r="EZB243" s="42"/>
      <c r="EZC243" s="42"/>
      <c r="EZD243" s="42"/>
      <c r="EZE243" s="42"/>
      <c r="EZF243" s="42"/>
      <c r="EZG243" s="42"/>
      <c r="EZH243" s="42"/>
      <c r="EZI243" s="42"/>
      <c r="EZJ243" s="42"/>
      <c r="EZK243" s="42"/>
      <c r="EZL243" s="42"/>
      <c r="EZM243" s="42"/>
      <c r="EZN243" s="42"/>
      <c r="EZO243" s="42"/>
      <c r="EZP243" s="42"/>
      <c r="EZQ243" s="42"/>
      <c r="EZR243" s="42"/>
      <c r="EZS243" s="42"/>
      <c r="EZT243" s="42"/>
      <c r="EZU243" s="42"/>
      <c r="EZV243" s="42"/>
      <c r="EZW243" s="42"/>
      <c r="EZX243" s="42"/>
      <c r="EZY243" s="42"/>
      <c r="EZZ243" s="42"/>
      <c r="FAA243" s="42"/>
      <c r="FAB243" s="42"/>
      <c r="FAC243" s="42"/>
      <c r="FAD243" s="42"/>
      <c r="FAE243" s="42"/>
      <c r="FAF243" s="42"/>
      <c r="FAG243" s="42"/>
      <c r="FAH243" s="42"/>
      <c r="FAI243" s="42"/>
      <c r="FAJ243" s="42"/>
      <c r="FAK243" s="42"/>
      <c r="FAL243" s="42"/>
      <c r="FAM243" s="42"/>
      <c r="FAN243" s="42"/>
      <c r="FAO243" s="42"/>
      <c r="FAP243" s="42"/>
      <c r="FAQ243" s="42"/>
      <c r="FAR243" s="42"/>
      <c r="FAS243" s="42"/>
      <c r="FAT243" s="42"/>
      <c r="FAU243" s="42"/>
      <c r="FAV243" s="42"/>
      <c r="FAW243" s="42"/>
      <c r="FAX243" s="42"/>
      <c r="FAY243" s="42"/>
      <c r="FAZ243" s="42"/>
      <c r="FBA243" s="42"/>
      <c r="FBB243" s="42"/>
      <c r="FBC243" s="42"/>
      <c r="FBD243" s="42"/>
      <c r="FBE243" s="42"/>
      <c r="FBF243" s="42"/>
      <c r="FBG243" s="42"/>
      <c r="FBH243" s="42"/>
      <c r="FBI243" s="42"/>
      <c r="FBJ243" s="42"/>
      <c r="FBK243" s="42"/>
      <c r="FBL243" s="42"/>
      <c r="FBM243" s="42"/>
      <c r="FBN243" s="42"/>
      <c r="FBO243" s="42"/>
      <c r="FBP243" s="42"/>
      <c r="FBQ243" s="42"/>
      <c r="FBR243" s="42"/>
      <c r="FBS243" s="42"/>
      <c r="FBT243" s="42"/>
      <c r="FBU243" s="42"/>
      <c r="FBV243" s="42"/>
      <c r="FBW243" s="42"/>
      <c r="FBX243" s="42"/>
      <c r="FBY243" s="42"/>
      <c r="FBZ243" s="42"/>
      <c r="FCA243" s="42"/>
      <c r="FCB243" s="42"/>
      <c r="FCC243" s="42"/>
      <c r="FCD243" s="42"/>
      <c r="FCE243" s="42"/>
      <c r="FCF243" s="42"/>
      <c r="FCG243" s="42"/>
      <c r="FCH243" s="42"/>
      <c r="FCI243" s="42"/>
      <c r="FCJ243" s="42"/>
      <c r="FCK243" s="42"/>
      <c r="FCL243" s="42"/>
      <c r="FCM243" s="42"/>
      <c r="FCN243" s="42"/>
      <c r="FCO243" s="42"/>
      <c r="FCP243" s="42"/>
      <c r="FCQ243" s="42"/>
      <c r="FCR243" s="42"/>
      <c r="FCS243" s="42"/>
      <c r="FCT243" s="42"/>
      <c r="FCU243" s="42"/>
      <c r="FCV243" s="42"/>
      <c r="FCW243" s="42"/>
      <c r="FCX243" s="42"/>
      <c r="FCY243" s="42"/>
      <c r="FCZ243" s="42"/>
      <c r="FDA243" s="42"/>
      <c r="FDB243" s="42"/>
      <c r="FDC243" s="42"/>
      <c r="FDD243" s="42"/>
      <c r="FDE243" s="42"/>
      <c r="FDF243" s="42"/>
      <c r="FDG243" s="42"/>
      <c r="FDH243" s="42"/>
      <c r="FDI243" s="42"/>
      <c r="FDJ243" s="42"/>
      <c r="FDK243" s="42"/>
      <c r="FDL243" s="42"/>
      <c r="FDM243" s="42"/>
      <c r="FDN243" s="42"/>
      <c r="FDO243" s="42"/>
      <c r="FDP243" s="42"/>
      <c r="FDQ243" s="42"/>
      <c r="FDR243" s="42"/>
      <c r="FDS243" s="42"/>
      <c r="FDT243" s="42"/>
      <c r="FDU243" s="42"/>
      <c r="FDV243" s="42"/>
      <c r="FDW243" s="42"/>
      <c r="FDX243" s="42"/>
      <c r="FDY243" s="42"/>
      <c r="FDZ243" s="42"/>
      <c r="FEA243" s="42"/>
      <c r="FEB243" s="42"/>
      <c r="FEC243" s="42"/>
      <c r="FED243" s="42"/>
      <c r="FEE243" s="42"/>
      <c r="FEF243" s="42"/>
      <c r="FEG243" s="42"/>
      <c r="FEH243" s="42"/>
      <c r="FEI243" s="42"/>
      <c r="FEJ243" s="42"/>
      <c r="FEK243" s="42"/>
      <c r="FEL243" s="42"/>
      <c r="FEM243" s="42"/>
      <c r="FEN243" s="42"/>
      <c r="FEO243" s="42"/>
      <c r="FEP243" s="42"/>
      <c r="FEQ243" s="42"/>
      <c r="FER243" s="42"/>
      <c r="FES243" s="42"/>
      <c r="FET243" s="42"/>
      <c r="FEU243" s="42"/>
      <c r="FEV243" s="42"/>
      <c r="FEW243" s="42"/>
      <c r="FEX243" s="42"/>
      <c r="FEY243" s="42"/>
      <c r="FEZ243" s="42"/>
      <c r="FFA243" s="42"/>
      <c r="FFB243" s="42"/>
      <c r="FFC243" s="42"/>
      <c r="FFD243" s="42"/>
      <c r="FFE243" s="42"/>
      <c r="FFF243" s="42"/>
      <c r="FFG243" s="42"/>
      <c r="FFH243" s="42"/>
      <c r="FFI243" s="42"/>
      <c r="FFJ243" s="42"/>
      <c r="FFK243" s="42"/>
      <c r="FFL243" s="42"/>
      <c r="FFM243" s="42"/>
      <c r="FFN243" s="42"/>
      <c r="FFO243" s="42"/>
      <c r="FFP243" s="42"/>
      <c r="FFQ243" s="42"/>
      <c r="FFR243" s="42"/>
      <c r="FFS243" s="42"/>
      <c r="FFT243" s="42"/>
      <c r="FFU243" s="42"/>
      <c r="FFV243" s="42"/>
      <c r="FFW243" s="42"/>
      <c r="FFX243" s="42"/>
      <c r="FFY243" s="42"/>
      <c r="FFZ243" s="42"/>
      <c r="FGA243" s="42"/>
      <c r="FGB243" s="42"/>
      <c r="FGC243" s="42"/>
      <c r="FGD243" s="42"/>
      <c r="FGE243" s="42"/>
      <c r="FGF243" s="42"/>
      <c r="FGG243" s="42"/>
      <c r="FGH243" s="42"/>
      <c r="FGI243" s="42"/>
      <c r="FGJ243" s="42"/>
      <c r="FGK243" s="42"/>
      <c r="FGL243" s="42"/>
      <c r="FGM243" s="42"/>
      <c r="FGN243" s="42"/>
      <c r="FGO243" s="42"/>
      <c r="FGP243" s="42"/>
      <c r="FGQ243" s="42"/>
      <c r="FGR243" s="42"/>
      <c r="FGS243" s="42"/>
      <c r="FGT243" s="42"/>
      <c r="FGU243" s="42"/>
      <c r="FGV243" s="42"/>
      <c r="FGW243" s="42"/>
      <c r="FGX243" s="42"/>
      <c r="FGY243" s="42"/>
      <c r="FGZ243" s="42"/>
      <c r="FHA243" s="42"/>
      <c r="FHB243" s="42"/>
      <c r="FHC243" s="42"/>
      <c r="FHD243" s="42"/>
      <c r="FHE243" s="42"/>
      <c r="FHF243" s="42"/>
      <c r="FHG243" s="42"/>
      <c r="FHH243" s="42"/>
      <c r="FHI243" s="42"/>
      <c r="FHJ243" s="42"/>
      <c r="FHK243" s="42"/>
      <c r="FHL243" s="42"/>
      <c r="FHM243" s="42"/>
      <c r="FHN243" s="42"/>
      <c r="FHO243" s="42"/>
      <c r="FHP243" s="42"/>
      <c r="FHQ243" s="42"/>
      <c r="FHR243" s="42"/>
      <c r="FHS243" s="42"/>
      <c r="FHT243" s="42"/>
      <c r="FHU243" s="42"/>
      <c r="FHV243" s="42"/>
      <c r="FHW243" s="42"/>
      <c r="FHX243" s="42"/>
      <c r="FHY243" s="42"/>
      <c r="FHZ243" s="42"/>
      <c r="FIA243" s="42"/>
      <c r="FIB243" s="42"/>
      <c r="FIC243" s="42"/>
      <c r="FID243" s="42"/>
      <c r="FIE243" s="42"/>
      <c r="FIF243" s="42"/>
      <c r="FIG243" s="42"/>
      <c r="FIH243" s="42"/>
      <c r="FII243" s="42"/>
      <c r="FIJ243" s="42"/>
      <c r="FIK243" s="42"/>
      <c r="FIL243" s="42"/>
      <c r="FIM243" s="42"/>
      <c r="FIN243" s="42"/>
      <c r="FIO243" s="42"/>
      <c r="FIP243" s="42"/>
      <c r="FIQ243" s="42"/>
      <c r="FIR243" s="42"/>
      <c r="FIS243" s="42"/>
      <c r="FIT243" s="42"/>
      <c r="FIU243" s="42"/>
      <c r="FIV243" s="42"/>
      <c r="FIW243" s="42"/>
      <c r="FIX243" s="42"/>
      <c r="FIY243" s="42"/>
      <c r="FIZ243" s="42"/>
      <c r="FJA243" s="42"/>
      <c r="FJB243" s="42"/>
      <c r="FJC243" s="42"/>
      <c r="FJD243" s="42"/>
      <c r="FJE243" s="42"/>
      <c r="FJF243" s="42"/>
      <c r="FJG243" s="42"/>
      <c r="FJH243" s="42"/>
      <c r="FJI243" s="42"/>
      <c r="FJJ243" s="42"/>
      <c r="FJK243" s="42"/>
      <c r="FJL243" s="42"/>
      <c r="FJM243" s="42"/>
      <c r="FJN243" s="42"/>
      <c r="FJO243" s="42"/>
      <c r="FJP243" s="42"/>
      <c r="FJQ243" s="42"/>
      <c r="FJR243" s="42"/>
      <c r="FJS243" s="42"/>
      <c r="FJT243" s="42"/>
      <c r="FJU243" s="42"/>
      <c r="FJV243" s="42"/>
      <c r="FJW243" s="42"/>
      <c r="FJX243" s="42"/>
      <c r="FJY243" s="42"/>
      <c r="FJZ243" s="42"/>
      <c r="FKA243" s="42"/>
      <c r="FKB243" s="42"/>
      <c r="FKC243" s="42"/>
      <c r="FKD243" s="42"/>
      <c r="FKE243" s="42"/>
      <c r="FKF243" s="42"/>
      <c r="FKG243" s="42"/>
      <c r="FKH243" s="42"/>
      <c r="FKI243" s="42"/>
      <c r="FKJ243" s="42"/>
      <c r="FKK243" s="42"/>
      <c r="FKL243" s="42"/>
      <c r="FKM243" s="42"/>
      <c r="FKN243" s="42"/>
      <c r="FKO243" s="42"/>
      <c r="FKP243" s="42"/>
      <c r="FKQ243" s="42"/>
      <c r="FKR243" s="42"/>
      <c r="FKS243" s="42"/>
      <c r="FKT243" s="42"/>
      <c r="FKU243" s="42"/>
      <c r="FKV243" s="42"/>
      <c r="FKW243" s="42"/>
      <c r="FKX243" s="42"/>
      <c r="FKY243" s="42"/>
      <c r="FKZ243" s="42"/>
      <c r="FLA243" s="42"/>
      <c r="FLB243" s="42"/>
      <c r="FLC243" s="42"/>
      <c r="FLD243" s="42"/>
      <c r="FLE243" s="42"/>
      <c r="FLF243" s="42"/>
      <c r="FLG243" s="42"/>
      <c r="FLH243" s="42"/>
      <c r="FLI243" s="42"/>
      <c r="FLJ243" s="42"/>
      <c r="FLK243" s="42"/>
      <c r="FLL243" s="42"/>
      <c r="FLM243" s="42"/>
      <c r="FLN243" s="42"/>
      <c r="FLO243" s="42"/>
      <c r="FLP243" s="42"/>
      <c r="FLQ243" s="42"/>
      <c r="FLR243" s="42"/>
      <c r="FLS243" s="42"/>
      <c r="FLT243" s="42"/>
      <c r="FLU243" s="42"/>
      <c r="FLV243" s="42"/>
      <c r="FLW243" s="42"/>
      <c r="FLX243" s="42"/>
      <c r="FLY243" s="42"/>
      <c r="FLZ243" s="42"/>
      <c r="FMA243" s="42"/>
      <c r="FMB243" s="42"/>
      <c r="FMC243" s="42"/>
      <c r="FMD243" s="42"/>
      <c r="FME243" s="42"/>
      <c r="FMF243" s="42"/>
      <c r="FMG243" s="42"/>
      <c r="FMH243" s="42"/>
      <c r="FMI243" s="42"/>
      <c r="FMJ243" s="42"/>
      <c r="FMK243" s="42"/>
      <c r="FML243" s="42"/>
      <c r="FMM243" s="42"/>
      <c r="FMN243" s="42"/>
      <c r="FMO243" s="42"/>
      <c r="FMP243" s="42"/>
      <c r="FMQ243" s="42"/>
      <c r="FMR243" s="42"/>
      <c r="FMS243" s="42"/>
      <c r="FMT243" s="42"/>
      <c r="FMU243" s="42"/>
      <c r="FMV243" s="42"/>
      <c r="FMW243" s="42"/>
      <c r="FMX243" s="42"/>
      <c r="FMY243" s="42"/>
      <c r="FMZ243" s="42"/>
      <c r="FNA243" s="42"/>
      <c r="FNB243" s="42"/>
      <c r="FNC243" s="42"/>
      <c r="FND243" s="42"/>
      <c r="FNE243" s="42"/>
      <c r="FNF243" s="42"/>
      <c r="FNG243" s="42"/>
      <c r="FNH243" s="42"/>
      <c r="FNI243" s="42"/>
      <c r="FNJ243" s="42"/>
      <c r="FNK243" s="42"/>
      <c r="FNL243" s="42"/>
      <c r="FNM243" s="42"/>
      <c r="FNN243" s="42"/>
      <c r="FNO243" s="42"/>
      <c r="FNP243" s="42"/>
      <c r="FNQ243" s="42"/>
      <c r="FNR243" s="42"/>
      <c r="FNS243" s="42"/>
      <c r="FNT243" s="42"/>
      <c r="FNU243" s="42"/>
      <c r="FNV243" s="42"/>
      <c r="FNW243" s="42"/>
      <c r="FNX243" s="42"/>
      <c r="FNY243" s="42"/>
      <c r="FNZ243" s="42"/>
      <c r="FOA243" s="42"/>
      <c r="FOB243" s="42"/>
      <c r="FOC243" s="42"/>
      <c r="FOD243" s="42"/>
      <c r="FOE243" s="42"/>
      <c r="FOF243" s="42"/>
      <c r="FOG243" s="42"/>
      <c r="FOH243" s="42"/>
      <c r="FOI243" s="42"/>
      <c r="FOJ243" s="42"/>
      <c r="FOK243" s="42"/>
      <c r="FOL243" s="42"/>
      <c r="FOM243" s="42"/>
      <c r="FON243" s="42"/>
      <c r="FOO243" s="42"/>
      <c r="FOP243" s="42"/>
      <c r="FOQ243" s="42"/>
      <c r="FOR243" s="42"/>
      <c r="FOS243" s="42"/>
      <c r="FOT243" s="42"/>
      <c r="FOU243" s="42"/>
      <c r="FOV243" s="42"/>
      <c r="FOW243" s="42"/>
      <c r="FOX243" s="42"/>
      <c r="FOY243" s="42"/>
      <c r="FOZ243" s="42"/>
      <c r="FPA243" s="42"/>
      <c r="FPB243" s="42"/>
      <c r="FPC243" s="42"/>
      <c r="FPD243" s="42"/>
      <c r="FPE243" s="42"/>
      <c r="FPF243" s="42"/>
      <c r="FPG243" s="42"/>
      <c r="FPH243" s="42"/>
      <c r="FPI243" s="42"/>
      <c r="FPJ243" s="42"/>
      <c r="FPK243" s="42"/>
      <c r="FPL243" s="42"/>
      <c r="FPM243" s="42"/>
      <c r="FPN243" s="42"/>
      <c r="FPO243" s="42"/>
      <c r="FPP243" s="42"/>
      <c r="FPQ243" s="42"/>
      <c r="FPR243" s="42"/>
      <c r="FPS243" s="42"/>
      <c r="FPT243" s="42"/>
      <c r="FPU243" s="42"/>
      <c r="FPV243" s="42"/>
      <c r="FPW243" s="42"/>
      <c r="FPX243" s="42"/>
      <c r="FPY243" s="42"/>
      <c r="FPZ243" s="42"/>
      <c r="FQA243" s="42"/>
      <c r="FQB243" s="42"/>
      <c r="FQC243" s="42"/>
      <c r="FQD243" s="42"/>
      <c r="FQE243" s="42"/>
      <c r="FQF243" s="42"/>
      <c r="FQG243" s="42"/>
      <c r="FQH243" s="42"/>
      <c r="FQI243" s="42"/>
      <c r="FQJ243" s="42"/>
      <c r="FQK243" s="42"/>
      <c r="FQL243" s="42"/>
      <c r="FQM243" s="42"/>
      <c r="FQN243" s="42"/>
      <c r="FQO243" s="42"/>
      <c r="FQP243" s="42"/>
      <c r="FQQ243" s="42"/>
      <c r="FQR243" s="42"/>
      <c r="FQS243" s="42"/>
      <c r="FQT243" s="42"/>
      <c r="FQU243" s="42"/>
      <c r="FQV243" s="42"/>
      <c r="FQW243" s="42"/>
      <c r="FQX243" s="42"/>
      <c r="FQY243" s="42"/>
      <c r="FQZ243" s="42"/>
      <c r="FRA243" s="42"/>
      <c r="FRB243" s="42"/>
      <c r="FRC243" s="42"/>
      <c r="FRD243" s="42"/>
      <c r="FRE243" s="42"/>
      <c r="FRF243" s="42"/>
      <c r="FRG243" s="42"/>
      <c r="FRH243" s="42"/>
      <c r="FRI243" s="42"/>
      <c r="FRJ243" s="42"/>
      <c r="FRK243" s="42"/>
      <c r="FRL243" s="42"/>
      <c r="FRM243" s="42"/>
      <c r="FRN243" s="42"/>
      <c r="FRO243" s="42"/>
      <c r="FRP243" s="42"/>
      <c r="FRQ243" s="42"/>
      <c r="FRR243" s="42"/>
      <c r="FRS243" s="42"/>
      <c r="FRT243" s="42"/>
      <c r="FRU243" s="42"/>
      <c r="FRV243" s="42"/>
      <c r="FRW243" s="42"/>
      <c r="FRX243" s="42"/>
      <c r="FRY243" s="42"/>
      <c r="FRZ243" s="42"/>
      <c r="FSA243" s="42"/>
      <c r="FSB243" s="42"/>
      <c r="FSC243" s="42"/>
      <c r="FSD243" s="42"/>
      <c r="FSE243" s="42"/>
      <c r="FSF243" s="42"/>
      <c r="FSG243" s="42"/>
      <c r="FSH243" s="42"/>
      <c r="FSI243" s="42"/>
      <c r="FSJ243" s="42"/>
      <c r="FSK243" s="42"/>
      <c r="FSL243" s="42"/>
      <c r="FSM243" s="42"/>
      <c r="FSN243" s="42"/>
      <c r="FSO243" s="42"/>
      <c r="FSP243" s="42"/>
      <c r="FSQ243" s="42"/>
      <c r="FSR243" s="42"/>
      <c r="FSS243" s="42"/>
      <c r="FST243" s="42"/>
      <c r="FSU243" s="42"/>
      <c r="FSV243" s="42"/>
      <c r="FSW243" s="42"/>
      <c r="FSX243" s="42"/>
      <c r="FSY243" s="42"/>
      <c r="FSZ243" s="42"/>
      <c r="FTA243" s="42"/>
      <c r="FTB243" s="42"/>
      <c r="FTC243" s="42"/>
      <c r="FTD243" s="42"/>
      <c r="FTE243" s="42"/>
      <c r="FTF243" s="42"/>
      <c r="FTG243" s="42"/>
      <c r="FTH243" s="42"/>
      <c r="FTI243" s="42"/>
      <c r="FTJ243" s="42"/>
      <c r="FTK243" s="42"/>
      <c r="FTL243" s="42"/>
      <c r="FTM243" s="42"/>
      <c r="FTN243" s="42"/>
      <c r="FTO243" s="42"/>
      <c r="FTP243" s="42"/>
      <c r="FTQ243" s="42"/>
      <c r="FTR243" s="42"/>
      <c r="FTS243" s="42"/>
      <c r="FTT243" s="42"/>
      <c r="FTU243" s="42"/>
      <c r="FTV243" s="42"/>
      <c r="FTW243" s="42"/>
      <c r="FTX243" s="42"/>
      <c r="FTY243" s="42"/>
      <c r="FTZ243" s="42"/>
      <c r="FUA243" s="42"/>
      <c r="FUB243" s="42"/>
      <c r="FUC243" s="42"/>
      <c r="FUD243" s="42"/>
      <c r="FUE243" s="42"/>
      <c r="FUF243" s="42"/>
      <c r="FUG243" s="42"/>
      <c r="FUH243" s="42"/>
      <c r="FUI243" s="42"/>
      <c r="FUJ243" s="42"/>
      <c r="FUK243" s="42"/>
      <c r="FUL243" s="42"/>
      <c r="FUM243" s="42"/>
      <c r="FUN243" s="42"/>
      <c r="FUO243" s="42"/>
      <c r="FUP243" s="42"/>
      <c r="FUQ243" s="42"/>
      <c r="FUR243" s="42"/>
      <c r="FUS243" s="42"/>
      <c r="FUT243" s="42"/>
      <c r="FUU243" s="42"/>
      <c r="FUV243" s="42"/>
      <c r="FUW243" s="42"/>
      <c r="FUX243" s="42"/>
      <c r="FUY243" s="42"/>
      <c r="FUZ243" s="42"/>
      <c r="FVA243" s="42"/>
      <c r="FVB243" s="42"/>
      <c r="FVC243" s="42"/>
      <c r="FVD243" s="42"/>
      <c r="FVE243" s="42"/>
      <c r="FVF243" s="42"/>
      <c r="FVG243" s="42"/>
      <c r="FVH243" s="42"/>
      <c r="FVI243" s="42"/>
      <c r="FVJ243" s="42"/>
      <c r="FVK243" s="42"/>
      <c r="FVL243" s="42"/>
      <c r="FVM243" s="42"/>
      <c r="FVN243" s="42"/>
      <c r="FVO243" s="42"/>
      <c r="FVP243" s="42"/>
      <c r="FVQ243" s="42"/>
      <c r="FVR243" s="42"/>
      <c r="FVS243" s="42"/>
      <c r="FVT243" s="42"/>
      <c r="FVU243" s="42"/>
      <c r="FVV243" s="42"/>
      <c r="FVW243" s="42"/>
      <c r="FVX243" s="42"/>
      <c r="FVY243" s="42"/>
      <c r="FVZ243" s="42"/>
      <c r="FWA243" s="42"/>
      <c r="FWB243" s="42"/>
      <c r="FWC243" s="42"/>
      <c r="FWD243" s="42"/>
      <c r="FWE243" s="42"/>
      <c r="FWF243" s="42"/>
      <c r="FWG243" s="42"/>
      <c r="FWH243" s="42"/>
      <c r="FWI243" s="42"/>
      <c r="FWJ243" s="42"/>
      <c r="FWK243" s="42"/>
      <c r="FWL243" s="42"/>
      <c r="FWM243" s="42"/>
      <c r="FWN243" s="42"/>
      <c r="FWO243" s="42"/>
      <c r="FWP243" s="42"/>
      <c r="FWQ243" s="42"/>
      <c r="FWR243" s="42"/>
      <c r="FWS243" s="42"/>
      <c r="FWT243" s="42"/>
      <c r="FWU243" s="42"/>
      <c r="FWV243" s="42"/>
      <c r="FWW243" s="42"/>
      <c r="FWX243" s="42"/>
      <c r="FWY243" s="42"/>
      <c r="FWZ243" s="42"/>
      <c r="FXA243" s="42"/>
      <c r="FXB243" s="42"/>
      <c r="FXC243" s="42"/>
      <c r="FXD243" s="42"/>
      <c r="FXE243" s="42"/>
      <c r="FXF243" s="42"/>
      <c r="FXG243" s="42"/>
      <c r="FXH243" s="42"/>
      <c r="FXI243" s="42"/>
      <c r="FXJ243" s="42"/>
      <c r="FXK243" s="42"/>
      <c r="FXL243" s="42"/>
      <c r="FXM243" s="42"/>
      <c r="FXN243" s="42"/>
      <c r="FXO243" s="42"/>
      <c r="FXP243" s="42"/>
      <c r="FXQ243" s="42"/>
      <c r="FXR243" s="42"/>
      <c r="FXS243" s="42"/>
      <c r="FXT243" s="42"/>
      <c r="FXU243" s="42"/>
      <c r="FXV243" s="42"/>
      <c r="FXW243" s="42"/>
      <c r="FXX243" s="42"/>
      <c r="FXY243" s="42"/>
      <c r="FXZ243" s="42"/>
      <c r="FYA243" s="42"/>
      <c r="FYB243" s="42"/>
      <c r="FYC243" s="42"/>
      <c r="FYD243" s="42"/>
      <c r="FYE243" s="42"/>
      <c r="FYF243" s="42"/>
      <c r="FYG243" s="42"/>
      <c r="FYH243" s="42"/>
      <c r="FYI243" s="42"/>
      <c r="FYJ243" s="42"/>
      <c r="FYK243" s="42"/>
      <c r="FYL243" s="42"/>
      <c r="FYM243" s="42"/>
      <c r="FYN243" s="42"/>
      <c r="FYO243" s="42"/>
      <c r="FYP243" s="42"/>
      <c r="FYQ243" s="42"/>
      <c r="FYR243" s="42"/>
      <c r="FYS243" s="42"/>
      <c r="FYT243" s="42"/>
      <c r="FYU243" s="42"/>
      <c r="FYV243" s="42"/>
      <c r="FYW243" s="42"/>
      <c r="FYX243" s="42"/>
      <c r="FYY243" s="42"/>
      <c r="FYZ243" s="42"/>
      <c r="FZA243" s="42"/>
      <c r="FZB243" s="42"/>
      <c r="FZC243" s="42"/>
      <c r="FZD243" s="42"/>
      <c r="FZE243" s="42"/>
      <c r="FZF243" s="42"/>
      <c r="FZG243" s="42"/>
      <c r="FZH243" s="42"/>
      <c r="FZI243" s="42"/>
      <c r="FZJ243" s="42"/>
      <c r="FZK243" s="42"/>
      <c r="FZL243" s="42"/>
      <c r="FZM243" s="42"/>
      <c r="FZN243" s="42"/>
      <c r="FZO243" s="42"/>
      <c r="FZP243" s="42"/>
      <c r="FZQ243" s="42"/>
      <c r="FZR243" s="42"/>
      <c r="FZS243" s="42"/>
      <c r="FZT243" s="42"/>
      <c r="FZU243" s="42"/>
      <c r="FZV243" s="42"/>
      <c r="FZW243" s="42"/>
      <c r="FZX243" s="42"/>
      <c r="FZY243" s="42"/>
      <c r="FZZ243" s="42"/>
      <c r="GAA243" s="42"/>
      <c r="GAB243" s="42"/>
      <c r="GAC243" s="42"/>
      <c r="GAD243" s="42"/>
      <c r="GAE243" s="42"/>
      <c r="GAF243" s="42"/>
      <c r="GAG243" s="42"/>
      <c r="GAH243" s="42"/>
      <c r="GAI243" s="42"/>
      <c r="GAJ243" s="42"/>
      <c r="GAK243" s="42"/>
      <c r="GAL243" s="42"/>
      <c r="GAM243" s="42"/>
      <c r="GAN243" s="42"/>
      <c r="GAO243" s="42"/>
      <c r="GAP243" s="42"/>
      <c r="GAQ243" s="42"/>
      <c r="GAR243" s="42"/>
      <c r="GAS243" s="42"/>
      <c r="GAT243" s="42"/>
      <c r="GAU243" s="42"/>
      <c r="GAV243" s="42"/>
      <c r="GAW243" s="42"/>
      <c r="GAX243" s="42"/>
      <c r="GAY243" s="42"/>
      <c r="GAZ243" s="42"/>
      <c r="GBA243" s="42"/>
      <c r="GBB243" s="42"/>
      <c r="GBC243" s="42"/>
      <c r="GBD243" s="42"/>
      <c r="GBE243" s="42"/>
      <c r="GBF243" s="42"/>
      <c r="GBG243" s="42"/>
      <c r="GBH243" s="42"/>
      <c r="GBI243" s="42"/>
      <c r="GBJ243" s="42"/>
      <c r="GBK243" s="42"/>
      <c r="GBL243" s="42"/>
      <c r="GBM243" s="42"/>
      <c r="GBN243" s="42"/>
      <c r="GBO243" s="42"/>
      <c r="GBP243" s="42"/>
      <c r="GBQ243" s="42"/>
      <c r="GBR243" s="42"/>
      <c r="GBS243" s="42"/>
      <c r="GBT243" s="42"/>
      <c r="GBU243" s="42"/>
      <c r="GBV243" s="42"/>
      <c r="GBW243" s="42"/>
      <c r="GBX243" s="42"/>
      <c r="GBY243" s="42"/>
      <c r="GBZ243" s="42"/>
      <c r="GCA243" s="42"/>
      <c r="GCB243" s="42"/>
      <c r="GCC243" s="42"/>
      <c r="GCD243" s="42"/>
      <c r="GCE243" s="42"/>
      <c r="GCF243" s="42"/>
      <c r="GCG243" s="42"/>
      <c r="GCH243" s="42"/>
      <c r="GCI243" s="42"/>
      <c r="GCJ243" s="42"/>
      <c r="GCK243" s="42"/>
      <c r="GCL243" s="42"/>
      <c r="GCM243" s="42"/>
      <c r="GCN243" s="42"/>
      <c r="GCO243" s="42"/>
      <c r="GCP243" s="42"/>
      <c r="GCQ243" s="42"/>
      <c r="GCR243" s="42"/>
      <c r="GCS243" s="42"/>
      <c r="GCT243" s="42"/>
      <c r="GCU243" s="42"/>
      <c r="GCV243" s="42"/>
      <c r="GCW243" s="42"/>
      <c r="GCX243" s="42"/>
      <c r="GCY243" s="42"/>
      <c r="GCZ243" s="42"/>
      <c r="GDA243" s="42"/>
      <c r="GDB243" s="42"/>
      <c r="GDC243" s="42"/>
      <c r="GDD243" s="42"/>
      <c r="GDE243" s="42"/>
      <c r="GDF243" s="42"/>
      <c r="GDG243" s="42"/>
      <c r="GDH243" s="42"/>
      <c r="GDI243" s="42"/>
      <c r="GDJ243" s="42"/>
      <c r="GDK243" s="42"/>
      <c r="GDL243" s="42"/>
      <c r="GDM243" s="42"/>
      <c r="GDN243" s="42"/>
      <c r="GDO243" s="42"/>
      <c r="GDP243" s="42"/>
      <c r="GDQ243" s="42"/>
      <c r="GDR243" s="42"/>
      <c r="GDS243" s="42"/>
      <c r="GDT243" s="42"/>
      <c r="GDU243" s="42"/>
      <c r="GDV243" s="42"/>
      <c r="GDW243" s="42"/>
      <c r="GDX243" s="42"/>
      <c r="GDY243" s="42"/>
      <c r="GDZ243" s="42"/>
      <c r="GEA243" s="42"/>
      <c r="GEB243" s="42"/>
      <c r="GEC243" s="42"/>
      <c r="GED243" s="42"/>
      <c r="GEE243" s="42"/>
      <c r="GEF243" s="42"/>
      <c r="GEG243" s="42"/>
      <c r="GEH243" s="42"/>
      <c r="GEI243" s="42"/>
      <c r="GEJ243" s="42"/>
      <c r="GEK243" s="42"/>
      <c r="GEL243" s="42"/>
      <c r="GEM243" s="42"/>
      <c r="GEN243" s="42"/>
      <c r="GEO243" s="42"/>
      <c r="GEP243" s="42"/>
      <c r="GEQ243" s="42"/>
      <c r="GER243" s="42"/>
      <c r="GES243" s="42"/>
      <c r="GET243" s="42"/>
      <c r="GEU243" s="42"/>
      <c r="GEV243" s="42"/>
      <c r="GEW243" s="42"/>
      <c r="GEX243" s="42"/>
      <c r="GEY243" s="42"/>
      <c r="GEZ243" s="42"/>
      <c r="GFA243" s="42"/>
      <c r="GFB243" s="42"/>
      <c r="GFC243" s="42"/>
      <c r="GFD243" s="42"/>
      <c r="GFE243" s="42"/>
      <c r="GFF243" s="42"/>
      <c r="GFG243" s="42"/>
      <c r="GFH243" s="42"/>
      <c r="GFI243" s="42"/>
      <c r="GFJ243" s="42"/>
      <c r="GFK243" s="42"/>
      <c r="GFL243" s="42"/>
      <c r="GFM243" s="42"/>
      <c r="GFN243" s="42"/>
      <c r="GFO243" s="42"/>
      <c r="GFP243" s="42"/>
      <c r="GFQ243" s="42"/>
      <c r="GFR243" s="42"/>
      <c r="GFS243" s="42"/>
      <c r="GFT243" s="42"/>
      <c r="GFU243" s="42"/>
      <c r="GFV243" s="42"/>
      <c r="GFW243" s="42"/>
      <c r="GFX243" s="42"/>
      <c r="GFY243" s="42"/>
      <c r="GFZ243" s="42"/>
      <c r="GGA243" s="42"/>
      <c r="GGB243" s="42"/>
      <c r="GGC243" s="42"/>
      <c r="GGD243" s="42"/>
      <c r="GGE243" s="42"/>
      <c r="GGF243" s="42"/>
      <c r="GGG243" s="42"/>
      <c r="GGH243" s="42"/>
      <c r="GGI243" s="42"/>
      <c r="GGJ243" s="42"/>
      <c r="GGK243" s="42"/>
      <c r="GGL243" s="42"/>
      <c r="GGM243" s="42"/>
      <c r="GGN243" s="42"/>
      <c r="GGO243" s="42"/>
      <c r="GGP243" s="42"/>
      <c r="GGQ243" s="42"/>
      <c r="GGR243" s="42"/>
      <c r="GGS243" s="42"/>
      <c r="GGT243" s="42"/>
      <c r="GGU243" s="42"/>
      <c r="GGV243" s="42"/>
      <c r="GGW243" s="42"/>
      <c r="GGX243" s="42"/>
      <c r="GGY243" s="42"/>
      <c r="GGZ243" s="42"/>
      <c r="GHA243" s="42"/>
      <c r="GHB243" s="42"/>
      <c r="GHC243" s="42"/>
      <c r="GHD243" s="42"/>
      <c r="GHE243" s="42"/>
      <c r="GHF243" s="42"/>
      <c r="GHG243" s="42"/>
      <c r="GHH243" s="42"/>
      <c r="GHI243" s="42"/>
      <c r="GHJ243" s="42"/>
      <c r="GHK243" s="42"/>
      <c r="GHL243" s="42"/>
      <c r="GHM243" s="42"/>
      <c r="GHN243" s="42"/>
      <c r="GHO243" s="42"/>
      <c r="GHP243" s="42"/>
      <c r="GHQ243" s="42"/>
      <c r="GHR243" s="42"/>
      <c r="GHS243" s="42"/>
      <c r="GHT243" s="42"/>
      <c r="GHU243" s="42"/>
      <c r="GHV243" s="42"/>
      <c r="GHW243" s="42"/>
      <c r="GHX243" s="42"/>
      <c r="GHY243" s="42"/>
      <c r="GHZ243" s="42"/>
      <c r="GIA243" s="42"/>
      <c r="GIB243" s="42"/>
      <c r="GIC243" s="42"/>
      <c r="GID243" s="42"/>
      <c r="GIE243" s="42"/>
      <c r="GIF243" s="42"/>
      <c r="GIG243" s="42"/>
      <c r="GIH243" s="42"/>
      <c r="GII243" s="42"/>
      <c r="GIJ243" s="42"/>
      <c r="GIK243" s="42"/>
      <c r="GIL243" s="42"/>
      <c r="GIM243" s="42"/>
      <c r="GIN243" s="42"/>
      <c r="GIO243" s="42"/>
      <c r="GIP243" s="42"/>
      <c r="GIQ243" s="42"/>
      <c r="GIR243" s="42"/>
      <c r="GIS243" s="42"/>
      <c r="GIT243" s="42"/>
      <c r="GIU243" s="42"/>
      <c r="GIV243" s="42"/>
      <c r="GIW243" s="42"/>
      <c r="GIX243" s="42"/>
      <c r="GIY243" s="42"/>
      <c r="GIZ243" s="42"/>
      <c r="GJA243" s="42"/>
      <c r="GJB243" s="42"/>
      <c r="GJC243" s="42"/>
      <c r="GJD243" s="42"/>
      <c r="GJE243" s="42"/>
      <c r="GJF243" s="42"/>
      <c r="GJG243" s="42"/>
      <c r="GJH243" s="42"/>
      <c r="GJI243" s="42"/>
      <c r="GJJ243" s="42"/>
      <c r="GJK243" s="42"/>
      <c r="GJL243" s="42"/>
      <c r="GJM243" s="42"/>
      <c r="GJN243" s="42"/>
      <c r="GJO243" s="42"/>
      <c r="GJP243" s="42"/>
      <c r="GJQ243" s="42"/>
      <c r="GJR243" s="42"/>
      <c r="GJS243" s="42"/>
      <c r="GJT243" s="42"/>
      <c r="GJU243" s="42"/>
      <c r="GJV243" s="42"/>
      <c r="GJW243" s="42"/>
      <c r="GJX243" s="42"/>
      <c r="GJY243" s="42"/>
      <c r="GJZ243" s="42"/>
      <c r="GKA243" s="42"/>
      <c r="GKB243" s="42"/>
      <c r="GKC243" s="42"/>
      <c r="GKD243" s="42"/>
      <c r="GKE243" s="42"/>
      <c r="GKF243" s="42"/>
      <c r="GKG243" s="42"/>
      <c r="GKH243" s="42"/>
      <c r="GKI243" s="42"/>
      <c r="GKJ243" s="42"/>
      <c r="GKK243" s="42"/>
      <c r="GKL243" s="42"/>
      <c r="GKM243" s="42"/>
      <c r="GKN243" s="42"/>
      <c r="GKO243" s="42"/>
      <c r="GKP243" s="42"/>
      <c r="GKQ243" s="42"/>
      <c r="GKR243" s="42"/>
      <c r="GKS243" s="42"/>
      <c r="GKT243" s="42"/>
      <c r="GKU243" s="42"/>
      <c r="GKV243" s="42"/>
      <c r="GKW243" s="42"/>
      <c r="GKX243" s="42"/>
      <c r="GKY243" s="42"/>
      <c r="GKZ243" s="42"/>
      <c r="GLA243" s="42"/>
      <c r="GLB243" s="42"/>
      <c r="GLC243" s="42"/>
      <c r="GLD243" s="42"/>
      <c r="GLE243" s="42"/>
      <c r="GLF243" s="42"/>
      <c r="GLG243" s="42"/>
      <c r="GLH243" s="42"/>
      <c r="GLI243" s="42"/>
      <c r="GLJ243" s="42"/>
      <c r="GLK243" s="42"/>
      <c r="GLL243" s="42"/>
      <c r="GLM243" s="42"/>
      <c r="GLN243" s="42"/>
      <c r="GLO243" s="42"/>
      <c r="GLP243" s="42"/>
      <c r="GLQ243" s="42"/>
      <c r="GLR243" s="42"/>
      <c r="GLS243" s="42"/>
      <c r="GLT243" s="42"/>
      <c r="GLU243" s="42"/>
      <c r="GLV243" s="42"/>
      <c r="GLW243" s="42"/>
      <c r="GLX243" s="42"/>
      <c r="GLY243" s="42"/>
      <c r="GLZ243" s="42"/>
      <c r="GMA243" s="42"/>
      <c r="GMB243" s="42"/>
      <c r="GMC243" s="42"/>
      <c r="GMD243" s="42"/>
      <c r="GME243" s="42"/>
      <c r="GMF243" s="42"/>
      <c r="GMG243" s="42"/>
      <c r="GMH243" s="42"/>
      <c r="GMI243" s="42"/>
      <c r="GMJ243" s="42"/>
      <c r="GMK243" s="42"/>
      <c r="GML243" s="42"/>
      <c r="GMM243" s="42"/>
      <c r="GMN243" s="42"/>
      <c r="GMO243" s="42"/>
      <c r="GMP243" s="42"/>
      <c r="GMQ243" s="42"/>
      <c r="GMR243" s="42"/>
      <c r="GMS243" s="42"/>
      <c r="GMT243" s="42"/>
      <c r="GMU243" s="42"/>
      <c r="GMV243" s="42"/>
      <c r="GMW243" s="42"/>
      <c r="GMX243" s="42"/>
      <c r="GMY243" s="42"/>
      <c r="GMZ243" s="42"/>
      <c r="GNA243" s="42"/>
      <c r="GNB243" s="42"/>
      <c r="GNC243" s="42"/>
      <c r="GND243" s="42"/>
      <c r="GNE243" s="42"/>
      <c r="GNF243" s="42"/>
      <c r="GNG243" s="42"/>
      <c r="GNH243" s="42"/>
      <c r="GNI243" s="42"/>
      <c r="GNJ243" s="42"/>
      <c r="GNK243" s="42"/>
      <c r="GNL243" s="42"/>
      <c r="GNM243" s="42"/>
      <c r="GNN243" s="42"/>
      <c r="GNO243" s="42"/>
      <c r="GNP243" s="42"/>
      <c r="GNQ243" s="42"/>
      <c r="GNR243" s="42"/>
      <c r="GNS243" s="42"/>
      <c r="GNT243" s="42"/>
      <c r="GNU243" s="42"/>
      <c r="GNV243" s="42"/>
      <c r="GNW243" s="42"/>
      <c r="GNX243" s="42"/>
      <c r="GNY243" s="42"/>
      <c r="GNZ243" s="42"/>
      <c r="GOA243" s="42"/>
      <c r="GOB243" s="42"/>
      <c r="GOC243" s="42"/>
      <c r="GOD243" s="42"/>
      <c r="GOE243" s="42"/>
      <c r="GOF243" s="42"/>
      <c r="GOG243" s="42"/>
      <c r="GOH243" s="42"/>
      <c r="GOI243" s="42"/>
      <c r="GOJ243" s="42"/>
      <c r="GOK243" s="42"/>
      <c r="GOL243" s="42"/>
      <c r="GOM243" s="42"/>
      <c r="GON243" s="42"/>
      <c r="GOO243" s="42"/>
      <c r="GOP243" s="42"/>
      <c r="GOQ243" s="42"/>
      <c r="GOR243" s="42"/>
      <c r="GOS243" s="42"/>
      <c r="GOT243" s="42"/>
      <c r="GOU243" s="42"/>
      <c r="GOV243" s="42"/>
      <c r="GOW243" s="42"/>
      <c r="GOX243" s="42"/>
      <c r="GOY243" s="42"/>
      <c r="GOZ243" s="42"/>
      <c r="GPA243" s="42"/>
      <c r="GPB243" s="42"/>
      <c r="GPC243" s="42"/>
      <c r="GPD243" s="42"/>
      <c r="GPE243" s="42"/>
      <c r="GPF243" s="42"/>
      <c r="GPG243" s="42"/>
      <c r="GPH243" s="42"/>
      <c r="GPI243" s="42"/>
      <c r="GPJ243" s="42"/>
      <c r="GPK243" s="42"/>
      <c r="GPL243" s="42"/>
      <c r="GPM243" s="42"/>
      <c r="GPN243" s="42"/>
      <c r="GPO243" s="42"/>
      <c r="GPP243" s="42"/>
      <c r="GPQ243" s="42"/>
      <c r="GPR243" s="42"/>
      <c r="GPS243" s="42"/>
      <c r="GPT243" s="42"/>
      <c r="GPU243" s="42"/>
      <c r="GPV243" s="42"/>
      <c r="GPW243" s="42"/>
      <c r="GPX243" s="42"/>
      <c r="GPY243" s="42"/>
      <c r="GPZ243" s="42"/>
      <c r="GQA243" s="42"/>
      <c r="GQB243" s="42"/>
      <c r="GQC243" s="42"/>
      <c r="GQD243" s="42"/>
      <c r="GQE243" s="42"/>
      <c r="GQF243" s="42"/>
      <c r="GQG243" s="42"/>
      <c r="GQH243" s="42"/>
      <c r="GQI243" s="42"/>
      <c r="GQJ243" s="42"/>
      <c r="GQK243" s="42"/>
      <c r="GQL243" s="42"/>
      <c r="GQM243" s="42"/>
      <c r="GQN243" s="42"/>
      <c r="GQO243" s="42"/>
      <c r="GQP243" s="42"/>
      <c r="GQQ243" s="42"/>
      <c r="GQR243" s="42"/>
      <c r="GQS243" s="42"/>
      <c r="GQT243" s="42"/>
      <c r="GQU243" s="42"/>
      <c r="GQV243" s="42"/>
      <c r="GQW243" s="42"/>
      <c r="GQX243" s="42"/>
      <c r="GQY243" s="42"/>
      <c r="GQZ243" s="42"/>
      <c r="GRA243" s="42"/>
      <c r="GRB243" s="42"/>
      <c r="GRC243" s="42"/>
      <c r="GRD243" s="42"/>
      <c r="GRE243" s="42"/>
      <c r="GRF243" s="42"/>
      <c r="GRG243" s="42"/>
      <c r="GRH243" s="42"/>
      <c r="GRI243" s="42"/>
      <c r="GRJ243" s="42"/>
      <c r="GRK243" s="42"/>
      <c r="GRL243" s="42"/>
      <c r="GRM243" s="42"/>
      <c r="GRN243" s="42"/>
      <c r="GRO243" s="42"/>
      <c r="GRP243" s="42"/>
      <c r="GRQ243" s="42"/>
      <c r="GRR243" s="42"/>
      <c r="GRS243" s="42"/>
      <c r="GRT243" s="42"/>
      <c r="GRU243" s="42"/>
      <c r="GRV243" s="42"/>
      <c r="GRW243" s="42"/>
      <c r="GRX243" s="42"/>
      <c r="GRY243" s="42"/>
      <c r="GRZ243" s="42"/>
      <c r="GSA243" s="42"/>
      <c r="GSB243" s="42"/>
      <c r="GSC243" s="42"/>
      <c r="GSD243" s="42"/>
      <c r="GSE243" s="42"/>
      <c r="GSF243" s="42"/>
      <c r="GSG243" s="42"/>
      <c r="GSH243" s="42"/>
      <c r="GSI243" s="42"/>
      <c r="GSJ243" s="42"/>
      <c r="GSK243" s="42"/>
      <c r="GSL243" s="42"/>
      <c r="GSM243" s="42"/>
      <c r="GSN243" s="42"/>
      <c r="GSO243" s="42"/>
      <c r="GSP243" s="42"/>
      <c r="GSQ243" s="42"/>
      <c r="GSR243" s="42"/>
      <c r="GSS243" s="42"/>
      <c r="GST243" s="42"/>
      <c r="GSU243" s="42"/>
      <c r="GSV243" s="42"/>
      <c r="GSW243" s="42"/>
      <c r="GSX243" s="42"/>
      <c r="GSY243" s="42"/>
      <c r="GSZ243" s="42"/>
      <c r="GTA243" s="42"/>
      <c r="GTB243" s="42"/>
      <c r="GTC243" s="42"/>
      <c r="GTD243" s="42"/>
      <c r="GTE243" s="42"/>
      <c r="GTF243" s="42"/>
      <c r="GTG243" s="42"/>
      <c r="GTH243" s="42"/>
      <c r="GTI243" s="42"/>
      <c r="GTJ243" s="42"/>
      <c r="GTK243" s="42"/>
      <c r="GTL243" s="42"/>
      <c r="GTM243" s="42"/>
      <c r="GTN243" s="42"/>
      <c r="GTO243" s="42"/>
      <c r="GTP243" s="42"/>
      <c r="GTQ243" s="42"/>
      <c r="GTR243" s="42"/>
      <c r="GTS243" s="42"/>
      <c r="GTT243" s="42"/>
      <c r="GTU243" s="42"/>
      <c r="GTV243" s="42"/>
      <c r="GTW243" s="42"/>
      <c r="GTX243" s="42"/>
      <c r="GTY243" s="42"/>
      <c r="GTZ243" s="42"/>
      <c r="GUA243" s="42"/>
      <c r="GUB243" s="42"/>
      <c r="GUC243" s="42"/>
      <c r="GUD243" s="42"/>
      <c r="GUE243" s="42"/>
      <c r="GUF243" s="42"/>
      <c r="GUG243" s="42"/>
      <c r="GUH243" s="42"/>
      <c r="GUI243" s="42"/>
      <c r="GUJ243" s="42"/>
      <c r="GUK243" s="42"/>
      <c r="GUL243" s="42"/>
      <c r="GUM243" s="42"/>
      <c r="GUN243" s="42"/>
      <c r="GUO243" s="42"/>
      <c r="GUP243" s="42"/>
      <c r="GUQ243" s="42"/>
      <c r="GUR243" s="42"/>
      <c r="GUS243" s="42"/>
      <c r="GUT243" s="42"/>
      <c r="GUU243" s="42"/>
      <c r="GUV243" s="42"/>
      <c r="GUW243" s="42"/>
      <c r="GUX243" s="42"/>
      <c r="GUY243" s="42"/>
      <c r="GUZ243" s="42"/>
      <c r="GVA243" s="42"/>
      <c r="GVB243" s="42"/>
      <c r="GVC243" s="42"/>
      <c r="GVD243" s="42"/>
      <c r="GVE243" s="42"/>
      <c r="GVF243" s="42"/>
      <c r="GVG243" s="42"/>
      <c r="GVH243" s="42"/>
      <c r="GVI243" s="42"/>
      <c r="GVJ243" s="42"/>
      <c r="GVK243" s="42"/>
      <c r="GVL243" s="42"/>
      <c r="GVM243" s="42"/>
      <c r="GVN243" s="42"/>
      <c r="GVO243" s="42"/>
      <c r="GVP243" s="42"/>
      <c r="GVQ243" s="42"/>
      <c r="GVR243" s="42"/>
      <c r="GVS243" s="42"/>
      <c r="GVT243" s="42"/>
      <c r="GVU243" s="42"/>
      <c r="GVV243" s="42"/>
      <c r="GVW243" s="42"/>
      <c r="GVX243" s="42"/>
      <c r="GVY243" s="42"/>
      <c r="GVZ243" s="42"/>
      <c r="GWA243" s="42"/>
      <c r="GWB243" s="42"/>
      <c r="GWC243" s="42"/>
      <c r="GWD243" s="42"/>
      <c r="GWE243" s="42"/>
      <c r="GWF243" s="42"/>
      <c r="GWG243" s="42"/>
      <c r="GWH243" s="42"/>
      <c r="GWI243" s="42"/>
      <c r="GWJ243" s="42"/>
      <c r="GWK243" s="42"/>
      <c r="GWL243" s="42"/>
      <c r="GWM243" s="42"/>
      <c r="GWN243" s="42"/>
      <c r="GWO243" s="42"/>
      <c r="GWP243" s="42"/>
      <c r="GWQ243" s="42"/>
      <c r="GWR243" s="42"/>
      <c r="GWS243" s="42"/>
      <c r="GWT243" s="42"/>
      <c r="GWU243" s="42"/>
      <c r="GWV243" s="42"/>
      <c r="GWW243" s="42"/>
      <c r="GWX243" s="42"/>
      <c r="GWY243" s="42"/>
      <c r="GWZ243" s="42"/>
      <c r="GXA243" s="42"/>
      <c r="GXB243" s="42"/>
      <c r="GXC243" s="42"/>
      <c r="GXD243" s="42"/>
      <c r="GXE243" s="42"/>
      <c r="GXF243" s="42"/>
      <c r="GXG243" s="42"/>
      <c r="GXH243" s="42"/>
      <c r="GXI243" s="42"/>
      <c r="GXJ243" s="42"/>
      <c r="GXK243" s="42"/>
      <c r="GXL243" s="42"/>
      <c r="GXM243" s="42"/>
      <c r="GXN243" s="42"/>
      <c r="GXO243" s="42"/>
      <c r="GXP243" s="42"/>
      <c r="GXQ243" s="42"/>
      <c r="GXR243" s="42"/>
      <c r="GXS243" s="42"/>
      <c r="GXT243" s="42"/>
      <c r="GXU243" s="42"/>
      <c r="GXV243" s="42"/>
      <c r="GXW243" s="42"/>
      <c r="GXX243" s="42"/>
      <c r="GXY243" s="42"/>
      <c r="GXZ243" s="42"/>
      <c r="GYA243" s="42"/>
      <c r="GYB243" s="42"/>
      <c r="GYC243" s="42"/>
      <c r="GYD243" s="42"/>
      <c r="GYE243" s="42"/>
      <c r="GYF243" s="42"/>
      <c r="GYG243" s="42"/>
      <c r="GYH243" s="42"/>
      <c r="GYI243" s="42"/>
      <c r="GYJ243" s="42"/>
      <c r="GYK243" s="42"/>
      <c r="GYL243" s="42"/>
      <c r="GYM243" s="42"/>
      <c r="GYN243" s="42"/>
      <c r="GYO243" s="42"/>
      <c r="GYP243" s="42"/>
      <c r="GYQ243" s="42"/>
      <c r="GYR243" s="42"/>
      <c r="GYS243" s="42"/>
      <c r="GYT243" s="42"/>
      <c r="GYU243" s="42"/>
      <c r="GYV243" s="42"/>
      <c r="GYW243" s="42"/>
      <c r="GYX243" s="42"/>
      <c r="GYY243" s="42"/>
      <c r="GYZ243" s="42"/>
      <c r="GZA243" s="42"/>
      <c r="GZB243" s="42"/>
      <c r="GZC243" s="42"/>
      <c r="GZD243" s="42"/>
      <c r="GZE243" s="42"/>
      <c r="GZF243" s="42"/>
      <c r="GZG243" s="42"/>
      <c r="GZH243" s="42"/>
      <c r="GZI243" s="42"/>
      <c r="GZJ243" s="42"/>
      <c r="GZK243" s="42"/>
      <c r="GZL243" s="42"/>
      <c r="GZM243" s="42"/>
      <c r="GZN243" s="42"/>
      <c r="GZO243" s="42"/>
      <c r="GZP243" s="42"/>
      <c r="GZQ243" s="42"/>
      <c r="GZR243" s="42"/>
      <c r="GZS243" s="42"/>
      <c r="GZT243" s="42"/>
      <c r="GZU243" s="42"/>
      <c r="GZV243" s="42"/>
      <c r="GZW243" s="42"/>
      <c r="GZX243" s="42"/>
      <c r="GZY243" s="42"/>
      <c r="GZZ243" s="42"/>
      <c r="HAA243" s="42"/>
      <c r="HAB243" s="42"/>
      <c r="HAC243" s="42"/>
      <c r="HAD243" s="42"/>
      <c r="HAE243" s="42"/>
      <c r="HAF243" s="42"/>
      <c r="HAG243" s="42"/>
      <c r="HAH243" s="42"/>
      <c r="HAI243" s="42"/>
      <c r="HAJ243" s="42"/>
      <c r="HAK243" s="42"/>
      <c r="HAL243" s="42"/>
      <c r="HAM243" s="42"/>
      <c r="HAN243" s="42"/>
      <c r="HAO243" s="42"/>
      <c r="HAP243" s="42"/>
      <c r="HAQ243" s="42"/>
      <c r="HAR243" s="42"/>
      <c r="HAS243" s="42"/>
      <c r="HAT243" s="42"/>
      <c r="HAU243" s="42"/>
      <c r="HAV243" s="42"/>
      <c r="HAW243" s="42"/>
      <c r="HAX243" s="42"/>
      <c r="HAY243" s="42"/>
      <c r="HAZ243" s="42"/>
      <c r="HBA243" s="42"/>
      <c r="HBB243" s="42"/>
      <c r="HBC243" s="42"/>
      <c r="HBD243" s="42"/>
      <c r="HBE243" s="42"/>
      <c r="HBF243" s="42"/>
      <c r="HBG243" s="42"/>
      <c r="HBH243" s="42"/>
      <c r="HBI243" s="42"/>
      <c r="HBJ243" s="42"/>
      <c r="HBK243" s="42"/>
      <c r="HBL243" s="42"/>
      <c r="HBM243" s="42"/>
      <c r="HBN243" s="42"/>
      <c r="HBO243" s="42"/>
      <c r="HBP243" s="42"/>
      <c r="HBQ243" s="42"/>
      <c r="HBR243" s="42"/>
      <c r="HBS243" s="42"/>
      <c r="HBT243" s="42"/>
      <c r="HBU243" s="42"/>
      <c r="HBV243" s="42"/>
      <c r="HBW243" s="42"/>
      <c r="HBX243" s="42"/>
      <c r="HBY243" s="42"/>
      <c r="HBZ243" s="42"/>
      <c r="HCA243" s="42"/>
      <c r="HCB243" s="42"/>
      <c r="HCC243" s="42"/>
      <c r="HCD243" s="42"/>
      <c r="HCE243" s="42"/>
      <c r="HCF243" s="42"/>
      <c r="HCG243" s="42"/>
      <c r="HCH243" s="42"/>
      <c r="HCI243" s="42"/>
      <c r="HCJ243" s="42"/>
      <c r="HCK243" s="42"/>
      <c r="HCL243" s="42"/>
      <c r="HCM243" s="42"/>
      <c r="HCN243" s="42"/>
      <c r="HCO243" s="42"/>
      <c r="HCP243" s="42"/>
      <c r="HCQ243" s="42"/>
      <c r="HCR243" s="42"/>
      <c r="HCS243" s="42"/>
      <c r="HCT243" s="42"/>
      <c r="HCU243" s="42"/>
      <c r="HCV243" s="42"/>
      <c r="HCW243" s="42"/>
      <c r="HCX243" s="42"/>
      <c r="HCY243" s="42"/>
      <c r="HCZ243" s="42"/>
      <c r="HDA243" s="42"/>
      <c r="HDB243" s="42"/>
      <c r="HDC243" s="42"/>
      <c r="HDD243" s="42"/>
      <c r="HDE243" s="42"/>
      <c r="HDF243" s="42"/>
      <c r="HDG243" s="42"/>
      <c r="HDH243" s="42"/>
      <c r="HDI243" s="42"/>
      <c r="HDJ243" s="42"/>
      <c r="HDK243" s="42"/>
      <c r="HDL243" s="42"/>
      <c r="HDM243" s="42"/>
      <c r="HDN243" s="42"/>
      <c r="HDO243" s="42"/>
      <c r="HDP243" s="42"/>
      <c r="HDQ243" s="42"/>
      <c r="HDR243" s="42"/>
      <c r="HDS243" s="42"/>
      <c r="HDT243" s="42"/>
      <c r="HDU243" s="42"/>
      <c r="HDV243" s="42"/>
      <c r="HDW243" s="42"/>
      <c r="HDX243" s="42"/>
      <c r="HDY243" s="42"/>
      <c r="HDZ243" s="42"/>
      <c r="HEA243" s="42"/>
      <c r="HEB243" s="42"/>
      <c r="HEC243" s="42"/>
      <c r="HED243" s="42"/>
      <c r="HEE243" s="42"/>
      <c r="HEF243" s="42"/>
      <c r="HEG243" s="42"/>
      <c r="HEH243" s="42"/>
      <c r="HEI243" s="42"/>
      <c r="HEJ243" s="42"/>
      <c r="HEK243" s="42"/>
      <c r="HEL243" s="42"/>
      <c r="HEM243" s="42"/>
      <c r="HEN243" s="42"/>
      <c r="HEO243" s="42"/>
      <c r="HEP243" s="42"/>
      <c r="HEQ243" s="42"/>
      <c r="HER243" s="42"/>
      <c r="HES243" s="42"/>
      <c r="HET243" s="42"/>
      <c r="HEU243" s="42"/>
      <c r="HEV243" s="42"/>
      <c r="HEW243" s="42"/>
      <c r="HEX243" s="42"/>
      <c r="HEY243" s="42"/>
      <c r="HEZ243" s="42"/>
      <c r="HFA243" s="42"/>
      <c r="HFB243" s="42"/>
      <c r="HFC243" s="42"/>
      <c r="HFD243" s="42"/>
      <c r="HFE243" s="42"/>
      <c r="HFF243" s="42"/>
      <c r="HFG243" s="42"/>
      <c r="HFH243" s="42"/>
      <c r="HFI243" s="42"/>
      <c r="HFJ243" s="42"/>
      <c r="HFK243" s="42"/>
      <c r="HFL243" s="42"/>
      <c r="HFM243" s="42"/>
      <c r="HFN243" s="42"/>
      <c r="HFO243" s="42"/>
      <c r="HFP243" s="42"/>
      <c r="HFQ243" s="42"/>
      <c r="HFR243" s="42"/>
      <c r="HFS243" s="42"/>
      <c r="HFT243" s="42"/>
      <c r="HFU243" s="42"/>
      <c r="HFV243" s="42"/>
      <c r="HFW243" s="42"/>
      <c r="HFX243" s="42"/>
      <c r="HFY243" s="42"/>
      <c r="HFZ243" s="42"/>
      <c r="HGA243" s="42"/>
      <c r="HGB243" s="42"/>
      <c r="HGC243" s="42"/>
      <c r="HGD243" s="42"/>
      <c r="HGE243" s="42"/>
      <c r="HGF243" s="42"/>
      <c r="HGG243" s="42"/>
      <c r="HGH243" s="42"/>
      <c r="HGI243" s="42"/>
      <c r="HGJ243" s="42"/>
      <c r="HGK243" s="42"/>
      <c r="HGL243" s="42"/>
      <c r="HGM243" s="42"/>
      <c r="HGN243" s="42"/>
      <c r="HGO243" s="42"/>
      <c r="HGP243" s="42"/>
      <c r="HGQ243" s="42"/>
      <c r="HGR243" s="42"/>
      <c r="HGS243" s="42"/>
      <c r="HGT243" s="42"/>
      <c r="HGU243" s="42"/>
      <c r="HGV243" s="42"/>
      <c r="HGW243" s="42"/>
      <c r="HGX243" s="42"/>
      <c r="HGY243" s="42"/>
      <c r="HGZ243" s="42"/>
      <c r="HHA243" s="42"/>
      <c r="HHB243" s="42"/>
      <c r="HHC243" s="42"/>
      <c r="HHD243" s="42"/>
      <c r="HHE243" s="42"/>
      <c r="HHF243" s="42"/>
      <c r="HHG243" s="42"/>
      <c r="HHH243" s="42"/>
      <c r="HHI243" s="42"/>
      <c r="HHJ243" s="42"/>
      <c r="HHK243" s="42"/>
      <c r="HHL243" s="42"/>
      <c r="HHM243" s="42"/>
      <c r="HHN243" s="42"/>
      <c r="HHO243" s="42"/>
      <c r="HHP243" s="42"/>
      <c r="HHQ243" s="42"/>
      <c r="HHR243" s="42"/>
      <c r="HHS243" s="42"/>
      <c r="HHT243" s="42"/>
      <c r="HHU243" s="42"/>
      <c r="HHV243" s="42"/>
      <c r="HHW243" s="42"/>
      <c r="HHX243" s="42"/>
      <c r="HHY243" s="42"/>
      <c r="HHZ243" s="42"/>
      <c r="HIA243" s="42"/>
      <c r="HIB243" s="42"/>
      <c r="HIC243" s="42"/>
      <c r="HID243" s="42"/>
      <c r="HIE243" s="42"/>
      <c r="HIF243" s="42"/>
      <c r="HIG243" s="42"/>
      <c r="HIH243" s="42"/>
      <c r="HII243" s="42"/>
      <c r="HIJ243" s="42"/>
      <c r="HIK243" s="42"/>
      <c r="HIL243" s="42"/>
      <c r="HIM243" s="42"/>
      <c r="HIN243" s="42"/>
      <c r="HIO243" s="42"/>
      <c r="HIP243" s="42"/>
      <c r="HIQ243" s="42"/>
      <c r="HIR243" s="42"/>
      <c r="HIS243" s="42"/>
      <c r="HIT243" s="42"/>
      <c r="HIU243" s="42"/>
      <c r="HIV243" s="42"/>
      <c r="HIW243" s="42"/>
      <c r="HIX243" s="42"/>
      <c r="HIY243" s="42"/>
      <c r="HIZ243" s="42"/>
      <c r="HJA243" s="42"/>
      <c r="HJB243" s="42"/>
      <c r="HJC243" s="42"/>
      <c r="HJD243" s="42"/>
      <c r="HJE243" s="42"/>
      <c r="HJF243" s="42"/>
      <c r="HJG243" s="42"/>
      <c r="HJH243" s="42"/>
      <c r="HJI243" s="42"/>
      <c r="HJJ243" s="42"/>
      <c r="HJK243" s="42"/>
      <c r="HJL243" s="42"/>
      <c r="HJM243" s="42"/>
      <c r="HJN243" s="42"/>
      <c r="HJO243" s="42"/>
      <c r="HJP243" s="42"/>
      <c r="HJQ243" s="42"/>
      <c r="HJR243" s="42"/>
      <c r="HJS243" s="42"/>
      <c r="HJT243" s="42"/>
      <c r="HJU243" s="42"/>
      <c r="HJV243" s="42"/>
      <c r="HJW243" s="42"/>
      <c r="HJX243" s="42"/>
      <c r="HJY243" s="42"/>
      <c r="HJZ243" s="42"/>
      <c r="HKA243" s="42"/>
      <c r="HKB243" s="42"/>
      <c r="HKC243" s="42"/>
      <c r="HKD243" s="42"/>
      <c r="HKE243" s="42"/>
      <c r="HKF243" s="42"/>
      <c r="HKG243" s="42"/>
      <c r="HKH243" s="42"/>
      <c r="HKI243" s="42"/>
      <c r="HKJ243" s="42"/>
      <c r="HKK243" s="42"/>
      <c r="HKL243" s="42"/>
      <c r="HKM243" s="42"/>
      <c r="HKN243" s="42"/>
      <c r="HKO243" s="42"/>
      <c r="HKP243" s="42"/>
      <c r="HKQ243" s="42"/>
      <c r="HKR243" s="42"/>
      <c r="HKS243" s="42"/>
      <c r="HKT243" s="42"/>
      <c r="HKU243" s="42"/>
      <c r="HKV243" s="42"/>
      <c r="HKW243" s="42"/>
      <c r="HKX243" s="42"/>
      <c r="HKY243" s="42"/>
      <c r="HKZ243" s="42"/>
      <c r="HLA243" s="42"/>
      <c r="HLB243" s="42"/>
      <c r="HLC243" s="42"/>
      <c r="HLD243" s="42"/>
      <c r="HLE243" s="42"/>
      <c r="HLF243" s="42"/>
      <c r="HLG243" s="42"/>
      <c r="HLH243" s="42"/>
      <c r="HLI243" s="42"/>
      <c r="HLJ243" s="42"/>
      <c r="HLK243" s="42"/>
      <c r="HLL243" s="42"/>
      <c r="HLM243" s="42"/>
      <c r="HLN243" s="42"/>
      <c r="HLO243" s="42"/>
      <c r="HLP243" s="42"/>
      <c r="HLQ243" s="42"/>
      <c r="HLR243" s="42"/>
      <c r="HLS243" s="42"/>
      <c r="HLT243" s="42"/>
      <c r="HLU243" s="42"/>
      <c r="HLV243" s="42"/>
      <c r="HLW243" s="42"/>
      <c r="HLX243" s="42"/>
      <c r="HLY243" s="42"/>
      <c r="HLZ243" s="42"/>
      <c r="HMA243" s="42"/>
      <c r="HMB243" s="42"/>
      <c r="HMC243" s="42"/>
      <c r="HMD243" s="42"/>
      <c r="HME243" s="42"/>
      <c r="HMF243" s="42"/>
      <c r="HMG243" s="42"/>
      <c r="HMH243" s="42"/>
      <c r="HMI243" s="42"/>
      <c r="HMJ243" s="42"/>
      <c r="HMK243" s="42"/>
      <c r="HML243" s="42"/>
      <c r="HMM243" s="42"/>
      <c r="HMN243" s="42"/>
      <c r="HMO243" s="42"/>
      <c r="HMP243" s="42"/>
      <c r="HMQ243" s="42"/>
      <c r="HMR243" s="42"/>
      <c r="HMS243" s="42"/>
      <c r="HMT243" s="42"/>
      <c r="HMU243" s="42"/>
      <c r="HMV243" s="42"/>
      <c r="HMW243" s="42"/>
      <c r="HMX243" s="42"/>
      <c r="HMY243" s="42"/>
      <c r="HMZ243" s="42"/>
      <c r="HNA243" s="42"/>
      <c r="HNB243" s="42"/>
      <c r="HNC243" s="42"/>
      <c r="HND243" s="42"/>
      <c r="HNE243" s="42"/>
      <c r="HNF243" s="42"/>
      <c r="HNG243" s="42"/>
      <c r="HNH243" s="42"/>
      <c r="HNI243" s="42"/>
      <c r="HNJ243" s="42"/>
      <c r="HNK243" s="42"/>
      <c r="HNL243" s="42"/>
      <c r="HNM243" s="42"/>
      <c r="HNN243" s="42"/>
      <c r="HNO243" s="42"/>
      <c r="HNP243" s="42"/>
      <c r="HNQ243" s="42"/>
      <c r="HNR243" s="42"/>
      <c r="HNS243" s="42"/>
      <c r="HNT243" s="42"/>
      <c r="HNU243" s="42"/>
      <c r="HNV243" s="42"/>
      <c r="HNW243" s="42"/>
      <c r="HNX243" s="42"/>
      <c r="HNY243" s="42"/>
      <c r="HNZ243" s="42"/>
      <c r="HOA243" s="42"/>
      <c r="HOB243" s="42"/>
      <c r="HOC243" s="42"/>
      <c r="HOD243" s="42"/>
      <c r="HOE243" s="42"/>
      <c r="HOF243" s="42"/>
      <c r="HOG243" s="42"/>
      <c r="HOH243" s="42"/>
      <c r="HOI243" s="42"/>
      <c r="HOJ243" s="42"/>
      <c r="HOK243" s="42"/>
      <c r="HOL243" s="42"/>
      <c r="HOM243" s="42"/>
      <c r="HON243" s="42"/>
      <c r="HOO243" s="42"/>
      <c r="HOP243" s="42"/>
      <c r="HOQ243" s="42"/>
      <c r="HOR243" s="42"/>
      <c r="HOS243" s="42"/>
      <c r="HOT243" s="42"/>
      <c r="HOU243" s="42"/>
      <c r="HOV243" s="42"/>
      <c r="HOW243" s="42"/>
      <c r="HOX243" s="42"/>
      <c r="HOY243" s="42"/>
      <c r="HOZ243" s="42"/>
      <c r="HPA243" s="42"/>
      <c r="HPB243" s="42"/>
      <c r="HPC243" s="42"/>
      <c r="HPD243" s="42"/>
      <c r="HPE243" s="42"/>
      <c r="HPF243" s="42"/>
      <c r="HPG243" s="42"/>
      <c r="HPH243" s="42"/>
      <c r="HPI243" s="42"/>
      <c r="HPJ243" s="42"/>
      <c r="HPK243" s="42"/>
      <c r="HPL243" s="42"/>
      <c r="HPM243" s="42"/>
      <c r="HPN243" s="42"/>
      <c r="HPO243" s="42"/>
      <c r="HPP243" s="42"/>
      <c r="HPQ243" s="42"/>
      <c r="HPR243" s="42"/>
      <c r="HPS243" s="42"/>
      <c r="HPT243" s="42"/>
      <c r="HPU243" s="42"/>
      <c r="HPV243" s="42"/>
      <c r="HPW243" s="42"/>
      <c r="HPX243" s="42"/>
      <c r="HPY243" s="42"/>
      <c r="HPZ243" s="42"/>
      <c r="HQA243" s="42"/>
      <c r="HQB243" s="42"/>
      <c r="HQC243" s="42"/>
      <c r="HQD243" s="42"/>
      <c r="HQE243" s="42"/>
      <c r="HQF243" s="42"/>
      <c r="HQG243" s="42"/>
      <c r="HQH243" s="42"/>
      <c r="HQI243" s="42"/>
      <c r="HQJ243" s="42"/>
      <c r="HQK243" s="42"/>
      <c r="HQL243" s="42"/>
      <c r="HQM243" s="42"/>
      <c r="HQN243" s="42"/>
      <c r="HQO243" s="42"/>
      <c r="HQP243" s="42"/>
      <c r="HQQ243" s="42"/>
      <c r="HQR243" s="42"/>
      <c r="HQS243" s="42"/>
      <c r="HQT243" s="42"/>
      <c r="HQU243" s="42"/>
      <c r="HQV243" s="42"/>
      <c r="HQW243" s="42"/>
      <c r="HQX243" s="42"/>
      <c r="HQY243" s="42"/>
      <c r="HQZ243" s="42"/>
      <c r="HRA243" s="42"/>
      <c r="HRB243" s="42"/>
      <c r="HRC243" s="42"/>
      <c r="HRD243" s="42"/>
      <c r="HRE243" s="42"/>
      <c r="HRF243" s="42"/>
      <c r="HRG243" s="42"/>
      <c r="HRH243" s="42"/>
      <c r="HRI243" s="42"/>
      <c r="HRJ243" s="42"/>
      <c r="HRK243" s="42"/>
      <c r="HRL243" s="42"/>
      <c r="HRM243" s="42"/>
      <c r="HRN243" s="42"/>
      <c r="HRO243" s="42"/>
      <c r="HRP243" s="42"/>
      <c r="HRQ243" s="42"/>
      <c r="HRR243" s="42"/>
      <c r="HRS243" s="42"/>
      <c r="HRT243" s="42"/>
      <c r="HRU243" s="42"/>
      <c r="HRV243" s="42"/>
      <c r="HRW243" s="42"/>
      <c r="HRX243" s="42"/>
      <c r="HRY243" s="42"/>
      <c r="HRZ243" s="42"/>
      <c r="HSA243" s="42"/>
      <c r="HSB243" s="42"/>
      <c r="HSC243" s="42"/>
      <c r="HSD243" s="42"/>
      <c r="HSE243" s="42"/>
      <c r="HSF243" s="42"/>
      <c r="HSG243" s="42"/>
      <c r="HSH243" s="42"/>
      <c r="HSI243" s="42"/>
      <c r="HSJ243" s="42"/>
      <c r="HSK243" s="42"/>
      <c r="HSL243" s="42"/>
      <c r="HSM243" s="42"/>
      <c r="HSN243" s="42"/>
      <c r="HSO243" s="42"/>
      <c r="HSP243" s="42"/>
      <c r="HSQ243" s="42"/>
      <c r="HSR243" s="42"/>
      <c r="HSS243" s="42"/>
      <c r="HST243" s="42"/>
      <c r="HSU243" s="42"/>
      <c r="HSV243" s="42"/>
      <c r="HSW243" s="42"/>
      <c r="HSX243" s="42"/>
      <c r="HSY243" s="42"/>
      <c r="HSZ243" s="42"/>
      <c r="HTA243" s="42"/>
      <c r="HTB243" s="42"/>
      <c r="HTC243" s="42"/>
      <c r="HTD243" s="42"/>
      <c r="HTE243" s="42"/>
      <c r="HTF243" s="42"/>
      <c r="HTG243" s="42"/>
      <c r="HTH243" s="42"/>
      <c r="HTI243" s="42"/>
      <c r="HTJ243" s="42"/>
      <c r="HTK243" s="42"/>
      <c r="HTL243" s="42"/>
      <c r="HTM243" s="42"/>
      <c r="HTN243" s="42"/>
      <c r="HTO243" s="42"/>
      <c r="HTP243" s="42"/>
      <c r="HTQ243" s="42"/>
      <c r="HTR243" s="42"/>
      <c r="HTS243" s="42"/>
      <c r="HTT243" s="42"/>
      <c r="HTU243" s="42"/>
      <c r="HTV243" s="42"/>
      <c r="HTW243" s="42"/>
      <c r="HTX243" s="42"/>
      <c r="HTY243" s="42"/>
      <c r="HTZ243" s="42"/>
      <c r="HUA243" s="42"/>
      <c r="HUB243" s="42"/>
      <c r="HUC243" s="42"/>
      <c r="HUD243" s="42"/>
      <c r="HUE243" s="42"/>
      <c r="HUF243" s="42"/>
      <c r="HUG243" s="42"/>
      <c r="HUH243" s="42"/>
      <c r="HUI243" s="42"/>
      <c r="HUJ243" s="42"/>
      <c r="HUK243" s="42"/>
      <c r="HUL243" s="42"/>
      <c r="HUM243" s="42"/>
      <c r="HUN243" s="42"/>
      <c r="HUO243" s="42"/>
      <c r="HUP243" s="42"/>
      <c r="HUQ243" s="42"/>
      <c r="HUR243" s="42"/>
      <c r="HUS243" s="42"/>
      <c r="HUT243" s="42"/>
      <c r="HUU243" s="42"/>
      <c r="HUV243" s="42"/>
      <c r="HUW243" s="42"/>
      <c r="HUX243" s="42"/>
      <c r="HUY243" s="42"/>
      <c r="HUZ243" s="42"/>
      <c r="HVA243" s="42"/>
      <c r="HVB243" s="42"/>
      <c r="HVC243" s="42"/>
      <c r="HVD243" s="42"/>
      <c r="HVE243" s="42"/>
      <c r="HVF243" s="42"/>
      <c r="HVG243" s="42"/>
      <c r="HVH243" s="42"/>
      <c r="HVI243" s="42"/>
      <c r="HVJ243" s="42"/>
      <c r="HVK243" s="42"/>
      <c r="HVL243" s="42"/>
      <c r="HVM243" s="42"/>
      <c r="HVN243" s="42"/>
      <c r="HVO243" s="42"/>
      <c r="HVP243" s="42"/>
      <c r="HVQ243" s="42"/>
      <c r="HVR243" s="42"/>
      <c r="HVS243" s="42"/>
      <c r="HVT243" s="42"/>
      <c r="HVU243" s="42"/>
      <c r="HVV243" s="42"/>
      <c r="HVW243" s="42"/>
      <c r="HVX243" s="42"/>
      <c r="HVY243" s="42"/>
      <c r="HVZ243" s="42"/>
      <c r="HWA243" s="42"/>
      <c r="HWB243" s="42"/>
      <c r="HWC243" s="42"/>
      <c r="HWD243" s="42"/>
      <c r="HWE243" s="42"/>
      <c r="HWF243" s="42"/>
      <c r="HWG243" s="42"/>
      <c r="HWH243" s="42"/>
      <c r="HWI243" s="42"/>
      <c r="HWJ243" s="42"/>
      <c r="HWK243" s="42"/>
      <c r="HWL243" s="42"/>
      <c r="HWM243" s="42"/>
      <c r="HWN243" s="42"/>
      <c r="HWO243" s="42"/>
      <c r="HWP243" s="42"/>
      <c r="HWQ243" s="42"/>
      <c r="HWR243" s="42"/>
      <c r="HWS243" s="42"/>
      <c r="HWT243" s="42"/>
      <c r="HWU243" s="42"/>
      <c r="HWV243" s="42"/>
      <c r="HWW243" s="42"/>
      <c r="HWX243" s="42"/>
      <c r="HWY243" s="42"/>
      <c r="HWZ243" s="42"/>
      <c r="HXA243" s="42"/>
      <c r="HXB243" s="42"/>
      <c r="HXC243" s="42"/>
      <c r="HXD243" s="42"/>
      <c r="HXE243" s="42"/>
      <c r="HXF243" s="42"/>
      <c r="HXG243" s="42"/>
      <c r="HXH243" s="42"/>
      <c r="HXI243" s="42"/>
      <c r="HXJ243" s="42"/>
      <c r="HXK243" s="42"/>
      <c r="HXL243" s="42"/>
      <c r="HXM243" s="42"/>
      <c r="HXN243" s="42"/>
      <c r="HXO243" s="42"/>
      <c r="HXP243" s="42"/>
      <c r="HXQ243" s="42"/>
      <c r="HXR243" s="42"/>
      <c r="HXS243" s="42"/>
      <c r="HXT243" s="42"/>
      <c r="HXU243" s="42"/>
      <c r="HXV243" s="42"/>
      <c r="HXW243" s="42"/>
      <c r="HXX243" s="42"/>
      <c r="HXY243" s="42"/>
      <c r="HXZ243" s="42"/>
      <c r="HYA243" s="42"/>
      <c r="HYB243" s="42"/>
      <c r="HYC243" s="42"/>
      <c r="HYD243" s="42"/>
      <c r="HYE243" s="42"/>
      <c r="HYF243" s="42"/>
      <c r="HYG243" s="42"/>
      <c r="HYH243" s="42"/>
      <c r="HYI243" s="42"/>
      <c r="HYJ243" s="42"/>
      <c r="HYK243" s="42"/>
      <c r="HYL243" s="42"/>
      <c r="HYM243" s="42"/>
      <c r="HYN243" s="42"/>
      <c r="HYO243" s="42"/>
      <c r="HYP243" s="42"/>
      <c r="HYQ243" s="42"/>
      <c r="HYR243" s="42"/>
      <c r="HYS243" s="42"/>
      <c r="HYT243" s="42"/>
      <c r="HYU243" s="42"/>
      <c r="HYV243" s="42"/>
      <c r="HYW243" s="42"/>
      <c r="HYX243" s="42"/>
      <c r="HYY243" s="42"/>
      <c r="HYZ243" s="42"/>
      <c r="HZA243" s="42"/>
      <c r="HZB243" s="42"/>
      <c r="HZC243" s="42"/>
      <c r="HZD243" s="42"/>
      <c r="HZE243" s="42"/>
      <c r="HZF243" s="42"/>
      <c r="HZG243" s="42"/>
      <c r="HZH243" s="42"/>
      <c r="HZI243" s="42"/>
      <c r="HZJ243" s="42"/>
      <c r="HZK243" s="42"/>
      <c r="HZL243" s="42"/>
      <c r="HZM243" s="42"/>
      <c r="HZN243" s="42"/>
      <c r="HZO243" s="42"/>
      <c r="HZP243" s="42"/>
      <c r="HZQ243" s="42"/>
      <c r="HZR243" s="42"/>
      <c r="HZS243" s="42"/>
      <c r="HZT243" s="42"/>
      <c r="HZU243" s="42"/>
      <c r="HZV243" s="42"/>
      <c r="HZW243" s="42"/>
      <c r="HZX243" s="42"/>
      <c r="HZY243" s="42"/>
      <c r="HZZ243" s="42"/>
      <c r="IAA243" s="42"/>
      <c r="IAB243" s="42"/>
      <c r="IAC243" s="42"/>
      <c r="IAD243" s="42"/>
      <c r="IAE243" s="42"/>
      <c r="IAF243" s="42"/>
      <c r="IAG243" s="42"/>
      <c r="IAH243" s="42"/>
      <c r="IAI243" s="42"/>
      <c r="IAJ243" s="42"/>
      <c r="IAK243" s="42"/>
      <c r="IAL243" s="42"/>
      <c r="IAM243" s="42"/>
      <c r="IAN243" s="42"/>
      <c r="IAO243" s="42"/>
      <c r="IAP243" s="42"/>
      <c r="IAQ243" s="42"/>
      <c r="IAR243" s="42"/>
      <c r="IAS243" s="42"/>
      <c r="IAT243" s="42"/>
      <c r="IAU243" s="42"/>
      <c r="IAV243" s="42"/>
      <c r="IAW243" s="42"/>
      <c r="IAX243" s="42"/>
      <c r="IAY243" s="42"/>
      <c r="IAZ243" s="42"/>
      <c r="IBA243" s="42"/>
      <c r="IBB243" s="42"/>
      <c r="IBC243" s="42"/>
      <c r="IBD243" s="42"/>
      <c r="IBE243" s="42"/>
      <c r="IBF243" s="42"/>
      <c r="IBG243" s="42"/>
      <c r="IBH243" s="42"/>
      <c r="IBI243" s="42"/>
      <c r="IBJ243" s="42"/>
      <c r="IBK243" s="42"/>
      <c r="IBL243" s="42"/>
      <c r="IBM243" s="42"/>
      <c r="IBN243" s="42"/>
      <c r="IBO243" s="42"/>
      <c r="IBP243" s="42"/>
      <c r="IBQ243" s="42"/>
      <c r="IBR243" s="42"/>
      <c r="IBS243" s="42"/>
      <c r="IBT243" s="42"/>
      <c r="IBU243" s="42"/>
      <c r="IBV243" s="42"/>
      <c r="IBW243" s="42"/>
      <c r="IBX243" s="42"/>
      <c r="IBY243" s="42"/>
      <c r="IBZ243" s="42"/>
      <c r="ICA243" s="42"/>
      <c r="ICB243" s="42"/>
      <c r="ICC243" s="42"/>
      <c r="ICD243" s="42"/>
      <c r="ICE243" s="42"/>
      <c r="ICF243" s="42"/>
      <c r="ICG243" s="42"/>
      <c r="ICH243" s="42"/>
      <c r="ICI243" s="42"/>
      <c r="ICJ243" s="42"/>
      <c r="ICK243" s="42"/>
      <c r="ICL243" s="42"/>
      <c r="ICM243" s="42"/>
      <c r="ICN243" s="42"/>
      <c r="ICO243" s="42"/>
      <c r="ICP243" s="42"/>
      <c r="ICQ243" s="42"/>
      <c r="ICR243" s="42"/>
      <c r="ICS243" s="42"/>
      <c r="ICT243" s="42"/>
      <c r="ICU243" s="42"/>
      <c r="ICV243" s="42"/>
      <c r="ICW243" s="42"/>
      <c r="ICX243" s="42"/>
      <c r="ICY243" s="42"/>
      <c r="ICZ243" s="42"/>
      <c r="IDA243" s="42"/>
      <c r="IDB243" s="42"/>
      <c r="IDC243" s="42"/>
      <c r="IDD243" s="42"/>
      <c r="IDE243" s="42"/>
      <c r="IDF243" s="42"/>
      <c r="IDG243" s="42"/>
      <c r="IDH243" s="42"/>
      <c r="IDI243" s="42"/>
      <c r="IDJ243" s="42"/>
      <c r="IDK243" s="42"/>
      <c r="IDL243" s="42"/>
      <c r="IDM243" s="42"/>
      <c r="IDN243" s="42"/>
      <c r="IDO243" s="42"/>
      <c r="IDP243" s="42"/>
      <c r="IDQ243" s="42"/>
      <c r="IDR243" s="42"/>
      <c r="IDS243" s="42"/>
      <c r="IDT243" s="42"/>
      <c r="IDU243" s="42"/>
      <c r="IDV243" s="42"/>
      <c r="IDW243" s="42"/>
      <c r="IDX243" s="42"/>
      <c r="IDY243" s="42"/>
      <c r="IDZ243" s="42"/>
      <c r="IEA243" s="42"/>
      <c r="IEB243" s="42"/>
      <c r="IEC243" s="42"/>
      <c r="IED243" s="42"/>
      <c r="IEE243" s="42"/>
      <c r="IEF243" s="42"/>
      <c r="IEG243" s="42"/>
      <c r="IEH243" s="42"/>
      <c r="IEI243" s="42"/>
      <c r="IEJ243" s="42"/>
      <c r="IEK243" s="42"/>
      <c r="IEL243" s="42"/>
      <c r="IEM243" s="42"/>
      <c r="IEN243" s="42"/>
      <c r="IEO243" s="42"/>
      <c r="IEP243" s="42"/>
      <c r="IEQ243" s="42"/>
      <c r="IER243" s="42"/>
      <c r="IES243" s="42"/>
      <c r="IET243" s="42"/>
      <c r="IEU243" s="42"/>
      <c r="IEV243" s="42"/>
      <c r="IEW243" s="42"/>
      <c r="IEX243" s="42"/>
      <c r="IEY243" s="42"/>
      <c r="IEZ243" s="42"/>
      <c r="IFA243" s="42"/>
      <c r="IFB243" s="42"/>
      <c r="IFC243" s="42"/>
      <c r="IFD243" s="42"/>
      <c r="IFE243" s="42"/>
      <c r="IFF243" s="42"/>
      <c r="IFG243" s="42"/>
      <c r="IFH243" s="42"/>
      <c r="IFI243" s="42"/>
      <c r="IFJ243" s="42"/>
      <c r="IFK243" s="42"/>
      <c r="IFL243" s="42"/>
      <c r="IFM243" s="42"/>
      <c r="IFN243" s="42"/>
      <c r="IFO243" s="42"/>
      <c r="IFP243" s="42"/>
      <c r="IFQ243" s="42"/>
      <c r="IFR243" s="42"/>
      <c r="IFS243" s="42"/>
      <c r="IFT243" s="42"/>
      <c r="IFU243" s="42"/>
      <c r="IFV243" s="42"/>
      <c r="IFW243" s="42"/>
      <c r="IFX243" s="42"/>
      <c r="IFY243" s="42"/>
      <c r="IFZ243" s="42"/>
      <c r="IGA243" s="42"/>
      <c r="IGB243" s="42"/>
      <c r="IGC243" s="42"/>
      <c r="IGD243" s="42"/>
      <c r="IGE243" s="42"/>
      <c r="IGF243" s="42"/>
      <c r="IGG243" s="42"/>
      <c r="IGH243" s="42"/>
      <c r="IGI243" s="42"/>
      <c r="IGJ243" s="42"/>
      <c r="IGK243" s="42"/>
      <c r="IGL243" s="42"/>
      <c r="IGM243" s="42"/>
      <c r="IGN243" s="42"/>
      <c r="IGO243" s="42"/>
      <c r="IGP243" s="42"/>
      <c r="IGQ243" s="42"/>
      <c r="IGR243" s="42"/>
      <c r="IGS243" s="42"/>
      <c r="IGT243" s="42"/>
      <c r="IGU243" s="42"/>
      <c r="IGV243" s="42"/>
      <c r="IGW243" s="42"/>
      <c r="IGX243" s="42"/>
      <c r="IGY243" s="42"/>
      <c r="IGZ243" s="42"/>
      <c r="IHA243" s="42"/>
      <c r="IHB243" s="42"/>
      <c r="IHC243" s="42"/>
      <c r="IHD243" s="42"/>
      <c r="IHE243" s="42"/>
      <c r="IHF243" s="42"/>
      <c r="IHG243" s="42"/>
      <c r="IHH243" s="42"/>
      <c r="IHI243" s="42"/>
      <c r="IHJ243" s="42"/>
      <c r="IHK243" s="42"/>
      <c r="IHL243" s="42"/>
      <c r="IHM243" s="42"/>
      <c r="IHN243" s="42"/>
      <c r="IHO243" s="42"/>
      <c r="IHP243" s="42"/>
      <c r="IHQ243" s="42"/>
      <c r="IHR243" s="42"/>
      <c r="IHS243" s="42"/>
      <c r="IHT243" s="42"/>
      <c r="IHU243" s="42"/>
      <c r="IHV243" s="42"/>
      <c r="IHW243" s="42"/>
      <c r="IHX243" s="42"/>
      <c r="IHY243" s="42"/>
      <c r="IHZ243" s="42"/>
      <c r="IIA243" s="42"/>
      <c r="IIB243" s="42"/>
      <c r="IIC243" s="42"/>
      <c r="IID243" s="42"/>
      <c r="IIE243" s="42"/>
      <c r="IIF243" s="42"/>
      <c r="IIG243" s="42"/>
      <c r="IIH243" s="42"/>
      <c r="III243" s="42"/>
      <c r="IIJ243" s="42"/>
      <c r="IIK243" s="42"/>
      <c r="IIL243" s="42"/>
      <c r="IIM243" s="42"/>
      <c r="IIN243" s="42"/>
      <c r="IIO243" s="42"/>
      <c r="IIP243" s="42"/>
      <c r="IIQ243" s="42"/>
      <c r="IIR243" s="42"/>
      <c r="IIS243" s="42"/>
      <c r="IIT243" s="42"/>
      <c r="IIU243" s="42"/>
      <c r="IIV243" s="42"/>
      <c r="IIW243" s="42"/>
      <c r="IIX243" s="42"/>
      <c r="IIY243" s="42"/>
      <c r="IIZ243" s="42"/>
      <c r="IJA243" s="42"/>
      <c r="IJB243" s="42"/>
      <c r="IJC243" s="42"/>
      <c r="IJD243" s="42"/>
      <c r="IJE243" s="42"/>
      <c r="IJF243" s="42"/>
      <c r="IJG243" s="42"/>
      <c r="IJH243" s="42"/>
      <c r="IJI243" s="42"/>
      <c r="IJJ243" s="42"/>
      <c r="IJK243" s="42"/>
      <c r="IJL243" s="42"/>
      <c r="IJM243" s="42"/>
      <c r="IJN243" s="42"/>
      <c r="IJO243" s="42"/>
      <c r="IJP243" s="42"/>
      <c r="IJQ243" s="42"/>
      <c r="IJR243" s="42"/>
      <c r="IJS243" s="42"/>
      <c r="IJT243" s="42"/>
      <c r="IJU243" s="42"/>
      <c r="IJV243" s="42"/>
      <c r="IJW243" s="42"/>
      <c r="IJX243" s="42"/>
      <c r="IJY243" s="42"/>
      <c r="IJZ243" s="42"/>
      <c r="IKA243" s="42"/>
      <c r="IKB243" s="42"/>
      <c r="IKC243" s="42"/>
      <c r="IKD243" s="42"/>
      <c r="IKE243" s="42"/>
      <c r="IKF243" s="42"/>
      <c r="IKG243" s="42"/>
      <c r="IKH243" s="42"/>
      <c r="IKI243" s="42"/>
      <c r="IKJ243" s="42"/>
      <c r="IKK243" s="42"/>
      <c r="IKL243" s="42"/>
      <c r="IKM243" s="42"/>
      <c r="IKN243" s="42"/>
      <c r="IKO243" s="42"/>
      <c r="IKP243" s="42"/>
      <c r="IKQ243" s="42"/>
      <c r="IKR243" s="42"/>
      <c r="IKS243" s="42"/>
      <c r="IKT243" s="42"/>
      <c r="IKU243" s="42"/>
      <c r="IKV243" s="42"/>
      <c r="IKW243" s="42"/>
      <c r="IKX243" s="42"/>
      <c r="IKY243" s="42"/>
      <c r="IKZ243" s="42"/>
      <c r="ILA243" s="42"/>
      <c r="ILB243" s="42"/>
      <c r="ILC243" s="42"/>
      <c r="ILD243" s="42"/>
      <c r="ILE243" s="42"/>
      <c r="ILF243" s="42"/>
      <c r="ILG243" s="42"/>
      <c r="ILH243" s="42"/>
      <c r="ILI243" s="42"/>
      <c r="ILJ243" s="42"/>
      <c r="ILK243" s="42"/>
      <c r="ILL243" s="42"/>
      <c r="ILM243" s="42"/>
      <c r="ILN243" s="42"/>
      <c r="ILO243" s="42"/>
      <c r="ILP243" s="42"/>
      <c r="ILQ243" s="42"/>
      <c r="ILR243" s="42"/>
      <c r="ILS243" s="42"/>
      <c r="ILT243" s="42"/>
      <c r="ILU243" s="42"/>
      <c r="ILV243" s="42"/>
      <c r="ILW243" s="42"/>
      <c r="ILX243" s="42"/>
      <c r="ILY243" s="42"/>
      <c r="ILZ243" s="42"/>
      <c r="IMA243" s="42"/>
      <c r="IMB243" s="42"/>
      <c r="IMC243" s="42"/>
      <c r="IMD243" s="42"/>
      <c r="IME243" s="42"/>
      <c r="IMF243" s="42"/>
      <c r="IMG243" s="42"/>
      <c r="IMH243" s="42"/>
      <c r="IMI243" s="42"/>
      <c r="IMJ243" s="42"/>
      <c r="IMK243" s="42"/>
      <c r="IML243" s="42"/>
      <c r="IMM243" s="42"/>
      <c r="IMN243" s="42"/>
      <c r="IMO243" s="42"/>
      <c r="IMP243" s="42"/>
      <c r="IMQ243" s="42"/>
      <c r="IMR243" s="42"/>
      <c r="IMS243" s="42"/>
      <c r="IMT243" s="42"/>
      <c r="IMU243" s="42"/>
      <c r="IMV243" s="42"/>
      <c r="IMW243" s="42"/>
      <c r="IMX243" s="42"/>
      <c r="IMY243" s="42"/>
      <c r="IMZ243" s="42"/>
      <c r="INA243" s="42"/>
      <c r="INB243" s="42"/>
      <c r="INC243" s="42"/>
      <c r="IND243" s="42"/>
      <c r="INE243" s="42"/>
      <c r="INF243" s="42"/>
      <c r="ING243" s="42"/>
      <c r="INH243" s="42"/>
      <c r="INI243" s="42"/>
      <c r="INJ243" s="42"/>
      <c r="INK243" s="42"/>
      <c r="INL243" s="42"/>
      <c r="INM243" s="42"/>
      <c r="INN243" s="42"/>
      <c r="INO243" s="42"/>
      <c r="INP243" s="42"/>
      <c r="INQ243" s="42"/>
      <c r="INR243" s="42"/>
      <c r="INS243" s="42"/>
      <c r="INT243" s="42"/>
      <c r="INU243" s="42"/>
      <c r="INV243" s="42"/>
      <c r="INW243" s="42"/>
      <c r="INX243" s="42"/>
      <c r="INY243" s="42"/>
      <c r="INZ243" s="42"/>
      <c r="IOA243" s="42"/>
      <c r="IOB243" s="42"/>
      <c r="IOC243" s="42"/>
      <c r="IOD243" s="42"/>
      <c r="IOE243" s="42"/>
      <c r="IOF243" s="42"/>
      <c r="IOG243" s="42"/>
      <c r="IOH243" s="42"/>
      <c r="IOI243" s="42"/>
      <c r="IOJ243" s="42"/>
      <c r="IOK243" s="42"/>
      <c r="IOL243" s="42"/>
      <c r="IOM243" s="42"/>
      <c r="ION243" s="42"/>
      <c r="IOO243" s="42"/>
      <c r="IOP243" s="42"/>
      <c r="IOQ243" s="42"/>
      <c r="IOR243" s="42"/>
      <c r="IOS243" s="42"/>
      <c r="IOT243" s="42"/>
      <c r="IOU243" s="42"/>
      <c r="IOV243" s="42"/>
      <c r="IOW243" s="42"/>
      <c r="IOX243" s="42"/>
      <c r="IOY243" s="42"/>
      <c r="IOZ243" s="42"/>
      <c r="IPA243" s="42"/>
      <c r="IPB243" s="42"/>
      <c r="IPC243" s="42"/>
      <c r="IPD243" s="42"/>
      <c r="IPE243" s="42"/>
      <c r="IPF243" s="42"/>
      <c r="IPG243" s="42"/>
      <c r="IPH243" s="42"/>
      <c r="IPI243" s="42"/>
      <c r="IPJ243" s="42"/>
      <c r="IPK243" s="42"/>
      <c r="IPL243" s="42"/>
      <c r="IPM243" s="42"/>
      <c r="IPN243" s="42"/>
      <c r="IPO243" s="42"/>
      <c r="IPP243" s="42"/>
      <c r="IPQ243" s="42"/>
      <c r="IPR243" s="42"/>
      <c r="IPS243" s="42"/>
      <c r="IPT243" s="42"/>
      <c r="IPU243" s="42"/>
      <c r="IPV243" s="42"/>
      <c r="IPW243" s="42"/>
      <c r="IPX243" s="42"/>
      <c r="IPY243" s="42"/>
      <c r="IPZ243" s="42"/>
      <c r="IQA243" s="42"/>
      <c r="IQB243" s="42"/>
      <c r="IQC243" s="42"/>
      <c r="IQD243" s="42"/>
      <c r="IQE243" s="42"/>
      <c r="IQF243" s="42"/>
      <c r="IQG243" s="42"/>
      <c r="IQH243" s="42"/>
      <c r="IQI243" s="42"/>
      <c r="IQJ243" s="42"/>
      <c r="IQK243" s="42"/>
      <c r="IQL243" s="42"/>
      <c r="IQM243" s="42"/>
      <c r="IQN243" s="42"/>
      <c r="IQO243" s="42"/>
      <c r="IQP243" s="42"/>
      <c r="IQQ243" s="42"/>
      <c r="IQR243" s="42"/>
      <c r="IQS243" s="42"/>
      <c r="IQT243" s="42"/>
      <c r="IQU243" s="42"/>
      <c r="IQV243" s="42"/>
      <c r="IQW243" s="42"/>
      <c r="IQX243" s="42"/>
      <c r="IQY243" s="42"/>
      <c r="IQZ243" s="42"/>
      <c r="IRA243" s="42"/>
      <c r="IRB243" s="42"/>
      <c r="IRC243" s="42"/>
      <c r="IRD243" s="42"/>
      <c r="IRE243" s="42"/>
      <c r="IRF243" s="42"/>
      <c r="IRG243" s="42"/>
      <c r="IRH243" s="42"/>
      <c r="IRI243" s="42"/>
      <c r="IRJ243" s="42"/>
      <c r="IRK243" s="42"/>
      <c r="IRL243" s="42"/>
      <c r="IRM243" s="42"/>
      <c r="IRN243" s="42"/>
      <c r="IRO243" s="42"/>
      <c r="IRP243" s="42"/>
      <c r="IRQ243" s="42"/>
      <c r="IRR243" s="42"/>
      <c r="IRS243" s="42"/>
      <c r="IRT243" s="42"/>
      <c r="IRU243" s="42"/>
      <c r="IRV243" s="42"/>
      <c r="IRW243" s="42"/>
      <c r="IRX243" s="42"/>
      <c r="IRY243" s="42"/>
      <c r="IRZ243" s="42"/>
      <c r="ISA243" s="42"/>
      <c r="ISB243" s="42"/>
      <c r="ISC243" s="42"/>
      <c r="ISD243" s="42"/>
      <c r="ISE243" s="42"/>
      <c r="ISF243" s="42"/>
      <c r="ISG243" s="42"/>
      <c r="ISH243" s="42"/>
      <c r="ISI243" s="42"/>
      <c r="ISJ243" s="42"/>
      <c r="ISK243" s="42"/>
      <c r="ISL243" s="42"/>
      <c r="ISM243" s="42"/>
      <c r="ISN243" s="42"/>
      <c r="ISO243" s="42"/>
      <c r="ISP243" s="42"/>
      <c r="ISQ243" s="42"/>
      <c r="ISR243" s="42"/>
      <c r="ISS243" s="42"/>
      <c r="IST243" s="42"/>
      <c r="ISU243" s="42"/>
      <c r="ISV243" s="42"/>
      <c r="ISW243" s="42"/>
      <c r="ISX243" s="42"/>
      <c r="ISY243" s="42"/>
      <c r="ISZ243" s="42"/>
      <c r="ITA243" s="42"/>
      <c r="ITB243" s="42"/>
      <c r="ITC243" s="42"/>
      <c r="ITD243" s="42"/>
      <c r="ITE243" s="42"/>
      <c r="ITF243" s="42"/>
      <c r="ITG243" s="42"/>
      <c r="ITH243" s="42"/>
      <c r="ITI243" s="42"/>
      <c r="ITJ243" s="42"/>
      <c r="ITK243" s="42"/>
      <c r="ITL243" s="42"/>
      <c r="ITM243" s="42"/>
      <c r="ITN243" s="42"/>
      <c r="ITO243" s="42"/>
      <c r="ITP243" s="42"/>
      <c r="ITQ243" s="42"/>
      <c r="ITR243" s="42"/>
      <c r="ITS243" s="42"/>
      <c r="ITT243" s="42"/>
      <c r="ITU243" s="42"/>
      <c r="ITV243" s="42"/>
      <c r="ITW243" s="42"/>
      <c r="ITX243" s="42"/>
      <c r="ITY243" s="42"/>
      <c r="ITZ243" s="42"/>
      <c r="IUA243" s="42"/>
      <c r="IUB243" s="42"/>
      <c r="IUC243" s="42"/>
      <c r="IUD243" s="42"/>
      <c r="IUE243" s="42"/>
      <c r="IUF243" s="42"/>
      <c r="IUG243" s="42"/>
      <c r="IUH243" s="42"/>
      <c r="IUI243" s="42"/>
      <c r="IUJ243" s="42"/>
      <c r="IUK243" s="42"/>
      <c r="IUL243" s="42"/>
      <c r="IUM243" s="42"/>
      <c r="IUN243" s="42"/>
      <c r="IUO243" s="42"/>
      <c r="IUP243" s="42"/>
      <c r="IUQ243" s="42"/>
      <c r="IUR243" s="42"/>
      <c r="IUS243" s="42"/>
      <c r="IUT243" s="42"/>
      <c r="IUU243" s="42"/>
      <c r="IUV243" s="42"/>
      <c r="IUW243" s="42"/>
      <c r="IUX243" s="42"/>
      <c r="IUY243" s="42"/>
      <c r="IUZ243" s="42"/>
      <c r="IVA243" s="42"/>
      <c r="IVB243" s="42"/>
      <c r="IVC243" s="42"/>
      <c r="IVD243" s="42"/>
      <c r="IVE243" s="42"/>
      <c r="IVF243" s="42"/>
      <c r="IVG243" s="42"/>
      <c r="IVH243" s="42"/>
      <c r="IVI243" s="42"/>
      <c r="IVJ243" s="42"/>
      <c r="IVK243" s="42"/>
      <c r="IVL243" s="42"/>
      <c r="IVM243" s="42"/>
      <c r="IVN243" s="42"/>
      <c r="IVO243" s="42"/>
      <c r="IVP243" s="42"/>
      <c r="IVQ243" s="42"/>
      <c r="IVR243" s="42"/>
      <c r="IVS243" s="42"/>
      <c r="IVT243" s="42"/>
      <c r="IVU243" s="42"/>
      <c r="IVV243" s="42"/>
      <c r="IVW243" s="42"/>
      <c r="IVX243" s="42"/>
      <c r="IVY243" s="42"/>
      <c r="IVZ243" s="42"/>
      <c r="IWA243" s="42"/>
      <c r="IWB243" s="42"/>
      <c r="IWC243" s="42"/>
      <c r="IWD243" s="42"/>
      <c r="IWE243" s="42"/>
      <c r="IWF243" s="42"/>
      <c r="IWG243" s="42"/>
      <c r="IWH243" s="42"/>
      <c r="IWI243" s="42"/>
      <c r="IWJ243" s="42"/>
      <c r="IWK243" s="42"/>
      <c r="IWL243" s="42"/>
      <c r="IWM243" s="42"/>
      <c r="IWN243" s="42"/>
      <c r="IWO243" s="42"/>
      <c r="IWP243" s="42"/>
      <c r="IWQ243" s="42"/>
      <c r="IWR243" s="42"/>
      <c r="IWS243" s="42"/>
      <c r="IWT243" s="42"/>
      <c r="IWU243" s="42"/>
      <c r="IWV243" s="42"/>
      <c r="IWW243" s="42"/>
      <c r="IWX243" s="42"/>
      <c r="IWY243" s="42"/>
      <c r="IWZ243" s="42"/>
      <c r="IXA243" s="42"/>
      <c r="IXB243" s="42"/>
      <c r="IXC243" s="42"/>
      <c r="IXD243" s="42"/>
      <c r="IXE243" s="42"/>
      <c r="IXF243" s="42"/>
      <c r="IXG243" s="42"/>
      <c r="IXH243" s="42"/>
      <c r="IXI243" s="42"/>
      <c r="IXJ243" s="42"/>
      <c r="IXK243" s="42"/>
      <c r="IXL243" s="42"/>
      <c r="IXM243" s="42"/>
      <c r="IXN243" s="42"/>
      <c r="IXO243" s="42"/>
      <c r="IXP243" s="42"/>
      <c r="IXQ243" s="42"/>
      <c r="IXR243" s="42"/>
      <c r="IXS243" s="42"/>
      <c r="IXT243" s="42"/>
      <c r="IXU243" s="42"/>
      <c r="IXV243" s="42"/>
      <c r="IXW243" s="42"/>
      <c r="IXX243" s="42"/>
      <c r="IXY243" s="42"/>
      <c r="IXZ243" s="42"/>
      <c r="IYA243" s="42"/>
      <c r="IYB243" s="42"/>
      <c r="IYC243" s="42"/>
      <c r="IYD243" s="42"/>
      <c r="IYE243" s="42"/>
      <c r="IYF243" s="42"/>
      <c r="IYG243" s="42"/>
      <c r="IYH243" s="42"/>
      <c r="IYI243" s="42"/>
      <c r="IYJ243" s="42"/>
      <c r="IYK243" s="42"/>
      <c r="IYL243" s="42"/>
      <c r="IYM243" s="42"/>
      <c r="IYN243" s="42"/>
      <c r="IYO243" s="42"/>
      <c r="IYP243" s="42"/>
      <c r="IYQ243" s="42"/>
      <c r="IYR243" s="42"/>
      <c r="IYS243" s="42"/>
      <c r="IYT243" s="42"/>
      <c r="IYU243" s="42"/>
      <c r="IYV243" s="42"/>
      <c r="IYW243" s="42"/>
      <c r="IYX243" s="42"/>
      <c r="IYY243" s="42"/>
      <c r="IYZ243" s="42"/>
      <c r="IZA243" s="42"/>
      <c r="IZB243" s="42"/>
      <c r="IZC243" s="42"/>
      <c r="IZD243" s="42"/>
      <c r="IZE243" s="42"/>
      <c r="IZF243" s="42"/>
      <c r="IZG243" s="42"/>
      <c r="IZH243" s="42"/>
      <c r="IZI243" s="42"/>
      <c r="IZJ243" s="42"/>
      <c r="IZK243" s="42"/>
      <c r="IZL243" s="42"/>
      <c r="IZM243" s="42"/>
      <c r="IZN243" s="42"/>
      <c r="IZO243" s="42"/>
      <c r="IZP243" s="42"/>
      <c r="IZQ243" s="42"/>
      <c r="IZR243" s="42"/>
      <c r="IZS243" s="42"/>
      <c r="IZT243" s="42"/>
      <c r="IZU243" s="42"/>
      <c r="IZV243" s="42"/>
      <c r="IZW243" s="42"/>
      <c r="IZX243" s="42"/>
      <c r="IZY243" s="42"/>
      <c r="IZZ243" s="42"/>
      <c r="JAA243" s="42"/>
      <c r="JAB243" s="42"/>
      <c r="JAC243" s="42"/>
      <c r="JAD243" s="42"/>
      <c r="JAE243" s="42"/>
      <c r="JAF243" s="42"/>
      <c r="JAG243" s="42"/>
      <c r="JAH243" s="42"/>
      <c r="JAI243" s="42"/>
      <c r="JAJ243" s="42"/>
      <c r="JAK243" s="42"/>
      <c r="JAL243" s="42"/>
      <c r="JAM243" s="42"/>
      <c r="JAN243" s="42"/>
      <c r="JAO243" s="42"/>
      <c r="JAP243" s="42"/>
      <c r="JAQ243" s="42"/>
      <c r="JAR243" s="42"/>
      <c r="JAS243" s="42"/>
      <c r="JAT243" s="42"/>
      <c r="JAU243" s="42"/>
      <c r="JAV243" s="42"/>
      <c r="JAW243" s="42"/>
      <c r="JAX243" s="42"/>
      <c r="JAY243" s="42"/>
      <c r="JAZ243" s="42"/>
      <c r="JBA243" s="42"/>
      <c r="JBB243" s="42"/>
      <c r="JBC243" s="42"/>
      <c r="JBD243" s="42"/>
      <c r="JBE243" s="42"/>
      <c r="JBF243" s="42"/>
      <c r="JBG243" s="42"/>
      <c r="JBH243" s="42"/>
      <c r="JBI243" s="42"/>
      <c r="JBJ243" s="42"/>
      <c r="JBK243" s="42"/>
      <c r="JBL243" s="42"/>
      <c r="JBM243" s="42"/>
      <c r="JBN243" s="42"/>
      <c r="JBO243" s="42"/>
      <c r="JBP243" s="42"/>
      <c r="JBQ243" s="42"/>
      <c r="JBR243" s="42"/>
      <c r="JBS243" s="42"/>
      <c r="JBT243" s="42"/>
      <c r="JBU243" s="42"/>
      <c r="JBV243" s="42"/>
      <c r="JBW243" s="42"/>
      <c r="JBX243" s="42"/>
      <c r="JBY243" s="42"/>
      <c r="JBZ243" s="42"/>
      <c r="JCA243" s="42"/>
      <c r="JCB243" s="42"/>
      <c r="JCC243" s="42"/>
      <c r="JCD243" s="42"/>
      <c r="JCE243" s="42"/>
      <c r="JCF243" s="42"/>
      <c r="JCG243" s="42"/>
      <c r="JCH243" s="42"/>
      <c r="JCI243" s="42"/>
      <c r="JCJ243" s="42"/>
      <c r="JCK243" s="42"/>
      <c r="JCL243" s="42"/>
      <c r="JCM243" s="42"/>
      <c r="JCN243" s="42"/>
      <c r="JCO243" s="42"/>
      <c r="JCP243" s="42"/>
      <c r="JCQ243" s="42"/>
      <c r="JCR243" s="42"/>
      <c r="JCS243" s="42"/>
      <c r="JCT243" s="42"/>
      <c r="JCU243" s="42"/>
      <c r="JCV243" s="42"/>
      <c r="JCW243" s="42"/>
      <c r="JCX243" s="42"/>
      <c r="JCY243" s="42"/>
      <c r="JCZ243" s="42"/>
      <c r="JDA243" s="42"/>
      <c r="JDB243" s="42"/>
      <c r="JDC243" s="42"/>
      <c r="JDD243" s="42"/>
      <c r="JDE243" s="42"/>
      <c r="JDF243" s="42"/>
      <c r="JDG243" s="42"/>
      <c r="JDH243" s="42"/>
      <c r="JDI243" s="42"/>
      <c r="JDJ243" s="42"/>
      <c r="JDK243" s="42"/>
      <c r="JDL243" s="42"/>
      <c r="JDM243" s="42"/>
      <c r="JDN243" s="42"/>
      <c r="JDO243" s="42"/>
      <c r="JDP243" s="42"/>
      <c r="JDQ243" s="42"/>
      <c r="JDR243" s="42"/>
      <c r="JDS243" s="42"/>
      <c r="JDT243" s="42"/>
      <c r="JDU243" s="42"/>
      <c r="JDV243" s="42"/>
      <c r="JDW243" s="42"/>
      <c r="JDX243" s="42"/>
      <c r="JDY243" s="42"/>
      <c r="JDZ243" s="42"/>
      <c r="JEA243" s="42"/>
      <c r="JEB243" s="42"/>
      <c r="JEC243" s="42"/>
      <c r="JED243" s="42"/>
      <c r="JEE243" s="42"/>
      <c r="JEF243" s="42"/>
      <c r="JEG243" s="42"/>
      <c r="JEH243" s="42"/>
      <c r="JEI243" s="42"/>
      <c r="JEJ243" s="42"/>
      <c r="JEK243" s="42"/>
      <c r="JEL243" s="42"/>
      <c r="JEM243" s="42"/>
      <c r="JEN243" s="42"/>
      <c r="JEO243" s="42"/>
      <c r="JEP243" s="42"/>
      <c r="JEQ243" s="42"/>
      <c r="JER243" s="42"/>
      <c r="JES243" s="42"/>
      <c r="JET243" s="42"/>
      <c r="JEU243" s="42"/>
      <c r="JEV243" s="42"/>
      <c r="JEW243" s="42"/>
      <c r="JEX243" s="42"/>
      <c r="JEY243" s="42"/>
      <c r="JEZ243" s="42"/>
      <c r="JFA243" s="42"/>
      <c r="JFB243" s="42"/>
      <c r="JFC243" s="42"/>
      <c r="JFD243" s="42"/>
      <c r="JFE243" s="42"/>
      <c r="JFF243" s="42"/>
      <c r="JFG243" s="42"/>
      <c r="JFH243" s="42"/>
      <c r="JFI243" s="42"/>
      <c r="JFJ243" s="42"/>
      <c r="JFK243" s="42"/>
      <c r="JFL243" s="42"/>
      <c r="JFM243" s="42"/>
      <c r="JFN243" s="42"/>
      <c r="JFO243" s="42"/>
      <c r="JFP243" s="42"/>
      <c r="JFQ243" s="42"/>
      <c r="JFR243" s="42"/>
      <c r="JFS243" s="42"/>
      <c r="JFT243" s="42"/>
      <c r="JFU243" s="42"/>
      <c r="JFV243" s="42"/>
      <c r="JFW243" s="42"/>
      <c r="JFX243" s="42"/>
      <c r="JFY243" s="42"/>
      <c r="JFZ243" s="42"/>
      <c r="JGA243" s="42"/>
      <c r="JGB243" s="42"/>
      <c r="JGC243" s="42"/>
      <c r="JGD243" s="42"/>
      <c r="JGE243" s="42"/>
      <c r="JGF243" s="42"/>
      <c r="JGG243" s="42"/>
      <c r="JGH243" s="42"/>
      <c r="JGI243" s="42"/>
      <c r="JGJ243" s="42"/>
      <c r="JGK243" s="42"/>
      <c r="JGL243" s="42"/>
      <c r="JGM243" s="42"/>
      <c r="JGN243" s="42"/>
      <c r="JGO243" s="42"/>
      <c r="JGP243" s="42"/>
      <c r="JGQ243" s="42"/>
      <c r="JGR243" s="42"/>
      <c r="JGS243" s="42"/>
      <c r="JGT243" s="42"/>
      <c r="JGU243" s="42"/>
      <c r="JGV243" s="42"/>
      <c r="JGW243" s="42"/>
      <c r="JGX243" s="42"/>
      <c r="JGY243" s="42"/>
      <c r="JGZ243" s="42"/>
      <c r="JHA243" s="42"/>
      <c r="JHB243" s="42"/>
      <c r="JHC243" s="42"/>
      <c r="JHD243" s="42"/>
      <c r="JHE243" s="42"/>
      <c r="JHF243" s="42"/>
      <c r="JHG243" s="42"/>
      <c r="JHH243" s="42"/>
      <c r="JHI243" s="42"/>
      <c r="JHJ243" s="42"/>
      <c r="JHK243" s="42"/>
      <c r="JHL243" s="42"/>
      <c r="JHM243" s="42"/>
      <c r="JHN243" s="42"/>
      <c r="JHO243" s="42"/>
      <c r="JHP243" s="42"/>
      <c r="JHQ243" s="42"/>
      <c r="JHR243" s="42"/>
      <c r="JHS243" s="42"/>
      <c r="JHT243" s="42"/>
      <c r="JHU243" s="42"/>
      <c r="JHV243" s="42"/>
      <c r="JHW243" s="42"/>
      <c r="JHX243" s="42"/>
      <c r="JHY243" s="42"/>
      <c r="JHZ243" s="42"/>
      <c r="JIA243" s="42"/>
      <c r="JIB243" s="42"/>
      <c r="JIC243" s="42"/>
      <c r="JID243" s="42"/>
      <c r="JIE243" s="42"/>
      <c r="JIF243" s="42"/>
      <c r="JIG243" s="42"/>
      <c r="JIH243" s="42"/>
      <c r="JII243" s="42"/>
      <c r="JIJ243" s="42"/>
      <c r="JIK243" s="42"/>
      <c r="JIL243" s="42"/>
      <c r="JIM243" s="42"/>
      <c r="JIN243" s="42"/>
      <c r="JIO243" s="42"/>
      <c r="JIP243" s="42"/>
      <c r="JIQ243" s="42"/>
      <c r="JIR243" s="42"/>
      <c r="JIS243" s="42"/>
      <c r="JIT243" s="42"/>
      <c r="JIU243" s="42"/>
      <c r="JIV243" s="42"/>
      <c r="JIW243" s="42"/>
      <c r="JIX243" s="42"/>
      <c r="JIY243" s="42"/>
      <c r="JIZ243" s="42"/>
      <c r="JJA243" s="42"/>
      <c r="JJB243" s="42"/>
      <c r="JJC243" s="42"/>
      <c r="JJD243" s="42"/>
      <c r="JJE243" s="42"/>
      <c r="JJF243" s="42"/>
      <c r="JJG243" s="42"/>
      <c r="JJH243" s="42"/>
      <c r="JJI243" s="42"/>
      <c r="JJJ243" s="42"/>
      <c r="JJK243" s="42"/>
      <c r="JJL243" s="42"/>
      <c r="JJM243" s="42"/>
      <c r="JJN243" s="42"/>
      <c r="JJO243" s="42"/>
      <c r="JJP243" s="42"/>
      <c r="JJQ243" s="42"/>
      <c r="JJR243" s="42"/>
      <c r="JJS243" s="42"/>
      <c r="JJT243" s="42"/>
      <c r="JJU243" s="42"/>
      <c r="JJV243" s="42"/>
      <c r="JJW243" s="42"/>
      <c r="JJX243" s="42"/>
      <c r="JJY243" s="42"/>
      <c r="JJZ243" s="42"/>
      <c r="JKA243" s="42"/>
      <c r="JKB243" s="42"/>
      <c r="JKC243" s="42"/>
      <c r="JKD243" s="42"/>
      <c r="JKE243" s="42"/>
      <c r="JKF243" s="42"/>
      <c r="JKG243" s="42"/>
      <c r="JKH243" s="42"/>
      <c r="JKI243" s="42"/>
      <c r="JKJ243" s="42"/>
      <c r="JKK243" s="42"/>
      <c r="JKL243" s="42"/>
      <c r="JKM243" s="42"/>
      <c r="JKN243" s="42"/>
      <c r="JKO243" s="42"/>
      <c r="JKP243" s="42"/>
      <c r="JKQ243" s="42"/>
      <c r="JKR243" s="42"/>
      <c r="JKS243" s="42"/>
      <c r="JKT243" s="42"/>
      <c r="JKU243" s="42"/>
      <c r="JKV243" s="42"/>
      <c r="JKW243" s="42"/>
      <c r="JKX243" s="42"/>
      <c r="JKY243" s="42"/>
      <c r="JKZ243" s="42"/>
      <c r="JLA243" s="42"/>
      <c r="JLB243" s="42"/>
      <c r="JLC243" s="42"/>
      <c r="JLD243" s="42"/>
      <c r="JLE243" s="42"/>
      <c r="JLF243" s="42"/>
      <c r="JLG243" s="42"/>
      <c r="JLH243" s="42"/>
      <c r="JLI243" s="42"/>
      <c r="JLJ243" s="42"/>
      <c r="JLK243" s="42"/>
      <c r="JLL243" s="42"/>
      <c r="JLM243" s="42"/>
      <c r="JLN243" s="42"/>
      <c r="JLO243" s="42"/>
      <c r="JLP243" s="42"/>
      <c r="JLQ243" s="42"/>
      <c r="JLR243" s="42"/>
      <c r="JLS243" s="42"/>
      <c r="JLT243" s="42"/>
      <c r="JLU243" s="42"/>
      <c r="JLV243" s="42"/>
      <c r="JLW243" s="42"/>
      <c r="JLX243" s="42"/>
      <c r="JLY243" s="42"/>
      <c r="JLZ243" s="42"/>
      <c r="JMA243" s="42"/>
      <c r="JMB243" s="42"/>
      <c r="JMC243" s="42"/>
      <c r="JMD243" s="42"/>
      <c r="JME243" s="42"/>
      <c r="JMF243" s="42"/>
      <c r="JMG243" s="42"/>
      <c r="JMH243" s="42"/>
      <c r="JMI243" s="42"/>
      <c r="JMJ243" s="42"/>
      <c r="JMK243" s="42"/>
      <c r="JML243" s="42"/>
      <c r="JMM243" s="42"/>
      <c r="JMN243" s="42"/>
      <c r="JMO243" s="42"/>
      <c r="JMP243" s="42"/>
      <c r="JMQ243" s="42"/>
      <c r="JMR243" s="42"/>
      <c r="JMS243" s="42"/>
      <c r="JMT243" s="42"/>
      <c r="JMU243" s="42"/>
      <c r="JMV243" s="42"/>
      <c r="JMW243" s="42"/>
      <c r="JMX243" s="42"/>
      <c r="JMY243" s="42"/>
      <c r="JMZ243" s="42"/>
      <c r="JNA243" s="42"/>
      <c r="JNB243" s="42"/>
      <c r="JNC243" s="42"/>
      <c r="JND243" s="42"/>
      <c r="JNE243" s="42"/>
      <c r="JNF243" s="42"/>
      <c r="JNG243" s="42"/>
      <c r="JNH243" s="42"/>
      <c r="JNI243" s="42"/>
      <c r="JNJ243" s="42"/>
      <c r="JNK243" s="42"/>
      <c r="JNL243" s="42"/>
      <c r="JNM243" s="42"/>
      <c r="JNN243" s="42"/>
      <c r="JNO243" s="42"/>
      <c r="JNP243" s="42"/>
      <c r="JNQ243" s="42"/>
      <c r="JNR243" s="42"/>
      <c r="JNS243" s="42"/>
      <c r="JNT243" s="42"/>
      <c r="JNU243" s="42"/>
      <c r="JNV243" s="42"/>
      <c r="JNW243" s="42"/>
      <c r="JNX243" s="42"/>
      <c r="JNY243" s="42"/>
      <c r="JNZ243" s="42"/>
      <c r="JOA243" s="42"/>
      <c r="JOB243" s="42"/>
      <c r="JOC243" s="42"/>
      <c r="JOD243" s="42"/>
      <c r="JOE243" s="42"/>
      <c r="JOF243" s="42"/>
      <c r="JOG243" s="42"/>
      <c r="JOH243" s="42"/>
      <c r="JOI243" s="42"/>
      <c r="JOJ243" s="42"/>
      <c r="JOK243" s="42"/>
      <c r="JOL243" s="42"/>
      <c r="JOM243" s="42"/>
      <c r="JON243" s="42"/>
      <c r="JOO243" s="42"/>
      <c r="JOP243" s="42"/>
      <c r="JOQ243" s="42"/>
      <c r="JOR243" s="42"/>
      <c r="JOS243" s="42"/>
      <c r="JOT243" s="42"/>
      <c r="JOU243" s="42"/>
      <c r="JOV243" s="42"/>
      <c r="JOW243" s="42"/>
      <c r="JOX243" s="42"/>
      <c r="JOY243" s="42"/>
      <c r="JOZ243" s="42"/>
      <c r="JPA243" s="42"/>
      <c r="JPB243" s="42"/>
      <c r="JPC243" s="42"/>
      <c r="JPD243" s="42"/>
      <c r="JPE243" s="42"/>
      <c r="JPF243" s="42"/>
      <c r="JPG243" s="42"/>
      <c r="JPH243" s="42"/>
      <c r="JPI243" s="42"/>
      <c r="JPJ243" s="42"/>
      <c r="JPK243" s="42"/>
      <c r="JPL243" s="42"/>
      <c r="JPM243" s="42"/>
      <c r="JPN243" s="42"/>
      <c r="JPO243" s="42"/>
      <c r="JPP243" s="42"/>
      <c r="JPQ243" s="42"/>
      <c r="JPR243" s="42"/>
      <c r="JPS243" s="42"/>
      <c r="JPT243" s="42"/>
      <c r="JPU243" s="42"/>
      <c r="JPV243" s="42"/>
      <c r="JPW243" s="42"/>
      <c r="JPX243" s="42"/>
      <c r="JPY243" s="42"/>
      <c r="JPZ243" s="42"/>
      <c r="JQA243" s="42"/>
      <c r="JQB243" s="42"/>
      <c r="JQC243" s="42"/>
      <c r="JQD243" s="42"/>
      <c r="JQE243" s="42"/>
      <c r="JQF243" s="42"/>
      <c r="JQG243" s="42"/>
      <c r="JQH243" s="42"/>
      <c r="JQI243" s="42"/>
      <c r="JQJ243" s="42"/>
      <c r="JQK243" s="42"/>
      <c r="JQL243" s="42"/>
      <c r="JQM243" s="42"/>
      <c r="JQN243" s="42"/>
      <c r="JQO243" s="42"/>
      <c r="JQP243" s="42"/>
      <c r="JQQ243" s="42"/>
      <c r="JQR243" s="42"/>
      <c r="JQS243" s="42"/>
      <c r="JQT243" s="42"/>
      <c r="JQU243" s="42"/>
      <c r="JQV243" s="42"/>
      <c r="JQW243" s="42"/>
      <c r="JQX243" s="42"/>
      <c r="JQY243" s="42"/>
      <c r="JQZ243" s="42"/>
      <c r="JRA243" s="42"/>
      <c r="JRB243" s="42"/>
      <c r="JRC243" s="42"/>
      <c r="JRD243" s="42"/>
      <c r="JRE243" s="42"/>
      <c r="JRF243" s="42"/>
      <c r="JRG243" s="42"/>
      <c r="JRH243" s="42"/>
      <c r="JRI243" s="42"/>
      <c r="JRJ243" s="42"/>
      <c r="JRK243" s="42"/>
      <c r="JRL243" s="42"/>
      <c r="JRM243" s="42"/>
      <c r="JRN243" s="42"/>
      <c r="JRO243" s="42"/>
      <c r="JRP243" s="42"/>
      <c r="JRQ243" s="42"/>
      <c r="JRR243" s="42"/>
      <c r="JRS243" s="42"/>
      <c r="JRT243" s="42"/>
      <c r="JRU243" s="42"/>
      <c r="JRV243" s="42"/>
      <c r="JRW243" s="42"/>
      <c r="JRX243" s="42"/>
      <c r="JRY243" s="42"/>
      <c r="JRZ243" s="42"/>
      <c r="JSA243" s="42"/>
      <c r="JSB243" s="42"/>
      <c r="JSC243" s="42"/>
      <c r="JSD243" s="42"/>
      <c r="JSE243" s="42"/>
      <c r="JSF243" s="42"/>
      <c r="JSG243" s="42"/>
      <c r="JSH243" s="42"/>
      <c r="JSI243" s="42"/>
      <c r="JSJ243" s="42"/>
      <c r="JSK243" s="42"/>
      <c r="JSL243" s="42"/>
      <c r="JSM243" s="42"/>
      <c r="JSN243" s="42"/>
      <c r="JSO243" s="42"/>
      <c r="JSP243" s="42"/>
      <c r="JSQ243" s="42"/>
      <c r="JSR243" s="42"/>
      <c r="JSS243" s="42"/>
      <c r="JST243" s="42"/>
      <c r="JSU243" s="42"/>
      <c r="JSV243" s="42"/>
      <c r="JSW243" s="42"/>
      <c r="JSX243" s="42"/>
      <c r="JSY243" s="42"/>
      <c r="JSZ243" s="42"/>
      <c r="JTA243" s="42"/>
      <c r="JTB243" s="42"/>
      <c r="JTC243" s="42"/>
      <c r="JTD243" s="42"/>
      <c r="JTE243" s="42"/>
      <c r="JTF243" s="42"/>
      <c r="JTG243" s="42"/>
      <c r="JTH243" s="42"/>
      <c r="JTI243" s="42"/>
      <c r="JTJ243" s="42"/>
      <c r="JTK243" s="42"/>
      <c r="JTL243" s="42"/>
      <c r="JTM243" s="42"/>
      <c r="JTN243" s="42"/>
      <c r="JTO243" s="42"/>
      <c r="JTP243" s="42"/>
      <c r="JTQ243" s="42"/>
      <c r="JTR243" s="42"/>
      <c r="JTS243" s="42"/>
      <c r="JTT243" s="42"/>
      <c r="JTU243" s="42"/>
      <c r="JTV243" s="42"/>
      <c r="JTW243" s="42"/>
      <c r="JTX243" s="42"/>
      <c r="JTY243" s="42"/>
      <c r="JTZ243" s="42"/>
      <c r="JUA243" s="42"/>
      <c r="JUB243" s="42"/>
      <c r="JUC243" s="42"/>
      <c r="JUD243" s="42"/>
      <c r="JUE243" s="42"/>
      <c r="JUF243" s="42"/>
      <c r="JUG243" s="42"/>
      <c r="JUH243" s="42"/>
      <c r="JUI243" s="42"/>
      <c r="JUJ243" s="42"/>
      <c r="JUK243" s="42"/>
      <c r="JUL243" s="42"/>
      <c r="JUM243" s="42"/>
      <c r="JUN243" s="42"/>
      <c r="JUO243" s="42"/>
      <c r="JUP243" s="42"/>
      <c r="JUQ243" s="42"/>
      <c r="JUR243" s="42"/>
      <c r="JUS243" s="42"/>
      <c r="JUT243" s="42"/>
      <c r="JUU243" s="42"/>
      <c r="JUV243" s="42"/>
      <c r="JUW243" s="42"/>
      <c r="JUX243" s="42"/>
      <c r="JUY243" s="42"/>
      <c r="JUZ243" s="42"/>
      <c r="JVA243" s="42"/>
      <c r="JVB243" s="42"/>
      <c r="JVC243" s="42"/>
      <c r="JVD243" s="42"/>
      <c r="JVE243" s="42"/>
      <c r="JVF243" s="42"/>
      <c r="JVG243" s="42"/>
      <c r="JVH243" s="42"/>
      <c r="JVI243" s="42"/>
      <c r="JVJ243" s="42"/>
      <c r="JVK243" s="42"/>
      <c r="JVL243" s="42"/>
      <c r="JVM243" s="42"/>
      <c r="JVN243" s="42"/>
      <c r="JVO243" s="42"/>
      <c r="JVP243" s="42"/>
      <c r="JVQ243" s="42"/>
      <c r="JVR243" s="42"/>
      <c r="JVS243" s="42"/>
      <c r="JVT243" s="42"/>
      <c r="JVU243" s="42"/>
      <c r="JVV243" s="42"/>
      <c r="JVW243" s="42"/>
      <c r="JVX243" s="42"/>
      <c r="JVY243" s="42"/>
      <c r="JVZ243" s="42"/>
      <c r="JWA243" s="42"/>
      <c r="JWB243" s="42"/>
      <c r="JWC243" s="42"/>
      <c r="JWD243" s="42"/>
      <c r="JWE243" s="42"/>
      <c r="JWF243" s="42"/>
      <c r="JWG243" s="42"/>
      <c r="JWH243" s="42"/>
      <c r="JWI243" s="42"/>
      <c r="JWJ243" s="42"/>
      <c r="JWK243" s="42"/>
      <c r="JWL243" s="42"/>
      <c r="JWM243" s="42"/>
      <c r="JWN243" s="42"/>
      <c r="JWO243" s="42"/>
      <c r="JWP243" s="42"/>
      <c r="JWQ243" s="42"/>
      <c r="JWR243" s="42"/>
      <c r="JWS243" s="42"/>
      <c r="JWT243" s="42"/>
      <c r="JWU243" s="42"/>
      <c r="JWV243" s="42"/>
      <c r="JWW243" s="42"/>
      <c r="JWX243" s="42"/>
      <c r="JWY243" s="42"/>
      <c r="JWZ243" s="42"/>
      <c r="JXA243" s="42"/>
      <c r="JXB243" s="42"/>
      <c r="JXC243" s="42"/>
      <c r="JXD243" s="42"/>
      <c r="JXE243" s="42"/>
      <c r="JXF243" s="42"/>
      <c r="JXG243" s="42"/>
      <c r="JXH243" s="42"/>
      <c r="JXI243" s="42"/>
      <c r="JXJ243" s="42"/>
      <c r="JXK243" s="42"/>
      <c r="JXL243" s="42"/>
      <c r="JXM243" s="42"/>
      <c r="JXN243" s="42"/>
      <c r="JXO243" s="42"/>
      <c r="JXP243" s="42"/>
      <c r="JXQ243" s="42"/>
      <c r="JXR243" s="42"/>
      <c r="JXS243" s="42"/>
      <c r="JXT243" s="42"/>
      <c r="JXU243" s="42"/>
      <c r="JXV243" s="42"/>
      <c r="JXW243" s="42"/>
      <c r="JXX243" s="42"/>
      <c r="JXY243" s="42"/>
      <c r="JXZ243" s="42"/>
      <c r="JYA243" s="42"/>
      <c r="JYB243" s="42"/>
      <c r="JYC243" s="42"/>
      <c r="JYD243" s="42"/>
      <c r="JYE243" s="42"/>
      <c r="JYF243" s="42"/>
      <c r="JYG243" s="42"/>
      <c r="JYH243" s="42"/>
      <c r="JYI243" s="42"/>
      <c r="JYJ243" s="42"/>
      <c r="JYK243" s="42"/>
      <c r="JYL243" s="42"/>
      <c r="JYM243" s="42"/>
      <c r="JYN243" s="42"/>
      <c r="JYO243" s="42"/>
      <c r="JYP243" s="42"/>
      <c r="JYQ243" s="42"/>
      <c r="JYR243" s="42"/>
      <c r="JYS243" s="42"/>
      <c r="JYT243" s="42"/>
      <c r="JYU243" s="42"/>
      <c r="JYV243" s="42"/>
      <c r="JYW243" s="42"/>
      <c r="JYX243" s="42"/>
      <c r="JYY243" s="42"/>
      <c r="JYZ243" s="42"/>
      <c r="JZA243" s="42"/>
      <c r="JZB243" s="42"/>
      <c r="JZC243" s="42"/>
      <c r="JZD243" s="42"/>
      <c r="JZE243" s="42"/>
      <c r="JZF243" s="42"/>
      <c r="JZG243" s="42"/>
      <c r="JZH243" s="42"/>
      <c r="JZI243" s="42"/>
      <c r="JZJ243" s="42"/>
      <c r="JZK243" s="42"/>
      <c r="JZL243" s="42"/>
      <c r="JZM243" s="42"/>
      <c r="JZN243" s="42"/>
      <c r="JZO243" s="42"/>
      <c r="JZP243" s="42"/>
      <c r="JZQ243" s="42"/>
      <c r="JZR243" s="42"/>
      <c r="JZS243" s="42"/>
      <c r="JZT243" s="42"/>
      <c r="JZU243" s="42"/>
      <c r="JZV243" s="42"/>
      <c r="JZW243" s="42"/>
      <c r="JZX243" s="42"/>
      <c r="JZY243" s="42"/>
      <c r="JZZ243" s="42"/>
      <c r="KAA243" s="42"/>
      <c r="KAB243" s="42"/>
      <c r="KAC243" s="42"/>
      <c r="KAD243" s="42"/>
      <c r="KAE243" s="42"/>
      <c r="KAF243" s="42"/>
      <c r="KAG243" s="42"/>
      <c r="KAH243" s="42"/>
      <c r="KAI243" s="42"/>
      <c r="KAJ243" s="42"/>
      <c r="KAK243" s="42"/>
      <c r="KAL243" s="42"/>
      <c r="KAM243" s="42"/>
      <c r="KAN243" s="42"/>
      <c r="KAO243" s="42"/>
      <c r="KAP243" s="42"/>
      <c r="KAQ243" s="42"/>
      <c r="KAR243" s="42"/>
      <c r="KAS243" s="42"/>
      <c r="KAT243" s="42"/>
      <c r="KAU243" s="42"/>
      <c r="KAV243" s="42"/>
      <c r="KAW243" s="42"/>
      <c r="KAX243" s="42"/>
      <c r="KAY243" s="42"/>
      <c r="KAZ243" s="42"/>
      <c r="KBA243" s="42"/>
      <c r="KBB243" s="42"/>
      <c r="KBC243" s="42"/>
      <c r="KBD243" s="42"/>
      <c r="KBE243" s="42"/>
      <c r="KBF243" s="42"/>
      <c r="KBG243" s="42"/>
      <c r="KBH243" s="42"/>
      <c r="KBI243" s="42"/>
      <c r="KBJ243" s="42"/>
      <c r="KBK243" s="42"/>
      <c r="KBL243" s="42"/>
      <c r="KBM243" s="42"/>
      <c r="KBN243" s="42"/>
      <c r="KBO243" s="42"/>
      <c r="KBP243" s="42"/>
      <c r="KBQ243" s="42"/>
      <c r="KBR243" s="42"/>
      <c r="KBS243" s="42"/>
      <c r="KBT243" s="42"/>
      <c r="KBU243" s="42"/>
      <c r="KBV243" s="42"/>
      <c r="KBW243" s="42"/>
      <c r="KBX243" s="42"/>
      <c r="KBY243" s="42"/>
      <c r="KBZ243" s="42"/>
      <c r="KCA243" s="42"/>
      <c r="KCB243" s="42"/>
      <c r="KCC243" s="42"/>
      <c r="KCD243" s="42"/>
      <c r="KCE243" s="42"/>
      <c r="KCF243" s="42"/>
      <c r="KCG243" s="42"/>
      <c r="KCH243" s="42"/>
      <c r="KCI243" s="42"/>
      <c r="KCJ243" s="42"/>
      <c r="KCK243" s="42"/>
      <c r="KCL243" s="42"/>
      <c r="KCM243" s="42"/>
      <c r="KCN243" s="42"/>
      <c r="KCO243" s="42"/>
      <c r="KCP243" s="42"/>
      <c r="KCQ243" s="42"/>
      <c r="KCR243" s="42"/>
      <c r="KCS243" s="42"/>
      <c r="KCT243" s="42"/>
      <c r="KCU243" s="42"/>
      <c r="KCV243" s="42"/>
      <c r="KCW243" s="42"/>
      <c r="KCX243" s="42"/>
      <c r="KCY243" s="42"/>
      <c r="KCZ243" s="42"/>
      <c r="KDA243" s="42"/>
      <c r="KDB243" s="42"/>
      <c r="KDC243" s="42"/>
      <c r="KDD243" s="42"/>
      <c r="KDE243" s="42"/>
      <c r="KDF243" s="42"/>
      <c r="KDG243" s="42"/>
      <c r="KDH243" s="42"/>
      <c r="KDI243" s="42"/>
      <c r="KDJ243" s="42"/>
      <c r="KDK243" s="42"/>
      <c r="KDL243" s="42"/>
      <c r="KDM243" s="42"/>
      <c r="KDN243" s="42"/>
      <c r="KDO243" s="42"/>
      <c r="KDP243" s="42"/>
      <c r="KDQ243" s="42"/>
      <c r="KDR243" s="42"/>
      <c r="KDS243" s="42"/>
      <c r="KDT243" s="42"/>
      <c r="KDU243" s="42"/>
      <c r="KDV243" s="42"/>
      <c r="KDW243" s="42"/>
      <c r="KDX243" s="42"/>
      <c r="KDY243" s="42"/>
      <c r="KDZ243" s="42"/>
      <c r="KEA243" s="42"/>
      <c r="KEB243" s="42"/>
      <c r="KEC243" s="42"/>
      <c r="KED243" s="42"/>
      <c r="KEE243" s="42"/>
      <c r="KEF243" s="42"/>
      <c r="KEG243" s="42"/>
      <c r="KEH243" s="42"/>
      <c r="KEI243" s="42"/>
      <c r="KEJ243" s="42"/>
      <c r="KEK243" s="42"/>
      <c r="KEL243" s="42"/>
      <c r="KEM243" s="42"/>
      <c r="KEN243" s="42"/>
      <c r="KEO243" s="42"/>
      <c r="KEP243" s="42"/>
      <c r="KEQ243" s="42"/>
      <c r="KER243" s="42"/>
      <c r="KES243" s="42"/>
      <c r="KET243" s="42"/>
      <c r="KEU243" s="42"/>
      <c r="KEV243" s="42"/>
      <c r="KEW243" s="42"/>
      <c r="KEX243" s="42"/>
      <c r="KEY243" s="42"/>
      <c r="KEZ243" s="42"/>
      <c r="KFA243" s="42"/>
      <c r="KFB243" s="42"/>
      <c r="KFC243" s="42"/>
      <c r="KFD243" s="42"/>
      <c r="KFE243" s="42"/>
      <c r="KFF243" s="42"/>
      <c r="KFG243" s="42"/>
      <c r="KFH243" s="42"/>
      <c r="KFI243" s="42"/>
      <c r="KFJ243" s="42"/>
      <c r="KFK243" s="42"/>
      <c r="KFL243" s="42"/>
      <c r="KFM243" s="42"/>
      <c r="KFN243" s="42"/>
      <c r="KFO243" s="42"/>
      <c r="KFP243" s="42"/>
      <c r="KFQ243" s="42"/>
      <c r="KFR243" s="42"/>
      <c r="KFS243" s="42"/>
      <c r="KFT243" s="42"/>
      <c r="KFU243" s="42"/>
      <c r="KFV243" s="42"/>
      <c r="KFW243" s="42"/>
      <c r="KFX243" s="42"/>
      <c r="KFY243" s="42"/>
      <c r="KFZ243" s="42"/>
      <c r="KGA243" s="42"/>
      <c r="KGB243" s="42"/>
      <c r="KGC243" s="42"/>
      <c r="KGD243" s="42"/>
      <c r="KGE243" s="42"/>
      <c r="KGF243" s="42"/>
      <c r="KGG243" s="42"/>
      <c r="KGH243" s="42"/>
      <c r="KGI243" s="42"/>
      <c r="KGJ243" s="42"/>
      <c r="KGK243" s="42"/>
      <c r="KGL243" s="42"/>
      <c r="KGM243" s="42"/>
      <c r="KGN243" s="42"/>
      <c r="KGO243" s="42"/>
      <c r="KGP243" s="42"/>
      <c r="KGQ243" s="42"/>
      <c r="KGR243" s="42"/>
      <c r="KGS243" s="42"/>
      <c r="KGT243" s="42"/>
      <c r="KGU243" s="42"/>
      <c r="KGV243" s="42"/>
      <c r="KGW243" s="42"/>
      <c r="KGX243" s="42"/>
      <c r="KGY243" s="42"/>
      <c r="KGZ243" s="42"/>
      <c r="KHA243" s="42"/>
      <c r="KHB243" s="42"/>
      <c r="KHC243" s="42"/>
      <c r="KHD243" s="42"/>
      <c r="KHE243" s="42"/>
      <c r="KHF243" s="42"/>
      <c r="KHG243" s="42"/>
      <c r="KHH243" s="42"/>
      <c r="KHI243" s="42"/>
      <c r="KHJ243" s="42"/>
      <c r="KHK243" s="42"/>
      <c r="KHL243" s="42"/>
      <c r="KHM243" s="42"/>
      <c r="KHN243" s="42"/>
      <c r="KHO243" s="42"/>
      <c r="KHP243" s="42"/>
      <c r="KHQ243" s="42"/>
      <c r="KHR243" s="42"/>
      <c r="KHS243" s="42"/>
      <c r="KHT243" s="42"/>
      <c r="KHU243" s="42"/>
      <c r="KHV243" s="42"/>
      <c r="KHW243" s="42"/>
      <c r="KHX243" s="42"/>
      <c r="KHY243" s="42"/>
      <c r="KHZ243" s="42"/>
      <c r="KIA243" s="42"/>
      <c r="KIB243" s="42"/>
      <c r="KIC243" s="42"/>
      <c r="KID243" s="42"/>
      <c r="KIE243" s="42"/>
      <c r="KIF243" s="42"/>
      <c r="KIG243" s="42"/>
      <c r="KIH243" s="42"/>
      <c r="KII243" s="42"/>
      <c r="KIJ243" s="42"/>
      <c r="KIK243" s="42"/>
      <c r="KIL243" s="42"/>
      <c r="KIM243" s="42"/>
      <c r="KIN243" s="42"/>
      <c r="KIO243" s="42"/>
      <c r="KIP243" s="42"/>
      <c r="KIQ243" s="42"/>
      <c r="KIR243" s="42"/>
      <c r="KIS243" s="42"/>
      <c r="KIT243" s="42"/>
      <c r="KIU243" s="42"/>
      <c r="KIV243" s="42"/>
      <c r="KIW243" s="42"/>
      <c r="KIX243" s="42"/>
      <c r="KIY243" s="42"/>
      <c r="KIZ243" s="42"/>
      <c r="KJA243" s="42"/>
      <c r="KJB243" s="42"/>
      <c r="KJC243" s="42"/>
      <c r="KJD243" s="42"/>
      <c r="KJE243" s="42"/>
      <c r="KJF243" s="42"/>
      <c r="KJG243" s="42"/>
      <c r="KJH243" s="42"/>
      <c r="KJI243" s="42"/>
      <c r="KJJ243" s="42"/>
      <c r="KJK243" s="42"/>
      <c r="KJL243" s="42"/>
      <c r="KJM243" s="42"/>
      <c r="KJN243" s="42"/>
      <c r="KJO243" s="42"/>
      <c r="KJP243" s="42"/>
      <c r="KJQ243" s="42"/>
      <c r="KJR243" s="42"/>
      <c r="KJS243" s="42"/>
      <c r="KJT243" s="42"/>
      <c r="KJU243" s="42"/>
      <c r="KJV243" s="42"/>
      <c r="KJW243" s="42"/>
      <c r="KJX243" s="42"/>
      <c r="KJY243" s="42"/>
      <c r="KJZ243" s="42"/>
      <c r="KKA243" s="42"/>
      <c r="KKB243" s="42"/>
      <c r="KKC243" s="42"/>
      <c r="KKD243" s="42"/>
      <c r="KKE243" s="42"/>
      <c r="KKF243" s="42"/>
      <c r="KKG243" s="42"/>
      <c r="KKH243" s="42"/>
      <c r="KKI243" s="42"/>
      <c r="KKJ243" s="42"/>
      <c r="KKK243" s="42"/>
      <c r="KKL243" s="42"/>
      <c r="KKM243" s="42"/>
      <c r="KKN243" s="42"/>
      <c r="KKO243" s="42"/>
      <c r="KKP243" s="42"/>
      <c r="KKQ243" s="42"/>
      <c r="KKR243" s="42"/>
      <c r="KKS243" s="42"/>
      <c r="KKT243" s="42"/>
      <c r="KKU243" s="42"/>
      <c r="KKV243" s="42"/>
      <c r="KKW243" s="42"/>
      <c r="KKX243" s="42"/>
      <c r="KKY243" s="42"/>
      <c r="KKZ243" s="42"/>
      <c r="KLA243" s="42"/>
      <c r="KLB243" s="42"/>
      <c r="KLC243" s="42"/>
      <c r="KLD243" s="42"/>
      <c r="KLE243" s="42"/>
      <c r="KLF243" s="42"/>
      <c r="KLG243" s="42"/>
      <c r="KLH243" s="42"/>
      <c r="KLI243" s="42"/>
      <c r="KLJ243" s="42"/>
      <c r="KLK243" s="42"/>
      <c r="KLL243" s="42"/>
      <c r="KLM243" s="42"/>
      <c r="KLN243" s="42"/>
      <c r="KLO243" s="42"/>
      <c r="KLP243" s="42"/>
      <c r="KLQ243" s="42"/>
      <c r="KLR243" s="42"/>
      <c r="KLS243" s="42"/>
      <c r="KLT243" s="42"/>
      <c r="KLU243" s="42"/>
      <c r="KLV243" s="42"/>
      <c r="KLW243" s="42"/>
      <c r="KLX243" s="42"/>
      <c r="KLY243" s="42"/>
      <c r="KLZ243" s="42"/>
      <c r="KMA243" s="42"/>
      <c r="KMB243" s="42"/>
      <c r="KMC243" s="42"/>
      <c r="KMD243" s="42"/>
      <c r="KME243" s="42"/>
      <c r="KMF243" s="42"/>
      <c r="KMG243" s="42"/>
      <c r="KMH243" s="42"/>
      <c r="KMI243" s="42"/>
      <c r="KMJ243" s="42"/>
      <c r="KMK243" s="42"/>
      <c r="KML243" s="42"/>
      <c r="KMM243" s="42"/>
      <c r="KMN243" s="42"/>
      <c r="KMO243" s="42"/>
      <c r="KMP243" s="42"/>
      <c r="KMQ243" s="42"/>
      <c r="KMR243" s="42"/>
      <c r="KMS243" s="42"/>
      <c r="KMT243" s="42"/>
      <c r="KMU243" s="42"/>
      <c r="KMV243" s="42"/>
      <c r="KMW243" s="42"/>
      <c r="KMX243" s="42"/>
      <c r="KMY243" s="42"/>
      <c r="KMZ243" s="42"/>
      <c r="KNA243" s="42"/>
      <c r="KNB243" s="42"/>
      <c r="KNC243" s="42"/>
      <c r="KND243" s="42"/>
      <c r="KNE243" s="42"/>
      <c r="KNF243" s="42"/>
      <c r="KNG243" s="42"/>
      <c r="KNH243" s="42"/>
      <c r="KNI243" s="42"/>
      <c r="KNJ243" s="42"/>
      <c r="KNK243" s="42"/>
      <c r="KNL243" s="42"/>
      <c r="KNM243" s="42"/>
      <c r="KNN243" s="42"/>
      <c r="KNO243" s="42"/>
      <c r="KNP243" s="42"/>
      <c r="KNQ243" s="42"/>
      <c r="KNR243" s="42"/>
      <c r="KNS243" s="42"/>
      <c r="KNT243" s="42"/>
      <c r="KNU243" s="42"/>
      <c r="KNV243" s="42"/>
      <c r="KNW243" s="42"/>
      <c r="KNX243" s="42"/>
      <c r="KNY243" s="42"/>
      <c r="KNZ243" s="42"/>
      <c r="KOA243" s="42"/>
      <c r="KOB243" s="42"/>
      <c r="KOC243" s="42"/>
      <c r="KOD243" s="42"/>
      <c r="KOE243" s="42"/>
      <c r="KOF243" s="42"/>
      <c r="KOG243" s="42"/>
      <c r="KOH243" s="42"/>
      <c r="KOI243" s="42"/>
      <c r="KOJ243" s="42"/>
      <c r="KOK243" s="42"/>
      <c r="KOL243" s="42"/>
      <c r="KOM243" s="42"/>
      <c r="KON243" s="42"/>
      <c r="KOO243" s="42"/>
      <c r="KOP243" s="42"/>
      <c r="KOQ243" s="42"/>
      <c r="KOR243" s="42"/>
      <c r="KOS243" s="42"/>
      <c r="KOT243" s="42"/>
      <c r="KOU243" s="42"/>
      <c r="KOV243" s="42"/>
      <c r="KOW243" s="42"/>
      <c r="KOX243" s="42"/>
      <c r="KOY243" s="42"/>
      <c r="KOZ243" s="42"/>
      <c r="KPA243" s="42"/>
      <c r="KPB243" s="42"/>
      <c r="KPC243" s="42"/>
      <c r="KPD243" s="42"/>
      <c r="KPE243" s="42"/>
      <c r="KPF243" s="42"/>
      <c r="KPG243" s="42"/>
      <c r="KPH243" s="42"/>
      <c r="KPI243" s="42"/>
      <c r="KPJ243" s="42"/>
      <c r="KPK243" s="42"/>
      <c r="KPL243" s="42"/>
      <c r="KPM243" s="42"/>
      <c r="KPN243" s="42"/>
      <c r="KPO243" s="42"/>
      <c r="KPP243" s="42"/>
      <c r="KPQ243" s="42"/>
      <c r="KPR243" s="42"/>
      <c r="KPS243" s="42"/>
      <c r="KPT243" s="42"/>
      <c r="KPU243" s="42"/>
      <c r="KPV243" s="42"/>
      <c r="KPW243" s="42"/>
      <c r="KPX243" s="42"/>
      <c r="KPY243" s="42"/>
      <c r="KPZ243" s="42"/>
      <c r="KQA243" s="42"/>
      <c r="KQB243" s="42"/>
      <c r="KQC243" s="42"/>
      <c r="KQD243" s="42"/>
      <c r="KQE243" s="42"/>
      <c r="KQF243" s="42"/>
      <c r="KQG243" s="42"/>
      <c r="KQH243" s="42"/>
      <c r="KQI243" s="42"/>
      <c r="KQJ243" s="42"/>
      <c r="KQK243" s="42"/>
      <c r="KQL243" s="42"/>
      <c r="KQM243" s="42"/>
      <c r="KQN243" s="42"/>
      <c r="KQO243" s="42"/>
      <c r="KQP243" s="42"/>
      <c r="KQQ243" s="42"/>
      <c r="KQR243" s="42"/>
      <c r="KQS243" s="42"/>
      <c r="KQT243" s="42"/>
      <c r="KQU243" s="42"/>
      <c r="KQV243" s="42"/>
      <c r="KQW243" s="42"/>
      <c r="KQX243" s="42"/>
      <c r="KQY243" s="42"/>
      <c r="KQZ243" s="42"/>
      <c r="KRA243" s="42"/>
      <c r="KRB243" s="42"/>
      <c r="KRC243" s="42"/>
      <c r="KRD243" s="42"/>
      <c r="KRE243" s="42"/>
      <c r="KRF243" s="42"/>
      <c r="KRG243" s="42"/>
      <c r="KRH243" s="42"/>
      <c r="KRI243" s="42"/>
      <c r="KRJ243" s="42"/>
      <c r="KRK243" s="42"/>
      <c r="KRL243" s="42"/>
      <c r="KRM243" s="42"/>
      <c r="KRN243" s="42"/>
      <c r="KRO243" s="42"/>
      <c r="KRP243" s="42"/>
      <c r="KRQ243" s="42"/>
      <c r="KRR243" s="42"/>
      <c r="KRS243" s="42"/>
      <c r="KRT243" s="42"/>
      <c r="KRU243" s="42"/>
      <c r="KRV243" s="42"/>
      <c r="KRW243" s="42"/>
      <c r="KRX243" s="42"/>
      <c r="KRY243" s="42"/>
      <c r="KRZ243" s="42"/>
      <c r="KSA243" s="42"/>
      <c r="KSB243" s="42"/>
      <c r="KSC243" s="42"/>
      <c r="KSD243" s="42"/>
      <c r="KSE243" s="42"/>
      <c r="KSF243" s="42"/>
      <c r="KSG243" s="42"/>
      <c r="KSH243" s="42"/>
      <c r="KSI243" s="42"/>
      <c r="KSJ243" s="42"/>
      <c r="KSK243" s="42"/>
      <c r="KSL243" s="42"/>
      <c r="KSM243" s="42"/>
      <c r="KSN243" s="42"/>
      <c r="KSO243" s="42"/>
      <c r="KSP243" s="42"/>
      <c r="KSQ243" s="42"/>
      <c r="KSR243" s="42"/>
      <c r="KSS243" s="42"/>
      <c r="KST243" s="42"/>
      <c r="KSU243" s="42"/>
      <c r="KSV243" s="42"/>
      <c r="KSW243" s="42"/>
      <c r="KSX243" s="42"/>
      <c r="KSY243" s="42"/>
      <c r="KSZ243" s="42"/>
      <c r="KTA243" s="42"/>
      <c r="KTB243" s="42"/>
      <c r="KTC243" s="42"/>
      <c r="KTD243" s="42"/>
      <c r="KTE243" s="42"/>
      <c r="KTF243" s="42"/>
      <c r="KTG243" s="42"/>
      <c r="KTH243" s="42"/>
      <c r="KTI243" s="42"/>
      <c r="KTJ243" s="42"/>
      <c r="KTK243" s="42"/>
      <c r="KTL243" s="42"/>
      <c r="KTM243" s="42"/>
      <c r="KTN243" s="42"/>
      <c r="KTO243" s="42"/>
      <c r="KTP243" s="42"/>
      <c r="KTQ243" s="42"/>
      <c r="KTR243" s="42"/>
      <c r="KTS243" s="42"/>
      <c r="KTT243" s="42"/>
      <c r="KTU243" s="42"/>
      <c r="KTV243" s="42"/>
      <c r="KTW243" s="42"/>
      <c r="KTX243" s="42"/>
      <c r="KTY243" s="42"/>
      <c r="KTZ243" s="42"/>
      <c r="KUA243" s="42"/>
      <c r="KUB243" s="42"/>
      <c r="KUC243" s="42"/>
      <c r="KUD243" s="42"/>
      <c r="KUE243" s="42"/>
      <c r="KUF243" s="42"/>
      <c r="KUG243" s="42"/>
      <c r="KUH243" s="42"/>
      <c r="KUI243" s="42"/>
      <c r="KUJ243" s="42"/>
      <c r="KUK243" s="42"/>
      <c r="KUL243" s="42"/>
      <c r="KUM243" s="42"/>
      <c r="KUN243" s="42"/>
      <c r="KUO243" s="42"/>
      <c r="KUP243" s="42"/>
      <c r="KUQ243" s="42"/>
      <c r="KUR243" s="42"/>
      <c r="KUS243" s="42"/>
      <c r="KUT243" s="42"/>
      <c r="KUU243" s="42"/>
      <c r="KUV243" s="42"/>
      <c r="KUW243" s="42"/>
      <c r="KUX243" s="42"/>
      <c r="KUY243" s="42"/>
      <c r="KUZ243" s="42"/>
      <c r="KVA243" s="42"/>
      <c r="KVB243" s="42"/>
      <c r="KVC243" s="42"/>
      <c r="KVD243" s="42"/>
      <c r="KVE243" s="42"/>
      <c r="KVF243" s="42"/>
      <c r="KVG243" s="42"/>
      <c r="KVH243" s="42"/>
      <c r="KVI243" s="42"/>
      <c r="KVJ243" s="42"/>
      <c r="KVK243" s="42"/>
      <c r="KVL243" s="42"/>
      <c r="KVM243" s="42"/>
      <c r="KVN243" s="42"/>
      <c r="KVO243" s="42"/>
      <c r="KVP243" s="42"/>
      <c r="KVQ243" s="42"/>
      <c r="KVR243" s="42"/>
      <c r="KVS243" s="42"/>
      <c r="KVT243" s="42"/>
      <c r="KVU243" s="42"/>
      <c r="KVV243" s="42"/>
      <c r="KVW243" s="42"/>
      <c r="KVX243" s="42"/>
      <c r="KVY243" s="42"/>
      <c r="KVZ243" s="42"/>
      <c r="KWA243" s="42"/>
      <c r="KWB243" s="42"/>
      <c r="KWC243" s="42"/>
      <c r="KWD243" s="42"/>
      <c r="KWE243" s="42"/>
      <c r="KWF243" s="42"/>
      <c r="KWG243" s="42"/>
      <c r="KWH243" s="42"/>
      <c r="KWI243" s="42"/>
      <c r="KWJ243" s="42"/>
      <c r="KWK243" s="42"/>
      <c r="KWL243" s="42"/>
      <c r="KWM243" s="42"/>
      <c r="KWN243" s="42"/>
      <c r="KWO243" s="42"/>
      <c r="KWP243" s="42"/>
      <c r="KWQ243" s="42"/>
      <c r="KWR243" s="42"/>
      <c r="KWS243" s="42"/>
      <c r="KWT243" s="42"/>
      <c r="KWU243" s="42"/>
      <c r="KWV243" s="42"/>
      <c r="KWW243" s="42"/>
      <c r="KWX243" s="42"/>
      <c r="KWY243" s="42"/>
      <c r="KWZ243" s="42"/>
      <c r="KXA243" s="42"/>
      <c r="KXB243" s="42"/>
      <c r="KXC243" s="42"/>
      <c r="KXD243" s="42"/>
      <c r="KXE243" s="42"/>
      <c r="KXF243" s="42"/>
      <c r="KXG243" s="42"/>
      <c r="KXH243" s="42"/>
      <c r="KXI243" s="42"/>
      <c r="KXJ243" s="42"/>
      <c r="KXK243" s="42"/>
      <c r="KXL243" s="42"/>
      <c r="KXM243" s="42"/>
      <c r="KXN243" s="42"/>
      <c r="KXO243" s="42"/>
      <c r="KXP243" s="42"/>
      <c r="KXQ243" s="42"/>
      <c r="KXR243" s="42"/>
      <c r="KXS243" s="42"/>
      <c r="KXT243" s="42"/>
      <c r="KXU243" s="42"/>
      <c r="KXV243" s="42"/>
      <c r="KXW243" s="42"/>
      <c r="KXX243" s="42"/>
      <c r="KXY243" s="42"/>
      <c r="KXZ243" s="42"/>
      <c r="KYA243" s="42"/>
      <c r="KYB243" s="42"/>
      <c r="KYC243" s="42"/>
      <c r="KYD243" s="42"/>
      <c r="KYE243" s="42"/>
      <c r="KYF243" s="42"/>
      <c r="KYG243" s="42"/>
      <c r="KYH243" s="42"/>
      <c r="KYI243" s="42"/>
      <c r="KYJ243" s="42"/>
      <c r="KYK243" s="42"/>
      <c r="KYL243" s="42"/>
      <c r="KYM243" s="42"/>
      <c r="KYN243" s="42"/>
      <c r="KYO243" s="42"/>
      <c r="KYP243" s="42"/>
      <c r="KYQ243" s="42"/>
      <c r="KYR243" s="42"/>
      <c r="KYS243" s="42"/>
      <c r="KYT243" s="42"/>
      <c r="KYU243" s="42"/>
      <c r="KYV243" s="42"/>
      <c r="KYW243" s="42"/>
      <c r="KYX243" s="42"/>
      <c r="KYY243" s="42"/>
      <c r="KYZ243" s="42"/>
      <c r="KZA243" s="42"/>
      <c r="KZB243" s="42"/>
      <c r="KZC243" s="42"/>
      <c r="KZD243" s="42"/>
      <c r="KZE243" s="42"/>
      <c r="KZF243" s="42"/>
      <c r="KZG243" s="42"/>
      <c r="KZH243" s="42"/>
      <c r="KZI243" s="42"/>
      <c r="KZJ243" s="42"/>
      <c r="KZK243" s="42"/>
      <c r="KZL243" s="42"/>
      <c r="KZM243" s="42"/>
      <c r="KZN243" s="42"/>
      <c r="KZO243" s="42"/>
      <c r="KZP243" s="42"/>
      <c r="KZQ243" s="42"/>
      <c r="KZR243" s="42"/>
      <c r="KZS243" s="42"/>
      <c r="KZT243" s="42"/>
      <c r="KZU243" s="42"/>
      <c r="KZV243" s="42"/>
      <c r="KZW243" s="42"/>
      <c r="KZX243" s="42"/>
      <c r="KZY243" s="42"/>
      <c r="KZZ243" s="42"/>
      <c r="LAA243" s="42"/>
      <c r="LAB243" s="42"/>
      <c r="LAC243" s="42"/>
      <c r="LAD243" s="42"/>
      <c r="LAE243" s="42"/>
      <c r="LAF243" s="42"/>
      <c r="LAG243" s="42"/>
      <c r="LAH243" s="42"/>
      <c r="LAI243" s="42"/>
      <c r="LAJ243" s="42"/>
      <c r="LAK243" s="42"/>
      <c r="LAL243" s="42"/>
      <c r="LAM243" s="42"/>
      <c r="LAN243" s="42"/>
      <c r="LAO243" s="42"/>
      <c r="LAP243" s="42"/>
      <c r="LAQ243" s="42"/>
      <c r="LAR243" s="42"/>
      <c r="LAS243" s="42"/>
      <c r="LAT243" s="42"/>
      <c r="LAU243" s="42"/>
      <c r="LAV243" s="42"/>
      <c r="LAW243" s="42"/>
      <c r="LAX243" s="42"/>
      <c r="LAY243" s="42"/>
      <c r="LAZ243" s="42"/>
      <c r="LBA243" s="42"/>
      <c r="LBB243" s="42"/>
      <c r="LBC243" s="42"/>
      <c r="LBD243" s="42"/>
      <c r="LBE243" s="42"/>
      <c r="LBF243" s="42"/>
      <c r="LBG243" s="42"/>
      <c r="LBH243" s="42"/>
      <c r="LBI243" s="42"/>
      <c r="LBJ243" s="42"/>
      <c r="LBK243" s="42"/>
      <c r="LBL243" s="42"/>
      <c r="LBM243" s="42"/>
      <c r="LBN243" s="42"/>
      <c r="LBO243" s="42"/>
      <c r="LBP243" s="42"/>
      <c r="LBQ243" s="42"/>
      <c r="LBR243" s="42"/>
      <c r="LBS243" s="42"/>
      <c r="LBT243" s="42"/>
      <c r="LBU243" s="42"/>
      <c r="LBV243" s="42"/>
      <c r="LBW243" s="42"/>
      <c r="LBX243" s="42"/>
      <c r="LBY243" s="42"/>
      <c r="LBZ243" s="42"/>
      <c r="LCA243" s="42"/>
      <c r="LCB243" s="42"/>
      <c r="LCC243" s="42"/>
      <c r="LCD243" s="42"/>
      <c r="LCE243" s="42"/>
      <c r="LCF243" s="42"/>
      <c r="LCG243" s="42"/>
      <c r="LCH243" s="42"/>
      <c r="LCI243" s="42"/>
      <c r="LCJ243" s="42"/>
      <c r="LCK243" s="42"/>
      <c r="LCL243" s="42"/>
      <c r="LCM243" s="42"/>
      <c r="LCN243" s="42"/>
      <c r="LCO243" s="42"/>
      <c r="LCP243" s="42"/>
      <c r="LCQ243" s="42"/>
      <c r="LCR243" s="42"/>
      <c r="LCS243" s="42"/>
      <c r="LCT243" s="42"/>
      <c r="LCU243" s="42"/>
      <c r="LCV243" s="42"/>
      <c r="LCW243" s="42"/>
      <c r="LCX243" s="42"/>
      <c r="LCY243" s="42"/>
      <c r="LCZ243" s="42"/>
      <c r="LDA243" s="42"/>
      <c r="LDB243" s="42"/>
      <c r="LDC243" s="42"/>
      <c r="LDD243" s="42"/>
      <c r="LDE243" s="42"/>
      <c r="LDF243" s="42"/>
      <c r="LDG243" s="42"/>
      <c r="LDH243" s="42"/>
      <c r="LDI243" s="42"/>
      <c r="LDJ243" s="42"/>
      <c r="LDK243" s="42"/>
      <c r="LDL243" s="42"/>
      <c r="LDM243" s="42"/>
      <c r="LDN243" s="42"/>
      <c r="LDO243" s="42"/>
      <c r="LDP243" s="42"/>
      <c r="LDQ243" s="42"/>
      <c r="LDR243" s="42"/>
      <c r="LDS243" s="42"/>
      <c r="LDT243" s="42"/>
      <c r="LDU243" s="42"/>
      <c r="LDV243" s="42"/>
      <c r="LDW243" s="42"/>
      <c r="LDX243" s="42"/>
      <c r="LDY243" s="42"/>
      <c r="LDZ243" s="42"/>
      <c r="LEA243" s="42"/>
      <c r="LEB243" s="42"/>
      <c r="LEC243" s="42"/>
      <c r="LED243" s="42"/>
      <c r="LEE243" s="42"/>
      <c r="LEF243" s="42"/>
      <c r="LEG243" s="42"/>
      <c r="LEH243" s="42"/>
      <c r="LEI243" s="42"/>
      <c r="LEJ243" s="42"/>
      <c r="LEK243" s="42"/>
      <c r="LEL243" s="42"/>
      <c r="LEM243" s="42"/>
      <c r="LEN243" s="42"/>
      <c r="LEO243" s="42"/>
      <c r="LEP243" s="42"/>
      <c r="LEQ243" s="42"/>
      <c r="LER243" s="42"/>
      <c r="LES243" s="42"/>
      <c r="LET243" s="42"/>
      <c r="LEU243" s="42"/>
      <c r="LEV243" s="42"/>
      <c r="LEW243" s="42"/>
      <c r="LEX243" s="42"/>
      <c r="LEY243" s="42"/>
      <c r="LEZ243" s="42"/>
      <c r="LFA243" s="42"/>
      <c r="LFB243" s="42"/>
      <c r="LFC243" s="42"/>
      <c r="LFD243" s="42"/>
      <c r="LFE243" s="42"/>
      <c r="LFF243" s="42"/>
      <c r="LFG243" s="42"/>
      <c r="LFH243" s="42"/>
      <c r="LFI243" s="42"/>
      <c r="LFJ243" s="42"/>
      <c r="LFK243" s="42"/>
      <c r="LFL243" s="42"/>
      <c r="LFM243" s="42"/>
      <c r="LFN243" s="42"/>
      <c r="LFO243" s="42"/>
      <c r="LFP243" s="42"/>
      <c r="LFQ243" s="42"/>
      <c r="LFR243" s="42"/>
      <c r="LFS243" s="42"/>
      <c r="LFT243" s="42"/>
      <c r="LFU243" s="42"/>
      <c r="LFV243" s="42"/>
      <c r="LFW243" s="42"/>
      <c r="LFX243" s="42"/>
      <c r="LFY243" s="42"/>
      <c r="LFZ243" s="42"/>
      <c r="LGA243" s="42"/>
      <c r="LGB243" s="42"/>
      <c r="LGC243" s="42"/>
      <c r="LGD243" s="42"/>
      <c r="LGE243" s="42"/>
      <c r="LGF243" s="42"/>
      <c r="LGG243" s="42"/>
      <c r="LGH243" s="42"/>
      <c r="LGI243" s="42"/>
      <c r="LGJ243" s="42"/>
      <c r="LGK243" s="42"/>
      <c r="LGL243" s="42"/>
      <c r="LGM243" s="42"/>
      <c r="LGN243" s="42"/>
      <c r="LGO243" s="42"/>
      <c r="LGP243" s="42"/>
      <c r="LGQ243" s="42"/>
      <c r="LGR243" s="42"/>
      <c r="LGS243" s="42"/>
      <c r="LGT243" s="42"/>
      <c r="LGU243" s="42"/>
      <c r="LGV243" s="42"/>
      <c r="LGW243" s="42"/>
      <c r="LGX243" s="42"/>
      <c r="LGY243" s="42"/>
      <c r="LGZ243" s="42"/>
      <c r="LHA243" s="42"/>
      <c r="LHB243" s="42"/>
      <c r="LHC243" s="42"/>
      <c r="LHD243" s="42"/>
      <c r="LHE243" s="42"/>
      <c r="LHF243" s="42"/>
      <c r="LHG243" s="42"/>
      <c r="LHH243" s="42"/>
      <c r="LHI243" s="42"/>
      <c r="LHJ243" s="42"/>
      <c r="LHK243" s="42"/>
      <c r="LHL243" s="42"/>
      <c r="LHM243" s="42"/>
      <c r="LHN243" s="42"/>
      <c r="LHO243" s="42"/>
      <c r="LHP243" s="42"/>
      <c r="LHQ243" s="42"/>
      <c r="LHR243" s="42"/>
      <c r="LHS243" s="42"/>
      <c r="LHT243" s="42"/>
      <c r="LHU243" s="42"/>
      <c r="LHV243" s="42"/>
      <c r="LHW243" s="42"/>
      <c r="LHX243" s="42"/>
      <c r="LHY243" s="42"/>
      <c r="LHZ243" s="42"/>
      <c r="LIA243" s="42"/>
      <c r="LIB243" s="42"/>
      <c r="LIC243" s="42"/>
      <c r="LID243" s="42"/>
      <c r="LIE243" s="42"/>
      <c r="LIF243" s="42"/>
      <c r="LIG243" s="42"/>
      <c r="LIH243" s="42"/>
      <c r="LII243" s="42"/>
      <c r="LIJ243" s="42"/>
      <c r="LIK243" s="42"/>
      <c r="LIL243" s="42"/>
      <c r="LIM243" s="42"/>
      <c r="LIN243" s="42"/>
      <c r="LIO243" s="42"/>
      <c r="LIP243" s="42"/>
      <c r="LIQ243" s="42"/>
      <c r="LIR243" s="42"/>
      <c r="LIS243" s="42"/>
      <c r="LIT243" s="42"/>
      <c r="LIU243" s="42"/>
      <c r="LIV243" s="42"/>
      <c r="LIW243" s="42"/>
      <c r="LIX243" s="42"/>
      <c r="LIY243" s="42"/>
      <c r="LIZ243" s="42"/>
      <c r="LJA243" s="42"/>
      <c r="LJB243" s="42"/>
      <c r="LJC243" s="42"/>
      <c r="LJD243" s="42"/>
      <c r="LJE243" s="42"/>
      <c r="LJF243" s="42"/>
      <c r="LJG243" s="42"/>
      <c r="LJH243" s="42"/>
      <c r="LJI243" s="42"/>
      <c r="LJJ243" s="42"/>
      <c r="LJK243" s="42"/>
      <c r="LJL243" s="42"/>
      <c r="LJM243" s="42"/>
      <c r="LJN243" s="42"/>
      <c r="LJO243" s="42"/>
      <c r="LJP243" s="42"/>
      <c r="LJQ243" s="42"/>
      <c r="LJR243" s="42"/>
      <c r="LJS243" s="42"/>
      <c r="LJT243" s="42"/>
      <c r="LJU243" s="42"/>
      <c r="LJV243" s="42"/>
      <c r="LJW243" s="42"/>
      <c r="LJX243" s="42"/>
      <c r="LJY243" s="42"/>
      <c r="LJZ243" s="42"/>
      <c r="LKA243" s="42"/>
      <c r="LKB243" s="42"/>
      <c r="LKC243" s="42"/>
      <c r="LKD243" s="42"/>
      <c r="LKE243" s="42"/>
      <c r="LKF243" s="42"/>
      <c r="LKG243" s="42"/>
      <c r="LKH243" s="42"/>
      <c r="LKI243" s="42"/>
      <c r="LKJ243" s="42"/>
      <c r="LKK243" s="42"/>
      <c r="LKL243" s="42"/>
      <c r="LKM243" s="42"/>
      <c r="LKN243" s="42"/>
      <c r="LKO243" s="42"/>
      <c r="LKP243" s="42"/>
      <c r="LKQ243" s="42"/>
      <c r="LKR243" s="42"/>
      <c r="LKS243" s="42"/>
      <c r="LKT243" s="42"/>
      <c r="LKU243" s="42"/>
      <c r="LKV243" s="42"/>
      <c r="LKW243" s="42"/>
      <c r="LKX243" s="42"/>
      <c r="LKY243" s="42"/>
      <c r="LKZ243" s="42"/>
      <c r="LLA243" s="42"/>
      <c r="LLB243" s="42"/>
      <c r="LLC243" s="42"/>
      <c r="LLD243" s="42"/>
      <c r="LLE243" s="42"/>
      <c r="LLF243" s="42"/>
      <c r="LLG243" s="42"/>
      <c r="LLH243" s="42"/>
      <c r="LLI243" s="42"/>
      <c r="LLJ243" s="42"/>
      <c r="LLK243" s="42"/>
      <c r="LLL243" s="42"/>
      <c r="LLM243" s="42"/>
      <c r="LLN243" s="42"/>
      <c r="LLO243" s="42"/>
      <c r="LLP243" s="42"/>
      <c r="LLQ243" s="42"/>
      <c r="LLR243" s="42"/>
      <c r="LLS243" s="42"/>
      <c r="LLT243" s="42"/>
      <c r="LLU243" s="42"/>
      <c r="LLV243" s="42"/>
      <c r="LLW243" s="42"/>
      <c r="LLX243" s="42"/>
      <c r="LLY243" s="42"/>
      <c r="LLZ243" s="42"/>
      <c r="LMA243" s="42"/>
      <c r="LMB243" s="42"/>
      <c r="LMC243" s="42"/>
      <c r="LMD243" s="42"/>
      <c r="LME243" s="42"/>
      <c r="LMF243" s="42"/>
      <c r="LMG243" s="42"/>
      <c r="LMH243" s="42"/>
      <c r="LMI243" s="42"/>
      <c r="LMJ243" s="42"/>
      <c r="LMK243" s="42"/>
      <c r="LML243" s="42"/>
      <c r="LMM243" s="42"/>
      <c r="LMN243" s="42"/>
      <c r="LMO243" s="42"/>
      <c r="LMP243" s="42"/>
      <c r="LMQ243" s="42"/>
      <c r="LMR243" s="42"/>
      <c r="LMS243" s="42"/>
      <c r="LMT243" s="42"/>
      <c r="LMU243" s="42"/>
      <c r="LMV243" s="42"/>
      <c r="LMW243" s="42"/>
      <c r="LMX243" s="42"/>
      <c r="LMY243" s="42"/>
      <c r="LMZ243" s="42"/>
      <c r="LNA243" s="42"/>
      <c r="LNB243" s="42"/>
      <c r="LNC243" s="42"/>
      <c r="LND243" s="42"/>
      <c r="LNE243" s="42"/>
      <c r="LNF243" s="42"/>
      <c r="LNG243" s="42"/>
      <c r="LNH243" s="42"/>
      <c r="LNI243" s="42"/>
      <c r="LNJ243" s="42"/>
      <c r="LNK243" s="42"/>
      <c r="LNL243" s="42"/>
      <c r="LNM243" s="42"/>
      <c r="LNN243" s="42"/>
      <c r="LNO243" s="42"/>
      <c r="LNP243" s="42"/>
      <c r="LNQ243" s="42"/>
      <c r="LNR243" s="42"/>
      <c r="LNS243" s="42"/>
      <c r="LNT243" s="42"/>
      <c r="LNU243" s="42"/>
      <c r="LNV243" s="42"/>
      <c r="LNW243" s="42"/>
      <c r="LNX243" s="42"/>
      <c r="LNY243" s="42"/>
      <c r="LNZ243" s="42"/>
      <c r="LOA243" s="42"/>
      <c r="LOB243" s="42"/>
      <c r="LOC243" s="42"/>
      <c r="LOD243" s="42"/>
      <c r="LOE243" s="42"/>
      <c r="LOF243" s="42"/>
      <c r="LOG243" s="42"/>
      <c r="LOH243" s="42"/>
      <c r="LOI243" s="42"/>
      <c r="LOJ243" s="42"/>
      <c r="LOK243" s="42"/>
      <c r="LOL243" s="42"/>
      <c r="LOM243" s="42"/>
      <c r="LON243" s="42"/>
      <c r="LOO243" s="42"/>
      <c r="LOP243" s="42"/>
      <c r="LOQ243" s="42"/>
      <c r="LOR243" s="42"/>
      <c r="LOS243" s="42"/>
      <c r="LOT243" s="42"/>
      <c r="LOU243" s="42"/>
      <c r="LOV243" s="42"/>
      <c r="LOW243" s="42"/>
      <c r="LOX243" s="42"/>
      <c r="LOY243" s="42"/>
      <c r="LOZ243" s="42"/>
      <c r="LPA243" s="42"/>
      <c r="LPB243" s="42"/>
      <c r="LPC243" s="42"/>
      <c r="LPD243" s="42"/>
      <c r="LPE243" s="42"/>
      <c r="LPF243" s="42"/>
      <c r="LPG243" s="42"/>
      <c r="LPH243" s="42"/>
      <c r="LPI243" s="42"/>
      <c r="LPJ243" s="42"/>
      <c r="LPK243" s="42"/>
      <c r="LPL243" s="42"/>
      <c r="LPM243" s="42"/>
      <c r="LPN243" s="42"/>
      <c r="LPO243" s="42"/>
      <c r="LPP243" s="42"/>
      <c r="LPQ243" s="42"/>
      <c r="LPR243" s="42"/>
      <c r="LPS243" s="42"/>
      <c r="LPT243" s="42"/>
      <c r="LPU243" s="42"/>
      <c r="LPV243" s="42"/>
      <c r="LPW243" s="42"/>
      <c r="LPX243" s="42"/>
      <c r="LPY243" s="42"/>
      <c r="LPZ243" s="42"/>
      <c r="LQA243" s="42"/>
      <c r="LQB243" s="42"/>
      <c r="LQC243" s="42"/>
      <c r="LQD243" s="42"/>
      <c r="LQE243" s="42"/>
      <c r="LQF243" s="42"/>
      <c r="LQG243" s="42"/>
      <c r="LQH243" s="42"/>
      <c r="LQI243" s="42"/>
      <c r="LQJ243" s="42"/>
      <c r="LQK243" s="42"/>
      <c r="LQL243" s="42"/>
      <c r="LQM243" s="42"/>
      <c r="LQN243" s="42"/>
      <c r="LQO243" s="42"/>
      <c r="LQP243" s="42"/>
      <c r="LQQ243" s="42"/>
      <c r="LQR243" s="42"/>
      <c r="LQS243" s="42"/>
      <c r="LQT243" s="42"/>
      <c r="LQU243" s="42"/>
      <c r="LQV243" s="42"/>
      <c r="LQW243" s="42"/>
      <c r="LQX243" s="42"/>
      <c r="LQY243" s="42"/>
      <c r="LQZ243" s="42"/>
      <c r="LRA243" s="42"/>
      <c r="LRB243" s="42"/>
      <c r="LRC243" s="42"/>
      <c r="LRD243" s="42"/>
      <c r="LRE243" s="42"/>
      <c r="LRF243" s="42"/>
      <c r="LRG243" s="42"/>
      <c r="LRH243" s="42"/>
      <c r="LRI243" s="42"/>
      <c r="LRJ243" s="42"/>
      <c r="LRK243" s="42"/>
      <c r="LRL243" s="42"/>
      <c r="LRM243" s="42"/>
      <c r="LRN243" s="42"/>
      <c r="LRO243" s="42"/>
      <c r="LRP243" s="42"/>
      <c r="LRQ243" s="42"/>
      <c r="LRR243" s="42"/>
      <c r="LRS243" s="42"/>
      <c r="LRT243" s="42"/>
      <c r="LRU243" s="42"/>
      <c r="LRV243" s="42"/>
      <c r="LRW243" s="42"/>
      <c r="LRX243" s="42"/>
      <c r="LRY243" s="42"/>
      <c r="LRZ243" s="42"/>
      <c r="LSA243" s="42"/>
      <c r="LSB243" s="42"/>
      <c r="LSC243" s="42"/>
      <c r="LSD243" s="42"/>
      <c r="LSE243" s="42"/>
      <c r="LSF243" s="42"/>
      <c r="LSG243" s="42"/>
      <c r="LSH243" s="42"/>
      <c r="LSI243" s="42"/>
      <c r="LSJ243" s="42"/>
      <c r="LSK243" s="42"/>
      <c r="LSL243" s="42"/>
      <c r="LSM243" s="42"/>
      <c r="LSN243" s="42"/>
      <c r="LSO243" s="42"/>
      <c r="LSP243" s="42"/>
      <c r="LSQ243" s="42"/>
      <c r="LSR243" s="42"/>
      <c r="LSS243" s="42"/>
      <c r="LST243" s="42"/>
      <c r="LSU243" s="42"/>
      <c r="LSV243" s="42"/>
      <c r="LSW243" s="42"/>
      <c r="LSX243" s="42"/>
      <c r="LSY243" s="42"/>
      <c r="LSZ243" s="42"/>
      <c r="LTA243" s="42"/>
      <c r="LTB243" s="42"/>
      <c r="LTC243" s="42"/>
      <c r="LTD243" s="42"/>
      <c r="LTE243" s="42"/>
      <c r="LTF243" s="42"/>
      <c r="LTG243" s="42"/>
      <c r="LTH243" s="42"/>
      <c r="LTI243" s="42"/>
      <c r="LTJ243" s="42"/>
      <c r="LTK243" s="42"/>
      <c r="LTL243" s="42"/>
      <c r="LTM243" s="42"/>
      <c r="LTN243" s="42"/>
      <c r="LTO243" s="42"/>
      <c r="LTP243" s="42"/>
      <c r="LTQ243" s="42"/>
      <c r="LTR243" s="42"/>
      <c r="LTS243" s="42"/>
      <c r="LTT243" s="42"/>
      <c r="LTU243" s="42"/>
      <c r="LTV243" s="42"/>
      <c r="LTW243" s="42"/>
      <c r="LTX243" s="42"/>
      <c r="LTY243" s="42"/>
      <c r="LTZ243" s="42"/>
      <c r="LUA243" s="42"/>
      <c r="LUB243" s="42"/>
      <c r="LUC243" s="42"/>
      <c r="LUD243" s="42"/>
      <c r="LUE243" s="42"/>
      <c r="LUF243" s="42"/>
      <c r="LUG243" s="42"/>
      <c r="LUH243" s="42"/>
      <c r="LUI243" s="42"/>
      <c r="LUJ243" s="42"/>
      <c r="LUK243" s="42"/>
      <c r="LUL243" s="42"/>
      <c r="LUM243" s="42"/>
      <c r="LUN243" s="42"/>
      <c r="LUO243" s="42"/>
      <c r="LUP243" s="42"/>
      <c r="LUQ243" s="42"/>
      <c r="LUR243" s="42"/>
      <c r="LUS243" s="42"/>
      <c r="LUT243" s="42"/>
      <c r="LUU243" s="42"/>
      <c r="LUV243" s="42"/>
      <c r="LUW243" s="42"/>
      <c r="LUX243" s="42"/>
      <c r="LUY243" s="42"/>
      <c r="LUZ243" s="42"/>
      <c r="LVA243" s="42"/>
      <c r="LVB243" s="42"/>
      <c r="LVC243" s="42"/>
      <c r="LVD243" s="42"/>
      <c r="LVE243" s="42"/>
      <c r="LVF243" s="42"/>
      <c r="LVG243" s="42"/>
      <c r="LVH243" s="42"/>
      <c r="LVI243" s="42"/>
      <c r="LVJ243" s="42"/>
      <c r="LVK243" s="42"/>
      <c r="LVL243" s="42"/>
      <c r="LVM243" s="42"/>
      <c r="LVN243" s="42"/>
      <c r="LVO243" s="42"/>
      <c r="LVP243" s="42"/>
      <c r="LVQ243" s="42"/>
      <c r="LVR243" s="42"/>
      <c r="LVS243" s="42"/>
      <c r="LVT243" s="42"/>
      <c r="LVU243" s="42"/>
      <c r="LVV243" s="42"/>
      <c r="LVW243" s="42"/>
      <c r="LVX243" s="42"/>
      <c r="LVY243" s="42"/>
      <c r="LVZ243" s="42"/>
      <c r="LWA243" s="42"/>
      <c r="LWB243" s="42"/>
      <c r="LWC243" s="42"/>
      <c r="LWD243" s="42"/>
      <c r="LWE243" s="42"/>
      <c r="LWF243" s="42"/>
      <c r="LWG243" s="42"/>
      <c r="LWH243" s="42"/>
      <c r="LWI243" s="42"/>
      <c r="LWJ243" s="42"/>
      <c r="LWK243" s="42"/>
      <c r="LWL243" s="42"/>
      <c r="LWM243" s="42"/>
      <c r="LWN243" s="42"/>
      <c r="LWO243" s="42"/>
      <c r="LWP243" s="42"/>
      <c r="LWQ243" s="42"/>
      <c r="LWR243" s="42"/>
      <c r="LWS243" s="42"/>
      <c r="LWT243" s="42"/>
      <c r="LWU243" s="42"/>
      <c r="LWV243" s="42"/>
      <c r="LWW243" s="42"/>
      <c r="LWX243" s="42"/>
      <c r="LWY243" s="42"/>
      <c r="LWZ243" s="42"/>
      <c r="LXA243" s="42"/>
      <c r="LXB243" s="42"/>
      <c r="LXC243" s="42"/>
      <c r="LXD243" s="42"/>
      <c r="LXE243" s="42"/>
      <c r="LXF243" s="42"/>
      <c r="LXG243" s="42"/>
      <c r="LXH243" s="42"/>
      <c r="LXI243" s="42"/>
      <c r="LXJ243" s="42"/>
      <c r="LXK243" s="42"/>
      <c r="LXL243" s="42"/>
      <c r="LXM243" s="42"/>
      <c r="LXN243" s="42"/>
      <c r="LXO243" s="42"/>
      <c r="LXP243" s="42"/>
      <c r="LXQ243" s="42"/>
      <c r="LXR243" s="42"/>
      <c r="LXS243" s="42"/>
      <c r="LXT243" s="42"/>
      <c r="LXU243" s="42"/>
      <c r="LXV243" s="42"/>
      <c r="LXW243" s="42"/>
      <c r="LXX243" s="42"/>
      <c r="LXY243" s="42"/>
      <c r="LXZ243" s="42"/>
      <c r="LYA243" s="42"/>
      <c r="LYB243" s="42"/>
      <c r="LYC243" s="42"/>
      <c r="LYD243" s="42"/>
      <c r="LYE243" s="42"/>
      <c r="LYF243" s="42"/>
      <c r="LYG243" s="42"/>
      <c r="LYH243" s="42"/>
      <c r="LYI243" s="42"/>
      <c r="LYJ243" s="42"/>
      <c r="LYK243" s="42"/>
      <c r="LYL243" s="42"/>
      <c r="LYM243" s="42"/>
      <c r="LYN243" s="42"/>
      <c r="LYO243" s="42"/>
      <c r="LYP243" s="42"/>
      <c r="LYQ243" s="42"/>
      <c r="LYR243" s="42"/>
      <c r="LYS243" s="42"/>
      <c r="LYT243" s="42"/>
      <c r="LYU243" s="42"/>
      <c r="LYV243" s="42"/>
      <c r="LYW243" s="42"/>
      <c r="LYX243" s="42"/>
      <c r="LYY243" s="42"/>
      <c r="LYZ243" s="42"/>
      <c r="LZA243" s="42"/>
      <c r="LZB243" s="42"/>
      <c r="LZC243" s="42"/>
      <c r="LZD243" s="42"/>
      <c r="LZE243" s="42"/>
      <c r="LZF243" s="42"/>
      <c r="LZG243" s="42"/>
      <c r="LZH243" s="42"/>
      <c r="LZI243" s="42"/>
      <c r="LZJ243" s="42"/>
      <c r="LZK243" s="42"/>
      <c r="LZL243" s="42"/>
      <c r="LZM243" s="42"/>
      <c r="LZN243" s="42"/>
      <c r="LZO243" s="42"/>
      <c r="LZP243" s="42"/>
      <c r="LZQ243" s="42"/>
      <c r="LZR243" s="42"/>
      <c r="LZS243" s="42"/>
      <c r="LZT243" s="42"/>
      <c r="LZU243" s="42"/>
      <c r="LZV243" s="42"/>
      <c r="LZW243" s="42"/>
      <c r="LZX243" s="42"/>
      <c r="LZY243" s="42"/>
      <c r="LZZ243" s="42"/>
      <c r="MAA243" s="42"/>
      <c r="MAB243" s="42"/>
      <c r="MAC243" s="42"/>
      <c r="MAD243" s="42"/>
      <c r="MAE243" s="42"/>
      <c r="MAF243" s="42"/>
      <c r="MAG243" s="42"/>
      <c r="MAH243" s="42"/>
      <c r="MAI243" s="42"/>
      <c r="MAJ243" s="42"/>
      <c r="MAK243" s="42"/>
      <c r="MAL243" s="42"/>
      <c r="MAM243" s="42"/>
      <c r="MAN243" s="42"/>
      <c r="MAO243" s="42"/>
      <c r="MAP243" s="42"/>
      <c r="MAQ243" s="42"/>
      <c r="MAR243" s="42"/>
      <c r="MAS243" s="42"/>
      <c r="MAT243" s="42"/>
      <c r="MAU243" s="42"/>
      <c r="MAV243" s="42"/>
      <c r="MAW243" s="42"/>
      <c r="MAX243" s="42"/>
      <c r="MAY243" s="42"/>
      <c r="MAZ243" s="42"/>
      <c r="MBA243" s="42"/>
      <c r="MBB243" s="42"/>
      <c r="MBC243" s="42"/>
      <c r="MBD243" s="42"/>
      <c r="MBE243" s="42"/>
      <c r="MBF243" s="42"/>
      <c r="MBG243" s="42"/>
      <c r="MBH243" s="42"/>
      <c r="MBI243" s="42"/>
      <c r="MBJ243" s="42"/>
      <c r="MBK243" s="42"/>
      <c r="MBL243" s="42"/>
      <c r="MBM243" s="42"/>
      <c r="MBN243" s="42"/>
      <c r="MBO243" s="42"/>
      <c r="MBP243" s="42"/>
      <c r="MBQ243" s="42"/>
      <c r="MBR243" s="42"/>
      <c r="MBS243" s="42"/>
      <c r="MBT243" s="42"/>
      <c r="MBU243" s="42"/>
      <c r="MBV243" s="42"/>
      <c r="MBW243" s="42"/>
      <c r="MBX243" s="42"/>
      <c r="MBY243" s="42"/>
      <c r="MBZ243" s="42"/>
      <c r="MCA243" s="42"/>
      <c r="MCB243" s="42"/>
      <c r="MCC243" s="42"/>
      <c r="MCD243" s="42"/>
      <c r="MCE243" s="42"/>
      <c r="MCF243" s="42"/>
      <c r="MCG243" s="42"/>
      <c r="MCH243" s="42"/>
      <c r="MCI243" s="42"/>
      <c r="MCJ243" s="42"/>
      <c r="MCK243" s="42"/>
      <c r="MCL243" s="42"/>
      <c r="MCM243" s="42"/>
      <c r="MCN243" s="42"/>
      <c r="MCO243" s="42"/>
      <c r="MCP243" s="42"/>
      <c r="MCQ243" s="42"/>
      <c r="MCR243" s="42"/>
      <c r="MCS243" s="42"/>
      <c r="MCT243" s="42"/>
      <c r="MCU243" s="42"/>
      <c r="MCV243" s="42"/>
      <c r="MCW243" s="42"/>
      <c r="MCX243" s="42"/>
      <c r="MCY243" s="42"/>
      <c r="MCZ243" s="42"/>
      <c r="MDA243" s="42"/>
      <c r="MDB243" s="42"/>
      <c r="MDC243" s="42"/>
      <c r="MDD243" s="42"/>
      <c r="MDE243" s="42"/>
      <c r="MDF243" s="42"/>
      <c r="MDG243" s="42"/>
      <c r="MDH243" s="42"/>
      <c r="MDI243" s="42"/>
      <c r="MDJ243" s="42"/>
      <c r="MDK243" s="42"/>
      <c r="MDL243" s="42"/>
      <c r="MDM243" s="42"/>
      <c r="MDN243" s="42"/>
      <c r="MDO243" s="42"/>
      <c r="MDP243" s="42"/>
      <c r="MDQ243" s="42"/>
      <c r="MDR243" s="42"/>
      <c r="MDS243" s="42"/>
      <c r="MDT243" s="42"/>
      <c r="MDU243" s="42"/>
      <c r="MDV243" s="42"/>
      <c r="MDW243" s="42"/>
      <c r="MDX243" s="42"/>
      <c r="MDY243" s="42"/>
      <c r="MDZ243" s="42"/>
      <c r="MEA243" s="42"/>
      <c r="MEB243" s="42"/>
      <c r="MEC243" s="42"/>
      <c r="MED243" s="42"/>
      <c r="MEE243" s="42"/>
      <c r="MEF243" s="42"/>
      <c r="MEG243" s="42"/>
      <c r="MEH243" s="42"/>
      <c r="MEI243" s="42"/>
      <c r="MEJ243" s="42"/>
      <c r="MEK243" s="42"/>
      <c r="MEL243" s="42"/>
      <c r="MEM243" s="42"/>
      <c r="MEN243" s="42"/>
      <c r="MEO243" s="42"/>
      <c r="MEP243" s="42"/>
      <c r="MEQ243" s="42"/>
      <c r="MER243" s="42"/>
      <c r="MES243" s="42"/>
      <c r="MET243" s="42"/>
      <c r="MEU243" s="42"/>
      <c r="MEV243" s="42"/>
      <c r="MEW243" s="42"/>
      <c r="MEX243" s="42"/>
      <c r="MEY243" s="42"/>
      <c r="MEZ243" s="42"/>
      <c r="MFA243" s="42"/>
      <c r="MFB243" s="42"/>
      <c r="MFC243" s="42"/>
      <c r="MFD243" s="42"/>
      <c r="MFE243" s="42"/>
      <c r="MFF243" s="42"/>
      <c r="MFG243" s="42"/>
      <c r="MFH243" s="42"/>
      <c r="MFI243" s="42"/>
      <c r="MFJ243" s="42"/>
      <c r="MFK243" s="42"/>
      <c r="MFL243" s="42"/>
      <c r="MFM243" s="42"/>
      <c r="MFN243" s="42"/>
      <c r="MFO243" s="42"/>
      <c r="MFP243" s="42"/>
      <c r="MFQ243" s="42"/>
      <c r="MFR243" s="42"/>
      <c r="MFS243" s="42"/>
      <c r="MFT243" s="42"/>
      <c r="MFU243" s="42"/>
      <c r="MFV243" s="42"/>
      <c r="MFW243" s="42"/>
      <c r="MFX243" s="42"/>
      <c r="MFY243" s="42"/>
      <c r="MFZ243" s="42"/>
      <c r="MGA243" s="42"/>
      <c r="MGB243" s="42"/>
      <c r="MGC243" s="42"/>
      <c r="MGD243" s="42"/>
      <c r="MGE243" s="42"/>
      <c r="MGF243" s="42"/>
      <c r="MGG243" s="42"/>
      <c r="MGH243" s="42"/>
      <c r="MGI243" s="42"/>
      <c r="MGJ243" s="42"/>
      <c r="MGK243" s="42"/>
      <c r="MGL243" s="42"/>
      <c r="MGM243" s="42"/>
      <c r="MGN243" s="42"/>
      <c r="MGO243" s="42"/>
      <c r="MGP243" s="42"/>
      <c r="MGQ243" s="42"/>
      <c r="MGR243" s="42"/>
      <c r="MGS243" s="42"/>
      <c r="MGT243" s="42"/>
      <c r="MGU243" s="42"/>
      <c r="MGV243" s="42"/>
      <c r="MGW243" s="42"/>
      <c r="MGX243" s="42"/>
      <c r="MGY243" s="42"/>
      <c r="MGZ243" s="42"/>
      <c r="MHA243" s="42"/>
      <c r="MHB243" s="42"/>
      <c r="MHC243" s="42"/>
      <c r="MHD243" s="42"/>
      <c r="MHE243" s="42"/>
      <c r="MHF243" s="42"/>
      <c r="MHG243" s="42"/>
      <c r="MHH243" s="42"/>
      <c r="MHI243" s="42"/>
      <c r="MHJ243" s="42"/>
      <c r="MHK243" s="42"/>
      <c r="MHL243" s="42"/>
      <c r="MHM243" s="42"/>
      <c r="MHN243" s="42"/>
      <c r="MHO243" s="42"/>
      <c r="MHP243" s="42"/>
      <c r="MHQ243" s="42"/>
      <c r="MHR243" s="42"/>
      <c r="MHS243" s="42"/>
      <c r="MHT243" s="42"/>
      <c r="MHU243" s="42"/>
      <c r="MHV243" s="42"/>
      <c r="MHW243" s="42"/>
      <c r="MHX243" s="42"/>
      <c r="MHY243" s="42"/>
      <c r="MHZ243" s="42"/>
      <c r="MIA243" s="42"/>
      <c r="MIB243" s="42"/>
      <c r="MIC243" s="42"/>
      <c r="MID243" s="42"/>
      <c r="MIE243" s="42"/>
      <c r="MIF243" s="42"/>
      <c r="MIG243" s="42"/>
      <c r="MIH243" s="42"/>
      <c r="MII243" s="42"/>
      <c r="MIJ243" s="42"/>
      <c r="MIK243" s="42"/>
      <c r="MIL243" s="42"/>
      <c r="MIM243" s="42"/>
      <c r="MIN243" s="42"/>
      <c r="MIO243" s="42"/>
      <c r="MIP243" s="42"/>
      <c r="MIQ243" s="42"/>
      <c r="MIR243" s="42"/>
      <c r="MIS243" s="42"/>
      <c r="MIT243" s="42"/>
      <c r="MIU243" s="42"/>
      <c r="MIV243" s="42"/>
      <c r="MIW243" s="42"/>
      <c r="MIX243" s="42"/>
      <c r="MIY243" s="42"/>
      <c r="MIZ243" s="42"/>
      <c r="MJA243" s="42"/>
      <c r="MJB243" s="42"/>
      <c r="MJC243" s="42"/>
      <c r="MJD243" s="42"/>
      <c r="MJE243" s="42"/>
      <c r="MJF243" s="42"/>
      <c r="MJG243" s="42"/>
      <c r="MJH243" s="42"/>
      <c r="MJI243" s="42"/>
      <c r="MJJ243" s="42"/>
      <c r="MJK243" s="42"/>
      <c r="MJL243" s="42"/>
      <c r="MJM243" s="42"/>
      <c r="MJN243" s="42"/>
      <c r="MJO243" s="42"/>
      <c r="MJP243" s="42"/>
      <c r="MJQ243" s="42"/>
      <c r="MJR243" s="42"/>
      <c r="MJS243" s="42"/>
      <c r="MJT243" s="42"/>
      <c r="MJU243" s="42"/>
      <c r="MJV243" s="42"/>
      <c r="MJW243" s="42"/>
      <c r="MJX243" s="42"/>
      <c r="MJY243" s="42"/>
      <c r="MJZ243" s="42"/>
      <c r="MKA243" s="42"/>
      <c r="MKB243" s="42"/>
      <c r="MKC243" s="42"/>
      <c r="MKD243" s="42"/>
      <c r="MKE243" s="42"/>
      <c r="MKF243" s="42"/>
      <c r="MKG243" s="42"/>
      <c r="MKH243" s="42"/>
      <c r="MKI243" s="42"/>
      <c r="MKJ243" s="42"/>
      <c r="MKK243" s="42"/>
      <c r="MKL243" s="42"/>
      <c r="MKM243" s="42"/>
      <c r="MKN243" s="42"/>
      <c r="MKO243" s="42"/>
      <c r="MKP243" s="42"/>
      <c r="MKQ243" s="42"/>
      <c r="MKR243" s="42"/>
      <c r="MKS243" s="42"/>
      <c r="MKT243" s="42"/>
      <c r="MKU243" s="42"/>
      <c r="MKV243" s="42"/>
      <c r="MKW243" s="42"/>
      <c r="MKX243" s="42"/>
      <c r="MKY243" s="42"/>
      <c r="MKZ243" s="42"/>
      <c r="MLA243" s="42"/>
      <c r="MLB243" s="42"/>
      <c r="MLC243" s="42"/>
      <c r="MLD243" s="42"/>
      <c r="MLE243" s="42"/>
      <c r="MLF243" s="42"/>
      <c r="MLG243" s="42"/>
      <c r="MLH243" s="42"/>
      <c r="MLI243" s="42"/>
      <c r="MLJ243" s="42"/>
      <c r="MLK243" s="42"/>
      <c r="MLL243" s="42"/>
      <c r="MLM243" s="42"/>
      <c r="MLN243" s="42"/>
      <c r="MLO243" s="42"/>
      <c r="MLP243" s="42"/>
      <c r="MLQ243" s="42"/>
      <c r="MLR243" s="42"/>
      <c r="MLS243" s="42"/>
      <c r="MLT243" s="42"/>
      <c r="MLU243" s="42"/>
      <c r="MLV243" s="42"/>
      <c r="MLW243" s="42"/>
      <c r="MLX243" s="42"/>
      <c r="MLY243" s="42"/>
      <c r="MLZ243" s="42"/>
      <c r="MMA243" s="42"/>
      <c r="MMB243" s="42"/>
      <c r="MMC243" s="42"/>
      <c r="MMD243" s="42"/>
      <c r="MME243" s="42"/>
      <c r="MMF243" s="42"/>
      <c r="MMG243" s="42"/>
      <c r="MMH243" s="42"/>
      <c r="MMI243" s="42"/>
      <c r="MMJ243" s="42"/>
      <c r="MMK243" s="42"/>
      <c r="MML243" s="42"/>
      <c r="MMM243" s="42"/>
      <c r="MMN243" s="42"/>
      <c r="MMO243" s="42"/>
      <c r="MMP243" s="42"/>
      <c r="MMQ243" s="42"/>
      <c r="MMR243" s="42"/>
      <c r="MMS243" s="42"/>
      <c r="MMT243" s="42"/>
      <c r="MMU243" s="42"/>
      <c r="MMV243" s="42"/>
      <c r="MMW243" s="42"/>
      <c r="MMX243" s="42"/>
      <c r="MMY243" s="42"/>
      <c r="MMZ243" s="42"/>
      <c r="MNA243" s="42"/>
      <c r="MNB243" s="42"/>
      <c r="MNC243" s="42"/>
      <c r="MND243" s="42"/>
      <c r="MNE243" s="42"/>
      <c r="MNF243" s="42"/>
      <c r="MNG243" s="42"/>
      <c r="MNH243" s="42"/>
      <c r="MNI243" s="42"/>
      <c r="MNJ243" s="42"/>
      <c r="MNK243" s="42"/>
      <c r="MNL243" s="42"/>
      <c r="MNM243" s="42"/>
      <c r="MNN243" s="42"/>
      <c r="MNO243" s="42"/>
      <c r="MNP243" s="42"/>
      <c r="MNQ243" s="42"/>
      <c r="MNR243" s="42"/>
      <c r="MNS243" s="42"/>
      <c r="MNT243" s="42"/>
      <c r="MNU243" s="42"/>
      <c r="MNV243" s="42"/>
      <c r="MNW243" s="42"/>
      <c r="MNX243" s="42"/>
      <c r="MNY243" s="42"/>
      <c r="MNZ243" s="42"/>
      <c r="MOA243" s="42"/>
      <c r="MOB243" s="42"/>
      <c r="MOC243" s="42"/>
      <c r="MOD243" s="42"/>
      <c r="MOE243" s="42"/>
      <c r="MOF243" s="42"/>
      <c r="MOG243" s="42"/>
      <c r="MOH243" s="42"/>
      <c r="MOI243" s="42"/>
      <c r="MOJ243" s="42"/>
      <c r="MOK243" s="42"/>
      <c r="MOL243" s="42"/>
      <c r="MOM243" s="42"/>
      <c r="MON243" s="42"/>
      <c r="MOO243" s="42"/>
      <c r="MOP243" s="42"/>
      <c r="MOQ243" s="42"/>
      <c r="MOR243" s="42"/>
      <c r="MOS243" s="42"/>
      <c r="MOT243" s="42"/>
      <c r="MOU243" s="42"/>
      <c r="MOV243" s="42"/>
      <c r="MOW243" s="42"/>
      <c r="MOX243" s="42"/>
      <c r="MOY243" s="42"/>
      <c r="MOZ243" s="42"/>
      <c r="MPA243" s="42"/>
      <c r="MPB243" s="42"/>
      <c r="MPC243" s="42"/>
      <c r="MPD243" s="42"/>
      <c r="MPE243" s="42"/>
      <c r="MPF243" s="42"/>
      <c r="MPG243" s="42"/>
      <c r="MPH243" s="42"/>
      <c r="MPI243" s="42"/>
      <c r="MPJ243" s="42"/>
      <c r="MPK243" s="42"/>
      <c r="MPL243" s="42"/>
      <c r="MPM243" s="42"/>
      <c r="MPN243" s="42"/>
      <c r="MPO243" s="42"/>
      <c r="MPP243" s="42"/>
      <c r="MPQ243" s="42"/>
      <c r="MPR243" s="42"/>
      <c r="MPS243" s="42"/>
      <c r="MPT243" s="42"/>
      <c r="MPU243" s="42"/>
      <c r="MPV243" s="42"/>
      <c r="MPW243" s="42"/>
      <c r="MPX243" s="42"/>
      <c r="MPY243" s="42"/>
      <c r="MPZ243" s="42"/>
      <c r="MQA243" s="42"/>
      <c r="MQB243" s="42"/>
      <c r="MQC243" s="42"/>
      <c r="MQD243" s="42"/>
      <c r="MQE243" s="42"/>
      <c r="MQF243" s="42"/>
      <c r="MQG243" s="42"/>
      <c r="MQH243" s="42"/>
      <c r="MQI243" s="42"/>
      <c r="MQJ243" s="42"/>
      <c r="MQK243" s="42"/>
      <c r="MQL243" s="42"/>
      <c r="MQM243" s="42"/>
      <c r="MQN243" s="42"/>
      <c r="MQO243" s="42"/>
      <c r="MQP243" s="42"/>
      <c r="MQQ243" s="42"/>
      <c r="MQR243" s="42"/>
      <c r="MQS243" s="42"/>
      <c r="MQT243" s="42"/>
      <c r="MQU243" s="42"/>
      <c r="MQV243" s="42"/>
      <c r="MQW243" s="42"/>
      <c r="MQX243" s="42"/>
      <c r="MQY243" s="42"/>
      <c r="MQZ243" s="42"/>
      <c r="MRA243" s="42"/>
      <c r="MRB243" s="42"/>
      <c r="MRC243" s="42"/>
      <c r="MRD243" s="42"/>
      <c r="MRE243" s="42"/>
      <c r="MRF243" s="42"/>
      <c r="MRG243" s="42"/>
      <c r="MRH243" s="42"/>
      <c r="MRI243" s="42"/>
      <c r="MRJ243" s="42"/>
      <c r="MRK243" s="42"/>
      <c r="MRL243" s="42"/>
      <c r="MRM243" s="42"/>
      <c r="MRN243" s="42"/>
      <c r="MRO243" s="42"/>
      <c r="MRP243" s="42"/>
      <c r="MRQ243" s="42"/>
      <c r="MRR243" s="42"/>
      <c r="MRS243" s="42"/>
      <c r="MRT243" s="42"/>
      <c r="MRU243" s="42"/>
      <c r="MRV243" s="42"/>
      <c r="MRW243" s="42"/>
      <c r="MRX243" s="42"/>
      <c r="MRY243" s="42"/>
      <c r="MRZ243" s="42"/>
      <c r="MSA243" s="42"/>
      <c r="MSB243" s="42"/>
      <c r="MSC243" s="42"/>
      <c r="MSD243" s="42"/>
      <c r="MSE243" s="42"/>
      <c r="MSF243" s="42"/>
      <c r="MSG243" s="42"/>
      <c r="MSH243" s="42"/>
      <c r="MSI243" s="42"/>
      <c r="MSJ243" s="42"/>
      <c r="MSK243" s="42"/>
      <c r="MSL243" s="42"/>
      <c r="MSM243" s="42"/>
      <c r="MSN243" s="42"/>
      <c r="MSO243" s="42"/>
      <c r="MSP243" s="42"/>
      <c r="MSQ243" s="42"/>
      <c r="MSR243" s="42"/>
      <c r="MSS243" s="42"/>
      <c r="MST243" s="42"/>
      <c r="MSU243" s="42"/>
      <c r="MSV243" s="42"/>
      <c r="MSW243" s="42"/>
      <c r="MSX243" s="42"/>
      <c r="MSY243" s="42"/>
      <c r="MSZ243" s="42"/>
      <c r="MTA243" s="42"/>
      <c r="MTB243" s="42"/>
      <c r="MTC243" s="42"/>
      <c r="MTD243" s="42"/>
      <c r="MTE243" s="42"/>
      <c r="MTF243" s="42"/>
      <c r="MTG243" s="42"/>
      <c r="MTH243" s="42"/>
      <c r="MTI243" s="42"/>
      <c r="MTJ243" s="42"/>
      <c r="MTK243" s="42"/>
      <c r="MTL243" s="42"/>
      <c r="MTM243" s="42"/>
      <c r="MTN243" s="42"/>
      <c r="MTO243" s="42"/>
      <c r="MTP243" s="42"/>
      <c r="MTQ243" s="42"/>
      <c r="MTR243" s="42"/>
      <c r="MTS243" s="42"/>
      <c r="MTT243" s="42"/>
      <c r="MTU243" s="42"/>
      <c r="MTV243" s="42"/>
      <c r="MTW243" s="42"/>
      <c r="MTX243" s="42"/>
      <c r="MTY243" s="42"/>
      <c r="MTZ243" s="42"/>
      <c r="MUA243" s="42"/>
      <c r="MUB243" s="42"/>
      <c r="MUC243" s="42"/>
      <c r="MUD243" s="42"/>
      <c r="MUE243" s="42"/>
      <c r="MUF243" s="42"/>
      <c r="MUG243" s="42"/>
      <c r="MUH243" s="42"/>
      <c r="MUI243" s="42"/>
      <c r="MUJ243" s="42"/>
      <c r="MUK243" s="42"/>
      <c r="MUL243" s="42"/>
      <c r="MUM243" s="42"/>
      <c r="MUN243" s="42"/>
      <c r="MUO243" s="42"/>
      <c r="MUP243" s="42"/>
      <c r="MUQ243" s="42"/>
      <c r="MUR243" s="42"/>
      <c r="MUS243" s="42"/>
      <c r="MUT243" s="42"/>
      <c r="MUU243" s="42"/>
      <c r="MUV243" s="42"/>
      <c r="MUW243" s="42"/>
      <c r="MUX243" s="42"/>
      <c r="MUY243" s="42"/>
      <c r="MUZ243" s="42"/>
      <c r="MVA243" s="42"/>
      <c r="MVB243" s="42"/>
      <c r="MVC243" s="42"/>
      <c r="MVD243" s="42"/>
      <c r="MVE243" s="42"/>
      <c r="MVF243" s="42"/>
      <c r="MVG243" s="42"/>
      <c r="MVH243" s="42"/>
      <c r="MVI243" s="42"/>
      <c r="MVJ243" s="42"/>
      <c r="MVK243" s="42"/>
      <c r="MVL243" s="42"/>
      <c r="MVM243" s="42"/>
      <c r="MVN243" s="42"/>
      <c r="MVO243" s="42"/>
      <c r="MVP243" s="42"/>
      <c r="MVQ243" s="42"/>
      <c r="MVR243" s="42"/>
      <c r="MVS243" s="42"/>
      <c r="MVT243" s="42"/>
      <c r="MVU243" s="42"/>
      <c r="MVV243" s="42"/>
      <c r="MVW243" s="42"/>
      <c r="MVX243" s="42"/>
      <c r="MVY243" s="42"/>
      <c r="MVZ243" s="42"/>
      <c r="MWA243" s="42"/>
      <c r="MWB243" s="42"/>
      <c r="MWC243" s="42"/>
      <c r="MWD243" s="42"/>
      <c r="MWE243" s="42"/>
      <c r="MWF243" s="42"/>
      <c r="MWG243" s="42"/>
      <c r="MWH243" s="42"/>
      <c r="MWI243" s="42"/>
      <c r="MWJ243" s="42"/>
      <c r="MWK243" s="42"/>
      <c r="MWL243" s="42"/>
      <c r="MWM243" s="42"/>
      <c r="MWN243" s="42"/>
      <c r="MWO243" s="42"/>
      <c r="MWP243" s="42"/>
      <c r="MWQ243" s="42"/>
      <c r="MWR243" s="42"/>
      <c r="MWS243" s="42"/>
      <c r="MWT243" s="42"/>
      <c r="MWU243" s="42"/>
      <c r="MWV243" s="42"/>
      <c r="MWW243" s="42"/>
      <c r="MWX243" s="42"/>
      <c r="MWY243" s="42"/>
      <c r="MWZ243" s="42"/>
      <c r="MXA243" s="42"/>
      <c r="MXB243" s="42"/>
      <c r="MXC243" s="42"/>
      <c r="MXD243" s="42"/>
      <c r="MXE243" s="42"/>
      <c r="MXF243" s="42"/>
      <c r="MXG243" s="42"/>
      <c r="MXH243" s="42"/>
      <c r="MXI243" s="42"/>
      <c r="MXJ243" s="42"/>
      <c r="MXK243" s="42"/>
      <c r="MXL243" s="42"/>
      <c r="MXM243" s="42"/>
      <c r="MXN243" s="42"/>
      <c r="MXO243" s="42"/>
      <c r="MXP243" s="42"/>
      <c r="MXQ243" s="42"/>
      <c r="MXR243" s="42"/>
      <c r="MXS243" s="42"/>
      <c r="MXT243" s="42"/>
      <c r="MXU243" s="42"/>
      <c r="MXV243" s="42"/>
      <c r="MXW243" s="42"/>
      <c r="MXX243" s="42"/>
      <c r="MXY243" s="42"/>
      <c r="MXZ243" s="42"/>
      <c r="MYA243" s="42"/>
      <c r="MYB243" s="42"/>
      <c r="MYC243" s="42"/>
      <c r="MYD243" s="42"/>
      <c r="MYE243" s="42"/>
      <c r="MYF243" s="42"/>
      <c r="MYG243" s="42"/>
      <c r="MYH243" s="42"/>
      <c r="MYI243" s="42"/>
      <c r="MYJ243" s="42"/>
      <c r="MYK243" s="42"/>
      <c r="MYL243" s="42"/>
      <c r="MYM243" s="42"/>
      <c r="MYN243" s="42"/>
      <c r="MYO243" s="42"/>
      <c r="MYP243" s="42"/>
      <c r="MYQ243" s="42"/>
      <c r="MYR243" s="42"/>
      <c r="MYS243" s="42"/>
      <c r="MYT243" s="42"/>
      <c r="MYU243" s="42"/>
      <c r="MYV243" s="42"/>
      <c r="MYW243" s="42"/>
      <c r="MYX243" s="42"/>
      <c r="MYY243" s="42"/>
      <c r="MYZ243" s="42"/>
      <c r="MZA243" s="42"/>
      <c r="MZB243" s="42"/>
      <c r="MZC243" s="42"/>
      <c r="MZD243" s="42"/>
      <c r="MZE243" s="42"/>
      <c r="MZF243" s="42"/>
      <c r="MZG243" s="42"/>
      <c r="MZH243" s="42"/>
      <c r="MZI243" s="42"/>
      <c r="MZJ243" s="42"/>
      <c r="MZK243" s="42"/>
      <c r="MZL243" s="42"/>
      <c r="MZM243" s="42"/>
      <c r="MZN243" s="42"/>
      <c r="MZO243" s="42"/>
      <c r="MZP243" s="42"/>
      <c r="MZQ243" s="42"/>
      <c r="MZR243" s="42"/>
      <c r="MZS243" s="42"/>
      <c r="MZT243" s="42"/>
      <c r="MZU243" s="42"/>
      <c r="MZV243" s="42"/>
      <c r="MZW243" s="42"/>
      <c r="MZX243" s="42"/>
      <c r="MZY243" s="42"/>
      <c r="MZZ243" s="42"/>
      <c r="NAA243" s="42"/>
      <c r="NAB243" s="42"/>
      <c r="NAC243" s="42"/>
      <c r="NAD243" s="42"/>
      <c r="NAE243" s="42"/>
      <c r="NAF243" s="42"/>
      <c r="NAG243" s="42"/>
      <c r="NAH243" s="42"/>
      <c r="NAI243" s="42"/>
      <c r="NAJ243" s="42"/>
      <c r="NAK243" s="42"/>
      <c r="NAL243" s="42"/>
      <c r="NAM243" s="42"/>
      <c r="NAN243" s="42"/>
      <c r="NAO243" s="42"/>
      <c r="NAP243" s="42"/>
      <c r="NAQ243" s="42"/>
      <c r="NAR243" s="42"/>
      <c r="NAS243" s="42"/>
      <c r="NAT243" s="42"/>
      <c r="NAU243" s="42"/>
      <c r="NAV243" s="42"/>
      <c r="NAW243" s="42"/>
      <c r="NAX243" s="42"/>
      <c r="NAY243" s="42"/>
      <c r="NAZ243" s="42"/>
      <c r="NBA243" s="42"/>
      <c r="NBB243" s="42"/>
      <c r="NBC243" s="42"/>
      <c r="NBD243" s="42"/>
      <c r="NBE243" s="42"/>
      <c r="NBF243" s="42"/>
      <c r="NBG243" s="42"/>
      <c r="NBH243" s="42"/>
      <c r="NBI243" s="42"/>
      <c r="NBJ243" s="42"/>
      <c r="NBK243" s="42"/>
      <c r="NBL243" s="42"/>
      <c r="NBM243" s="42"/>
      <c r="NBN243" s="42"/>
      <c r="NBO243" s="42"/>
      <c r="NBP243" s="42"/>
      <c r="NBQ243" s="42"/>
      <c r="NBR243" s="42"/>
      <c r="NBS243" s="42"/>
      <c r="NBT243" s="42"/>
      <c r="NBU243" s="42"/>
      <c r="NBV243" s="42"/>
      <c r="NBW243" s="42"/>
      <c r="NBX243" s="42"/>
      <c r="NBY243" s="42"/>
      <c r="NBZ243" s="42"/>
      <c r="NCA243" s="42"/>
      <c r="NCB243" s="42"/>
      <c r="NCC243" s="42"/>
      <c r="NCD243" s="42"/>
      <c r="NCE243" s="42"/>
      <c r="NCF243" s="42"/>
      <c r="NCG243" s="42"/>
      <c r="NCH243" s="42"/>
      <c r="NCI243" s="42"/>
      <c r="NCJ243" s="42"/>
      <c r="NCK243" s="42"/>
      <c r="NCL243" s="42"/>
      <c r="NCM243" s="42"/>
      <c r="NCN243" s="42"/>
      <c r="NCO243" s="42"/>
      <c r="NCP243" s="42"/>
      <c r="NCQ243" s="42"/>
      <c r="NCR243" s="42"/>
      <c r="NCS243" s="42"/>
      <c r="NCT243" s="42"/>
      <c r="NCU243" s="42"/>
      <c r="NCV243" s="42"/>
      <c r="NCW243" s="42"/>
      <c r="NCX243" s="42"/>
      <c r="NCY243" s="42"/>
      <c r="NCZ243" s="42"/>
      <c r="NDA243" s="42"/>
      <c r="NDB243" s="42"/>
      <c r="NDC243" s="42"/>
      <c r="NDD243" s="42"/>
      <c r="NDE243" s="42"/>
      <c r="NDF243" s="42"/>
      <c r="NDG243" s="42"/>
      <c r="NDH243" s="42"/>
      <c r="NDI243" s="42"/>
      <c r="NDJ243" s="42"/>
      <c r="NDK243" s="42"/>
      <c r="NDL243" s="42"/>
      <c r="NDM243" s="42"/>
      <c r="NDN243" s="42"/>
      <c r="NDO243" s="42"/>
      <c r="NDP243" s="42"/>
      <c r="NDQ243" s="42"/>
      <c r="NDR243" s="42"/>
      <c r="NDS243" s="42"/>
      <c r="NDT243" s="42"/>
      <c r="NDU243" s="42"/>
      <c r="NDV243" s="42"/>
      <c r="NDW243" s="42"/>
      <c r="NDX243" s="42"/>
      <c r="NDY243" s="42"/>
      <c r="NDZ243" s="42"/>
      <c r="NEA243" s="42"/>
      <c r="NEB243" s="42"/>
      <c r="NEC243" s="42"/>
      <c r="NED243" s="42"/>
      <c r="NEE243" s="42"/>
      <c r="NEF243" s="42"/>
      <c r="NEG243" s="42"/>
      <c r="NEH243" s="42"/>
      <c r="NEI243" s="42"/>
      <c r="NEJ243" s="42"/>
      <c r="NEK243" s="42"/>
      <c r="NEL243" s="42"/>
      <c r="NEM243" s="42"/>
      <c r="NEN243" s="42"/>
      <c r="NEO243" s="42"/>
      <c r="NEP243" s="42"/>
      <c r="NEQ243" s="42"/>
      <c r="NER243" s="42"/>
      <c r="NES243" s="42"/>
      <c r="NET243" s="42"/>
      <c r="NEU243" s="42"/>
      <c r="NEV243" s="42"/>
      <c r="NEW243" s="42"/>
      <c r="NEX243" s="42"/>
      <c r="NEY243" s="42"/>
      <c r="NEZ243" s="42"/>
      <c r="NFA243" s="42"/>
      <c r="NFB243" s="42"/>
      <c r="NFC243" s="42"/>
      <c r="NFD243" s="42"/>
      <c r="NFE243" s="42"/>
      <c r="NFF243" s="42"/>
      <c r="NFG243" s="42"/>
      <c r="NFH243" s="42"/>
      <c r="NFI243" s="42"/>
      <c r="NFJ243" s="42"/>
      <c r="NFK243" s="42"/>
      <c r="NFL243" s="42"/>
      <c r="NFM243" s="42"/>
      <c r="NFN243" s="42"/>
      <c r="NFO243" s="42"/>
      <c r="NFP243" s="42"/>
      <c r="NFQ243" s="42"/>
      <c r="NFR243" s="42"/>
      <c r="NFS243" s="42"/>
      <c r="NFT243" s="42"/>
      <c r="NFU243" s="42"/>
      <c r="NFV243" s="42"/>
      <c r="NFW243" s="42"/>
      <c r="NFX243" s="42"/>
      <c r="NFY243" s="42"/>
      <c r="NFZ243" s="42"/>
      <c r="NGA243" s="42"/>
      <c r="NGB243" s="42"/>
      <c r="NGC243" s="42"/>
      <c r="NGD243" s="42"/>
      <c r="NGE243" s="42"/>
      <c r="NGF243" s="42"/>
      <c r="NGG243" s="42"/>
      <c r="NGH243" s="42"/>
      <c r="NGI243" s="42"/>
      <c r="NGJ243" s="42"/>
      <c r="NGK243" s="42"/>
      <c r="NGL243" s="42"/>
      <c r="NGM243" s="42"/>
      <c r="NGN243" s="42"/>
      <c r="NGO243" s="42"/>
      <c r="NGP243" s="42"/>
      <c r="NGQ243" s="42"/>
      <c r="NGR243" s="42"/>
      <c r="NGS243" s="42"/>
      <c r="NGT243" s="42"/>
      <c r="NGU243" s="42"/>
      <c r="NGV243" s="42"/>
      <c r="NGW243" s="42"/>
      <c r="NGX243" s="42"/>
      <c r="NGY243" s="42"/>
      <c r="NGZ243" s="42"/>
      <c r="NHA243" s="42"/>
      <c r="NHB243" s="42"/>
      <c r="NHC243" s="42"/>
      <c r="NHD243" s="42"/>
      <c r="NHE243" s="42"/>
      <c r="NHF243" s="42"/>
      <c r="NHG243" s="42"/>
      <c r="NHH243" s="42"/>
      <c r="NHI243" s="42"/>
      <c r="NHJ243" s="42"/>
      <c r="NHK243" s="42"/>
      <c r="NHL243" s="42"/>
      <c r="NHM243" s="42"/>
      <c r="NHN243" s="42"/>
      <c r="NHO243" s="42"/>
      <c r="NHP243" s="42"/>
      <c r="NHQ243" s="42"/>
      <c r="NHR243" s="42"/>
      <c r="NHS243" s="42"/>
      <c r="NHT243" s="42"/>
      <c r="NHU243" s="42"/>
      <c r="NHV243" s="42"/>
      <c r="NHW243" s="42"/>
      <c r="NHX243" s="42"/>
      <c r="NHY243" s="42"/>
      <c r="NHZ243" s="42"/>
      <c r="NIA243" s="42"/>
      <c r="NIB243" s="42"/>
      <c r="NIC243" s="42"/>
      <c r="NID243" s="42"/>
      <c r="NIE243" s="42"/>
      <c r="NIF243" s="42"/>
      <c r="NIG243" s="42"/>
      <c r="NIH243" s="42"/>
      <c r="NII243" s="42"/>
      <c r="NIJ243" s="42"/>
      <c r="NIK243" s="42"/>
      <c r="NIL243" s="42"/>
      <c r="NIM243" s="42"/>
      <c r="NIN243" s="42"/>
      <c r="NIO243" s="42"/>
      <c r="NIP243" s="42"/>
      <c r="NIQ243" s="42"/>
      <c r="NIR243" s="42"/>
      <c r="NIS243" s="42"/>
      <c r="NIT243" s="42"/>
      <c r="NIU243" s="42"/>
      <c r="NIV243" s="42"/>
      <c r="NIW243" s="42"/>
      <c r="NIX243" s="42"/>
      <c r="NIY243" s="42"/>
      <c r="NIZ243" s="42"/>
      <c r="NJA243" s="42"/>
      <c r="NJB243" s="42"/>
      <c r="NJC243" s="42"/>
      <c r="NJD243" s="42"/>
      <c r="NJE243" s="42"/>
      <c r="NJF243" s="42"/>
      <c r="NJG243" s="42"/>
      <c r="NJH243" s="42"/>
      <c r="NJI243" s="42"/>
      <c r="NJJ243" s="42"/>
      <c r="NJK243" s="42"/>
      <c r="NJL243" s="42"/>
      <c r="NJM243" s="42"/>
      <c r="NJN243" s="42"/>
      <c r="NJO243" s="42"/>
      <c r="NJP243" s="42"/>
      <c r="NJQ243" s="42"/>
      <c r="NJR243" s="42"/>
      <c r="NJS243" s="42"/>
      <c r="NJT243" s="42"/>
      <c r="NJU243" s="42"/>
      <c r="NJV243" s="42"/>
      <c r="NJW243" s="42"/>
      <c r="NJX243" s="42"/>
      <c r="NJY243" s="42"/>
      <c r="NJZ243" s="42"/>
      <c r="NKA243" s="42"/>
      <c r="NKB243" s="42"/>
      <c r="NKC243" s="42"/>
      <c r="NKD243" s="42"/>
      <c r="NKE243" s="42"/>
      <c r="NKF243" s="42"/>
      <c r="NKG243" s="42"/>
      <c r="NKH243" s="42"/>
      <c r="NKI243" s="42"/>
      <c r="NKJ243" s="42"/>
      <c r="NKK243" s="42"/>
      <c r="NKL243" s="42"/>
      <c r="NKM243" s="42"/>
      <c r="NKN243" s="42"/>
      <c r="NKO243" s="42"/>
      <c r="NKP243" s="42"/>
      <c r="NKQ243" s="42"/>
      <c r="NKR243" s="42"/>
      <c r="NKS243" s="42"/>
      <c r="NKT243" s="42"/>
      <c r="NKU243" s="42"/>
      <c r="NKV243" s="42"/>
      <c r="NKW243" s="42"/>
      <c r="NKX243" s="42"/>
      <c r="NKY243" s="42"/>
      <c r="NKZ243" s="42"/>
      <c r="NLA243" s="42"/>
      <c r="NLB243" s="42"/>
      <c r="NLC243" s="42"/>
      <c r="NLD243" s="42"/>
      <c r="NLE243" s="42"/>
      <c r="NLF243" s="42"/>
      <c r="NLG243" s="42"/>
      <c r="NLH243" s="42"/>
      <c r="NLI243" s="42"/>
      <c r="NLJ243" s="42"/>
      <c r="NLK243" s="42"/>
      <c r="NLL243" s="42"/>
      <c r="NLM243" s="42"/>
      <c r="NLN243" s="42"/>
      <c r="NLO243" s="42"/>
      <c r="NLP243" s="42"/>
      <c r="NLQ243" s="42"/>
      <c r="NLR243" s="42"/>
      <c r="NLS243" s="42"/>
      <c r="NLT243" s="42"/>
      <c r="NLU243" s="42"/>
      <c r="NLV243" s="42"/>
      <c r="NLW243" s="42"/>
      <c r="NLX243" s="42"/>
      <c r="NLY243" s="42"/>
      <c r="NLZ243" s="42"/>
      <c r="NMA243" s="42"/>
      <c r="NMB243" s="42"/>
      <c r="NMC243" s="42"/>
      <c r="NMD243" s="42"/>
      <c r="NME243" s="42"/>
      <c r="NMF243" s="42"/>
      <c r="NMG243" s="42"/>
      <c r="NMH243" s="42"/>
      <c r="NMI243" s="42"/>
      <c r="NMJ243" s="42"/>
      <c r="NMK243" s="42"/>
      <c r="NML243" s="42"/>
      <c r="NMM243" s="42"/>
      <c r="NMN243" s="42"/>
      <c r="NMO243" s="42"/>
      <c r="NMP243" s="42"/>
      <c r="NMQ243" s="42"/>
      <c r="NMR243" s="42"/>
      <c r="NMS243" s="42"/>
      <c r="NMT243" s="42"/>
      <c r="NMU243" s="42"/>
      <c r="NMV243" s="42"/>
      <c r="NMW243" s="42"/>
      <c r="NMX243" s="42"/>
      <c r="NMY243" s="42"/>
      <c r="NMZ243" s="42"/>
      <c r="NNA243" s="42"/>
      <c r="NNB243" s="42"/>
      <c r="NNC243" s="42"/>
      <c r="NND243" s="42"/>
      <c r="NNE243" s="42"/>
      <c r="NNF243" s="42"/>
      <c r="NNG243" s="42"/>
      <c r="NNH243" s="42"/>
      <c r="NNI243" s="42"/>
      <c r="NNJ243" s="42"/>
      <c r="NNK243" s="42"/>
      <c r="NNL243" s="42"/>
      <c r="NNM243" s="42"/>
      <c r="NNN243" s="42"/>
      <c r="NNO243" s="42"/>
      <c r="NNP243" s="42"/>
      <c r="NNQ243" s="42"/>
      <c r="NNR243" s="42"/>
      <c r="NNS243" s="42"/>
      <c r="NNT243" s="42"/>
      <c r="NNU243" s="42"/>
      <c r="NNV243" s="42"/>
      <c r="NNW243" s="42"/>
      <c r="NNX243" s="42"/>
      <c r="NNY243" s="42"/>
      <c r="NNZ243" s="42"/>
      <c r="NOA243" s="42"/>
      <c r="NOB243" s="42"/>
      <c r="NOC243" s="42"/>
      <c r="NOD243" s="42"/>
      <c r="NOE243" s="42"/>
      <c r="NOF243" s="42"/>
      <c r="NOG243" s="42"/>
      <c r="NOH243" s="42"/>
      <c r="NOI243" s="42"/>
      <c r="NOJ243" s="42"/>
      <c r="NOK243" s="42"/>
      <c r="NOL243" s="42"/>
      <c r="NOM243" s="42"/>
      <c r="NON243" s="42"/>
      <c r="NOO243" s="42"/>
      <c r="NOP243" s="42"/>
      <c r="NOQ243" s="42"/>
      <c r="NOR243" s="42"/>
      <c r="NOS243" s="42"/>
      <c r="NOT243" s="42"/>
      <c r="NOU243" s="42"/>
      <c r="NOV243" s="42"/>
      <c r="NOW243" s="42"/>
      <c r="NOX243" s="42"/>
      <c r="NOY243" s="42"/>
      <c r="NOZ243" s="42"/>
      <c r="NPA243" s="42"/>
      <c r="NPB243" s="42"/>
      <c r="NPC243" s="42"/>
      <c r="NPD243" s="42"/>
      <c r="NPE243" s="42"/>
      <c r="NPF243" s="42"/>
      <c r="NPG243" s="42"/>
      <c r="NPH243" s="42"/>
      <c r="NPI243" s="42"/>
      <c r="NPJ243" s="42"/>
      <c r="NPK243" s="42"/>
      <c r="NPL243" s="42"/>
      <c r="NPM243" s="42"/>
      <c r="NPN243" s="42"/>
      <c r="NPO243" s="42"/>
      <c r="NPP243" s="42"/>
      <c r="NPQ243" s="42"/>
      <c r="NPR243" s="42"/>
      <c r="NPS243" s="42"/>
      <c r="NPT243" s="42"/>
      <c r="NPU243" s="42"/>
      <c r="NPV243" s="42"/>
      <c r="NPW243" s="42"/>
      <c r="NPX243" s="42"/>
      <c r="NPY243" s="42"/>
      <c r="NPZ243" s="42"/>
      <c r="NQA243" s="42"/>
      <c r="NQB243" s="42"/>
      <c r="NQC243" s="42"/>
      <c r="NQD243" s="42"/>
      <c r="NQE243" s="42"/>
      <c r="NQF243" s="42"/>
      <c r="NQG243" s="42"/>
      <c r="NQH243" s="42"/>
      <c r="NQI243" s="42"/>
      <c r="NQJ243" s="42"/>
      <c r="NQK243" s="42"/>
      <c r="NQL243" s="42"/>
      <c r="NQM243" s="42"/>
      <c r="NQN243" s="42"/>
      <c r="NQO243" s="42"/>
      <c r="NQP243" s="42"/>
      <c r="NQQ243" s="42"/>
      <c r="NQR243" s="42"/>
      <c r="NQS243" s="42"/>
      <c r="NQT243" s="42"/>
      <c r="NQU243" s="42"/>
      <c r="NQV243" s="42"/>
      <c r="NQW243" s="42"/>
      <c r="NQX243" s="42"/>
      <c r="NQY243" s="42"/>
      <c r="NQZ243" s="42"/>
      <c r="NRA243" s="42"/>
      <c r="NRB243" s="42"/>
      <c r="NRC243" s="42"/>
      <c r="NRD243" s="42"/>
      <c r="NRE243" s="42"/>
      <c r="NRF243" s="42"/>
      <c r="NRG243" s="42"/>
      <c r="NRH243" s="42"/>
      <c r="NRI243" s="42"/>
      <c r="NRJ243" s="42"/>
      <c r="NRK243" s="42"/>
      <c r="NRL243" s="42"/>
      <c r="NRM243" s="42"/>
      <c r="NRN243" s="42"/>
      <c r="NRO243" s="42"/>
      <c r="NRP243" s="42"/>
      <c r="NRQ243" s="42"/>
      <c r="NRR243" s="42"/>
      <c r="NRS243" s="42"/>
      <c r="NRT243" s="42"/>
      <c r="NRU243" s="42"/>
      <c r="NRV243" s="42"/>
      <c r="NRW243" s="42"/>
      <c r="NRX243" s="42"/>
      <c r="NRY243" s="42"/>
      <c r="NRZ243" s="42"/>
      <c r="NSA243" s="42"/>
      <c r="NSB243" s="42"/>
      <c r="NSC243" s="42"/>
      <c r="NSD243" s="42"/>
      <c r="NSE243" s="42"/>
      <c r="NSF243" s="42"/>
      <c r="NSG243" s="42"/>
      <c r="NSH243" s="42"/>
      <c r="NSI243" s="42"/>
      <c r="NSJ243" s="42"/>
      <c r="NSK243" s="42"/>
      <c r="NSL243" s="42"/>
      <c r="NSM243" s="42"/>
      <c r="NSN243" s="42"/>
      <c r="NSO243" s="42"/>
      <c r="NSP243" s="42"/>
      <c r="NSQ243" s="42"/>
      <c r="NSR243" s="42"/>
      <c r="NSS243" s="42"/>
      <c r="NST243" s="42"/>
      <c r="NSU243" s="42"/>
      <c r="NSV243" s="42"/>
      <c r="NSW243" s="42"/>
      <c r="NSX243" s="42"/>
      <c r="NSY243" s="42"/>
      <c r="NSZ243" s="42"/>
      <c r="NTA243" s="42"/>
      <c r="NTB243" s="42"/>
      <c r="NTC243" s="42"/>
      <c r="NTD243" s="42"/>
      <c r="NTE243" s="42"/>
      <c r="NTF243" s="42"/>
      <c r="NTG243" s="42"/>
      <c r="NTH243" s="42"/>
      <c r="NTI243" s="42"/>
      <c r="NTJ243" s="42"/>
      <c r="NTK243" s="42"/>
      <c r="NTL243" s="42"/>
      <c r="NTM243" s="42"/>
      <c r="NTN243" s="42"/>
      <c r="NTO243" s="42"/>
      <c r="NTP243" s="42"/>
      <c r="NTQ243" s="42"/>
      <c r="NTR243" s="42"/>
      <c r="NTS243" s="42"/>
      <c r="NTT243" s="42"/>
      <c r="NTU243" s="42"/>
      <c r="NTV243" s="42"/>
      <c r="NTW243" s="42"/>
      <c r="NTX243" s="42"/>
      <c r="NTY243" s="42"/>
      <c r="NTZ243" s="42"/>
      <c r="NUA243" s="42"/>
      <c r="NUB243" s="42"/>
      <c r="NUC243" s="42"/>
      <c r="NUD243" s="42"/>
      <c r="NUE243" s="42"/>
      <c r="NUF243" s="42"/>
      <c r="NUG243" s="42"/>
      <c r="NUH243" s="42"/>
      <c r="NUI243" s="42"/>
      <c r="NUJ243" s="42"/>
      <c r="NUK243" s="42"/>
      <c r="NUL243" s="42"/>
      <c r="NUM243" s="42"/>
      <c r="NUN243" s="42"/>
      <c r="NUO243" s="42"/>
      <c r="NUP243" s="42"/>
      <c r="NUQ243" s="42"/>
      <c r="NUR243" s="42"/>
      <c r="NUS243" s="42"/>
      <c r="NUT243" s="42"/>
      <c r="NUU243" s="42"/>
      <c r="NUV243" s="42"/>
      <c r="NUW243" s="42"/>
      <c r="NUX243" s="42"/>
      <c r="NUY243" s="42"/>
      <c r="NUZ243" s="42"/>
      <c r="NVA243" s="42"/>
      <c r="NVB243" s="42"/>
      <c r="NVC243" s="42"/>
      <c r="NVD243" s="42"/>
      <c r="NVE243" s="42"/>
      <c r="NVF243" s="42"/>
      <c r="NVG243" s="42"/>
      <c r="NVH243" s="42"/>
      <c r="NVI243" s="42"/>
      <c r="NVJ243" s="42"/>
      <c r="NVK243" s="42"/>
      <c r="NVL243" s="42"/>
      <c r="NVM243" s="42"/>
      <c r="NVN243" s="42"/>
      <c r="NVO243" s="42"/>
      <c r="NVP243" s="42"/>
      <c r="NVQ243" s="42"/>
      <c r="NVR243" s="42"/>
      <c r="NVS243" s="42"/>
      <c r="NVT243" s="42"/>
      <c r="NVU243" s="42"/>
      <c r="NVV243" s="42"/>
      <c r="NVW243" s="42"/>
      <c r="NVX243" s="42"/>
      <c r="NVY243" s="42"/>
      <c r="NVZ243" s="42"/>
      <c r="NWA243" s="42"/>
      <c r="NWB243" s="42"/>
      <c r="NWC243" s="42"/>
      <c r="NWD243" s="42"/>
      <c r="NWE243" s="42"/>
      <c r="NWF243" s="42"/>
      <c r="NWG243" s="42"/>
      <c r="NWH243" s="42"/>
      <c r="NWI243" s="42"/>
      <c r="NWJ243" s="42"/>
      <c r="NWK243" s="42"/>
      <c r="NWL243" s="42"/>
      <c r="NWM243" s="42"/>
      <c r="NWN243" s="42"/>
      <c r="NWO243" s="42"/>
      <c r="NWP243" s="42"/>
      <c r="NWQ243" s="42"/>
      <c r="NWR243" s="42"/>
      <c r="NWS243" s="42"/>
      <c r="NWT243" s="42"/>
      <c r="NWU243" s="42"/>
      <c r="NWV243" s="42"/>
      <c r="NWW243" s="42"/>
      <c r="NWX243" s="42"/>
      <c r="NWY243" s="42"/>
      <c r="NWZ243" s="42"/>
      <c r="NXA243" s="42"/>
      <c r="NXB243" s="42"/>
      <c r="NXC243" s="42"/>
      <c r="NXD243" s="42"/>
      <c r="NXE243" s="42"/>
      <c r="NXF243" s="42"/>
      <c r="NXG243" s="42"/>
      <c r="NXH243" s="42"/>
      <c r="NXI243" s="42"/>
      <c r="NXJ243" s="42"/>
      <c r="NXK243" s="42"/>
      <c r="NXL243" s="42"/>
      <c r="NXM243" s="42"/>
      <c r="NXN243" s="42"/>
      <c r="NXO243" s="42"/>
      <c r="NXP243" s="42"/>
      <c r="NXQ243" s="42"/>
      <c r="NXR243" s="42"/>
      <c r="NXS243" s="42"/>
      <c r="NXT243" s="42"/>
      <c r="NXU243" s="42"/>
      <c r="NXV243" s="42"/>
      <c r="NXW243" s="42"/>
      <c r="NXX243" s="42"/>
      <c r="NXY243" s="42"/>
      <c r="NXZ243" s="42"/>
      <c r="NYA243" s="42"/>
      <c r="NYB243" s="42"/>
      <c r="NYC243" s="42"/>
      <c r="NYD243" s="42"/>
      <c r="NYE243" s="42"/>
      <c r="NYF243" s="42"/>
      <c r="NYG243" s="42"/>
      <c r="NYH243" s="42"/>
      <c r="NYI243" s="42"/>
      <c r="NYJ243" s="42"/>
      <c r="NYK243" s="42"/>
      <c r="NYL243" s="42"/>
      <c r="NYM243" s="42"/>
      <c r="NYN243" s="42"/>
      <c r="NYO243" s="42"/>
      <c r="NYP243" s="42"/>
      <c r="NYQ243" s="42"/>
      <c r="NYR243" s="42"/>
      <c r="NYS243" s="42"/>
      <c r="NYT243" s="42"/>
      <c r="NYU243" s="42"/>
      <c r="NYV243" s="42"/>
      <c r="NYW243" s="42"/>
      <c r="NYX243" s="42"/>
      <c r="NYY243" s="42"/>
      <c r="NYZ243" s="42"/>
      <c r="NZA243" s="42"/>
      <c r="NZB243" s="42"/>
      <c r="NZC243" s="42"/>
      <c r="NZD243" s="42"/>
      <c r="NZE243" s="42"/>
      <c r="NZF243" s="42"/>
      <c r="NZG243" s="42"/>
      <c r="NZH243" s="42"/>
      <c r="NZI243" s="42"/>
      <c r="NZJ243" s="42"/>
      <c r="NZK243" s="42"/>
      <c r="NZL243" s="42"/>
      <c r="NZM243" s="42"/>
      <c r="NZN243" s="42"/>
      <c r="NZO243" s="42"/>
      <c r="NZP243" s="42"/>
      <c r="NZQ243" s="42"/>
      <c r="NZR243" s="42"/>
      <c r="NZS243" s="42"/>
      <c r="NZT243" s="42"/>
      <c r="NZU243" s="42"/>
      <c r="NZV243" s="42"/>
      <c r="NZW243" s="42"/>
      <c r="NZX243" s="42"/>
      <c r="NZY243" s="42"/>
      <c r="NZZ243" s="42"/>
      <c r="OAA243" s="42"/>
      <c r="OAB243" s="42"/>
      <c r="OAC243" s="42"/>
      <c r="OAD243" s="42"/>
      <c r="OAE243" s="42"/>
      <c r="OAF243" s="42"/>
      <c r="OAG243" s="42"/>
      <c r="OAH243" s="42"/>
      <c r="OAI243" s="42"/>
      <c r="OAJ243" s="42"/>
      <c r="OAK243" s="42"/>
      <c r="OAL243" s="42"/>
      <c r="OAM243" s="42"/>
      <c r="OAN243" s="42"/>
      <c r="OAO243" s="42"/>
      <c r="OAP243" s="42"/>
      <c r="OAQ243" s="42"/>
      <c r="OAR243" s="42"/>
      <c r="OAS243" s="42"/>
      <c r="OAT243" s="42"/>
      <c r="OAU243" s="42"/>
      <c r="OAV243" s="42"/>
      <c r="OAW243" s="42"/>
      <c r="OAX243" s="42"/>
      <c r="OAY243" s="42"/>
      <c r="OAZ243" s="42"/>
      <c r="OBA243" s="42"/>
      <c r="OBB243" s="42"/>
      <c r="OBC243" s="42"/>
      <c r="OBD243" s="42"/>
      <c r="OBE243" s="42"/>
      <c r="OBF243" s="42"/>
      <c r="OBG243" s="42"/>
      <c r="OBH243" s="42"/>
      <c r="OBI243" s="42"/>
      <c r="OBJ243" s="42"/>
      <c r="OBK243" s="42"/>
      <c r="OBL243" s="42"/>
      <c r="OBM243" s="42"/>
      <c r="OBN243" s="42"/>
      <c r="OBO243" s="42"/>
      <c r="OBP243" s="42"/>
      <c r="OBQ243" s="42"/>
      <c r="OBR243" s="42"/>
      <c r="OBS243" s="42"/>
      <c r="OBT243" s="42"/>
      <c r="OBU243" s="42"/>
      <c r="OBV243" s="42"/>
      <c r="OBW243" s="42"/>
      <c r="OBX243" s="42"/>
      <c r="OBY243" s="42"/>
      <c r="OBZ243" s="42"/>
      <c r="OCA243" s="42"/>
      <c r="OCB243" s="42"/>
      <c r="OCC243" s="42"/>
      <c r="OCD243" s="42"/>
      <c r="OCE243" s="42"/>
      <c r="OCF243" s="42"/>
      <c r="OCG243" s="42"/>
      <c r="OCH243" s="42"/>
      <c r="OCI243" s="42"/>
      <c r="OCJ243" s="42"/>
      <c r="OCK243" s="42"/>
      <c r="OCL243" s="42"/>
      <c r="OCM243" s="42"/>
      <c r="OCN243" s="42"/>
      <c r="OCO243" s="42"/>
      <c r="OCP243" s="42"/>
      <c r="OCQ243" s="42"/>
      <c r="OCR243" s="42"/>
      <c r="OCS243" s="42"/>
      <c r="OCT243" s="42"/>
      <c r="OCU243" s="42"/>
      <c r="OCV243" s="42"/>
      <c r="OCW243" s="42"/>
      <c r="OCX243" s="42"/>
      <c r="OCY243" s="42"/>
      <c r="OCZ243" s="42"/>
      <c r="ODA243" s="42"/>
      <c r="ODB243" s="42"/>
      <c r="ODC243" s="42"/>
      <c r="ODD243" s="42"/>
      <c r="ODE243" s="42"/>
      <c r="ODF243" s="42"/>
      <c r="ODG243" s="42"/>
      <c r="ODH243" s="42"/>
      <c r="ODI243" s="42"/>
      <c r="ODJ243" s="42"/>
      <c r="ODK243" s="42"/>
      <c r="ODL243" s="42"/>
      <c r="ODM243" s="42"/>
      <c r="ODN243" s="42"/>
      <c r="ODO243" s="42"/>
      <c r="ODP243" s="42"/>
      <c r="ODQ243" s="42"/>
      <c r="ODR243" s="42"/>
      <c r="ODS243" s="42"/>
      <c r="ODT243" s="42"/>
      <c r="ODU243" s="42"/>
      <c r="ODV243" s="42"/>
      <c r="ODW243" s="42"/>
      <c r="ODX243" s="42"/>
      <c r="ODY243" s="42"/>
      <c r="ODZ243" s="42"/>
      <c r="OEA243" s="42"/>
      <c r="OEB243" s="42"/>
      <c r="OEC243" s="42"/>
      <c r="OED243" s="42"/>
      <c r="OEE243" s="42"/>
      <c r="OEF243" s="42"/>
      <c r="OEG243" s="42"/>
      <c r="OEH243" s="42"/>
      <c r="OEI243" s="42"/>
      <c r="OEJ243" s="42"/>
      <c r="OEK243" s="42"/>
      <c r="OEL243" s="42"/>
      <c r="OEM243" s="42"/>
      <c r="OEN243" s="42"/>
      <c r="OEO243" s="42"/>
      <c r="OEP243" s="42"/>
      <c r="OEQ243" s="42"/>
      <c r="OER243" s="42"/>
      <c r="OES243" s="42"/>
      <c r="OET243" s="42"/>
      <c r="OEU243" s="42"/>
      <c r="OEV243" s="42"/>
      <c r="OEW243" s="42"/>
      <c r="OEX243" s="42"/>
      <c r="OEY243" s="42"/>
      <c r="OEZ243" s="42"/>
      <c r="OFA243" s="42"/>
      <c r="OFB243" s="42"/>
      <c r="OFC243" s="42"/>
      <c r="OFD243" s="42"/>
      <c r="OFE243" s="42"/>
      <c r="OFF243" s="42"/>
      <c r="OFG243" s="42"/>
      <c r="OFH243" s="42"/>
      <c r="OFI243" s="42"/>
      <c r="OFJ243" s="42"/>
      <c r="OFK243" s="42"/>
      <c r="OFL243" s="42"/>
      <c r="OFM243" s="42"/>
      <c r="OFN243" s="42"/>
      <c r="OFO243" s="42"/>
      <c r="OFP243" s="42"/>
      <c r="OFQ243" s="42"/>
      <c r="OFR243" s="42"/>
      <c r="OFS243" s="42"/>
      <c r="OFT243" s="42"/>
      <c r="OFU243" s="42"/>
      <c r="OFV243" s="42"/>
      <c r="OFW243" s="42"/>
      <c r="OFX243" s="42"/>
      <c r="OFY243" s="42"/>
      <c r="OFZ243" s="42"/>
      <c r="OGA243" s="42"/>
      <c r="OGB243" s="42"/>
      <c r="OGC243" s="42"/>
      <c r="OGD243" s="42"/>
      <c r="OGE243" s="42"/>
      <c r="OGF243" s="42"/>
      <c r="OGG243" s="42"/>
      <c r="OGH243" s="42"/>
      <c r="OGI243" s="42"/>
      <c r="OGJ243" s="42"/>
      <c r="OGK243" s="42"/>
      <c r="OGL243" s="42"/>
      <c r="OGM243" s="42"/>
      <c r="OGN243" s="42"/>
      <c r="OGO243" s="42"/>
      <c r="OGP243" s="42"/>
      <c r="OGQ243" s="42"/>
      <c r="OGR243" s="42"/>
      <c r="OGS243" s="42"/>
      <c r="OGT243" s="42"/>
      <c r="OGU243" s="42"/>
      <c r="OGV243" s="42"/>
      <c r="OGW243" s="42"/>
      <c r="OGX243" s="42"/>
      <c r="OGY243" s="42"/>
      <c r="OGZ243" s="42"/>
      <c r="OHA243" s="42"/>
      <c r="OHB243" s="42"/>
      <c r="OHC243" s="42"/>
      <c r="OHD243" s="42"/>
      <c r="OHE243" s="42"/>
      <c r="OHF243" s="42"/>
      <c r="OHG243" s="42"/>
      <c r="OHH243" s="42"/>
      <c r="OHI243" s="42"/>
      <c r="OHJ243" s="42"/>
      <c r="OHK243" s="42"/>
      <c r="OHL243" s="42"/>
      <c r="OHM243" s="42"/>
      <c r="OHN243" s="42"/>
      <c r="OHO243" s="42"/>
      <c r="OHP243" s="42"/>
      <c r="OHQ243" s="42"/>
      <c r="OHR243" s="42"/>
      <c r="OHS243" s="42"/>
      <c r="OHT243" s="42"/>
      <c r="OHU243" s="42"/>
      <c r="OHV243" s="42"/>
      <c r="OHW243" s="42"/>
      <c r="OHX243" s="42"/>
      <c r="OHY243" s="42"/>
      <c r="OHZ243" s="42"/>
      <c r="OIA243" s="42"/>
      <c r="OIB243" s="42"/>
      <c r="OIC243" s="42"/>
      <c r="OID243" s="42"/>
      <c r="OIE243" s="42"/>
      <c r="OIF243" s="42"/>
      <c r="OIG243" s="42"/>
      <c r="OIH243" s="42"/>
      <c r="OII243" s="42"/>
      <c r="OIJ243" s="42"/>
      <c r="OIK243" s="42"/>
      <c r="OIL243" s="42"/>
      <c r="OIM243" s="42"/>
      <c r="OIN243" s="42"/>
      <c r="OIO243" s="42"/>
      <c r="OIP243" s="42"/>
      <c r="OIQ243" s="42"/>
      <c r="OIR243" s="42"/>
      <c r="OIS243" s="42"/>
      <c r="OIT243" s="42"/>
      <c r="OIU243" s="42"/>
      <c r="OIV243" s="42"/>
      <c r="OIW243" s="42"/>
      <c r="OIX243" s="42"/>
      <c r="OIY243" s="42"/>
      <c r="OIZ243" s="42"/>
      <c r="OJA243" s="42"/>
      <c r="OJB243" s="42"/>
      <c r="OJC243" s="42"/>
      <c r="OJD243" s="42"/>
      <c r="OJE243" s="42"/>
      <c r="OJF243" s="42"/>
      <c r="OJG243" s="42"/>
      <c r="OJH243" s="42"/>
      <c r="OJI243" s="42"/>
      <c r="OJJ243" s="42"/>
      <c r="OJK243" s="42"/>
      <c r="OJL243" s="42"/>
      <c r="OJM243" s="42"/>
      <c r="OJN243" s="42"/>
      <c r="OJO243" s="42"/>
      <c r="OJP243" s="42"/>
      <c r="OJQ243" s="42"/>
      <c r="OJR243" s="42"/>
      <c r="OJS243" s="42"/>
      <c r="OJT243" s="42"/>
      <c r="OJU243" s="42"/>
      <c r="OJV243" s="42"/>
      <c r="OJW243" s="42"/>
      <c r="OJX243" s="42"/>
      <c r="OJY243" s="42"/>
      <c r="OJZ243" s="42"/>
      <c r="OKA243" s="42"/>
      <c r="OKB243" s="42"/>
      <c r="OKC243" s="42"/>
      <c r="OKD243" s="42"/>
      <c r="OKE243" s="42"/>
      <c r="OKF243" s="42"/>
      <c r="OKG243" s="42"/>
      <c r="OKH243" s="42"/>
      <c r="OKI243" s="42"/>
      <c r="OKJ243" s="42"/>
      <c r="OKK243" s="42"/>
      <c r="OKL243" s="42"/>
      <c r="OKM243" s="42"/>
      <c r="OKN243" s="42"/>
      <c r="OKO243" s="42"/>
      <c r="OKP243" s="42"/>
      <c r="OKQ243" s="42"/>
      <c r="OKR243" s="42"/>
      <c r="OKS243" s="42"/>
      <c r="OKT243" s="42"/>
      <c r="OKU243" s="42"/>
      <c r="OKV243" s="42"/>
      <c r="OKW243" s="42"/>
      <c r="OKX243" s="42"/>
      <c r="OKY243" s="42"/>
      <c r="OKZ243" s="42"/>
      <c r="OLA243" s="42"/>
      <c r="OLB243" s="42"/>
      <c r="OLC243" s="42"/>
      <c r="OLD243" s="42"/>
      <c r="OLE243" s="42"/>
      <c r="OLF243" s="42"/>
      <c r="OLG243" s="42"/>
      <c r="OLH243" s="42"/>
      <c r="OLI243" s="42"/>
      <c r="OLJ243" s="42"/>
      <c r="OLK243" s="42"/>
      <c r="OLL243" s="42"/>
      <c r="OLM243" s="42"/>
      <c r="OLN243" s="42"/>
      <c r="OLO243" s="42"/>
      <c r="OLP243" s="42"/>
      <c r="OLQ243" s="42"/>
      <c r="OLR243" s="42"/>
      <c r="OLS243" s="42"/>
      <c r="OLT243" s="42"/>
      <c r="OLU243" s="42"/>
      <c r="OLV243" s="42"/>
      <c r="OLW243" s="42"/>
      <c r="OLX243" s="42"/>
      <c r="OLY243" s="42"/>
      <c r="OLZ243" s="42"/>
      <c r="OMA243" s="42"/>
      <c r="OMB243" s="42"/>
      <c r="OMC243" s="42"/>
      <c r="OMD243" s="42"/>
      <c r="OME243" s="42"/>
      <c r="OMF243" s="42"/>
      <c r="OMG243" s="42"/>
      <c r="OMH243" s="42"/>
      <c r="OMI243" s="42"/>
      <c r="OMJ243" s="42"/>
      <c r="OMK243" s="42"/>
      <c r="OML243" s="42"/>
      <c r="OMM243" s="42"/>
      <c r="OMN243" s="42"/>
      <c r="OMO243" s="42"/>
      <c r="OMP243" s="42"/>
      <c r="OMQ243" s="42"/>
      <c r="OMR243" s="42"/>
      <c r="OMS243" s="42"/>
      <c r="OMT243" s="42"/>
      <c r="OMU243" s="42"/>
      <c r="OMV243" s="42"/>
      <c r="OMW243" s="42"/>
      <c r="OMX243" s="42"/>
      <c r="OMY243" s="42"/>
      <c r="OMZ243" s="42"/>
      <c r="ONA243" s="42"/>
      <c r="ONB243" s="42"/>
      <c r="ONC243" s="42"/>
      <c r="OND243" s="42"/>
      <c r="ONE243" s="42"/>
      <c r="ONF243" s="42"/>
      <c r="ONG243" s="42"/>
      <c r="ONH243" s="42"/>
      <c r="ONI243" s="42"/>
      <c r="ONJ243" s="42"/>
      <c r="ONK243" s="42"/>
      <c r="ONL243" s="42"/>
      <c r="ONM243" s="42"/>
      <c r="ONN243" s="42"/>
      <c r="ONO243" s="42"/>
      <c r="ONP243" s="42"/>
      <c r="ONQ243" s="42"/>
      <c r="ONR243" s="42"/>
      <c r="ONS243" s="42"/>
      <c r="ONT243" s="42"/>
      <c r="ONU243" s="42"/>
      <c r="ONV243" s="42"/>
      <c r="ONW243" s="42"/>
      <c r="ONX243" s="42"/>
      <c r="ONY243" s="42"/>
      <c r="ONZ243" s="42"/>
      <c r="OOA243" s="42"/>
      <c r="OOB243" s="42"/>
      <c r="OOC243" s="42"/>
      <c r="OOD243" s="42"/>
      <c r="OOE243" s="42"/>
      <c r="OOF243" s="42"/>
      <c r="OOG243" s="42"/>
      <c r="OOH243" s="42"/>
      <c r="OOI243" s="42"/>
      <c r="OOJ243" s="42"/>
      <c r="OOK243" s="42"/>
      <c r="OOL243" s="42"/>
      <c r="OOM243" s="42"/>
      <c r="OON243" s="42"/>
      <c r="OOO243" s="42"/>
      <c r="OOP243" s="42"/>
      <c r="OOQ243" s="42"/>
      <c r="OOR243" s="42"/>
      <c r="OOS243" s="42"/>
      <c r="OOT243" s="42"/>
      <c r="OOU243" s="42"/>
      <c r="OOV243" s="42"/>
      <c r="OOW243" s="42"/>
      <c r="OOX243" s="42"/>
      <c r="OOY243" s="42"/>
      <c r="OOZ243" s="42"/>
      <c r="OPA243" s="42"/>
      <c r="OPB243" s="42"/>
      <c r="OPC243" s="42"/>
      <c r="OPD243" s="42"/>
      <c r="OPE243" s="42"/>
      <c r="OPF243" s="42"/>
      <c r="OPG243" s="42"/>
      <c r="OPH243" s="42"/>
      <c r="OPI243" s="42"/>
      <c r="OPJ243" s="42"/>
      <c r="OPK243" s="42"/>
      <c r="OPL243" s="42"/>
      <c r="OPM243" s="42"/>
      <c r="OPN243" s="42"/>
      <c r="OPO243" s="42"/>
      <c r="OPP243" s="42"/>
      <c r="OPQ243" s="42"/>
      <c r="OPR243" s="42"/>
      <c r="OPS243" s="42"/>
      <c r="OPT243" s="42"/>
      <c r="OPU243" s="42"/>
      <c r="OPV243" s="42"/>
      <c r="OPW243" s="42"/>
      <c r="OPX243" s="42"/>
      <c r="OPY243" s="42"/>
      <c r="OPZ243" s="42"/>
      <c r="OQA243" s="42"/>
      <c r="OQB243" s="42"/>
      <c r="OQC243" s="42"/>
      <c r="OQD243" s="42"/>
      <c r="OQE243" s="42"/>
      <c r="OQF243" s="42"/>
      <c r="OQG243" s="42"/>
      <c r="OQH243" s="42"/>
      <c r="OQI243" s="42"/>
      <c r="OQJ243" s="42"/>
      <c r="OQK243" s="42"/>
      <c r="OQL243" s="42"/>
      <c r="OQM243" s="42"/>
      <c r="OQN243" s="42"/>
      <c r="OQO243" s="42"/>
      <c r="OQP243" s="42"/>
      <c r="OQQ243" s="42"/>
      <c r="OQR243" s="42"/>
      <c r="OQS243" s="42"/>
      <c r="OQT243" s="42"/>
      <c r="OQU243" s="42"/>
      <c r="OQV243" s="42"/>
      <c r="OQW243" s="42"/>
      <c r="OQX243" s="42"/>
      <c r="OQY243" s="42"/>
      <c r="OQZ243" s="42"/>
      <c r="ORA243" s="42"/>
      <c r="ORB243" s="42"/>
      <c r="ORC243" s="42"/>
      <c r="ORD243" s="42"/>
      <c r="ORE243" s="42"/>
      <c r="ORF243" s="42"/>
      <c r="ORG243" s="42"/>
      <c r="ORH243" s="42"/>
      <c r="ORI243" s="42"/>
      <c r="ORJ243" s="42"/>
      <c r="ORK243" s="42"/>
      <c r="ORL243" s="42"/>
      <c r="ORM243" s="42"/>
      <c r="ORN243" s="42"/>
      <c r="ORO243" s="42"/>
      <c r="ORP243" s="42"/>
      <c r="ORQ243" s="42"/>
      <c r="ORR243" s="42"/>
      <c r="ORS243" s="42"/>
      <c r="ORT243" s="42"/>
      <c r="ORU243" s="42"/>
      <c r="ORV243" s="42"/>
      <c r="ORW243" s="42"/>
      <c r="ORX243" s="42"/>
      <c r="ORY243" s="42"/>
      <c r="ORZ243" s="42"/>
      <c r="OSA243" s="42"/>
      <c r="OSB243" s="42"/>
      <c r="OSC243" s="42"/>
      <c r="OSD243" s="42"/>
      <c r="OSE243" s="42"/>
      <c r="OSF243" s="42"/>
      <c r="OSG243" s="42"/>
      <c r="OSH243" s="42"/>
      <c r="OSI243" s="42"/>
      <c r="OSJ243" s="42"/>
      <c r="OSK243" s="42"/>
      <c r="OSL243" s="42"/>
      <c r="OSM243" s="42"/>
      <c r="OSN243" s="42"/>
      <c r="OSO243" s="42"/>
      <c r="OSP243" s="42"/>
      <c r="OSQ243" s="42"/>
      <c r="OSR243" s="42"/>
      <c r="OSS243" s="42"/>
      <c r="OST243" s="42"/>
      <c r="OSU243" s="42"/>
      <c r="OSV243" s="42"/>
      <c r="OSW243" s="42"/>
      <c r="OSX243" s="42"/>
      <c r="OSY243" s="42"/>
      <c r="OSZ243" s="42"/>
      <c r="OTA243" s="42"/>
      <c r="OTB243" s="42"/>
      <c r="OTC243" s="42"/>
      <c r="OTD243" s="42"/>
      <c r="OTE243" s="42"/>
      <c r="OTF243" s="42"/>
      <c r="OTG243" s="42"/>
      <c r="OTH243" s="42"/>
      <c r="OTI243" s="42"/>
      <c r="OTJ243" s="42"/>
      <c r="OTK243" s="42"/>
      <c r="OTL243" s="42"/>
      <c r="OTM243" s="42"/>
      <c r="OTN243" s="42"/>
      <c r="OTO243" s="42"/>
      <c r="OTP243" s="42"/>
      <c r="OTQ243" s="42"/>
      <c r="OTR243" s="42"/>
      <c r="OTS243" s="42"/>
      <c r="OTT243" s="42"/>
      <c r="OTU243" s="42"/>
      <c r="OTV243" s="42"/>
      <c r="OTW243" s="42"/>
      <c r="OTX243" s="42"/>
      <c r="OTY243" s="42"/>
      <c r="OTZ243" s="42"/>
      <c r="OUA243" s="42"/>
      <c r="OUB243" s="42"/>
      <c r="OUC243" s="42"/>
      <c r="OUD243" s="42"/>
      <c r="OUE243" s="42"/>
      <c r="OUF243" s="42"/>
      <c r="OUG243" s="42"/>
      <c r="OUH243" s="42"/>
      <c r="OUI243" s="42"/>
      <c r="OUJ243" s="42"/>
      <c r="OUK243" s="42"/>
      <c r="OUL243" s="42"/>
      <c r="OUM243" s="42"/>
      <c r="OUN243" s="42"/>
      <c r="OUO243" s="42"/>
      <c r="OUP243" s="42"/>
      <c r="OUQ243" s="42"/>
      <c r="OUR243" s="42"/>
      <c r="OUS243" s="42"/>
      <c r="OUT243" s="42"/>
      <c r="OUU243" s="42"/>
      <c r="OUV243" s="42"/>
      <c r="OUW243" s="42"/>
      <c r="OUX243" s="42"/>
      <c r="OUY243" s="42"/>
      <c r="OUZ243" s="42"/>
      <c r="OVA243" s="42"/>
      <c r="OVB243" s="42"/>
      <c r="OVC243" s="42"/>
      <c r="OVD243" s="42"/>
      <c r="OVE243" s="42"/>
      <c r="OVF243" s="42"/>
      <c r="OVG243" s="42"/>
      <c r="OVH243" s="42"/>
      <c r="OVI243" s="42"/>
      <c r="OVJ243" s="42"/>
      <c r="OVK243" s="42"/>
      <c r="OVL243" s="42"/>
      <c r="OVM243" s="42"/>
      <c r="OVN243" s="42"/>
      <c r="OVO243" s="42"/>
      <c r="OVP243" s="42"/>
      <c r="OVQ243" s="42"/>
      <c r="OVR243" s="42"/>
      <c r="OVS243" s="42"/>
      <c r="OVT243" s="42"/>
      <c r="OVU243" s="42"/>
      <c r="OVV243" s="42"/>
      <c r="OVW243" s="42"/>
      <c r="OVX243" s="42"/>
      <c r="OVY243" s="42"/>
      <c r="OVZ243" s="42"/>
      <c r="OWA243" s="42"/>
      <c r="OWB243" s="42"/>
      <c r="OWC243" s="42"/>
      <c r="OWD243" s="42"/>
      <c r="OWE243" s="42"/>
      <c r="OWF243" s="42"/>
      <c r="OWG243" s="42"/>
      <c r="OWH243" s="42"/>
      <c r="OWI243" s="42"/>
      <c r="OWJ243" s="42"/>
      <c r="OWK243" s="42"/>
      <c r="OWL243" s="42"/>
      <c r="OWM243" s="42"/>
      <c r="OWN243" s="42"/>
      <c r="OWO243" s="42"/>
      <c r="OWP243" s="42"/>
      <c r="OWQ243" s="42"/>
      <c r="OWR243" s="42"/>
      <c r="OWS243" s="42"/>
      <c r="OWT243" s="42"/>
      <c r="OWU243" s="42"/>
      <c r="OWV243" s="42"/>
      <c r="OWW243" s="42"/>
      <c r="OWX243" s="42"/>
      <c r="OWY243" s="42"/>
      <c r="OWZ243" s="42"/>
      <c r="OXA243" s="42"/>
      <c r="OXB243" s="42"/>
      <c r="OXC243" s="42"/>
      <c r="OXD243" s="42"/>
      <c r="OXE243" s="42"/>
      <c r="OXF243" s="42"/>
      <c r="OXG243" s="42"/>
      <c r="OXH243" s="42"/>
      <c r="OXI243" s="42"/>
      <c r="OXJ243" s="42"/>
      <c r="OXK243" s="42"/>
      <c r="OXL243" s="42"/>
      <c r="OXM243" s="42"/>
      <c r="OXN243" s="42"/>
      <c r="OXO243" s="42"/>
      <c r="OXP243" s="42"/>
      <c r="OXQ243" s="42"/>
      <c r="OXR243" s="42"/>
      <c r="OXS243" s="42"/>
      <c r="OXT243" s="42"/>
      <c r="OXU243" s="42"/>
      <c r="OXV243" s="42"/>
      <c r="OXW243" s="42"/>
      <c r="OXX243" s="42"/>
      <c r="OXY243" s="42"/>
      <c r="OXZ243" s="42"/>
      <c r="OYA243" s="42"/>
      <c r="OYB243" s="42"/>
      <c r="OYC243" s="42"/>
      <c r="OYD243" s="42"/>
      <c r="OYE243" s="42"/>
      <c r="OYF243" s="42"/>
      <c r="OYG243" s="42"/>
      <c r="OYH243" s="42"/>
      <c r="OYI243" s="42"/>
      <c r="OYJ243" s="42"/>
      <c r="OYK243" s="42"/>
      <c r="OYL243" s="42"/>
      <c r="OYM243" s="42"/>
      <c r="OYN243" s="42"/>
      <c r="OYO243" s="42"/>
      <c r="OYP243" s="42"/>
      <c r="OYQ243" s="42"/>
      <c r="OYR243" s="42"/>
      <c r="OYS243" s="42"/>
      <c r="OYT243" s="42"/>
      <c r="OYU243" s="42"/>
      <c r="OYV243" s="42"/>
      <c r="OYW243" s="42"/>
      <c r="OYX243" s="42"/>
      <c r="OYY243" s="42"/>
      <c r="OYZ243" s="42"/>
      <c r="OZA243" s="42"/>
      <c r="OZB243" s="42"/>
      <c r="OZC243" s="42"/>
      <c r="OZD243" s="42"/>
      <c r="OZE243" s="42"/>
      <c r="OZF243" s="42"/>
      <c r="OZG243" s="42"/>
      <c r="OZH243" s="42"/>
      <c r="OZI243" s="42"/>
      <c r="OZJ243" s="42"/>
      <c r="OZK243" s="42"/>
      <c r="OZL243" s="42"/>
      <c r="OZM243" s="42"/>
      <c r="OZN243" s="42"/>
      <c r="OZO243" s="42"/>
      <c r="OZP243" s="42"/>
      <c r="OZQ243" s="42"/>
      <c r="OZR243" s="42"/>
      <c r="OZS243" s="42"/>
      <c r="OZT243" s="42"/>
      <c r="OZU243" s="42"/>
      <c r="OZV243" s="42"/>
      <c r="OZW243" s="42"/>
      <c r="OZX243" s="42"/>
      <c r="OZY243" s="42"/>
      <c r="OZZ243" s="42"/>
      <c r="PAA243" s="42"/>
      <c r="PAB243" s="42"/>
      <c r="PAC243" s="42"/>
      <c r="PAD243" s="42"/>
      <c r="PAE243" s="42"/>
      <c r="PAF243" s="42"/>
      <c r="PAG243" s="42"/>
      <c r="PAH243" s="42"/>
      <c r="PAI243" s="42"/>
      <c r="PAJ243" s="42"/>
      <c r="PAK243" s="42"/>
      <c r="PAL243" s="42"/>
      <c r="PAM243" s="42"/>
      <c r="PAN243" s="42"/>
      <c r="PAO243" s="42"/>
      <c r="PAP243" s="42"/>
      <c r="PAQ243" s="42"/>
      <c r="PAR243" s="42"/>
      <c r="PAS243" s="42"/>
      <c r="PAT243" s="42"/>
      <c r="PAU243" s="42"/>
      <c r="PAV243" s="42"/>
      <c r="PAW243" s="42"/>
      <c r="PAX243" s="42"/>
      <c r="PAY243" s="42"/>
      <c r="PAZ243" s="42"/>
      <c r="PBA243" s="42"/>
      <c r="PBB243" s="42"/>
      <c r="PBC243" s="42"/>
      <c r="PBD243" s="42"/>
      <c r="PBE243" s="42"/>
      <c r="PBF243" s="42"/>
      <c r="PBG243" s="42"/>
      <c r="PBH243" s="42"/>
      <c r="PBI243" s="42"/>
      <c r="PBJ243" s="42"/>
      <c r="PBK243" s="42"/>
      <c r="PBL243" s="42"/>
      <c r="PBM243" s="42"/>
      <c r="PBN243" s="42"/>
      <c r="PBO243" s="42"/>
      <c r="PBP243" s="42"/>
      <c r="PBQ243" s="42"/>
      <c r="PBR243" s="42"/>
      <c r="PBS243" s="42"/>
      <c r="PBT243" s="42"/>
      <c r="PBU243" s="42"/>
      <c r="PBV243" s="42"/>
      <c r="PBW243" s="42"/>
      <c r="PBX243" s="42"/>
      <c r="PBY243" s="42"/>
      <c r="PBZ243" s="42"/>
      <c r="PCA243" s="42"/>
      <c r="PCB243" s="42"/>
      <c r="PCC243" s="42"/>
      <c r="PCD243" s="42"/>
      <c r="PCE243" s="42"/>
      <c r="PCF243" s="42"/>
      <c r="PCG243" s="42"/>
      <c r="PCH243" s="42"/>
      <c r="PCI243" s="42"/>
      <c r="PCJ243" s="42"/>
      <c r="PCK243" s="42"/>
      <c r="PCL243" s="42"/>
      <c r="PCM243" s="42"/>
      <c r="PCN243" s="42"/>
      <c r="PCO243" s="42"/>
      <c r="PCP243" s="42"/>
      <c r="PCQ243" s="42"/>
      <c r="PCR243" s="42"/>
      <c r="PCS243" s="42"/>
      <c r="PCT243" s="42"/>
      <c r="PCU243" s="42"/>
      <c r="PCV243" s="42"/>
      <c r="PCW243" s="42"/>
      <c r="PCX243" s="42"/>
      <c r="PCY243" s="42"/>
      <c r="PCZ243" s="42"/>
      <c r="PDA243" s="42"/>
      <c r="PDB243" s="42"/>
      <c r="PDC243" s="42"/>
      <c r="PDD243" s="42"/>
      <c r="PDE243" s="42"/>
      <c r="PDF243" s="42"/>
      <c r="PDG243" s="42"/>
      <c r="PDH243" s="42"/>
      <c r="PDI243" s="42"/>
      <c r="PDJ243" s="42"/>
      <c r="PDK243" s="42"/>
      <c r="PDL243" s="42"/>
      <c r="PDM243" s="42"/>
      <c r="PDN243" s="42"/>
      <c r="PDO243" s="42"/>
      <c r="PDP243" s="42"/>
      <c r="PDQ243" s="42"/>
      <c r="PDR243" s="42"/>
      <c r="PDS243" s="42"/>
      <c r="PDT243" s="42"/>
      <c r="PDU243" s="42"/>
      <c r="PDV243" s="42"/>
      <c r="PDW243" s="42"/>
      <c r="PDX243" s="42"/>
      <c r="PDY243" s="42"/>
      <c r="PDZ243" s="42"/>
      <c r="PEA243" s="42"/>
      <c r="PEB243" s="42"/>
      <c r="PEC243" s="42"/>
      <c r="PED243" s="42"/>
      <c r="PEE243" s="42"/>
      <c r="PEF243" s="42"/>
      <c r="PEG243" s="42"/>
      <c r="PEH243" s="42"/>
      <c r="PEI243" s="42"/>
      <c r="PEJ243" s="42"/>
      <c r="PEK243" s="42"/>
      <c r="PEL243" s="42"/>
      <c r="PEM243" s="42"/>
      <c r="PEN243" s="42"/>
      <c r="PEO243" s="42"/>
      <c r="PEP243" s="42"/>
      <c r="PEQ243" s="42"/>
      <c r="PER243" s="42"/>
      <c r="PES243" s="42"/>
      <c r="PET243" s="42"/>
      <c r="PEU243" s="42"/>
      <c r="PEV243" s="42"/>
      <c r="PEW243" s="42"/>
      <c r="PEX243" s="42"/>
      <c r="PEY243" s="42"/>
      <c r="PEZ243" s="42"/>
      <c r="PFA243" s="42"/>
      <c r="PFB243" s="42"/>
      <c r="PFC243" s="42"/>
      <c r="PFD243" s="42"/>
      <c r="PFE243" s="42"/>
      <c r="PFF243" s="42"/>
      <c r="PFG243" s="42"/>
      <c r="PFH243" s="42"/>
      <c r="PFI243" s="42"/>
      <c r="PFJ243" s="42"/>
      <c r="PFK243" s="42"/>
      <c r="PFL243" s="42"/>
      <c r="PFM243" s="42"/>
      <c r="PFN243" s="42"/>
      <c r="PFO243" s="42"/>
      <c r="PFP243" s="42"/>
      <c r="PFQ243" s="42"/>
      <c r="PFR243" s="42"/>
      <c r="PFS243" s="42"/>
      <c r="PFT243" s="42"/>
      <c r="PFU243" s="42"/>
      <c r="PFV243" s="42"/>
      <c r="PFW243" s="42"/>
      <c r="PFX243" s="42"/>
      <c r="PFY243" s="42"/>
      <c r="PFZ243" s="42"/>
      <c r="PGA243" s="42"/>
      <c r="PGB243" s="42"/>
      <c r="PGC243" s="42"/>
      <c r="PGD243" s="42"/>
      <c r="PGE243" s="42"/>
      <c r="PGF243" s="42"/>
      <c r="PGG243" s="42"/>
      <c r="PGH243" s="42"/>
      <c r="PGI243" s="42"/>
      <c r="PGJ243" s="42"/>
      <c r="PGK243" s="42"/>
      <c r="PGL243" s="42"/>
      <c r="PGM243" s="42"/>
      <c r="PGN243" s="42"/>
      <c r="PGO243" s="42"/>
      <c r="PGP243" s="42"/>
      <c r="PGQ243" s="42"/>
      <c r="PGR243" s="42"/>
      <c r="PGS243" s="42"/>
      <c r="PGT243" s="42"/>
      <c r="PGU243" s="42"/>
      <c r="PGV243" s="42"/>
      <c r="PGW243" s="42"/>
      <c r="PGX243" s="42"/>
      <c r="PGY243" s="42"/>
      <c r="PGZ243" s="42"/>
      <c r="PHA243" s="42"/>
      <c r="PHB243" s="42"/>
      <c r="PHC243" s="42"/>
      <c r="PHD243" s="42"/>
      <c r="PHE243" s="42"/>
      <c r="PHF243" s="42"/>
      <c r="PHG243" s="42"/>
      <c r="PHH243" s="42"/>
      <c r="PHI243" s="42"/>
      <c r="PHJ243" s="42"/>
      <c r="PHK243" s="42"/>
      <c r="PHL243" s="42"/>
      <c r="PHM243" s="42"/>
      <c r="PHN243" s="42"/>
      <c r="PHO243" s="42"/>
      <c r="PHP243" s="42"/>
      <c r="PHQ243" s="42"/>
      <c r="PHR243" s="42"/>
      <c r="PHS243" s="42"/>
      <c r="PHT243" s="42"/>
      <c r="PHU243" s="42"/>
      <c r="PHV243" s="42"/>
      <c r="PHW243" s="42"/>
      <c r="PHX243" s="42"/>
      <c r="PHY243" s="42"/>
      <c r="PHZ243" s="42"/>
      <c r="PIA243" s="42"/>
      <c r="PIB243" s="42"/>
      <c r="PIC243" s="42"/>
      <c r="PID243" s="42"/>
      <c r="PIE243" s="42"/>
      <c r="PIF243" s="42"/>
      <c r="PIG243" s="42"/>
      <c r="PIH243" s="42"/>
      <c r="PII243" s="42"/>
      <c r="PIJ243" s="42"/>
      <c r="PIK243" s="42"/>
      <c r="PIL243" s="42"/>
      <c r="PIM243" s="42"/>
      <c r="PIN243" s="42"/>
      <c r="PIO243" s="42"/>
      <c r="PIP243" s="42"/>
      <c r="PIQ243" s="42"/>
      <c r="PIR243" s="42"/>
      <c r="PIS243" s="42"/>
      <c r="PIT243" s="42"/>
      <c r="PIU243" s="42"/>
      <c r="PIV243" s="42"/>
      <c r="PIW243" s="42"/>
      <c r="PIX243" s="42"/>
      <c r="PIY243" s="42"/>
      <c r="PIZ243" s="42"/>
      <c r="PJA243" s="42"/>
      <c r="PJB243" s="42"/>
      <c r="PJC243" s="42"/>
      <c r="PJD243" s="42"/>
      <c r="PJE243" s="42"/>
      <c r="PJF243" s="42"/>
      <c r="PJG243" s="42"/>
      <c r="PJH243" s="42"/>
      <c r="PJI243" s="42"/>
      <c r="PJJ243" s="42"/>
      <c r="PJK243" s="42"/>
      <c r="PJL243" s="42"/>
      <c r="PJM243" s="42"/>
      <c r="PJN243" s="42"/>
      <c r="PJO243" s="42"/>
      <c r="PJP243" s="42"/>
      <c r="PJQ243" s="42"/>
      <c r="PJR243" s="42"/>
      <c r="PJS243" s="42"/>
      <c r="PJT243" s="42"/>
      <c r="PJU243" s="42"/>
      <c r="PJV243" s="42"/>
      <c r="PJW243" s="42"/>
      <c r="PJX243" s="42"/>
      <c r="PJY243" s="42"/>
      <c r="PJZ243" s="42"/>
      <c r="PKA243" s="42"/>
      <c r="PKB243" s="42"/>
      <c r="PKC243" s="42"/>
      <c r="PKD243" s="42"/>
      <c r="PKE243" s="42"/>
      <c r="PKF243" s="42"/>
      <c r="PKG243" s="42"/>
      <c r="PKH243" s="42"/>
      <c r="PKI243" s="42"/>
      <c r="PKJ243" s="42"/>
      <c r="PKK243" s="42"/>
      <c r="PKL243" s="42"/>
      <c r="PKM243" s="42"/>
      <c r="PKN243" s="42"/>
      <c r="PKO243" s="42"/>
      <c r="PKP243" s="42"/>
      <c r="PKQ243" s="42"/>
      <c r="PKR243" s="42"/>
      <c r="PKS243" s="42"/>
      <c r="PKT243" s="42"/>
      <c r="PKU243" s="42"/>
      <c r="PKV243" s="42"/>
      <c r="PKW243" s="42"/>
      <c r="PKX243" s="42"/>
      <c r="PKY243" s="42"/>
      <c r="PKZ243" s="42"/>
      <c r="PLA243" s="42"/>
      <c r="PLB243" s="42"/>
      <c r="PLC243" s="42"/>
      <c r="PLD243" s="42"/>
      <c r="PLE243" s="42"/>
      <c r="PLF243" s="42"/>
      <c r="PLG243" s="42"/>
      <c r="PLH243" s="42"/>
      <c r="PLI243" s="42"/>
      <c r="PLJ243" s="42"/>
      <c r="PLK243" s="42"/>
      <c r="PLL243" s="42"/>
      <c r="PLM243" s="42"/>
      <c r="PLN243" s="42"/>
      <c r="PLO243" s="42"/>
      <c r="PLP243" s="42"/>
      <c r="PLQ243" s="42"/>
      <c r="PLR243" s="42"/>
      <c r="PLS243" s="42"/>
      <c r="PLT243" s="42"/>
      <c r="PLU243" s="42"/>
      <c r="PLV243" s="42"/>
      <c r="PLW243" s="42"/>
      <c r="PLX243" s="42"/>
      <c r="PLY243" s="42"/>
      <c r="PLZ243" s="42"/>
      <c r="PMA243" s="42"/>
      <c r="PMB243" s="42"/>
      <c r="PMC243" s="42"/>
      <c r="PMD243" s="42"/>
      <c r="PME243" s="42"/>
      <c r="PMF243" s="42"/>
      <c r="PMG243" s="42"/>
      <c r="PMH243" s="42"/>
      <c r="PMI243" s="42"/>
      <c r="PMJ243" s="42"/>
      <c r="PMK243" s="42"/>
      <c r="PML243" s="42"/>
      <c r="PMM243" s="42"/>
      <c r="PMN243" s="42"/>
      <c r="PMO243" s="42"/>
      <c r="PMP243" s="42"/>
      <c r="PMQ243" s="42"/>
      <c r="PMR243" s="42"/>
      <c r="PMS243" s="42"/>
      <c r="PMT243" s="42"/>
      <c r="PMU243" s="42"/>
      <c r="PMV243" s="42"/>
      <c r="PMW243" s="42"/>
      <c r="PMX243" s="42"/>
      <c r="PMY243" s="42"/>
      <c r="PMZ243" s="42"/>
      <c r="PNA243" s="42"/>
      <c r="PNB243" s="42"/>
      <c r="PNC243" s="42"/>
      <c r="PND243" s="42"/>
      <c r="PNE243" s="42"/>
      <c r="PNF243" s="42"/>
      <c r="PNG243" s="42"/>
      <c r="PNH243" s="42"/>
      <c r="PNI243" s="42"/>
      <c r="PNJ243" s="42"/>
      <c r="PNK243" s="42"/>
      <c r="PNL243" s="42"/>
      <c r="PNM243" s="42"/>
      <c r="PNN243" s="42"/>
      <c r="PNO243" s="42"/>
      <c r="PNP243" s="42"/>
      <c r="PNQ243" s="42"/>
      <c r="PNR243" s="42"/>
      <c r="PNS243" s="42"/>
      <c r="PNT243" s="42"/>
      <c r="PNU243" s="42"/>
      <c r="PNV243" s="42"/>
      <c r="PNW243" s="42"/>
      <c r="PNX243" s="42"/>
      <c r="PNY243" s="42"/>
      <c r="PNZ243" s="42"/>
      <c r="POA243" s="42"/>
      <c r="POB243" s="42"/>
      <c r="POC243" s="42"/>
      <c r="POD243" s="42"/>
      <c r="POE243" s="42"/>
      <c r="POF243" s="42"/>
      <c r="POG243" s="42"/>
      <c r="POH243" s="42"/>
      <c r="POI243" s="42"/>
      <c r="POJ243" s="42"/>
      <c r="POK243" s="42"/>
      <c r="POL243" s="42"/>
      <c r="POM243" s="42"/>
      <c r="PON243" s="42"/>
      <c r="POO243" s="42"/>
      <c r="POP243" s="42"/>
      <c r="POQ243" s="42"/>
      <c r="POR243" s="42"/>
      <c r="POS243" s="42"/>
      <c r="POT243" s="42"/>
      <c r="POU243" s="42"/>
      <c r="POV243" s="42"/>
      <c r="POW243" s="42"/>
      <c r="POX243" s="42"/>
      <c r="POY243" s="42"/>
      <c r="POZ243" s="42"/>
      <c r="PPA243" s="42"/>
      <c r="PPB243" s="42"/>
      <c r="PPC243" s="42"/>
      <c r="PPD243" s="42"/>
      <c r="PPE243" s="42"/>
      <c r="PPF243" s="42"/>
      <c r="PPG243" s="42"/>
      <c r="PPH243" s="42"/>
      <c r="PPI243" s="42"/>
      <c r="PPJ243" s="42"/>
      <c r="PPK243" s="42"/>
      <c r="PPL243" s="42"/>
      <c r="PPM243" s="42"/>
      <c r="PPN243" s="42"/>
      <c r="PPO243" s="42"/>
      <c r="PPP243" s="42"/>
      <c r="PPQ243" s="42"/>
      <c r="PPR243" s="42"/>
      <c r="PPS243" s="42"/>
      <c r="PPT243" s="42"/>
      <c r="PPU243" s="42"/>
      <c r="PPV243" s="42"/>
      <c r="PPW243" s="42"/>
      <c r="PPX243" s="42"/>
      <c r="PPY243" s="42"/>
      <c r="PPZ243" s="42"/>
      <c r="PQA243" s="42"/>
      <c r="PQB243" s="42"/>
      <c r="PQC243" s="42"/>
      <c r="PQD243" s="42"/>
      <c r="PQE243" s="42"/>
      <c r="PQF243" s="42"/>
      <c r="PQG243" s="42"/>
      <c r="PQH243" s="42"/>
      <c r="PQI243" s="42"/>
      <c r="PQJ243" s="42"/>
      <c r="PQK243" s="42"/>
      <c r="PQL243" s="42"/>
      <c r="PQM243" s="42"/>
      <c r="PQN243" s="42"/>
      <c r="PQO243" s="42"/>
      <c r="PQP243" s="42"/>
      <c r="PQQ243" s="42"/>
      <c r="PQR243" s="42"/>
      <c r="PQS243" s="42"/>
      <c r="PQT243" s="42"/>
      <c r="PQU243" s="42"/>
      <c r="PQV243" s="42"/>
      <c r="PQW243" s="42"/>
      <c r="PQX243" s="42"/>
      <c r="PQY243" s="42"/>
      <c r="PQZ243" s="42"/>
      <c r="PRA243" s="42"/>
      <c r="PRB243" s="42"/>
      <c r="PRC243" s="42"/>
      <c r="PRD243" s="42"/>
      <c r="PRE243" s="42"/>
      <c r="PRF243" s="42"/>
      <c r="PRG243" s="42"/>
      <c r="PRH243" s="42"/>
      <c r="PRI243" s="42"/>
      <c r="PRJ243" s="42"/>
      <c r="PRK243" s="42"/>
      <c r="PRL243" s="42"/>
      <c r="PRM243" s="42"/>
      <c r="PRN243" s="42"/>
      <c r="PRO243" s="42"/>
      <c r="PRP243" s="42"/>
      <c r="PRQ243" s="42"/>
      <c r="PRR243" s="42"/>
      <c r="PRS243" s="42"/>
      <c r="PRT243" s="42"/>
      <c r="PRU243" s="42"/>
      <c r="PRV243" s="42"/>
      <c r="PRW243" s="42"/>
      <c r="PRX243" s="42"/>
      <c r="PRY243" s="42"/>
      <c r="PRZ243" s="42"/>
      <c r="PSA243" s="42"/>
      <c r="PSB243" s="42"/>
      <c r="PSC243" s="42"/>
      <c r="PSD243" s="42"/>
      <c r="PSE243" s="42"/>
      <c r="PSF243" s="42"/>
      <c r="PSG243" s="42"/>
      <c r="PSH243" s="42"/>
      <c r="PSI243" s="42"/>
      <c r="PSJ243" s="42"/>
      <c r="PSK243" s="42"/>
      <c r="PSL243" s="42"/>
      <c r="PSM243" s="42"/>
      <c r="PSN243" s="42"/>
      <c r="PSO243" s="42"/>
      <c r="PSP243" s="42"/>
      <c r="PSQ243" s="42"/>
      <c r="PSR243" s="42"/>
      <c r="PSS243" s="42"/>
      <c r="PST243" s="42"/>
      <c r="PSU243" s="42"/>
      <c r="PSV243" s="42"/>
      <c r="PSW243" s="42"/>
      <c r="PSX243" s="42"/>
      <c r="PSY243" s="42"/>
      <c r="PSZ243" s="42"/>
      <c r="PTA243" s="42"/>
      <c r="PTB243" s="42"/>
      <c r="PTC243" s="42"/>
      <c r="PTD243" s="42"/>
      <c r="PTE243" s="42"/>
      <c r="PTF243" s="42"/>
      <c r="PTG243" s="42"/>
      <c r="PTH243" s="42"/>
      <c r="PTI243" s="42"/>
      <c r="PTJ243" s="42"/>
      <c r="PTK243" s="42"/>
      <c r="PTL243" s="42"/>
      <c r="PTM243" s="42"/>
      <c r="PTN243" s="42"/>
      <c r="PTO243" s="42"/>
      <c r="PTP243" s="42"/>
      <c r="PTQ243" s="42"/>
      <c r="PTR243" s="42"/>
      <c r="PTS243" s="42"/>
      <c r="PTT243" s="42"/>
      <c r="PTU243" s="42"/>
      <c r="PTV243" s="42"/>
      <c r="PTW243" s="42"/>
      <c r="PTX243" s="42"/>
      <c r="PTY243" s="42"/>
      <c r="PTZ243" s="42"/>
      <c r="PUA243" s="42"/>
      <c r="PUB243" s="42"/>
      <c r="PUC243" s="42"/>
      <c r="PUD243" s="42"/>
      <c r="PUE243" s="42"/>
      <c r="PUF243" s="42"/>
      <c r="PUG243" s="42"/>
      <c r="PUH243" s="42"/>
      <c r="PUI243" s="42"/>
      <c r="PUJ243" s="42"/>
      <c r="PUK243" s="42"/>
      <c r="PUL243" s="42"/>
      <c r="PUM243" s="42"/>
      <c r="PUN243" s="42"/>
      <c r="PUO243" s="42"/>
      <c r="PUP243" s="42"/>
      <c r="PUQ243" s="42"/>
      <c r="PUR243" s="42"/>
      <c r="PUS243" s="42"/>
      <c r="PUT243" s="42"/>
      <c r="PUU243" s="42"/>
      <c r="PUV243" s="42"/>
      <c r="PUW243" s="42"/>
      <c r="PUX243" s="42"/>
      <c r="PUY243" s="42"/>
      <c r="PUZ243" s="42"/>
      <c r="PVA243" s="42"/>
      <c r="PVB243" s="42"/>
      <c r="PVC243" s="42"/>
      <c r="PVD243" s="42"/>
      <c r="PVE243" s="42"/>
      <c r="PVF243" s="42"/>
      <c r="PVG243" s="42"/>
      <c r="PVH243" s="42"/>
      <c r="PVI243" s="42"/>
      <c r="PVJ243" s="42"/>
      <c r="PVK243" s="42"/>
      <c r="PVL243" s="42"/>
      <c r="PVM243" s="42"/>
      <c r="PVN243" s="42"/>
      <c r="PVO243" s="42"/>
      <c r="PVP243" s="42"/>
      <c r="PVQ243" s="42"/>
      <c r="PVR243" s="42"/>
      <c r="PVS243" s="42"/>
      <c r="PVT243" s="42"/>
      <c r="PVU243" s="42"/>
      <c r="PVV243" s="42"/>
      <c r="PVW243" s="42"/>
      <c r="PVX243" s="42"/>
      <c r="PVY243" s="42"/>
      <c r="PVZ243" s="42"/>
      <c r="PWA243" s="42"/>
      <c r="PWB243" s="42"/>
      <c r="PWC243" s="42"/>
      <c r="PWD243" s="42"/>
      <c r="PWE243" s="42"/>
      <c r="PWF243" s="42"/>
      <c r="PWG243" s="42"/>
      <c r="PWH243" s="42"/>
      <c r="PWI243" s="42"/>
      <c r="PWJ243" s="42"/>
      <c r="PWK243" s="42"/>
      <c r="PWL243" s="42"/>
      <c r="PWM243" s="42"/>
      <c r="PWN243" s="42"/>
      <c r="PWO243" s="42"/>
      <c r="PWP243" s="42"/>
      <c r="PWQ243" s="42"/>
      <c r="PWR243" s="42"/>
      <c r="PWS243" s="42"/>
      <c r="PWT243" s="42"/>
      <c r="PWU243" s="42"/>
      <c r="PWV243" s="42"/>
      <c r="PWW243" s="42"/>
      <c r="PWX243" s="42"/>
      <c r="PWY243" s="42"/>
      <c r="PWZ243" s="42"/>
      <c r="PXA243" s="42"/>
      <c r="PXB243" s="42"/>
      <c r="PXC243" s="42"/>
      <c r="PXD243" s="42"/>
      <c r="PXE243" s="42"/>
      <c r="PXF243" s="42"/>
      <c r="PXG243" s="42"/>
      <c r="PXH243" s="42"/>
      <c r="PXI243" s="42"/>
      <c r="PXJ243" s="42"/>
      <c r="PXK243" s="42"/>
      <c r="PXL243" s="42"/>
      <c r="PXM243" s="42"/>
      <c r="PXN243" s="42"/>
      <c r="PXO243" s="42"/>
      <c r="PXP243" s="42"/>
      <c r="PXQ243" s="42"/>
      <c r="PXR243" s="42"/>
      <c r="PXS243" s="42"/>
      <c r="PXT243" s="42"/>
      <c r="PXU243" s="42"/>
      <c r="PXV243" s="42"/>
      <c r="PXW243" s="42"/>
      <c r="PXX243" s="42"/>
      <c r="PXY243" s="42"/>
      <c r="PXZ243" s="42"/>
      <c r="PYA243" s="42"/>
      <c r="PYB243" s="42"/>
      <c r="PYC243" s="42"/>
      <c r="PYD243" s="42"/>
      <c r="PYE243" s="42"/>
      <c r="PYF243" s="42"/>
      <c r="PYG243" s="42"/>
      <c r="PYH243" s="42"/>
      <c r="PYI243" s="42"/>
      <c r="PYJ243" s="42"/>
      <c r="PYK243" s="42"/>
      <c r="PYL243" s="42"/>
      <c r="PYM243" s="42"/>
      <c r="PYN243" s="42"/>
      <c r="PYO243" s="42"/>
      <c r="PYP243" s="42"/>
      <c r="PYQ243" s="42"/>
      <c r="PYR243" s="42"/>
      <c r="PYS243" s="42"/>
      <c r="PYT243" s="42"/>
      <c r="PYU243" s="42"/>
      <c r="PYV243" s="42"/>
      <c r="PYW243" s="42"/>
      <c r="PYX243" s="42"/>
      <c r="PYY243" s="42"/>
      <c r="PYZ243" s="42"/>
      <c r="PZA243" s="42"/>
      <c r="PZB243" s="42"/>
      <c r="PZC243" s="42"/>
      <c r="PZD243" s="42"/>
      <c r="PZE243" s="42"/>
      <c r="PZF243" s="42"/>
      <c r="PZG243" s="42"/>
      <c r="PZH243" s="42"/>
      <c r="PZI243" s="42"/>
      <c r="PZJ243" s="42"/>
      <c r="PZK243" s="42"/>
      <c r="PZL243" s="42"/>
      <c r="PZM243" s="42"/>
      <c r="PZN243" s="42"/>
      <c r="PZO243" s="42"/>
      <c r="PZP243" s="42"/>
      <c r="PZQ243" s="42"/>
      <c r="PZR243" s="42"/>
      <c r="PZS243" s="42"/>
      <c r="PZT243" s="42"/>
      <c r="PZU243" s="42"/>
      <c r="PZV243" s="42"/>
      <c r="PZW243" s="42"/>
      <c r="PZX243" s="42"/>
      <c r="PZY243" s="42"/>
      <c r="PZZ243" s="42"/>
      <c r="QAA243" s="42"/>
      <c r="QAB243" s="42"/>
      <c r="QAC243" s="42"/>
      <c r="QAD243" s="42"/>
      <c r="QAE243" s="42"/>
      <c r="QAF243" s="42"/>
      <c r="QAG243" s="42"/>
      <c r="QAH243" s="42"/>
      <c r="QAI243" s="42"/>
      <c r="QAJ243" s="42"/>
      <c r="QAK243" s="42"/>
      <c r="QAL243" s="42"/>
      <c r="QAM243" s="42"/>
      <c r="QAN243" s="42"/>
      <c r="QAO243" s="42"/>
      <c r="QAP243" s="42"/>
      <c r="QAQ243" s="42"/>
      <c r="QAR243" s="42"/>
      <c r="QAS243" s="42"/>
      <c r="QAT243" s="42"/>
      <c r="QAU243" s="42"/>
      <c r="QAV243" s="42"/>
      <c r="QAW243" s="42"/>
      <c r="QAX243" s="42"/>
      <c r="QAY243" s="42"/>
      <c r="QAZ243" s="42"/>
      <c r="QBA243" s="42"/>
      <c r="QBB243" s="42"/>
      <c r="QBC243" s="42"/>
      <c r="QBD243" s="42"/>
      <c r="QBE243" s="42"/>
      <c r="QBF243" s="42"/>
      <c r="QBG243" s="42"/>
      <c r="QBH243" s="42"/>
      <c r="QBI243" s="42"/>
      <c r="QBJ243" s="42"/>
      <c r="QBK243" s="42"/>
      <c r="QBL243" s="42"/>
      <c r="QBM243" s="42"/>
      <c r="QBN243" s="42"/>
      <c r="QBO243" s="42"/>
      <c r="QBP243" s="42"/>
      <c r="QBQ243" s="42"/>
      <c r="QBR243" s="42"/>
      <c r="QBS243" s="42"/>
      <c r="QBT243" s="42"/>
      <c r="QBU243" s="42"/>
      <c r="QBV243" s="42"/>
      <c r="QBW243" s="42"/>
      <c r="QBX243" s="42"/>
      <c r="QBY243" s="42"/>
      <c r="QBZ243" s="42"/>
      <c r="QCA243" s="42"/>
      <c r="QCB243" s="42"/>
      <c r="QCC243" s="42"/>
      <c r="QCD243" s="42"/>
      <c r="QCE243" s="42"/>
      <c r="QCF243" s="42"/>
      <c r="QCG243" s="42"/>
      <c r="QCH243" s="42"/>
      <c r="QCI243" s="42"/>
      <c r="QCJ243" s="42"/>
      <c r="QCK243" s="42"/>
      <c r="QCL243" s="42"/>
      <c r="QCM243" s="42"/>
      <c r="QCN243" s="42"/>
      <c r="QCO243" s="42"/>
      <c r="QCP243" s="42"/>
      <c r="QCQ243" s="42"/>
      <c r="QCR243" s="42"/>
      <c r="QCS243" s="42"/>
      <c r="QCT243" s="42"/>
      <c r="QCU243" s="42"/>
      <c r="QCV243" s="42"/>
      <c r="QCW243" s="42"/>
      <c r="QCX243" s="42"/>
      <c r="QCY243" s="42"/>
      <c r="QCZ243" s="42"/>
      <c r="QDA243" s="42"/>
      <c r="QDB243" s="42"/>
      <c r="QDC243" s="42"/>
      <c r="QDD243" s="42"/>
      <c r="QDE243" s="42"/>
      <c r="QDF243" s="42"/>
      <c r="QDG243" s="42"/>
      <c r="QDH243" s="42"/>
      <c r="QDI243" s="42"/>
      <c r="QDJ243" s="42"/>
      <c r="QDK243" s="42"/>
      <c r="QDL243" s="42"/>
      <c r="QDM243" s="42"/>
      <c r="QDN243" s="42"/>
      <c r="QDO243" s="42"/>
      <c r="QDP243" s="42"/>
      <c r="QDQ243" s="42"/>
      <c r="QDR243" s="42"/>
      <c r="QDS243" s="42"/>
      <c r="QDT243" s="42"/>
      <c r="QDU243" s="42"/>
      <c r="QDV243" s="42"/>
      <c r="QDW243" s="42"/>
      <c r="QDX243" s="42"/>
      <c r="QDY243" s="42"/>
      <c r="QDZ243" s="42"/>
      <c r="QEA243" s="42"/>
      <c r="QEB243" s="42"/>
      <c r="QEC243" s="42"/>
      <c r="QED243" s="42"/>
      <c r="QEE243" s="42"/>
      <c r="QEF243" s="42"/>
      <c r="QEG243" s="42"/>
      <c r="QEH243" s="42"/>
      <c r="QEI243" s="42"/>
      <c r="QEJ243" s="42"/>
      <c r="QEK243" s="42"/>
      <c r="QEL243" s="42"/>
      <c r="QEM243" s="42"/>
      <c r="QEN243" s="42"/>
      <c r="QEO243" s="42"/>
      <c r="QEP243" s="42"/>
      <c r="QEQ243" s="42"/>
      <c r="QER243" s="42"/>
      <c r="QES243" s="42"/>
      <c r="QET243" s="42"/>
      <c r="QEU243" s="42"/>
      <c r="QEV243" s="42"/>
      <c r="QEW243" s="42"/>
      <c r="QEX243" s="42"/>
      <c r="QEY243" s="42"/>
      <c r="QEZ243" s="42"/>
      <c r="QFA243" s="42"/>
      <c r="QFB243" s="42"/>
      <c r="QFC243" s="42"/>
      <c r="QFD243" s="42"/>
      <c r="QFE243" s="42"/>
      <c r="QFF243" s="42"/>
      <c r="QFG243" s="42"/>
      <c r="QFH243" s="42"/>
      <c r="QFI243" s="42"/>
      <c r="QFJ243" s="42"/>
      <c r="QFK243" s="42"/>
      <c r="QFL243" s="42"/>
      <c r="QFM243" s="42"/>
      <c r="QFN243" s="42"/>
      <c r="QFO243" s="42"/>
      <c r="QFP243" s="42"/>
      <c r="QFQ243" s="42"/>
      <c r="QFR243" s="42"/>
      <c r="QFS243" s="42"/>
      <c r="QFT243" s="42"/>
      <c r="QFU243" s="42"/>
      <c r="QFV243" s="42"/>
      <c r="QFW243" s="42"/>
      <c r="QFX243" s="42"/>
      <c r="QFY243" s="42"/>
      <c r="QFZ243" s="42"/>
      <c r="QGA243" s="42"/>
      <c r="QGB243" s="42"/>
      <c r="QGC243" s="42"/>
      <c r="QGD243" s="42"/>
      <c r="QGE243" s="42"/>
      <c r="QGF243" s="42"/>
      <c r="QGG243" s="42"/>
      <c r="QGH243" s="42"/>
      <c r="QGI243" s="42"/>
      <c r="QGJ243" s="42"/>
      <c r="QGK243" s="42"/>
      <c r="QGL243" s="42"/>
      <c r="QGM243" s="42"/>
      <c r="QGN243" s="42"/>
      <c r="QGO243" s="42"/>
      <c r="QGP243" s="42"/>
      <c r="QGQ243" s="42"/>
      <c r="QGR243" s="42"/>
      <c r="QGS243" s="42"/>
      <c r="QGT243" s="42"/>
      <c r="QGU243" s="42"/>
      <c r="QGV243" s="42"/>
      <c r="QGW243" s="42"/>
      <c r="QGX243" s="42"/>
      <c r="QGY243" s="42"/>
      <c r="QGZ243" s="42"/>
      <c r="QHA243" s="42"/>
      <c r="QHB243" s="42"/>
      <c r="QHC243" s="42"/>
      <c r="QHD243" s="42"/>
      <c r="QHE243" s="42"/>
      <c r="QHF243" s="42"/>
      <c r="QHG243" s="42"/>
      <c r="QHH243" s="42"/>
      <c r="QHI243" s="42"/>
      <c r="QHJ243" s="42"/>
      <c r="QHK243" s="42"/>
      <c r="QHL243" s="42"/>
      <c r="QHM243" s="42"/>
      <c r="QHN243" s="42"/>
      <c r="QHO243" s="42"/>
      <c r="QHP243" s="42"/>
      <c r="QHQ243" s="42"/>
      <c r="QHR243" s="42"/>
      <c r="QHS243" s="42"/>
      <c r="QHT243" s="42"/>
      <c r="QHU243" s="42"/>
      <c r="QHV243" s="42"/>
      <c r="QHW243" s="42"/>
      <c r="QHX243" s="42"/>
      <c r="QHY243" s="42"/>
      <c r="QHZ243" s="42"/>
      <c r="QIA243" s="42"/>
      <c r="QIB243" s="42"/>
      <c r="QIC243" s="42"/>
      <c r="QID243" s="42"/>
      <c r="QIE243" s="42"/>
      <c r="QIF243" s="42"/>
      <c r="QIG243" s="42"/>
      <c r="QIH243" s="42"/>
      <c r="QII243" s="42"/>
      <c r="QIJ243" s="42"/>
      <c r="QIK243" s="42"/>
      <c r="QIL243" s="42"/>
      <c r="QIM243" s="42"/>
      <c r="QIN243" s="42"/>
      <c r="QIO243" s="42"/>
      <c r="QIP243" s="42"/>
      <c r="QIQ243" s="42"/>
      <c r="QIR243" s="42"/>
      <c r="QIS243" s="42"/>
      <c r="QIT243" s="42"/>
      <c r="QIU243" s="42"/>
      <c r="QIV243" s="42"/>
      <c r="QIW243" s="42"/>
      <c r="QIX243" s="42"/>
      <c r="QIY243" s="42"/>
      <c r="QIZ243" s="42"/>
      <c r="QJA243" s="42"/>
      <c r="QJB243" s="42"/>
      <c r="QJC243" s="42"/>
      <c r="QJD243" s="42"/>
      <c r="QJE243" s="42"/>
      <c r="QJF243" s="42"/>
      <c r="QJG243" s="42"/>
      <c r="QJH243" s="42"/>
      <c r="QJI243" s="42"/>
      <c r="QJJ243" s="42"/>
      <c r="QJK243" s="42"/>
      <c r="QJL243" s="42"/>
      <c r="QJM243" s="42"/>
      <c r="QJN243" s="42"/>
      <c r="QJO243" s="42"/>
      <c r="QJP243" s="42"/>
      <c r="QJQ243" s="42"/>
      <c r="QJR243" s="42"/>
      <c r="QJS243" s="42"/>
      <c r="QJT243" s="42"/>
      <c r="QJU243" s="42"/>
      <c r="QJV243" s="42"/>
      <c r="QJW243" s="42"/>
      <c r="QJX243" s="42"/>
      <c r="QJY243" s="42"/>
      <c r="QJZ243" s="42"/>
      <c r="QKA243" s="42"/>
      <c r="QKB243" s="42"/>
      <c r="QKC243" s="42"/>
      <c r="QKD243" s="42"/>
      <c r="QKE243" s="42"/>
      <c r="QKF243" s="42"/>
      <c r="QKG243" s="42"/>
      <c r="QKH243" s="42"/>
      <c r="QKI243" s="42"/>
      <c r="QKJ243" s="42"/>
      <c r="QKK243" s="42"/>
      <c r="QKL243" s="42"/>
      <c r="QKM243" s="42"/>
      <c r="QKN243" s="42"/>
      <c r="QKO243" s="42"/>
      <c r="QKP243" s="42"/>
      <c r="QKQ243" s="42"/>
      <c r="QKR243" s="42"/>
      <c r="QKS243" s="42"/>
      <c r="QKT243" s="42"/>
      <c r="QKU243" s="42"/>
      <c r="QKV243" s="42"/>
      <c r="QKW243" s="42"/>
      <c r="QKX243" s="42"/>
      <c r="QKY243" s="42"/>
      <c r="QKZ243" s="42"/>
      <c r="QLA243" s="42"/>
      <c r="QLB243" s="42"/>
      <c r="QLC243" s="42"/>
      <c r="QLD243" s="42"/>
      <c r="QLE243" s="42"/>
      <c r="QLF243" s="42"/>
      <c r="QLG243" s="42"/>
      <c r="QLH243" s="42"/>
      <c r="QLI243" s="42"/>
      <c r="QLJ243" s="42"/>
      <c r="QLK243" s="42"/>
      <c r="QLL243" s="42"/>
      <c r="QLM243" s="42"/>
      <c r="QLN243" s="42"/>
      <c r="QLO243" s="42"/>
      <c r="QLP243" s="42"/>
      <c r="QLQ243" s="42"/>
      <c r="QLR243" s="42"/>
      <c r="QLS243" s="42"/>
      <c r="QLT243" s="42"/>
      <c r="QLU243" s="42"/>
      <c r="QLV243" s="42"/>
      <c r="QLW243" s="42"/>
      <c r="QLX243" s="42"/>
      <c r="QLY243" s="42"/>
      <c r="QLZ243" s="42"/>
      <c r="QMA243" s="42"/>
      <c r="QMB243" s="42"/>
      <c r="QMC243" s="42"/>
      <c r="QMD243" s="42"/>
      <c r="QME243" s="42"/>
      <c r="QMF243" s="42"/>
      <c r="QMG243" s="42"/>
      <c r="QMH243" s="42"/>
      <c r="QMI243" s="42"/>
      <c r="QMJ243" s="42"/>
      <c r="QMK243" s="42"/>
      <c r="QML243" s="42"/>
      <c r="QMM243" s="42"/>
      <c r="QMN243" s="42"/>
      <c r="QMO243" s="42"/>
      <c r="QMP243" s="42"/>
      <c r="QMQ243" s="42"/>
      <c r="QMR243" s="42"/>
      <c r="QMS243" s="42"/>
      <c r="QMT243" s="42"/>
      <c r="QMU243" s="42"/>
      <c r="QMV243" s="42"/>
      <c r="QMW243" s="42"/>
      <c r="QMX243" s="42"/>
      <c r="QMY243" s="42"/>
      <c r="QMZ243" s="42"/>
      <c r="QNA243" s="42"/>
      <c r="QNB243" s="42"/>
      <c r="QNC243" s="42"/>
      <c r="QND243" s="42"/>
      <c r="QNE243" s="42"/>
      <c r="QNF243" s="42"/>
      <c r="QNG243" s="42"/>
      <c r="QNH243" s="42"/>
      <c r="QNI243" s="42"/>
      <c r="QNJ243" s="42"/>
      <c r="QNK243" s="42"/>
      <c r="QNL243" s="42"/>
      <c r="QNM243" s="42"/>
      <c r="QNN243" s="42"/>
      <c r="QNO243" s="42"/>
      <c r="QNP243" s="42"/>
      <c r="QNQ243" s="42"/>
      <c r="QNR243" s="42"/>
      <c r="QNS243" s="42"/>
      <c r="QNT243" s="42"/>
      <c r="QNU243" s="42"/>
      <c r="QNV243" s="42"/>
      <c r="QNW243" s="42"/>
      <c r="QNX243" s="42"/>
      <c r="QNY243" s="42"/>
      <c r="QNZ243" s="42"/>
      <c r="QOA243" s="42"/>
      <c r="QOB243" s="42"/>
      <c r="QOC243" s="42"/>
      <c r="QOD243" s="42"/>
      <c r="QOE243" s="42"/>
      <c r="QOF243" s="42"/>
      <c r="QOG243" s="42"/>
      <c r="QOH243" s="42"/>
      <c r="QOI243" s="42"/>
      <c r="QOJ243" s="42"/>
      <c r="QOK243" s="42"/>
      <c r="QOL243" s="42"/>
      <c r="QOM243" s="42"/>
      <c r="QON243" s="42"/>
      <c r="QOO243" s="42"/>
      <c r="QOP243" s="42"/>
      <c r="QOQ243" s="42"/>
      <c r="QOR243" s="42"/>
      <c r="QOS243" s="42"/>
      <c r="QOT243" s="42"/>
      <c r="QOU243" s="42"/>
      <c r="QOV243" s="42"/>
      <c r="QOW243" s="42"/>
      <c r="QOX243" s="42"/>
      <c r="QOY243" s="42"/>
      <c r="QOZ243" s="42"/>
      <c r="QPA243" s="42"/>
      <c r="QPB243" s="42"/>
      <c r="QPC243" s="42"/>
      <c r="QPD243" s="42"/>
      <c r="QPE243" s="42"/>
      <c r="QPF243" s="42"/>
      <c r="QPG243" s="42"/>
      <c r="QPH243" s="42"/>
      <c r="QPI243" s="42"/>
      <c r="QPJ243" s="42"/>
      <c r="QPK243" s="42"/>
      <c r="QPL243" s="42"/>
      <c r="QPM243" s="42"/>
      <c r="QPN243" s="42"/>
      <c r="QPO243" s="42"/>
      <c r="QPP243" s="42"/>
      <c r="QPQ243" s="42"/>
      <c r="QPR243" s="42"/>
      <c r="QPS243" s="42"/>
      <c r="QPT243" s="42"/>
      <c r="QPU243" s="42"/>
      <c r="QPV243" s="42"/>
      <c r="QPW243" s="42"/>
      <c r="QPX243" s="42"/>
      <c r="QPY243" s="42"/>
      <c r="QPZ243" s="42"/>
      <c r="QQA243" s="42"/>
      <c r="QQB243" s="42"/>
      <c r="QQC243" s="42"/>
      <c r="QQD243" s="42"/>
      <c r="QQE243" s="42"/>
      <c r="QQF243" s="42"/>
      <c r="QQG243" s="42"/>
      <c r="QQH243" s="42"/>
      <c r="QQI243" s="42"/>
      <c r="QQJ243" s="42"/>
      <c r="QQK243" s="42"/>
      <c r="QQL243" s="42"/>
      <c r="QQM243" s="42"/>
      <c r="QQN243" s="42"/>
      <c r="QQO243" s="42"/>
      <c r="QQP243" s="42"/>
      <c r="QQQ243" s="42"/>
      <c r="QQR243" s="42"/>
      <c r="QQS243" s="42"/>
      <c r="QQT243" s="42"/>
      <c r="QQU243" s="42"/>
      <c r="QQV243" s="42"/>
      <c r="QQW243" s="42"/>
      <c r="QQX243" s="42"/>
      <c r="QQY243" s="42"/>
      <c r="QQZ243" s="42"/>
      <c r="QRA243" s="42"/>
      <c r="QRB243" s="42"/>
      <c r="QRC243" s="42"/>
      <c r="QRD243" s="42"/>
      <c r="QRE243" s="42"/>
      <c r="QRF243" s="42"/>
      <c r="QRG243" s="42"/>
      <c r="QRH243" s="42"/>
      <c r="QRI243" s="42"/>
      <c r="QRJ243" s="42"/>
      <c r="QRK243" s="42"/>
      <c r="QRL243" s="42"/>
      <c r="QRM243" s="42"/>
      <c r="QRN243" s="42"/>
      <c r="QRO243" s="42"/>
      <c r="QRP243" s="42"/>
      <c r="QRQ243" s="42"/>
      <c r="QRR243" s="42"/>
      <c r="QRS243" s="42"/>
      <c r="QRT243" s="42"/>
      <c r="QRU243" s="42"/>
      <c r="QRV243" s="42"/>
      <c r="QRW243" s="42"/>
      <c r="QRX243" s="42"/>
      <c r="QRY243" s="42"/>
      <c r="QRZ243" s="42"/>
      <c r="QSA243" s="42"/>
      <c r="QSB243" s="42"/>
      <c r="QSC243" s="42"/>
      <c r="QSD243" s="42"/>
      <c r="QSE243" s="42"/>
      <c r="QSF243" s="42"/>
      <c r="QSG243" s="42"/>
      <c r="QSH243" s="42"/>
      <c r="QSI243" s="42"/>
      <c r="QSJ243" s="42"/>
      <c r="QSK243" s="42"/>
      <c r="QSL243" s="42"/>
      <c r="QSM243" s="42"/>
      <c r="QSN243" s="42"/>
      <c r="QSO243" s="42"/>
      <c r="QSP243" s="42"/>
      <c r="QSQ243" s="42"/>
      <c r="QSR243" s="42"/>
      <c r="QSS243" s="42"/>
      <c r="QST243" s="42"/>
      <c r="QSU243" s="42"/>
      <c r="QSV243" s="42"/>
      <c r="QSW243" s="42"/>
      <c r="QSX243" s="42"/>
      <c r="QSY243" s="42"/>
      <c r="QSZ243" s="42"/>
      <c r="QTA243" s="42"/>
      <c r="QTB243" s="42"/>
      <c r="QTC243" s="42"/>
      <c r="QTD243" s="42"/>
      <c r="QTE243" s="42"/>
      <c r="QTF243" s="42"/>
      <c r="QTG243" s="42"/>
      <c r="QTH243" s="42"/>
      <c r="QTI243" s="42"/>
      <c r="QTJ243" s="42"/>
      <c r="QTK243" s="42"/>
      <c r="QTL243" s="42"/>
      <c r="QTM243" s="42"/>
      <c r="QTN243" s="42"/>
      <c r="QTO243" s="42"/>
      <c r="QTP243" s="42"/>
      <c r="QTQ243" s="42"/>
      <c r="QTR243" s="42"/>
      <c r="QTS243" s="42"/>
      <c r="QTT243" s="42"/>
      <c r="QTU243" s="42"/>
      <c r="QTV243" s="42"/>
      <c r="QTW243" s="42"/>
      <c r="QTX243" s="42"/>
      <c r="QTY243" s="42"/>
      <c r="QTZ243" s="42"/>
      <c r="QUA243" s="42"/>
      <c r="QUB243" s="42"/>
      <c r="QUC243" s="42"/>
      <c r="QUD243" s="42"/>
      <c r="QUE243" s="42"/>
      <c r="QUF243" s="42"/>
      <c r="QUG243" s="42"/>
      <c r="QUH243" s="42"/>
      <c r="QUI243" s="42"/>
      <c r="QUJ243" s="42"/>
      <c r="QUK243" s="42"/>
      <c r="QUL243" s="42"/>
      <c r="QUM243" s="42"/>
      <c r="QUN243" s="42"/>
      <c r="QUO243" s="42"/>
      <c r="QUP243" s="42"/>
      <c r="QUQ243" s="42"/>
      <c r="QUR243" s="42"/>
      <c r="QUS243" s="42"/>
      <c r="QUT243" s="42"/>
      <c r="QUU243" s="42"/>
      <c r="QUV243" s="42"/>
      <c r="QUW243" s="42"/>
      <c r="QUX243" s="42"/>
      <c r="QUY243" s="42"/>
      <c r="QUZ243" s="42"/>
      <c r="QVA243" s="42"/>
      <c r="QVB243" s="42"/>
      <c r="QVC243" s="42"/>
      <c r="QVD243" s="42"/>
      <c r="QVE243" s="42"/>
      <c r="QVF243" s="42"/>
      <c r="QVG243" s="42"/>
      <c r="QVH243" s="42"/>
      <c r="QVI243" s="42"/>
      <c r="QVJ243" s="42"/>
      <c r="QVK243" s="42"/>
      <c r="QVL243" s="42"/>
      <c r="QVM243" s="42"/>
      <c r="QVN243" s="42"/>
      <c r="QVO243" s="42"/>
      <c r="QVP243" s="42"/>
      <c r="QVQ243" s="42"/>
      <c r="QVR243" s="42"/>
      <c r="QVS243" s="42"/>
      <c r="QVT243" s="42"/>
      <c r="QVU243" s="42"/>
      <c r="QVV243" s="42"/>
      <c r="QVW243" s="42"/>
      <c r="QVX243" s="42"/>
      <c r="QVY243" s="42"/>
      <c r="QVZ243" s="42"/>
      <c r="QWA243" s="42"/>
      <c r="QWB243" s="42"/>
      <c r="QWC243" s="42"/>
      <c r="QWD243" s="42"/>
      <c r="QWE243" s="42"/>
      <c r="QWF243" s="42"/>
      <c r="QWG243" s="42"/>
      <c r="QWH243" s="42"/>
      <c r="QWI243" s="42"/>
      <c r="QWJ243" s="42"/>
      <c r="QWK243" s="42"/>
      <c r="QWL243" s="42"/>
      <c r="QWM243" s="42"/>
      <c r="QWN243" s="42"/>
      <c r="QWO243" s="42"/>
      <c r="QWP243" s="42"/>
      <c r="QWQ243" s="42"/>
      <c r="QWR243" s="42"/>
      <c r="QWS243" s="42"/>
      <c r="QWT243" s="42"/>
      <c r="QWU243" s="42"/>
      <c r="QWV243" s="42"/>
      <c r="QWW243" s="42"/>
      <c r="QWX243" s="42"/>
      <c r="QWY243" s="42"/>
      <c r="QWZ243" s="42"/>
      <c r="QXA243" s="42"/>
      <c r="QXB243" s="42"/>
      <c r="QXC243" s="42"/>
      <c r="QXD243" s="42"/>
      <c r="QXE243" s="42"/>
      <c r="QXF243" s="42"/>
      <c r="QXG243" s="42"/>
      <c r="QXH243" s="42"/>
      <c r="QXI243" s="42"/>
      <c r="QXJ243" s="42"/>
      <c r="QXK243" s="42"/>
      <c r="QXL243" s="42"/>
      <c r="QXM243" s="42"/>
      <c r="QXN243" s="42"/>
      <c r="QXO243" s="42"/>
      <c r="QXP243" s="42"/>
      <c r="QXQ243" s="42"/>
      <c r="QXR243" s="42"/>
      <c r="QXS243" s="42"/>
      <c r="QXT243" s="42"/>
      <c r="QXU243" s="42"/>
      <c r="QXV243" s="42"/>
      <c r="QXW243" s="42"/>
      <c r="QXX243" s="42"/>
      <c r="QXY243" s="42"/>
      <c r="QXZ243" s="42"/>
      <c r="QYA243" s="42"/>
      <c r="QYB243" s="42"/>
      <c r="QYC243" s="42"/>
      <c r="QYD243" s="42"/>
      <c r="QYE243" s="42"/>
      <c r="QYF243" s="42"/>
      <c r="QYG243" s="42"/>
      <c r="QYH243" s="42"/>
      <c r="QYI243" s="42"/>
      <c r="QYJ243" s="42"/>
      <c r="QYK243" s="42"/>
      <c r="QYL243" s="42"/>
      <c r="QYM243" s="42"/>
      <c r="QYN243" s="42"/>
      <c r="QYO243" s="42"/>
      <c r="QYP243" s="42"/>
      <c r="QYQ243" s="42"/>
      <c r="QYR243" s="42"/>
      <c r="QYS243" s="42"/>
      <c r="QYT243" s="42"/>
      <c r="QYU243" s="42"/>
      <c r="QYV243" s="42"/>
      <c r="QYW243" s="42"/>
      <c r="QYX243" s="42"/>
      <c r="QYY243" s="42"/>
      <c r="QYZ243" s="42"/>
      <c r="QZA243" s="42"/>
      <c r="QZB243" s="42"/>
      <c r="QZC243" s="42"/>
      <c r="QZD243" s="42"/>
      <c r="QZE243" s="42"/>
      <c r="QZF243" s="42"/>
      <c r="QZG243" s="42"/>
      <c r="QZH243" s="42"/>
      <c r="QZI243" s="42"/>
      <c r="QZJ243" s="42"/>
      <c r="QZK243" s="42"/>
      <c r="QZL243" s="42"/>
      <c r="QZM243" s="42"/>
      <c r="QZN243" s="42"/>
      <c r="QZO243" s="42"/>
      <c r="QZP243" s="42"/>
      <c r="QZQ243" s="42"/>
      <c r="QZR243" s="42"/>
      <c r="QZS243" s="42"/>
      <c r="QZT243" s="42"/>
      <c r="QZU243" s="42"/>
      <c r="QZV243" s="42"/>
      <c r="QZW243" s="42"/>
      <c r="QZX243" s="42"/>
      <c r="QZY243" s="42"/>
      <c r="QZZ243" s="42"/>
      <c r="RAA243" s="42"/>
      <c r="RAB243" s="42"/>
      <c r="RAC243" s="42"/>
      <c r="RAD243" s="42"/>
      <c r="RAE243" s="42"/>
      <c r="RAF243" s="42"/>
      <c r="RAG243" s="42"/>
      <c r="RAH243" s="42"/>
      <c r="RAI243" s="42"/>
      <c r="RAJ243" s="42"/>
      <c r="RAK243" s="42"/>
      <c r="RAL243" s="42"/>
      <c r="RAM243" s="42"/>
      <c r="RAN243" s="42"/>
      <c r="RAO243" s="42"/>
      <c r="RAP243" s="42"/>
      <c r="RAQ243" s="42"/>
      <c r="RAR243" s="42"/>
      <c r="RAS243" s="42"/>
      <c r="RAT243" s="42"/>
      <c r="RAU243" s="42"/>
      <c r="RAV243" s="42"/>
      <c r="RAW243" s="42"/>
      <c r="RAX243" s="42"/>
      <c r="RAY243" s="42"/>
      <c r="RAZ243" s="42"/>
      <c r="RBA243" s="42"/>
      <c r="RBB243" s="42"/>
      <c r="RBC243" s="42"/>
      <c r="RBD243" s="42"/>
      <c r="RBE243" s="42"/>
      <c r="RBF243" s="42"/>
      <c r="RBG243" s="42"/>
      <c r="RBH243" s="42"/>
      <c r="RBI243" s="42"/>
      <c r="RBJ243" s="42"/>
      <c r="RBK243" s="42"/>
      <c r="RBL243" s="42"/>
      <c r="RBM243" s="42"/>
      <c r="RBN243" s="42"/>
      <c r="RBO243" s="42"/>
      <c r="RBP243" s="42"/>
      <c r="RBQ243" s="42"/>
      <c r="RBR243" s="42"/>
      <c r="RBS243" s="42"/>
      <c r="RBT243" s="42"/>
      <c r="RBU243" s="42"/>
      <c r="RBV243" s="42"/>
      <c r="RBW243" s="42"/>
      <c r="RBX243" s="42"/>
      <c r="RBY243" s="42"/>
      <c r="RBZ243" s="42"/>
      <c r="RCA243" s="42"/>
      <c r="RCB243" s="42"/>
      <c r="RCC243" s="42"/>
      <c r="RCD243" s="42"/>
      <c r="RCE243" s="42"/>
      <c r="RCF243" s="42"/>
      <c r="RCG243" s="42"/>
      <c r="RCH243" s="42"/>
      <c r="RCI243" s="42"/>
      <c r="RCJ243" s="42"/>
      <c r="RCK243" s="42"/>
      <c r="RCL243" s="42"/>
      <c r="RCM243" s="42"/>
      <c r="RCN243" s="42"/>
      <c r="RCO243" s="42"/>
      <c r="RCP243" s="42"/>
      <c r="RCQ243" s="42"/>
      <c r="RCR243" s="42"/>
      <c r="RCS243" s="42"/>
      <c r="RCT243" s="42"/>
      <c r="RCU243" s="42"/>
      <c r="RCV243" s="42"/>
      <c r="RCW243" s="42"/>
      <c r="RCX243" s="42"/>
      <c r="RCY243" s="42"/>
      <c r="RCZ243" s="42"/>
      <c r="RDA243" s="42"/>
      <c r="RDB243" s="42"/>
      <c r="RDC243" s="42"/>
      <c r="RDD243" s="42"/>
      <c r="RDE243" s="42"/>
      <c r="RDF243" s="42"/>
      <c r="RDG243" s="42"/>
      <c r="RDH243" s="42"/>
      <c r="RDI243" s="42"/>
      <c r="RDJ243" s="42"/>
      <c r="RDK243" s="42"/>
      <c r="RDL243" s="42"/>
      <c r="RDM243" s="42"/>
      <c r="RDN243" s="42"/>
      <c r="RDO243" s="42"/>
      <c r="RDP243" s="42"/>
      <c r="RDQ243" s="42"/>
      <c r="RDR243" s="42"/>
      <c r="RDS243" s="42"/>
      <c r="RDT243" s="42"/>
      <c r="RDU243" s="42"/>
      <c r="RDV243" s="42"/>
      <c r="RDW243" s="42"/>
      <c r="RDX243" s="42"/>
      <c r="RDY243" s="42"/>
      <c r="RDZ243" s="42"/>
      <c r="REA243" s="42"/>
      <c r="REB243" s="42"/>
      <c r="REC243" s="42"/>
      <c r="RED243" s="42"/>
      <c r="REE243" s="42"/>
      <c r="REF243" s="42"/>
      <c r="REG243" s="42"/>
      <c r="REH243" s="42"/>
      <c r="REI243" s="42"/>
      <c r="REJ243" s="42"/>
      <c r="REK243" s="42"/>
      <c r="REL243" s="42"/>
      <c r="REM243" s="42"/>
      <c r="REN243" s="42"/>
      <c r="REO243" s="42"/>
      <c r="REP243" s="42"/>
      <c r="REQ243" s="42"/>
      <c r="RER243" s="42"/>
      <c r="RES243" s="42"/>
      <c r="RET243" s="42"/>
      <c r="REU243" s="42"/>
      <c r="REV243" s="42"/>
      <c r="REW243" s="42"/>
      <c r="REX243" s="42"/>
      <c r="REY243" s="42"/>
      <c r="REZ243" s="42"/>
      <c r="RFA243" s="42"/>
      <c r="RFB243" s="42"/>
      <c r="RFC243" s="42"/>
      <c r="RFD243" s="42"/>
      <c r="RFE243" s="42"/>
      <c r="RFF243" s="42"/>
      <c r="RFG243" s="42"/>
      <c r="RFH243" s="42"/>
      <c r="RFI243" s="42"/>
      <c r="RFJ243" s="42"/>
      <c r="RFK243" s="42"/>
      <c r="RFL243" s="42"/>
      <c r="RFM243" s="42"/>
      <c r="RFN243" s="42"/>
      <c r="RFO243" s="42"/>
      <c r="RFP243" s="42"/>
      <c r="RFQ243" s="42"/>
      <c r="RFR243" s="42"/>
      <c r="RFS243" s="42"/>
      <c r="RFT243" s="42"/>
      <c r="RFU243" s="42"/>
      <c r="RFV243" s="42"/>
      <c r="RFW243" s="42"/>
      <c r="RFX243" s="42"/>
      <c r="RFY243" s="42"/>
      <c r="RFZ243" s="42"/>
      <c r="RGA243" s="42"/>
      <c r="RGB243" s="42"/>
      <c r="RGC243" s="42"/>
      <c r="RGD243" s="42"/>
      <c r="RGE243" s="42"/>
      <c r="RGF243" s="42"/>
      <c r="RGG243" s="42"/>
      <c r="RGH243" s="42"/>
      <c r="RGI243" s="42"/>
      <c r="RGJ243" s="42"/>
      <c r="RGK243" s="42"/>
      <c r="RGL243" s="42"/>
      <c r="RGM243" s="42"/>
      <c r="RGN243" s="42"/>
      <c r="RGO243" s="42"/>
      <c r="RGP243" s="42"/>
      <c r="RGQ243" s="42"/>
      <c r="RGR243" s="42"/>
      <c r="RGS243" s="42"/>
      <c r="RGT243" s="42"/>
      <c r="RGU243" s="42"/>
      <c r="RGV243" s="42"/>
      <c r="RGW243" s="42"/>
      <c r="RGX243" s="42"/>
      <c r="RGY243" s="42"/>
      <c r="RGZ243" s="42"/>
      <c r="RHA243" s="42"/>
      <c r="RHB243" s="42"/>
      <c r="RHC243" s="42"/>
      <c r="RHD243" s="42"/>
      <c r="RHE243" s="42"/>
      <c r="RHF243" s="42"/>
      <c r="RHG243" s="42"/>
      <c r="RHH243" s="42"/>
      <c r="RHI243" s="42"/>
      <c r="RHJ243" s="42"/>
      <c r="RHK243" s="42"/>
      <c r="RHL243" s="42"/>
      <c r="RHM243" s="42"/>
      <c r="RHN243" s="42"/>
      <c r="RHO243" s="42"/>
      <c r="RHP243" s="42"/>
      <c r="RHQ243" s="42"/>
      <c r="RHR243" s="42"/>
      <c r="RHS243" s="42"/>
      <c r="RHT243" s="42"/>
      <c r="RHU243" s="42"/>
      <c r="RHV243" s="42"/>
      <c r="RHW243" s="42"/>
      <c r="RHX243" s="42"/>
      <c r="RHY243" s="42"/>
      <c r="RHZ243" s="42"/>
      <c r="RIA243" s="42"/>
      <c r="RIB243" s="42"/>
      <c r="RIC243" s="42"/>
      <c r="RID243" s="42"/>
      <c r="RIE243" s="42"/>
      <c r="RIF243" s="42"/>
      <c r="RIG243" s="42"/>
      <c r="RIH243" s="42"/>
      <c r="RII243" s="42"/>
      <c r="RIJ243" s="42"/>
      <c r="RIK243" s="42"/>
      <c r="RIL243" s="42"/>
      <c r="RIM243" s="42"/>
      <c r="RIN243" s="42"/>
      <c r="RIO243" s="42"/>
      <c r="RIP243" s="42"/>
      <c r="RIQ243" s="42"/>
      <c r="RIR243" s="42"/>
      <c r="RIS243" s="42"/>
      <c r="RIT243" s="42"/>
      <c r="RIU243" s="42"/>
      <c r="RIV243" s="42"/>
      <c r="RIW243" s="42"/>
      <c r="RIX243" s="42"/>
      <c r="RIY243" s="42"/>
      <c r="RIZ243" s="42"/>
      <c r="RJA243" s="42"/>
      <c r="RJB243" s="42"/>
      <c r="RJC243" s="42"/>
      <c r="RJD243" s="42"/>
      <c r="RJE243" s="42"/>
      <c r="RJF243" s="42"/>
      <c r="RJG243" s="42"/>
      <c r="RJH243" s="42"/>
      <c r="RJI243" s="42"/>
      <c r="RJJ243" s="42"/>
      <c r="RJK243" s="42"/>
      <c r="RJL243" s="42"/>
      <c r="RJM243" s="42"/>
      <c r="RJN243" s="42"/>
      <c r="RJO243" s="42"/>
      <c r="RJP243" s="42"/>
      <c r="RJQ243" s="42"/>
      <c r="RJR243" s="42"/>
      <c r="RJS243" s="42"/>
      <c r="RJT243" s="42"/>
      <c r="RJU243" s="42"/>
      <c r="RJV243" s="42"/>
      <c r="RJW243" s="42"/>
      <c r="RJX243" s="42"/>
      <c r="RJY243" s="42"/>
      <c r="RJZ243" s="42"/>
      <c r="RKA243" s="42"/>
      <c r="RKB243" s="42"/>
      <c r="RKC243" s="42"/>
      <c r="RKD243" s="42"/>
      <c r="RKE243" s="42"/>
      <c r="RKF243" s="42"/>
      <c r="RKG243" s="42"/>
      <c r="RKH243" s="42"/>
      <c r="RKI243" s="42"/>
      <c r="RKJ243" s="42"/>
      <c r="RKK243" s="42"/>
      <c r="RKL243" s="42"/>
      <c r="RKM243" s="42"/>
      <c r="RKN243" s="42"/>
      <c r="RKO243" s="42"/>
      <c r="RKP243" s="42"/>
      <c r="RKQ243" s="42"/>
      <c r="RKR243" s="42"/>
      <c r="RKS243" s="42"/>
      <c r="RKT243" s="42"/>
      <c r="RKU243" s="42"/>
      <c r="RKV243" s="42"/>
      <c r="RKW243" s="42"/>
      <c r="RKX243" s="42"/>
      <c r="RKY243" s="42"/>
      <c r="RKZ243" s="42"/>
      <c r="RLA243" s="42"/>
      <c r="RLB243" s="42"/>
      <c r="RLC243" s="42"/>
      <c r="RLD243" s="42"/>
      <c r="RLE243" s="42"/>
      <c r="RLF243" s="42"/>
      <c r="RLG243" s="42"/>
      <c r="RLH243" s="42"/>
      <c r="RLI243" s="42"/>
      <c r="RLJ243" s="42"/>
      <c r="RLK243" s="42"/>
      <c r="RLL243" s="42"/>
      <c r="RLM243" s="42"/>
      <c r="RLN243" s="42"/>
      <c r="RLO243" s="42"/>
      <c r="RLP243" s="42"/>
      <c r="RLQ243" s="42"/>
      <c r="RLR243" s="42"/>
      <c r="RLS243" s="42"/>
      <c r="RLT243" s="42"/>
      <c r="RLU243" s="42"/>
      <c r="RLV243" s="42"/>
      <c r="RLW243" s="42"/>
      <c r="RLX243" s="42"/>
      <c r="RLY243" s="42"/>
      <c r="RLZ243" s="42"/>
      <c r="RMA243" s="42"/>
      <c r="RMB243" s="42"/>
      <c r="RMC243" s="42"/>
      <c r="RMD243" s="42"/>
      <c r="RME243" s="42"/>
      <c r="RMF243" s="42"/>
      <c r="RMG243" s="42"/>
      <c r="RMH243" s="42"/>
      <c r="RMI243" s="42"/>
      <c r="RMJ243" s="42"/>
      <c r="RMK243" s="42"/>
      <c r="RML243" s="42"/>
      <c r="RMM243" s="42"/>
      <c r="RMN243" s="42"/>
      <c r="RMO243" s="42"/>
      <c r="RMP243" s="42"/>
      <c r="RMQ243" s="42"/>
      <c r="RMR243" s="42"/>
      <c r="RMS243" s="42"/>
      <c r="RMT243" s="42"/>
      <c r="RMU243" s="42"/>
      <c r="RMV243" s="42"/>
      <c r="RMW243" s="42"/>
      <c r="RMX243" s="42"/>
      <c r="RMY243" s="42"/>
      <c r="RMZ243" s="42"/>
      <c r="RNA243" s="42"/>
      <c r="RNB243" s="42"/>
      <c r="RNC243" s="42"/>
      <c r="RND243" s="42"/>
      <c r="RNE243" s="42"/>
      <c r="RNF243" s="42"/>
      <c r="RNG243" s="42"/>
      <c r="RNH243" s="42"/>
      <c r="RNI243" s="42"/>
      <c r="RNJ243" s="42"/>
      <c r="RNK243" s="42"/>
      <c r="RNL243" s="42"/>
      <c r="RNM243" s="42"/>
      <c r="RNN243" s="42"/>
      <c r="RNO243" s="42"/>
      <c r="RNP243" s="42"/>
      <c r="RNQ243" s="42"/>
      <c r="RNR243" s="42"/>
      <c r="RNS243" s="42"/>
      <c r="RNT243" s="42"/>
      <c r="RNU243" s="42"/>
      <c r="RNV243" s="42"/>
      <c r="RNW243" s="42"/>
      <c r="RNX243" s="42"/>
      <c r="RNY243" s="42"/>
      <c r="RNZ243" s="42"/>
      <c r="ROA243" s="42"/>
      <c r="ROB243" s="42"/>
      <c r="ROC243" s="42"/>
      <c r="ROD243" s="42"/>
      <c r="ROE243" s="42"/>
      <c r="ROF243" s="42"/>
      <c r="ROG243" s="42"/>
      <c r="ROH243" s="42"/>
      <c r="ROI243" s="42"/>
      <c r="ROJ243" s="42"/>
      <c r="ROK243" s="42"/>
      <c r="ROL243" s="42"/>
      <c r="ROM243" s="42"/>
      <c r="RON243" s="42"/>
      <c r="ROO243" s="42"/>
      <c r="ROP243" s="42"/>
      <c r="ROQ243" s="42"/>
      <c r="ROR243" s="42"/>
      <c r="ROS243" s="42"/>
      <c r="ROT243" s="42"/>
      <c r="ROU243" s="42"/>
      <c r="ROV243" s="42"/>
      <c r="ROW243" s="42"/>
      <c r="ROX243" s="42"/>
      <c r="ROY243" s="42"/>
      <c r="ROZ243" s="42"/>
      <c r="RPA243" s="42"/>
      <c r="RPB243" s="42"/>
      <c r="RPC243" s="42"/>
      <c r="RPD243" s="42"/>
      <c r="RPE243" s="42"/>
      <c r="RPF243" s="42"/>
      <c r="RPG243" s="42"/>
      <c r="RPH243" s="42"/>
      <c r="RPI243" s="42"/>
      <c r="RPJ243" s="42"/>
      <c r="RPK243" s="42"/>
      <c r="RPL243" s="42"/>
      <c r="RPM243" s="42"/>
      <c r="RPN243" s="42"/>
      <c r="RPO243" s="42"/>
      <c r="RPP243" s="42"/>
      <c r="RPQ243" s="42"/>
      <c r="RPR243" s="42"/>
      <c r="RPS243" s="42"/>
      <c r="RPT243" s="42"/>
      <c r="RPU243" s="42"/>
      <c r="RPV243" s="42"/>
      <c r="RPW243" s="42"/>
      <c r="RPX243" s="42"/>
      <c r="RPY243" s="42"/>
      <c r="RPZ243" s="42"/>
      <c r="RQA243" s="42"/>
      <c r="RQB243" s="42"/>
      <c r="RQC243" s="42"/>
      <c r="RQD243" s="42"/>
      <c r="RQE243" s="42"/>
      <c r="RQF243" s="42"/>
      <c r="RQG243" s="42"/>
      <c r="RQH243" s="42"/>
      <c r="RQI243" s="42"/>
      <c r="RQJ243" s="42"/>
      <c r="RQK243" s="42"/>
      <c r="RQL243" s="42"/>
      <c r="RQM243" s="42"/>
      <c r="RQN243" s="42"/>
      <c r="RQO243" s="42"/>
      <c r="RQP243" s="42"/>
      <c r="RQQ243" s="42"/>
      <c r="RQR243" s="42"/>
      <c r="RQS243" s="42"/>
      <c r="RQT243" s="42"/>
      <c r="RQU243" s="42"/>
      <c r="RQV243" s="42"/>
      <c r="RQW243" s="42"/>
      <c r="RQX243" s="42"/>
      <c r="RQY243" s="42"/>
      <c r="RQZ243" s="42"/>
      <c r="RRA243" s="42"/>
      <c r="RRB243" s="42"/>
      <c r="RRC243" s="42"/>
      <c r="RRD243" s="42"/>
      <c r="RRE243" s="42"/>
      <c r="RRF243" s="42"/>
      <c r="RRG243" s="42"/>
      <c r="RRH243" s="42"/>
      <c r="RRI243" s="42"/>
      <c r="RRJ243" s="42"/>
      <c r="RRK243" s="42"/>
      <c r="RRL243" s="42"/>
      <c r="RRM243" s="42"/>
      <c r="RRN243" s="42"/>
      <c r="RRO243" s="42"/>
      <c r="RRP243" s="42"/>
      <c r="RRQ243" s="42"/>
      <c r="RRR243" s="42"/>
      <c r="RRS243" s="42"/>
      <c r="RRT243" s="42"/>
      <c r="RRU243" s="42"/>
      <c r="RRV243" s="42"/>
      <c r="RRW243" s="42"/>
      <c r="RRX243" s="42"/>
      <c r="RRY243" s="42"/>
      <c r="RRZ243" s="42"/>
      <c r="RSA243" s="42"/>
      <c r="RSB243" s="42"/>
      <c r="RSC243" s="42"/>
      <c r="RSD243" s="42"/>
      <c r="RSE243" s="42"/>
      <c r="RSF243" s="42"/>
      <c r="RSG243" s="42"/>
      <c r="RSH243" s="42"/>
      <c r="RSI243" s="42"/>
      <c r="RSJ243" s="42"/>
      <c r="RSK243" s="42"/>
      <c r="RSL243" s="42"/>
      <c r="RSM243" s="42"/>
      <c r="RSN243" s="42"/>
      <c r="RSO243" s="42"/>
      <c r="RSP243" s="42"/>
      <c r="RSQ243" s="42"/>
      <c r="RSR243" s="42"/>
      <c r="RSS243" s="42"/>
      <c r="RST243" s="42"/>
      <c r="RSU243" s="42"/>
      <c r="RSV243" s="42"/>
      <c r="RSW243" s="42"/>
      <c r="RSX243" s="42"/>
      <c r="RSY243" s="42"/>
      <c r="RSZ243" s="42"/>
      <c r="RTA243" s="42"/>
      <c r="RTB243" s="42"/>
      <c r="RTC243" s="42"/>
      <c r="RTD243" s="42"/>
      <c r="RTE243" s="42"/>
      <c r="RTF243" s="42"/>
      <c r="RTG243" s="42"/>
      <c r="RTH243" s="42"/>
      <c r="RTI243" s="42"/>
      <c r="RTJ243" s="42"/>
      <c r="RTK243" s="42"/>
      <c r="RTL243" s="42"/>
      <c r="RTM243" s="42"/>
      <c r="RTN243" s="42"/>
      <c r="RTO243" s="42"/>
      <c r="RTP243" s="42"/>
      <c r="RTQ243" s="42"/>
      <c r="RTR243" s="42"/>
      <c r="RTS243" s="42"/>
      <c r="RTT243" s="42"/>
      <c r="RTU243" s="42"/>
      <c r="RTV243" s="42"/>
      <c r="RTW243" s="42"/>
      <c r="RTX243" s="42"/>
      <c r="RTY243" s="42"/>
      <c r="RTZ243" s="42"/>
      <c r="RUA243" s="42"/>
      <c r="RUB243" s="42"/>
      <c r="RUC243" s="42"/>
      <c r="RUD243" s="42"/>
      <c r="RUE243" s="42"/>
      <c r="RUF243" s="42"/>
      <c r="RUG243" s="42"/>
      <c r="RUH243" s="42"/>
      <c r="RUI243" s="42"/>
      <c r="RUJ243" s="42"/>
      <c r="RUK243" s="42"/>
      <c r="RUL243" s="42"/>
      <c r="RUM243" s="42"/>
      <c r="RUN243" s="42"/>
      <c r="RUO243" s="42"/>
      <c r="RUP243" s="42"/>
      <c r="RUQ243" s="42"/>
      <c r="RUR243" s="42"/>
      <c r="RUS243" s="42"/>
      <c r="RUT243" s="42"/>
      <c r="RUU243" s="42"/>
      <c r="RUV243" s="42"/>
      <c r="RUW243" s="42"/>
      <c r="RUX243" s="42"/>
      <c r="RUY243" s="42"/>
      <c r="RUZ243" s="42"/>
      <c r="RVA243" s="42"/>
      <c r="RVB243" s="42"/>
      <c r="RVC243" s="42"/>
      <c r="RVD243" s="42"/>
      <c r="RVE243" s="42"/>
      <c r="RVF243" s="42"/>
      <c r="RVG243" s="42"/>
      <c r="RVH243" s="42"/>
      <c r="RVI243" s="42"/>
      <c r="RVJ243" s="42"/>
      <c r="RVK243" s="42"/>
      <c r="RVL243" s="42"/>
      <c r="RVM243" s="42"/>
      <c r="RVN243" s="42"/>
      <c r="RVO243" s="42"/>
      <c r="RVP243" s="42"/>
      <c r="RVQ243" s="42"/>
      <c r="RVR243" s="42"/>
      <c r="RVS243" s="42"/>
      <c r="RVT243" s="42"/>
      <c r="RVU243" s="42"/>
      <c r="RVV243" s="42"/>
      <c r="RVW243" s="42"/>
      <c r="RVX243" s="42"/>
      <c r="RVY243" s="42"/>
      <c r="RVZ243" s="42"/>
      <c r="RWA243" s="42"/>
      <c r="RWB243" s="42"/>
      <c r="RWC243" s="42"/>
      <c r="RWD243" s="42"/>
      <c r="RWE243" s="42"/>
      <c r="RWF243" s="42"/>
      <c r="RWG243" s="42"/>
      <c r="RWH243" s="42"/>
      <c r="RWI243" s="42"/>
      <c r="RWJ243" s="42"/>
      <c r="RWK243" s="42"/>
      <c r="RWL243" s="42"/>
      <c r="RWM243" s="42"/>
      <c r="RWN243" s="42"/>
      <c r="RWO243" s="42"/>
      <c r="RWP243" s="42"/>
      <c r="RWQ243" s="42"/>
      <c r="RWR243" s="42"/>
      <c r="RWS243" s="42"/>
      <c r="RWT243" s="42"/>
      <c r="RWU243" s="42"/>
      <c r="RWV243" s="42"/>
      <c r="RWW243" s="42"/>
      <c r="RWX243" s="42"/>
      <c r="RWY243" s="42"/>
      <c r="RWZ243" s="42"/>
      <c r="RXA243" s="42"/>
      <c r="RXB243" s="42"/>
      <c r="RXC243" s="42"/>
      <c r="RXD243" s="42"/>
      <c r="RXE243" s="42"/>
      <c r="RXF243" s="42"/>
      <c r="RXG243" s="42"/>
      <c r="RXH243" s="42"/>
      <c r="RXI243" s="42"/>
      <c r="RXJ243" s="42"/>
      <c r="RXK243" s="42"/>
      <c r="RXL243" s="42"/>
      <c r="RXM243" s="42"/>
      <c r="RXN243" s="42"/>
      <c r="RXO243" s="42"/>
      <c r="RXP243" s="42"/>
      <c r="RXQ243" s="42"/>
      <c r="RXR243" s="42"/>
      <c r="RXS243" s="42"/>
      <c r="RXT243" s="42"/>
      <c r="RXU243" s="42"/>
      <c r="RXV243" s="42"/>
      <c r="RXW243" s="42"/>
      <c r="RXX243" s="42"/>
      <c r="RXY243" s="42"/>
      <c r="RXZ243" s="42"/>
      <c r="RYA243" s="42"/>
      <c r="RYB243" s="42"/>
      <c r="RYC243" s="42"/>
      <c r="RYD243" s="42"/>
      <c r="RYE243" s="42"/>
      <c r="RYF243" s="42"/>
      <c r="RYG243" s="42"/>
      <c r="RYH243" s="42"/>
      <c r="RYI243" s="42"/>
      <c r="RYJ243" s="42"/>
      <c r="RYK243" s="42"/>
      <c r="RYL243" s="42"/>
      <c r="RYM243" s="42"/>
      <c r="RYN243" s="42"/>
      <c r="RYO243" s="42"/>
      <c r="RYP243" s="42"/>
      <c r="RYQ243" s="42"/>
      <c r="RYR243" s="42"/>
      <c r="RYS243" s="42"/>
      <c r="RYT243" s="42"/>
      <c r="RYU243" s="42"/>
      <c r="RYV243" s="42"/>
      <c r="RYW243" s="42"/>
      <c r="RYX243" s="42"/>
      <c r="RYY243" s="42"/>
      <c r="RYZ243" s="42"/>
      <c r="RZA243" s="42"/>
      <c r="RZB243" s="42"/>
      <c r="RZC243" s="42"/>
      <c r="RZD243" s="42"/>
      <c r="RZE243" s="42"/>
      <c r="RZF243" s="42"/>
      <c r="RZG243" s="42"/>
      <c r="RZH243" s="42"/>
      <c r="RZI243" s="42"/>
      <c r="RZJ243" s="42"/>
      <c r="RZK243" s="42"/>
      <c r="RZL243" s="42"/>
      <c r="RZM243" s="42"/>
      <c r="RZN243" s="42"/>
      <c r="RZO243" s="42"/>
      <c r="RZP243" s="42"/>
      <c r="RZQ243" s="42"/>
      <c r="RZR243" s="42"/>
      <c r="RZS243" s="42"/>
      <c r="RZT243" s="42"/>
      <c r="RZU243" s="42"/>
      <c r="RZV243" s="42"/>
      <c r="RZW243" s="42"/>
      <c r="RZX243" s="42"/>
      <c r="RZY243" s="42"/>
      <c r="RZZ243" s="42"/>
      <c r="SAA243" s="42"/>
      <c r="SAB243" s="42"/>
      <c r="SAC243" s="42"/>
      <c r="SAD243" s="42"/>
      <c r="SAE243" s="42"/>
      <c r="SAF243" s="42"/>
      <c r="SAG243" s="42"/>
      <c r="SAH243" s="42"/>
      <c r="SAI243" s="42"/>
      <c r="SAJ243" s="42"/>
      <c r="SAK243" s="42"/>
      <c r="SAL243" s="42"/>
      <c r="SAM243" s="42"/>
      <c r="SAN243" s="42"/>
      <c r="SAO243" s="42"/>
      <c r="SAP243" s="42"/>
      <c r="SAQ243" s="42"/>
      <c r="SAR243" s="42"/>
      <c r="SAS243" s="42"/>
      <c r="SAT243" s="42"/>
      <c r="SAU243" s="42"/>
      <c r="SAV243" s="42"/>
      <c r="SAW243" s="42"/>
      <c r="SAX243" s="42"/>
      <c r="SAY243" s="42"/>
      <c r="SAZ243" s="42"/>
      <c r="SBA243" s="42"/>
      <c r="SBB243" s="42"/>
      <c r="SBC243" s="42"/>
      <c r="SBD243" s="42"/>
      <c r="SBE243" s="42"/>
      <c r="SBF243" s="42"/>
      <c r="SBG243" s="42"/>
      <c r="SBH243" s="42"/>
      <c r="SBI243" s="42"/>
      <c r="SBJ243" s="42"/>
      <c r="SBK243" s="42"/>
      <c r="SBL243" s="42"/>
      <c r="SBM243" s="42"/>
      <c r="SBN243" s="42"/>
      <c r="SBO243" s="42"/>
      <c r="SBP243" s="42"/>
      <c r="SBQ243" s="42"/>
      <c r="SBR243" s="42"/>
      <c r="SBS243" s="42"/>
      <c r="SBT243" s="42"/>
      <c r="SBU243" s="42"/>
      <c r="SBV243" s="42"/>
      <c r="SBW243" s="42"/>
      <c r="SBX243" s="42"/>
      <c r="SBY243" s="42"/>
      <c r="SBZ243" s="42"/>
      <c r="SCA243" s="42"/>
      <c r="SCB243" s="42"/>
      <c r="SCC243" s="42"/>
      <c r="SCD243" s="42"/>
      <c r="SCE243" s="42"/>
      <c r="SCF243" s="42"/>
      <c r="SCG243" s="42"/>
      <c r="SCH243" s="42"/>
      <c r="SCI243" s="42"/>
      <c r="SCJ243" s="42"/>
      <c r="SCK243" s="42"/>
      <c r="SCL243" s="42"/>
      <c r="SCM243" s="42"/>
      <c r="SCN243" s="42"/>
      <c r="SCO243" s="42"/>
      <c r="SCP243" s="42"/>
      <c r="SCQ243" s="42"/>
      <c r="SCR243" s="42"/>
      <c r="SCS243" s="42"/>
      <c r="SCT243" s="42"/>
      <c r="SCU243" s="42"/>
      <c r="SCV243" s="42"/>
      <c r="SCW243" s="42"/>
      <c r="SCX243" s="42"/>
      <c r="SCY243" s="42"/>
      <c r="SCZ243" s="42"/>
      <c r="SDA243" s="42"/>
      <c r="SDB243" s="42"/>
      <c r="SDC243" s="42"/>
      <c r="SDD243" s="42"/>
      <c r="SDE243" s="42"/>
      <c r="SDF243" s="42"/>
      <c r="SDG243" s="42"/>
      <c r="SDH243" s="42"/>
      <c r="SDI243" s="42"/>
      <c r="SDJ243" s="42"/>
      <c r="SDK243" s="42"/>
      <c r="SDL243" s="42"/>
      <c r="SDM243" s="42"/>
      <c r="SDN243" s="42"/>
      <c r="SDO243" s="42"/>
      <c r="SDP243" s="42"/>
      <c r="SDQ243" s="42"/>
      <c r="SDR243" s="42"/>
      <c r="SDS243" s="42"/>
      <c r="SDT243" s="42"/>
      <c r="SDU243" s="42"/>
      <c r="SDV243" s="42"/>
      <c r="SDW243" s="42"/>
      <c r="SDX243" s="42"/>
      <c r="SDY243" s="42"/>
      <c r="SDZ243" s="42"/>
      <c r="SEA243" s="42"/>
      <c r="SEB243" s="42"/>
      <c r="SEC243" s="42"/>
      <c r="SED243" s="42"/>
      <c r="SEE243" s="42"/>
      <c r="SEF243" s="42"/>
      <c r="SEG243" s="42"/>
      <c r="SEH243" s="42"/>
      <c r="SEI243" s="42"/>
      <c r="SEJ243" s="42"/>
      <c r="SEK243" s="42"/>
      <c r="SEL243" s="42"/>
      <c r="SEM243" s="42"/>
      <c r="SEN243" s="42"/>
      <c r="SEO243" s="42"/>
      <c r="SEP243" s="42"/>
      <c r="SEQ243" s="42"/>
      <c r="SER243" s="42"/>
      <c r="SES243" s="42"/>
      <c r="SET243" s="42"/>
      <c r="SEU243" s="42"/>
      <c r="SEV243" s="42"/>
      <c r="SEW243" s="42"/>
      <c r="SEX243" s="42"/>
      <c r="SEY243" s="42"/>
      <c r="SEZ243" s="42"/>
      <c r="SFA243" s="42"/>
      <c r="SFB243" s="42"/>
      <c r="SFC243" s="42"/>
      <c r="SFD243" s="42"/>
      <c r="SFE243" s="42"/>
      <c r="SFF243" s="42"/>
      <c r="SFG243" s="42"/>
      <c r="SFH243" s="42"/>
      <c r="SFI243" s="42"/>
      <c r="SFJ243" s="42"/>
      <c r="SFK243" s="42"/>
      <c r="SFL243" s="42"/>
      <c r="SFM243" s="42"/>
      <c r="SFN243" s="42"/>
      <c r="SFO243" s="42"/>
      <c r="SFP243" s="42"/>
      <c r="SFQ243" s="42"/>
      <c r="SFR243" s="42"/>
      <c r="SFS243" s="42"/>
      <c r="SFT243" s="42"/>
      <c r="SFU243" s="42"/>
      <c r="SFV243" s="42"/>
      <c r="SFW243" s="42"/>
      <c r="SFX243" s="42"/>
      <c r="SFY243" s="42"/>
      <c r="SFZ243" s="42"/>
      <c r="SGA243" s="42"/>
      <c r="SGB243" s="42"/>
      <c r="SGC243" s="42"/>
      <c r="SGD243" s="42"/>
      <c r="SGE243" s="42"/>
      <c r="SGF243" s="42"/>
      <c r="SGG243" s="42"/>
      <c r="SGH243" s="42"/>
      <c r="SGI243" s="42"/>
      <c r="SGJ243" s="42"/>
      <c r="SGK243" s="42"/>
      <c r="SGL243" s="42"/>
      <c r="SGM243" s="42"/>
      <c r="SGN243" s="42"/>
      <c r="SGO243" s="42"/>
      <c r="SGP243" s="42"/>
      <c r="SGQ243" s="42"/>
      <c r="SGR243" s="42"/>
      <c r="SGS243" s="42"/>
      <c r="SGT243" s="42"/>
      <c r="SGU243" s="42"/>
      <c r="SGV243" s="42"/>
      <c r="SGW243" s="42"/>
      <c r="SGX243" s="42"/>
      <c r="SGY243" s="42"/>
      <c r="SGZ243" s="42"/>
      <c r="SHA243" s="42"/>
      <c r="SHB243" s="42"/>
      <c r="SHC243" s="42"/>
      <c r="SHD243" s="42"/>
      <c r="SHE243" s="42"/>
      <c r="SHF243" s="42"/>
      <c r="SHG243" s="42"/>
      <c r="SHH243" s="42"/>
      <c r="SHI243" s="42"/>
      <c r="SHJ243" s="42"/>
      <c r="SHK243" s="42"/>
      <c r="SHL243" s="42"/>
      <c r="SHM243" s="42"/>
      <c r="SHN243" s="42"/>
      <c r="SHO243" s="42"/>
      <c r="SHP243" s="42"/>
      <c r="SHQ243" s="42"/>
      <c r="SHR243" s="42"/>
      <c r="SHS243" s="42"/>
      <c r="SHT243" s="42"/>
      <c r="SHU243" s="42"/>
      <c r="SHV243" s="42"/>
      <c r="SHW243" s="42"/>
      <c r="SHX243" s="42"/>
      <c r="SHY243" s="42"/>
      <c r="SHZ243" s="42"/>
      <c r="SIA243" s="42"/>
      <c r="SIB243" s="42"/>
      <c r="SIC243" s="42"/>
      <c r="SID243" s="42"/>
      <c r="SIE243" s="42"/>
      <c r="SIF243" s="42"/>
      <c r="SIG243" s="42"/>
      <c r="SIH243" s="42"/>
      <c r="SII243" s="42"/>
      <c r="SIJ243" s="42"/>
      <c r="SIK243" s="42"/>
      <c r="SIL243" s="42"/>
      <c r="SIM243" s="42"/>
      <c r="SIN243" s="42"/>
      <c r="SIO243" s="42"/>
      <c r="SIP243" s="42"/>
      <c r="SIQ243" s="42"/>
      <c r="SIR243" s="42"/>
      <c r="SIS243" s="42"/>
      <c r="SIT243" s="42"/>
      <c r="SIU243" s="42"/>
      <c r="SIV243" s="42"/>
      <c r="SIW243" s="42"/>
      <c r="SIX243" s="42"/>
      <c r="SIY243" s="42"/>
      <c r="SIZ243" s="42"/>
      <c r="SJA243" s="42"/>
      <c r="SJB243" s="42"/>
      <c r="SJC243" s="42"/>
      <c r="SJD243" s="42"/>
      <c r="SJE243" s="42"/>
      <c r="SJF243" s="42"/>
      <c r="SJG243" s="42"/>
      <c r="SJH243" s="42"/>
      <c r="SJI243" s="42"/>
      <c r="SJJ243" s="42"/>
      <c r="SJK243" s="42"/>
      <c r="SJL243" s="42"/>
      <c r="SJM243" s="42"/>
      <c r="SJN243" s="42"/>
      <c r="SJO243" s="42"/>
      <c r="SJP243" s="42"/>
      <c r="SJQ243" s="42"/>
      <c r="SJR243" s="42"/>
      <c r="SJS243" s="42"/>
      <c r="SJT243" s="42"/>
      <c r="SJU243" s="42"/>
      <c r="SJV243" s="42"/>
      <c r="SJW243" s="42"/>
      <c r="SJX243" s="42"/>
      <c r="SJY243" s="42"/>
      <c r="SJZ243" s="42"/>
      <c r="SKA243" s="42"/>
      <c r="SKB243" s="42"/>
      <c r="SKC243" s="42"/>
      <c r="SKD243" s="42"/>
      <c r="SKE243" s="42"/>
      <c r="SKF243" s="42"/>
      <c r="SKG243" s="42"/>
      <c r="SKH243" s="42"/>
      <c r="SKI243" s="42"/>
      <c r="SKJ243" s="42"/>
      <c r="SKK243" s="42"/>
      <c r="SKL243" s="42"/>
      <c r="SKM243" s="42"/>
      <c r="SKN243" s="42"/>
      <c r="SKO243" s="42"/>
      <c r="SKP243" s="42"/>
      <c r="SKQ243" s="42"/>
      <c r="SKR243" s="42"/>
      <c r="SKS243" s="42"/>
      <c r="SKT243" s="42"/>
      <c r="SKU243" s="42"/>
      <c r="SKV243" s="42"/>
      <c r="SKW243" s="42"/>
      <c r="SKX243" s="42"/>
      <c r="SKY243" s="42"/>
      <c r="SKZ243" s="42"/>
      <c r="SLA243" s="42"/>
      <c r="SLB243" s="42"/>
      <c r="SLC243" s="42"/>
      <c r="SLD243" s="42"/>
      <c r="SLE243" s="42"/>
      <c r="SLF243" s="42"/>
      <c r="SLG243" s="42"/>
      <c r="SLH243" s="42"/>
      <c r="SLI243" s="42"/>
      <c r="SLJ243" s="42"/>
      <c r="SLK243" s="42"/>
      <c r="SLL243" s="42"/>
      <c r="SLM243" s="42"/>
      <c r="SLN243" s="42"/>
      <c r="SLO243" s="42"/>
      <c r="SLP243" s="42"/>
      <c r="SLQ243" s="42"/>
      <c r="SLR243" s="42"/>
      <c r="SLS243" s="42"/>
      <c r="SLT243" s="42"/>
      <c r="SLU243" s="42"/>
      <c r="SLV243" s="42"/>
      <c r="SLW243" s="42"/>
      <c r="SLX243" s="42"/>
      <c r="SLY243" s="42"/>
      <c r="SLZ243" s="42"/>
      <c r="SMA243" s="42"/>
      <c r="SMB243" s="42"/>
      <c r="SMC243" s="42"/>
      <c r="SMD243" s="42"/>
      <c r="SME243" s="42"/>
      <c r="SMF243" s="42"/>
      <c r="SMG243" s="42"/>
      <c r="SMH243" s="42"/>
      <c r="SMI243" s="42"/>
      <c r="SMJ243" s="42"/>
      <c r="SMK243" s="42"/>
      <c r="SML243" s="42"/>
      <c r="SMM243" s="42"/>
      <c r="SMN243" s="42"/>
      <c r="SMO243" s="42"/>
      <c r="SMP243" s="42"/>
      <c r="SMQ243" s="42"/>
      <c r="SMR243" s="42"/>
      <c r="SMS243" s="42"/>
      <c r="SMT243" s="42"/>
      <c r="SMU243" s="42"/>
      <c r="SMV243" s="42"/>
      <c r="SMW243" s="42"/>
      <c r="SMX243" s="42"/>
      <c r="SMY243" s="42"/>
      <c r="SMZ243" s="42"/>
      <c r="SNA243" s="42"/>
      <c r="SNB243" s="42"/>
      <c r="SNC243" s="42"/>
      <c r="SND243" s="42"/>
      <c r="SNE243" s="42"/>
      <c r="SNF243" s="42"/>
      <c r="SNG243" s="42"/>
      <c r="SNH243" s="42"/>
      <c r="SNI243" s="42"/>
      <c r="SNJ243" s="42"/>
      <c r="SNK243" s="42"/>
      <c r="SNL243" s="42"/>
      <c r="SNM243" s="42"/>
      <c r="SNN243" s="42"/>
      <c r="SNO243" s="42"/>
      <c r="SNP243" s="42"/>
      <c r="SNQ243" s="42"/>
      <c r="SNR243" s="42"/>
      <c r="SNS243" s="42"/>
      <c r="SNT243" s="42"/>
      <c r="SNU243" s="42"/>
      <c r="SNV243" s="42"/>
      <c r="SNW243" s="42"/>
      <c r="SNX243" s="42"/>
      <c r="SNY243" s="42"/>
      <c r="SNZ243" s="42"/>
      <c r="SOA243" s="42"/>
      <c r="SOB243" s="42"/>
      <c r="SOC243" s="42"/>
      <c r="SOD243" s="42"/>
      <c r="SOE243" s="42"/>
      <c r="SOF243" s="42"/>
      <c r="SOG243" s="42"/>
      <c r="SOH243" s="42"/>
      <c r="SOI243" s="42"/>
      <c r="SOJ243" s="42"/>
      <c r="SOK243" s="42"/>
      <c r="SOL243" s="42"/>
      <c r="SOM243" s="42"/>
      <c r="SON243" s="42"/>
      <c r="SOO243" s="42"/>
      <c r="SOP243" s="42"/>
      <c r="SOQ243" s="42"/>
      <c r="SOR243" s="42"/>
      <c r="SOS243" s="42"/>
      <c r="SOT243" s="42"/>
      <c r="SOU243" s="42"/>
      <c r="SOV243" s="42"/>
      <c r="SOW243" s="42"/>
      <c r="SOX243" s="42"/>
      <c r="SOY243" s="42"/>
      <c r="SOZ243" s="42"/>
      <c r="SPA243" s="42"/>
      <c r="SPB243" s="42"/>
      <c r="SPC243" s="42"/>
      <c r="SPD243" s="42"/>
      <c r="SPE243" s="42"/>
      <c r="SPF243" s="42"/>
      <c r="SPG243" s="42"/>
      <c r="SPH243" s="42"/>
      <c r="SPI243" s="42"/>
      <c r="SPJ243" s="42"/>
      <c r="SPK243" s="42"/>
      <c r="SPL243" s="42"/>
      <c r="SPM243" s="42"/>
      <c r="SPN243" s="42"/>
      <c r="SPO243" s="42"/>
      <c r="SPP243" s="42"/>
      <c r="SPQ243" s="42"/>
      <c r="SPR243" s="42"/>
      <c r="SPS243" s="42"/>
      <c r="SPT243" s="42"/>
      <c r="SPU243" s="42"/>
      <c r="SPV243" s="42"/>
      <c r="SPW243" s="42"/>
      <c r="SPX243" s="42"/>
      <c r="SPY243" s="42"/>
      <c r="SPZ243" s="42"/>
      <c r="SQA243" s="42"/>
      <c r="SQB243" s="42"/>
      <c r="SQC243" s="42"/>
      <c r="SQD243" s="42"/>
      <c r="SQE243" s="42"/>
      <c r="SQF243" s="42"/>
      <c r="SQG243" s="42"/>
      <c r="SQH243" s="42"/>
      <c r="SQI243" s="42"/>
      <c r="SQJ243" s="42"/>
      <c r="SQK243" s="42"/>
      <c r="SQL243" s="42"/>
      <c r="SQM243" s="42"/>
      <c r="SQN243" s="42"/>
      <c r="SQO243" s="42"/>
      <c r="SQP243" s="42"/>
      <c r="SQQ243" s="42"/>
      <c r="SQR243" s="42"/>
      <c r="SQS243" s="42"/>
      <c r="SQT243" s="42"/>
      <c r="SQU243" s="42"/>
      <c r="SQV243" s="42"/>
      <c r="SQW243" s="42"/>
      <c r="SQX243" s="42"/>
      <c r="SQY243" s="42"/>
      <c r="SQZ243" s="42"/>
      <c r="SRA243" s="42"/>
      <c r="SRB243" s="42"/>
      <c r="SRC243" s="42"/>
      <c r="SRD243" s="42"/>
      <c r="SRE243" s="42"/>
      <c r="SRF243" s="42"/>
      <c r="SRG243" s="42"/>
      <c r="SRH243" s="42"/>
      <c r="SRI243" s="42"/>
      <c r="SRJ243" s="42"/>
      <c r="SRK243" s="42"/>
      <c r="SRL243" s="42"/>
      <c r="SRM243" s="42"/>
      <c r="SRN243" s="42"/>
      <c r="SRO243" s="42"/>
      <c r="SRP243" s="42"/>
      <c r="SRQ243" s="42"/>
      <c r="SRR243" s="42"/>
      <c r="SRS243" s="42"/>
      <c r="SRT243" s="42"/>
      <c r="SRU243" s="42"/>
      <c r="SRV243" s="42"/>
      <c r="SRW243" s="42"/>
      <c r="SRX243" s="42"/>
      <c r="SRY243" s="42"/>
      <c r="SRZ243" s="42"/>
      <c r="SSA243" s="42"/>
      <c r="SSB243" s="42"/>
      <c r="SSC243" s="42"/>
      <c r="SSD243" s="42"/>
      <c r="SSE243" s="42"/>
      <c r="SSF243" s="42"/>
      <c r="SSG243" s="42"/>
      <c r="SSH243" s="42"/>
      <c r="SSI243" s="42"/>
      <c r="SSJ243" s="42"/>
      <c r="SSK243" s="42"/>
      <c r="SSL243" s="42"/>
      <c r="SSM243" s="42"/>
      <c r="SSN243" s="42"/>
      <c r="SSO243" s="42"/>
      <c r="SSP243" s="42"/>
      <c r="SSQ243" s="42"/>
      <c r="SSR243" s="42"/>
      <c r="SSS243" s="42"/>
      <c r="SST243" s="42"/>
      <c r="SSU243" s="42"/>
      <c r="SSV243" s="42"/>
      <c r="SSW243" s="42"/>
      <c r="SSX243" s="42"/>
      <c r="SSY243" s="42"/>
      <c r="SSZ243" s="42"/>
      <c r="STA243" s="42"/>
      <c r="STB243" s="42"/>
      <c r="STC243" s="42"/>
      <c r="STD243" s="42"/>
      <c r="STE243" s="42"/>
      <c r="STF243" s="42"/>
      <c r="STG243" s="42"/>
      <c r="STH243" s="42"/>
      <c r="STI243" s="42"/>
      <c r="STJ243" s="42"/>
      <c r="STK243" s="42"/>
      <c r="STL243" s="42"/>
      <c r="STM243" s="42"/>
      <c r="STN243" s="42"/>
      <c r="STO243" s="42"/>
      <c r="STP243" s="42"/>
      <c r="STQ243" s="42"/>
      <c r="STR243" s="42"/>
      <c r="STS243" s="42"/>
      <c r="STT243" s="42"/>
      <c r="STU243" s="42"/>
      <c r="STV243" s="42"/>
      <c r="STW243" s="42"/>
      <c r="STX243" s="42"/>
      <c r="STY243" s="42"/>
      <c r="STZ243" s="42"/>
      <c r="SUA243" s="42"/>
      <c r="SUB243" s="42"/>
      <c r="SUC243" s="42"/>
      <c r="SUD243" s="42"/>
      <c r="SUE243" s="42"/>
      <c r="SUF243" s="42"/>
      <c r="SUG243" s="42"/>
      <c r="SUH243" s="42"/>
      <c r="SUI243" s="42"/>
      <c r="SUJ243" s="42"/>
      <c r="SUK243" s="42"/>
      <c r="SUL243" s="42"/>
      <c r="SUM243" s="42"/>
      <c r="SUN243" s="42"/>
      <c r="SUO243" s="42"/>
      <c r="SUP243" s="42"/>
      <c r="SUQ243" s="42"/>
      <c r="SUR243" s="42"/>
      <c r="SUS243" s="42"/>
      <c r="SUT243" s="42"/>
      <c r="SUU243" s="42"/>
      <c r="SUV243" s="42"/>
      <c r="SUW243" s="42"/>
      <c r="SUX243" s="42"/>
      <c r="SUY243" s="42"/>
      <c r="SUZ243" s="42"/>
      <c r="SVA243" s="42"/>
      <c r="SVB243" s="42"/>
      <c r="SVC243" s="42"/>
      <c r="SVD243" s="42"/>
      <c r="SVE243" s="42"/>
      <c r="SVF243" s="42"/>
      <c r="SVG243" s="42"/>
      <c r="SVH243" s="42"/>
      <c r="SVI243" s="42"/>
      <c r="SVJ243" s="42"/>
      <c r="SVK243" s="42"/>
      <c r="SVL243" s="42"/>
      <c r="SVM243" s="42"/>
      <c r="SVN243" s="42"/>
      <c r="SVO243" s="42"/>
      <c r="SVP243" s="42"/>
      <c r="SVQ243" s="42"/>
      <c r="SVR243" s="42"/>
      <c r="SVS243" s="42"/>
      <c r="SVT243" s="42"/>
      <c r="SVU243" s="42"/>
      <c r="SVV243" s="42"/>
      <c r="SVW243" s="42"/>
      <c r="SVX243" s="42"/>
      <c r="SVY243" s="42"/>
      <c r="SVZ243" s="42"/>
      <c r="SWA243" s="42"/>
      <c r="SWB243" s="42"/>
      <c r="SWC243" s="42"/>
      <c r="SWD243" s="42"/>
      <c r="SWE243" s="42"/>
      <c r="SWF243" s="42"/>
      <c r="SWG243" s="42"/>
      <c r="SWH243" s="42"/>
      <c r="SWI243" s="42"/>
      <c r="SWJ243" s="42"/>
      <c r="SWK243" s="42"/>
      <c r="SWL243" s="42"/>
      <c r="SWM243" s="42"/>
      <c r="SWN243" s="42"/>
      <c r="SWO243" s="42"/>
      <c r="SWP243" s="42"/>
      <c r="SWQ243" s="42"/>
      <c r="SWR243" s="42"/>
      <c r="SWS243" s="42"/>
      <c r="SWT243" s="42"/>
      <c r="SWU243" s="42"/>
      <c r="SWV243" s="42"/>
      <c r="SWW243" s="42"/>
      <c r="SWX243" s="42"/>
      <c r="SWY243" s="42"/>
      <c r="SWZ243" s="42"/>
      <c r="SXA243" s="42"/>
      <c r="SXB243" s="42"/>
      <c r="SXC243" s="42"/>
      <c r="SXD243" s="42"/>
      <c r="SXE243" s="42"/>
      <c r="SXF243" s="42"/>
      <c r="SXG243" s="42"/>
      <c r="SXH243" s="42"/>
      <c r="SXI243" s="42"/>
      <c r="SXJ243" s="42"/>
      <c r="SXK243" s="42"/>
      <c r="SXL243" s="42"/>
      <c r="SXM243" s="42"/>
      <c r="SXN243" s="42"/>
      <c r="SXO243" s="42"/>
      <c r="SXP243" s="42"/>
      <c r="SXQ243" s="42"/>
      <c r="SXR243" s="42"/>
      <c r="SXS243" s="42"/>
      <c r="SXT243" s="42"/>
      <c r="SXU243" s="42"/>
      <c r="SXV243" s="42"/>
      <c r="SXW243" s="42"/>
      <c r="SXX243" s="42"/>
      <c r="SXY243" s="42"/>
      <c r="SXZ243" s="42"/>
      <c r="SYA243" s="42"/>
      <c r="SYB243" s="42"/>
      <c r="SYC243" s="42"/>
      <c r="SYD243" s="42"/>
      <c r="SYE243" s="42"/>
      <c r="SYF243" s="42"/>
      <c r="SYG243" s="42"/>
      <c r="SYH243" s="42"/>
      <c r="SYI243" s="42"/>
      <c r="SYJ243" s="42"/>
      <c r="SYK243" s="42"/>
      <c r="SYL243" s="42"/>
      <c r="SYM243" s="42"/>
      <c r="SYN243" s="42"/>
      <c r="SYO243" s="42"/>
      <c r="SYP243" s="42"/>
      <c r="SYQ243" s="42"/>
      <c r="SYR243" s="42"/>
      <c r="SYS243" s="42"/>
      <c r="SYT243" s="42"/>
      <c r="SYU243" s="42"/>
      <c r="SYV243" s="42"/>
      <c r="SYW243" s="42"/>
      <c r="SYX243" s="42"/>
      <c r="SYY243" s="42"/>
      <c r="SYZ243" s="42"/>
      <c r="SZA243" s="42"/>
      <c r="SZB243" s="42"/>
      <c r="SZC243" s="42"/>
      <c r="SZD243" s="42"/>
      <c r="SZE243" s="42"/>
      <c r="SZF243" s="42"/>
      <c r="SZG243" s="42"/>
      <c r="SZH243" s="42"/>
      <c r="SZI243" s="42"/>
      <c r="SZJ243" s="42"/>
      <c r="SZK243" s="42"/>
      <c r="SZL243" s="42"/>
      <c r="SZM243" s="42"/>
      <c r="SZN243" s="42"/>
      <c r="SZO243" s="42"/>
      <c r="SZP243" s="42"/>
      <c r="SZQ243" s="42"/>
      <c r="SZR243" s="42"/>
      <c r="SZS243" s="42"/>
      <c r="SZT243" s="42"/>
      <c r="SZU243" s="42"/>
      <c r="SZV243" s="42"/>
      <c r="SZW243" s="42"/>
      <c r="SZX243" s="42"/>
      <c r="SZY243" s="42"/>
      <c r="SZZ243" s="42"/>
      <c r="TAA243" s="42"/>
      <c r="TAB243" s="42"/>
      <c r="TAC243" s="42"/>
      <c r="TAD243" s="42"/>
      <c r="TAE243" s="42"/>
      <c r="TAF243" s="42"/>
      <c r="TAG243" s="42"/>
      <c r="TAH243" s="42"/>
      <c r="TAI243" s="42"/>
      <c r="TAJ243" s="42"/>
      <c r="TAK243" s="42"/>
      <c r="TAL243" s="42"/>
      <c r="TAM243" s="42"/>
      <c r="TAN243" s="42"/>
      <c r="TAO243" s="42"/>
      <c r="TAP243" s="42"/>
      <c r="TAQ243" s="42"/>
      <c r="TAR243" s="42"/>
      <c r="TAS243" s="42"/>
      <c r="TAT243" s="42"/>
      <c r="TAU243" s="42"/>
      <c r="TAV243" s="42"/>
      <c r="TAW243" s="42"/>
      <c r="TAX243" s="42"/>
      <c r="TAY243" s="42"/>
      <c r="TAZ243" s="42"/>
      <c r="TBA243" s="42"/>
      <c r="TBB243" s="42"/>
      <c r="TBC243" s="42"/>
      <c r="TBD243" s="42"/>
      <c r="TBE243" s="42"/>
      <c r="TBF243" s="42"/>
      <c r="TBG243" s="42"/>
      <c r="TBH243" s="42"/>
      <c r="TBI243" s="42"/>
      <c r="TBJ243" s="42"/>
      <c r="TBK243" s="42"/>
      <c r="TBL243" s="42"/>
      <c r="TBM243" s="42"/>
      <c r="TBN243" s="42"/>
      <c r="TBO243" s="42"/>
      <c r="TBP243" s="42"/>
      <c r="TBQ243" s="42"/>
      <c r="TBR243" s="42"/>
      <c r="TBS243" s="42"/>
      <c r="TBT243" s="42"/>
      <c r="TBU243" s="42"/>
      <c r="TBV243" s="42"/>
      <c r="TBW243" s="42"/>
      <c r="TBX243" s="42"/>
      <c r="TBY243" s="42"/>
      <c r="TBZ243" s="42"/>
      <c r="TCA243" s="42"/>
      <c r="TCB243" s="42"/>
      <c r="TCC243" s="42"/>
      <c r="TCD243" s="42"/>
      <c r="TCE243" s="42"/>
      <c r="TCF243" s="42"/>
      <c r="TCG243" s="42"/>
      <c r="TCH243" s="42"/>
      <c r="TCI243" s="42"/>
      <c r="TCJ243" s="42"/>
      <c r="TCK243" s="42"/>
      <c r="TCL243" s="42"/>
      <c r="TCM243" s="42"/>
      <c r="TCN243" s="42"/>
      <c r="TCO243" s="42"/>
      <c r="TCP243" s="42"/>
      <c r="TCQ243" s="42"/>
      <c r="TCR243" s="42"/>
      <c r="TCS243" s="42"/>
      <c r="TCT243" s="42"/>
      <c r="TCU243" s="42"/>
      <c r="TCV243" s="42"/>
      <c r="TCW243" s="42"/>
      <c r="TCX243" s="42"/>
      <c r="TCY243" s="42"/>
      <c r="TCZ243" s="42"/>
      <c r="TDA243" s="42"/>
      <c r="TDB243" s="42"/>
      <c r="TDC243" s="42"/>
      <c r="TDD243" s="42"/>
      <c r="TDE243" s="42"/>
      <c r="TDF243" s="42"/>
      <c r="TDG243" s="42"/>
      <c r="TDH243" s="42"/>
      <c r="TDI243" s="42"/>
      <c r="TDJ243" s="42"/>
      <c r="TDK243" s="42"/>
      <c r="TDL243" s="42"/>
      <c r="TDM243" s="42"/>
      <c r="TDN243" s="42"/>
      <c r="TDO243" s="42"/>
      <c r="TDP243" s="42"/>
      <c r="TDQ243" s="42"/>
      <c r="TDR243" s="42"/>
      <c r="TDS243" s="42"/>
      <c r="TDT243" s="42"/>
      <c r="TDU243" s="42"/>
      <c r="TDV243" s="42"/>
      <c r="TDW243" s="42"/>
      <c r="TDX243" s="42"/>
      <c r="TDY243" s="42"/>
      <c r="TDZ243" s="42"/>
      <c r="TEA243" s="42"/>
      <c r="TEB243" s="42"/>
      <c r="TEC243" s="42"/>
      <c r="TED243" s="42"/>
      <c r="TEE243" s="42"/>
      <c r="TEF243" s="42"/>
      <c r="TEG243" s="42"/>
      <c r="TEH243" s="42"/>
      <c r="TEI243" s="42"/>
      <c r="TEJ243" s="42"/>
      <c r="TEK243" s="42"/>
      <c r="TEL243" s="42"/>
      <c r="TEM243" s="42"/>
      <c r="TEN243" s="42"/>
      <c r="TEO243" s="42"/>
      <c r="TEP243" s="42"/>
      <c r="TEQ243" s="42"/>
      <c r="TER243" s="42"/>
      <c r="TES243" s="42"/>
      <c r="TET243" s="42"/>
      <c r="TEU243" s="42"/>
      <c r="TEV243" s="42"/>
      <c r="TEW243" s="42"/>
      <c r="TEX243" s="42"/>
      <c r="TEY243" s="42"/>
      <c r="TEZ243" s="42"/>
      <c r="TFA243" s="42"/>
      <c r="TFB243" s="42"/>
      <c r="TFC243" s="42"/>
      <c r="TFD243" s="42"/>
      <c r="TFE243" s="42"/>
      <c r="TFF243" s="42"/>
      <c r="TFG243" s="42"/>
      <c r="TFH243" s="42"/>
      <c r="TFI243" s="42"/>
      <c r="TFJ243" s="42"/>
      <c r="TFK243" s="42"/>
      <c r="TFL243" s="42"/>
      <c r="TFM243" s="42"/>
      <c r="TFN243" s="42"/>
      <c r="TFO243" s="42"/>
      <c r="TFP243" s="42"/>
      <c r="TFQ243" s="42"/>
      <c r="TFR243" s="42"/>
      <c r="TFS243" s="42"/>
      <c r="TFT243" s="42"/>
      <c r="TFU243" s="42"/>
      <c r="TFV243" s="42"/>
      <c r="TFW243" s="42"/>
      <c r="TFX243" s="42"/>
      <c r="TFY243" s="42"/>
      <c r="TFZ243" s="42"/>
      <c r="TGA243" s="42"/>
      <c r="TGB243" s="42"/>
      <c r="TGC243" s="42"/>
      <c r="TGD243" s="42"/>
      <c r="TGE243" s="42"/>
      <c r="TGF243" s="42"/>
      <c r="TGG243" s="42"/>
      <c r="TGH243" s="42"/>
      <c r="TGI243" s="42"/>
      <c r="TGJ243" s="42"/>
      <c r="TGK243" s="42"/>
      <c r="TGL243" s="42"/>
      <c r="TGM243" s="42"/>
      <c r="TGN243" s="42"/>
      <c r="TGO243" s="42"/>
      <c r="TGP243" s="42"/>
      <c r="TGQ243" s="42"/>
      <c r="TGR243" s="42"/>
      <c r="TGS243" s="42"/>
      <c r="TGT243" s="42"/>
      <c r="TGU243" s="42"/>
      <c r="TGV243" s="42"/>
      <c r="TGW243" s="42"/>
      <c r="TGX243" s="42"/>
      <c r="TGY243" s="42"/>
      <c r="TGZ243" s="42"/>
      <c r="THA243" s="42"/>
      <c r="THB243" s="42"/>
      <c r="THC243" s="42"/>
      <c r="THD243" s="42"/>
      <c r="THE243" s="42"/>
      <c r="THF243" s="42"/>
      <c r="THG243" s="42"/>
      <c r="THH243" s="42"/>
      <c r="THI243" s="42"/>
      <c r="THJ243" s="42"/>
      <c r="THK243" s="42"/>
      <c r="THL243" s="42"/>
      <c r="THM243" s="42"/>
      <c r="THN243" s="42"/>
      <c r="THO243" s="42"/>
      <c r="THP243" s="42"/>
      <c r="THQ243" s="42"/>
      <c r="THR243" s="42"/>
      <c r="THS243" s="42"/>
      <c r="THT243" s="42"/>
      <c r="THU243" s="42"/>
      <c r="THV243" s="42"/>
      <c r="THW243" s="42"/>
      <c r="THX243" s="42"/>
      <c r="THY243" s="42"/>
      <c r="THZ243" s="42"/>
      <c r="TIA243" s="42"/>
      <c r="TIB243" s="42"/>
      <c r="TIC243" s="42"/>
      <c r="TID243" s="42"/>
      <c r="TIE243" s="42"/>
      <c r="TIF243" s="42"/>
      <c r="TIG243" s="42"/>
      <c r="TIH243" s="42"/>
      <c r="TII243" s="42"/>
      <c r="TIJ243" s="42"/>
      <c r="TIK243" s="42"/>
      <c r="TIL243" s="42"/>
      <c r="TIM243" s="42"/>
      <c r="TIN243" s="42"/>
      <c r="TIO243" s="42"/>
      <c r="TIP243" s="42"/>
      <c r="TIQ243" s="42"/>
      <c r="TIR243" s="42"/>
      <c r="TIS243" s="42"/>
      <c r="TIT243" s="42"/>
      <c r="TIU243" s="42"/>
      <c r="TIV243" s="42"/>
      <c r="TIW243" s="42"/>
      <c r="TIX243" s="42"/>
      <c r="TIY243" s="42"/>
      <c r="TIZ243" s="42"/>
      <c r="TJA243" s="42"/>
      <c r="TJB243" s="42"/>
      <c r="TJC243" s="42"/>
      <c r="TJD243" s="42"/>
      <c r="TJE243" s="42"/>
      <c r="TJF243" s="42"/>
      <c r="TJG243" s="42"/>
      <c r="TJH243" s="42"/>
      <c r="TJI243" s="42"/>
      <c r="TJJ243" s="42"/>
      <c r="TJK243" s="42"/>
      <c r="TJL243" s="42"/>
      <c r="TJM243" s="42"/>
      <c r="TJN243" s="42"/>
      <c r="TJO243" s="42"/>
      <c r="TJP243" s="42"/>
      <c r="TJQ243" s="42"/>
      <c r="TJR243" s="42"/>
      <c r="TJS243" s="42"/>
      <c r="TJT243" s="42"/>
      <c r="TJU243" s="42"/>
      <c r="TJV243" s="42"/>
      <c r="TJW243" s="42"/>
      <c r="TJX243" s="42"/>
      <c r="TJY243" s="42"/>
      <c r="TJZ243" s="42"/>
      <c r="TKA243" s="42"/>
      <c r="TKB243" s="42"/>
      <c r="TKC243" s="42"/>
      <c r="TKD243" s="42"/>
      <c r="TKE243" s="42"/>
      <c r="TKF243" s="42"/>
      <c r="TKG243" s="42"/>
      <c r="TKH243" s="42"/>
      <c r="TKI243" s="42"/>
      <c r="TKJ243" s="42"/>
      <c r="TKK243" s="42"/>
      <c r="TKL243" s="42"/>
      <c r="TKM243" s="42"/>
      <c r="TKN243" s="42"/>
      <c r="TKO243" s="42"/>
      <c r="TKP243" s="42"/>
      <c r="TKQ243" s="42"/>
      <c r="TKR243" s="42"/>
      <c r="TKS243" s="42"/>
      <c r="TKT243" s="42"/>
      <c r="TKU243" s="42"/>
      <c r="TKV243" s="42"/>
      <c r="TKW243" s="42"/>
      <c r="TKX243" s="42"/>
      <c r="TKY243" s="42"/>
      <c r="TKZ243" s="42"/>
      <c r="TLA243" s="42"/>
      <c r="TLB243" s="42"/>
      <c r="TLC243" s="42"/>
      <c r="TLD243" s="42"/>
      <c r="TLE243" s="42"/>
      <c r="TLF243" s="42"/>
      <c r="TLG243" s="42"/>
      <c r="TLH243" s="42"/>
      <c r="TLI243" s="42"/>
      <c r="TLJ243" s="42"/>
      <c r="TLK243" s="42"/>
      <c r="TLL243" s="42"/>
      <c r="TLM243" s="42"/>
      <c r="TLN243" s="42"/>
      <c r="TLO243" s="42"/>
      <c r="TLP243" s="42"/>
      <c r="TLQ243" s="42"/>
      <c r="TLR243" s="42"/>
      <c r="TLS243" s="42"/>
      <c r="TLT243" s="42"/>
      <c r="TLU243" s="42"/>
      <c r="TLV243" s="42"/>
      <c r="TLW243" s="42"/>
      <c r="TLX243" s="42"/>
      <c r="TLY243" s="42"/>
      <c r="TLZ243" s="42"/>
      <c r="TMA243" s="42"/>
      <c r="TMB243" s="42"/>
      <c r="TMC243" s="42"/>
      <c r="TMD243" s="42"/>
      <c r="TME243" s="42"/>
      <c r="TMF243" s="42"/>
      <c r="TMG243" s="42"/>
      <c r="TMH243" s="42"/>
      <c r="TMI243" s="42"/>
      <c r="TMJ243" s="42"/>
      <c r="TMK243" s="42"/>
      <c r="TML243" s="42"/>
      <c r="TMM243" s="42"/>
      <c r="TMN243" s="42"/>
      <c r="TMO243" s="42"/>
      <c r="TMP243" s="42"/>
      <c r="TMQ243" s="42"/>
      <c r="TMR243" s="42"/>
      <c r="TMS243" s="42"/>
      <c r="TMT243" s="42"/>
      <c r="TMU243" s="42"/>
      <c r="TMV243" s="42"/>
      <c r="TMW243" s="42"/>
      <c r="TMX243" s="42"/>
      <c r="TMY243" s="42"/>
      <c r="TMZ243" s="42"/>
      <c r="TNA243" s="42"/>
      <c r="TNB243" s="42"/>
      <c r="TNC243" s="42"/>
      <c r="TND243" s="42"/>
      <c r="TNE243" s="42"/>
      <c r="TNF243" s="42"/>
      <c r="TNG243" s="42"/>
      <c r="TNH243" s="42"/>
      <c r="TNI243" s="42"/>
      <c r="TNJ243" s="42"/>
      <c r="TNK243" s="42"/>
      <c r="TNL243" s="42"/>
      <c r="TNM243" s="42"/>
      <c r="TNN243" s="42"/>
      <c r="TNO243" s="42"/>
      <c r="TNP243" s="42"/>
      <c r="TNQ243" s="42"/>
      <c r="TNR243" s="42"/>
      <c r="TNS243" s="42"/>
      <c r="TNT243" s="42"/>
      <c r="TNU243" s="42"/>
      <c r="TNV243" s="42"/>
      <c r="TNW243" s="42"/>
      <c r="TNX243" s="42"/>
      <c r="TNY243" s="42"/>
      <c r="TNZ243" s="42"/>
      <c r="TOA243" s="42"/>
      <c r="TOB243" s="42"/>
      <c r="TOC243" s="42"/>
      <c r="TOD243" s="42"/>
      <c r="TOE243" s="42"/>
      <c r="TOF243" s="42"/>
      <c r="TOG243" s="42"/>
      <c r="TOH243" s="42"/>
      <c r="TOI243" s="42"/>
      <c r="TOJ243" s="42"/>
      <c r="TOK243" s="42"/>
      <c r="TOL243" s="42"/>
      <c r="TOM243" s="42"/>
      <c r="TON243" s="42"/>
      <c r="TOO243" s="42"/>
      <c r="TOP243" s="42"/>
      <c r="TOQ243" s="42"/>
      <c r="TOR243" s="42"/>
      <c r="TOS243" s="42"/>
      <c r="TOT243" s="42"/>
      <c r="TOU243" s="42"/>
      <c r="TOV243" s="42"/>
      <c r="TOW243" s="42"/>
      <c r="TOX243" s="42"/>
      <c r="TOY243" s="42"/>
      <c r="TOZ243" s="42"/>
      <c r="TPA243" s="42"/>
      <c r="TPB243" s="42"/>
      <c r="TPC243" s="42"/>
      <c r="TPD243" s="42"/>
      <c r="TPE243" s="42"/>
      <c r="TPF243" s="42"/>
      <c r="TPG243" s="42"/>
      <c r="TPH243" s="42"/>
      <c r="TPI243" s="42"/>
      <c r="TPJ243" s="42"/>
      <c r="TPK243" s="42"/>
      <c r="TPL243" s="42"/>
      <c r="TPM243" s="42"/>
      <c r="TPN243" s="42"/>
      <c r="TPO243" s="42"/>
      <c r="TPP243" s="42"/>
      <c r="TPQ243" s="42"/>
      <c r="TPR243" s="42"/>
      <c r="TPS243" s="42"/>
      <c r="TPT243" s="42"/>
      <c r="TPU243" s="42"/>
      <c r="TPV243" s="42"/>
      <c r="TPW243" s="42"/>
      <c r="TPX243" s="42"/>
      <c r="TPY243" s="42"/>
      <c r="TPZ243" s="42"/>
      <c r="TQA243" s="42"/>
      <c r="TQB243" s="42"/>
      <c r="TQC243" s="42"/>
      <c r="TQD243" s="42"/>
      <c r="TQE243" s="42"/>
      <c r="TQF243" s="42"/>
      <c r="TQG243" s="42"/>
      <c r="TQH243" s="42"/>
      <c r="TQI243" s="42"/>
      <c r="TQJ243" s="42"/>
      <c r="TQK243" s="42"/>
      <c r="TQL243" s="42"/>
      <c r="TQM243" s="42"/>
      <c r="TQN243" s="42"/>
      <c r="TQO243" s="42"/>
      <c r="TQP243" s="42"/>
      <c r="TQQ243" s="42"/>
      <c r="TQR243" s="42"/>
      <c r="TQS243" s="42"/>
      <c r="TQT243" s="42"/>
      <c r="TQU243" s="42"/>
      <c r="TQV243" s="42"/>
      <c r="TQW243" s="42"/>
      <c r="TQX243" s="42"/>
      <c r="TQY243" s="42"/>
      <c r="TQZ243" s="42"/>
      <c r="TRA243" s="42"/>
      <c r="TRB243" s="42"/>
      <c r="TRC243" s="42"/>
      <c r="TRD243" s="42"/>
      <c r="TRE243" s="42"/>
      <c r="TRF243" s="42"/>
      <c r="TRG243" s="42"/>
      <c r="TRH243" s="42"/>
      <c r="TRI243" s="42"/>
      <c r="TRJ243" s="42"/>
      <c r="TRK243" s="42"/>
      <c r="TRL243" s="42"/>
      <c r="TRM243" s="42"/>
      <c r="TRN243" s="42"/>
      <c r="TRO243" s="42"/>
      <c r="TRP243" s="42"/>
      <c r="TRQ243" s="42"/>
      <c r="TRR243" s="42"/>
      <c r="TRS243" s="42"/>
      <c r="TRT243" s="42"/>
      <c r="TRU243" s="42"/>
      <c r="TRV243" s="42"/>
      <c r="TRW243" s="42"/>
      <c r="TRX243" s="42"/>
      <c r="TRY243" s="42"/>
      <c r="TRZ243" s="42"/>
      <c r="TSA243" s="42"/>
      <c r="TSB243" s="42"/>
      <c r="TSC243" s="42"/>
      <c r="TSD243" s="42"/>
      <c r="TSE243" s="42"/>
      <c r="TSF243" s="42"/>
      <c r="TSG243" s="42"/>
      <c r="TSH243" s="42"/>
      <c r="TSI243" s="42"/>
      <c r="TSJ243" s="42"/>
      <c r="TSK243" s="42"/>
      <c r="TSL243" s="42"/>
      <c r="TSM243" s="42"/>
      <c r="TSN243" s="42"/>
      <c r="TSO243" s="42"/>
      <c r="TSP243" s="42"/>
      <c r="TSQ243" s="42"/>
      <c r="TSR243" s="42"/>
      <c r="TSS243" s="42"/>
      <c r="TST243" s="42"/>
      <c r="TSU243" s="42"/>
      <c r="TSV243" s="42"/>
      <c r="TSW243" s="42"/>
      <c r="TSX243" s="42"/>
      <c r="TSY243" s="42"/>
      <c r="TSZ243" s="42"/>
      <c r="TTA243" s="42"/>
      <c r="TTB243" s="42"/>
      <c r="TTC243" s="42"/>
      <c r="TTD243" s="42"/>
      <c r="TTE243" s="42"/>
      <c r="TTF243" s="42"/>
      <c r="TTG243" s="42"/>
      <c r="TTH243" s="42"/>
      <c r="TTI243" s="42"/>
      <c r="TTJ243" s="42"/>
      <c r="TTK243" s="42"/>
      <c r="TTL243" s="42"/>
      <c r="TTM243" s="42"/>
      <c r="TTN243" s="42"/>
      <c r="TTO243" s="42"/>
      <c r="TTP243" s="42"/>
      <c r="TTQ243" s="42"/>
      <c r="TTR243" s="42"/>
      <c r="TTS243" s="42"/>
      <c r="TTT243" s="42"/>
      <c r="TTU243" s="42"/>
      <c r="TTV243" s="42"/>
      <c r="TTW243" s="42"/>
      <c r="TTX243" s="42"/>
      <c r="TTY243" s="42"/>
      <c r="TTZ243" s="42"/>
      <c r="TUA243" s="42"/>
      <c r="TUB243" s="42"/>
      <c r="TUC243" s="42"/>
      <c r="TUD243" s="42"/>
      <c r="TUE243" s="42"/>
      <c r="TUF243" s="42"/>
      <c r="TUG243" s="42"/>
      <c r="TUH243" s="42"/>
      <c r="TUI243" s="42"/>
      <c r="TUJ243" s="42"/>
      <c r="TUK243" s="42"/>
      <c r="TUL243" s="42"/>
      <c r="TUM243" s="42"/>
      <c r="TUN243" s="42"/>
      <c r="TUO243" s="42"/>
      <c r="TUP243" s="42"/>
      <c r="TUQ243" s="42"/>
      <c r="TUR243" s="42"/>
      <c r="TUS243" s="42"/>
      <c r="TUT243" s="42"/>
      <c r="TUU243" s="42"/>
      <c r="TUV243" s="42"/>
      <c r="TUW243" s="42"/>
      <c r="TUX243" s="42"/>
      <c r="TUY243" s="42"/>
      <c r="TUZ243" s="42"/>
      <c r="TVA243" s="42"/>
      <c r="TVB243" s="42"/>
      <c r="TVC243" s="42"/>
      <c r="TVD243" s="42"/>
      <c r="TVE243" s="42"/>
      <c r="TVF243" s="42"/>
      <c r="TVG243" s="42"/>
      <c r="TVH243" s="42"/>
      <c r="TVI243" s="42"/>
      <c r="TVJ243" s="42"/>
      <c r="TVK243" s="42"/>
      <c r="TVL243" s="42"/>
      <c r="TVM243" s="42"/>
      <c r="TVN243" s="42"/>
      <c r="TVO243" s="42"/>
      <c r="TVP243" s="42"/>
      <c r="TVQ243" s="42"/>
      <c r="TVR243" s="42"/>
      <c r="TVS243" s="42"/>
      <c r="TVT243" s="42"/>
      <c r="TVU243" s="42"/>
      <c r="TVV243" s="42"/>
      <c r="TVW243" s="42"/>
      <c r="TVX243" s="42"/>
      <c r="TVY243" s="42"/>
      <c r="TVZ243" s="42"/>
      <c r="TWA243" s="42"/>
      <c r="TWB243" s="42"/>
      <c r="TWC243" s="42"/>
      <c r="TWD243" s="42"/>
      <c r="TWE243" s="42"/>
      <c r="TWF243" s="42"/>
      <c r="TWG243" s="42"/>
      <c r="TWH243" s="42"/>
      <c r="TWI243" s="42"/>
      <c r="TWJ243" s="42"/>
      <c r="TWK243" s="42"/>
      <c r="TWL243" s="42"/>
      <c r="TWM243" s="42"/>
      <c r="TWN243" s="42"/>
      <c r="TWO243" s="42"/>
      <c r="TWP243" s="42"/>
      <c r="TWQ243" s="42"/>
      <c r="TWR243" s="42"/>
      <c r="TWS243" s="42"/>
      <c r="TWT243" s="42"/>
      <c r="TWU243" s="42"/>
      <c r="TWV243" s="42"/>
      <c r="TWW243" s="42"/>
      <c r="TWX243" s="42"/>
      <c r="TWY243" s="42"/>
      <c r="TWZ243" s="42"/>
      <c r="TXA243" s="42"/>
      <c r="TXB243" s="42"/>
      <c r="TXC243" s="42"/>
      <c r="TXD243" s="42"/>
      <c r="TXE243" s="42"/>
      <c r="TXF243" s="42"/>
      <c r="TXG243" s="42"/>
      <c r="TXH243" s="42"/>
      <c r="TXI243" s="42"/>
      <c r="TXJ243" s="42"/>
      <c r="TXK243" s="42"/>
      <c r="TXL243" s="42"/>
      <c r="TXM243" s="42"/>
      <c r="TXN243" s="42"/>
      <c r="TXO243" s="42"/>
      <c r="TXP243" s="42"/>
      <c r="TXQ243" s="42"/>
      <c r="TXR243" s="42"/>
      <c r="TXS243" s="42"/>
      <c r="TXT243" s="42"/>
      <c r="TXU243" s="42"/>
      <c r="TXV243" s="42"/>
      <c r="TXW243" s="42"/>
      <c r="TXX243" s="42"/>
      <c r="TXY243" s="42"/>
      <c r="TXZ243" s="42"/>
      <c r="TYA243" s="42"/>
      <c r="TYB243" s="42"/>
      <c r="TYC243" s="42"/>
      <c r="TYD243" s="42"/>
      <c r="TYE243" s="42"/>
      <c r="TYF243" s="42"/>
      <c r="TYG243" s="42"/>
      <c r="TYH243" s="42"/>
      <c r="TYI243" s="42"/>
      <c r="TYJ243" s="42"/>
      <c r="TYK243" s="42"/>
      <c r="TYL243" s="42"/>
      <c r="TYM243" s="42"/>
      <c r="TYN243" s="42"/>
      <c r="TYO243" s="42"/>
      <c r="TYP243" s="42"/>
      <c r="TYQ243" s="42"/>
      <c r="TYR243" s="42"/>
      <c r="TYS243" s="42"/>
      <c r="TYT243" s="42"/>
      <c r="TYU243" s="42"/>
      <c r="TYV243" s="42"/>
      <c r="TYW243" s="42"/>
      <c r="TYX243" s="42"/>
      <c r="TYY243" s="42"/>
      <c r="TYZ243" s="42"/>
      <c r="TZA243" s="42"/>
      <c r="TZB243" s="42"/>
      <c r="TZC243" s="42"/>
      <c r="TZD243" s="42"/>
      <c r="TZE243" s="42"/>
      <c r="TZF243" s="42"/>
      <c r="TZG243" s="42"/>
      <c r="TZH243" s="42"/>
      <c r="TZI243" s="42"/>
      <c r="TZJ243" s="42"/>
      <c r="TZK243" s="42"/>
      <c r="TZL243" s="42"/>
      <c r="TZM243" s="42"/>
      <c r="TZN243" s="42"/>
      <c r="TZO243" s="42"/>
      <c r="TZP243" s="42"/>
      <c r="TZQ243" s="42"/>
      <c r="TZR243" s="42"/>
      <c r="TZS243" s="42"/>
      <c r="TZT243" s="42"/>
      <c r="TZU243" s="42"/>
      <c r="TZV243" s="42"/>
      <c r="TZW243" s="42"/>
      <c r="TZX243" s="42"/>
      <c r="TZY243" s="42"/>
      <c r="TZZ243" s="42"/>
      <c r="UAA243" s="42"/>
      <c r="UAB243" s="42"/>
      <c r="UAC243" s="42"/>
      <c r="UAD243" s="42"/>
      <c r="UAE243" s="42"/>
      <c r="UAF243" s="42"/>
      <c r="UAG243" s="42"/>
      <c r="UAH243" s="42"/>
      <c r="UAI243" s="42"/>
      <c r="UAJ243" s="42"/>
      <c r="UAK243" s="42"/>
      <c r="UAL243" s="42"/>
      <c r="UAM243" s="42"/>
      <c r="UAN243" s="42"/>
      <c r="UAO243" s="42"/>
      <c r="UAP243" s="42"/>
      <c r="UAQ243" s="42"/>
      <c r="UAR243" s="42"/>
      <c r="UAS243" s="42"/>
      <c r="UAT243" s="42"/>
      <c r="UAU243" s="42"/>
      <c r="UAV243" s="42"/>
      <c r="UAW243" s="42"/>
      <c r="UAX243" s="42"/>
      <c r="UAY243" s="42"/>
      <c r="UAZ243" s="42"/>
      <c r="UBA243" s="42"/>
      <c r="UBB243" s="42"/>
      <c r="UBC243" s="42"/>
      <c r="UBD243" s="42"/>
      <c r="UBE243" s="42"/>
      <c r="UBF243" s="42"/>
      <c r="UBG243" s="42"/>
      <c r="UBH243" s="42"/>
      <c r="UBI243" s="42"/>
      <c r="UBJ243" s="42"/>
      <c r="UBK243" s="42"/>
      <c r="UBL243" s="42"/>
      <c r="UBM243" s="42"/>
      <c r="UBN243" s="42"/>
      <c r="UBO243" s="42"/>
      <c r="UBP243" s="42"/>
      <c r="UBQ243" s="42"/>
      <c r="UBR243" s="42"/>
      <c r="UBS243" s="42"/>
      <c r="UBT243" s="42"/>
      <c r="UBU243" s="42"/>
      <c r="UBV243" s="42"/>
      <c r="UBW243" s="42"/>
      <c r="UBX243" s="42"/>
      <c r="UBY243" s="42"/>
      <c r="UBZ243" s="42"/>
      <c r="UCA243" s="42"/>
      <c r="UCB243" s="42"/>
      <c r="UCC243" s="42"/>
      <c r="UCD243" s="42"/>
      <c r="UCE243" s="42"/>
      <c r="UCF243" s="42"/>
      <c r="UCG243" s="42"/>
      <c r="UCH243" s="42"/>
      <c r="UCI243" s="42"/>
      <c r="UCJ243" s="42"/>
      <c r="UCK243" s="42"/>
      <c r="UCL243" s="42"/>
      <c r="UCM243" s="42"/>
      <c r="UCN243" s="42"/>
      <c r="UCO243" s="42"/>
      <c r="UCP243" s="42"/>
      <c r="UCQ243" s="42"/>
      <c r="UCR243" s="42"/>
      <c r="UCS243" s="42"/>
      <c r="UCT243" s="42"/>
      <c r="UCU243" s="42"/>
      <c r="UCV243" s="42"/>
      <c r="UCW243" s="42"/>
      <c r="UCX243" s="42"/>
      <c r="UCY243" s="42"/>
      <c r="UCZ243" s="42"/>
      <c r="UDA243" s="42"/>
      <c r="UDB243" s="42"/>
      <c r="UDC243" s="42"/>
      <c r="UDD243" s="42"/>
      <c r="UDE243" s="42"/>
      <c r="UDF243" s="42"/>
      <c r="UDG243" s="42"/>
      <c r="UDH243" s="42"/>
      <c r="UDI243" s="42"/>
      <c r="UDJ243" s="42"/>
      <c r="UDK243" s="42"/>
      <c r="UDL243" s="42"/>
      <c r="UDM243" s="42"/>
      <c r="UDN243" s="42"/>
      <c r="UDO243" s="42"/>
      <c r="UDP243" s="42"/>
      <c r="UDQ243" s="42"/>
      <c r="UDR243" s="42"/>
      <c r="UDS243" s="42"/>
      <c r="UDT243" s="42"/>
      <c r="UDU243" s="42"/>
      <c r="UDV243" s="42"/>
      <c r="UDW243" s="42"/>
      <c r="UDX243" s="42"/>
      <c r="UDY243" s="42"/>
      <c r="UDZ243" s="42"/>
      <c r="UEA243" s="42"/>
      <c r="UEB243" s="42"/>
      <c r="UEC243" s="42"/>
      <c r="UED243" s="42"/>
      <c r="UEE243" s="42"/>
      <c r="UEF243" s="42"/>
      <c r="UEG243" s="42"/>
      <c r="UEH243" s="42"/>
      <c r="UEI243" s="42"/>
      <c r="UEJ243" s="42"/>
      <c r="UEK243" s="42"/>
      <c r="UEL243" s="42"/>
      <c r="UEM243" s="42"/>
      <c r="UEN243" s="42"/>
      <c r="UEO243" s="42"/>
      <c r="UEP243" s="42"/>
      <c r="UEQ243" s="42"/>
      <c r="UER243" s="42"/>
      <c r="UES243" s="42"/>
      <c r="UET243" s="42"/>
      <c r="UEU243" s="42"/>
      <c r="UEV243" s="42"/>
      <c r="UEW243" s="42"/>
      <c r="UEX243" s="42"/>
      <c r="UEY243" s="42"/>
      <c r="UEZ243" s="42"/>
      <c r="UFA243" s="42"/>
      <c r="UFB243" s="42"/>
      <c r="UFC243" s="42"/>
      <c r="UFD243" s="42"/>
      <c r="UFE243" s="42"/>
      <c r="UFF243" s="42"/>
      <c r="UFG243" s="42"/>
      <c r="UFH243" s="42"/>
      <c r="UFI243" s="42"/>
      <c r="UFJ243" s="42"/>
      <c r="UFK243" s="42"/>
      <c r="UFL243" s="42"/>
      <c r="UFM243" s="42"/>
      <c r="UFN243" s="42"/>
      <c r="UFO243" s="42"/>
      <c r="UFP243" s="42"/>
      <c r="UFQ243" s="42"/>
      <c r="UFR243" s="42"/>
      <c r="UFS243" s="42"/>
      <c r="UFT243" s="42"/>
      <c r="UFU243" s="42"/>
      <c r="UFV243" s="42"/>
      <c r="UFW243" s="42"/>
      <c r="UFX243" s="42"/>
      <c r="UFY243" s="42"/>
      <c r="UFZ243" s="42"/>
      <c r="UGA243" s="42"/>
      <c r="UGB243" s="42"/>
      <c r="UGC243" s="42"/>
      <c r="UGD243" s="42"/>
      <c r="UGE243" s="42"/>
      <c r="UGF243" s="42"/>
      <c r="UGG243" s="42"/>
      <c r="UGH243" s="42"/>
      <c r="UGI243" s="42"/>
      <c r="UGJ243" s="42"/>
      <c r="UGK243" s="42"/>
      <c r="UGL243" s="42"/>
      <c r="UGM243" s="42"/>
      <c r="UGN243" s="42"/>
      <c r="UGO243" s="42"/>
      <c r="UGP243" s="42"/>
      <c r="UGQ243" s="42"/>
      <c r="UGR243" s="42"/>
      <c r="UGS243" s="42"/>
      <c r="UGT243" s="42"/>
      <c r="UGU243" s="42"/>
      <c r="UGV243" s="42"/>
      <c r="UGW243" s="42"/>
      <c r="UGX243" s="42"/>
      <c r="UGY243" s="42"/>
      <c r="UGZ243" s="42"/>
      <c r="UHA243" s="42"/>
      <c r="UHB243" s="42"/>
      <c r="UHC243" s="42"/>
      <c r="UHD243" s="42"/>
      <c r="UHE243" s="42"/>
      <c r="UHF243" s="42"/>
      <c r="UHG243" s="42"/>
      <c r="UHH243" s="42"/>
      <c r="UHI243" s="42"/>
      <c r="UHJ243" s="42"/>
      <c r="UHK243" s="42"/>
      <c r="UHL243" s="42"/>
      <c r="UHM243" s="42"/>
      <c r="UHN243" s="42"/>
      <c r="UHO243" s="42"/>
      <c r="UHP243" s="42"/>
      <c r="UHQ243" s="42"/>
      <c r="UHR243" s="42"/>
      <c r="UHS243" s="42"/>
      <c r="UHT243" s="42"/>
      <c r="UHU243" s="42"/>
      <c r="UHV243" s="42"/>
      <c r="UHW243" s="42"/>
      <c r="UHX243" s="42"/>
      <c r="UHY243" s="42"/>
      <c r="UHZ243" s="42"/>
      <c r="UIA243" s="42"/>
      <c r="UIB243" s="42"/>
      <c r="UIC243" s="42"/>
      <c r="UID243" s="42"/>
      <c r="UIE243" s="42"/>
      <c r="UIF243" s="42"/>
      <c r="UIG243" s="42"/>
      <c r="UIH243" s="42"/>
      <c r="UII243" s="42"/>
      <c r="UIJ243" s="42"/>
      <c r="UIK243" s="42"/>
      <c r="UIL243" s="42"/>
      <c r="UIM243" s="42"/>
      <c r="UIN243" s="42"/>
      <c r="UIO243" s="42"/>
      <c r="UIP243" s="42"/>
      <c r="UIQ243" s="42"/>
      <c r="UIR243" s="42"/>
      <c r="UIS243" s="42"/>
      <c r="UIT243" s="42"/>
      <c r="UIU243" s="42"/>
      <c r="UIV243" s="42"/>
      <c r="UIW243" s="42"/>
      <c r="UIX243" s="42"/>
      <c r="UIY243" s="42"/>
      <c r="UIZ243" s="42"/>
      <c r="UJA243" s="42"/>
      <c r="UJB243" s="42"/>
      <c r="UJC243" s="42"/>
      <c r="UJD243" s="42"/>
      <c r="UJE243" s="42"/>
      <c r="UJF243" s="42"/>
      <c r="UJG243" s="42"/>
      <c r="UJH243" s="42"/>
      <c r="UJI243" s="42"/>
      <c r="UJJ243" s="42"/>
      <c r="UJK243" s="42"/>
      <c r="UJL243" s="42"/>
      <c r="UJM243" s="42"/>
      <c r="UJN243" s="42"/>
      <c r="UJO243" s="42"/>
      <c r="UJP243" s="42"/>
      <c r="UJQ243" s="42"/>
      <c r="UJR243" s="42"/>
      <c r="UJS243" s="42"/>
      <c r="UJT243" s="42"/>
      <c r="UJU243" s="42"/>
      <c r="UJV243" s="42"/>
      <c r="UJW243" s="42"/>
      <c r="UJX243" s="42"/>
      <c r="UJY243" s="42"/>
      <c r="UJZ243" s="42"/>
      <c r="UKA243" s="42"/>
      <c r="UKB243" s="42"/>
      <c r="UKC243" s="42"/>
      <c r="UKD243" s="42"/>
      <c r="UKE243" s="42"/>
      <c r="UKF243" s="42"/>
      <c r="UKG243" s="42"/>
      <c r="UKH243" s="42"/>
      <c r="UKI243" s="42"/>
      <c r="UKJ243" s="42"/>
      <c r="UKK243" s="42"/>
      <c r="UKL243" s="42"/>
      <c r="UKM243" s="42"/>
      <c r="UKN243" s="42"/>
      <c r="UKO243" s="42"/>
      <c r="UKP243" s="42"/>
      <c r="UKQ243" s="42"/>
      <c r="UKR243" s="42"/>
      <c r="UKS243" s="42"/>
      <c r="UKT243" s="42"/>
      <c r="UKU243" s="42"/>
      <c r="UKV243" s="42"/>
      <c r="UKW243" s="42"/>
      <c r="UKX243" s="42"/>
      <c r="UKY243" s="42"/>
      <c r="UKZ243" s="42"/>
      <c r="ULA243" s="42"/>
      <c r="ULB243" s="42"/>
      <c r="ULC243" s="42"/>
      <c r="ULD243" s="42"/>
      <c r="ULE243" s="42"/>
      <c r="ULF243" s="42"/>
      <c r="ULG243" s="42"/>
      <c r="ULH243" s="42"/>
      <c r="ULI243" s="42"/>
      <c r="ULJ243" s="42"/>
      <c r="ULK243" s="42"/>
      <c r="ULL243" s="42"/>
      <c r="ULM243" s="42"/>
      <c r="ULN243" s="42"/>
      <c r="ULO243" s="42"/>
      <c r="ULP243" s="42"/>
      <c r="ULQ243" s="42"/>
      <c r="ULR243" s="42"/>
      <c r="ULS243" s="42"/>
      <c r="ULT243" s="42"/>
      <c r="ULU243" s="42"/>
      <c r="ULV243" s="42"/>
      <c r="ULW243" s="42"/>
      <c r="ULX243" s="42"/>
      <c r="ULY243" s="42"/>
      <c r="ULZ243" s="42"/>
      <c r="UMA243" s="42"/>
      <c r="UMB243" s="42"/>
      <c r="UMC243" s="42"/>
      <c r="UMD243" s="42"/>
      <c r="UME243" s="42"/>
      <c r="UMF243" s="42"/>
      <c r="UMG243" s="42"/>
      <c r="UMH243" s="42"/>
      <c r="UMI243" s="42"/>
      <c r="UMJ243" s="42"/>
      <c r="UMK243" s="42"/>
      <c r="UML243" s="42"/>
      <c r="UMM243" s="42"/>
      <c r="UMN243" s="42"/>
      <c r="UMO243" s="42"/>
      <c r="UMP243" s="42"/>
      <c r="UMQ243" s="42"/>
      <c r="UMR243" s="42"/>
      <c r="UMS243" s="42"/>
      <c r="UMT243" s="42"/>
      <c r="UMU243" s="42"/>
      <c r="UMV243" s="42"/>
      <c r="UMW243" s="42"/>
      <c r="UMX243" s="42"/>
      <c r="UMY243" s="42"/>
      <c r="UMZ243" s="42"/>
      <c r="UNA243" s="42"/>
      <c r="UNB243" s="42"/>
      <c r="UNC243" s="42"/>
      <c r="UND243" s="42"/>
      <c r="UNE243" s="42"/>
      <c r="UNF243" s="42"/>
      <c r="UNG243" s="42"/>
      <c r="UNH243" s="42"/>
      <c r="UNI243" s="42"/>
      <c r="UNJ243" s="42"/>
      <c r="UNK243" s="42"/>
      <c r="UNL243" s="42"/>
      <c r="UNM243" s="42"/>
      <c r="UNN243" s="42"/>
      <c r="UNO243" s="42"/>
      <c r="UNP243" s="42"/>
      <c r="UNQ243" s="42"/>
      <c r="UNR243" s="42"/>
      <c r="UNS243" s="42"/>
      <c r="UNT243" s="42"/>
      <c r="UNU243" s="42"/>
      <c r="UNV243" s="42"/>
      <c r="UNW243" s="42"/>
      <c r="UNX243" s="42"/>
      <c r="UNY243" s="42"/>
      <c r="UNZ243" s="42"/>
      <c r="UOA243" s="42"/>
      <c r="UOB243" s="42"/>
      <c r="UOC243" s="42"/>
      <c r="UOD243" s="42"/>
      <c r="UOE243" s="42"/>
      <c r="UOF243" s="42"/>
      <c r="UOG243" s="42"/>
      <c r="UOH243" s="42"/>
      <c r="UOI243" s="42"/>
      <c r="UOJ243" s="42"/>
      <c r="UOK243" s="42"/>
      <c r="UOL243" s="42"/>
      <c r="UOM243" s="42"/>
      <c r="UON243" s="42"/>
      <c r="UOO243" s="42"/>
      <c r="UOP243" s="42"/>
      <c r="UOQ243" s="42"/>
      <c r="UOR243" s="42"/>
      <c r="UOS243" s="42"/>
      <c r="UOT243" s="42"/>
      <c r="UOU243" s="42"/>
      <c r="UOV243" s="42"/>
      <c r="UOW243" s="42"/>
      <c r="UOX243" s="42"/>
      <c r="UOY243" s="42"/>
      <c r="UOZ243" s="42"/>
      <c r="UPA243" s="42"/>
      <c r="UPB243" s="42"/>
      <c r="UPC243" s="42"/>
      <c r="UPD243" s="42"/>
      <c r="UPE243" s="42"/>
      <c r="UPF243" s="42"/>
      <c r="UPG243" s="42"/>
      <c r="UPH243" s="42"/>
      <c r="UPI243" s="42"/>
      <c r="UPJ243" s="42"/>
      <c r="UPK243" s="42"/>
      <c r="UPL243" s="42"/>
      <c r="UPM243" s="42"/>
      <c r="UPN243" s="42"/>
      <c r="UPO243" s="42"/>
      <c r="UPP243" s="42"/>
      <c r="UPQ243" s="42"/>
      <c r="UPR243" s="42"/>
      <c r="UPS243" s="42"/>
      <c r="UPT243" s="42"/>
      <c r="UPU243" s="42"/>
      <c r="UPV243" s="42"/>
      <c r="UPW243" s="42"/>
      <c r="UPX243" s="42"/>
      <c r="UPY243" s="42"/>
      <c r="UPZ243" s="42"/>
      <c r="UQA243" s="42"/>
      <c r="UQB243" s="42"/>
      <c r="UQC243" s="42"/>
      <c r="UQD243" s="42"/>
      <c r="UQE243" s="42"/>
      <c r="UQF243" s="42"/>
      <c r="UQG243" s="42"/>
      <c r="UQH243" s="42"/>
      <c r="UQI243" s="42"/>
      <c r="UQJ243" s="42"/>
      <c r="UQK243" s="42"/>
      <c r="UQL243" s="42"/>
      <c r="UQM243" s="42"/>
      <c r="UQN243" s="42"/>
      <c r="UQO243" s="42"/>
      <c r="UQP243" s="42"/>
      <c r="UQQ243" s="42"/>
      <c r="UQR243" s="42"/>
      <c r="UQS243" s="42"/>
      <c r="UQT243" s="42"/>
      <c r="UQU243" s="42"/>
      <c r="UQV243" s="42"/>
      <c r="UQW243" s="42"/>
      <c r="UQX243" s="42"/>
      <c r="UQY243" s="42"/>
      <c r="UQZ243" s="42"/>
      <c r="URA243" s="42"/>
      <c r="URB243" s="42"/>
      <c r="URC243" s="42"/>
      <c r="URD243" s="42"/>
      <c r="URE243" s="42"/>
      <c r="URF243" s="42"/>
      <c r="URG243" s="42"/>
      <c r="URH243" s="42"/>
      <c r="URI243" s="42"/>
      <c r="URJ243" s="42"/>
      <c r="URK243" s="42"/>
      <c r="URL243" s="42"/>
      <c r="URM243" s="42"/>
      <c r="URN243" s="42"/>
      <c r="URO243" s="42"/>
      <c r="URP243" s="42"/>
      <c r="URQ243" s="42"/>
      <c r="URR243" s="42"/>
      <c r="URS243" s="42"/>
      <c r="URT243" s="42"/>
      <c r="URU243" s="42"/>
      <c r="URV243" s="42"/>
      <c r="URW243" s="42"/>
      <c r="URX243" s="42"/>
      <c r="URY243" s="42"/>
      <c r="URZ243" s="42"/>
      <c r="USA243" s="42"/>
      <c r="USB243" s="42"/>
      <c r="USC243" s="42"/>
      <c r="USD243" s="42"/>
      <c r="USE243" s="42"/>
      <c r="USF243" s="42"/>
      <c r="USG243" s="42"/>
      <c r="USH243" s="42"/>
      <c r="USI243" s="42"/>
      <c r="USJ243" s="42"/>
      <c r="USK243" s="42"/>
      <c r="USL243" s="42"/>
      <c r="USM243" s="42"/>
      <c r="USN243" s="42"/>
      <c r="USO243" s="42"/>
      <c r="USP243" s="42"/>
      <c r="USQ243" s="42"/>
      <c r="USR243" s="42"/>
      <c r="USS243" s="42"/>
      <c r="UST243" s="42"/>
      <c r="USU243" s="42"/>
      <c r="USV243" s="42"/>
      <c r="USW243" s="42"/>
      <c r="USX243" s="42"/>
      <c r="USY243" s="42"/>
      <c r="USZ243" s="42"/>
      <c r="UTA243" s="42"/>
      <c r="UTB243" s="42"/>
      <c r="UTC243" s="42"/>
      <c r="UTD243" s="42"/>
      <c r="UTE243" s="42"/>
      <c r="UTF243" s="42"/>
      <c r="UTG243" s="42"/>
      <c r="UTH243" s="42"/>
      <c r="UTI243" s="42"/>
      <c r="UTJ243" s="42"/>
      <c r="UTK243" s="42"/>
      <c r="UTL243" s="42"/>
      <c r="UTM243" s="42"/>
      <c r="UTN243" s="42"/>
      <c r="UTO243" s="42"/>
      <c r="UTP243" s="42"/>
      <c r="UTQ243" s="42"/>
      <c r="UTR243" s="42"/>
      <c r="UTS243" s="42"/>
      <c r="UTT243" s="42"/>
      <c r="UTU243" s="42"/>
      <c r="UTV243" s="42"/>
      <c r="UTW243" s="42"/>
      <c r="UTX243" s="42"/>
      <c r="UTY243" s="42"/>
      <c r="UTZ243" s="42"/>
      <c r="UUA243" s="42"/>
      <c r="UUB243" s="42"/>
      <c r="UUC243" s="42"/>
      <c r="UUD243" s="42"/>
      <c r="UUE243" s="42"/>
      <c r="UUF243" s="42"/>
      <c r="UUG243" s="42"/>
      <c r="UUH243" s="42"/>
      <c r="UUI243" s="42"/>
      <c r="UUJ243" s="42"/>
      <c r="UUK243" s="42"/>
      <c r="UUL243" s="42"/>
      <c r="UUM243" s="42"/>
      <c r="UUN243" s="42"/>
      <c r="UUO243" s="42"/>
      <c r="UUP243" s="42"/>
      <c r="UUQ243" s="42"/>
      <c r="UUR243" s="42"/>
      <c r="UUS243" s="42"/>
      <c r="UUT243" s="42"/>
      <c r="UUU243" s="42"/>
      <c r="UUV243" s="42"/>
      <c r="UUW243" s="42"/>
      <c r="UUX243" s="42"/>
      <c r="UUY243" s="42"/>
      <c r="UUZ243" s="42"/>
      <c r="UVA243" s="42"/>
      <c r="UVB243" s="42"/>
      <c r="UVC243" s="42"/>
      <c r="UVD243" s="42"/>
      <c r="UVE243" s="42"/>
      <c r="UVF243" s="42"/>
      <c r="UVG243" s="42"/>
      <c r="UVH243" s="42"/>
      <c r="UVI243" s="42"/>
      <c r="UVJ243" s="42"/>
      <c r="UVK243" s="42"/>
      <c r="UVL243" s="42"/>
      <c r="UVM243" s="42"/>
      <c r="UVN243" s="42"/>
      <c r="UVO243" s="42"/>
      <c r="UVP243" s="42"/>
      <c r="UVQ243" s="42"/>
      <c r="UVR243" s="42"/>
      <c r="UVS243" s="42"/>
      <c r="UVT243" s="42"/>
      <c r="UVU243" s="42"/>
      <c r="UVV243" s="42"/>
      <c r="UVW243" s="42"/>
      <c r="UVX243" s="42"/>
      <c r="UVY243" s="42"/>
      <c r="UVZ243" s="42"/>
      <c r="UWA243" s="42"/>
      <c r="UWB243" s="42"/>
      <c r="UWC243" s="42"/>
      <c r="UWD243" s="42"/>
      <c r="UWE243" s="42"/>
      <c r="UWF243" s="42"/>
      <c r="UWG243" s="42"/>
      <c r="UWH243" s="42"/>
      <c r="UWI243" s="42"/>
      <c r="UWJ243" s="42"/>
      <c r="UWK243" s="42"/>
      <c r="UWL243" s="42"/>
      <c r="UWM243" s="42"/>
      <c r="UWN243" s="42"/>
      <c r="UWO243" s="42"/>
      <c r="UWP243" s="42"/>
      <c r="UWQ243" s="42"/>
      <c r="UWR243" s="42"/>
      <c r="UWS243" s="42"/>
      <c r="UWT243" s="42"/>
      <c r="UWU243" s="42"/>
      <c r="UWV243" s="42"/>
      <c r="UWW243" s="42"/>
      <c r="UWX243" s="42"/>
      <c r="UWY243" s="42"/>
      <c r="UWZ243" s="42"/>
      <c r="UXA243" s="42"/>
      <c r="UXB243" s="42"/>
      <c r="UXC243" s="42"/>
      <c r="UXD243" s="42"/>
      <c r="UXE243" s="42"/>
      <c r="UXF243" s="42"/>
      <c r="UXG243" s="42"/>
      <c r="UXH243" s="42"/>
      <c r="UXI243" s="42"/>
      <c r="UXJ243" s="42"/>
      <c r="UXK243" s="42"/>
      <c r="UXL243" s="42"/>
      <c r="UXM243" s="42"/>
      <c r="UXN243" s="42"/>
      <c r="UXO243" s="42"/>
      <c r="UXP243" s="42"/>
      <c r="UXQ243" s="42"/>
      <c r="UXR243" s="42"/>
      <c r="UXS243" s="42"/>
      <c r="UXT243" s="42"/>
      <c r="UXU243" s="42"/>
      <c r="UXV243" s="42"/>
      <c r="UXW243" s="42"/>
      <c r="UXX243" s="42"/>
      <c r="UXY243" s="42"/>
      <c r="UXZ243" s="42"/>
      <c r="UYA243" s="42"/>
      <c r="UYB243" s="42"/>
      <c r="UYC243" s="42"/>
      <c r="UYD243" s="42"/>
      <c r="UYE243" s="42"/>
      <c r="UYF243" s="42"/>
      <c r="UYG243" s="42"/>
      <c r="UYH243" s="42"/>
      <c r="UYI243" s="42"/>
      <c r="UYJ243" s="42"/>
      <c r="UYK243" s="42"/>
      <c r="UYL243" s="42"/>
      <c r="UYM243" s="42"/>
      <c r="UYN243" s="42"/>
      <c r="UYO243" s="42"/>
      <c r="UYP243" s="42"/>
      <c r="UYQ243" s="42"/>
      <c r="UYR243" s="42"/>
      <c r="UYS243" s="42"/>
      <c r="UYT243" s="42"/>
      <c r="UYU243" s="42"/>
      <c r="UYV243" s="42"/>
      <c r="UYW243" s="42"/>
      <c r="UYX243" s="42"/>
      <c r="UYY243" s="42"/>
      <c r="UYZ243" s="42"/>
      <c r="UZA243" s="42"/>
      <c r="UZB243" s="42"/>
      <c r="UZC243" s="42"/>
      <c r="UZD243" s="42"/>
      <c r="UZE243" s="42"/>
      <c r="UZF243" s="42"/>
      <c r="UZG243" s="42"/>
      <c r="UZH243" s="42"/>
      <c r="UZI243" s="42"/>
      <c r="UZJ243" s="42"/>
      <c r="UZK243" s="42"/>
      <c r="UZL243" s="42"/>
      <c r="UZM243" s="42"/>
      <c r="UZN243" s="42"/>
      <c r="UZO243" s="42"/>
      <c r="UZP243" s="42"/>
      <c r="UZQ243" s="42"/>
      <c r="UZR243" s="42"/>
      <c r="UZS243" s="42"/>
      <c r="UZT243" s="42"/>
      <c r="UZU243" s="42"/>
      <c r="UZV243" s="42"/>
      <c r="UZW243" s="42"/>
      <c r="UZX243" s="42"/>
      <c r="UZY243" s="42"/>
      <c r="UZZ243" s="42"/>
      <c r="VAA243" s="42"/>
      <c r="VAB243" s="42"/>
      <c r="VAC243" s="42"/>
      <c r="VAD243" s="42"/>
      <c r="VAE243" s="42"/>
      <c r="VAF243" s="42"/>
      <c r="VAG243" s="42"/>
      <c r="VAH243" s="42"/>
      <c r="VAI243" s="42"/>
      <c r="VAJ243" s="42"/>
      <c r="VAK243" s="42"/>
      <c r="VAL243" s="42"/>
      <c r="VAM243" s="42"/>
      <c r="VAN243" s="42"/>
      <c r="VAO243" s="42"/>
      <c r="VAP243" s="42"/>
      <c r="VAQ243" s="42"/>
      <c r="VAR243" s="42"/>
      <c r="VAS243" s="42"/>
      <c r="VAT243" s="42"/>
      <c r="VAU243" s="42"/>
      <c r="VAV243" s="42"/>
      <c r="VAW243" s="42"/>
      <c r="VAX243" s="42"/>
      <c r="VAY243" s="42"/>
      <c r="VAZ243" s="42"/>
      <c r="VBA243" s="42"/>
      <c r="VBB243" s="42"/>
      <c r="VBC243" s="42"/>
      <c r="VBD243" s="42"/>
      <c r="VBE243" s="42"/>
      <c r="VBF243" s="42"/>
      <c r="VBG243" s="42"/>
      <c r="VBH243" s="42"/>
      <c r="VBI243" s="42"/>
      <c r="VBJ243" s="42"/>
      <c r="VBK243" s="42"/>
      <c r="VBL243" s="42"/>
      <c r="VBM243" s="42"/>
      <c r="VBN243" s="42"/>
      <c r="VBO243" s="42"/>
      <c r="VBP243" s="42"/>
      <c r="VBQ243" s="42"/>
      <c r="VBR243" s="42"/>
      <c r="VBS243" s="42"/>
      <c r="VBT243" s="42"/>
      <c r="VBU243" s="42"/>
      <c r="VBV243" s="42"/>
      <c r="VBW243" s="42"/>
      <c r="VBX243" s="42"/>
      <c r="VBY243" s="42"/>
      <c r="VBZ243" s="42"/>
      <c r="VCA243" s="42"/>
      <c r="VCB243" s="42"/>
      <c r="VCC243" s="42"/>
      <c r="VCD243" s="42"/>
      <c r="VCE243" s="42"/>
      <c r="VCF243" s="42"/>
      <c r="VCG243" s="42"/>
      <c r="VCH243" s="42"/>
      <c r="VCI243" s="42"/>
      <c r="VCJ243" s="42"/>
      <c r="VCK243" s="42"/>
      <c r="VCL243" s="42"/>
      <c r="VCM243" s="42"/>
      <c r="VCN243" s="42"/>
      <c r="VCO243" s="42"/>
      <c r="VCP243" s="42"/>
      <c r="VCQ243" s="42"/>
      <c r="VCR243" s="42"/>
      <c r="VCS243" s="42"/>
      <c r="VCT243" s="42"/>
      <c r="VCU243" s="42"/>
      <c r="VCV243" s="42"/>
      <c r="VCW243" s="42"/>
      <c r="VCX243" s="42"/>
      <c r="VCY243" s="42"/>
      <c r="VCZ243" s="42"/>
      <c r="VDA243" s="42"/>
      <c r="VDB243" s="42"/>
      <c r="VDC243" s="42"/>
      <c r="VDD243" s="42"/>
      <c r="VDE243" s="42"/>
      <c r="VDF243" s="42"/>
      <c r="VDG243" s="42"/>
      <c r="VDH243" s="42"/>
      <c r="VDI243" s="42"/>
      <c r="VDJ243" s="42"/>
      <c r="VDK243" s="42"/>
      <c r="VDL243" s="42"/>
      <c r="VDM243" s="42"/>
      <c r="VDN243" s="42"/>
      <c r="VDO243" s="42"/>
      <c r="VDP243" s="42"/>
      <c r="VDQ243" s="42"/>
      <c r="VDR243" s="42"/>
      <c r="VDS243" s="42"/>
      <c r="VDT243" s="42"/>
      <c r="VDU243" s="42"/>
      <c r="VDV243" s="42"/>
      <c r="VDW243" s="42"/>
      <c r="VDX243" s="42"/>
      <c r="VDY243" s="42"/>
      <c r="VDZ243" s="42"/>
      <c r="VEA243" s="42"/>
      <c r="VEB243" s="42"/>
      <c r="VEC243" s="42"/>
      <c r="VED243" s="42"/>
      <c r="VEE243" s="42"/>
      <c r="VEF243" s="42"/>
      <c r="VEG243" s="42"/>
      <c r="VEH243" s="42"/>
      <c r="VEI243" s="42"/>
      <c r="VEJ243" s="42"/>
      <c r="VEK243" s="42"/>
      <c r="VEL243" s="42"/>
      <c r="VEM243" s="42"/>
      <c r="VEN243" s="42"/>
      <c r="VEO243" s="42"/>
      <c r="VEP243" s="42"/>
      <c r="VEQ243" s="42"/>
      <c r="VER243" s="42"/>
      <c r="VES243" s="42"/>
      <c r="VET243" s="42"/>
      <c r="VEU243" s="42"/>
      <c r="VEV243" s="42"/>
      <c r="VEW243" s="42"/>
      <c r="VEX243" s="42"/>
      <c r="VEY243" s="42"/>
      <c r="VEZ243" s="42"/>
      <c r="VFA243" s="42"/>
      <c r="VFB243" s="42"/>
      <c r="VFC243" s="42"/>
      <c r="VFD243" s="42"/>
      <c r="VFE243" s="42"/>
      <c r="VFF243" s="42"/>
      <c r="VFG243" s="42"/>
      <c r="VFH243" s="42"/>
      <c r="VFI243" s="42"/>
      <c r="VFJ243" s="42"/>
      <c r="VFK243" s="42"/>
      <c r="VFL243" s="42"/>
      <c r="VFM243" s="42"/>
      <c r="VFN243" s="42"/>
      <c r="VFO243" s="42"/>
      <c r="VFP243" s="42"/>
      <c r="VFQ243" s="42"/>
      <c r="VFR243" s="42"/>
      <c r="VFS243" s="42"/>
      <c r="VFT243" s="42"/>
      <c r="VFU243" s="42"/>
      <c r="VFV243" s="42"/>
      <c r="VFW243" s="42"/>
      <c r="VFX243" s="42"/>
      <c r="VFY243" s="42"/>
      <c r="VFZ243" s="42"/>
      <c r="VGA243" s="42"/>
      <c r="VGB243" s="42"/>
      <c r="VGC243" s="42"/>
      <c r="VGD243" s="42"/>
      <c r="VGE243" s="42"/>
      <c r="VGF243" s="42"/>
      <c r="VGG243" s="42"/>
      <c r="VGH243" s="42"/>
      <c r="VGI243" s="42"/>
      <c r="VGJ243" s="42"/>
      <c r="VGK243" s="42"/>
      <c r="VGL243" s="42"/>
      <c r="VGM243" s="42"/>
      <c r="VGN243" s="42"/>
      <c r="VGO243" s="42"/>
      <c r="VGP243" s="42"/>
      <c r="VGQ243" s="42"/>
      <c r="VGR243" s="42"/>
      <c r="VGS243" s="42"/>
      <c r="VGT243" s="42"/>
      <c r="VGU243" s="42"/>
      <c r="VGV243" s="42"/>
      <c r="VGW243" s="42"/>
      <c r="VGX243" s="42"/>
      <c r="VGY243" s="42"/>
      <c r="VGZ243" s="42"/>
      <c r="VHA243" s="42"/>
      <c r="VHB243" s="42"/>
      <c r="VHC243" s="42"/>
      <c r="VHD243" s="42"/>
      <c r="VHE243" s="42"/>
      <c r="VHF243" s="42"/>
      <c r="VHG243" s="42"/>
      <c r="VHH243" s="42"/>
      <c r="VHI243" s="42"/>
      <c r="VHJ243" s="42"/>
      <c r="VHK243" s="42"/>
      <c r="VHL243" s="42"/>
      <c r="VHM243" s="42"/>
      <c r="VHN243" s="42"/>
      <c r="VHO243" s="42"/>
      <c r="VHP243" s="42"/>
      <c r="VHQ243" s="42"/>
      <c r="VHR243" s="42"/>
      <c r="VHS243" s="42"/>
      <c r="VHT243" s="42"/>
      <c r="VHU243" s="42"/>
      <c r="VHV243" s="42"/>
      <c r="VHW243" s="42"/>
      <c r="VHX243" s="42"/>
      <c r="VHY243" s="42"/>
      <c r="VHZ243" s="42"/>
      <c r="VIA243" s="42"/>
      <c r="VIB243" s="42"/>
      <c r="VIC243" s="42"/>
      <c r="VID243" s="42"/>
      <c r="VIE243" s="42"/>
      <c r="VIF243" s="42"/>
      <c r="VIG243" s="42"/>
      <c r="VIH243" s="42"/>
      <c r="VII243" s="42"/>
      <c r="VIJ243" s="42"/>
      <c r="VIK243" s="42"/>
      <c r="VIL243" s="42"/>
      <c r="VIM243" s="42"/>
      <c r="VIN243" s="42"/>
      <c r="VIO243" s="42"/>
      <c r="VIP243" s="42"/>
      <c r="VIQ243" s="42"/>
      <c r="VIR243" s="42"/>
      <c r="VIS243" s="42"/>
      <c r="VIT243" s="42"/>
      <c r="VIU243" s="42"/>
      <c r="VIV243" s="42"/>
      <c r="VIW243" s="42"/>
      <c r="VIX243" s="42"/>
      <c r="VIY243" s="42"/>
      <c r="VIZ243" s="42"/>
      <c r="VJA243" s="42"/>
      <c r="VJB243" s="42"/>
      <c r="VJC243" s="42"/>
      <c r="VJD243" s="42"/>
      <c r="VJE243" s="42"/>
      <c r="VJF243" s="42"/>
      <c r="VJG243" s="42"/>
      <c r="VJH243" s="42"/>
      <c r="VJI243" s="42"/>
      <c r="VJJ243" s="42"/>
      <c r="VJK243" s="42"/>
      <c r="VJL243" s="42"/>
      <c r="VJM243" s="42"/>
      <c r="VJN243" s="42"/>
      <c r="VJO243" s="42"/>
      <c r="VJP243" s="42"/>
      <c r="VJQ243" s="42"/>
      <c r="VJR243" s="42"/>
      <c r="VJS243" s="42"/>
      <c r="VJT243" s="42"/>
      <c r="VJU243" s="42"/>
      <c r="VJV243" s="42"/>
      <c r="VJW243" s="42"/>
      <c r="VJX243" s="42"/>
      <c r="VJY243" s="42"/>
      <c r="VJZ243" s="42"/>
      <c r="VKA243" s="42"/>
      <c r="VKB243" s="42"/>
      <c r="VKC243" s="42"/>
      <c r="VKD243" s="42"/>
      <c r="VKE243" s="42"/>
      <c r="VKF243" s="42"/>
      <c r="VKG243" s="42"/>
      <c r="VKH243" s="42"/>
      <c r="VKI243" s="42"/>
      <c r="VKJ243" s="42"/>
      <c r="VKK243" s="42"/>
      <c r="VKL243" s="42"/>
      <c r="VKM243" s="42"/>
      <c r="VKN243" s="42"/>
      <c r="VKO243" s="42"/>
      <c r="VKP243" s="42"/>
      <c r="VKQ243" s="42"/>
      <c r="VKR243" s="42"/>
      <c r="VKS243" s="42"/>
      <c r="VKT243" s="42"/>
      <c r="VKU243" s="42"/>
      <c r="VKV243" s="42"/>
      <c r="VKW243" s="42"/>
      <c r="VKX243" s="42"/>
      <c r="VKY243" s="42"/>
      <c r="VKZ243" s="42"/>
      <c r="VLA243" s="42"/>
      <c r="VLB243" s="42"/>
      <c r="VLC243" s="42"/>
      <c r="VLD243" s="42"/>
      <c r="VLE243" s="42"/>
      <c r="VLF243" s="42"/>
      <c r="VLG243" s="42"/>
      <c r="VLH243" s="42"/>
      <c r="VLI243" s="42"/>
      <c r="VLJ243" s="42"/>
      <c r="VLK243" s="42"/>
      <c r="VLL243" s="42"/>
      <c r="VLM243" s="42"/>
      <c r="VLN243" s="42"/>
      <c r="VLO243" s="42"/>
      <c r="VLP243" s="42"/>
      <c r="VLQ243" s="42"/>
      <c r="VLR243" s="42"/>
      <c r="VLS243" s="42"/>
      <c r="VLT243" s="42"/>
      <c r="VLU243" s="42"/>
      <c r="VLV243" s="42"/>
      <c r="VLW243" s="42"/>
      <c r="VLX243" s="42"/>
      <c r="VLY243" s="42"/>
      <c r="VLZ243" s="42"/>
      <c r="VMA243" s="42"/>
      <c r="VMB243" s="42"/>
      <c r="VMC243" s="42"/>
      <c r="VMD243" s="42"/>
      <c r="VME243" s="42"/>
      <c r="VMF243" s="42"/>
      <c r="VMG243" s="42"/>
      <c r="VMH243" s="42"/>
      <c r="VMI243" s="42"/>
      <c r="VMJ243" s="42"/>
      <c r="VMK243" s="42"/>
      <c r="VML243" s="42"/>
      <c r="VMM243" s="42"/>
      <c r="VMN243" s="42"/>
      <c r="VMO243" s="42"/>
      <c r="VMP243" s="42"/>
      <c r="VMQ243" s="42"/>
      <c r="VMR243" s="42"/>
      <c r="VMS243" s="42"/>
      <c r="VMT243" s="42"/>
      <c r="VMU243" s="42"/>
      <c r="VMV243" s="42"/>
      <c r="VMW243" s="42"/>
      <c r="VMX243" s="42"/>
      <c r="VMY243" s="42"/>
      <c r="VMZ243" s="42"/>
      <c r="VNA243" s="42"/>
      <c r="VNB243" s="42"/>
      <c r="VNC243" s="42"/>
      <c r="VND243" s="42"/>
      <c r="VNE243" s="42"/>
      <c r="VNF243" s="42"/>
      <c r="VNG243" s="42"/>
      <c r="VNH243" s="42"/>
      <c r="VNI243" s="42"/>
      <c r="VNJ243" s="42"/>
      <c r="VNK243" s="42"/>
      <c r="VNL243" s="42"/>
      <c r="VNM243" s="42"/>
      <c r="VNN243" s="42"/>
      <c r="VNO243" s="42"/>
      <c r="VNP243" s="42"/>
      <c r="VNQ243" s="42"/>
      <c r="VNR243" s="42"/>
      <c r="VNS243" s="42"/>
      <c r="VNT243" s="42"/>
      <c r="VNU243" s="42"/>
      <c r="VNV243" s="42"/>
      <c r="VNW243" s="42"/>
      <c r="VNX243" s="42"/>
      <c r="VNY243" s="42"/>
      <c r="VNZ243" s="42"/>
      <c r="VOA243" s="42"/>
      <c r="VOB243" s="42"/>
      <c r="VOC243" s="42"/>
      <c r="VOD243" s="42"/>
      <c r="VOE243" s="42"/>
      <c r="VOF243" s="42"/>
      <c r="VOG243" s="42"/>
      <c r="VOH243" s="42"/>
      <c r="VOI243" s="42"/>
      <c r="VOJ243" s="42"/>
      <c r="VOK243" s="42"/>
      <c r="VOL243" s="42"/>
      <c r="VOM243" s="42"/>
      <c r="VON243" s="42"/>
      <c r="VOO243" s="42"/>
      <c r="VOP243" s="42"/>
      <c r="VOQ243" s="42"/>
      <c r="VOR243" s="42"/>
      <c r="VOS243" s="42"/>
      <c r="VOT243" s="42"/>
      <c r="VOU243" s="42"/>
      <c r="VOV243" s="42"/>
      <c r="VOW243" s="42"/>
      <c r="VOX243" s="42"/>
      <c r="VOY243" s="42"/>
      <c r="VOZ243" s="42"/>
      <c r="VPA243" s="42"/>
      <c r="VPB243" s="42"/>
      <c r="VPC243" s="42"/>
      <c r="VPD243" s="42"/>
      <c r="VPE243" s="42"/>
      <c r="VPF243" s="42"/>
      <c r="VPG243" s="42"/>
      <c r="VPH243" s="42"/>
      <c r="VPI243" s="42"/>
      <c r="VPJ243" s="42"/>
      <c r="VPK243" s="42"/>
      <c r="VPL243" s="42"/>
      <c r="VPM243" s="42"/>
      <c r="VPN243" s="42"/>
      <c r="VPO243" s="42"/>
      <c r="VPP243" s="42"/>
      <c r="VPQ243" s="42"/>
      <c r="VPR243" s="42"/>
      <c r="VPS243" s="42"/>
      <c r="VPT243" s="42"/>
      <c r="VPU243" s="42"/>
      <c r="VPV243" s="42"/>
      <c r="VPW243" s="42"/>
      <c r="VPX243" s="42"/>
      <c r="VPY243" s="42"/>
      <c r="VPZ243" s="42"/>
      <c r="VQA243" s="42"/>
      <c r="VQB243" s="42"/>
      <c r="VQC243" s="42"/>
      <c r="VQD243" s="42"/>
      <c r="VQE243" s="42"/>
      <c r="VQF243" s="42"/>
      <c r="VQG243" s="42"/>
      <c r="VQH243" s="42"/>
      <c r="VQI243" s="42"/>
      <c r="VQJ243" s="42"/>
      <c r="VQK243" s="42"/>
      <c r="VQL243" s="42"/>
      <c r="VQM243" s="42"/>
      <c r="VQN243" s="42"/>
      <c r="VQO243" s="42"/>
      <c r="VQP243" s="42"/>
      <c r="VQQ243" s="42"/>
      <c r="VQR243" s="42"/>
      <c r="VQS243" s="42"/>
      <c r="VQT243" s="42"/>
      <c r="VQU243" s="42"/>
      <c r="VQV243" s="42"/>
      <c r="VQW243" s="42"/>
      <c r="VQX243" s="42"/>
      <c r="VQY243" s="42"/>
      <c r="VQZ243" s="42"/>
      <c r="VRA243" s="42"/>
      <c r="VRB243" s="42"/>
      <c r="VRC243" s="42"/>
      <c r="VRD243" s="42"/>
      <c r="VRE243" s="42"/>
      <c r="VRF243" s="42"/>
      <c r="VRG243" s="42"/>
      <c r="VRH243" s="42"/>
      <c r="VRI243" s="42"/>
      <c r="VRJ243" s="42"/>
      <c r="VRK243" s="42"/>
      <c r="VRL243" s="42"/>
      <c r="VRM243" s="42"/>
      <c r="VRN243" s="42"/>
      <c r="VRO243" s="42"/>
      <c r="VRP243" s="42"/>
      <c r="VRQ243" s="42"/>
      <c r="VRR243" s="42"/>
      <c r="VRS243" s="42"/>
      <c r="VRT243" s="42"/>
      <c r="VRU243" s="42"/>
      <c r="VRV243" s="42"/>
      <c r="VRW243" s="42"/>
      <c r="VRX243" s="42"/>
      <c r="VRY243" s="42"/>
      <c r="VRZ243" s="42"/>
      <c r="VSA243" s="42"/>
      <c r="VSB243" s="42"/>
      <c r="VSC243" s="42"/>
      <c r="VSD243" s="42"/>
      <c r="VSE243" s="42"/>
      <c r="VSF243" s="42"/>
      <c r="VSG243" s="42"/>
      <c r="VSH243" s="42"/>
      <c r="VSI243" s="42"/>
      <c r="VSJ243" s="42"/>
      <c r="VSK243" s="42"/>
      <c r="VSL243" s="42"/>
      <c r="VSM243" s="42"/>
      <c r="VSN243" s="42"/>
      <c r="VSO243" s="42"/>
      <c r="VSP243" s="42"/>
      <c r="VSQ243" s="42"/>
      <c r="VSR243" s="42"/>
      <c r="VSS243" s="42"/>
      <c r="VST243" s="42"/>
      <c r="VSU243" s="42"/>
      <c r="VSV243" s="42"/>
      <c r="VSW243" s="42"/>
      <c r="VSX243" s="42"/>
      <c r="VSY243" s="42"/>
      <c r="VSZ243" s="42"/>
      <c r="VTA243" s="42"/>
      <c r="VTB243" s="42"/>
      <c r="VTC243" s="42"/>
      <c r="VTD243" s="42"/>
      <c r="VTE243" s="42"/>
      <c r="VTF243" s="42"/>
      <c r="VTG243" s="42"/>
      <c r="VTH243" s="42"/>
      <c r="VTI243" s="42"/>
      <c r="VTJ243" s="42"/>
      <c r="VTK243" s="42"/>
      <c r="VTL243" s="42"/>
      <c r="VTM243" s="42"/>
      <c r="VTN243" s="42"/>
      <c r="VTO243" s="42"/>
      <c r="VTP243" s="42"/>
      <c r="VTQ243" s="42"/>
      <c r="VTR243" s="42"/>
      <c r="VTS243" s="42"/>
      <c r="VTT243" s="42"/>
      <c r="VTU243" s="42"/>
      <c r="VTV243" s="42"/>
      <c r="VTW243" s="42"/>
      <c r="VTX243" s="42"/>
      <c r="VTY243" s="42"/>
      <c r="VTZ243" s="42"/>
      <c r="VUA243" s="42"/>
      <c r="VUB243" s="42"/>
      <c r="VUC243" s="42"/>
      <c r="VUD243" s="42"/>
      <c r="VUE243" s="42"/>
      <c r="VUF243" s="42"/>
      <c r="VUG243" s="42"/>
      <c r="VUH243" s="42"/>
      <c r="VUI243" s="42"/>
      <c r="VUJ243" s="42"/>
      <c r="VUK243" s="42"/>
      <c r="VUL243" s="42"/>
      <c r="VUM243" s="42"/>
      <c r="VUN243" s="42"/>
      <c r="VUO243" s="42"/>
      <c r="VUP243" s="42"/>
      <c r="VUQ243" s="42"/>
      <c r="VUR243" s="42"/>
      <c r="VUS243" s="42"/>
      <c r="VUT243" s="42"/>
      <c r="VUU243" s="42"/>
      <c r="VUV243" s="42"/>
      <c r="VUW243" s="42"/>
      <c r="VUX243" s="42"/>
      <c r="VUY243" s="42"/>
      <c r="VUZ243" s="42"/>
      <c r="VVA243" s="42"/>
      <c r="VVB243" s="42"/>
      <c r="VVC243" s="42"/>
      <c r="VVD243" s="42"/>
      <c r="VVE243" s="42"/>
      <c r="VVF243" s="42"/>
      <c r="VVG243" s="42"/>
      <c r="VVH243" s="42"/>
      <c r="VVI243" s="42"/>
      <c r="VVJ243" s="42"/>
      <c r="VVK243" s="42"/>
      <c r="VVL243" s="42"/>
      <c r="VVM243" s="42"/>
      <c r="VVN243" s="42"/>
      <c r="VVO243" s="42"/>
      <c r="VVP243" s="42"/>
      <c r="VVQ243" s="42"/>
      <c r="VVR243" s="42"/>
      <c r="VVS243" s="42"/>
      <c r="VVT243" s="42"/>
      <c r="VVU243" s="42"/>
      <c r="VVV243" s="42"/>
      <c r="VVW243" s="42"/>
      <c r="VVX243" s="42"/>
      <c r="VVY243" s="42"/>
      <c r="VVZ243" s="42"/>
      <c r="VWA243" s="42"/>
      <c r="VWB243" s="42"/>
      <c r="VWC243" s="42"/>
      <c r="VWD243" s="42"/>
      <c r="VWE243" s="42"/>
      <c r="VWF243" s="42"/>
      <c r="VWG243" s="42"/>
      <c r="VWH243" s="42"/>
      <c r="VWI243" s="42"/>
      <c r="VWJ243" s="42"/>
      <c r="VWK243" s="42"/>
      <c r="VWL243" s="42"/>
      <c r="VWM243" s="42"/>
      <c r="VWN243" s="42"/>
      <c r="VWO243" s="42"/>
      <c r="VWP243" s="42"/>
      <c r="VWQ243" s="42"/>
      <c r="VWR243" s="42"/>
      <c r="VWS243" s="42"/>
      <c r="VWT243" s="42"/>
      <c r="VWU243" s="42"/>
      <c r="VWV243" s="42"/>
      <c r="VWW243" s="42"/>
      <c r="VWX243" s="42"/>
      <c r="VWY243" s="42"/>
      <c r="VWZ243" s="42"/>
      <c r="VXA243" s="42"/>
      <c r="VXB243" s="42"/>
      <c r="VXC243" s="42"/>
      <c r="VXD243" s="42"/>
      <c r="VXE243" s="42"/>
      <c r="VXF243" s="42"/>
      <c r="VXG243" s="42"/>
      <c r="VXH243" s="42"/>
      <c r="VXI243" s="42"/>
      <c r="VXJ243" s="42"/>
      <c r="VXK243" s="42"/>
      <c r="VXL243" s="42"/>
      <c r="VXM243" s="42"/>
      <c r="VXN243" s="42"/>
      <c r="VXO243" s="42"/>
      <c r="VXP243" s="42"/>
      <c r="VXQ243" s="42"/>
      <c r="VXR243" s="42"/>
      <c r="VXS243" s="42"/>
      <c r="VXT243" s="42"/>
      <c r="VXU243" s="42"/>
      <c r="VXV243" s="42"/>
      <c r="VXW243" s="42"/>
      <c r="VXX243" s="42"/>
      <c r="VXY243" s="42"/>
      <c r="VXZ243" s="42"/>
      <c r="VYA243" s="42"/>
      <c r="VYB243" s="42"/>
      <c r="VYC243" s="42"/>
      <c r="VYD243" s="42"/>
      <c r="VYE243" s="42"/>
      <c r="VYF243" s="42"/>
      <c r="VYG243" s="42"/>
      <c r="VYH243" s="42"/>
      <c r="VYI243" s="42"/>
      <c r="VYJ243" s="42"/>
      <c r="VYK243" s="42"/>
      <c r="VYL243" s="42"/>
      <c r="VYM243" s="42"/>
      <c r="VYN243" s="42"/>
      <c r="VYO243" s="42"/>
      <c r="VYP243" s="42"/>
      <c r="VYQ243" s="42"/>
      <c r="VYR243" s="42"/>
      <c r="VYS243" s="42"/>
      <c r="VYT243" s="42"/>
      <c r="VYU243" s="42"/>
      <c r="VYV243" s="42"/>
      <c r="VYW243" s="42"/>
      <c r="VYX243" s="42"/>
      <c r="VYY243" s="42"/>
      <c r="VYZ243" s="42"/>
      <c r="VZA243" s="42"/>
      <c r="VZB243" s="42"/>
      <c r="VZC243" s="42"/>
      <c r="VZD243" s="42"/>
      <c r="VZE243" s="42"/>
      <c r="VZF243" s="42"/>
      <c r="VZG243" s="42"/>
      <c r="VZH243" s="42"/>
      <c r="VZI243" s="42"/>
      <c r="VZJ243" s="42"/>
      <c r="VZK243" s="42"/>
      <c r="VZL243" s="42"/>
      <c r="VZM243" s="42"/>
      <c r="VZN243" s="42"/>
      <c r="VZO243" s="42"/>
      <c r="VZP243" s="42"/>
      <c r="VZQ243" s="42"/>
      <c r="VZR243" s="42"/>
      <c r="VZS243" s="42"/>
      <c r="VZT243" s="42"/>
      <c r="VZU243" s="42"/>
      <c r="VZV243" s="42"/>
      <c r="VZW243" s="42"/>
      <c r="VZX243" s="42"/>
      <c r="VZY243" s="42"/>
      <c r="VZZ243" s="42"/>
      <c r="WAA243" s="42"/>
      <c r="WAB243" s="42"/>
      <c r="WAC243" s="42"/>
      <c r="WAD243" s="42"/>
      <c r="WAE243" s="42"/>
      <c r="WAF243" s="42"/>
      <c r="WAG243" s="42"/>
      <c r="WAH243" s="42"/>
      <c r="WAI243" s="42"/>
      <c r="WAJ243" s="42"/>
      <c r="WAK243" s="42"/>
      <c r="WAL243" s="42"/>
      <c r="WAM243" s="42"/>
      <c r="WAN243" s="42"/>
      <c r="WAO243" s="42"/>
      <c r="WAP243" s="42"/>
      <c r="WAQ243" s="42"/>
      <c r="WAR243" s="42"/>
      <c r="WAS243" s="42"/>
      <c r="WAT243" s="42"/>
      <c r="WAU243" s="42"/>
      <c r="WAV243" s="42"/>
      <c r="WAW243" s="42"/>
      <c r="WAX243" s="42"/>
      <c r="WAY243" s="42"/>
      <c r="WAZ243" s="42"/>
      <c r="WBA243" s="42"/>
      <c r="WBB243" s="42"/>
      <c r="WBC243" s="42"/>
      <c r="WBD243" s="42"/>
      <c r="WBE243" s="42"/>
      <c r="WBF243" s="42"/>
      <c r="WBG243" s="42"/>
      <c r="WBH243" s="42"/>
      <c r="WBI243" s="42"/>
      <c r="WBJ243" s="42"/>
      <c r="WBK243" s="42"/>
      <c r="WBL243" s="42"/>
      <c r="WBM243" s="42"/>
      <c r="WBN243" s="42"/>
      <c r="WBO243" s="42"/>
      <c r="WBP243" s="42"/>
      <c r="WBQ243" s="42"/>
      <c r="WBR243" s="42"/>
      <c r="WBS243" s="42"/>
      <c r="WBT243" s="42"/>
      <c r="WBU243" s="42"/>
      <c r="WBV243" s="42"/>
      <c r="WBW243" s="42"/>
      <c r="WBX243" s="42"/>
      <c r="WBY243" s="42"/>
      <c r="WBZ243" s="42"/>
      <c r="WCA243" s="42"/>
      <c r="WCB243" s="42"/>
      <c r="WCC243" s="42"/>
      <c r="WCD243" s="42"/>
      <c r="WCE243" s="42"/>
      <c r="WCF243" s="42"/>
      <c r="WCG243" s="42"/>
      <c r="WCH243" s="42"/>
      <c r="WCI243" s="42"/>
      <c r="WCJ243" s="42"/>
      <c r="WCK243" s="42"/>
      <c r="WCL243" s="42"/>
      <c r="WCM243" s="42"/>
      <c r="WCN243" s="42"/>
      <c r="WCO243" s="42"/>
      <c r="WCP243" s="42"/>
      <c r="WCQ243" s="42"/>
      <c r="WCR243" s="42"/>
      <c r="WCS243" s="42"/>
      <c r="WCT243" s="42"/>
      <c r="WCU243" s="42"/>
      <c r="WCV243" s="42"/>
      <c r="WCW243" s="42"/>
      <c r="WCX243" s="42"/>
      <c r="WCY243" s="42"/>
      <c r="WCZ243" s="42"/>
      <c r="WDA243" s="42"/>
      <c r="WDB243" s="42"/>
      <c r="WDC243" s="42"/>
      <c r="WDD243" s="42"/>
      <c r="WDE243" s="42"/>
      <c r="WDF243" s="42"/>
      <c r="WDG243" s="42"/>
      <c r="WDH243" s="42"/>
      <c r="WDI243" s="42"/>
      <c r="WDJ243" s="42"/>
      <c r="WDK243" s="42"/>
      <c r="WDL243" s="42"/>
      <c r="WDM243" s="42"/>
      <c r="WDN243" s="42"/>
      <c r="WDO243" s="42"/>
      <c r="WDP243" s="42"/>
      <c r="WDQ243" s="42"/>
      <c r="WDR243" s="42"/>
      <c r="WDS243" s="42"/>
      <c r="WDT243" s="42"/>
      <c r="WDU243" s="42"/>
      <c r="WDV243" s="42"/>
      <c r="WDW243" s="42"/>
      <c r="WDX243" s="42"/>
      <c r="WDY243" s="42"/>
      <c r="WDZ243" s="42"/>
      <c r="WEA243" s="42"/>
      <c r="WEB243" s="42"/>
      <c r="WEC243" s="42"/>
      <c r="WED243" s="42"/>
      <c r="WEE243" s="42"/>
      <c r="WEF243" s="42"/>
      <c r="WEG243" s="42"/>
      <c r="WEH243" s="42"/>
      <c r="WEI243" s="42"/>
      <c r="WEJ243" s="42"/>
      <c r="WEK243" s="42"/>
      <c r="WEL243" s="42"/>
      <c r="WEM243" s="42"/>
      <c r="WEN243" s="42"/>
      <c r="WEO243" s="42"/>
      <c r="WEP243" s="42"/>
      <c r="WEQ243" s="42"/>
      <c r="WER243" s="42"/>
      <c r="WES243" s="42"/>
      <c r="WET243" s="42"/>
      <c r="WEU243" s="42"/>
      <c r="WEV243" s="42"/>
      <c r="WEW243" s="42"/>
      <c r="WEX243" s="42"/>
      <c r="WEY243" s="42"/>
      <c r="WEZ243" s="42"/>
      <c r="WFA243" s="42"/>
      <c r="WFB243" s="42"/>
      <c r="WFC243" s="42"/>
      <c r="WFD243" s="42"/>
      <c r="WFE243" s="42"/>
      <c r="WFF243" s="42"/>
      <c r="WFG243" s="42"/>
      <c r="WFH243" s="42"/>
      <c r="WFI243" s="42"/>
      <c r="WFJ243" s="42"/>
      <c r="WFK243" s="42"/>
      <c r="WFL243" s="42"/>
      <c r="WFM243" s="42"/>
      <c r="WFN243" s="42"/>
      <c r="WFO243" s="42"/>
      <c r="WFP243" s="42"/>
      <c r="WFQ243" s="42"/>
      <c r="WFR243" s="42"/>
      <c r="WFS243" s="42"/>
      <c r="WFT243" s="42"/>
      <c r="WFU243" s="42"/>
      <c r="WFV243" s="42"/>
      <c r="WFW243" s="42"/>
      <c r="WFX243" s="42"/>
      <c r="WFY243" s="42"/>
      <c r="WFZ243" s="42"/>
      <c r="WGA243" s="42"/>
      <c r="WGB243" s="42"/>
      <c r="WGC243" s="42"/>
      <c r="WGD243" s="42"/>
      <c r="WGE243" s="42"/>
      <c r="WGF243" s="42"/>
      <c r="WGG243" s="42"/>
      <c r="WGH243" s="42"/>
      <c r="WGI243" s="42"/>
      <c r="WGJ243" s="42"/>
      <c r="WGK243" s="42"/>
      <c r="WGL243" s="42"/>
      <c r="WGM243" s="42"/>
      <c r="WGN243" s="42"/>
      <c r="WGO243" s="42"/>
      <c r="WGP243" s="42"/>
      <c r="WGQ243" s="42"/>
      <c r="WGR243" s="42"/>
      <c r="WGS243" s="42"/>
      <c r="WGT243" s="42"/>
      <c r="WGU243" s="42"/>
      <c r="WGV243" s="42"/>
      <c r="WGW243" s="42"/>
      <c r="WGX243" s="42"/>
      <c r="WGY243" s="42"/>
      <c r="WGZ243" s="42"/>
      <c r="WHA243" s="42"/>
      <c r="WHB243" s="42"/>
      <c r="WHC243" s="42"/>
      <c r="WHD243" s="42"/>
      <c r="WHE243" s="42"/>
      <c r="WHF243" s="42"/>
      <c r="WHG243" s="42"/>
      <c r="WHH243" s="42"/>
      <c r="WHI243" s="42"/>
      <c r="WHJ243" s="42"/>
      <c r="WHK243" s="42"/>
      <c r="WHL243" s="42"/>
      <c r="WHM243" s="42"/>
      <c r="WHN243" s="42"/>
      <c r="WHO243" s="42"/>
      <c r="WHP243" s="42"/>
      <c r="WHQ243" s="42"/>
      <c r="WHR243" s="42"/>
      <c r="WHS243" s="42"/>
      <c r="WHT243" s="42"/>
      <c r="WHU243" s="42"/>
      <c r="WHV243" s="42"/>
      <c r="WHW243" s="42"/>
      <c r="WHX243" s="42"/>
      <c r="WHY243" s="42"/>
      <c r="WHZ243" s="42"/>
      <c r="WIA243" s="42"/>
      <c r="WIB243" s="42"/>
      <c r="WIC243" s="42"/>
      <c r="WID243" s="42"/>
      <c r="WIE243" s="42"/>
      <c r="WIF243" s="42"/>
      <c r="WIG243" s="42"/>
      <c r="WIH243" s="42"/>
      <c r="WII243" s="42"/>
      <c r="WIJ243" s="42"/>
      <c r="WIK243" s="42"/>
      <c r="WIL243" s="42"/>
      <c r="WIM243" s="42"/>
      <c r="WIN243" s="42"/>
      <c r="WIO243" s="42"/>
      <c r="WIP243" s="42"/>
      <c r="WIQ243" s="42"/>
      <c r="WIR243" s="42"/>
      <c r="WIS243" s="42"/>
      <c r="WIT243" s="42"/>
      <c r="WIU243" s="42"/>
      <c r="WIV243" s="42"/>
      <c r="WIW243" s="42"/>
      <c r="WIX243" s="42"/>
      <c r="WIY243" s="42"/>
      <c r="WIZ243" s="42"/>
      <c r="WJA243" s="42"/>
      <c r="WJB243" s="42"/>
      <c r="WJC243" s="42"/>
      <c r="WJD243" s="42"/>
      <c r="WJE243" s="42"/>
      <c r="WJF243" s="42"/>
      <c r="WJG243" s="42"/>
      <c r="WJH243" s="42"/>
      <c r="WJI243" s="42"/>
      <c r="WJJ243" s="42"/>
      <c r="WJK243" s="42"/>
      <c r="WJL243" s="42"/>
      <c r="WJM243" s="42"/>
      <c r="WJN243" s="42"/>
      <c r="WJO243" s="42"/>
      <c r="WJP243" s="42"/>
      <c r="WJQ243" s="42"/>
      <c r="WJR243" s="42"/>
      <c r="WJS243" s="42"/>
      <c r="WJT243" s="42"/>
      <c r="WJU243" s="42"/>
      <c r="WJV243" s="42"/>
      <c r="WJW243" s="42"/>
      <c r="WJX243" s="42"/>
      <c r="WJY243" s="42"/>
      <c r="WJZ243" s="42"/>
      <c r="WKA243" s="42"/>
      <c r="WKB243" s="42"/>
      <c r="WKC243" s="42"/>
      <c r="WKD243" s="42"/>
      <c r="WKE243" s="42"/>
      <c r="WKF243" s="42"/>
      <c r="WKG243" s="42"/>
      <c r="WKH243" s="42"/>
      <c r="WKI243" s="42"/>
      <c r="WKJ243" s="42"/>
      <c r="WKK243" s="42"/>
      <c r="WKL243" s="42"/>
      <c r="WKM243" s="42"/>
      <c r="WKN243" s="42"/>
      <c r="WKO243" s="42"/>
      <c r="WKP243" s="42"/>
      <c r="WKQ243" s="42"/>
      <c r="WKR243" s="42"/>
      <c r="WKS243" s="42"/>
      <c r="WKT243" s="42"/>
      <c r="WKU243" s="42"/>
      <c r="WKV243" s="42"/>
      <c r="WKW243" s="42"/>
      <c r="WKX243" s="42"/>
      <c r="WKY243" s="42"/>
      <c r="WKZ243" s="42"/>
      <c r="WLA243" s="42"/>
      <c r="WLB243" s="42"/>
      <c r="WLC243" s="42"/>
      <c r="WLD243" s="42"/>
      <c r="WLE243" s="42"/>
      <c r="WLF243" s="42"/>
      <c r="WLG243" s="42"/>
      <c r="WLH243" s="42"/>
      <c r="WLI243" s="42"/>
      <c r="WLJ243" s="42"/>
      <c r="WLK243" s="42"/>
      <c r="WLL243" s="42"/>
      <c r="WLM243" s="42"/>
      <c r="WLN243" s="42"/>
      <c r="WLO243" s="42"/>
      <c r="WLP243" s="42"/>
      <c r="WLQ243" s="42"/>
      <c r="WLR243" s="42"/>
      <c r="WLS243" s="42"/>
      <c r="WLT243" s="42"/>
      <c r="WLU243" s="42"/>
      <c r="WLV243" s="42"/>
      <c r="WLW243" s="42"/>
      <c r="WLX243" s="42"/>
      <c r="WLY243" s="42"/>
      <c r="WLZ243" s="42"/>
      <c r="WMA243" s="42"/>
      <c r="WMB243" s="42"/>
      <c r="WMC243" s="42"/>
      <c r="WMD243" s="42"/>
      <c r="WME243" s="42"/>
      <c r="WMF243" s="42"/>
      <c r="WMG243" s="42"/>
      <c r="WMH243" s="42"/>
      <c r="WMI243" s="42"/>
      <c r="WMJ243" s="42"/>
      <c r="WMK243" s="42"/>
      <c r="WML243" s="42"/>
      <c r="WMM243" s="42"/>
      <c r="WMN243" s="42"/>
      <c r="WMO243" s="42"/>
      <c r="WMP243" s="42"/>
      <c r="WMQ243" s="42"/>
      <c r="WMR243" s="42"/>
      <c r="WMS243" s="42"/>
      <c r="WMT243" s="42"/>
      <c r="WMU243" s="42"/>
      <c r="WMV243" s="42"/>
      <c r="WMW243" s="42"/>
      <c r="WMX243" s="42"/>
      <c r="WMY243" s="42"/>
      <c r="WMZ243" s="42"/>
      <c r="WNA243" s="42"/>
      <c r="WNB243" s="42"/>
      <c r="WNC243" s="42"/>
      <c r="WND243" s="42"/>
      <c r="WNE243" s="42"/>
      <c r="WNF243" s="42"/>
      <c r="WNG243" s="42"/>
      <c r="WNH243" s="42"/>
      <c r="WNI243" s="42"/>
      <c r="WNJ243" s="42"/>
      <c r="WNK243" s="42"/>
      <c r="WNL243" s="42"/>
      <c r="WNM243" s="42"/>
      <c r="WNN243" s="42"/>
      <c r="WNO243" s="42"/>
      <c r="WNP243" s="42"/>
      <c r="WNQ243" s="42"/>
      <c r="WNR243" s="42"/>
      <c r="WNS243" s="42"/>
      <c r="WNT243" s="42"/>
      <c r="WNU243" s="42"/>
      <c r="WNV243" s="42"/>
      <c r="WNW243" s="42"/>
      <c r="WNX243" s="42"/>
      <c r="WNY243" s="42"/>
      <c r="WNZ243" s="42"/>
      <c r="WOA243" s="42"/>
      <c r="WOB243" s="42"/>
      <c r="WOC243" s="42"/>
      <c r="WOD243" s="42"/>
      <c r="WOE243" s="42"/>
      <c r="WOF243" s="42"/>
      <c r="WOG243" s="42"/>
      <c r="WOH243" s="42"/>
      <c r="WOI243" s="42"/>
      <c r="WOJ243" s="42"/>
      <c r="WOK243" s="42"/>
      <c r="WOL243" s="42"/>
      <c r="WOM243" s="42"/>
      <c r="WON243" s="42"/>
      <c r="WOO243" s="42"/>
      <c r="WOP243" s="42"/>
      <c r="WOQ243" s="42"/>
      <c r="WOR243" s="42"/>
      <c r="WOS243" s="42"/>
      <c r="WOT243" s="42"/>
      <c r="WOU243" s="42"/>
      <c r="WOV243" s="42"/>
      <c r="WOW243" s="42"/>
      <c r="WOX243" s="42"/>
      <c r="WOY243" s="42"/>
      <c r="WOZ243" s="42"/>
      <c r="WPA243" s="42"/>
      <c r="WPB243" s="42"/>
      <c r="WPC243" s="42"/>
      <c r="WPD243" s="42"/>
      <c r="WPE243" s="42"/>
      <c r="WPF243" s="42"/>
      <c r="WPG243" s="42"/>
      <c r="WPH243" s="42"/>
      <c r="WPI243" s="42"/>
      <c r="WPJ243" s="42"/>
      <c r="WPK243" s="42"/>
      <c r="WPL243" s="42"/>
      <c r="WPM243" s="42"/>
      <c r="WPN243" s="42"/>
      <c r="WPO243" s="42"/>
      <c r="WPP243" s="42"/>
      <c r="WPQ243" s="42"/>
      <c r="WPR243" s="42"/>
      <c r="WPS243" s="42"/>
      <c r="WPT243" s="42"/>
      <c r="WPU243" s="42"/>
      <c r="WPV243" s="42"/>
      <c r="WPW243" s="42"/>
      <c r="WPX243" s="42"/>
      <c r="WPY243" s="42"/>
      <c r="WPZ243" s="42"/>
      <c r="WQA243" s="42"/>
      <c r="WQB243" s="42"/>
      <c r="WQC243" s="42"/>
      <c r="WQD243" s="42"/>
      <c r="WQE243" s="42"/>
      <c r="WQF243" s="42"/>
      <c r="WQG243" s="42"/>
      <c r="WQH243" s="42"/>
      <c r="WQI243" s="42"/>
      <c r="WQJ243" s="42"/>
      <c r="WQK243" s="42"/>
      <c r="WQL243" s="42"/>
      <c r="WQM243" s="42"/>
      <c r="WQN243" s="42"/>
      <c r="WQO243" s="42"/>
      <c r="WQP243" s="42"/>
      <c r="WQQ243" s="42"/>
      <c r="WQR243" s="42"/>
      <c r="WQS243" s="42"/>
      <c r="WQT243" s="42"/>
      <c r="WQU243" s="42"/>
      <c r="WQV243" s="42"/>
      <c r="WQW243" s="42"/>
      <c r="WQX243" s="42"/>
      <c r="WQY243" s="42"/>
      <c r="WQZ243" s="42"/>
      <c r="WRA243" s="42"/>
      <c r="WRB243" s="42"/>
      <c r="WRC243" s="42"/>
      <c r="WRD243" s="42"/>
      <c r="WRE243" s="42"/>
      <c r="WRF243" s="42"/>
      <c r="WRG243" s="42"/>
      <c r="WRH243" s="42"/>
      <c r="WRI243" s="42"/>
      <c r="WRJ243" s="42"/>
      <c r="WRK243" s="42"/>
      <c r="WRL243" s="42"/>
      <c r="WRM243" s="42"/>
      <c r="WRN243" s="42"/>
      <c r="WRO243" s="42"/>
      <c r="WRP243" s="42"/>
      <c r="WRQ243" s="42"/>
      <c r="WRR243" s="42"/>
      <c r="WRS243" s="42"/>
      <c r="WRT243" s="42"/>
      <c r="WRU243" s="42"/>
      <c r="WRV243" s="42"/>
      <c r="WRW243" s="42"/>
      <c r="WRX243" s="42"/>
      <c r="WRY243" s="42"/>
      <c r="WRZ243" s="42"/>
      <c r="WSA243" s="42"/>
      <c r="WSB243" s="42"/>
      <c r="WSC243" s="42"/>
      <c r="WSD243" s="42"/>
      <c r="WSE243" s="42"/>
      <c r="WSF243" s="42"/>
      <c r="WSG243" s="42"/>
      <c r="WSH243" s="42"/>
      <c r="WSI243" s="42"/>
      <c r="WSJ243" s="42"/>
      <c r="WSK243" s="42"/>
      <c r="WSL243" s="42"/>
      <c r="WSM243" s="42"/>
      <c r="WSN243" s="42"/>
      <c r="WSO243" s="42"/>
      <c r="WSP243" s="42"/>
      <c r="WSQ243" s="42"/>
      <c r="WSR243" s="42"/>
      <c r="WSS243" s="42"/>
      <c r="WST243" s="42"/>
      <c r="WSU243" s="42"/>
      <c r="WSV243" s="42"/>
      <c r="WSW243" s="42"/>
      <c r="WSX243" s="42"/>
      <c r="WSY243" s="42"/>
      <c r="WSZ243" s="42"/>
      <c r="WTA243" s="42"/>
      <c r="WTB243" s="42"/>
      <c r="WTC243" s="42"/>
      <c r="WTD243" s="42"/>
      <c r="WTE243" s="42"/>
      <c r="WTF243" s="42"/>
      <c r="WTG243" s="42"/>
      <c r="WTH243" s="42"/>
      <c r="WTI243" s="42"/>
      <c r="WTJ243" s="42"/>
      <c r="WTK243" s="42"/>
      <c r="WTL243" s="42"/>
      <c r="WTM243" s="42"/>
      <c r="WTN243" s="42"/>
      <c r="WTO243" s="42"/>
      <c r="WTP243" s="42"/>
      <c r="WTQ243" s="42"/>
      <c r="WTR243" s="42"/>
      <c r="WTS243" s="42"/>
      <c r="WTT243" s="42"/>
      <c r="WTU243" s="42"/>
      <c r="WTV243" s="42"/>
      <c r="WTW243" s="42"/>
      <c r="WTX243" s="42"/>
      <c r="WTY243" s="42"/>
      <c r="WTZ243" s="42"/>
      <c r="WUA243" s="42"/>
      <c r="WUB243" s="42"/>
      <c r="WUC243" s="42"/>
      <c r="WUD243" s="42"/>
      <c r="WUE243" s="42"/>
      <c r="WUF243" s="42"/>
      <c r="WUG243" s="42"/>
      <c r="WUH243" s="42"/>
      <c r="WUI243" s="42"/>
      <c r="WUJ243" s="42"/>
      <c r="WUK243" s="42"/>
      <c r="WUL243" s="42"/>
      <c r="WUM243" s="42"/>
      <c r="WUN243" s="42"/>
      <c r="WUO243" s="42"/>
      <c r="WUP243" s="42"/>
      <c r="WUQ243" s="42"/>
      <c r="WUR243" s="42"/>
      <c r="WUS243" s="42"/>
      <c r="WUT243" s="42"/>
      <c r="WUU243" s="42"/>
      <c r="WUV243" s="42"/>
      <c r="WUW243" s="42"/>
      <c r="WUX243" s="42"/>
      <c r="WUY243" s="42"/>
      <c r="WUZ243" s="42"/>
      <c r="WVA243" s="42"/>
      <c r="WVB243" s="42"/>
      <c r="WVC243" s="42"/>
      <c r="WVD243" s="42"/>
      <c r="WVE243" s="42"/>
      <c r="WVF243" s="42"/>
      <c r="WVG243" s="42"/>
      <c r="WVH243" s="42"/>
      <c r="WVI243" s="42"/>
      <c r="WVJ243" s="42"/>
      <c r="WVK243" s="42"/>
      <c r="WVL243" s="42"/>
      <c r="WVM243" s="42"/>
      <c r="WVN243" s="42"/>
      <c r="WVO243" s="42"/>
      <c r="WVP243" s="42"/>
      <c r="WVQ243" s="42"/>
      <c r="WVR243" s="42"/>
      <c r="WVS243" s="42"/>
      <c r="WVT243" s="42"/>
      <c r="WVU243" s="42"/>
      <c r="WVV243" s="42"/>
      <c r="WVW243" s="42"/>
      <c r="WVX243" s="42"/>
      <c r="WVY243" s="42"/>
      <c r="WVZ243" s="42"/>
      <c r="WWA243" s="42"/>
      <c r="WWB243" s="42"/>
      <c r="WWC243" s="42"/>
      <c r="WWD243" s="42"/>
      <c r="WWE243" s="42"/>
      <c r="WWF243" s="42"/>
      <c r="WWG243" s="42"/>
      <c r="WWH243" s="42"/>
      <c r="WWI243" s="42"/>
      <c r="WWJ243" s="42"/>
      <c r="WWK243" s="42"/>
      <c r="WWL243" s="42"/>
      <c r="WWM243" s="42"/>
      <c r="WWN243" s="42"/>
      <c r="WWO243" s="42"/>
      <c r="WWP243" s="42"/>
      <c r="WWQ243" s="42"/>
      <c r="WWR243" s="42"/>
      <c r="WWS243" s="42"/>
      <c r="WWT243" s="42"/>
      <c r="WWU243" s="42"/>
      <c r="WWV243" s="42"/>
      <c r="WWW243" s="42"/>
      <c r="WWX243" s="42"/>
      <c r="WWY243" s="42"/>
      <c r="WWZ243" s="42"/>
      <c r="WXA243" s="42"/>
      <c r="WXB243" s="42"/>
      <c r="WXC243" s="42"/>
      <c r="WXD243" s="42"/>
      <c r="WXE243" s="42"/>
      <c r="WXF243" s="42"/>
      <c r="WXG243" s="42"/>
      <c r="WXH243" s="42"/>
      <c r="WXI243" s="42"/>
      <c r="WXJ243" s="42"/>
      <c r="WXK243" s="42"/>
      <c r="WXL243" s="42"/>
      <c r="WXM243" s="42"/>
      <c r="WXN243" s="42"/>
      <c r="WXO243" s="42"/>
      <c r="WXP243" s="42"/>
      <c r="WXQ243" s="42"/>
      <c r="WXR243" s="42"/>
      <c r="WXS243" s="42"/>
      <c r="WXT243" s="42"/>
      <c r="WXU243" s="42"/>
      <c r="WXV243" s="42"/>
      <c r="WXW243" s="42"/>
      <c r="WXX243" s="42"/>
      <c r="WXY243" s="42"/>
      <c r="WXZ243" s="42"/>
      <c r="WYA243" s="42"/>
      <c r="WYB243" s="42"/>
      <c r="WYC243" s="42"/>
      <c r="WYD243" s="42"/>
      <c r="WYE243" s="42"/>
      <c r="WYF243" s="42"/>
      <c r="WYG243" s="42"/>
      <c r="WYH243" s="42"/>
      <c r="WYI243" s="42"/>
      <c r="WYJ243" s="42"/>
      <c r="WYK243" s="42"/>
      <c r="WYL243" s="42"/>
      <c r="WYM243" s="42"/>
      <c r="WYN243" s="42"/>
      <c r="WYO243" s="42"/>
      <c r="WYP243" s="42"/>
      <c r="WYQ243" s="42"/>
      <c r="WYR243" s="42"/>
      <c r="WYS243" s="42"/>
      <c r="WYT243" s="42"/>
      <c r="WYU243" s="42"/>
      <c r="WYV243" s="42"/>
      <c r="WYW243" s="42"/>
      <c r="WYX243" s="42"/>
      <c r="WYY243" s="42"/>
      <c r="WYZ243" s="42"/>
      <c r="WZA243" s="42"/>
      <c r="WZB243" s="42"/>
      <c r="WZC243" s="42"/>
      <c r="WZD243" s="42"/>
      <c r="WZE243" s="42"/>
      <c r="WZF243" s="42"/>
      <c r="WZG243" s="42"/>
      <c r="WZH243" s="42"/>
      <c r="WZI243" s="42"/>
      <c r="WZJ243" s="42"/>
      <c r="WZK243" s="42"/>
      <c r="WZL243" s="42"/>
      <c r="WZM243" s="42"/>
      <c r="WZN243" s="42"/>
      <c r="WZO243" s="42"/>
      <c r="WZP243" s="42"/>
      <c r="WZQ243" s="42"/>
      <c r="WZR243" s="42"/>
      <c r="WZS243" s="42"/>
      <c r="WZT243" s="42"/>
      <c r="WZU243" s="42"/>
      <c r="WZV243" s="42"/>
      <c r="WZW243" s="42"/>
      <c r="WZX243" s="42"/>
      <c r="WZY243" s="42"/>
      <c r="WZZ243" s="42"/>
      <c r="XAA243" s="42"/>
      <c r="XAB243" s="42"/>
      <c r="XAC243" s="42"/>
      <c r="XAD243" s="42"/>
      <c r="XAE243" s="42"/>
      <c r="XAF243" s="42"/>
      <c r="XAG243" s="42"/>
      <c r="XAH243" s="42"/>
      <c r="XAI243" s="42"/>
      <c r="XAJ243" s="42"/>
      <c r="XAK243" s="42"/>
      <c r="XAL243" s="42"/>
      <c r="XAM243" s="42"/>
      <c r="XAN243" s="42"/>
      <c r="XAO243" s="42"/>
      <c r="XAP243" s="42"/>
      <c r="XAQ243" s="42"/>
      <c r="XAR243" s="42"/>
      <c r="XAS243" s="42"/>
      <c r="XAT243" s="42"/>
      <c r="XAU243" s="42"/>
      <c r="XAV243" s="42"/>
      <c r="XAW243" s="42"/>
      <c r="XAX243" s="42"/>
      <c r="XAY243" s="42"/>
      <c r="XAZ243" s="42"/>
      <c r="XBA243" s="42"/>
      <c r="XBB243" s="42"/>
      <c r="XBC243" s="42"/>
      <c r="XBD243" s="42"/>
      <c r="XBE243" s="42"/>
      <c r="XBF243" s="42"/>
      <c r="XBG243" s="42"/>
      <c r="XBH243" s="42"/>
      <c r="XBI243" s="42"/>
      <c r="XBJ243" s="42"/>
      <c r="XBK243" s="42"/>
      <c r="XBL243" s="42"/>
      <c r="XBM243" s="42"/>
      <c r="XBN243" s="42"/>
      <c r="XBO243" s="42"/>
      <c r="XBP243" s="42"/>
      <c r="XBQ243" s="42"/>
      <c r="XBR243" s="42"/>
      <c r="XBS243" s="42"/>
      <c r="XBT243" s="42"/>
      <c r="XBU243" s="42"/>
      <c r="XBV243" s="42"/>
      <c r="XBW243" s="42"/>
      <c r="XBX243" s="42"/>
      <c r="XBY243" s="42"/>
      <c r="XBZ243" s="42"/>
      <c r="XCA243" s="42"/>
      <c r="XCB243" s="42"/>
      <c r="XCC243" s="42"/>
      <c r="XCD243" s="42"/>
      <c r="XCE243" s="42"/>
      <c r="XCF243" s="42"/>
      <c r="XCG243" s="42"/>
      <c r="XCH243" s="42"/>
      <c r="XCI243" s="42"/>
      <c r="XCJ243" s="42"/>
      <c r="XCK243" s="42"/>
      <c r="XCL243" s="42"/>
      <c r="XCM243" s="42"/>
      <c r="XCN243" s="42"/>
      <c r="XCO243" s="42"/>
      <c r="XCP243" s="42"/>
      <c r="XCQ243" s="42"/>
      <c r="XCR243" s="42"/>
      <c r="XCS243" s="42"/>
      <c r="XCT243" s="42"/>
      <c r="XCU243" s="42"/>
      <c r="XCV243" s="42"/>
      <c r="XCW243" s="42"/>
      <c r="XCX243" s="42"/>
      <c r="XCY243" s="42"/>
      <c r="XCZ243" s="42"/>
      <c r="XDA243" s="42"/>
      <c r="XDB243" s="42"/>
      <c r="XDC243" s="42"/>
      <c r="XDD243" s="42"/>
      <c r="XDE243" s="42"/>
      <c r="XDF243" s="42"/>
      <c r="XDG243" s="42"/>
      <c r="XDH243" s="42"/>
      <c r="XDI243" s="42"/>
      <c r="XDJ243" s="42"/>
      <c r="XDK243" s="42"/>
      <c r="XDL243" s="42"/>
      <c r="XDM243" s="42"/>
      <c r="XDN243" s="42"/>
      <c r="XDO243" s="42"/>
      <c r="XDP243" s="42"/>
      <c r="XDQ243" s="42"/>
      <c r="XDR243" s="42"/>
      <c r="XDS243" s="42"/>
      <c r="XDT243" s="42"/>
      <c r="XDU243" s="42"/>
      <c r="XDV243" s="42"/>
      <c r="XDW243" s="42"/>
      <c r="XDX243" s="42"/>
      <c r="XDY243" s="42"/>
      <c r="XDZ243" s="42"/>
      <c r="XEA243" s="42"/>
      <c r="XEB243" s="42"/>
      <c r="XEC243" s="42"/>
      <c r="XED243" s="42"/>
      <c r="XEE243" s="42"/>
      <c r="XEF243" s="42"/>
      <c r="XEG243" s="42"/>
      <c r="XEH243" s="42"/>
      <c r="XEI243" s="42"/>
      <c r="XEJ243" s="42"/>
      <c r="XEK243" s="35"/>
      <c r="XEL243" s="36"/>
      <c r="XEM243" s="37"/>
      <c r="XEN243" s="37"/>
      <c r="XEO243" s="37"/>
      <c r="XEP243" s="37"/>
      <c r="XEQ243" s="38"/>
      <c r="XER243" s="38"/>
      <c r="XES243" s="38"/>
      <c r="XET243" s="38"/>
      <c r="XEU243" s="38"/>
      <c r="XEV243" s="38"/>
      <c r="XEW243" s="39"/>
      <c r="XEX243" s="38"/>
    </row>
    <row r="244" spans="1:16378" s="49" customFormat="1" ht="51.75" x14ac:dyDescent="0.25">
      <c r="A244" s="43" t="s">
        <v>87</v>
      </c>
      <c r="B244" s="44" t="s">
        <v>88</v>
      </c>
      <c r="C244" s="72"/>
      <c r="D244" s="72"/>
      <c r="E244" s="72"/>
      <c r="F244" s="72"/>
      <c r="G244" s="46">
        <f t="shared" ref="G244:H244" si="335">G247+G268</f>
        <v>158011</v>
      </c>
      <c r="H244" s="46">
        <f t="shared" si="335"/>
        <v>20832</v>
      </c>
      <c r="I244" s="46">
        <f t="shared" ref="I244:L244" si="336">I268</f>
        <v>0</v>
      </c>
      <c r="J244" s="46">
        <f t="shared" si="336"/>
        <v>0</v>
      </c>
      <c r="K244" s="46">
        <f t="shared" si="336"/>
        <v>0</v>
      </c>
      <c r="L244" s="46">
        <f t="shared" si="336"/>
        <v>0</v>
      </c>
      <c r="M244" s="46">
        <f t="shared" ref="M244:Q244" si="337">M247+M268</f>
        <v>12830</v>
      </c>
      <c r="N244" s="46">
        <f t="shared" si="337"/>
        <v>12830</v>
      </c>
      <c r="O244" s="46">
        <f t="shared" si="337"/>
        <v>52830</v>
      </c>
      <c r="P244" s="46">
        <f t="shared" si="337"/>
        <v>20830</v>
      </c>
      <c r="Q244" s="46">
        <f t="shared" si="337"/>
        <v>0</v>
      </c>
      <c r="R244" s="46">
        <f>R247+R268</f>
        <v>18830</v>
      </c>
      <c r="S244" s="46">
        <f t="shared" ref="S244:T244" si="338">S247+S268</f>
        <v>2000</v>
      </c>
      <c r="T244" s="46">
        <f t="shared" si="338"/>
        <v>2000</v>
      </c>
      <c r="U244" s="46">
        <f t="shared" ref="U244:AB244" si="339">SUM(U245:U268)</f>
        <v>35425</v>
      </c>
      <c r="V244" s="46">
        <f t="shared" si="339"/>
        <v>35425</v>
      </c>
      <c r="W244" s="46">
        <f t="shared" si="339"/>
        <v>7804</v>
      </c>
      <c r="X244" s="46">
        <f t="shared" si="339"/>
        <v>7804</v>
      </c>
      <c r="Y244" s="46">
        <f>SUM(Y245:Y268)</f>
        <v>28150</v>
      </c>
      <c r="Z244" s="46">
        <f t="shared" si="339"/>
        <v>28150</v>
      </c>
      <c r="AA244" s="46">
        <f t="shared" si="339"/>
        <v>71379</v>
      </c>
      <c r="AB244" s="46">
        <f t="shared" si="339"/>
        <v>71379</v>
      </c>
      <c r="AC244" s="119"/>
      <c r="AD244" s="119"/>
      <c r="AE244" s="119"/>
      <c r="AF244" s="119"/>
      <c r="AG244" s="119"/>
      <c r="AH244" s="119"/>
      <c r="AI244" s="73"/>
      <c r="AJ244" s="19">
        <f t="shared" si="278"/>
        <v>1</v>
      </c>
      <c r="AK244" s="22"/>
      <c r="AL244" s="22"/>
      <c r="AM244" s="12"/>
      <c r="AN244" s="12"/>
      <c r="AO244" s="12"/>
      <c r="AP244" s="12">
        <f t="shared" si="272"/>
        <v>0</v>
      </c>
      <c r="AQ244" s="12"/>
      <c r="AR244" s="12">
        <f t="shared" si="274"/>
        <v>0</v>
      </c>
      <c r="AS244" s="12"/>
      <c r="AT244" s="12">
        <f t="shared" si="296"/>
        <v>0</v>
      </c>
      <c r="AU244" s="12"/>
      <c r="AV244" s="12">
        <f t="shared" si="297"/>
        <v>0</v>
      </c>
    </row>
    <row r="245" spans="1:16378" ht="49.5" hidden="1" x14ac:dyDescent="0.25">
      <c r="A245" s="60">
        <v>3</v>
      </c>
      <c r="B245" s="9" t="s">
        <v>591</v>
      </c>
      <c r="C245" s="61" t="s">
        <v>592</v>
      </c>
      <c r="D245" s="61" t="s">
        <v>593</v>
      </c>
      <c r="E245" s="61" t="s">
        <v>199</v>
      </c>
      <c r="F245" s="61" t="s">
        <v>594</v>
      </c>
      <c r="G245" s="62">
        <v>29922</v>
      </c>
      <c r="H245" s="80">
        <f>G245</f>
        <v>29922</v>
      </c>
      <c r="I245" s="63"/>
      <c r="J245" s="63"/>
      <c r="K245" s="63"/>
      <c r="L245" s="63"/>
      <c r="M245" s="68">
        <f t="shared" ref="M245:M280" si="340">N245</f>
        <v>26280</v>
      </c>
      <c r="N245" s="63">
        <v>26280</v>
      </c>
      <c r="O245" s="68">
        <f t="shared" ref="O245:O256" si="341">P245</f>
        <v>26280</v>
      </c>
      <c r="P245" s="63">
        <v>26280</v>
      </c>
      <c r="Q245" s="54"/>
      <c r="R245" s="54"/>
      <c r="S245" s="68">
        <f t="shared" ref="S245:S252" si="342">T245</f>
        <v>26280</v>
      </c>
      <c r="T245" s="63">
        <v>26280</v>
      </c>
      <c r="U245" s="63">
        <f t="shared" ref="U245:U250" si="343">V245</f>
        <v>17000</v>
      </c>
      <c r="V245" s="63">
        <v>17000</v>
      </c>
      <c r="W245" s="63"/>
      <c r="X245" s="63"/>
      <c r="Y245" s="63"/>
      <c r="Z245" s="63"/>
      <c r="AA245" s="63">
        <f t="shared" ref="AA245:AB268" si="344">U245+W245+Y245</f>
        <v>17000</v>
      </c>
      <c r="AB245" s="63">
        <f t="shared" si="344"/>
        <v>17000</v>
      </c>
      <c r="AC245" s="63">
        <f t="shared" ref="AC245:AD268" si="345">O245-AA245</f>
        <v>9280</v>
      </c>
      <c r="AD245" s="63">
        <f t="shared" si="345"/>
        <v>9280</v>
      </c>
      <c r="AE245" s="63">
        <f t="shared" ref="AE245:AE280" si="346">AF245</f>
        <v>0</v>
      </c>
      <c r="AF245" s="63">
        <f t="shared" ref="AF245:AF268" si="347">IF(AB245=0,AD245,0)</f>
        <v>0</v>
      </c>
      <c r="AG245" s="63"/>
      <c r="AH245" s="63"/>
      <c r="AI245" s="69"/>
      <c r="AJ245" s="19">
        <f t="shared" si="278"/>
        <v>0</v>
      </c>
      <c r="AK245" s="22">
        <f t="shared" ref="AK245:AK308" si="348">AJ245</f>
        <v>0</v>
      </c>
      <c r="AL245" s="22"/>
      <c r="AM245" s="12">
        <f t="shared" ref="AM245:AM268" si="349">IF(AJ245=0,1,0)</f>
        <v>1</v>
      </c>
      <c r="AO245" s="12">
        <f t="shared" ref="AO245:AO251" si="350">IF(P245=0,1,0)</f>
        <v>0</v>
      </c>
      <c r="AP245" s="12">
        <f t="shared" si="272"/>
        <v>0</v>
      </c>
      <c r="AQ245" s="12">
        <f t="shared" ref="AQ245:AQ268" si="351">IF(N245=0,1,0)</f>
        <v>0</v>
      </c>
      <c r="AR245" s="12">
        <f t="shared" si="274"/>
        <v>0</v>
      </c>
      <c r="AS245" s="12">
        <f t="shared" ref="AS245:AS265" si="352">IF(Q245=0,0,1)</f>
        <v>0</v>
      </c>
      <c r="AT245" s="12">
        <f t="shared" si="296"/>
        <v>0</v>
      </c>
      <c r="AU245" s="12">
        <f t="shared" ref="AU245:AU251" si="353">IF(R245=0,0,1)</f>
        <v>0</v>
      </c>
      <c r="AV245" s="12">
        <f t="shared" si="297"/>
        <v>0</v>
      </c>
    </row>
    <row r="246" spans="1:16378" ht="49.5" hidden="1" x14ac:dyDescent="0.25">
      <c r="A246" s="60">
        <v>4</v>
      </c>
      <c r="B246" s="9" t="s">
        <v>595</v>
      </c>
      <c r="C246" s="61" t="s">
        <v>592</v>
      </c>
      <c r="D246" s="61" t="s">
        <v>596</v>
      </c>
      <c r="E246" s="61" t="s">
        <v>199</v>
      </c>
      <c r="F246" s="61" t="s">
        <v>597</v>
      </c>
      <c r="G246" s="62">
        <v>10149</v>
      </c>
      <c r="H246" s="80">
        <f>G246</f>
        <v>10149</v>
      </c>
      <c r="I246" s="63"/>
      <c r="J246" s="63"/>
      <c r="K246" s="63"/>
      <c r="L246" s="63"/>
      <c r="M246" s="68">
        <f t="shared" si="340"/>
        <v>9200</v>
      </c>
      <c r="N246" s="63">
        <v>9200</v>
      </c>
      <c r="O246" s="68">
        <f t="shared" si="341"/>
        <v>9200</v>
      </c>
      <c r="P246" s="63">
        <v>9200</v>
      </c>
      <c r="Q246" s="54"/>
      <c r="R246" s="54"/>
      <c r="S246" s="68">
        <f t="shared" si="342"/>
        <v>9200</v>
      </c>
      <c r="T246" s="63">
        <v>9200</v>
      </c>
      <c r="U246" s="63">
        <f t="shared" si="343"/>
        <v>9100</v>
      </c>
      <c r="V246" s="63">
        <v>9100</v>
      </c>
      <c r="W246" s="63"/>
      <c r="X246" s="63"/>
      <c r="Y246" s="63"/>
      <c r="Z246" s="63"/>
      <c r="AA246" s="63">
        <f t="shared" si="344"/>
        <v>9100</v>
      </c>
      <c r="AB246" s="63">
        <f t="shared" si="344"/>
        <v>9100</v>
      </c>
      <c r="AC246" s="63">
        <f t="shared" si="345"/>
        <v>100</v>
      </c>
      <c r="AD246" s="63">
        <f t="shared" si="345"/>
        <v>100</v>
      </c>
      <c r="AE246" s="63">
        <f t="shared" si="346"/>
        <v>0</v>
      </c>
      <c r="AF246" s="63">
        <f t="shared" si="347"/>
        <v>0</v>
      </c>
      <c r="AG246" s="63"/>
      <c r="AH246" s="63"/>
      <c r="AI246" s="69"/>
      <c r="AJ246" s="19">
        <f t="shared" si="278"/>
        <v>0</v>
      </c>
      <c r="AK246" s="22">
        <f t="shared" si="348"/>
        <v>0</v>
      </c>
      <c r="AL246" s="22"/>
      <c r="AM246" s="12">
        <f t="shared" si="349"/>
        <v>1</v>
      </c>
      <c r="AO246" s="12">
        <f t="shared" si="350"/>
        <v>0</v>
      </c>
      <c r="AP246" s="12">
        <f t="shared" si="272"/>
        <v>0</v>
      </c>
      <c r="AQ246" s="12">
        <f t="shared" si="351"/>
        <v>0</v>
      </c>
      <c r="AR246" s="12">
        <f t="shared" si="274"/>
        <v>0</v>
      </c>
      <c r="AS246" s="12">
        <f t="shared" si="352"/>
        <v>0</v>
      </c>
      <c r="AT246" s="12">
        <f t="shared" si="296"/>
        <v>0</v>
      </c>
      <c r="AU246" s="12">
        <f t="shared" si="353"/>
        <v>0</v>
      </c>
      <c r="AV246" s="12">
        <f t="shared" si="297"/>
        <v>0</v>
      </c>
    </row>
    <row r="247" spans="1:16378" ht="115.5" x14ac:dyDescent="0.25">
      <c r="A247" s="60">
        <v>5</v>
      </c>
      <c r="B247" s="9" t="s">
        <v>598</v>
      </c>
      <c r="C247" s="61" t="s">
        <v>599</v>
      </c>
      <c r="D247" s="61" t="s">
        <v>600</v>
      </c>
      <c r="E247" s="61" t="s">
        <v>60</v>
      </c>
      <c r="F247" s="61" t="s">
        <v>601</v>
      </c>
      <c r="G247" s="62">
        <v>118011</v>
      </c>
      <c r="H247" s="62">
        <v>12832</v>
      </c>
      <c r="I247" s="63"/>
      <c r="J247" s="63"/>
      <c r="K247" s="63"/>
      <c r="L247" s="63"/>
      <c r="M247" s="68">
        <f t="shared" si="340"/>
        <v>12830</v>
      </c>
      <c r="N247" s="63">
        <v>12830</v>
      </c>
      <c r="O247" s="68">
        <f t="shared" si="341"/>
        <v>12830</v>
      </c>
      <c r="P247" s="63">
        <v>12830</v>
      </c>
      <c r="Q247" s="54"/>
      <c r="R247" s="54">
        <f>P247-T247</f>
        <v>10830</v>
      </c>
      <c r="S247" s="68">
        <f t="shared" si="342"/>
        <v>2000</v>
      </c>
      <c r="T247" s="63">
        <v>2000</v>
      </c>
      <c r="U247" s="63">
        <f t="shared" si="343"/>
        <v>305</v>
      </c>
      <c r="V247" s="63">
        <v>305</v>
      </c>
      <c r="W247" s="63">
        <f>X247</f>
        <v>1114</v>
      </c>
      <c r="X247" s="63">
        <v>1114</v>
      </c>
      <c r="Y247" s="63">
        <f>Z247</f>
        <v>5860</v>
      </c>
      <c r="Z247" s="63">
        <v>5860</v>
      </c>
      <c r="AA247" s="63">
        <f t="shared" si="344"/>
        <v>7279</v>
      </c>
      <c r="AB247" s="63">
        <f t="shared" si="344"/>
        <v>7279</v>
      </c>
      <c r="AC247" s="63">
        <f t="shared" si="345"/>
        <v>5551</v>
      </c>
      <c r="AD247" s="63">
        <f t="shared" si="345"/>
        <v>5551</v>
      </c>
      <c r="AE247" s="63">
        <f t="shared" si="346"/>
        <v>0</v>
      </c>
      <c r="AF247" s="63">
        <f t="shared" si="347"/>
        <v>0</v>
      </c>
      <c r="AG247" s="63"/>
      <c r="AH247" s="63"/>
      <c r="AI247" s="25" t="s">
        <v>2136</v>
      </c>
      <c r="AJ247" s="19">
        <f t="shared" si="278"/>
        <v>1</v>
      </c>
      <c r="AK247" s="22">
        <f t="shared" si="348"/>
        <v>1</v>
      </c>
      <c r="AL247" s="22"/>
      <c r="AM247" s="12">
        <f t="shared" si="349"/>
        <v>0</v>
      </c>
      <c r="AO247" s="12">
        <f t="shared" si="350"/>
        <v>0</v>
      </c>
      <c r="AP247" s="12">
        <f t="shared" si="272"/>
        <v>0</v>
      </c>
      <c r="AQ247" s="12">
        <f t="shared" si="351"/>
        <v>0</v>
      </c>
      <c r="AR247" s="12">
        <f t="shared" si="274"/>
        <v>0</v>
      </c>
      <c r="AS247" s="12">
        <f t="shared" si="352"/>
        <v>0</v>
      </c>
      <c r="AT247" s="12">
        <f t="shared" si="296"/>
        <v>0</v>
      </c>
      <c r="AU247" s="12">
        <f t="shared" si="353"/>
        <v>1</v>
      </c>
      <c r="AV247" s="12">
        <f t="shared" si="297"/>
        <v>10830</v>
      </c>
    </row>
    <row r="248" spans="1:16378" ht="49.5" hidden="1" x14ac:dyDescent="0.25">
      <c r="A248" s="60">
        <v>6</v>
      </c>
      <c r="B248" s="91" t="s">
        <v>602</v>
      </c>
      <c r="C248" s="61" t="s">
        <v>52</v>
      </c>
      <c r="D248" s="61" t="s">
        <v>603</v>
      </c>
      <c r="E248" s="61">
        <v>2016</v>
      </c>
      <c r="F248" s="61" t="s">
        <v>604</v>
      </c>
      <c r="G248" s="63">
        <v>402</v>
      </c>
      <c r="H248" s="80">
        <f t="shared" ref="H248:H253" si="354">G248</f>
        <v>402</v>
      </c>
      <c r="I248" s="63"/>
      <c r="J248" s="63"/>
      <c r="K248" s="63"/>
      <c r="L248" s="63"/>
      <c r="M248" s="68">
        <f t="shared" si="340"/>
        <v>320</v>
      </c>
      <c r="N248" s="63">
        <v>320</v>
      </c>
      <c r="O248" s="68">
        <f t="shared" si="341"/>
        <v>320</v>
      </c>
      <c r="P248" s="63">
        <v>320</v>
      </c>
      <c r="Q248" s="54"/>
      <c r="R248" s="54"/>
      <c r="S248" s="68">
        <f t="shared" si="342"/>
        <v>320</v>
      </c>
      <c r="T248" s="63">
        <v>320</v>
      </c>
      <c r="U248" s="63">
        <f t="shared" si="343"/>
        <v>350</v>
      </c>
      <c r="V248" s="63">
        <v>350</v>
      </c>
      <c r="W248" s="63"/>
      <c r="X248" s="63"/>
      <c r="Y248" s="63"/>
      <c r="Z248" s="63"/>
      <c r="AA248" s="63">
        <f t="shared" si="344"/>
        <v>350</v>
      </c>
      <c r="AB248" s="63">
        <f t="shared" si="344"/>
        <v>350</v>
      </c>
      <c r="AC248" s="63">
        <f t="shared" si="345"/>
        <v>-30</v>
      </c>
      <c r="AD248" s="63">
        <f t="shared" si="345"/>
        <v>-30</v>
      </c>
      <c r="AE248" s="63">
        <f t="shared" si="346"/>
        <v>0</v>
      </c>
      <c r="AF248" s="63">
        <f t="shared" si="347"/>
        <v>0</v>
      </c>
      <c r="AG248" s="63"/>
      <c r="AH248" s="63"/>
      <c r="AI248" s="69"/>
      <c r="AJ248" s="19">
        <f t="shared" si="278"/>
        <v>0</v>
      </c>
      <c r="AK248" s="22">
        <f t="shared" si="348"/>
        <v>0</v>
      </c>
      <c r="AL248" s="22"/>
      <c r="AM248" s="12">
        <f t="shared" si="349"/>
        <v>1</v>
      </c>
      <c r="AO248" s="12">
        <f t="shared" si="350"/>
        <v>0</v>
      </c>
      <c r="AP248" s="12">
        <f t="shared" si="272"/>
        <v>0</v>
      </c>
      <c r="AQ248" s="12">
        <f t="shared" si="351"/>
        <v>0</v>
      </c>
      <c r="AR248" s="12">
        <f t="shared" si="274"/>
        <v>0</v>
      </c>
      <c r="AS248" s="12">
        <f t="shared" si="352"/>
        <v>0</v>
      </c>
      <c r="AT248" s="12">
        <f t="shared" si="296"/>
        <v>0</v>
      </c>
      <c r="AU248" s="12">
        <f t="shared" si="353"/>
        <v>0</v>
      </c>
      <c r="AV248" s="12">
        <f t="shared" si="297"/>
        <v>0</v>
      </c>
    </row>
    <row r="249" spans="1:16378" ht="66" hidden="1" x14ac:dyDescent="0.25">
      <c r="A249" s="60">
        <v>7</v>
      </c>
      <c r="B249" s="9" t="s">
        <v>605</v>
      </c>
      <c r="C249" s="61" t="s">
        <v>52</v>
      </c>
      <c r="D249" s="61" t="s">
        <v>606</v>
      </c>
      <c r="E249" s="61">
        <v>2016</v>
      </c>
      <c r="F249" s="61" t="s">
        <v>607</v>
      </c>
      <c r="G249" s="63">
        <v>741</v>
      </c>
      <c r="H249" s="80">
        <f t="shared" si="354"/>
        <v>741</v>
      </c>
      <c r="I249" s="63"/>
      <c r="J249" s="63"/>
      <c r="K249" s="63"/>
      <c r="L249" s="63"/>
      <c r="M249" s="68">
        <f t="shared" si="340"/>
        <v>700</v>
      </c>
      <c r="N249" s="63">
        <v>700</v>
      </c>
      <c r="O249" s="68">
        <f t="shared" si="341"/>
        <v>700</v>
      </c>
      <c r="P249" s="63">
        <v>700</v>
      </c>
      <c r="Q249" s="54"/>
      <c r="R249" s="54"/>
      <c r="S249" s="68">
        <f t="shared" si="342"/>
        <v>700</v>
      </c>
      <c r="T249" s="63">
        <v>700</v>
      </c>
      <c r="U249" s="63">
        <f t="shared" si="343"/>
        <v>670</v>
      </c>
      <c r="V249" s="63">
        <v>670</v>
      </c>
      <c r="W249" s="63"/>
      <c r="X249" s="63"/>
      <c r="Y249" s="63"/>
      <c r="Z249" s="63"/>
      <c r="AA249" s="63">
        <f t="shared" si="344"/>
        <v>670</v>
      </c>
      <c r="AB249" s="63">
        <f t="shared" si="344"/>
        <v>670</v>
      </c>
      <c r="AC249" s="63">
        <f t="shared" si="345"/>
        <v>30</v>
      </c>
      <c r="AD249" s="63">
        <f t="shared" si="345"/>
        <v>30</v>
      </c>
      <c r="AE249" s="63">
        <f t="shared" si="346"/>
        <v>0</v>
      </c>
      <c r="AF249" s="63">
        <f t="shared" si="347"/>
        <v>0</v>
      </c>
      <c r="AG249" s="63"/>
      <c r="AH249" s="63"/>
      <c r="AI249" s="69"/>
      <c r="AJ249" s="19">
        <f t="shared" si="278"/>
        <v>0</v>
      </c>
      <c r="AK249" s="22">
        <f t="shared" si="348"/>
        <v>0</v>
      </c>
      <c r="AL249" s="22"/>
      <c r="AM249" s="12">
        <f t="shared" si="349"/>
        <v>1</v>
      </c>
      <c r="AO249" s="12">
        <f t="shared" si="350"/>
        <v>0</v>
      </c>
      <c r="AP249" s="12">
        <f t="shared" si="272"/>
        <v>0</v>
      </c>
      <c r="AQ249" s="12">
        <f t="shared" si="351"/>
        <v>0</v>
      </c>
      <c r="AR249" s="12">
        <f t="shared" si="274"/>
        <v>0</v>
      </c>
      <c r="AS249" s="12">
        <f t="shared" si="352"/>
        <v>0</v>
      </c>
      <c r="AT249" s="12">
        <f t="shared" si="296"/>
        <v>0</v>
      </c>
      <c r="AU249" s="12">
        <f t="shared" si="353"/>
        <v>0</v>
      </c>
      <c r="AV249" s="12">
        <f t="shared" si="297"/>
        <v>0</v>
      </c>
    </row>
    <row r="250" spans="1:16378" ht="82.5" hidden="1" x14ac:dyDescent="0.25">
      <c r="A250" s="60">
        <v>8</v>
      </c>
      <c r="B250" s="9" t="s">
        <v>608</v>
      </c>
      <c r="C250" s="61" t="s">
        <v>104</v>
      </c>
      <c r="D250" s="25" t="s">
        <v>609</v>
      </c>
      <c r="E250" s="61" t="s">
        <v>252</v>
      </c>
      <c r="F250" s="61" t="s">
        <v>610</v>
      </c>
      <c r="G250" s="5">
        <v>10250</v>
      </c>
      <c r="H250" s="80">
        <f t="shared" si="354"/>
        <v>10250</v>
      </c>
      <c r="I250" s="63"/>
      <c r="J250" s="63"/>
      <c r="K250" s="63"/>
      <c r="L250" s="63"/>
      <c r="M250" s="68">
        <f t="shared" si="340"/>
        <v>10250</v>
      </c>
      <c r="N250" s="63">
        <v>10250</v>
      </c>
      <c r="O250" s="68">
        <f t="shared" si="341"/>
        <v>10250</v>
      </c>
      <c r="P250" s="63">
        <v>10250</v>
      </c>
      <c r="Q250" s="54"/>
      <c r="R250" s="54"/>
      <c r="S250" s="68">
        <f t="shared" si="342"/>
        <v>10250</v>
      </c>
      <c r="T250" s="63">
        <v>10250</v>
      </c>
      <c r="U250" s="63">
        <f t="shared" si="343"/>
        <v>8000</v>
      </c>
      <c r="V250" s="63">
        <v>8000</v>
      </c>
      <c r="W250" s="63">
        <f>X250</f>
        <v>1000</v>
      </c>
      <c r="X250" s="63">
        <v>1000</v>
      </c>
      <c r="Y250" s="63">
        <f>Z250</f>
        <v>1000</v>
      </c>
      <c r="Z250" s="63">
        <v>1000</v>
      </c>
      <c r="AA250" s="63">
        <f t="shared" si="344"/>
        <v>10000</v>
      </c>
      <c r="AB250" s="63">
        <f t="shared" si="344"/>
        <v>10000</v>
      </c>
      <c r="AC250" s="63">
        <f t="shared" si="345"/>
        <v>250</v>
      </c>
      <c r="AD250" s="63">
        <f t="shared" si="345"/>
        <v>250</v>
      </c>
      <c r="AE250" s="63">
        <f t="shared" si="346"/>
        <v>0</v>
      </c>
      <c r="AF250" s="63">
        <f t="shared" si="347"/>
        <v>0</v>
      </c>
      <c r="AG250" s="63"/>
      <c r="AH250" s="63"/>
      <c r="AI250" s="69"/>
      <c r="AJ250" s="19">
        <f t="shared" si="278"/>
        <v>0</v>
      </c>
      <c r="AK250" s="22">
        <f t="shared" si="348"/>
        <v>0</v>
      </c>
      <c r="AL250" s="22"/>
      <c r="AM250" s="12">
        <f t="shared" si="349"/>
        <v>1</v>
      </c>
      <c r="AO250" s="12">
        <f t="shared" si="350"/>
        <v>0</v>
      </c>
      <c r="AP250" s="12">
        <f t="shared" si="272"/>
        <v>0</v>
      </c>
      <c r="AQ250" s="12">
        <f t="shared" si="351"/>
        <v>0</v>
      </c>
      <c r="AR250" s="12">
        <f t="shared" si="274"/>
        <v>0</v>
      </c>
      <c r="AS250" s="12">
        <f t="shared" si="352"/>
        <v>0</v>
      </c>
      <c r="AT250" s="12">
        <f t="shared" si="296"/>
        <v>0</v>
      </c>
      <c r="AU250" s="12">
        <f t="shared" si="353"/>
        <v>0</v>
      </c>
      <c r="AV250" s="12">
        <f t="shared" si="297"/>
        <v>0</v>
      </c>
    </row>
    <row r="251" spans="1:16378" ht="49.5" hidden="1" x14ac:dyDescent="0.25">
      <c r="A251" s="60">
        <v>9</v>
      </c>
      <c r="B251" s="9" t="s">
        <v>611</v>
      </c>
      <c r="C251" s="61" t="s">
        <v>104</v>
      </c>
      <c r="D251" s="25" t="s">
        <v>612</v>
      </c>
      <c r="E251" s="61">
        <v>2017</v>
      </c>
      <c r="F251" s="61" t="s">
        <v>613</v>
      </c>
      <c r="G251" s="5">
        <v>4988</v>
      </c>
      <c r="H251" s="80">
        <f t="shared" si="354"/>
        <v>4988</v>
      </c>
      <c r="I251" s="63"/>
      <c r="J251" s="63"/>
      <c r="K251" s="63"/>
      <c r="L251" s="63"/>
      <c r="M251" s="68">
        <f t="shared" si="340"/>
        <v>4700</v>
      </c>
      <c r="N251" s="63">
        <v>4700</v>
      </c>
      <c r="O251" s="68">
        <f t="shared" si="341"/>
        <v>4700</v>
      </c>
      <c r="P251" s="63">
        <v>4700</v>
      </c>
      <c r="Q251" s="54"/>
      <c r="R251" s="54"/>
      <c r="S251" s="68">
        <f t="shared" si="342"/>
        <v>4700</v>
      </c>
      <c r="T251" s="63">
        <v>4700</v>
      </c>
      <c r="U251" s="63"/>
      <c r="V251" s="63"/>
      <c r="W251" s="63">
        <v>4500</v>
      </c>
      <c r="X251" s="63">
        <f>W251</f>
        <v>4500</v>
      </c>
      <c r="Y251" s="63">
        <v>4500</v>
      </c>
      <c r="Z251" s="63">
        <f>Y251</f>
        <v>4500</v>
      </c>
      <c r="AA251" s="63">
        <f t="shared" si="344"/>
        <v>9000</v>
      </c>
      <c r="AB251" s="63">
        <f t="shared" si="344"/>
        <v>9000</v>
      </c>
      <c r="AC251" s="63">
        <f t="shared" si="345"/>
        <v>-4300</v>
      </c>
      <c r="AD251" s="63">
        <f t="shared" si="345"/>
        <v>-4300</v>
      </c>
      <c r="AE251" s="63">
        <f t="shared" si="346"/>
        <v>0</v>
      </c>
      <c r="AF251" s="63">
        <f t="shared" si="347"/>
        <v>0</v>
      </c>
      <c r="AG251" s="63"/>
      <c r="AH251" s="63"/>
      <c r="AI251" s="69"/>
      <c r="AJ251" s="19">
        <f t="shared" si="278"/>
        <v>0</v>
      </c>
      <c r="AK251" s="22">
        <f t="shared" si="348"/>
        <v>0</v>
      </c>
      <c r="AL251" s="22"/>
      <c r="AM251" s="12">
        <f t="shared" si="349"/>
        <v>1</v>
      </c>
      <c r="AO251" s="12">
        <f t="shared" si="350"/>
        <v>0</v>
      </c>
      <c r="AP251" s="12">
        <f t="shared" si="272"/>
        <v>0</v>
      </c>
      <c r="AQ251" s="12">
        <f t="shared" si="351"/>
        <v>0</v>
      </c>
      <c r="AR251" s="12">
        <f t="shared" si="274"/>
        <v>0</v>
      </c>
      <c r="AS251" s="12">
        <f t="shared" si="352"/>
        <v>0</v>
      </c>
      <c r="AT251" s="12">
        <f t="shared" si="296"/>
        <v>0</v>
      </c>
      <c r="AU251" s="12">
        <f t="shared" si="353"/>
        <v>0</v>
      </c>
      <c r="AV251" s="12">
        <f t="shared" si="297"/>
        <v>0</v>
      </c>
    </row>
    <row r="252" spans="1:16378" ht="50.25" hidden="1" customHeight="1" x14ac:dyDescent="0.25">
      <c r="A252" s="60">
        <v>10</v>
      </c>
      <c r="B252" s="9" t="s">
        <v>614</v>
      </c>
      <c r="C252" s="61" t="s">
        <v>615</v>
      </c>
      <c r="D252" s="61"/>
      <c r="E252" s="61" t="s">
        <v>97</v>
      </c>
      <c r="F252" s="61" t="s">
        <v>616</v>
      </c>
      <c r="G252" s="62">
        <v>1308</v>
      </c>
      <c r="H252" s="80">
        <f t="shared" si="354"/>
        <v>1308</v>
      </c>
      <c r="I252" s="63"/>
      <c r="J252" s="63"/>
      <c r="K252" s="63"/>
      <c r="L252" s="63"/>
      <c r="M252" s="68">
        <f t="shared" si="340"/>
        <v>1190</v>
      </c>
      <c r="N252" s="63">
        <v>1190</v>
      </c>
      <c r="O252" s="68">
        <f t="shared" si="341"/>
        <v>100</v>
      </c>
      <c r="P252" s="63">
        <v>100</v>
      </c>
      <c r="Q252" s="5"/>
      <c r="R252" s="5"/>
      <c r="S252" s="68">
        <f t="shared" si="342"/>
        <v>100</v>
      </c>
      <c r="T252" s="63">
        <v>100</v>
      </c>
      <c r="U252" s="63"/>
      <c r="V252" s="63"/>
      <c r="W252" s="63">
        <f>X252</f>
        <v>1190</v>
      </c>
      <c r="X252" s="63">
        <v>1190</v>
      </c>
      <c r="Y252" s="63">
        <f>Z252</f>
        <v>1190</v>
      </c>
      <c r="Z252" s="63">
        <v>1190</v>
      </c>
      <c r="AA252" s="63">
        <f t="shared" si="344"/>
        <v>2380</v>
      </c>
      <c r="AB252" s="63">
        <f t="shared" si="344"/>
        <v>2380</v>
      </c>
      <c r="AC252" s="63">
        <f t="shared" si="345"/>
        <v>-2280</v>
      </c>
      <c r="AD252" s="63">
        <f t="shared" si="345"/>
        <v>-2280</v>
      </c>
      <c r="AE252" s="63">
        <f t="shared" si="346"/>
        <v>0</v>
      </c>
      <c r="AF252" s="63">
        <f t="shared" si="347"/>
        <v>0</v>
      </c>
      <c r="AG252" s="63"/>
      <c r="AH252" s="63"/>
      <c r="AI252" s="25" t="s">
        <v>617</v>
      </c>
      <c r="AJ252" s="19">
        <f t="shared" si="278"/>
        <v>0</v>
      </c>
      <c r="AK252" s="22">
        <f t="shared" si="348"/>
        <v>0</v>
      </c>
      <c r="AL252" s="22"/>
      <c r="AM252" s="12">
        <f t="shared" si="349"/>
        <v>1</v>
      </c>
      <c r="AO252" s="48">
        <v>1</v>
      </c>
      <c r="AP252" s="120">
        <f>R252</f>
        <v>0</v>
      </c>
      <c r="AQ252" s="12">
        <f t="shared" si="351"/>
        <v>0</v>
      </c>
      <c r="AR252" s="12">
        <f t="shared" si="274"/>
        <v>0</v>
      </c>
      <c r="AS252" s="12">
        <f t="shared" si="352"/>
        <v>0</v>
      </c>
      <c r="AT252" s="12">
        <f t="shared" si="296"/>
        <v>0</v>
      </c>
    </row>
    <row r="253" spans="1:16378" ht="38.25" hidden="1" customHeight="1" x14ac:dyDescent="0.25">
      <c r="A253" s="60">
        <v>11</v>
      </c>
      <c r="B253" s="9" t="s">
        <v>618</v>
      </c>
      <c r="C253" s="61" t="s">
        <v>615</v>
      </c>
      <c r="D253" s="61"/>
      <c r="E253" s="61" t="s">
        <v>116</v>
      </c>
      <c r="F253" s="61"/>
      <c r="G253" s="62">
        <v>8000</v>
      </c>
      <c r="H253" s="80">
        <f t="shared" si="354"/>
        <v>8000</v>
      </c>
      <c r="I253" s="63"/>
      <c r="J253" s="63"/>
      <c r="K253" s="63"/>
      <c r="L253" s="63"/>
      <c r="M253" s="68">
        <f t="shared" si="340"/>
        <v>7200</v>
      </c>
      <c r="N253" s="63">
        <v>7200</v>
      </c>
      <c r="O253" s="68"/>
      <c r="P253" s="63"/>
      <c r="Q253" s="5"/>
      <c r="R253" s="5"/>
      <c r="S253" s="68"/>
      <c r="T253" s="63"/>
      <c r="U253" s="63"/>
      <c r="V253" s="63"/>
      <c r="W253" s="63"/>
      <c r="X253" s="63"/>
      <c r="Y253" s="63"/>
      <c r="Z253" s="63"/>
      <c r="AA253" s="63">
        <f t="shared" si="344"/>
        <v>0</v>
      </c>
      <c r="AB253" s="63">
        <f t="shared" si="344"/>
        <v>0</v>
      </c>
      <c r="AC253" s="63">
        <f t="shared" si="345"/>
        <v>0</v>
      </c>
      <c r="AD253" s="63">
        <f t="shared" si="345"/>
        <v>0</v>
      </c>
      <c r="AE253" s="63">
        <f t="shared" si="346"/>
        <v>0</v>
      </c>
      <c r="AF253" s="63">
        <f t="shared" si="347"/>
        <v>0</v>
      </c>
      <c r="AG253" s="63"/>
      <c r="AH253" s="63"/>
      <c r="AI253" s="25" t="s">
        <v>619</v>
      </c>
      <c r="AJ253" s="19">
        <f t="shared" si="278"/>
        <v>0</v>
      </c>
      <c r="AK253" s="22">
        <f t="shared" si="348"/>
        <v>0</v>
      </c>
      <c r="AL253" s="22"/>
      <c r="AM253" s="12">
        <f t="shared" si="349"/>
        <v>1</v>
      </c>
      <c r="AO253" s="12">
        <f t="shared" ref="AO253:AO268" si="355">IF(P253=0,1,0)</f>
        <v>1</v>
      </c>
      <c r="AP253" s="12">
        <f t="shared" ref="AP253:AP316" si="356">IF(AO253=1,N253,0)</f>
        <v>7200</v>
      </c>
      <c r="AQ253" s="12">
        <f t="shared" si="351"/>
        <v>0</v>
      </c>
      <c r="AR253" s="12">
        <f t="shared" si="274"/>
        <v>0</v>
      </c>
      <c r="AS253" s="12">
        <f t="shared" si="352"/>
        <v>0</v>
      </c>
      <c r="AT253" s="12">
        <f t="shared" si="296"/>
        <v>0</v>
      </c>
    </row>
    <row r="254" spans="1:16378" ht="49.5" hidden="1" x14ac:dyDescent="0.25">
      <c r="A254" s="60">
        <v>12</v>
      </c>
      <c r="B254" s="9" t="s">
        <v>620</v>
      </c>
      <c r="C254" s="61" t="s">
        <v>416</v>
      </c>
      <c r="D254" s="61"/>
      <c r="E254" s="61" t="s">
        <v>116</v>
      </c>
      <c r="F254" s="61" t="s">
        <v>621</v>
      </c>
      <c r="G254" s="62">
        <f>H254</f>
        <v>2997</v>
      </c>
      <c r="H254" s="80">
        <v>2997</v>
      </c>
      <c r="I254" s="63"/>
      <c r="J254" s="63"/>
      <c r="K254" s="63"/>
      <c r="L254" s="63"/>
      <c r="M254" s="68">
        <f t="shared" si="340"/>
        <v>3000</v>
      </c>
      <c r="N254" s="63">
        <v>3000</v>
      </c>
      <c r="O254" s="68">
        <f t="shared" si="341"/>
        <v>2990</v>
      </c>
      <c r="P254" s="63">
        <v>2990</v>
      </c>
      <c r="Q254" s="54"/>
      <c r="R254" s="54"/>
      <c r="S254" s="68">
        <f t="shared" ref="S254:S256" si="357">T254</f>
        <v>2990</v>
      </c>
      <c r="T254" s="63">
        <v>2990</v>
      </c>
      <c r="U254" s="63"/>
      <c r="V254" s="63"/>
      <c r="W254" s="63"/>
      <c r="X254" s="63"/>
      <c r="Y254" s="63">
        <f>Z254</f>
        <v>2500</v>
      </c>
      <c r="Z254" s="63">
        <v>2500</v>
      </c>
      <c r="AA254" s="63">
        <f t="shared" si="344"/>
        <v>2500</v>
      </c>
      <c r="AB254" s="63">
        <f t="shared" si="344"/>
        <v>2500</v>
      </c>
      <c r="AC254" s="63">
        <f t="shared" si="345"/>
        <v>490</v>
      </c>
      <c r="AD254" s="63">
        <f t="shared" si="345"/>
        <v>490</v>
      </c>
      <c r="AE254" s="63">
        <f t="shared" si="346"/>
        <v>0</v>
      </c>
      <c r="AF254" s="63">
        <f t="shared" si="347"/>
        <v>0</v>
      </c>
      <c r="AG254" s="63"/>
      <c r="AH254" s="63"/>
      <c r="AI254" s="69"/>
      <c r="AJ254" s="19">
        <f t="shared" si="278"/>
        <v>0</v>
      </c>
      <c r="AK254" s="22">
        <f t="shared" si="348"/>
        <v>0</v>
      </c>
      <c r="AL254" s="22"/>
      <c r="AM254" s="12">
        <f t="shared" si="349"/>
        <v>1</v>
      </c>
      <c r="AO254" s="12">
        <f t="shared" si="355"/>
        <v>0</v>
      </c>
      <c r="AP254" s="12">
        <f t="shared" si="356"/>
        <v>0</v>
      </c>
      <c r="AQ254" s="12">
        <f t="shared" si="351"/>
        <v>0</v>
      </c>
      <c r="AR254" s="12">
        <f t="shared" si="274"/>
        <v>0</v>
      </c>
      <c r="AS254" s="12">
        <f t="shared" si="352"/>
        <v>0</v>
      </c>
      <c r="AT254" s="12">
        <f t="shared" si="296"/>
        <v>0</v>
      </c>
      <c r="AU254" s="12">
        <f>IF(R254=0,0,1)</f>
        <v>0</v>
      </c>
      <c r="AV254" s="12">
        <f t="shared" ref="AV254:AV317" si="358">IF(AU254=1,R254,0)</f>
        <v>0</v>
      </c>
    </row>
    <row r="255" spans="1:16378" ht="49.5" hidden="1" x14ac:dyDescent="0.25">
      <c r="A255" s="60">
        <v>13</v>
      </c>
      <c r="B255" s="9" t="s">
        <v>622</v>
      </c>
      <c r="C255" s="61" t="s">
        <v>416</v>
      </c>
      <c r="D255" s="61"/>
      <c r="E255" s="61" t="s">
        <v>116</v>
      </c>
      <c r="F255" s="61" t="s">
        <v>623</v>
      </c>
      <c r="G255" s="62">
        <f>H255</f>
        <v>940</v>
      </c>
      <c r="H255" s="80">
        <v>940</v>
      </c>
      <c r="I255" s="63"/>
      <c r="J255" s="63"/>
      <c r="K255" s="63"/>
      <c r="L255" s="63"/>
      <c r="M255" s="68">
        <f t="shared" si="340"/>
        <v>1500</v>
      </c>
      <c r="N255" s="63">
        <v>1500</v>
      </c>
      <c r="O255" s="68">
        <f t="shared" si="341"/>
        <v>850</v>
      </c>
      <c r="P255" s="63">
        <v>850</v>
      </c>
      <c r="Q255" s="54"/>
      <c r="R255" s="54"/>
      <c r="S255" s="68">
        <f t="shared" si="357"/>
        <v>850</v>
      </c>
      <c r="T255" s="63">
        <v>850</v>
      </c>
      <c r="U255" s="63"/>
      <c r="V255" s="63"/>
      <c r="W255" s="63"/>
      <c r="X255" s="63"/>
      <c r="Y255" s="63">
        <f>Z255</f>
        <v>800</v>
      </c>
      <c r="Z255" s="63">
        <v>800</v>
      </c>
      <c r="AA255" s="63">
        <f t="shared" si="344"/>
        <v>800</v>
      </c>
      <c r="AB255" s="63">
        <f t="shared" si="344"/>
        <v>800</v>
      </c>
      <c r="AC255" s="63">
        <f t="shared" si="345"/>
        <v>50</v>
      </c>
      <c r="AD255" s="63">
        <f t="shared" si="345"/>
        <v>50</v>
      </c>
      <c r="AE255" s="63">
        <f t="shared" si="346"/>
        <v>0</v>
      </c>
      <c r="AF255" s="63">
        <f t="shared" si="347"/>
        <v>0</v>
      </c>
      <c r="AG255" s="63"/>
      <c r="AH255" s="63"/>
      <c r="AI255" s="69"/>
      <c r="AJ255" s="19">
        <f t="shared" si="278"/>
        <v>0</v>
      </c>
      <c r="AK255" s="22">
        <f t="shared" si="348"/>
        <v>0</v>
      </c>
      <c r="AL255" s="22"/>
      <c r="AM255" s="12">
        <f t="shared" si="349"/>
        <v>1</v>
      </c>
      <c r="AO255" s="12">
        <f t="shared" si="355"/>
        <v>0</v>
      </c>
      <c r="AP255" s="12">
        <f t="shared" si="356"/>
        <v>0</v>
      </c>
      <c r="AQ255" s="12">
        <f t="shared" si="351"/>
        <v>0</v>
      </c>
      <c r="AR255" s="12">
        <f t="shared" si="274"/>
        <v>0</v>
      </c>
      <c r="AS255" s="12">
        <f t="shared" si="352"/>
        <v>0</v>
      </c>
      <c r="AT255" s="12">
        <f t="shared" si="296"/>
        <v>0</v>
      </c>
      <c r="AU255" s="12">
        <f>IF(R255=0,0,1)</f>
        <v>0</v>
      </c>
      <c r="AV255" s="12">
        <f t="shared" si="358"/>
        <v>0</v>
      </c>
    </row>
    <row r="256" spans="1:16378" ht="49.5" hidden="1" x14ac:dyDescent="0.25">
      <c r="A256" s="60">
        <v>14</v>
      </c>
      <c r="B256" s="9" t="s">
        <v>624</v>
      </c>
      <c r="C256" s="61" t="s">
        <v>99</v>
      </c>
      <c r="D256" s="61"/>
      <c r="E256" s="61" t="s">
        <v>116</v>
      </c>
      <c r="F256" s="61" t="s">
        <v>625</v>
      </c>
      <c r="G256" s="62">
        <v>20000</v>
      </c>
      <c r="H256" s="80">
        <f t="shared" ref="H256" si="359">G256</f>
        <v>20000</v>
      </c>
      <c r="I256" s="63"/>
      <c r="J256" s="63"/>
      <c r="K256" s="63"/>
      <c r="L256" s="63"/>
      <c r="M256" s="68">
        <f t="shared" si="340"/>
        <v>20000</v>
      </c>
      <c r="N256" s="63">
        <v>20000</v>
      </c>
      <c r="O256" s="68">
        <f t="shared" si="341"/>
        <v>18000</v>
      </c>
      <c r="P256" s="63">
        <f>H256*0.9</f>
        <v>18000</v>
      </c>
      <c r="Q256" s="54"/>
      <c r="R256" s="54"/>
      <c r="S256" s="68">
        <f t="shared" si="357"/>
        <v>18000</v>
      </c>
      <c r="T256" s="63">
        <v>18000</v>
      </c>
      <c r="U256" s="58"/>
      <c r="V256" s="58"/>
      <c r="W256" s="58"/>
      <c r="X256" s="58"/>
      <c r="Y256" s="58">
        <f>Z256</f>
        <v>10000</v>
      </c>
      <c r="Z256" s="58">
        <v>10000</v>
      </c>
      <c r="AA256" s="63">
        <f t="shared" si="344"/>
        <v>10000</v>
      </c>
      <c r="AB256" s="63">
        <f t="shared" si="344"/>
        <v>10000</v>
      </c>
      <c r="AC256" s="63">
        <f t="shared" si="345"/>
        <v>8000</v>
      </c>
      <c r="AD256" s="63">
        <f t="shared" si="345"/>
        <v>8000</v>
      </c>
      <c r="AE256" s="63">
        <f t="shared" si="346"/>
        <v>0</v>
      </c>
      <c r="AF256" s="63">
        <f t="shared" si="347"/>
        <v>0</v>
      </c>
      <c r="AG256" s="58"/>
      <c r="AH256" s="58"/>
      <c r="AI256" s="69"/>
      <c r="AJ256" s="19">
        <f t="shared" si="278"/>
        <v>0</v>
      </c>
      <c r="AK256" s="22">
        <f t="shared" si="348"/>
        <v>0</v>
      </c>
      <c r="AL256" s="22"/>
      <c r="AM256" s="12">
        <f t="shared" si="349"/>
        <v>1</v>
      </c>
      <c r="AO256" s="12">
        <f t="shared" si="355"/>
        <v>0</v>
      </c>
      <c r="AP256" s="12">
        <f t="shared" si="356"/>
        <v>0</v>
      </c>
      <c r="AQ256" s="12">
        <f t="shared" si="351"/>
        <v>0</v>
      </c>
      <c r="AR256" s="12">
        <f t="shared" si="274"/>
        <v>0</v>
      </c>
      <c r="AS256" s="12">
        <f t="shared" si="352"/>
        <v>0</v>
      </c>
      <c r="AT256" s="12">
        <f t="shared" si="296"/>
        <v>0</v>
      </c>
      <c r="AU256" s="12">
        <f>IF(R256=0,0,1)</f>
        <v>0</v>
      </c>
      <c r="AV256" s="12">
        <f t="shared" si="358"/>
        <v>0</v>
      </c>
    </row>
    <row r="257" spans="1:48" ht="39" hidden="1" customHeight="1" x14ac:dyDescent="0.25">
      <c r="A257" s="60">
        <v>15</v>
      </c>
      <c r="B257" s="9" t="s">
        <v>626</v>
      </c>
      <c r="C257" s="61" t="s">
        <v>416</v>
      </c>
      <c r="D257" s="61"/>
      <c r="E257" s="61" t="s">
        <v>116</v>
      </c>
      <c r="F257" s="61"/>
      <c r="G257" s="62">
        <f>H257</f>
        <v>25000</v>
      </c>
      <c r="H257" s="80">
        <v>25000</v>
      </c>
      <c r="I257" s="63"/>
      <c r="J257" s="63"/>
      <c r="K257" s="63"/>
      <c r="L257" s="63"/>
      <c r="M257" s="68">
        <f t="shared" si="340"/>
        <v>22650</v>
      </c>
      <c r="N257" s="63">
        <v>22650</v>
      </c>
      <c r="O257" s="68"/>
      <c r="P257" s="63"/>
      <c r="Q257" s="5"/>
      <c r="R257" s="5"/>
      <c r="S257" s="68"/>
      <c r="T257" s="63"/>
      <c r="U257" s="63"/>
      <c r="V257" s="63"/>
      <c r="W257" s="63"/>
      <c r="X257" s="63"/>
      <c r="Y257" s="63"/>
      <c r="Z257" s="63"/>
      <c r="AA257" s="63">
        <f t="shared" si="344"/>
        <v>0</v>
      </c>
      <c r="AB257" s="63">
        <f t="shared" si="344"/>
        <v>0</v>
      </c>
      <c r="AC257" s="63">
        <f t="shared" si="345"/>
        <v>0</v>
      </c>
      <c r="AD257" s="63">
        <f t="shared" si="345"/>
        <v>0</v>
      </c>
      <c r="AE257" s="63">
        <f t="shared" si="346"/>
        <v>0</v>
      </c>
      <c r="AF257" s="63">
        <f t="shared" si="347"/>
        <v>0</v>
      </c>
      <c r="AG257" s="63"/>
      <c r="AH257" s="63"/>
      <c r="AI257" s="25" t="s">
        <v>619</v>
      </c>
      <c r="AJ257" s="19">
        <f t="shared" si="278"/>
        <v>0</v>
      </c>
      <c r="AK257" s="22">
        <f t="shared" si="348"/>
        <v>0</v>
      </c>
      <c r="AL257" s="22"/>
      <c r="AM257" s="12">
        <f t="shared" si="349"/>
        <v>1</v>
      </c>
      <c r="AO257" s="12">
        <f t="shared" si="355"/>
        <v>1</v>
      </c>
      <c r="AP257" s="12">
        <f t="shared" si="356"/>
        <v>22650</v>
      </c>
      <c r="AQ257" s="12">
        <f t="shared" si="351"/>
        <v>0</v>
      </c>
      <c r="AR257" s="12">
        <f t="shared" si="274"/>
        <v>0</v>
      </c>
      <c r="AS257" s="12">
        <f t="shared" si="352"/>
        <v>0</v>
      </c>
      <c r="AT257" s="12">
        <f t="shared" si="296"/>
        <v>0</v>
      </c>
    </row>
    <row r="258" spans="1:48" s="89" customFormat="1" ht="57.75" hidden="1" customHeight="1" x14ac:dyDescent="0.25">
      <c r="A258" s="60">
        <v>16</v>
      </c>
      <c r="B258" s="9" t="s">
        <v>627</v>
      </c>
      <c r="C258" s="61" t="s">
        <v>52</v>
      </c>
      <c r="D258" s="61"/>
      <c r="E258" s="61" t="s">
        <v>116</v>
      </c>
      <c r="F258" s="61"/>
      <c r="G258" s="62">
        <f>H258</f>
        <v>14560</v>
      </c>
      <c r="H258" s="80">
        <v>14560</v>
      </c>
      <c r="I258" s="63"/>
      <c r="J258" s="63"/>
      <c r="K258" s="63"/>
      <c r="L258" s="63"/>
      <c r="M258" s="68">
        <f>N258</f>
        <v>16200</v>
      </c>
      <c r="N258" s="68">
        <v>16200</v>
      </c>
      <c r="O258" s="68">
        <f>P258</f>
        <v>12200</v>
      </c>
      <c r="P258" s="68">
        <v>12200</v>
      </c>
      <c r="Q258" s="54"/>
      <c r="R258" s="54"/>
      <c r="S258" s="68">
        <f>T258</f>
        <v>12200</v>
      </c>
      <c r="T258" s="68">
        <v>12200</v>
      </c>
      <c r="U258" s="26"/>
      <c r="V258" s="26"/>
      <c r="W258" s="26"/>
      <c r="X258" s="26"/>
      <c r="Y258" s="26"/>
      <c r="Z258" s="26"/>
      <c r="AA258" s="63">
        <f t="shared" si="344"/>
        <v>0</v>
      </c>
      <c r="AB258" s="63">
        <f t="shared" si="344"/>
        <v>0</v>
      </c>
      <c r="AC258" s="63">
        <f t="shared" si="345"/>
        <v>12200</v>
      </c>
      <c r="AD258" s="63">
        <f t="shared" si="345"/>
        <v>12200</v>
      </c>
      <c r="AE258" s="63">
        <f t="shared" si="346"/>
        <v>12200</v>
      </c>
      <c r="AF258" s="63">
        <f t="shared" si="347"/>
        <v>12200</v>
      </c>
      <c r="AG258" s="26"/>
      <c r="AH258" s="26"/>
      <c r="AI258" s="25" t="s">
        <v>628</v>
      </c>
      <c r="AJ258" s="19">
        <f t="shared" si="278"/>
        <v>0</v>
      </c>
      <c r="AK258" s="22">
        <f t="shared" si="348"/>
        <v>0</v>
      </c>
      <c r="AL258" s="22"/>
      <c r="AM258" s="12">
        <f t="shared" si="349"/>
        <v>1</v>
      </c>
      <c r="AN258" s="12"/>
      <c r="AO258" s="12">
        <f t="shared" si="355"/>
        <v>0</v>
      </c>
      <c r="AP258" s="12">
        <f t="shared" si="356"/>
        <v>0</v>
      </c>
      <c r="AQ258" s="12">
        <f t="shared" si="351"/>
        <v>0</v>
      </c>
      <c r="AR258" s="12">
        <f t="shared" si="274"/>
        <v>0</v>
      </c>
      <c r="AS258" s="12">
        <f t="shared" si="352"/>
        <v>0</v>
      </c>
      <c r="AT258" s="12">
        <f t="shared" si="296"/>
        <v>0</v>
      </c>
      <c r="AU258" s="12">
        <f t="shared" ref="AU258:AU268" si="360">IF(R258=0,0,1)</f>
        <v>0</v>
      </c>
      <c r="AV258" s="12">
        <f t="shared" si="358"/>
        <v>0</v>
      </c>
    </row>
    <row r="259" spans="1:48" ht="49.5" hidden="1" x14ac:dyDescent="0.25">
      <c r="A259" s="60">
        <v>17</v>
      </c>
      <c r="B259" s="9" t="s">
        <v>629</v>
      </c>
      <c r="C259" s="61" t="s">
        <v>52</v>
      </c>
      <c r="D259" s="61"/>
      <c r="E259" s="61" t="s">
        <v>116</v>
      </c>
      <c r="F259" s="61" t="s">
        <v>630</v>
      </c>
      <c r="G259" s="62">
        <f>H259</f>
        <v>2377</v>
      </c>
      <c r="H259" s="80">
        <v>2377</v>
      </c>
      <c r="I259" s="63"/>
      <c r="J259" s="63"/>
      <c r="K259" s="63"/>
      <c r="L259" s="63"/>
      <c r="M259" s="68">
        <f>N259</f>
        <v>1350</v>
      </c>
      <c r="N259" s="68">
        <v>1350</v>
      </c>
      <c r="O259" s="68">
        <f>P259</f>
        <v>2150</v>
      </c>
      <c r="P259" s="68">
        <v>2150</v>
      </c>
      <c r="Q259" s="54"/>
      <c r="R259" s="54"/>
      <c r="S259" s="68">
        <f>T259</f>
        <v>2150</v>
      </c>
      <c r="T259" s="68">
        <v>2150</v>
      </c>
      <c r="U259" s="58"/>
      <c r="V259" s="58"/>
      <c r="W259" s="58"/>
      <c r="X259" s="58"/>
      <c r="Y259" s="58">
        <f>Z259</f>
        <v>1100</v>
      </c>
      <c r="Z259" s="58">
        <v>1100</v>
      </c>
      <c r="AA259" s="63">
        <f t="shared" si="344"/>
        <v>1100</v>
      </c>
      <c r="AB259" s="63">
        <f t="shared" si="344"/>
        <v>1100</v>
      </c>
      <c r="AC259" s="63">
        <f t="shared" si="345"/>
        <v>1050</v>
      </c>
      <c r="AD259" s="63">
        <f t="shared" si="345"/>
        <v>1050</v>
      </c>
      <c r="AE259" s="63">
        <f t="shared" si="346"/>
        <v>0</v>
      </c>
      <c r="AF259" s="63">
        <f t="shared" si="347"/>
        <v>0</v>
      </c>
      <c r="AG259" s="58"/>
      <c r="AH259" s="58"/>
      <c r="AI259" s="69"/>
      <c r="AJ259" s="19">
        <f t="shared" si="278"/>
        <v>0</v>
      </c>
      <c r="AK259" s="22">
        <f t="shared" si="348"/>
        <v>0</v>
      </c>
      <c r="AL259" s="22"/>
      <c r="AM259" s="12">
        <f t="shared" si="349"/>
        <v>1</v>
      </c>
      <c r="AO259" s="12">
        <f t="shared" si="355"/>
        <v>0</v>
      </c>
      <c r="AP259" s="12">
        <f t="shared" si="356"/>
        <v>0</v>
      </c>
      <c r="AQ259" s="12">
        <f t="shared" si="351"/>
        <v>0</v>
      </c>
      <c r="AR259" s="12">
        <f t="shared" si="274"/>
        <v>0</v>
      </c>
      <c r="AS259" s="12">
        <f t="shared" si="352"/>
        <v>0</v>
      </c>
      <c r="AT259" s="12">
        <f t="shared" si="296"/>
        <v>0</v>
      </c>
      <c r="AU259" s="12">
        <f t="shared" si="360"/>
        <v>0</v>
      </c>
      <c r="AV259" s="12">
        <f t="shared" si="358"/>
        <v>0</v>
      </c>
    </row>
    <row r="260" spans="1:48" ht="49.5" hidden="1" x14ac:dyDescent="0.25">
      <c r="A260" s="60">
        <v>18</v>
      </c>
      <c r="B260" s="9" t="s">
        <v>631</v>
      </c>
      <c r="C260" s="61" t="s">
        <v>632</v>
      </c>
      <c r="D260" s="61"/>
      <c r="E260" s="61" t="s">
        <v>116</v>
      </c>
      <c r="F260" s="61" t="s">
        <v>633</v>
      </c>
      <c r="G260" s="62">
        <f>H260</f>
        <v>1611</v>
      </c>
      <c r="H260" s="80">
        <v>1611</v>
      </c>
      <c r="I260" s="63"/>
      <c r="J260" s="63"/>
      <c r="K260" s="63"/>
      <c r="L260" s="63"/>
      <c r="M260" s="68">
        <f t="shared" si="340"/>
        <v>5000</v>
      </c>
      <c r="N260" s="63">
        <v>5000</v>
      </c>
      <c r="O260" s="68">
        <f t="shared" ref="O260" si="361">P260</f>
        <v>3500</v>
      </c>
      <c r="P260" s="63">
        <v>3500</v>
      </c>
      <c r="Q260" s="54"/>
      <c r="R260" s="54"/>
      <c r="S260" s="68">
        <f t="shared" ref="S260" si="362">T260</f>
        <v>3500</v>
      </c>
      <c r="T260" s="63">
        <v>3500</v>
      </c>
      <c r="U260" s="58"/>
      <c r="V260" s="58"/>
      <c r="W260" s="58"/>
      <c r="X260" s="58"/>
      <c r="Y260" s="58">
        <f>Z260</f>
        <v>1200</v>
      </c>
      <c r="Z260" s="58">
        <v>1200</v>
      </c>
      <c r="AA260" s="63">
        <f t="shared" si="344"/>
        <v>1200</v>
      </c>
      <c r="AB260" s="63">
        <f t="shared" si="344"/>
        <v>1200</v>
      </c>
      <c r="AC260" s="63">
        <f t="shared" si="345"/>
        <v>2300</v>
      </c>
      <c r="AD260" s="63">
        <f t="shared" si="345"/>
        <v>2300</v>
      </c>
      <c r="AE260" s="63">
        <f t="shared" si="346"/>
        <v>0</v>
      </c>
      <c r="AF260" s="63">
        <f t="shared" si="347"/>
        <v>0</v>
      </c>
      <c r="AG260" s="58"/>
      <c r="AH260" s="58"/>
      <c r="AI260" s="69"/>
      <c r="AJ260" s="19">
        <f t="shared" si="278"/>
        <v>0</v>
      </c>
      <c r="AK260" s="22">
        <f t="shared" si="348"/>
        <v>0</v>
      </c>
      <c r="AL260" s="22"/>
      <c r="AM260" s="12">
        <f t="shared" si="349"/>
        <v>1</v>
      </c>
      <c r="AO260" s="12">
        <f t="shared" si="355"/>
        <v>0</v>
      </c>
      <c r="AP260" s="12">
        <f t="shared" si="356"/>
        <v>0</v>
      </c>
      <c r="AQ260" s="12">
        <f t="shared" si="351"/>
        <v>0</v>
      </c>
      <c r="AR260" s="12">
        <f t="shared" si="274"/>
        <v>0</v>
      </c>
      <c r="AS260" s="12">
        <f t="shared" si="352"/>
        <v>0</v>
      </c>
      <c r="AT260" s="12">
        <f t="shared" si="296"/>
        <v>0</v>
      </c>
      <c r="AU260" s="12">
        <f t="shared" si="360"/>
        <v>0</v>
      </c>
      <c r="AV260" s="12">
        <f t="shared" si="358"/>
        <v>0</v>
      </c>
    </row>
    <row r="261" spans="1:48" ht="33" hidden="1" x14ac:dyDescent="0.25">
      <c r="A261" s="60">
        <v>19</v>
      </c>
      <c r="B261" s="9" t="s">
        <v>634</v>
      </c>
      <c r="C261" s="61" t="s">
        <v>112</v>
      </c>
      <c r="D261" s="61"/>
      <c r="E261" s="61" t="s">
        <v>290</v>
      </c>
      <c r="F261" s="61"/>
      <c r="G261" s="62">
        <v>1500</v>
      </c>
      <c r="H261" s="80">
        <f>G261</f>
        <v>1500</v>
      </c>
      <c r="I261" s="63"/>
      <c r="J261" s="63"/>
      <c r="K261" s="63"/>
      <c r="L261" s="63"/>
      <c r="M261" s="68">
        <f>N261</f>
        <v>1500</v>
      </c>
      <c r="N261" s="63">
        <v>1500</v>
      </c>
      <c r="O261" s="68">
        <f>P261</f>
        <v>1500</v>
      </c>
      <c r="P261" s="63">
        <v>1500</v>
      </c>
      <c r="Q261" s="54"/>
      <c r="R261" s="54"/>
      <c r="S261" s="68">
        <f>T261</f>
        <v>1500</v>
      </c>
      <c r="T261" s="63">
        <v>1500</v>
      </c>
      <c r="U261" s="53"/>
      <c r="V261" s="53"/>
      <c r="W261" s="53"/>
      <c r="X261" s="53"/>
      <c r="Y261" s="53"/>
      <c r="Z261" s="53"/>
      <c r="AA261" s="63">
        <f t="shared" si="344"/>
        <v>0</v>
      </c>
      <c r="AB261" s="63">
        <f t="shared" si="344"/>
        <v>0</v>
      </c>
      <c r="AC261" s="63">
        <f t="shared" si="345"/>
        <v>1500</v>
      </c>
      <c r="AD261" s="63">
        <f t="shared" si="345"/>
        <v>1500</v>
      </c>
      <c r="AE261" s="63">
        <f t="shared" si="346"/>
        <v>1500</v>
      </c>
      <c r="AF261" s="63">
        <f t="shared" si="347"/>
        <v>1500</v>
      </c>
      <c r="AG261" s="53"/>
      <c r="AH261" s="53"/>
      <c r="AI261" s="69"/>
      <c r="AJ261" s="19">
        <f t="shared" si="278"/>
        <v>0</v>
      </c>
      <c r="AK261" s="22">
        <f t="shared" si="348"/>
        <v>0</v>
      </c>
      <c r="AL261" s="22"/>
      <c r="AM261" s="12">
        <f t="shared" si="349"/>
        <v>1</v>
      </c>
      <c r="AO261" s="12">
        <f t="shared" si="355"/>
        <v>0</v>
      </c>
      <c r="AP261" s="12">
        <f t="shared" si="356"/>
        <v>0</v>
      </c>
      <c r="AQ261" s="12">
        <f t="shared" si="351"/>
        <v>0</v>
      </c>
      <c r="AR261" s="12">
        <f t="shared" si="274"/>
        <v>0</v>
      </c>
      <c r="AS261" s="12">
        <f t="shared" si="352"/>
        <v>0</v>
      </c>
      <c r="AT261" s="12">
        <f t="shared" si="296"/>
        <v>0</v>
      </c>
      <c r="AU261" s="12">
        <f t="shared" si="360"/>
        <v>0</v>
      </c>
      <c r="AV261" s="12">
        <f t="shared" si="358"/>
        <v>0</v>
      </c>
    </row>
    <row r="262" spans="1:48" ht="33" hidden="1" x14ac:dyDescent="0.25">
      <c r="A262" s="60">
        <v>20</v>
      </c>
      <c r="B262" s="9" t="s">
        <v>635</v>
      </c>
      <c r="C262" s="61" t="s">
        <v>99</v>
      </c>
      <c r="D262" s="61"/>
      <c r="E262" s="61" t="s">
        <v>290</v>
      </c>
      <c r="F262" s="61"/>
      <c r="G262" s="62">
        <v>8000</v>
      </c>
      <c r="H262" s="80">
        <f>G262</f>
        <v>8000</v>
      </c>
      <c r="I262" s="63"/>
      <c r="J262" s="63"/>
      <c r="K262" s="63"/>
      <c r="L262" s="63"/>
      <c r="M262" s="68">
        <f>N262</f>
        <v>8000</v>
      </c>
      <c r="N262" s="63">
        <v>8000</v>
      </c>
      <c r="O262" s="68">
        <f>P262</f>
        <v>8000</v>
      </c>
      <c r="P262" s="63">
        <v>8000</v>
      </c>
      <c r="Q262" s="54"/>
      <c r="R262" s="54"/>
      <c r="S262" s="68">
        <f>T262</f>
        <v>8000</v>
      </c>
      <c r="T262" s="63">
        <v>8000</v>
      </c>
      <c r="U262" s="58"/>
      <c r="V262" s="58"/>
      <c r="W262" s="58"/>
      <c r="X262" s="58"/>
      <c r="Y262" s="58"/>
      <c r="Z262" s="58"/>
      <c r="AA262" s="63">
        <f t="shared" si="344"/>
        <v>0</v>
      </c>
      <c r="AB262" s="63">
        <f t="shared" si="344"/>
        <v>0</v>
      </c>
      <c r="AC262" s="63">
        <f t="shared" si="345"/>
        <v>8000</v>
      </c>
      <c r="AD262" s="63">
        <f t="shared" si="345"/>
        <v>8000</v>
      </c>
      <c r="AE262" s="63">
        <f t="shared" si="346"/>
        <v>8000</v>
      </c>
      <c r="AF262" s="63">
        <f t="shared" si="347"/>
        <v>8000</v>
      </c>
      <c r="AG262" s="58"/>
      <c r="AH262" s="58"/>
      <c r="AI262" s="69"/>
      <c r="AJ262" s="19">
        <f t="shared" si="278"/>
        <v>0</v>
      </c>
      <c r="AK262" s="22">
        <f t="shared" si="348"/>
        <v>0</v>
      </c>
      <c r="AL262" s="22"/>
      <c r="AM262" s="12">
        <f t="shared" si="349"/>
        <v>1</v>
      </c>
      <c r="AO262" s="12">
        <f t="shared" si="355"/>
        <v>0</v>
      </c>
      <c r="AP262" s="12">
        <f t="shared" si="356"/>
        <v>0</v>
      </c>
      <c r="AQ262" s="12">
        <f t="shared" si="351"/>
        <v>0</v>
      </c>
      <c r="AR262" s="12">
        <f t="shared" si="274"/>
        <v>0</v>
      </c>
      <c r="AS262" s="12">
        <f t="shared" si="352"/>
        <v>0</v>
      </c>
      <c r="AT262" s="12">
        <f t="shared" si="296"/>
        <v>0</v>
      </c>
      <c r="AU262" s="12">
        <f t="shared" si="360"/>
        <v>0</v>
      </c>
      <c r="AV262" s="12">
        <f t="shared" si="358"/>
        <v>0</v>
      </c>
    </row>
    <row r="263" spans="1:48" ht="33" hidden="1" x14ac:dyDescent="0.25">
      <c r="A263" s="60">
        <v>21</v>
      </c>
      <c r="B263" s="9" t="s">
        <v>636</v>
      </c>
      <c r="C263" s="61" t="s">
        <v>58</v>
      </c>
      <c r="D263" s="61"/>
      <c r="E263" s="61" t="s">
        <v>290</v>
      </c>
      <c r="F263" s="61"/>
      <c r="G263" s="62">
        <v>6955</v>
      </c>
      <c r="H263" s="80">
        <f>G263</f>
        <v>6955</v>
      </c>
      <c r="I263" s="63"/>
      <c r="J263" s="63"/>
      <c r="K263" s="63"/>
      <c r="L263" s="63"/>
      <c r="M263" s="68">
        <f>N263</f>
        <v>6000</v>
      </c>
      <c r="N263" s="63">
        <v>6000</v>
      </c>
      <c r="O263" s="68">
        <f>P263</f>
        <v>6000</v>
      </c>
      <c r="P263" s="63">
        <v>6000</v>
      </c>
      <c r="Q263" s="54"/>
      <c r="R263" s="54"/>
      <c r="S263" s="68">
        <f>T263</f>
        <v>6000</v>
      </c>
      <c r="T263" s="63">
        <v>6000</v>
      </c>
      <c r="U263" s="63"/>
      <c r="V263" s="63"/>
      <c r="W263" s="63"/>
      <c r="X263" s="63"/>
      <c r="Y263" s="63"/>
      <c r="Z263" s="63"/>
      <c r="AA263" s="63">
        <f t="shared" si="344"/>
        <v>0</v>
      </c>
      <c r="AB263" s="63">
        <f t="shared" si="344"/>
        <v>0</v>
      </c>
      <c r="AC263" s="63">
        <f t="shared" si="345"/>
        <v>6000</v>
      </c>
      <c r="AD263" s="63">
        <f t="shared" si="345"/>
        <v>6000</v>
      </c>
      <c r="AE263" s="63">
        <f t="shared" si="346"/>
        <v>6000</v>
      </c>
      <c r="AF263" s="63">
        <f t="shared" si="347"/>
        <v>6000</v>
      </c>
      <c r="AG263" s="63"/>
      <c r="AH263" s="63"/>
      <c r="AI263" s="69"/>
      <c r="AJ263" s="19">
        <f t="shared" si="278"/>
        <v>0</v>
      </c>
      <c r="AK263" s="22">
        <f t="shared" si="348"/>
        <v>0</v>
      </c>
      <c r="AL263" s="22"/>
      <c r="AM263" s="12">
        <f t="shared" si="349"/>
        <v>1</v>
      </c>
      <c r="AO263" s="12">
        <f t="shared" si="355"/>
        <v>0</v>
      </c>
      <c r="AP263" s="12">
        <f t="shared" si="356"/>
        <v>0</v>
      </c>
      <c r="AQ263" s="12">
        <f t="shared" si="351"/>
        <v>0</v>
      </c>
      <c r="AR263" s="12">
        <f t="shared" si="274"/>
        <v>0</v>
      </c>
      <c r="AS263" s="12">
        <f t="shared" si="352"/>
        <v>0</v>
      </c>
      <c r="AT263" s="12">
        <f t="shared" si="296"/>
        <v>0</v>
      </c>
      <c r="AU263" s="12">
        <f t="shared" si="360"/>
        <v>0</v>
      </c>
      <c r="AV263" s="12">
        <f t="shared" si="358"/>
        <v>0</v>
      </c>
    </row>
    <row r="264" spans="1:48" ht="33" hidden="1" x14ac:dyDescent="0.25">
      <c r="A264" s="60">
        <v>22</v>
      </c>
      <c r="B264" s="9" t="s">
        <v>637</v>
      </c>
      <c r="C264" s="61" t="s">
        <v>416</v>
      </c>
      <c r="D264" s="61"/>
      <c r="E264" s="61">
        <v>2020</v>
      </c>
      <c r="F264" s="61"/>
      <c r="G264" s="62">
        <v>1245</v>
      </c>
      <c r="H264" s="80">
        <f>G264</f>
        <v>1245</v>
      </c>
      <c r="I264" s="63"/>
      <c r="J264" s="63"/>
      <c r="K264" s="63"/>
      <c r="L264" s="63"/>
      <c r="M264" s="68">
        <f>N264</f>
        <v>1200</v>
      </c>
      <c r="N264" s="63">
        <v>1200</v>
      </c>
      <c r="O264" s="68">
        <f>P264</f>
        <v>1200</v>
      </c>
      <c r="P264" s="63">
        <v>1200</v>
      </c>
      <c r="Q264" s="54"/>
      <c r="R264" s="54"/>
      <c r="S264" s="68">
        <f>T264</f>
        <v>1200</v>
      </c>
      <c r="T264" s="63">
        <v>1200</v>
      </c>
      <c r="U264" s="63"/>
      <c r="V264" s="63"/>
      <c r="W264" s="63"/>
      <c r="X264" s="63"/>
      <c r="Y264" s="63"/>
      <c r="Z264" s="63"/>
      <c r="AA264" s="63">
        <f t="shared" si="344"/>
        <v>0</v>
      </c>
      <c r="AB264" s="63">
        <f t="shared" si="344"/>
        <v>0</v>
      </c>
      <c r="AC264" s="63">
        <f t="shared" si="345"/>
        <v>1200</v>
      </c>
      <c r="AD264" s="63">
        <f t="shared" si="345"/>
        <v>1200</v>
      </c>
      <c r="AE264" s="63">
        <f t="shared" si="346"/>
        <v>1200</v>
      </c>
      <c r="AF264" s="63">
        <f t="shared" si="347"/>
        <v>1200</v>
      </c>
      <c r="AG264" s="63"/>
      <c r="AH264" s="63"/>
      <c r="AI264" s="69"/>
      <c r="AJ264" s="19">
        <f t="shared" si="278"/>
        <v>0</v>
      </c>
      <c r="AK264" s="22">
        <f t="shared" si="348"/>
        <v>0</v>
      </c>
      <c r="AL264" s="22"/>
      <c r="AM264" s="12">
        <f t="shared" si="349"/>
        <v>1</v>
      </c>
      <c r="AO264" s="12">
        <f t="shared" si="355"/>
        <v>0</v>
      </c>
      <c r="AP264" s="12">
        <f t="shared" si="356"/>
        <v>0</v>
      </c>
      <c r="AQ264" s="12">
        <f t="shared" si="351"/>
        <v>0</v>
      </c>
      <c r="AR264" s="12">
        <f t="shared" si="274"/>
        <v>0</v>
      </c>
      <c r="AS264" s="12">
        <f t="shared" si="352"/>
        <v>0</v>
      </c>
      <c r="AT264" s="12">
        <f t="shared" si="296"/>
        <v>0</v>
      </c>
      <c r="AU264" s="12">
        <f t="shared" si="360"/>
        <v>0</v>
      </c>
      <c r="AV264" s="12">
        <f t="shared" si="358"/>
        <v>0</v>
      </c>
    </row>
    <row r="265" spans="1:48" ht="66" hidden="1" x14ac:dyDescent="0.25">
      <c r="A265" s="60">
        <v>23</v>
      </c>
      <c r="B265" s="9" t="s">
        <v>638</v>
      </c>
      <c r="C265" s="61" t="s">
        <v>639</v>
      </c>
      <c r="D265" s="61"/>
      <c r="E265" s="61" t="s">
        <v>290</v>
      </c>
      <c r="F265" s="61"/>
      <c r="G265" s="62">
        <v>24000</v>
      </c>
      <c r="H265" s="80">
        <v>5000</v>
      </c>
      <c r="I265" s="63"/>
      <c r="J265" s="63"/>
      <c r="K265" s="63"/>
      <c r="L265" s="63"/>
      <c r="M265" s="68">
        <v>24000</v>
      </c>
      <c r="N265" s="63">
        <v>5000</v>
      </c>
      <c r="O265" s="68">
        <v>24000</v>
      </c>
      <c r="P265" s="63">
        <v>5000</v>
      </c>
      <c r="Q265" s="54"/>
      <c r="R265" s="54"/>
      <c r="S265" s="68">
        <v>24000</v>
      </c>
      <c r="T265" s="63">
        <v>5000</v>
      </c>
      <c r="U265" s="63"/>
      <c r="V265" s="63"/>
      <c r="W265" s="63"/>
      <c r="X265" s="63"/>
      <c r="Y265" s="63"/>
      <c r="Z265" s="63"/>
      <c r="AA265" s="63">
        <f t="shared" si="344"/>
        <v>0</v>
      </c>
      <c r="AB265" s="63">
        <f t="shared" si="344"/>
        <v>0</v>
      </c>
      <c r="AC265" s="63">
        <f t="shared" si="345"/>
        <v>24000</v>
      </c>
      <c r="AD265" s="63">
        <f t="shared" si="345"/>
        <v>5000</v>
      </c>
      <c r="AE265" s="63">
        <f t="shared" si="346"/>
        <v>5000</v>
      </c>
      <c r="AF265" s="63">
        <f t="shared" si="347"/>
        <v>5000</v>
      </c>
      <c r="AG265" s="63"/>
      <c r="AH265" s="63"/>
      <c r="AI265" s="69"/>
      <c r="AJ265" s="19">
        <f t="shared" si="278"/>
        <v>0</v>
      </c>
      <c r="AK265" s="22">
        <f t="shared" si="348"/>
        <v>0</v>
      </c>
      <c r="AL265" s="22"/>
      <c r="AM265" s="12">
        <f t="shared" si="349"/>
        <v>1</v>
      </c>
      <c r="AO265" s="12">
        <f t="shared" si="355"/>
        <v>0</v>
      </c>
      <c r="AP265" s="12">
        <f t="shared" si="356"/>
        <v>0</v>
      </c>
      <c r="AQ265" s="12">
        <f t="shared" si="351"/>
        <v>0</v>
      </c>
      <c r="AR265" s="12">
        <f t="shared" si="274"/>
        <v>0</v>
      </c>
      <c r="AS265" s="12">
        <f t="shared" si="352"/>
        <v>0</v>
      </c>
      <c r="AT265" s="12">
        <f t="shared" si="296"/>
        <v>0</v>
      </c>
      <c r="AU265" s="12">
        <f t="shared" si="360"/>
        <v>0</v>
      </c>
      <c r="AV265" s="12">
        <f t="shared" si="358"/>
        <v>0</v>
      </c>
    </row>
    <row r="266" spans="1:48" ht="108.75" hidden="1" customHeight="1" x14ac:dyDescent="0.25">
      <c r="A266" s="60">
        <v>24</v>
      </c>
      <c r="B266" s="9" t="s">
        <v>640</v>
      </c>
      <c r="C266" s="61" t="s">
        <v>416</v>
      </c>
      <c r="D266" s="61"/>
      <c r="E266" s="61" t="s">
        <v>116</v>
      </c>
      <c r="F266" s="61"/>
      <c r="G266" s="62">
        <v>2500</v>
      </c>
      <c r="H266" s="80">
        <v>2500</v>
      </c>
      <c r="I266" s="63"/>
      <c r="J266" s="63"/>
      <c r="K266" s="63"/>
      <c r="L266" s="63"/>
      <c r="M266" s="68"/>
      <c r="N266" s="63"/>
      <c r="O266" s="68">
        <f>P266</f>
        <v>2500</v>
      </c>
      <c r="P266" s="63">
        <v>2500</v>
      </c>
      <c r="Q266" s="54"/>
      <c r="R266" s="54"/>
      <c r="S266" s="68">
        <f>T266</f>
        <v>2500</v>
      </c>
      <c r="T266" s="63">
        <v>2500</v>
      </c>
      <c r="U266" s="63"/>
      <c r="V266" s="63"/>
      <c r="W266" s="63"/>
      <c r="X266" s="63"/>
      <c r="Y266" s="63"/>
      <c r="Z266" s="63"/>
      <c r="AA266" s="63">
        <f t="shared" si="344"/>
        <v>0</v>
      </c>
      <c r="AB266" s="63">
        <f t="shared" si="344"/>
        <v>0</v>
      </c>
      <c r="AC266" s="63">
        <f t="shared" si="345"/>
        <v>2500</v>
      </c>
      <c r="AD266" s="63">
        <f t="shared" si="345"/>
        <v>2500</v>
      </c>
      <c r="AE266" s="63">
        <f t="shared" si="346"/>
        <v>2500</v>
      </c>
      <c r="AF266" s="63">
        <f t="shared" si="347"/>
        <v>2500</v>
      </c>
      <c r="AG266" s="63"/>
      <c r="AH266" s="63"/>
      <c r="AI266" s="25" t="s">
        <v>641</v>
      </c>
      <c r="AJ266" s="19">
        <f t="shared" si="278"/>
        <v>0</v>
      </c>
      <c r="AK266" s="22">
        <f t="shared" si="348"/>
        <v>0</v>
      </c>
      <c r="AL266" s="22"/>
      <c r="AM266" s="12">
        <f t="shared" si="349"/>
        <v>1</v>
      </c>
      <c r="AO266" s="12">
        <f t="shared" si="355"/>
        <v>0</v>
      </c>
      <c r="AP266" s="12">
        <f t="shared" si="356"/>
        <v>0</v>
      </c>
      <c r="AQ266" s="12">
        <f t="shared" si="351"/>
        <v>1</v>
      </c>
      <c r="AR266" s="12">
        <f t="shared" si="274"/>
        <v>2500</v>
      </c>
      <c r="AU266" s="12">
        <f t="shared" si="360"/>
        <v>0</v>
      </c>
      <c r="AV266" s="12">
        <f t="shared" si="358"/>
        <v>0</v>
      </c>
    </row>
    <row r="267" spans="1:48" ht="49.5" hidden="1" x14ac:dyDescent="0.25">
      <c r="A267" s="60">
        <v>25</v>
      </c>
      <c r="B267" s="9" t="s">
        <v>642</v>
      </c>
      <c r="C267" s="61" t="s">
        <v>416</v>
      </c>
      <c r="D267" s="61"/>
      <c r="E267" s="61" t="s">
        <v>116</v>
      </c>
      <c r="F267" s="61"/>
      <c r="G267" s="62">
        <f>H267</f>
        <v>6000</v>
      </c>
      <c r="H267" s="62">
        <v>6000</v>
      </c>
      <c r="I267" s="63"/>
      <c r="J267" s="63"/>
      <c r="K267" s="63"/>
      <c r="L267" s="63"/>
      <c r="M267" s="68"/>
      <c r="N267" s="63"/>
      <c r="O267" s="68">
        <f>P267</f>
        <v>6000</v>
      </c>
      <c r="P267" s="63">
        <f>H267</f>
        <v>6000</v>
      </c>
      <c r="Q267" s="54"/>
      <c r="R267" s="54"/>
      <c r="S267" s="68">
        <f>T267</f>
        <v>6000</v>
      </c>
      <c r="T267" s="63">
        <v>6000</v>
      </c>
      <c r="U267" s="58"/>
      <c r="V267" s="58"/>
      <c r="W267" s="58"/>
      <c r="X267" s="58"/>
      <c r="Y267" s="58"/>
      <c r="Z267" s="58"/>
      <c r="AA267" s="63">
        <f t="shared" si="344"/>
        <v>0</v>
      </c>
      <c r="AB267" s="63">
        <f t="shared" si="344"/>
        <v>0</v>
      </c>
      <c r="AC267" s="63">
        <f t="shared" si="345"/>
        <v>6000</v>
      </c>
      <c r="AD267" s="63">
        <f t="shared" si="345"/>
        <v>6000</v>
      </c>
      <c r="AE267" s="63">
        <f t="shared" si="346"/>
        <v>6000</v>
      </c>
      <c r="AF267" s="63">
        <f t="shared" si="347"/>
        <v>6000</v>
      </c>
      <c r="AG267" s="58"/>
      <c r="AH267" s="58"/>
      <c r="AI267" s="121" t="s">
        <v>84</v>
      </c>
      <c r="AJ267" s="19">
        <f t="shared" si="278"/>
        <v>0</v>
      </c>
      <c r="AK267" s="22">
        <f t="shared" si="348"/>
        <v>0</v>
      </c>
      <c r="AL267" s="22"/>
      <c r="AM267" s="12">
        <f t="shared" si="349"/>
        <v>1</v>
      </c>
      <c r="AO267" s="12">
        <f t="shared" si="355"/>
        <v>0</v>
      </c>
      <c r="AP267" s="12">
        <f t="shared" si="356"/>
        <v>0</v>
      </c>
      <c r="AQ267" s="12">
        <f t="shared" si="351"/>
        <v>1</v>
      </c>
      <c r="AR267" s="12">
        <f t="shared" ref="AR267:AR330" si="363">IF(AQ267=1,P267,0)</f>
        <v>6000</v>
      </c>
      <c r="AU267" s="12">
        <f t="shared" si="360"/>
        <v>0</v>
      </c>
      <c r="AV267" s="12">
        <f t="shared" si="358"/>
        <v>0</v>
      </c>
    </row>
    <row r="268" spans="1:48" s="157" customFormat="1" ht="67.5" customHeight="1" x14ac:dyDescent="0.25">
      <c r="A268" s="152">
        <v>26</v>
      </c>
      <c r="B268" s="153" t="s">
        <v>643</v>
      </c>
      <c r="C268" s="1" t="s">
        <v>416</v>
      </c>
      <c r="D268" s="1"/>
      <c r="E268" s="1" t="s">
        <v>116</v>
      </c>
      <c r="F268" s="1"/>
      <c r="G268" s="6">
        <v>40000</v>
      </c>
      <c r="H268" s="6">
        <v>8000</v>
      </c>
      <c r="I268" s="3"/>
      <c r="J268" s="3"/>
      <c r="K268" s="3"/>
      <c r="L268" s="3"/>
      <c r="M268" s="4"/>
      <c r="N268" s="3"/>
      <c r="O268" s="4">
        <v>40000</v>
      </c>
      <c r="P268" s="3">
        <f>H268</f>
        <v>8000</v>
      </c>
      <c r="Q268" s="8"/>
      <c r="R268" s="8">
        <f>P268</f>
        <v>8000</v>
      </c>
      <c r="S268" s="4"/>
      <c r="T268" s="3"/>
      <c r="U268" s="154"/>
      <c r="V268" s="154"/>
      <c r="W268" s="154"/>
      <c r="X268" s="154"/>
      <c r="Y268" s="154"/>
      <c r="Z268" s="154"/>
      <c r="AA268" s="3">
        <f t="shared" si="344"/>
        <v>0</v>
      </c>
      <c r="AB268" s="3">
        <f t="shared" si="344"/>
        <v>0</v>
      </c>
      <c r="AC268" s="3">
        <f t="shared" si="345"/>
        <v>40000</v>
      </c>
      <c r="AD268" s="3">
        <f t="shared" si="345"/>
        <v>8000</v>
      </c>
      <c r="AE268" s="3">
        <f t="shared" si="346"/>
        <v>8000</v>
      </c>
      <c r="AF268" s="3">
        <f t="shared" si="347"/>
        <v>8000</v>
      </c>
      <c r="AG268" s="154"/>
      <c r="AH268" s="154"/>
      <c r="AI268" s="334" t="s">
        <v>2132</v>
      </c>
      <c r="AJ268" s="801">
        <f t="shared" si="278"/>
        <v>1</v>
      </c>
      <c r="AK268" s="155">
        <f t="shared" si="348"/>
        <v>1</v>
      </c>
      <c r="AL268" s="155"/>
      <c r="AM268" s="156">
        <f t="shared" si="349"/>
        <v>0</v>
      </c>
      <c r="AN268" s="156"/>
      <c r="AO268" s="156">
        <f t="shared" si="355"/>
        <v>0</v>
      </c>
      <c r="AP268" s="156">
        <f t="shared" si="356"/>
        <v>0</v>
      </c>
      <c r="AQ268" s="156">
        <f t="shared" si="351"/>
        <v>1</v>
      </c>
      <c r="AR268" s="156">
        <f t="shared" si="363"/>
        <v>8000</v>
      </c>
      <c r="AS268" s="156"/>
      <c r="AT268" s="156"/>
      <c r="AU268" s="156">
        <f t="shared" si="360"/>
        <v>1</v>
      </c>
      <c r="AV268" s="156">
        <f t="shared" si="358"/>
        <v>8000</v>
      </c>
    </row>
    <row r="269" spans="1:48" s="49" customFormat="1" ht="34.5" x14ac:dyDescent="0.25">
      <c r="A269" s="43" t="s">
        <v>47</v>
      </c>
      <c r="B269" s="44" t="s">
        <v>138</v>
      </c>
      <c r="C269" s="72"/>
      <c r="D269" s="72"/>
      <c r="E269" s="72"/>
      <c r="F269" s="72"/>
      <c r="G269" s="46">
        <f>G271</f>
        <v>80000</v>
      </c>
      <c r="H269" s="46">
        <f>H271</f>
        <v>80000</v>
      </c>
      <c r="I269" s="90"/>
      <c r="J269" s="90"/>
      <c r="K269" s="90"/>
      <c r="L269" s="90"/>
      <c r="M269" s="46">
        <f t="shared" ref="M269:R269" si="364">SUM(M270:M280)</f>
        <v>60000</v>
      </c>
      <c r="N269" s="46">
        <f t="shared" si="364"/>
        <v>60000</v>
      </c>
      <c r="O269" s="46">
        <f t="shared" si="364"/>
        <v>60000</v>
      </c>
      <c r="P269" s="46">
        <f t="shared" si="364"/>
        <v>60000</v>
      </c>
      <c r="Q269" s="46">
        <f t="shared" si="364"/>
        <v>0</v>
      </c>
      <c r="R269" s="46">
        <f t="shared" si="364"/>
        <v>4000</v>
      </c>
      <c r="S269" s="46">
        <f t="shared" ref="S269:T269" si="365">S271</f>
        <v>1000</v>
      </c>
      <c r="T269" s="46">
        <f t="shared" si="365"/>
        <v>1000</v>
      </c>
      <c r="U269" s="46"/>
      <c r="V269" s="46"/>
      <c r="W269" s="46"/>
      <c r="X269" s="46"/>
      <c r="Y269" s="46"/>
      <c r="Z269" s="46"/>
      <c r="AA269" s="46"/>
      <c r="AB269" s="46"/>
      <c r="AC269" s="119">
        <f t="shared" ref="AC269:AH269" si="366">SUM(AC270:AC280)</f>
        <v>60000</v>
      </c>
      <c r="AD269" s="119">
        <f t="shared" si="366"/>
        <v>60000</v>
      </c>
      <c r="AE269" s="119">
        <f t="shared" si="366"/>
        <v>60000</v>
      </c>
      <c r="AF269" s="119">
        <f t="shared" si="366"/>
        <v>60000</v>
      </c>
      <c r="AG269" s="119">
        <f t="shared" si="366"/>
        <v>75000</v>
      </c>
      <c r="AH269" s="119">
        <f t="shared" si="366"/>
        <v>75000</v>
      </c>
      <c r="AI269" s="73"/>
      <c r="AJ269" s="19">
        <f t="shared" si="278"/>
        <v>1</v>
      </c>
      <c r="AK269" s="22"/>
      <c r="AL269" s="22"/>
      <c r="AM269" s="12"/>
      <c r="AN269" s="12"/>
      <c r="AO269" s="12"/>
      <c r="AP269" s="12">
        <f t="shared" si="356"/>
        <v>0</v>
      </c>
      <c r="AQ269" s="12"/>
      <c r="AR269" s="12">
        <f t="shared" si="363"/>
        <v>0</v>
      </c>
      <c r="AS269" s="12"/>
      <c r="AT269" s="12">
        <f t="shared" si="296"/>
        <v>0</v>
      </c>
      <c r="AU269" s="12"/>
      <c r="AV269" s="12">
        <f t="shared" si="358"/>
        <v>0</v>
      </c>
    </row>
    <row r="270" spans="1:48" ht="33" hidden="1" x14ac:dyDescent="0.25">
      <c r="A270" s="60">
        <v>27</v>
      </c>
      <c r="B270" s="9" t="s">
        <v>644</v>
      </c>
      <c r="C270" s="61" t="s">
        <v>146</v>
      </c>
      <c r="D270" s="61"/>
      <c r="E270" s="61" t="s">
        <v>141</v>
      </c>
      <c r="F270" s="61"/>
      <c r="G270" s="62">
        <v>20000</v>
      </c>
      <c r="H270" s="80">
        <f>G270</f>
        <v>20000</v>
      </c>
      <c r="I270" s="63"/>
      <c r="J270" s="63"/>
      <c r="K270" s="63"/>
      <c r="L270" s="63"/>
      <c r="M270" s="68">
        <f>N270</f>
        <v>10000</v>
      </c>
      <c r="N270" s="63">
        <v>10000</v>
      </c>
      <c r="O270" s="68">
        <f>P270</f>
        <v>10000</v>
      </c>
      <c r="P270" s="63">
        <v>10000</v>
      </c>
      <c r="Q270" s="54"/>
      <c r="R270" s="54"/>
      <c r="S270" s="68">
        <f>T270</f>
        <v>10000</v>
      </c>
      <c r="T270" s="63">
        <v>10000</v>
      </c>
      <c r="U270" s="63"/>
      <c r="V270" s="63"/>
      <c r="W270" s="63"/>
      <c r="X270" s="63"/>
      <c r="Y270" s="63"/>
      <c r="Z270" s="63"/>
      <c r="AA270" s="63">
        <f t="shared" ref="AA270:AB280" si="367">U270+W270+Y270</f>
        <v>0</v>
      </c>
      <c r="AB270" s="63">
        <f t="shared" si="367"/>
        <v>0</v>
      </c>
      <c r="AC270" s="63">
        <f t="shared" ref="AC270:AD280" si="368">O270-AA270</f>
        <v>10000</v>
      </c>
      <c r="AD270" s="63">
        <f t="shared" si="368"/>
        <v>10000</v>
      </c>
      <c r="AE270" s="63">
        <f t="shared" si="346"/>
        <v>10000</v>
      </c>
      <c r="AF270" s="63">
        <f t="shared" ref="AF270:AF280" si="369">IF(AB270=0,AD270,0)</f>
        <v>10000</v>
      </c>
      <c r="AG270" s="54">
        <f t="shared" ref="AG270:AH271" si="370">G270*0.9-O270</f>
        <v>8000</v>
      </c>
      <c r="AH270" s="54">
        <f t="shared" si="370"/>
        <v>8000</v>
      </c>
      <c r="AI270" s="69"/>
      <c r="AJ270" s="19">
        <f t="shared" si="278"/>
        <v>0</v>
      </c>
      <c r="AK270" s="22">
        <f t="shared" si="348"/>
        <v>0</v>
      </c>
      <c r="AL270" s="22"/>
      <c r="AM270" s="12">
        <f t="shared" ref="AM270:AM280" si="371">IF(AJ270=0,1,0)</f>
        <v>1</v>
      </c>
      <c r="AO270" s="12">
        <f t="shared" ref="AO270:AO280" si="372">IF(P270=0,1,0)</f>
        <v>0</v>
      </c>
      <c r="AP270" s="12">
        <f t="shared" si="356"/>
        <v>0</v>
      </c>
      <c r="AQ270" s="12">
        <f t="shared" ref="AQ270:AQ280" si="373">IF(N270=0,1,0)</f>
        <v>0</v>
      </c>
      <c r="AR270" s="12">
        <f t="shared" si="363"/>
        <v>0</v>
      </c>
      <c r="AS270" s="12">
        <f t="shared" ref="AS270:AS280" si="374">IF(Q270=0,0,1)</f>
        <v>0</v>
      </c>
      <c r="AT270" s="12">
        <f t="shared" si="296"/>
        <v>0</v>
      </c>
      <c r="AU270" s="12">
        <f t="shared" ref="AU270:AU280" si="375">IF(R270=0,0,1)</f>
        <v>0</v>
      </c>
      <c r="AV270" s="12">
        <f t="shared" si="358"/>
        <v>0</v>
      </c>
    </row>
    <row r="271" spans="1:48" ht="22.5" customHeight="1" x14ac:dyDescent="0.25">
      <c r="A271" s="152">
        <v>28</v>
      </c>
      <c r="B271" s="153" t="s">
        <v>645</v>
      </c>
      <c r="C271" s="61" t="s">
        <v>416</v>
      </c>
      <c r="D271" s="61"/>
      <c r="E271" s="61" t="s">
        <v>165</v>
      </c>
      <c r="F271" s="61"/>
      <c r="G271" s="62">
        <v>80000</v>
      </c>
      <c r="H271" s="80">
        <f>G271</f>
        <v>80000</v>
      </c>
      <c r="I271" s="63"/>
      <c r="J271" s="63"/>
      <c r="K271" s="63"/>
      <c r="L271" s="63"/>
      <c r="M271" s="68">
        <f>N271</f>
        <v>5000</v>
      </c>
      <c r="N271" s="63">
        <v>5000</v>
      </c>
      <c r="O271" s="68">
        <f>P271</f>
        <v>5000</v>
      </c>
      <c r="P271" s="63">
        <v>5000</v>
      </c>
      <c r="Q271" s="54"/>
      <c r="R271" s="8">
        <f>P271-T271</f>
        <v>4000</v>
      </c>
      <c r="S271" s="4">
        <f>T271</f>
        <v>1000</v>
      </c>
      <c r="T271" s="3">
        <v>1000</v>
      </c>
      <c r="U271" s="63"/>
      <c r="V271" s="63"/>
      <c r="W271" s="63"/>
      <c r="X271" s="63"/>
      <c r="Y271" s="63"/>
      <c r="Z271" s="63"/>
      <c r="AA271" s="63">
        <f t="shared" si="367"/>
        <v>0</v>
      </c>
      <c r="AB271" s="63">
        <f t="shared" si="367"/>
        <v>0</v>
      </c>
      <c r="AC271" s="63">
        <f t="shared" si="368"/>
        <v>5000</v>
      </c>
      <c r="AD271" s="63">
        <f t="shared" si="368"/>
        <v>5000</v>
      </c>
      <c r="AE271" s="63">
        <f t="shared" si="346"/>
        <v>5000</v>
      </c>
      <c r="AF271" s="63">
        <f t="shared" si="369"/>
        <v>5000</v>
      </c>
      <c r="AG271" s="54">
        <f t="shared" si="370"/>
        <v>67000</v>
      </c>
      <c r="AH271" s="54">
        <f t="shared" si="370"/>
        <v>67000</v>
      </c>
      <c r="AI271" s="69"/>
      <c r="AJ271" s="19">
        <f t="shared" si="278"/>
        <v>1</v>
      </c>
      <c r="AK271" s="22">
        <f t="shared" si="348"/>
        <v>1</v>
      </c>
      <c r="AL271" s="22"/>
      <c r="AM271" s="12">
        <f t="shared" si="371"/>
        <v>0</v>
      </c>
      <c r="AO271" s="12">
        <f t="shared" si="372"/>
        <v>0</v>
      </c>
      <c r="AP271" s="12">
        <f t="shared" si="356"/>
        <v>0</v>
      </c>
      <c r="AQ271" s="12">
        <f t="shared" si="373"/>
        <v>0</v>
      </c>
      <c r="AR271" s="12">
        <f t="shared" si="363"/>
        <v>0</v>
      </c>
      <c r="AS271" s="12">
        <f t="shared" si="374"/>
        <v>0</v>
      </c>
      <c r="AT271" s="12">
        <f t="shared" si="296"/>
        <v>0</v>
      </c>
      <c r="AU271" s="12">
        <f t="shared" si="375"/>
        <v>1</v>
      </c>
      <c r="AV271" s="12">
        <f t="shared" si="358"/>
        <v>4000</v>
      </c>
    </row>
    <row r="272" spans="1:48" ht="33" hidden="1" x14ac:dyDescent="0.25">
      <c r="A272" s="60">
        <v>29</v>
      </c>
      <c r="B272" s="9" t="s">
        <v>646</v>
      </c>
      <c r="C272" s="61" t="s">
        <v>647</v>
      </c>
      <c r="D272" s="61"/>
      <c r="E272" s="61" t="s">
        <v>168</v>
      </c>
      <c r="F272" s="61"/>
      <c r="G272" s="62">
        <f>H272</f>
        <v>5500</v>
      </c>
      <c r="H272" s="80">
        <v>5500</v>
      </c>
      <c r="I272" s="63"/>
      <c r="J272" s="63"/>
      <c r="K272" s="63"/>
      <c r="L272" s="63"/>
      <c r="M272" s="68">
        <f t="shared" si="340"/>
        <v>5000</v>
      </c>
      <c r="N272" s="63">
        <v>5000</v>
      </c>
      <c r="O272" s="68">
        <f t="shared" ref="O272:O280" si="376">P272</f>
        <v>5000</v>
      </c>
      <c r="P272" s="63">
        <v>5000</v>
      </c>
      <c r="Q272" s="54"/>
      <c r="R272" s="54"/>
      <c r="S272" s="68">
        <f t="shared" ref="S272:S280" si="377">T272</f>
        <v>5000</v>
      </c>
      <c r="T272" s="63">
        <v>5000</v>
      </c>
      <c r="U272" s="63"/>
      <c r="V272" s="63"/>
      <c r="W272" s="63"/>
      <c r="X272" s="63"/>
      <c r="Y272" s="63"/>
      <c r="Z272" s="63"/>
      <c r="AA272" s="63">
        <f t="shared" si="367"/>
        <v>0</v>
      </c>
      <c r="AB272" s="63">
        <f t="shared" si="367"/>
        <v>0</v>
      </c>
      <c r="AC272" s="63">
        <f t="shared" si="368"/>
        <v>5000</v>
      </c>
      <c r="AD272" s="63">
        <f t="shared" si="368"/>
        <v>5000</v>
      </c>
      <c r="AE272" s="63">
        <f t="shared" si="346"/>
        <v>5000</v>
      </c>
      <c r="AF272" s="63">
        <f t="shared" si="369"/>
        <v>5000</v>
      </c>
      <c r="AG272" s="63"/>
      <c r="AH272" s="63"/>
      <c r="AI272" s="69"/>
      <c r="AJ272" s="19">
        <f t="shared" si="278"/>
        <v>0</v>
      </c>
      <c r="AK272" s="22">
        <f t="shared" si="348"/>
        <v>0</v>
      </c>
      <c r="AL272" s="22"/>
      <c r="AM272" s="12">
        <f t="shared" si="371"/>
        <v>1</v>
      </c>
      <c r="AO272" s="12">
        <f t="shared" si="372"/>
        <v>0</v>
      </c>
      <c r="AP272" s="12">
        <f t="shared" si="356"/>
        <v>0</v>
      </c>
      <c r="AQ272" s="12">
        <f t="shared" si="373"/>
        <v>0</v>
      </c>
      <c r="AR272" s="12">
        <f t="shared" si="363"/>
        <v>0</v>
      </c>
      <c r="AS272" s="12">
        <f t="shared" si="374"/>
        <v>0</v>
      </c>
      <c r="AT272" s="12">
        <f t="shared" si="296"/>
        <v>0</v>
      </c>
      <c r="AU272" s="12">
        <f t="shared" si="375"/>
        <v>0</v>
      </c>
      <c r="AV272" s="12">
        <f t="shared" si="358"/>
        <v>0</v>
      </c>
    </row>
    <row r="273" spans="1:48" ht="33" hidden="1" x14ac:dyDescent="0.25">
      <c r="A273" s="60">
        <v>30</v>
      </c>
      <c r="B273" s="9" t="s">
        <v>648</v>
      </c>
      <c r="C273" s="61" t="s">
        <v>649</v>
      </c>
      <c r="D273" s="61"/>
      <c r="E273" s="61" t="s">
        <v>168</v>
      </c>
      <c r="F273" s="61"/>
      <c r="G273" s="62">
        <v>31000</v>
      </c>
      <c r="H273" s="80">
        <v>5000</v>
      </c>
      <c r="I273" s="63"/>
      <c r="J273" s="63"/>
      <c r="K273" s="63"/>
      <c r="L273" s="63"/>
      <c r="M273" s="68">
        <f t="shared" si="340"/>
        <v>5000</v>
      </c>
      <c r="N273" s="63">
        <v>5000</v>
      </c>
      <c r="O273" s="68">
        <f t="shared" si="376"/>
        <v>5000</v>
      </c>
      <c r="P273" s="63">
        <v>5000</v>
      </c>
      <c r="Q273" s="54"/>
      <c r="R273" s="54"/>
      <c r="S273" s="68">
        <f t="shared" si="377"/>
        <v>5000</v>
      </c>
      <c r="T273" s="63">
        <v>5000</v>
      </c>
      <c r="U273" s="63"/>
      <c r="V273" s="63"/>
      <c r="W273" s="63"/>
      <c r="X273" s="63"/>
      <c r="Y273" s="63"/>
      <c r="Z273" s="63"/>
      <c r="AA273" s="63">
        <f t="shared" si="367"/>
        <v>0</v>
      </c>
      <c r="AB273" s="63">
        <f t="shared" si="367"/>
        <v>0</v>
      </c>
      <c r="AC273" s="63">
        <f t="shared" si="368"/>
        <v>5000</v>
      </c>
      <c r="AD273" s="63">
        <f t="shared" si="368"/>
        <v>5000</v>
      </c>
      <c r="AE273" s="63">
        <f t="shared" si="346"/>
        <v>5000</v>
      </c>
      <c r="AF273" s="63">
        <f t="shared" si="369"/>
        <v>5000</v>
      </c>
      <c r="AG273" s="63"/>
      <c r="AH273" s="63"/>
      <c r="AI273" s="69"/>
      <c r="AJ273" s="19">
        <f t="shared" si="278"/>
        <v>0</v>
      </c>
      <c r="AK273" s="22">
        <f t="shared" si="348"/>
        <v>0</v>
      </c>
      <c r="AL273" s="22"/>
      <c r="AM273" s="12">
        <f t="shared" si="371"/>
        <v>1</v>
      </c>
      <c r="AO273" s="12">
        <f t="shared" si="372"/>
        <v>0</v>
      </c>
      <c r="AP273" s="12">
        <f t="shared" si="356"/>
        <v>0</v>
      </c>
      <c r="AQ273" s="12">
        <f t="shared" si="373"/>
        <v>0</v>
      </c>
      <c r="AR273" s="12">
        <f t="shared" si="363"/>
        <v>0</v>
      </c>
      <c r="AS273" s="12">
        <f t="shared" si="374"/>
        <v>0</v>
      </c>
      <c r="AT273" s="12">
        <f t="shared" si="296"/>
        <v>0</v>
      </c>
      <c r="AU273" s="12">
        <f t="shared" si="375"/>
        <v>0</v>
      </c>
      <c r="AV273" s="12">
        <f t="shared" si="358"/>
        <v>0</v>
      </c>
    </row>
    <row r="274" spans="1:48" ht="33" hidden="1" x14ac:dyDescent="0.25">
      <c r="A274" s="60">
        <v>31</v>
      </c>
      <c r="B274" s="9" t="s">
        <v>650</v>
      </c>
      <c r="C274" s="61" t="s">
        <v>651</v>
      </c>
      <c r="D274" s="61"/>
      <c r="E274" s="61" t="s">
        <v>168</v>
      </c>
      <c r="F274" s="61"/>
      <c r="G274" s="62">
        <v>15000</v>
      </c>
      <c r="H274" s="80">
        <v>5000</v>
      </c>
      <c r="I274" s="63"/>
      <c r="J274" s="63"/>
      <c r="K274" s="63"/>
      <c r="L274" s="63"/>
      <c r="M274" s="68">
        <f t="shared" si="340"/>
        <v>5000</v>
      </c>
      <c r="N274" s="63">
        <v>5000</v>
      </c>
      <c r="O274" s="68">
        <f t="shared" si="376"/>
        <v>5000</v>
      </c>
      <c r="P274" s="63">
        <v>5000</v>
      </c>
      <c r="Q274" s="54"/>
      <c r="R274" s="54"/>
      <c r="S274" s="68">
        <f t="shared" si="377"/>
        <v>5000</v>
      </c>
      <c r="T274" s="63">
        <v>5000</v>
      </c>
      <c r="U274" s="63"/>
      <c r="V274" s="63"/>
      <c r="W274" s="63"/>
      <c r="X274" s="63"/>
      <c r="Y274" s="63"/>
      <c r="Z274" s="63"/>
      <c r="AA274" s="63">
        <f t="shared" si="367"/>
        <v>0</v>
      </c>
      <c r="AB274" s="63">
        <f t="shared" si="367"/>
        <v>0</v>
      </c>
      <c r="AC274" s="63">
        <f t="shared" si="368"/>
        <v>5000</v>
      </c>
      <c r="AD274" s="63">
        <f t="shared" si="368"/>
        <v>5000</v>
      </c>
      <c r="AE274" s="63">
        <f t="shared" si="346"/>
        <v>5000</v>
      </c>
      <c r="AF274" s="63">
        <f t="shared" si="369"/>
        <v>5000</v>
      </c>
      <c r="AG274" s="63"/>
      <c r="AH274" s="63"/>
      <c r="AI274" s="69"/>
      <c r="AJ274" s="19">
        <f t="shared" si="278"/>
        <v>0</v>
      </c>
      <c r="AK274" s="22">
        <f t="shared" si="348"/>
        <v>0</v>
      </c>
      <c r="AL274" s="22"/>
      <c r="AM274" s="12">
        <f t="shared" si="371"/>
        <v>1</v>
      </c>
      <c r="AO274" s="12">
        <f t="shared" si="372"/>
        <v>0</v>
      </c>
      <c r="AP274" s="12">
        <f t="shared" si="356"/>
        <v>0</v>
      </c>
      <c r="AQ274" s="12">
        <f t="shared" si="373"/>
        <v>0</v>
      </c>
      <c r="AR274" s="12">
        <f t="shared" si="363"/>
        <v>0</v>
      </c>
      <c r="AS274" s="12">
        <f t="shared" si="374"/>
        <v>0</v>
      </c>
      <c r="AT274" s="12">
        <f t="shared" si="296"/>
        <v>0</v>
      </c>
      <c r="AU274" s="12">
        <f t="shared" si="375"/>
        <v>0</v>
      </c>
      <c r="AV274" s="12">
        <f t="shared" si="358"/>
        <v>0</v>
      </c>
    </row>
    <row r="275" spans="1:48" ht="33" hidden="1" x14ac:dyDescent="0.25">
      <c r="A275" s="60">
        <v>32</v>
      </c>
      <c r="B275" s="9" t="s">
        <v>652</v>
      </c>
      <c r="C275" s="61" t="s">
        <v>99</v>
      </c>
      <c r="D275" s="61"/>
      <c r="E275" s="61" t="s">
        <v>168</v>
      </c>
      <c r="F275" s="61"/>
      <c r="G275" s="62">
        <v>15000</v>
      </c>
      <c r="H275" s="80">
        <v>5000</v>
      </c>
      <c r="I275" s="63"/>
      <c r="J275" s="63"/>
      <c r="K275" s="63"/>
      <c r="L275" s="63"/>
      <c r="M275" s="68">
        <f t="shared" si="340"/>
        <v>5000</v>
      </c>
      <c r="N275" s="63">
        <v>5000</v>
      </c>
      <c r="O275" s="68">
        <f t="shared" si="376"/>
        <v>5000</v>
      </c>
      <c r="P275" s="63">
        <v>5000</v>
      </c>
      <c r="Q275" s="54"/>
      <c r="R275" s="54"/>
      <c r="S275" s="68">
        <f t="shared" si="377"/>
        <v>5000</v>
      </c>
      <c r="T275" s="63">
        <v>5000</v>
      </c>
      <c r="U275" s="63"/>
      <c r="V275" s="63"/>
      <c r="W275" s="63"/>
      <c r="X275" s="63"/>
      <c r="Y275" s="63"/>
      <c r="Z275" s="63"/>
      <c r="AA275" s="63">
        <f t="shared" si="367"/>
        <v>0</v>
      </c>
      <c r="AB275" s="63">
        <f t="shared" si="367"/>
        <v>0</v>
      </c>
      <c r="AC275" s="63">
        <f t="shared" si="368"/>
        <v>5000</v>
      </c>
      <c r="AD275" s="63">
        <f t="shared" si="368"/>
        <v>5000</v>
      </c>
      <c r="AE275" s="63">
        <f t="shared" si="346"/>
        <v>5000</v>
      </c>
      <c r="AF275" s="63">
        <f t="shared" si="369"/>
        <v>5000</v>
      </c>
      <c r="AG275" s="63"/>
      <c r="AH275" s="63"/>
      <c r="AI275" s="69"/>
      <c r="AJ275" s="19">
        <f t="shared" si="278"/>
        <v>0</v>
      </c>
      <c r="AK275" s="22">
        <f t="shared" si="348"/>
        <v>0</v>
      </c>
      <c r="AL275" s="22"/>
      <c r="AM275" s="12">
        <f t="shared" si="371"/>
        <v>1</v>
      </c>
      <c r="AO275" s="12">
        <f t="shared" si="372"/>
        <v>0</v>
      </c>
      <c r="AP275" s="12">
        <f t="shared" si="356"/>
        <v>0</v>
      </c>
      <c r="AQ275" s="12">
        <f t="shared" si="373"/>
        <v>0</v>
      </c>
      <c r="AR275" s="12">
        <f t="shared" si="363"/>
        <v>0</v>
      </c>
      <c r="AS275" s="12">
        <f t="shared" si="374"/>
        <v>0</v>
      </c>
      <c r="AT275" s="12">
        <f t="shared" si="296"/>
        <v>0</v>
      </c>
      <c r="AU275" s="12">
        <f t="shared" si="375"/>
        <v>0</v>
      </c>
      <c r="AV275" s="12">
        <f t="shared" si="358"/>
        <v>0</v>
      </c>
    </row>
    <row r="276" spans="1:48" ht="33" hidden="1" x14ac:dyDescent="0.25">
      <c r="A276" s="60">
        <v>33</v>
      </c>
      <c r="B276" s="9" t="s">
        <v>653</v>
      </c>
      <c r="C276" s="61" t="s">
        <v>112</v>
      </c>
      <c r="D276" s="61"/>
      <c r="E276" s="61" t="s">
        <v>168</v>
      </c>
      <c r="F276" s="61"/>
      <c r="G276" s="62">
        <v>6500</v>
      </c>
      <c r="H276" s="80">
        <v>5000</v>
      </c>
      <c r="I276" s="63"/>
      <c r="J276" s="63"/>
      <c r="K276" s="63"/>
      <c r="L276" s="63"/>
      <c r="M276" s="68">
        <f t="shared" si="340"/>
        <v>5000</v>
      </c>
      <c r="N276" s="63">
        <v>5000</v>
      </c>
      <c r="O276" s="68">
        <f t="shared" si="376"/>
        <v>5000</v>
      </c>
      <c r="P276" s="63">
        <v>5000</v>
      </c>
      <c r="Q276" s="54"/>
      <c r="R276" s="54"/>
      <c r="S276" s="68">
        <f t="shared" si="377"/>
        <v>5000</v>
      </c>
      <c r="T276" s="63">
        <v>5000</v>
      </c>
      <c r="U276" s="63"/>
      <c r="V276" s="63"/>
      <c r="W276" s="63"/>
      <c r="X276" s="63"/>
      <c r="Y276" s="63"/>
      <c r="Z276" s="63"/>
      <c r="AA276" s="63">
        <f t="shared" si="367"/>
        <v>0</v>
      </c>
      <c r="AB276" s="63">
        <f t="shared" si="367"/>
        <v>0</v>
      </c>
      <c r="AC276" s="63">
        <f t="shared" si="368"/>
        <v>5000</v>
      </c>
      <c r="AD276" s="63">
        <f t="shared" si="368"/>
        <v>5000</v>
      </c>
      <c r="AE276" s="63">
        <f t="shared" si="346"/>
        <v>5000</v>
      </c>
      <c r="AF276" s="63">
        <f t="shared" si="369"/>
        <v>5000</v>
      </c>
      <c r="AG276" s="63"/>
      <c r="AH276" s="63"/>
      <c r="AI276" s="69"/>
      <c r="AJ276" s="19">
        <f t="shared" ref="AJ276:AJ339" si="378">IF(P276-T276=0,0,1)</f>
        <v>0</v>
      </c>
      <c r="AK276" s="22">
        <f t="shared" si="348"/>
        <v>0</v>
      </c>
      <c r="AL276" s="22"/>
      <c r="AM276" s="12">
        <f t="shared" si="371"/>
        <v>1</v>
      </c>
      <c r="AO276" s="12">
        <f t="shared" si="372"/>
        <v>0</v>
      </c>
      <c r="AP276" s="12">
        <f t="shared" si="356"/>
        <v>0</v>
      </c>
      <c r="AQ276" s="12">
        <f t="shared" si="373"/>
        <v>0</v>
      </c>
      <c r="AR276" s="12">
        <f t="shared" si="363"/>
        <v>0</v>
      </c>
      <c r="AS276" s="12">
        <f t="shared" si="374"/>
        <v>0</v>
      </c>
      <c r="AT276" s="12">
        <f t="shared" si="296"/>
        <v>0</v>
      </c>
      <c r="AU276" s="12">
        <f t="shared" si="375"/>
        <v>0</v>
      </c>
      <c r="AV276" s="12">
        <f t="shared" si="358"/>
        <v>0</v>
      </c>
    </row>
    <row r="277" spans="1:48" ht="39.75" hidden="1" customHeight="1" x14ac:dyDescent="0.25">
      <c r="A277" s="60">
        <v>34</v>
      </c>
      <c r="B277" s="9" t="s">
        <v>654</v>
      </c>
      <c r="C277" s="61" t="s">
        <v>205</v>
      </c>
      <c r="D277" s="61"/>
      <c r="E277" s="61" t="s">
        <v>168</v>
      </c>
      <c r="F277" s="61"/>
      <c r="G277" s="62">
        <v>10000</v>
      </c>
      <c r="H277" s="80">
        <v>5000</v>
      </c>
      <c r="I277" s="63"/>
      <c r="J277" s="63"/>
      <c r="K277" s="63"/>
      <c r="L277" s="63"/>
      <c r="M277" s="68">
        <f t="shared" si="340"/>
        <v>5000</v>
      </c>
      <c r="N277" s="63">
        <v>5000</v>
      </c>
      <c r="O277" s="68">
        <f t="shared" si="376"/>
        <v>5000</v>
      </c>
      <c r="P277" s="63">
        <v>5000</v>
      </c>
      <c r="Q277" s="54"/>
      <c r="R277" s="54"/>
      <c r="S277" s="68">
        <f t="shared" si="377"/>
        <v>5000</v>
      </c>
      <c r="T277" s="63">
        <v>5000</v>
      </c>
      <c r="U277" s="63"/>
      <c r="V277" s="63"/>
      <c r="W277" s="63"/>
      <c r="X277" s="63"/>
      <c r="Y277" s="63"/>
      <c r="Z277" s="63"/>
      <c r="AA277" s="63">
        <f t="shared" si="367"/>
        <v>0</v>
      </c>
      <c r="AB277" s="63">
        <f t="shared" si="367"/>
        <v>0</v>
      </c>
      <c r="AC277" s="63">
        <f t="shared" si="368"/>
        <v>5000</v>
      </c>
      <c r="AD277" s="63">
        <f t="shared" si="368"/>
        <v>5000</v>
      </c>
      <c r="AE277" s="63">
        <f t="shared" si="346"/>
        <v>5000</v>
      </c>
      <c r="AF277" s="63">
        <f t="shared" si="369"/>
        <v>5000</v>
      </c>
      <c r="AG277" s="63"/>
      <c r="AH277" s="63"/>
      <c r="AI277" s="69"/>
      <c r="AJ277" s="19">
        <f t="shared" si="378"/>
        <v>0</v>
      </c>
      <c r="AK277" s="22">
        <f t="shared" si="348"/>
        <v>0</v>
      </c>
      <c r="AL277" s="22"/>
      <c r="AM277" s="12">
        <f t="shared" si="371"/>
        <v>1</v>
      </c>
      <c r="AO277" s="12">
        <f t="shared" si="372"/>
        <v>0</v>
      </c>
      <c r="AP277" s="12">
        <f t="shared" si="356"/>
        <v>0</v>
      </c>
      <c r="AQ277" s="12">
        <f t="shared" si="373"/>
        <v>0</v>
      </c>
      <c r="AR277" s="12">
        <f t="shared" si="363"/>
        <v>0</v>
      </c>
      <c r="AS277" s="12">
        <f t="shared" si="374"/>
        <v>0</v>
      </c>
      <c r="AT277" s="12">
        <f t="shared" si="296"/>
        <v>0</v>
      </c>
      <c r="AU277" s="12">
        <f t="shared" si="375"/>
        <v>0</v>
      </c>
      <c r="AV277" s="12">
        <f t="shared" si="358"/>
        <v>0</v>
      </c>
    </row>
    <row r="278" spans="1:48" ht="33" hidden="1" x14ac:dyDescent="0.25">
      <c r="A278" s="60">
        <v>35</v>
      </c>
      <c r="B278" s="9" t="s">
        <v>655</v>
      </c>
      <c r="C278" s="61" t="s">
        <v>95</v>
      </c>
      <c r="D278" s="61"/>
      <c r="E278" s="61" t="s">
        <v>168</v>
      </c>
      <c r="F278" s="61"/>
      <c r="G278" s="62">
        <v>10000</v>
      </c>
      <c r="H278" s="80">
        <v>5000</v>
      </c>
      <c r="I278" s="63"/>
      <c r="J278" s="63"/>
      <c r="K278" s="63"/>
      <c r="L278" s="63"/>
      <c r="M278" s="68">
        <f t="shared" si="340"/>
        <v>5000</v>
      </c>
      <c r="N278" s="63">
        <v>5000</v>
      </c>
      <c r="O278" s="68">
        <f t="shared" si="376"/>
        <v>5000</v>
      </c>
      <c r="P278" s="63">
        <v>5000</v>
      </c>
      <c r="Q278" s="54"/>
      <c r="R278" s="54"/>
      <c r="S278" s="68">
        <f t="shared" si="377"/>
        <v>5000</v>
      </c>
      <c r="T278" s="63">
        <v>5000</v>
      </c>
      <c r="U278" s="63"/>
      <c r="V278" s="63"/>
      <c r="W278" s="63"/>
      <c r="X278" s="63"/>
      <c r="Y278" s="63"/>
      <c r="Z278" s="63"/>
      <c r="AA278" s="63">
        <f t="shared" si="367"/>
        <v>0</v>
      </c>
      <c r="AB278" s="63">
        <f t="shared" si="367"/>
        <v>0</v>
      </c>
      <c r="AC278" s="63">
        <f t="shared" si="368"/>
        <v>5000</v>
      </c>
      <c r="AD278" s="63">
        <f t="shared" si="368"/>
        <v>5000</v>
      </c>
      <c r="AE278" s="63">
        <f t="shared" si="346"/>
        <v>5000</v>
      </c>
      <c r="AF278" s="63">
        <f t="shared" si="369"/>
        <v>5000</v>
      </c>
      <c r="AG278" s="63"/>
      <c r="AH278" s="63"/>
      <c r="AI278" s="69"/>
      <c r="AJ278" s="19">
        <f t="shared" si="378"/>
        <v>0</v>
      </c>
      <c r="AK278" s="22">
        <f t="shared" si="348"/>
        <v>0</v>
      </c>
      <c r="AL278" s="22"/>
      <c r="AM278" s="12">
        <f t="shared" si="371"/>
        <v>1</v>
      </c>
      <c r="AO278" s="12">
        <f t="shared" si="372"/>
        <v>0</v>
      </c>
      <c r="AP278" s="12">
        <f t="shared" si="356"/>
        <v>0</v>
      </c>
      <c r="AQ278" s="12">
        <f t="shared" si="373"/>
        <v>0</v>
      </c>
      <c r="AR278" s="12">
        <f t="shared" si="363"/>
        <v>0</v>
      </c>
      <c r="AS278" s="12">
        <f t="shared" si="374"/>
        <v>0</v>
      </c>
      <c r="AT278" s="12">
        <f t="shared" si="296"/>
        <v>0</v>
      </c>
      <c r="AU278" s="12">
        <f t="shared" si="375"/>
        <v>0</v>
      </c>
      <c r="AV278" s="12">
        <f t="shared" si="358"/>
        <v>0</v>
      </c>
    </row>
    <row r="279" spans="1:48" ht="33" hidden="1" x14ac:dyDescent="0.25">
      <c r="A279" s="60">
        <v>36</v>
      </c>
      <c r="B279" s="9" t="s">
        <v>656</v>
      </c>
      <c r="C279" s="61" t="s">
        <v>146</v>
      </c>
      <c r="D279" s="61"/>
      <c r="E279" s="61" t="s">
        <v>168</v>
      </c>
      <c r="F279" s="61"/>
      <c r="G279" s="62">
        <v>10000</v>
      </c>
      <c r="H279" s="80">
        <v>5000</v>
      </c>
      <c r="I279" s="63"/>
      <c r="J279" s="63"/>
      <c r="K279" s="63"/>
      <c r="L279" s="63"/>
      <c r="M279" s="68">
        <f t="shared" si="340"/>
        <v>5000</v>
      </c>
      <c r="N279" s="63">
        <v>5000</v>
      </c>
      <c r="O279" s="68">
        <f t="shared" si="376"/>
        <v>5000</v>
      </c>
      <c r="P279" s="63">
        <v>5000</v>
      </c>
      <c r="Q279" s="54"/>
      <c r="R279" s="54"/>
      <c r="S279" s="68">
        <f t="shared" si="377"/>
        <v>5000</v>
      </c>
      <c r="T279" s="63">
        <v>5000</v>
      </c>
      <c r="U279" s="63"/>
      <c r="V279" s="63"/>
      <c r="W279" s="63"/>
      <c r="X279" s="63"/>
      <c r="Y279" s="63"/>
      <c r="Z279" s="63"/>
      <c r="AA279" s="63">
        <f t="shared" si="367"/>
        <v>0</v>
      </c>
      <c r="AB279" s="63">
        <f t="shared" si="367"/>
        <v>0</v>
      </c>
      <c r="AC279" s="63">
        <f t="shared" si="368"/>
        <v>5000</v>
      </c>
      <c r="AD279" s="63">
        <f t="shared" si="368"/>
        <v>5000</v>
      </c>
      <c r="AE279" s="63">
        <f t="shared" si="346"/>
        <v>5000</v>
      </c>
      <c r="AF279" s="63">
        <f t="shared" si="369"/>
        <v>5000</v>
      </c>
      <c r="AG279" s="63"/>
      <c r="AH279" s="63"/>
      <c r="AI279" s="69"/>
      <c r="AJ279" s="19">
        <f t="shared" si="378"/>
        <v>0</v>
      </c>
      <c r="AK279" s="22">
        <f t="shared" si="348"/>
        <v>0</v>
      </c>
      <c r="AL279" s="22"/>
      <c r="AM279" s="12">
        <f t="shared" si="371"/>
        <v>1</v>
      </c>
      <c r="AO279" s="12">
        <f t="shared" si="372"/>
        <v>0</v>
      </c>
      <c r="AP279" s="12">
        <f t="shared" si="356"/>
        <v>0</v>
      </c>
      <c r="AQ279" s="12">
        <f t="shared" si="373"/>
        <v>0</v>
      </c>
      <c r="AR279" s="12">
        <f t="shared" si="363"/>
        <v>0</v>
      </c>
      <c r="AS279" s="12">
        <f t="shared" si="374"/>
        <v>0</v>
      </c>
      <c r="AT279" s="12">
        <f t="shared" si="296"/>
        <v>0</v>
      </c>
      <c r="AU279" s="12">
        <f t="shared" si="375"/>
        <v>0</v>
      </c>
      <c r="AV279" s="12">
        <f t="shared" si="358"/>
        <v>0</v>
      </c>
    </row>
    <row r="280" spans="1:48" ht="23.25" hidden="1" customHeight="1" x14ac:dyDescent="0.25">
      <c r="A280" s="60">
        <v>37</v>
      </c>
      <c r="B280" s="9" t="s">
        <v>657</v>
      </c>
      <c r="C280" s="61" t="s">
        <v>416</v>
      </c>
      <c r="D280" s="61"/>
      <c r="E280" s="61" t="s">
        <v>168</v>
      </c>
      <c r="F280" s="61"/>
      <c r="G280" s="62">
        <v>10000</v>
      </c>
      <c r="H280" s="80">
        <v>5000</v>
      </c>
      <c r="I280" s="63"/>
      <c r="J280" s="63"/>
      <c r="K280" s="63"/>
      <c r="L280" s="63"/>
      <c r="M280" s="68">
        <f t="shared" si="340"/>
        <v>5000</v>
      </c>
      <c r="N280" s="63">
        <v>5000</v>
      </c>
      <c r="O280" s="68">
        <f t="shared" si="376"/>
        <v>5000</v>
      </c>
      <c r="P280" s="63">
        <v>5000</v>
      </c>
      <c r="Q280" s="54"/>
      <c r="R280" s="54"/>
      <c r="S280" s="68">
        <f t="shared" si="377"/>
        <v>5000</v>
      </c>
      <c r="T280" s="63">
        <v>5000</v>
      </c>
      <c r="U280" s="122"/>
      <c r="V280" s="122"/>
      <c r="W280" s="63"/>
      <c r="X280" s="63"/>
      <c r="Y280" s="63"/>
      <c r="Z280" s="63"/>
      <c r="AA280" s="63">
        <f t="shared" si="367"/>
        <v>0</v>
      </c>
      <c r="AB280" s="63">
        <f t="shared" si="367"/>
        <v>0</v>
      </c>
      <c r="AC280" s="63">
        <f t="shared" si="368"/>
        <v>5000</v>
      </c>
      <c r="AD280" s="63">
        <f t="shared" si="368"/>
        <v>5000</v>
      </c>
      <c r="AE280" s="63">
        <f t="shared" si="346"/>
        <v>5000</v>
      </c>
      <c r="AF280" s="63">
        <f t="shared" si="369"/>
        <v>5000</v>
      </c>
      <c r="AG280" s="63"/>
      <c r="AH280" s="63"/>
      <c r="AI280" s="69"/>
      <c r="AJ280" s="19">
        <f t="shared" si="378"/>
        <v>0</v>
      </c>
      <c r="AK280" s="22">
        <f t="shared" si="348"/>
        <v>0</v>
      </c>
      <c r="AL280" s="22"/>
      <c r="AM280" s="12">
        <f t="shared" si="371"/>
        <v>1</v>
      </c>
      <c r="AO280" s="12">
        <f t="shared" si="372"/>
        <v>0</v>
      </c>
      <c r="AP280" s="12">
        <f t="shared" si="356"/>
        <v>0</v>
      </c>
      <c r="AQ280" s="12">
        <f t="shared" si="373"/>
        <v>0</v>
      </c>
      <c r="AR280" s="12">
        <f t="shared" si="363"/>
        <v>0</v>
      </c>
      <c r="AS280" s="12">
        <f t="shared" si="374"/>
        <v>0</v>
      </c>
      <c r="AT280" s="12">
        <f t="shared" si="296"/>
        <v>0</v>
      </c>
      <c r="AU280" s="12">
        <f t="shared" si="375"/>
        <v>0</v>
      </c>
      <c r="AV280" s="12">
        <f t="shared" si="358"/>
        <v>0</v>
      </c>
    </row>
    <row r="281" spans="1:48" s="34" customFormat="1" ht="28.5" customHeight="1" x14ac:dyDescent="0.25">
      <c r="A281" s="28" t="s">
        <v>658</v>
      </c>
      <c r="B281" s="29" t="s">
        <v>659</v>
      </c>
      <c r="C281" s="30"/>
      <c r="D281" s="30"/>
      <c r="E281" s="30"/>
      <c r="F281" s="30"/>
      <c r="G281" s="31">
        <f>G282+G290</f>
        <v>645998</v>
      </c>
      <c r="H281" s="31">
        <f t="shared" ref="H281:U281" si="379">H282+H290</f>
        <v>277878</v>
      </c>
      <c r="I281" s="31">
        <f t="shared" si="379"/>
        <v>20500</v>
      </c>
      <c r="J281" s="31">
        <f t="shared" si="379"/>
        <v>20500</v>
      </c>
      <c r="K281" s="31">
        <f t="shared" si="379"/>
        <v>20500</v>
      </c>
      <c r="L281" s="31">
        <f t="shared" si="379"/>
        <v>20500</v>
      </c>
      <c r="M281" s="31">
        <f t="shared" si="379"/>
        <v>121400</v>
      </c>
      <c r="N281" s="31">
        <f t="shared" si="379"/>
        <v>93800</v>
      </c>
      <c r="O281" s="31">
        <f t="shared" si="379"/>
        <v>291400</v>
      </c>
      <c r="P281" s="31">
        <f t="shared" si="379"/>
        <v>106600</v>
      </c>
      <c r="Q281" s="31">
        <f t="shared" si="379"/>
        <v>29500</v>
      </c>
      <c r="R281" s="31">
        <f t="shared" si="379"/>
        <v>10040</v>
      </c>
      <c r="S281" s="31">
        <f t="shared" si="379"/>
        <v>294760</v>
      </c>
      <c r="T281" s="31">
        <f t="shared" si="379"/>
        <v>126060</v>
      </c>
      <c r="U281" s="31">
        <f t="shared" si="379"/>
        <v>67025</v>
      </c>
      <c r="V281" s="31">
        <f>V282+V290</f>
        <v>67025</v>
      </c>
      <c r="W281" s="31">
        <f t="shared" ref="W281:AA281" si="380">W282+W290</f>
        <v>21000</v>
      </c>
      <c r="X281" s="31">
        <f>X282+X290</f>
        <v>21000</v>
      </c>
      <c r="Y281" s="31">
        <f t="shared" ref="Y281" si="381">Y282+Y290</f>
        <v>41295</v>
      </c>
      <c r="Z281" s="31">
        <f>Z282+Z290</f>
        <v>41295</v>
      </c>
      <c r="AA281" s="31">
        <f t="shared" si="380"/>
        <v>179570</v>
      </c>
      <c r="AB281" s="31">
        <f>AB282+AB290</f>
        <v>179570</v>
      </c>
      <c r="AC281" s="31">
        <f t="shared" ref="AC281:AG281" si="382">AC282+AC290</f>
        <v>351525</v>
      </c>
      <c r="AD281" s="31">
        <f>AD282+AD290</f>
        <v>70490</v>
      </c>
      <c r="AE281" s="31">
        <f t="shared" ref="AE281" si="383">AE282+AE290</f>
        <v>32200</v>
      </c>
      <c r="AF281" s="31">
        <f>AF282+AF290</f>
        <v>32200</v>
      </c>
      <c r="AG281" s="31">
        <f t="shared" si="382"/>
        <v>251669</v>
      </c>
      <c r="AH281" s="31">
        <f>AH282+AH290</f>
        <v>155822.30000000002</v>
      </c>
      <c r="AI281" s="32"/>
      <c r="AJ281" s="19">
        <f t="shared" si="378"/>
        <v>1</v>
      </c>
      <c r="AK281" s="22"/>
      <c r="AL281" s="22"/>
      <c r="AM281" s="12"/>
      <c r="AN281" s="12"/>
      <c r="AO281" s="12"/>
      <c r="AP281" s="12">
        <f t="shared" si="356"/>
        <v>0</v>
      </c>
      <c r="AQ281" s="12"/>
      <c r="AR281" s="12">
        <f t="shared" si="363"/>
        <v>0</v>
      </c>
      <c r="AS281" s="12"/>
      <c r="AT281" s="12">
        <f t="shared" si="296"/>
        <v>0</v>
      </c>
      <c r="AU281" s="12"/>
      <c r="AV281" s="12">
        <f t="shared" si="358"/>
        <v>0</v>
      </c>
    </row>
    <row r="282" spans="1:48" s="42" customFormat="1" ht="51.75" x14ac:dyDescent="0.25">
      <c r="A282" s="35" t="s">
        <v>45</v>
      </c>
      <c r="B282" s="36" t="s">
        <v>46</v>
      </c>
      <c r="C282" s="37"/>
      <c r="D282" s="37"/>
      <c r="E282" s="37"/>
      <c r="F282" s="37"/>
      <c r="G282" s="38">
        <f>G283</f>
        <v>143243</v>
      </c>
      <c r="H282" s="38">
        <f t="shared" ref="H282:AH282" si="384">H283</f>
        <v>70286</v>
      </c>
      <c r="I282" s="38">
        <f t="shared" si="384"/>
        <v>20500</v>
      </c>
      <c r="J282" s="38">
        <f t="shared" si="384"/>
        <v>20500</v>
      </c>
      <c r="K282" s="38">
        <f t="shared" si="384"/>
        <v>20500</v>
      </c>
      <c r="L282" s="38">
        <f t="shared" si="384"/>
        <v>20500</v>
      </c>
      <c r="M282" s="38">
        <f t="shared" si="384"/>
        <v>92100</v>
      </c>
      <c r="N282" s="38">
        <f t="shared" si="384"/>
        <v>77100</v>
      </c>
      <c r="O282" s="38">
        <f t="shared" si="384"/>
        <v>92100</v>
      </c>
      <c r="P282" s="38">
        <f t="shared" si="384"/>
        <v>77100</v>
      </c>
      <c r="Q282" s="38">
        <f t="shared" si="384"/>
        <v>26000</v>
      </c>
      <c r="R282" s="38">
        <f t="shared" si="384"/>
        <v>5330</v>
      </c>
      <c r="S282" s="38">
        <f t="shared" si="384"/>
        <v>112770</v>
      </c>
      <c r="T282" s="38">
        <f t="shared" si="384"/>
        <v>97770</v>
      </c>
      <c r="U282" s="38">
        <f t="shared" si="384"/>
        <v>45255</v>
      </c>
      <c r="V282" s="38">
        <f t="shared" si="384"/>
        <v>45255</v>
      </c>
      <c r="W282" s="38">
        <f t="shared" si="384"/>
        <v>20000</v>
      </c>
      <c r="X282" s="38">
        <f t="shared" si="384"/>
        <v>20000</v>
      </c>
      <c r="Y282" s="38">
        <f t="shared" si="384"/>
        <v>5245</v>
      </c>
      <c r="Z282" s="38">
        <f t="shared" si="384"/>
        <v>5245</v>
      </c>
      <c r="AA282" s="38">
        <f t="shared" si="384"/>
        <v>75500</v>
      </c>
      <c r="AB282" s="38">
        <f t="shared" si="384"/>
        <v>75500</v>
      </c>
      <c r="AC282" s="38">
        <f t="shared" si="384"/>
        <v>22350</v>
      </c>
      <c r="AD282" s="38">
        <f t="shared" si="384"/>
        <v>7350</v>
      </c>
      <c r="AE282" s="38">
        <f t="shared" si="384"/>
        <v>0</v>
      </c>
      <c r="AF282" s="38">
        <f t="shared" si="384"/>
        <v>0</v>
      </c>
      <c r="AG282" s="38">
        <f t="shared" si="384"/>
        <v>0</v>
      </c>
      <c r="AH282" s="38">
        <f t="shared" si="384"/>
        <v>0</v>
      </c>
      <c r="AI282" s="40"/>
      <c r="AJ282" s="19">
        <f t="shared" si="378"/>
        <v>1</v>
      </c>
      <c r="AK282" s="22"/>
      <c r="AL282" s="22"/>
      <c r="AM282" s="12"/>
      <c r="AN282" s="12"/>
      <c r="AO282" s="12"/>
      <c r="AP282" s="12">
        <f t="shared" si="356"/>
        <v>0</v>
      </c>
      <c r="AQ282" s="12"/>
      <c r="AR282" s="12">
        <f t="shared" si="363"/>
        <v>0</v>
      </c>
      <c r="AS282" s="12"/>
      <c r="AT282" s="12">
        <f t="shared" si="296"/>
        <v>0</v>
      </c>
      <c r="AU282" s="12"/>
      <c r="AV282" s="12">
        <f t="shared" si="358"/>
        <v>0</v>
      </c>
    </row>
    <row r="283" spans="1:48" s="49" customFormat="1" ht="34.5" x14ac:dyDescent="0.25">
      <c r="A283" s="43" t="s">
        <v>47</v>
      </c>
      <c r="B283" s="44" t="s">
        <v>48</v>
      </c>
      <c r="C283" s="45"/>
      <c r="D283" s="45"/>
      <c r="E283" s="45"/>
      <c r="F283" s="45"/>
      <c r="G283" s="46">
        <f t="shared" ref="G283:H283" si="385">G286+G288+G289</f>
        <v>143243</v>
      </c>
      <c r="H283" s="46">
        <f t="shared" si="385"/>
        <v>70286</v>
      </c>
      <c r="I283" s="46">
        <f t="shared" ref="I283:S283" si="386">I286+I288+I289</f>
        <v>20500</v>
      </c>
      <c r="J283" s="46">
        <f t="shared" si="386"/>
        <v>20500</v>
      </c>
      <c r="K283" s="46">
        <f t="shared" si="386"/>
        <v>20500</v>
      </c>
      <c r="L283" s="46">
        <f t="shared" si="386"/>
        <v>20500</v>
      </c>
      <c r="M283" s="46">
        <f t="shared" si="386"/>
        <v>92100</v>
      </c>
      <c r="N283" s="46">
        <f t="shared" si="386"/>
        <v>77100</v>
      </c>
      <c r="O283" s="46">
        <f t="shared" si="386"/>
        <v>92100</v>
      </c>
      <c r="P283" s="46">
        <f t="shared" si="386"/>
        <v>77100</v>
      </c>
      <c r="Q283" s="46">
        <f t="shared" si="386"/>
        <v>26000</v>
      </c>
      <c r="R283" s="46">
        <f t="shared" si="386"/>
        <v>5330</v>
      </c>
      <c r="S283" s="46">
        <f t="shared" si="386"/>
        <v>112770</v>
      </c>
      <c r="T283" s="46">
        <f t="shared" ref="T283:X283" si="387">T286+T288+T289</f>
        <v>97770</v>
      </c>
      <c r="U283" s="46">
        <f t="shared" si="387"/>
        <v>45255</v>
      </c>
      <c r="V283" s="46">
        <f t="shared" si="387"/>
        <v>45255</v>
      </c>
      <c r="W283" s="46">
        <f t="shared" si="387"/>
        <v>20000</v>
      </c>
      <c r="X283" s="46">
        <f t="shared" si="387"/>
        <v>20000</v>
      </c>
      <c r="Y283" s="46">
        <f t="shared" ref="Y283:AH283" si="388">SUM(Y286:Y289)</f>
        <v>5245</v>
      </c>
      <c r="Z283" s="46">
        <f t="shared" si="388"/>
        <v>5245</v>
      </c>
      <c r="AA283" s="46">
        <f t="shared" si="388"/>
        <v>75500</v>
      </c>
      <c r="AB283" s="46">
        <f t="shared" si="388"/>
        <v>75500</v>
      </c>
      <c r="AC283" s="46">
        <f t="shared" si="388"/>
        <v>22350</v>
      </c>
      <c r="AD283" s="46">
        <f t="shared" si="388"/>
        <v>7350</v>
      </c>
      <c r="AE283" s="46">
        <f t="shared" si="388"/>
        <v>0</v>
      </c>
      <c r="AF283" s="46">
        <f t="shared" si="388"/>
        <v>0</v>
      </c>
      <c r="AG283" s="46">
        <f t="shared" si="388"/>
        <v>0</v>
      </c>
      <c r="AH283" s="46">
        <f t="shared" si="388"/>
        <v>0</v>
      </c>
      <c r="AI283" s="47"/>
      <c r="AJ283" s="19">
        <f t="shared" si="378"/>
        <v>1</v>
      </c>
      <c r="AK283" s="22"/>
      <c r="AL283" s="22"/>
      <c r="AM283" s="12"/>
      <c r="AN283" s="12"/>
      <c r="AO283" s="12"/>
      <c r="AP283" s="12">
        <f t="shared" si="356"/>
        <v>0</v>
      </c>
      <c r="AQ283" s="12"/>
      <c r="AR283" s="12">
        <f t="shared" si="363"/>
        <v>0</v>
      </c>
      <c r="AS283" s="12"/>
      <c r="AT283" s="12">
        <f t="shared" si="296"/>
        <v>0</v>
      </c>
      <c r="AU283" s="12"/>
      <c r="AV283" s="12">
        <f t="shared" si="358"/>
        <v>0</v>
      </c>
    </row>
    <row r="284" spans="1:48" ht="17.25" hidden="1" x14ac:dyDescent="0.25">
      <c r="A284" s="50"/>
      <c r="B284" s="51" t="s">
        <v>49</v>
      </c>
      <c r="C284" s="52"/>
      <c r="D284" s="52"/>
      <c r="E284" s="52"/>
      <c r="F284" s="52"/>
      <c r="G284" s="53"/>
      <c r="H284" s="53"/>
      <c r="I284" s="53"/>
      <c r="J284" s="53"/>
      <c r="K284" s="53"/>
      <c r="L284" s="53"/>
      <c r="M284" s="53"/>
      <c r="N284" s="53"/>
      <c r="O284" s="53"/>
      <c r="P284" s="53"/>
      <c r="Q284" s="54"/>
      <c r="R284" s="54"/>
      <c r="S284" s="53"/>
      <c r="T284" s="53"/>
      <c r="U284" s="122"/>
      <c r="V284" s="122"/>
      <c r="W284" s="63"/>
      <c r="X284" s="63"/>
      <c r="Y284" s="63"/>
      <c r="Z284" s="63"/>
      <c r="AA284" s="63"/>
      <c r="AB284" s="63"/>
      <c r="AC284" s="63"/>
      <c r="AD284" s="63"/>
      <c r="AE284" s="63"/>
      <c r="AF284" s="63"/>
      <c r="AG284" s="63"/>
      <c r="AH284" s="63"/>
      <c r="AI284" s="55"/>
      <c r="AJ284" s="19">
        <f t="shared" si="378"/>
        <v>0</v>
      </c>
      <c r="AK284" s="22"/>
      <c r="AL284" s="22"/>
      <c r="AP284" s="12">
        <f t="shared" si="356"/>
        <v>0</v>
      </c>
      <c r="AR284" s="12">
        <f t="shared" si="363"/>
        <v>0</v>
      </c>
      <c r="AT284" s="12">
        <f t="shared" si="296"/>
        <v>0</v>
      </c>
      <c r="AV284" s="12">
        <f t="shared" si="358"/>
        <v>0</v>
      </c>
    </row>
    <row r="285" spans="1:48" ht="69" hidden="1" x14ac:dyDescent="0.25">
      <c r="A285" s="50"/>
      <c r="B285" s="56" t="s">
        <v>50</v>
      </c>
      <c r="C285" s="57"/>
      <c r="D285" s="57"/>
      <c r="E285" s="57"/>
      <c r="F285" s="57"/>
      <c r="G285" s="58"/>
      <c r="H285" s="58"/>
      <c r="I285" s="58"/>
      <c r="J285" s="58"/>
      <c r="K285" s="58"/>
      <c r="L285" s="58"/>
      <c r="M285" s="58"/>
      <c r="N285" s="58"/>
      <c r="O285" s="58"/>
      <c r="P285" s="58"/>
      <c r="Q285" s="54"/>
      <c r="R285" s="54"/>
      <c r="S285" s="58"/>
      <c r="T285" s="58"/>
      <c r="U285" s="122"/>
      <c r="V285" s="122"/>
      <c r="W285" s="63"/>
      <c r="X285" s="63"/>
      <c r="Y285" s="63"/>
      <c r="Z285" s="63"/>
      <c r="AA285" s="63"/>
      <c r="AB285" s="63"/>
      <c r="AC285" s="63"/>
      <c r="AD285" s="63"/>
      <c r="AE285" s="63"/>
      <c r="AF285" s="63"/>
      <c r="AG285" s="63"/>
      <c r="AH285" s="63"/>
      <c r="AI285" s="59"/>
      <c r="AJ285" s="19">
        <f t="shared" si="378"/>
        <v>0</v>
      </c>
      <c r="AK285" s="22"/>
      <c r="AL285" s="22"/>
      <c r="AP285" s="12">
        <f t="shared" si="356"/>
        <v>0</v>
      </c>
      <c r="AR285" s="12">
        <f t="shared" si="363"/>
        <v>0</v>
      </c>
      <c r="AT285" s="12">
        <f t="shared" si="296"/>
        <v>0</v>
      </c>
      <c r="AV285" s="12">
        <f t="shared" si="358"/>
        <v>0</v>
      </c>
    </row>
    <row r="286" spans="1:48" ht="49.5" x14ac:dyDescent="0.25">
      <c r="A286" s="60">
        <v>1</v>
      </c>
      <c r="B286" s="123" t="s">
        <v>660</v>
      </c>
      <c r="C286" s="61" t="s">
        <v>336</v>
      </c>
      <c r="D286" s="61" t="s">
        <v>661</v>
      </c>
      <c r="E286" s="61" t="s">
        <v>338</v>
      </c>
      <c r="F286" s="61" t="s">
        <v>662</v>
      </c>
      <c r="G286" s="68">
        <v>112957</v>
      </c>
      <c r="H286" s="80">
        <v>40000</v>
      </c>
      <c r="I286" s="63">
        <f>J286</f>
        <v>10000</v>
      </c>
      <c r="J286" s="124">
        <v>10000</v>
      </c>
      <c r="K286" s="63">
        <f>L286</f>
        <v>10000</v>
      </c>
      <c r="L286" s="124">
        <v>10000</v>
      </c>
      <c r="M286" s="63">
        <v>29850</v>
      </c>
      <c r="N286" s="63">
        <f>M286</f>
        <v>29850</v>
      </c>
      <c r="O286" s="63">
        <v>29850</v>
      </c>
      <c r="P286" s="63">
        <f>O286</f>
        <v>29850</v>
      </c>
      <c r="Q286" s="54"/>
      <c r="R286" s="8">
        <f>P286-T286</f>
        <v>4800</v>
      </c>
      <c r="S286" s="149">
        <f>T286</f>
        <v>25050</v>
      </c>
      <c r="T286" s="149">
        <v>25050</v>
      </c>
      <c r="U286" s="63">
        <f>V286</f>
        <v>20038</v>
      </c>
      <c r="V286" s="63">
        <v>20038</v>
      </c>
      <c r="W286" s="63"/>
      <c r="X286" s="63"/>
      <c r="Y286" s="63"/>
      <c r="Z286" s="63"/>
      <c r="AA286" s="63">
        <f t="shared" ref="AA286:AB289" si="389">U286+W286+Y286</f>
        <v>20038</v>
      </c>
      <c r="AB286" s="63">
        <f t="shared" si="389"/>
        <v>20038</v>
      </c>
      <c r="AC286" s="63">
        <f t="shared" ref="AC286:AD289" si="390">O286-AA286</f>
        <v>9812</v>
      </c>
      <c r="AD286" s="63">
        <f t="shared" si="390"/>
        <v>9812</v>
      </c>
      <c r="AE286" s="63">
        <f t="shared" ref="AE286:AE289" si="391">AF286</f>
        <v>0</v>
      </c>
      <c r="AF286" s="63">
        <f t="shared" ref="AF286:AF289" si="392">IF(AB286=0,AD286,0)</f>
        <v>0</v>
      </c>
      <c r="AG286" s="63"/>
      <c r="AH286" s="63"/>
      <c r="AI286" s="25" t="s">
        <v>404</v>
      </c>
      <c r="AJ286" s="19">
        <f t="shared" si="378"/>
        <v>1</v>
      </c>
      <c r="AK286" s="22">
        <f t="shared" si="348"/>
        <v>1</v>
      </c>
      <c r="AL286" s="22"/>
      <c r="AM286" s="12">
        <f>IF(AJ286=0,1,0)</f>
        <v>0</v>
      </c>
      <c r="AO286" s="12">
        <f>IF(P286=0,1,0)</f>
        <v>0</v>
      </c>
      <c r="AP286" s="12">
        <f t="shared" si="356"/>
        <v>0</v>
      </c>
      <c r="AQ286" s="12">
        <f>IF(N286=0,1,0)</f>
        <v>0</v>
      </c>
      <c r="AR286" s="12">
        <f t="shared" si="363"/>
        <v>0</v>
      </c>
      <c r="AS286" s="12">
        <f>IF(Q286=0,0,1)</f>
        <v>0</v>
      </c>
      <c r="AT286" s="12">
        <f t="shared" si="296"/>
        <v>0</v>
      </c>
      <c r="AU286" s="12">
        <f>IF(R286=0,0,1)</f>
        <v>1</v>
      </c>
      <c r="AV286" s="12">
        <f t="shared" si="358"/>
        <v>4800</v>
      </c>
    </row>
    <row r="287" spans="1:48" ht="66" hidden="1" x14ac:dyDescent="0.25">
      <c r="A287" s="60">
        <v>2</v>
      </c>
      <c r="B287" s="91" t="s">
        <v>663</v>
      </c>
      <c r="C287" s="61" t="s">
        <v>664</v>
      </c>
      <c r="D287" s="61" t="s">
        <v>665</v>
      </c>
      <c r="E287" s="61" t="s">
        <v>72</v>
      </c>
      <c r="F287" s="61" t="s">
        <v>666</v>
      </c>
      <c r="G287" s="68">
        <v>14686</v>
      </c>
      <c r="H287" s="80">
        <f>G287</f>
        <v>14686</v>
      </c>
      <c r="I287" s="63">
        <f t="shared" ref="I287:K288" si="393">J287</f>
        <v>7500</v>
      </c>
      <c r="J287" s="68">
        <v>7500</v>
      </c>
      <c r="K287" s="63">
        <f t="shared" si="393"/>
        <v>7500</v>
      </c>
      <c r="L287" s="68">
        <v>7500</v>
      </c>
      <c r="M287" s="63">
        <v>5750</v>
      </c>
      <c r="N287" s="63">
        <f>M287</f>
        <v>5750</v>
      </c>
      <c r="O287" s="63">
        <v>5750</v>
      </c>
      <c r="P287" s="63">
        <f>O287</f>
        <v>5750</v>
      </c>
      <c r="Q287" s="54"/>
      <c r="R287" s="54"/>
      <c r="S287" s="63">
        <v>5750</v>
      </c>
      <c r="T287" s="63">
        <f>S287</f>
        <v>5750</v>
      </c>
      <c r="U287" s="63">
        <f t="shared" ref="U287:U289" si="394">V287</f>
        <v>5000</v>
      </c>
      <c r="V287" s="63">
        <v>5000</v>
      </c>
      <c r="W287" s="63"/>
      <c r="X287" s="63"/>
      <c r="Y287" s="63"/>
      <c r="Z287" s="63"/>
      <c r="AA287" s="63">
        <f t="shared" si="389"/>
        <v>5000</v>
      </c>
      <c r="AB287" s="63">
        <f t="shared" si="389"/>
        <v>5000</v>
      </c>
      <c r="AC287" s="63">
        <f t="shared" si="390"/>
        <v>750</v>
      </c>
      <c r="AD287" s="63">
        <f t="shared" si="390"/>
        <v>750</v>
      </c>
      <c r="AE287" s="63">
        <f t="shared" si="391"/>
        <v>0</v>
      </c>
      <c r="AF287" s="63">
        <f t="shared" si="392"/>
        <v>0</v>
      </c>
      <c r="AG287" s="63"/>
      <c r="AH287" s="63"/>
      <c r="AI287" s="69"/>
      <c r="AJ287" s="19">
        <f t="shared" si="378"/>
        <v>0</v>
      </c>
      <c r="AK287" s="22">
        <f t="shared" si="348"/>
        <v>0</v>
      </c>
      <c r="AL287" s="22"/>
      <c r="AM287" s="12">
        <f>IF(AJ287=0,1,0)</f>
        <v>1</v>
      </c>
      <c r="AO287" s="12">
        <f>IF(P287=0,1,0)</f>
        <v>0</v>
      </c>
      <c r="AP287" s="12">
        <f t="shared" si="356"/>
        <v>0</v>
      </c>
      <c r="AQ287" s="12">
        <f>IF(N287=0,1,0)</f>
        <v>0</v>
      </c>
      <c r="AR287" s="12">
        <f t="shared" si="363"/>
        <v>0</v>
      </c>
      <c r="AS287" s="12">
        <f>IF(Q287=0,0,1)</f>
        <v>0</v>
      </c>
      <c r="AT287" s="12">
        <f t="shared" ref="AT287:AT350" si="395">IF(AS287=1,Q287,0)</f>
        <v>0</v>
      </c>
      <c r="AU287" s="12">
        <f>IF(R287=0,0,1)</f>
        <v>0</v>
      </c>
      <c r="AV287" s="12">
        <f t="shared" si="358"/>
        <v>0</v>
      </c>
    </row>
    <row r="288" spans="1:48" ht="99" x14ac:dyDescent="0.25">
      <c r="A288" s="60">
        <v>3</v>
      </c>
      <c r="B288" s="67" t="s">
        <v>667</v>
      </c>
      <c r="C288" s="61" t="s">
        <v>336</v>
      </c>
      <c r="D288" s="61" t="s">
        <v>668</v>
      </c>
      <c r="E288" s="61" t="s">
        <v>183</v>
      </c>
      <c r="F288" s="61" t="s">
        <v>669</v>
      </c>
      <c r="G288" s="68">
        <v>30286</v>
      </c>
      <c r="H288" s="80">
        <f>G288</f>
        <v>30286</v>
      </c>
      <c r="I288" s="63">
        <f t="shared" si="393"/>
        <v>10500</v>
      </c>
      <c r="J288" s="124">
        <v>10500</v>
      </c>
      <c r="K288" s="63">
        <f t="shared" si="393"/>
        <v>10500</v>
      </c>
      <c r="L288" s="124">
        <v>10500</v>
      </c>
      <c r="M288" s="63">
        <v>12250</v>
      </c>
      <c r="N288" s="63">
        <f>M288</f>
        <v>12250</v>
      </c>
      <c r="O288" s="63">
        <v>12250</v>
      </c>
      <c r="P288" s="63">
        <f>O288</f>
        <v>12250</v>
      </c>
      <c r="Q288" s="54"/>
      <c r="R288" s="8">
        <f>P288-T288</f>
        <v>530</v>
      </c>
      <c r="S288" s="149">
        <f>T288</f>
        <v>11720</v>
      </c>
      <c r="T288" s="149">
        <v>11720</v>
      </c>
      <c r="U288" s="63">
        <f t="shared" si="394"/>
        <v>11700</v>
      </c>
      <c r="V288" s="63">
        <v>11700</v>
      </c>
      <c r="W288" s="63"/>
      <c r="X288" s="63"/>
      <c r="Y288" s="63"/>
      <c r="Z288" s="63"/>
      <c r="AA288" s="63">
        <f t="shared" si="389"/>
        <v>11700</v>
      </c>
      <c r="AB288" s="63">
        <f t="shared" si="389"/>
        <v>11700</v>
      </c>
      <c r="AC288" s="63">
        <f t="shared" si="390"/>
        <v>550</v>
      </c>
      <c r="AD288" s="63">
        <f t="shared" si="390"/>
        <v>550</v>
      </c>
      <c r="AE288" s="63">
        <f t="shared" si="391"/>
        <v>0</v>
      </c>
      <c r="AF288" s="63">
        <f t="shared" si="392"/>
        <v>0</v>
      </c>
      <c r="AG288" s="63"/>
      <c r="AH288" s="63"/>
      <c r="AI288" s="25" t="s">
        <v>404</v>
      </c>
      <c r="AJ288" s="19">
        <f t="shared" si="378"/>
        <v>1</v>
      </c>
      <c r="AK288" s="22">
        <f t="shared" si="348"/>
        <v>1</v>
      </c>
      <c r="AL288" s="22"/>
      <c r="AM288" s="12">
        <f>IF(AJ288=0,1,0)</f>
        <v>0</v>
      </c>
      <c r="AO288" s="12">
        <f>IF(P288=0,1,0)</f>
        <v>0</v>
      </c>
      <c r="AP288" s="12">
        <f t="shared" si="356"/>
        <v>0</v>
      </c>
      <c r="AQ288" s="12">
        <f>IF(N288=0,1,0)</f>
        <v>0</v>
      </c>
      <c r="AR288" s="12">
        <f t="shared" si="363"/>
        <v>0</v>
      </c>
      <c r="AS288" s="12">
        <f>IF(Q288=0,0,1)</f>
        <v>0</v>
      </c>
      <c r="AT288" s="12">
        <f t="shared" si="395"/>
        <v>0</v>
      </c>
      <c r="AU288" s="12">
        <f>IF(R288=0,0,1)</f>
        <v>1</v>
      </c>
      <c r="AV288" s="12">
        <f t="shared" si="358"/>
        <v>530</v>
      </c>
    </row>
    <row r="289" spans="1:48 16349:16382" ht="68.25" customHeight="1" x14ac:dyDescent="0.25">
      <c r="A289" s="60">
        <v>4</v>
      </c>
      <c r="B289" s="67" t="s">
        <v>670</v>
      </c>
      <c r="C289" s="61"/>
      <c r="D289" s="61"/>
      <c r="E289" s="70"/>
      <c r="F289" s="61"/>
      <c r="G289" s="74"/>
      <c r="H289" s="80"/>
      <c r="I289" s="63"/>
      <c r="J289" s="63"/>
      <c r="K289" s="63"/>
      <c r="L289" s="63"/>
      <c r="M289" s="63">
        <v>50000</v>
      </c>
      <c r="N289" s="63">
        <v>35000</v>
      </c>
      <c r="O289" s="63">
        <v>50000</v>
      </c>
      <c r="P289" s="63">
        <v>35000</v>
      </c>
      <c r="Q289" s="8">
        <f>T289-P289</f>
        <v>26000</v>
      </c>
      <c r="R289" s="8"/>
      <c r="S289" s="149">
        <f>T289+15000</f>
        <v>76000</v>
      </c>
      <c r="T289" s="149">
        <v>61000</v>
      </c>
      <c r="U289" s="63">
        <f t="shared" si="394"/>
        <v>13517</v>
      </c>
      <c r="V289" s="63">
        <v>13517</v>
      </c>
      <c r="W289" s="63">
        <f>X289</f>
        <v>20000</v>
      </c>
      <c r="X289" s="63">
        <v>20000</v>
      </c>
      <c r="Y289" s="63">
        <f>Z289</f>
        <v>5245</v>
      </c>
      <c r="Z289" s="63">
        <v>5245</v>
      </c>
      <c r="AA289" s="63">
        <f t="shared" si="389"/>
        <v>38762</v>
      </c>
      <c r="AB289" s="63">
        <f t="shared" si="389"/>
        <v>38762</v>
      </c>
      <c r="AC289" s="63">
        <f t="shared" si="390"/>
        <v>11238</v>
      </c>
      <c r="AD289" s="63">
        <f t="shared" si="390"/>
        <v>-3762</v>
      </c>
      <c r="AE289" s="63">
        <f t="shared" si="391"/>
        <v>0</v>
      </c>
      <c r="AF289" s="63">
        <f t="shared" si="392"/>
        <v>0</v>
      </c>
      <c r="AG289" s="63"/>
      <c r="AH289" s="63"/>
      <c r="AI289" s="25" t="s">
        <v>916</v>
      </c>
      <c r="AJ289" s="19">
        <f t="shared" si="378"/>
        <v>1</v>
      </c>
      <c r="AK289" s="22">
        <f t="shared" si="348"/>
        <v>1</v>
      </c>
      <c r="AL289" s="22"/>
      <c r="AM289" s="12">
        <f>IF(AJ289=0,1,0)</f>
        <v>0</v>
      </c>
      <c r="AO289" s="12">
        <f>IF(P289=0,1,0)</f>
        <v>0</v>
      </c>
      <c r="AP289" s="12">
        <f t="shared" si="356"/>
        <v>0</v>
      </c>
      <c r="AQ289" s="12">
        <f>IF(N289=0,1,0)</f>
        <v>0</v>
      </c>
      <c r="AR289" s="12">
        <f t="shared" si="363"/>
        <v>0</v>
      </c>
      <c r="AS289" s="12">
        <f>IF(Q289=0,0,1)</f>
        <v>1</v>
      </c>
      <c r="AT289" s="12">
        <f t="shared" si="395"/>
        <v>26000</v>
      </c>
      <c r="AU289" s="12">
        <f>IF(R289=0,0,1)</f>
        <v>0</v>
      </c>
      <c r="AV289" s="12">
        <f t="shared" si="358"/>
        <v>0</v>
      </c>
    </row>
    <row r="290" spans="1:48 16349:16382" s="42" customFormat="1" ht="34.5" x14ac:dyDescent="0.25">
      <c r="A290" s="35" t="s">
        <v>85</v>
      </c>
      <c r="B290" s="36" t="s">
        <v>86</v>
      </c>
      <c r="C290" s="37"/>
      <c r="D290" s="37"/>
      <c r="E290" s="37"/>
      <c r="F290" s="37"/>
      <c r="G290" s="38">
        <f t="shared" ref="G290:H290" si="396">G291+G313</f>
        <v>502755</v>
      </c>
      <c r="H290" s="38">
        <f t="shared" si="396"/>
        <v>207592</v>
      </c>
      <c r="I290" s="38">
        <f t="shared" ref="I290:L290" si="397">I291</f>
        <v>0</v>
      </c>
      <c r="J290" s="38">
        <f t="shared" si="397"/>
        <v>0</v>
      </c>
      <c r="K290" s="38">
        <f t="shared" si="397"/>
        <v>0</v>
      </c>
      <c r="L290" s="38">
        <f t="shared" si="397"/>
        <v>0</v>
      </c>
      <c r="M290" s="38">
        <f t="shared" ref="M290:S290" si="398">M291+M313</f>
        <v>29300</v>
      </c>
      <c r="N290" s="38">
        <f t="shared" si="398"/>
        <v>16700</v>
      </c>
      <c r="O290" s="38">
        <f t="shared" si="398"/>
        <v>199300</v>
      </c>
      <c r="P290" s="38">
        <f t="shared" si="398"/>
        <v>29500</v>
      </c>
      <c r="Q290" s="38">
        <f t="shared" si="398"/>
        <v>3500</v>
      </c>
      <c r="R290" s="38">
        <f t="shared" si="398"/>
        <v>4710</v>
      </c>
      <c r="S290" s="38">
        <f t="shared" si="398"/>
        <v>181990</v>
      </c>
      <c r="T290" s="38">
        <f>T291+T313</f>
        <v>28290</v>
      </c>
      <c r="U290" s="38">
        <f t="shared" ref="U290:X290" si="399">U291</f>
        <v>21770</v>
      </c>
      <c r="V290" s="38">
        <f t="shared" si="399"/>
        <v>21770</v>
      </c>
      <c r="W290" s="38">
        <f t="shared" si="399"/>
        <v>1000</v>
      </c>
      <c r="X290" s="38">
        <f t="shared" si="399"/>
        <v>1000</v>
      </c>
      <c r="Y290" s="42">
        <f t="shared" ref="Y290:AH290" si="400">Y291+Y313</f>
        <v>36050</v>
      </c>
      <c r="Z290" s="42">
        <f t="shared" si="400"/>
        <v>36050</v>
      </c>
      <c r="AA290" s="42">
        <f t="shared" si="400"/>
        <v>104070</v>
      </c>
      <c r="AB290" s="42">
        <f t="shared" si="400"/>
        <v>104070</v>
      </c>
      <c r="AC290" s="42">
        <f t="shared" si="400"/>
        <v>329175</v>
      </c>
      <c r="AD290" s="42">
        <f t="shared" si="400"/>
        <v>63140</v>
      </c>
      <c r="AE290" s="42">
        <f t="shared" si="400"/>
        <v>32200</v>
      </c>
      <c r="AF290" s="42">
        <f t="shared" si="400"/>
        <v>32200</v>
      </c>
      <c r="AG290" s="42">
        <f t="shared" si="400"/>
        <v>251669</v>
      </c>
      <c r="AH290" s="42">
        <f t="shared" si="400"/>
        <v>155822.30000000002</v>
      </c>
      <c r="AI290" s="125"/>
      <c r="AJ290" s="19">
        <f t="shared" si="378"/>
        <v>1</v>
      </c>
      <c r="AP290" s="42">
        <f t="shared" si="356"/>
        <v>0</v>
      </c>
      <c r="AR290" s="42">
        <f t="shared" si="363"/>
        <v>0</v>
      </c>
      <c r="AT290" s="42">
        <f t="shared" si="395"/>
        <v>0</v>
      </c>
      <c r="AV290" s="42">
        <f t="shared" si="358"/>
        <v>0</v>
      </c>
      <c r="XDU290" s="35"/>
      <c r="XDV290" s="36"/>
      <c r="XDW290" s="37"/>
      <c r="XDX290" s="37"/>
      <c r="XDY290" s="37"/>
      <c r="XDZ290" s="37"/>
      <c r="XEA290" s="38"/>
      <c r="XEB290" s="38"/>
      <c r="XEC290" s="38"/>
      <c r="XED290" s="38"/>
      <c r="XEE290" s="38"/>
      <c r="XEF290" s="38"/>
      <c r="XEG290" s="39"/>
      <c r="XEH290" s="38"/>
      <c r="XEI290" s="34"/>
      <c r="XEJ290" s="34"/>
      <c r="XEK290" s="34"/>
      <c r="XEL290" s="34"/>
      <c r="XEM290" s="34"/>
      <c r="XEN290" s="34"/>
      <c r="XEO290" s="35"/>
      <c r="XEP290" s="36"/>
      <c r="XEQ290" s="37"/>
      <c r="XER290" s="37"/>
      <c r="XES290" s="37"/>
      <c r="XET290" s="37"/>
      <c r="XEU290" s="38"/>
      <c r="XEV290" s="38"/>
      <c r="XEW290" s="38"/>
      <c r="XEX290" s="38"/>
      <c r="XEY290" s="38"/>
      <c r="XEZ290" s="38"/>
      <c r="XFA290" s="38"/>
      <c r="XFB290" s="38"/>
    </row>
    <row r="291" spans="1:48 16349:16382" s="49" customFormat="1" ht="51.75" x14ac:dyDescent="0.25">
      <c r="A291" s="43" t="s">
        <v>87</v>
      </c>
      <c r="B291" s="44" t="s">
        <v>88</v>
      </c>
      <c r="C291" s="72"/>
      <c r="D291" s="72"/>
      <c r="E291" s="72"/>
      <c r="F291" s="72"/>
      <c r="G291" s="46">
        <f>G292+G293+G295</f>
        <v>16345</v>
      </c>
      <c r="H291" s="46">
        <f>H292+H293+H295</f>
        <v>16345</v>
      </c>
      <c r="I291" s="46">
        <f t="shared" ref="I291:L291" si="401">I292+I295+I297</f>
        <v>0</v>
      </c>
      <c r="J291" s="46">
        <f t="shared" si="401"/>
        <v>0</v>
      </c>
      <c r="K291" s="46">
        <f t="shared" si="401"/>
        <v>0</v>
      </c>
      <c r="L291" s="46">
        <f t="shared" si="401"/>
        <v>0</v>
      </c>
      <c r="M291" s="46">
        <f t="shared" ref="M291:T291" si="402">M292+M293+M295</f>
        <v>13200</v>
      </c>
      <c r="N291" s="46">
        <f t="shared" si="402"/>
        <v>13200</v>
      </c>
      <c r="O291" s="46">
        <f t="shared" si="402"/>
        <v>13200</v>
      </c>
      <c r="P291" s="46">
        <f t="shared" si="402"/>
        <v>13200</v>
      </c>
      <c r="Q291" s="46">
        <f t="shared" si="402"/>
        <v>0</v>
      </c>
      <c r="R291" s="46">
        <f t="shared" si="402"/>
        <v>1210</v>
      </c>
      <c r="S291" s="46">
        <f t="shared" si="402"/>
        <v>11990</v>
      </c>
      <c r="T291" s="46">
        <f t="shared" si="402"/>
        <v>11990</v>
      </c>
      <c r="U291" s="46">
        <f t="shared" ref="U291:X291" si="403">U292+U295+U297</f>
        <v>21770</v>
      </c>
      <c r="V291" s="46">
        <f t="shared" si="403"/>
        <v>21770</v>
      </c>
      <c r="W291" s="46">
        <f t="shared" si="403"/>
        <v>1000</v>
      </c>
      <c r="X291" s="46">
        <f t="shared" si="403"/>
        <v>1000</v>
      </c>
      <c r="Y291" s="46">
        <f t="shared" ref="Y291:AH291" si="404">SUM(Y292:Y309)</f>
        <v>36050</v>
      </c>
      <c r="Z291" s="46">
        <f t="shared" si="404"/>
        <v>36050</v>
      </c>
      <c r="AA291" s="46">
        <f t="shared" si="404"/>
        <v>104070</v>
      </c>
      <c r="AB291" s="46">
        <f t="shared" si="404"/>
        <v>104070</v>
      </c>
      <c r="AC291" s="46">
        <f t="shared" si="404"/>
        <v>143075</v>
      </c>
      <c r="AD291" s="46">
        <f t="shared" si="404"/>
        <v>46840</v>
      </c>
      <c r="AE291" s="46">
        <f t="shared" si="404"/>
        <v>15900</v>
      </c>
      <c r="AF291" s="46">
        <f t="shared" si="404"/>
        <v>15900</v>
      </c>
      <c r="AG291" s="46">
        <f t="shared" si="404"/>
        <v>0</v>
      </c>
      <c r="AH291" s="46">
        <f t="shared" si="404"/>
        <v>0</v>
      </c>
      <c r="AI291" s="73"/>
      <c r="AJ291" s="19">
        <f t="shared" si="378"/>
        <v>1</v>
      </c>
      <c r="AK291" s="22"/>
      <c r="AL291" s="22"/>
      <c r="AM291" s="12"/>
      <c r="AN291" s="12"/>
      <c r="AO291" s="12"/>
      <c r="AP291" s="12">
        <f t="shared" si="356"/>
        <v>0</v>
      </c>
      <c r="AQ291" s="12"/>
      <c r="AR291" s="12">
        <f t="shared" si="363"/>
        <v>0</v>
      </c>
      <c r="AS291" s="12"/>
      <c r="AT291" s="12">
        <f t="shared" si="395"/>
        <v>0</v>
      </c>
      <c r="AU291" s="12"/>
      <c r="AV291" s="12">
        <f t="shared" si="358"/>
        <v>0</v>
      </c>
    </row>
    <row r="292" spans="1:48 16349:16382" ht="66" x14ac:dyDescent="0.25">
      <c r="A292" s="60">
        <v>5</v>
      </c>
      <c r="B292" s="91" t="s">
        <v>671</v>
      </c>
      <c r="C292" s="61" t="s">
        <v>672</v>
      </c>
      <c r="D292" s="61" t="s">
        <v>673</v>
      </c>
      <c r="E292" s="70" t="s">
        <v>97</v>
      </c>
      <c r="F292" s="95" t="s">
        <v>674</v>
      </c>
      <c r="G292" s="68">
        <v>10646</v>
      </c>
      <c r="H292" s="80">
        <f>G292</f>
        <v>10646</v>
      </c>
      <c r="I292" s="63"/>
      <c r="J292" s="63"/>
      <c r="K292" s="63"/>
      <c r="L292" s="63"/>
      <c r="M292" s="68">
        <f>N292</f>
        <v>7800</v>
      </c>
      <c r="N292" s="63">
        <v>7800</v>
      </c>
      <c r="O292" s="68">
        <f>P292</f>
        <v>7800</v>
      </c>
      <c r="P292" s="63">
        <v>7800</v>
      </c>
      <c r="Q292" s="54"/>
      <c r="R292" s="8">
        <f>P292-T292</f>
        <v>975</v>
      </c>
      <c r="S292" s="151">
        <f>T292</f>
        <v>6825</v>
      </c>
      <c r="T292" s="149">
        <v>6825</v>
      </c>
      <c r="U292" s="63">
        <f t="shared" ref="U292:U293" si="405">V292</f>
        <v>6300</v>
      </c>
      <c r="V292" s="63">
        <v>6300</v>
      </c>
      <c r="W292" s="63">
        <f>X292</f>
        <v>1000</v>
      </c>
      <c r="X292" s="63">
        <v>1000</v>
      </c>
      <c r="Y292" s="63">
        <f>Z292</f>
        <v>0</v>
      </c>
      <c r="Z292" s="63"/>
      <c r="AA292" s="63">
        <f t="shared" ref="AA292:AB309" si="406">U292+W292+Y292</f>
        <v>7300</v>
      </c>
      <c r="AB292" s="63">
        <f t="shared" si="406"/>
        <v>7300</v>
      </c>
      <c r="AC292" s="63">
        <f t="shared" ref="AC292:AD312" si="407">O292-AA292</f>
        <v>500</v>
      </c>
      <c r="AD292" s="63">
        <f t="shared" si="407"/>
        <v>500</v>
      </c>
      <c r="AE292" s="63">
        <f t="shared" ref="AE292:AE309" si="408">AF292</f>
        <v>0</v>
      </c>
      <c r="AF292" s="63">
        <f t="shared" ref="AF292:AF309" si="409">IF(AB292=0,AD292,0)</f>
        <v>0</v>
      </c>
      <c r="AG292" s="63"/>
      <c r="AH292" s="63"/>
      <c r="AI292" s="25" t="s">
        <v>404</v>
      </c>
      <c r="AJ292" s="19">
        <f t="shared" si="378"/>
        <v>1</v>
      </c>
      <c r="AK292" s="22">
        <f t="shared" si="348"/>
        <v>1</v>
      </c>
      <c r="AL292" s="22"/>
      <c r="AM292" s="12">
        <f t="shared" ref="AM292:AM309" si="410">IF(AJ292=0,1,0)</f>
        <v>0</v>
      </c>
      <c r="AO292" s="12">
        <f t="shared" ref="AO292:AO309" si="411">IF(P292=0,1,0)</f>
        <v>0</v>
      </c>
      <c r="AP292" s="12">
        <f t="shared" si="356"/>
        <v>0</v>
      </c>
      <c r="AQ292" s="12">
        <f t="shared" ref="AQ292:AQ309" si="412">IF(N292=0,1,0)</f>
        <v>0</v>
      </c>
      <c r="AR292" s="12">
        <f t="shared" si="363"/>
        <v>0</v>
      </c>
      <c r="AS292" s="12">
        <f t="shared" ref="AS292:AS304" si="413">IF(Q292=0,0,1)</f>
        <v>0</v>
      </c>
      <c r="AT292" s="12">
        <f t="shared" si="395"/>
        <v>0</v>
      </c>
      <c r="AU292" s="12">
        <f t="shared" ref="AU292:AU303" si="414">IF(R292=0,0,1)</f>
        <v>1</v>
      </c>
      <c r="AV292" s="12">
        <f t="shared" si="358"/>
        <v>975</v>
      </c>
    </row>
    <row r="293" spans="1:48 16349:16382" ht="115.5" x14ac:dyDescent="0.25">
      <c r="A293" s="60">
        <v>6</v>
      </c>
      <c r="B293" s="91" t="s">
        <v>675</v>
      </c>
      <c r="C293" s="70" t="s">
        <v>58</v>
      </c>
      <c r="D293" s="61" t="s">
        <v>676</v>
      </c>
      <c r="E293" s="70">
        <v>2016</v>
      </c>
      <c r="F293" s="95" t="s">
        <v>677</v>
      </c>
      <c r="G293" s="68">
        <v>4700</v>
      </c>
      <c r="H293" s="80">
        <f t="shared" ref="H293:H297" si="415">G293</f>
        <v>4700</v>
      </c>
      <c r="I293" s="63"/>
      <c r="J293" s="63"/>
      <c r="K293" s="63"/>
      <c r="L293" s="63"/>
      <c r="M293" s="68">
        <f t="shared" ref="M293:M297" si="416">N293</f>
        <v>4400</v>
      </c>
      <c r="N293" s="63">
        <v>4400</v>
      </c>
      <c r="O293" s="68">
        <f t="shared" ref="O293:O297" si="417">P293</f>
        <v>4400</v>
      </c>
      <c r="P293" s="63">
        <v>4400</v>
      </c>
      <c r="Q293" s="54"/>
      <c r="R293" s="8">
        <v>175</v>
      </c>
      <c r="S293" s="68">
        <f t="shared" ref="S293" si="418">T293</f>
        <v>4225</v>
      </c>
      <c r="T293" s="63">
        <f>N293-R293</f>
        <v>4225</v>
      </c>
      <c r="U293" s="63">
        <f t="shared" si="405"/>
        <v>3950</v>
      </c>
      <c r="V293" s="63">
        <v>3950</v>
      </c>
      <c r="W293" s="63"/>
      <c r="X293" s="63"/>
      <c r="Y293" s="63"/>
      <c r="Z293" s="63"/>
      <c r="AA293" s="63">
        <f t="shared" si="406"/>
        <v>3950</v>
      </c>
      <c r="AB293" s="63">
        <f t="shared" si="406"/>
        <v>3950</v>
      </c>
      <c r="AC293" s="63">
        <f t="shared" si="407"/>
        <v>450</v>
      </c>
      <c r="AD293" s="63">
        <f t="shared" si="407"/>
        <v>450</v>
      </c>
      <c r="AE293" s="63">
        <f t="shared" si="408"/>
        <v>0</v>
      </c>
      <c r="AF293" s="63">
        <f t="shared" si="409"/>
        <v>0</v>
      </c>
      <c r="AG293" s="63"/>
      <c r="AH293" s="63"/>
      <c r="AI293" s="25" t="s">
        <v>404</v>
      </c>
      <c r="AJ293" s="19">
        <f t="shared" si="378"/>
        <v>1</v>
      </c>
      <c r="AK293" s="22">
        <f t="shared" si="348"/>
        <v>1</v>
      </c>
      <c r="AL293" s="22"/>
      <c r="AM293" s="12">
        <f t="shared" si="410"/>
        <v>0</v>
      </c>
      <c r="AO293" s="12">
        <f t="shared" si="411"/>
        <v>0</v>
      </c>
      <c r="AP293" s="12">
        <f t="shared" si="356"/>
        <v>0</v>
      </c>
      <c r="AQ293" s="12">
        <f t="shared" si="412"/>
        <v>0</v>
      </c>
      <c r="AR293" s="12">
        <f t="shared" si="363"/>
        <v>0</v>
      </c>
      <c r="AS293" s="12">
        <f t="shared" si="413"/>
        <v>0</v>
      </c>
      <c r="AT293" s="12">
        <f t="shared" si="395"/>
        <v>0</v>
      </c>
      <c r="AU293" s="12">
        <f t="shared" si="414"/>
        <v>1</v>
      </c>
      <c r="AV293" s="12">
        <f t="shared" si="358"/>
        <v>175</v>
      </c>
    </row>
    <row r="294" spans="1:48 16349:16382" ht="66" hidden="1" x14ac:dyDescent="0.25">
      <c r="A294" s="60">
        <v>7</v>
      </c>
      <c r="B294" s="91" t="s">
        <v>678</v>
      </c>
      <c r="C294" s="61" t="s">
        <v>679</v>
      </c>
      <c r="D294" s="61" t="s">
        <v>680</v>
      </c>
      <c r="E294" s="126" t="s">
        <v>199</v>
      </c>
      <c r="F294" s="95" t="s">
        <v>681</v>
      </c>
      <c r="G294" s="68">
        <v>14893</v>
      </c>
      <c r="H294" s="80">
        <f t="shared" si="415"/>
        <v>14893</v>
      </c>
      <c r="I294" s="63"/>
      <c r="J294" s="63"/>
      <c r="K294" s="63"/>
      <c r="L294" s="63"/>
      <c r="M294" s="68">
        <v>13700</v>
      </c>
      <c r="N294" s="63">
        <v>3700</v>
      </c>
      <c r="O294" s="68">
        <f>M294</f>
        <v>13700</v>
      </c>
      <c r="P294" s="63">
        <v>3700</v>
      </c>
      <c r="Q294" s="54"/>
      <c r="R294" s="54"/>
      <c r="S294" s="68">
        <f>O294</f>
        <v>13700</v>
      </c>
      <c r="T294" s="63">
        <v>3700</v>
      </c>
      <c r="U294" s="63"/>
      <c r="V294" s="63"/>
      <c r="W294" s="63">
        <f>X294</f>
        <v>3000</v>
      </c>
      <c r="X294" s="63">
        <v>3000</v>
      </c>
      <c r="Y294" s="63">
        <f>Z294</f>
        <v>0</v>
      </c>
      <c r="Z294" s="63"/>
      <c r="AA294" s="63">
        <f t="shared" si="406"/>
        <v>3000</v>
      </c>
      <c r="AB294" s="63">
        <f t="shared" si="406"/>
        <v>3000</v>
      </c>
      <c r="AC294" s="63">
        <f t="shared" si="407"/>
        <v>10700</v>
      </c>
      <c r="AD294" s="63">
        <f t="shared" si="407"/>
        <v>700</v>
      </c>
      <c r="AE294" s="63">
        <f t="shared" si="408"/>
        <v>0</v>
      </c>
      <c r="AF294" s="63">
        <f t="shared" si="409"/>
        <v>0</v>
      </c>
      <c r="AG294" s="63"/>
      <c r="AH294" s="63"/>
      <c r="AI294" s="25" t="s">
        <v>682</v>
      </c>
      <c r="AJ294" s="19">
        <f t="shared" si="378"/>
        <v>0</v>
      </c>
      <c r="AK294" s="22">
        <f t="shared" si="348"/>
        <v>0</v>
      </c>
      <c r="AL294" s="22"/>
      <c r="AM294" s="12">
        <f t="shared" si="410"/>
        <v>1</v>
      </c>
      <c r="AO294" s="12">
        <f t="shared" si="411"/>
        <v>0</v>
      </c>
      <c r="AP294" s="12">
        <f t="shared" si="356"/>
        <v>0</v>
      </c>
      <c r="AQ294" s="12">
        <f t="shared" si="412"/>
        <v>0</v>
      </c>
      <c r="AR294" s="12">
        <f t="shared" si="363"/>
        <v>0</v>
      </c>
      <c r="AS294" s="12">
        <f t="shared" si="413"/>
        <v>0</v>
      </c>
      <c r="AT294" s="12">
        <f t="shared" si="395"/>
        <v>0</v>
      </c>
      <c r="AU294" s="12">
        <f t="shared" si="414"/>
        <v>0</v>
      </c>
      <c r="AV294" s="12">
        <f t="shared" si="358"/>
        <v>0</v>
      </c>
    </row>
    <row r="295" spans="1:48 16349:16382" ht="49.5" x14ac:dyDescent="0.25">
      <c r="A295" s="60">
        <v>8</v>
      </c>
      <c r="B295" s="91" t="s">
        <v>683</v>
      </c>
      <c r="C295" s="61" t="s">
        <v>684</v>
      </c>
      <c r="D295" s="70" t="s">
        <v>685</v>
      </c>
      <c r="E295" s="70">
        <v>2016</v>
      </c>
      <c r="F295" s="61" t="s">
        <v>686</v>
      </c>
      <c r="G295" s="68">
        <v>999</v>
      </c>
      <c r="H295" s="80">
        <f t="shared" si="415"/>
        <v>999</v>
      </c>
      <c r="I295" s="63"/>
      <c r="J295" s="63"/>
      <c r="K295" s="63"/>
      <c r="L295" s="63"/>
      <c r="M295" s="68">
        <f t="shared" si="416"/>
        <v>1000</v>
      </c>
      <c r="N295" s="63">
        <v>1000</v>
      </c>
      <c r="O295" s="68">
        <f t="shared" si="417"/>
        <v>1000</v>
      </c>
      <c r="P295" s="63">
        <v>1000</v>
      </c>
      <c r="Q295" s="54"/>
      <c r="R295" s="8">
        <f>P295-T295</f>
        <v>60</v>
      </c>
      <c r="S295" s="151">
        <f t="shared" ref="S295:S297" si="419">T295</f>
        <v>940</v>
      </c>
      <c r="T295" s="149">
        <v>940</v>
      </c>
      <c r="U295" s="63">
        <f>V295</f>
        <v>850</v>
      </c>
      <c r="V295" s="63">
        <v>850</v>
      </c>
      <c r="W295" s="63"/>
      <c r="X295" s="63"/>
      <c r="Y295" s="63"/>
      <c r="Z295" s="63"/>
      <c r="AA295" s="63">
        <f t="shared" si="406"/>
        <v>850</v>
      </c>
      <c r="AB295" s="63">
        <f t="shared" si="406"/>
        <v>850</v>
      </c>
      <c r="AC295" s="63">
        <f t="shared" si="407"/>
        <v>150</v>
      </c>
      <c r="AD295" s="63">
        <f t="shared" si="407"/>
        <v>150</v>
      </c>
      <c r="AE295" s="63">
        <f t="shared" si="408"/>
        <v>0</v>
      </c>
      <c r="AF295" s="63">
        <f t="shared" si="409"/>
        <v>0</v>
      </c>
      <c r="AG295" s="63"/>
      <c r="AH295" s="63"/>
      <c r="AI295" s="25" t="s">
        <v>404</v>
      </c>
      <c r="AJ295" s="19">
        <f t="shared" si="378"/>
        <v>1</v>
      </c>
      <c r="AK295" s="22">
        <f t="shared" si="348"/>
        <v>1</v>
      </c>
      <c r="AL295" s="22"/>
      <c r="AM295" s="12">
        <f t="shared" si="410"/>
        <v>0</v>
      </c>
      <c r="AO295" s="12">
        <f t="shared" si="411"/>
        <v>0</v>
      </c>
      <c r="AP295" s="12">
        <f t="shared" si="356"/>
        <v>0</v>
      </c>
      <c r="AQ295" s="12">
        <f t="shared" si="412"/>
        <v>0</v>
      </c>
      <c r="AR295" s="12">
        <f t="shared" si="363"/>
        <v>0</v>
      </c>
      <c r="AS295" s="12">
        <f t="shared" si="413"/>
        <v>0</v>
      </c>
      <c r="AT295" s="12">
        <f t="shared" si="395"/>
        <v>0</v>
      </c>
      <c r="AU295" s="12">
        <f t="shared" si="414"/>
        <v>1</v>
      </c>
      <c r="AV295" s="12">
        <f t="shared" si="358"/>
        <v>60</v>
      </c>
    </row>
    <row r="296" spans="1:48 16349:16382" ht="66" hidden="1" x14ac:dyDescent="0.25">
      <c r="A296" s="60">
        <v>9</v>
      </c>
      <c r="B296" s="91" t="s">
        <v>687</v>
      </c>
      <c r="C296" s="70" t="s">
        <v>336</v>
      </c>
      <c r="D296" s="61" t="s">
        <v>688</v>
      </c>
      <c r="E296" s="70">
        <v>2016</v>
      </c>
      <c r="F296" s="61" t="s">
        <v>689</v>
      </c>
      <c r="G296" s="68">
        <v>7808</v>
      </c>
      <c r="H296" s="80">
        <f t="shared" si="415"/>
        <v>7808</v>
      </c>
      <c r="I296" s="63"/>
      <c r="J296" s="63"/>
      <c r="K296" s="63"/>
      <c r="L296" s="63"/>
      <c r="M296" s="68">
        <f t="shared" si="416"/>
        <v>7070</v>
      </c>
      <c r="N296" s="63">
        <v>7070</v>
      </c>
      <c r="O296" s="68">
        <f t="shared" si="417"/>
        <v>7070</v>
      </c>
      <c r="P296" s="63">
        <v>7070</v>
      </c>
      <c r="Q296" s="54"/>
      <c r="R296" s="54"/>
      <c r="S296" s="68">
        <f t="shared" si="419"/>
        <v>7070</v>
      </c>
      <c r="T296" s="63">
        <v>7070</v>
      </c>
      <c r="U296" s="63">
        <f>V296</f>
        <v>2600</v>
      </c>
      <c r="V296" s="63">
        <v>2600</v>
      </c>
      <c r="W296" s="63">
        <f>X296</f>
        <v>3000</v>
      </c>
      <c r="X296" s="63">
        <v>3000</v>
      </c>
      <c r="Y296" s="63">
        <f>Z296</f>
        <v>0</v>
      </c>
      <c r="Z296" s="63"/>
      <c r="AA296" s="63">
        <f t="shared" si="406"/>
        <v>5600</v>
      </c>
      <c r="AB296" s="63">
        <f t="shared" si="406"/>
        <v>5600</v>
      </c>
      <c r="AC296" s="63">
        <f t="shared" si="407"/>
        <v>1470</v>
      </c>
      <c r="AD296" s="63">
        <f t="shared" si="407"/>
        <v>1470</v>
      </c>
      <c r="AE296" s="63">
        <f t="shared" si="408"/>
        <v>0</v>
      </c>
      <c r="AF296" s="63">
        <f t="shared" si="409"/>
        <v>0</v>
      </c>
      <c r="AG296" s="63"/>
      <c r="AH296" s="63"/>
      <c r="AI296" s="69"/>
      <c r="AJ296" s="19">
        <f t="shared" si="378"/>
        <v>0</v>
      </c>
      <c r="AK296" s="22">
        <f t="shared" si="348"/>
        <v>0</v>
      </c>
      <c r="AL296" s="22"/>
      <c r="AM296" s="12">
        <f t="shared" si="410"/>
        <v>1</v>
      </c>
      <c r="AO296" s="12">
        <f t="shared" si="411"/>
        <v>0</v>
      </c>
      <c r="AP296" s="12">
        <f t="shared" si="356"/>
        <v>0</v>
      </c>
      <c r="AQ296" s="12">
        <f t="shared" si="412"/>
        <v>0</v>
      </c>
      <c r="AR296" s="12">
        <f t="shared" si="363"/>
        <v>0</v>
      </c>
      <c r="AS296" s="12">
        <f t="shared" si="413"/>
        <v>0</v>
      </c>
      <c r="AT296" s="12">
        <f t="shared" si="395"/>
        <v>0</v>
      </c>
      <c r="AU296" s="12">
        <f t="shared" si="414"/>
        <v>0</v>
      </c>
      <c r="AV296" s="12">
        <f t="shared" si="358"/>
        <v>0</v>
      </c>
    </row>
    <row r="297" spans="1:48 16349:16382" ht="115.5" hidden="1" x14ac:dyDescent="0.25">
      <c r="A297" s="60">
        <v>10</v>
      </c>
      <c r="B297" s="91" t="s">
        <v>690</v>
      </c>
      <c r="C297" s="70" t="s">
        <v>336</v>
      </c>
      <c r="D297" s="61" t="s">
        <v>691</v>
      </c>
      <c r="E297" s="70" t="s">
        <v>72</v>
      </c>
      <c r="F297" s="61" t="s">
        <v>692</v>
      </c>
      <c r="G297" s="68">
        <v>15640</v>
      </c>
      <c r="H297" s="80">
        <f t="shared" si="415"/>
        <v>15640</v>
      </c>
      <c r="I297" s="63"/>
      <c r="J297" s="63"/>
      <c r="K297" s="63"/>
      <c r="L297" s="63"/>
      <c r="M297" s="68">
        <f t="shared" si="416"/>
        <v>14620</v>
      </c>
      <c r="N297" s="63">
        <v>14620</v>
      </c>
      <c r="O297" s="68">
        <f t="shared" si="417"/>
        <v>14620</v>
      </c>
      <c r="P297" s="63">
        <v>14620</v>
      </c>
      <c r="Q297" s="54"/>
      <c r="R297" s="8"/>
      <c r="S297" s="151">
        <f t="shared" si="419"/>
        <v>14620</v>
      </c>
      <c r="T297" s="149">
        <f>P297</f>
        <v>14620</v>
      </c>
      <c r="U297" s="63">
        <f>V297</f>
        <v>14620</v>
      </c>
      <c r="V297" s="63">
        <v>14620</v>
      </c>
      <c r="W297" s="63"/>
      <c r="X297" s="63"/>
      <c r="Y297" s="63"/>
      <c r="Z297" s="63"/>
      <c r="AA297" s="63">
        <f t="shared" si="406"/>
        <v>14620</v>
      </c>
      <c r="AB297" s="63">
        <f t="shared" si="406"/>
        <v>14620</v>
      </c>
      <c r="AC297" s="63">
        <f t="shared" si="407"/>
        <v>0</v>
      </c>
      <c r="AD297" s="63">
        <f t="shared" si="407"/>
        <v>0</v>
      </c>
      <c r="AE297" s="63">
        <f t="shared" si="408"/>
        <v>0</v>
      </c>
      <c r="AF297" s="63">
        <f t="shared" si="409"/>
        <v>0</v>
      </c>
      <c r="AG297" s="63"/>
      <c r="AH297" s="63"/>
      <c r="AI297" s="25"/>
      <c r="AJ297" s="19">
        <f t="shared" si="378"/>
        <v>0</v>
      </c>
      <c r="AK297" s="22">
        <f t="shared" si="348"/>
        <v>0</v>
      </c>
      <c r="AL297" s="22"/>
      <c r="AM297" s="12">
        <f t="shared" si="410"/>
        <v>1</v>
      </c>
      <c r="AO297" s="12">
        <f t="shared" si="411"/>
        <v>0</v>
      </c>
      <c r="AP297" s="12">
        <f t="shared" si="356"/>
        <v>0</v>
      </c>
      <c r="AQ297" s="12">
        <f t="shared" si="412"/>
        <v>0</v>
      </c>
      <c r="AR297" s="12">
        <f t="shared" si="363"/>
        <v>0</v>
      </c>
      <c r="AS297" s="12">
        <f t="shared" si="413"/>
        <v>0</v>
      </c>
      <c r="AT297" s="12">
        <f t="shared" si="395"/>
        <v>0</v>
      </c>
      <c r="AU297" s="12">
        <f t="shared" si="414"/>
        <v>0</v>
      </c>
      <c r="AV297" s="12">
        <f t="shared" si="358"/>
        <v>0</v>
      </c>
    </row>
    <row r="298" spans="1:48 16349:16382" ht="49.5" hidden="1" x14ac:dyDescent="0.25">
      <c r="A298" s="60">
        <v>11</v>
      </c>
      <c r="B298" s="91" t="s">
        <v>675</v>
      </c>
      <c r="C298" s="70" t="s">
        <v>52</v>
      </c>
      <c r="D298" s="61" t="s">
        <v>693</v>
      </c>
      <c r="E298" s="70" t="s">
        <v>109</v>
      </c>
      <c r="F298" s="95" t="s">
        <v>694</v>
      </c>
      <c r="G298" s="68">
        <v>4700</v>
      </c>
      <c r="H298" s="80">
        <f>G298</f>
        <v>4700</v>
      </c>
      <c r="I298" s="63"/>
      <c r="J298" s="63"/>
      <c r="K298" s="63"/>
      <c r="L298" s="63"/>
      <c r="M298" s="68">
        <f>N298</f>
        <v>4500</v>
      </c>
      <c r="N298" s="63">
        <v>4500</v>
      </c>
      <c r="O298" s="68">
        <f>P298</f>
        <v>4500</v>
      </c>
      <c r="P298" s="63">
        <v>4500</v>
      </c>
      <c r="Q298" s="54"/>
      <c r="R298" s="54"/>
      <c r="S298" s="68">
        <f>T298</f>
        <v>4500</v>
      </c>
      <c r="T298" s="63">
        <v>4500</v>
      </c>
      <c r="U298" s="63"/>
      <c r="V298" s="63"/>
      <c r="W298" s="63">
        <f>X298</f>
        <v>3700</v>
      </c>
      <c r="X298" s="63">
        <v>3700</v>
      </c>
      <c r="Y298" s="63">
        <f>Z298</f>
        <v>0</v>
      </c>
      <c r="Z298" s="63"/>
      <c r="AA298" s="63">
        <f t="shared" si="406"/>
        <v>3700</v>
      </c>
      <c r="AB298" s="63">
        <f t="shared" si="406"/>
        <v>3700</v>
      </c>
      <c r="AC298" s="63">
        <f t="shared" si="407"/>
        <v>800</v>
      </c>
      <c r="AD298" s="63">
        <f t="shared" si="407"/>
        <v>800</v>
      </c>
      <c r="AE298" s="63">
        <f t="shared" si="408"/>
        <v>0</v>
      </c>
      <c r="AF298" s="63">
        <f t="shared" si="409"/>
        <v>0</v>
      </c>
      <c r="AG298" s="63"/>
      <c r="AH298" s="63"/>
      <c r="AI298" s="69"/>
      <c r="AJ298" s="19">
        <f t="shared" si="378"/>
        <v>0</v>
      </c>
      <c r="AK298" s="22">
        <f t="shared" si="348"/>
        <v>0</v>
      </c>
      <c r="AL298" s="22"/>
      <c r="AM298" s="12">
        <f t="shared" si="410"/>
        <v>1</v>
      </c>
      <c r="AO298" s="12">
        <f t="shared" si="411"/>
        <v>0</v>
      </c>
      <c r="AP298" s="12">
        <f t="shared" si="356"/>
        <v>0</v>
      </c>
      <c r="AQ298" s="12">
        <f t="shared" si="412"/>
        <v>0</v>
      </c>
      <c r="AR298" s="12">
        <f t="shared" si="363"/>
        <v>0</v>
      </c>
      <c r="AS298" s="12">
        <f t="shared" si="413"/>
        <v>0</v>
      </c>
      <c r="AT298" s="12">
        <f t="shared" si="395"/>
        <v>0</v>
      </c>
      <c r="AU298" s="12">
        <f t="shared" si="414"/>
        <v>0</v>
      </c>
      <c r="AV298" s="12">
        <f t="shared" si="358"/>
        <v>0</v>
      </c>
    </row>
    <row r="299" spans="1:48 16349:16382" ht="49.5" hidden="1" x14ac:dyDescent="0.25">
      <c r="A299" s="60">
        <v>12</v>
      </c>
      <c r="B299" s="91" t="s">
        <v>695</v>
      </c>
      <c r="C299" s="61" t="s">
        <v>104</v>
      </c>
      <c r="D299" s="70"/>
      <c r="E299" s="70" t="s">
        <v>97</v>
      </c>
      <c r="F299" s="61" t="s">
        <v>696</v>
      </c>
      <c r="G299" s="68">
        <v>14999</v>
      </c>
      <c r="H299" s="80">
        <f t="shared" ref="H299:H306" si="420">G299</f>
        <v>14999</v>
      </c>
      <c r="I299" s="63"/>
      <c r="J299" s="63"/>
      <c r="K299" s="63"/>
      <c r="L299" s="63"/>
      <c r="M299" s="68">
        <f>N299</f>
        <v>12500</v>
      </c>
      <c r="N299" s="63">
        <v>12500</v>
      </c>
      <c r="O299" s="68">
        <f>P299</f>
        <v>12500</v>
      </c>
      <c r="P299" s="63">
        <v>12500</v>
      </c>
      <c r="Q299" s="54"/>
      <c r="R299" s="54"/>
      <c r="S299" s="68">
        <f>T299</f>
        <v>12500</v>
      </c>
      <c r="T299" s="63">
        <v>12500</v>
      </c>
      <c r="U299" s="63"/>
      <c r="V299" s="63"/>
      <c r="W299" s="63">
        <f>X299</f>
        <v>7000</v>
      </c>
      <c r="X299" s="63">
        <v>7000</v>
      </c>
      <c r="Y299" s="63">
        <f>Z299</f>
        <v>0</v>
      </c>
      <c r="Z299" s="63"/>
      <c r="AA299" s="63">
        <f t="shared" si="406"/>
        <v>7000</v>
      </c>
      <c r="AB299" s="63">
        <f t="shared" si="406"/>
        <v>7000</v>
      </c>
      <c r="AC299" s="63">
        <f t="shared" si="407"/>
        <v>5500</v>
      </c>
      <c r="AD299" s="63">
        <f t="shared" si="407"/>
        <v>5500</v>
      </c>
      <c r="AE299" s="63">
        <f t="shared" si="408"/>
        <v>0</v>
      </c>
      <c r="AF299" s="63">
        <f t="shared" si="409"/>
        <v>0</v>
      </c>
      <c r="AG299" s="63"/>
      <c r="AH299" s="63"/>
      <c r="AI299" s="69"/>
      <c r="AJ299" s="19">
        <f t="shared" si="378"/>
        <v>0</v>
      </c>
      <c r="AK299" s="22">
        <f t="shared" si="348"/>
        <v>0</v>
      </c>
      <c r="AL299" s="22"/>
      <c r="AM299" s="12">
        <f t="shared" si="410"/>
        <v>1</v>
      </c>
      <c r="AO299" s="12">
        <f t="shared" si="411"/>
        <v>0</v>
      </c>
      <c r="AP299" s="12">
        <f t="shared" si="356"/>
        <v>0</v>
      </c>
      <c r="AQ299" s="12">
        <f t="shared" si="412"/>
        <v>0</v>
      </c>
      <c r="AR299" s="12">
        <f t="shared" si="363"/>
        <v>0</v>
      </c>
      <c r="AS299" s="12">
        <f t="shared" si="413"/>
        <v>0</v>
      </c>
      <c r="AT299" s="12">
        <f t="shared" si="395"/>
        <v>0</v>
      </c>
      <c r="AU299" s="12">
        <f t="shared" si="414"/>
        <v>0</v>
      </c>
      <c r="AV299" s="12">
        <f t="shared" si="358"/>
        <v>0</v>
      </c>
    </row>
    <row r="300" spans="1:48 16349:16382" ht="49.5" hidden="1" x14ac:dyDescent="0.25">
      <c r="A300" s="60">
        <v>13</v>
      </c>
      <c r="B300" s="91" t="s">
        <v>697</v>
      </c>
      <c r="C300" s="61" t="s">
        <v>104</v>
      </c>
      <c r="D300" s="70"/>
      <c r="E300" s="70" t="s">
        <v>698</v>
      </c>
      <c r="F300" s="61" t="s">
        <v>699</v>
      </c>
      <c r="G300" s="68">
        <v>125000</v>
      </c>
      <c r="H300" s="80">
        <v>37500</v>
      </c>
      <c r="I300" s="63"/>
      <c r="J300" s="63"/>
      <c r="K300" s="63"/>
      <c r="L300" s="63"/>
      <c r="M300" s="68">
        <v>112500</v>
      </c>
      <c r="N300" s="63">
        <v>33750</v>
      </c>
      <c r="O300" s="68">
        <v>112500</v>
      </c>
      <c r="P300" s="63">
        <v>33750</v>
      </c>
      <c r="Q300" s="54"/>
      <c r="R300" s="54"/>
      <c r="S300" s="68">
        <v>112500</v>
      </c>
      <c r="T300" s="63">
        <v>33750</v>
      </c>
      <c r="U300" s="63"/>
      <c r="V300" s="63"/>
      <c r="W300" s="63">
        <f>X300</f>
        <v>0</v>
      </c>
      <c r="X300" s="63"/>
      <c r="Y300" s="63">
        <f>Z300</f>
        <v>15000</v>
      </c>
      <c r="Z300" s="63">
        <v>15000</v>
      </c>
      <c r="AA300" s="63">
        <f t="shared" si="406"/>
        <v>15000</v>
      </c>
      <c r="AB300" s="63">
        <f t="shared" si="406"/>
        <v>15000</v>
      </c>
      <c r="AC300" s="63">
        <f t="shared" si="407"/>
        <v>97500</v>
      </c>
      <c r="AD300" s="63">
        <f t="shared" si="407"/>
        <v>18750</v>
      </c>
      <c r="AE300" s="63">
        <f t="shared" si="408"/>
        <v>0</v>
      </c>
      <c r="AF300" s="63">
        <f t="shared" si="409"/>
        <v>0</v>
      </c>
      <c r="AG300" s="63"/>
      <c r="AH300" s="63"/>
      <c r="AI300" s="25" t="s">
        <v>700</v>
      </c>
      <c r="AJ300" s="19">
        <f t="shared" si="378"/>
        <v>0</v>
      </c>
      <c r="AK300" s="22">
        <f t="shared" si="348"/>
        <v>0</v>
      </c>
      <c r="AL300" s="22"/>
      <c r="AM300" s="12">
        <f t="shared" si="410"/>
        <v>1</v>
      </c>
      <c r="AO300" s="12">
        <f t="shared" si="411"/>
        <v>0</v>
      </c>
      <c r="AP300" s="12">
        <f t="shared" si="356"/>
        <v>0</v>
      </c>
      <c r="AQ300" s="12">
        <f t="shared" si="412"/>
        <v>0</v>
      </c>
      <c r="AR300" s="12">
        <f t="shared" si="363"/>
        <v>0</v>
      </c>
      <c r="AS300" s="12">
        <f t="shared" si="413"/>
        <v>0</v>
      </c>
      <c r="AT300" s="12">
        <f t="shared" si="395"/>
        <v>0</v>
      </c>
      <c r="AU300" s="12">
        <f t="shared" si="414"/>
        <v>0</v>
      </c>
      <c r="AV300" s="12">
        <f t="shared" si="358"/>
        <v>0</v>
      </c>
    </row>
    <row r="301" spans="1:48 16349:16382" ht="82.5" hidden="1" x14ac:dyDescent="0.25">
      <c r="A301" s="60">
        <v>14</v>
      </c>
      <c r="B301" s="91" t="s">
        <v>701</v>
      </c>
      <c r="C301" s="61" t="s">
        <v>702</v>
      </c>
      <c r="D301" s="61" t="s">
        <v>703</v>
      </c>
      <c r="E301" s="70" t="s">
        <v>252</v>
      </c>
      <c r="F301" s="61" t="s">
        <v>704</v>
      </c>
      <c r="G301" s="74">
        <v>33569</v>
      </c>
      <c r="H301" s="80">
        <f t="shared" si="420"/>
        <v>33569</v>
      </c>
      <c r="I301" s="63"/>
      <c r="J301" s="63"/>
      <c r="K301" s="63"/>
      <c r="L301" s="63"/>
      <c r="M301" s="68">
        <f>N301</f>
        <v>29200</v>
      </c>
      <c r="N301" s="63">
        <v>29200</v>
      </c>
      <c r="O301" s="68">
        <f>P301</f>
        <v>29200</v>
      </c>
      <c r="P301" s="63">
        <v>29200</v>
      </c>
      <c r="Q301" s="54"/>
      <c r="R301" s="54"/>
      <c r="S301" s="68">
        <f>T301</f>
        <v>29200</v>
      </c>
      <c r="T301" s="63">
        <v>29200</v>
      </c>
      <c r="U301" s="63"/>
      <c r="V301" s="63"/>
      <c r="W301" s="63">
        <f>X301</f>
        <v>15000</v>
      </c>
      <c r="X301" s="63">
        <v>15000</v>
      </c>
      <c r="Y301" s="63">
        <f>Z301</f>
        <v>13000</v>
      </c>
      <c r="Z301" s="63">
        <v>13000</v>
      </c>
      <c r="AA301" s="63">
        <f t="shared" si="406"/>
        <v>28000</v>
      </c>
      <c r="AB301" s="63">
        <f t="shared" si="406"/>
        <v>28000</v>
      </c>
      <c r="AC301" s="63">
        <f t="shared" si="407"/>
        <v>1200</v>
      </c>
      <c r="AD301" s="63">
        <f t="shared" si="407"/>
        <v>1200</v>
      </c>
      <c r="AE301" s="63">
        <f t="shared" si="408"/>
        <v>0</v>
      </c>
      <c r="AF301" s="63">
        <f t="shared" si="409"/>
        <v>0</v>
      </c>
      <c r="AG301" s="63"/>
      <c r="AH301" s="63"/>
      <c r="AI301" s="69"/>
      <c r="AJ301" s="19">
        <f t="shared" si="378"/>
        <v>0</v>
      </c>
      <c r="AK301" s="22">
        <f t="shared" si="348"/>
        <v>0</v>
      </c>
      <c r="AL301" s="22"/>
      <c r="AM301" s="12">
        <f t="shared" si="410"/>
        <v>1</v>
      </c>
      <c r="AO301" s="12">
        <f t="shared" si="411"/>
        <v>0</v>
      </c>
      <c r="AP301" s="12">
        <f t="shared" si="356"/>
        <v>0</v>
      </c>
      <c r="AQ301" s="12">
        <f t="shared" si="412"/>
        <v>0</v>
      </c>
      <c r="AR301" s="12">
        <f t="shared" si="363"/>
        <v>0</v>
      </c>
      <c r="AS301" s="12">
        <f t="shared" si="413"/>
        <v>0</v>
      </c>
      <c r="AT301" s="12">
        <f t="shared" si="395"/>
        <v>0</v>
      </c>
      <c r="AU301" s="12">
        <f t="shared" si="414"/>
        <v>0</v>
      </c>
      <c r="AV301" s="12">
        <f t="shared" si="358"/>
        <v>0</v>
      </c>
    </row>
    <row r="302" spans="1:48 16349:16382" ht="49.5" hidden="1" x14ac:dyDescent="0.25">
      <c r="A302" s="60">
        <v>15</v>
      </c>
      <c r="B302" s="91" t="s">
        <v>705</v>
      </c>
      <c r="C302" s="61" t="s">
        <v>146</v>
      </c>
      <c r="D302" s="61" t="s">
        <v>706</v>
      </c>
      <c r="E302" s="70" t="s">
        <v>109</v>
      </c>
      <c r="F302" s="61" t="s">
        <v>707</v>
      </c>
      <c r="G302" s="68">
        <v>13014</v>
      </c>
      <c r="H302" s="80">
        <f>G302</f>
        <v>13014</v>
      </c>
      <c r="I302" s="63"/>
      <c r="J302" s="63"/>
      <c r="K302" s="63"/>
      <c r="L302" s="63"/>
      <c r="M302" s="68">
        <v>11700</v>
      </c>
      <c r="N302" s="63">
        <f>M302</f>
        <v>11700</v>
      </c>
      <c r="O302" s="68">
        <v>11700</v>
      </c>
      <c r="P302" s="63">
        <f>O302</f>
        <v>11700</v>
      </c>
      <c r="Q302" s="54"/>
      <c r="R302" s="54"/>
      <c r="S302" s="68">
        <v>11700</v>
      </c>
      <c r="T302" s="63">
        <f>S302</f>
        <v>11700</v>
      </c>
      <c r="U302" s="63"/>
      <c r="V302" s="63"/>
      <c r="W302" s="63">
        <f>X302</f>
        <v>6000</v>
      </c>
      <c r="X302" s="63">
        <v>6000</v>
      </c>
      <c r="Y302" s="63">
        <f>Z302</f>
        <v>5000</v>
      </c>
      <c r="Z302" s="63">
        <v>5000</v>
      </c>
      <c r="AA302" s="63">
        <f t="shared" si="406"/>
        <v>11000</v>
      </c>
      <c r="AB302" s="63">
        <f t="shared" si="406"/>
        <v>11000</v>
      </c>
      <c r="AC302" s="63">
        <f t="shared" si="407"/>
        <v>700</v>
      </c>
      <c r="AD302" s="63">
        <f t="shared" si="407"/>
        <v>700</v>
      </c>
      <c r="AE302" s="63">
        <f t="shared" si="408"/>
        <v>0</v>
      </c>
      <c r="AF302" s="63">
        <f t="shared" si="409"/>
        <v>0</v>
      </c>
      <c r="AG302" s="63"/>
      <c r="AH302" s="63"/>
      <c r="AI302" s="69"/>
      <c r="AJ302" s="19">
        <f t="shared" si="378"/>
        <v>0</v>
      </c>
      <c r="AK302" s="22">
        <f t="shared" si="348"/>
        <v>0</v>
      </c>
      <c r="AL302" s="22"/>
      <c r="AM302" s="12">
        <f t="shared" si="410"/>
        <v>1</v>
      </c>
      <c r="AO302" s="12">
        <f t="shared" si="411"/>
        <v>0</v>
      </c>
      <c r="AP302" s="12">
        <f t="shared" si="356"/>
        <v>0</v>
      </c>
      <c r="AQ302" s="12">
        <f t="shared" si="412"/>
        <v>0</v>
      </c>
      <c r="AR302" s="12">
        <f t="shared" si="363"/>
        <v>0</v>
      </c>
      <c r="AS302" s="12">
        <f t="shared" si="413"/>
        <v>0</v>
      </c>
      <c r="AT302" s="12">
        <f t="shared" si="395"/>
        <v>0</v>
      </c>
      <c r="AU302" s="12">
        <f t="shared" si="414"/>
        <v>0</v>
      </c>
      <c r="AV302" s="12">
        <f t="shared" si="358"/>
        <v>0</v>
      </c>
    </row>
    <row r="303" spans="1:48 16349:16382" ht="66" hidden="1" x14ac:dyDescent="0.25">
      <c r="A303" s="60">
        <v>16</v>
      </c>
      <c r="B303" s="91" t="s">
        <v>708</v>
      </c>
      <c r="C303" s="61" t="s">
        <v>709</v>
      </c>
      <c r="D303" s="61" t="s">
        <v>710</v>
      </c>
      <c r="E303" s="70" t="s">
        <v>461</v>
      </c>
      <c r="F303" s="61" t="s">
        <v>711</v>
      </c>
      <c r="G303" s="68">
        <f t="shared" ref="G303:G305" si="421">H303</f>
        <v>6295</v>
      </c>
      <c r="H303" s="80">
        <v>6295</v>
      </c>
      <c r="I303" s="63"/>
      <c r="J303" s="63"/>
      <c r="K303" s="63"/>
      <c r="L303" s="63"/>
      <c r="M303" s="68">
        <f>N303</f>
        <v>5500</v>
      </c>
      <c r="N303" s="63">
        <v>5500</v>
      </c>
      <c r="O303" s="68">
        <f>P303</f>
        <v>5700</v>
      </c>
      <c r="P303" s="63">
        <v>5700</v>
      </c>
      <c r="Q303" s="54"/>
      <c r="R303" s="54"/>
      <c r="S303" s="68">
        <f>T303</f>
        <v>5700</v>
      </c>
      <c r="T303" s="63">
        <v>5700</v>
      </c>
      <c r="U303" s="63"/>
      <c r="V303" s="63"/>
      <c r="W303" s="63"/>
      <c r="X303" s="63"/>
      <c r="Y303" s="63"/>
      <c r="Z303" s="63"/>
      <c r="AA303" s="63">
        <f t="shared" si="406"/>
        <v>0</v>
      </c>
      <c r="AB303" s="63">
        <f t="shared" si="406"/>
        <v>0</v>
      </c>
      <c r="AC303" s="63">
        <f t="shared" si="407"/>
        <v>5700</v>
      </c>
      <c r="AD303" s="63">
        <f t="shared" si="407"/>
        <v>5700</v>
      </c>
      <c r="AE303" s="63">
        <f t="shared" si="408"/>
        <v>5700</v>
      </c>
      <c r="AF303" s="63">
        <f t="shared" si="409"/>
        <v>5700</v>
      </c>
      <c r="AG303" s="63"/>
      <c r="AH303" s="63"/>
      <c r="AI303" s="25"/>
      <c r="AJ303" s="19">
        <f t="shared" si="378"/>
        <v>0</v>
      </c>
      <c r="AK303" s="22">
        <f t="shared" si="348"/>
        <v>0</v>
      </c>
      <c r="AL303" s="22"/>
      <c r="AM303" s="12">
        <f t="shared" si="410"/>
        <v>1</v>
      </c>
      <c r="AO303" s="12">
        <f t="shared" si="411"/>
        <v>0</v>
      </c>
      <c r="AP303" s="12">
        <f t="shared" si="356"/>
        <v>0</v>
      </c>
      <c r="AQ303" s="12">
        <f t="shared" si="412"/>
        <v>0</v>
      </c>
      <c r="AR303" s="12">
        <f t="shared" si="363"/>
        <v>0</v>
      </c>
      <c r="AS303" s="12">
        <f t="shared" si="413"/>
        <v>0</v>
      </c>
      <c r="AT303" s="12">
        <f t="shared" si="395"/>
        <v>0</v>
      </c>
      <c r="AU303" s="12">
        <f t="shared" si="414"/>
        <v>0</v>
      </c>
      <c r="AV303" s="12">
        <f t="shared" si="358"/>
        <v>0</v>
      </c>
    </row>
    <row r="304" spans="1:48 16349:16382" ht="66" hidden="1" x14ac:dyDescent="0.25">
      <c r="A304" s="60">
        <v>17</v>
      </c>
      <c r="B304" s="91" t="s">
        <v>712</v>
      </c>
      <c r="C304" s="61" t="s">
        <v>713</v>
      </c>
      <c r="D304" s="61" t="s">
        <v>714</v>
      </c>
      <c r="E304" s="70" t="s">
        <v>461</v>
      </c>
      <c r="F304" s="61" t="s">
        <v>715</v>
      </c>
      <c r="G304" s="68">
        <f t="shared" si="421"/>
        <v>982</v>
      </c>
      <c r="H304" s="80">
        <v>982</v>
      </c>
      <c r="I304" s="63"/>
      <c r="J304" s="63"/>
      <c r="K304" s="63"/>
      <c r="L304" s="63"/>
      <c r="M304" s="68">
        <f>N304</f>
        <v>9500</v>
      </c>
      <c r="N304" s="63">
        <v>9500</v>
      </c>
      <c r="O304" s="68"/>
      <c r="P304" s="63"/>
      <c r="Q304" s="54"/>
      <c r="R304" s="54"/>
      <c r="S304" s="68"/>
      <c r="T304" s="63"/>
      <c r="U304" s="63"/>
      <c r="V304" s="63"/>
      <c r="W304" s="63"/>
      <c r="X304" s="63"/>
      <c r="Y304" s="63"/>
      <c r="Z304" s="63"/>
      <c r="AA304" s="63">
        <f t="shared" si="406"/>
        <v>0</v>
      </c>
      <c r="AB304" s="63">
        <f t="shared" si="406"/>
        <v>0</v>
      </c>
      <c r="AC304" s="63">
        <f t="shared" si="407"/>
        <v>0</v>
      </c>
      <c r="AD304" s="63">
        <f t="shared" si="407"/>
        <v>0</v>
      </c>
      <c r="AE304" s="63">
        <f t="shared" si="408"/>
        <v>0</v>
      </c>
      <c r="AF304" s="63">
        <f t="shared" si="409"/>
        <v>0</v>
      </c>
      <c r="AG304" s="63"/>
      <c r="AH304" s="63"/>
      <c r="AI304" s="25" t="s">
        <v>716</v>
      </c>
      <c r="AJ304" s="19">
        <f t="shared" si="378"/>
        <v>0</v>
      </c>
      <c r="AK304" s="22">
        <f t="shared" si="348"/>
        <v>0</v>
      </c>
      <c r="AL304" s="22"/>
      <c r="AM304" s="12">
        <f t="shared" si="410"/>
        <v>1</v>
      </c>
      <c r="AO304" s="12">
        <f t="shared" si="411"/>
        <v>1</v>
      </c>
      <c r="AP304" s="12">
        <f t="shared" si="356"/>
        <v>9500</v>
      </c>
      <c r="AQ304" s="12">
        <f t="shared" si="412"/>
        <v>0</v>
      </c>
      <c r="AR304" s="12">
        <f t="shared" si="363"/>
        <v>0</v>
      </c>
      <c r="AS304" s="12">
        <f t="shared" si="413"/>
        <v>0</v>
      </c>
      <c r="AT304" s="12">
        <f t="shared" si="395"/>
        <v>0</v>
      </c>
    </row>
    <row r="305" spans="1:48" ht="49.5" hidden="1" x14ac:dyDescent="0.25">
      <c r="A305" s="60">
        <v>18</v>
      </c>
      <c r="B305" s="91" t="s">
        <v>717</v>
      </c>
      <c r="C305" s="61" t="s">
        <v>70</v>
      </c>
      <c r="D305" s="61"/>
      <c r="E305" s="70" t="s">
        <v>116</v>
      </c>
      <c r="F305" s="61" t="s">
        <v>718</v>
      </c>
      <c r="G305" s="68">
        <f t="shared" si="421"/>
        <v>1900</v>
      </c>
      <c r="H305" s="80">
        <v>1900</v>
      </c>
      <c r="I305" s="63"/>
      <c r="J305" s="63"/>
      <c r="K305" s="63"/>
      <c r="L305" s="63"/>
      <c r="M305" s="68">
        <f>N305</f>
        <v>1350</v>
      </c>
      <c r="N305" s="63">
        <v>1350</v>
      </c>
      <c r="O305" s="68">
        <f>P305</f>
        <v>1710</v>
      </c>
      <c r="P305" s="63">
        <f>H305*0.9</f>
        <v>1710</v>
      </c>
      <c r="Q305" s="54"/>
      <c r="R305" s="54"/>
      <c r="S305" s="68">
        <f>O305</f>
        <v>1710</v>
      </c>
      <c r="T305" s="68">
        <f>P305</f>
        <v>1710</v>
      </c>
      <c r="U305" s="63"/>
      <c r="V305" s="63"/>
      <c r="W305" s="63">
        <f>X305</f>
        <v>1000</v>
      </c>
      <c r="X305" s="63">
        <v>1000</v>
      </c>
      <c r="Y305" s="63">
        <f>Z305</f>
        <v>350</v>
      </c>
      <c r="Z305" s="63">
        <v>350</v>
      </c>
      <c r="AA305" s="63">
        <f t="shared" si="406"/>
        <v>1350</v>
      </c>
      <c r="AB305" s="63">
        <f t="shared" si="406"/>
        <v>1350</v>
      </c>
      <c r="AC305" s="63">
        <f t="shared" si="407"/>
        <v>360</v>
      </c>
      <c r="AD305" s="63">
        <f t="shared" si="407"/>
        <v>360</v>
      </c>
      <c r="AE305" s="63">
        <f t="shared" si="408"/>
        <v>0</v>
      </c>
      <c r="AF305" s="63">
        <f t="shared" si="409"/>
        <v>0</v>
      </c>
      <c r="AG305" s="63"/>
      <c r="AH305" s="63"/>
      <c r="AI305" s="69"/>
      <c r="AJ305" s="19">
        <f t="shared" si="378"/>
        <v>0</v>
      </c>
      <c r="AK305" s="22">
        <f t="shared" si="348"/>
        <v>0</v>
      </c>
      <c r="AL305" s="22"/>
      <c r="AM305" s="12">
        <f t="shared" si="410"/>
        <v>1</v>
      </c>
      <c r="AO305" s="12">
        <f t="shared" si="411"/>
        <v>0</v>
      </c>
      <c r="AP305" s="12">
        <f t="shared" si="356"/>
        <v>0</v>
      </c>
      <c r="AQ305" s="12">
        <f t="shared" si="412"/>
        <v>0</v>
      </c>
      <c r="AR305" s="12">
        <f t="shared" si="363"/>
        <v>0</v>
      </c>
      <c r="AS305" s="12">
        <f>IF(Q305=0,0,1)</f>
        <v>0</v>
      </c>
      <c r="AT305" s="12">
        <f t="shared" si="395"/>
        <v>0</v>
      </c>
      <c r="AU305" s="12">
        <f>IF(R305=0,0,1)</f>
        <v>0</v>
      </c>
      <c r="AV305" s="12">
        <f t="shared" si="358"/>
        <v>0</v>
      </c>
    </row>
    <row r="306" spans="1:48" ht="33" hidden="1" x14ac:dyDescent="0.25">
      <c r="A306" s="60">
        <v>19</v>
      </c>
      <c r="B306" s="91" t="s">
        <v>719</v>
      </c>
      <c r="C306" s="61" t="s">
        <v>70</v>
      </c>
      <c r="D306" s="61"/>
      <c r="E306" s="70" t="s">
        <v>116</v>
      </c>
      <c r="F306" s="61"/>
      <c r="G306" s="68">
        <v>3400</v>
      </c>
      <c r="H306" s="80">
        <f t="shared" si="420"/>
        <v>3400</v>
      </c>
      <c r="I306" s="63"/>
      <c r="J306" s="63"/>
      <c r="K306" s="63"/>
      <c r="L306" s="63"/>
      <c r="M306" s="68">
        <f>N306</f>
        <v>3060</v>
      </c>
      <c r="N306" s="63">
        <f>H306*0.9</f>
        <v>3060</v>
      </c>
      <c r="O306" s="68">
        <f>P306</f>
        <v>3060</v>
      </c>
      <c r="P306" s="63">
        <f>N306</f>
        <v>3060</v>
      </c>
      <c r="Q306" s="54"/>
      <c r="R306" s="54"/>
      <c r="S306" s="68">
        <f>O306</f>
        <v>3060</v>
      </c>
      <c r="T306" s="68">
        <f>P306</f>
        <v>3060</v>
      </c>
      <c r="U306" s="63"/>
      <c r="V306" s="63"/>
      <c r="W306" s="63"/>
      <c r="X306" s="63"/>
      <c r="Y306" s="63">
        <f>Z306</f>
        <v>2700</v>
      </c>
      <c r="Z306" s="63">
        <v>2700</v>
      </c>
      <c r="AA306" s="63">
        <f t="shared" si="406"/>
        <v>2700</v>
      </c>
      <c r="AB306" s="63">
        <f t="shared" si="406"/>
        <v>2700</v>
      </c>
      <c r="AC306" s="63">
        <f t="shared" si="407"/>
        <v>360</v>
      </c>
      <c r="AD306" s="63">
        <f t="shared" si="407"/>
        <v>360</v>
      </c>
      <c r="AE306" s="63">
        <f t="shared" si="408"/>
        <v>0</v>
      </c>
      <c r="AF306" s="63">
        <f t="shared" si="409"/>
        <v>0</v>
      </c>
      <c r="AG306" s="63"/>
      <c r="AH306" s="63"/>
      <c r="AI306" s="69"/>
      <c r="AJ306" s="19">
        <f t="shared" si="378"/>
        <v>0</v>
      </c>
      <c r="AK306" s="22">
        <f t="shared" si="348"/>
        <v>0</v>
      </c>
      <c r="AL306" s="22"/>
      <c r="AM306" s="12">
        <f t="shared" si="410"/>
        <v>1</v>
      </c>
      <c r="AO306" s="12">
        <f t="shared" si="411"/>
        <v>0</v>
      </c>
      <c r="AP306" s="12">
        <f t="shared" si="356"/>
        <v>0</v>
      </c>
      <c r="AQ306" s="12">
        <f t="shared" si="412"/>
        <v>0</v>
      </c>
      <c r="AR306" s="12">
        <f t="shared" si="363"/>
        <v>0</v>
      </c>
      <c r="AS306" s="12">
        <f>IF(Q306=0,0,1)</f>
        <v>0</v>
      </c>
      <c r="AT306" s="12">
        <f t="shared" si="395"/>
        <v>0</v>
      </c>
      <c r="AU306" s="12">
        <f>IF(R306=0,0,1)</f>
        <v>0</v>
      </c>
      <c r="AV306" s="12">
        <f t="shared" si="358"/>
        <v>0</v>
      </c>
    </row>
    <row r="307" spans="1:48" ht="33" hidden="1" x14ac:dyDescent="0.25">
      <c r="A307" s="60">
        <v>20</v>
      </c>
      <c r="B307" s="91" t="s">
        <v>720</v>
      </c>
      <c r="C307" s="61" t="s">
        <v>70</v>
      </c>
      <c r="D307" s="61"/>
      <c r="E307" s="70" t="s">
        <v>116</v>
      </c>
      <c r="F307" s="61"/>
      <c r="G307" s="68">
        <v>31695</v>
      </c>
      <c r="H307" s="80">
        <v>14263</v>
      </c>
      <c r="I307" s="63"/>
      <c r="J307" s="63"/>
      <c r="K307" s="63"/>
      <c r="L307" s="63"/>
      <c r="M307" s="68">
        <v>28500</v>
      </c>
      <c r="N307" s="63">
        <v>12800</v>
      </c>
      <c r="O307" s="68"/>
      <c r="P307" s="63"/>
      <c r="Q307" s="54"/>
      <c r="R307" s="54"/>
      <c r="S307" s="68"/>
      <c r="T307" s="63"/>
      <c r="U307" s="63"/>
      <c r="V307" s="63"/>
      <c r="W307" s="63"/>
      <c r="X307" s="63"/>
      <c r="Y307" s="63"/>
      <c r="Z307" s="63"/>
      <c r="AA307" s="63">
        <f t="shared" si="406"/>
        <v>0</v>
      </c>
      <c r="AB307" s="63">
        <f t="shared" si="406"/>
        <v>0</v>
      </c>
      <c r="AC307" s="63">
        <f t="shared" si="407"/>
        <v>0</v>
      </c>
      <c r="AD307" s="63">
        <f t="shared" si="407"/>
        <v>0</v>
      </c>
      <c r="AE307" s="63">
        <f t="shared" si="408"/>
        <v>0</v>
      </c>
      <c r="AF307" s="63">
        <f t="shared" si="409"/>
        <v>0</v>
      </c>
      <c r="AG307" s="63"/>
      <c r="AH307" s="63"/>
      <c r="AI307" s="25" t="s">
        <v>284</v>
      </c>
      <c r="AJ307" s="19">
        <f t="shared" si="378"/>
        <v>0</v>
      </c>
      <c r="AK307" s="22">
        <f t="shared" si="348"/>
        <v>0</v>
      </c>
      <c r="AL307" s="22"/>
      <c r="AM307" s="12">
        <f t="shared" si="410"/>
        <v>1</v>
      </c>
      <c r="AO307" s="12">
        <f t="shared" si="411"/>
        <v>1</v>
      </c>
      <c r="AP307" s="12">
        <f t="shared" si="356"/>
        <v>12800</v>
      </c>
      <c r="AQ307" s="12">
        <f t="shared" si="412"/>
        <v>0</v>
      </c>
      <c r="AR307" s="12">
        <f t="shared" si="363"/>
        <v>0</v>
      </c>
      <c r="AS307" s="12">
        <f>IF(Q307=0,0,1)</f>
        <v>0</v>
      </c>
      <c r="AT307" s="12">
        <f t="shared" si="395"/>
        <v>0</v>
      </c>
    </row>
    <row r="308" spans="1:48" s="89" customFormat="1" ht="49.5" hidden="1" x14ac:dyDescent="0.25">
      <c r="A308" s="60">
        <v>21</v>
      </c>
      <c r="B308" s="91" t="s">
        <v>721</v>
      </c>
      <c r="C308" s="61" t="s">
        <v>205</v>
      </c>
      <c r="D308" s="61"/>
      <c r="E308" s="70" t="s">
        <v>290</v>
      </c>
      <c r="F308" s="61"/>
      <c r="G308" s="68">
        <v>18500</v>
      </c>
      <c r="H308" s="80">
        <f>G308*0.45</f>
        <v>8325</v>
      </c>
      <c r="I308" s="63"/>
      <c r="J308" s="63"/>
      <c r="K308" s="63"/>
      <c r="L308" s="63"/>
      <c r="M308" s="68">
        <f>G308*0.9</f>
        <v>16650</v>
      </c>
      <c r="N308" s="68">
        <v>7500</v>
      </c>
      <c r="O308" s="68">
        <f>M308*0.9</f>
        <v>14985</v>
      </c>
      <c r="P308" s="68">
        <v>7500</v>
      </c>
      <c r="Q308" s="54"/>
      <c r="R308" s="54"/>
      <c r="S308" s="68">
        <f>O308</f>
        <v>14985</v>
      </c>
      <c r="T308" s="68">
        <f>P308</f>
        <v>7500</v>
      </c>
      <c r="U308" s="63"/>
      <c r="V308" s="63"/>
      <c r="W308" s="63"/>
      <c r="X308" s="63"/>
      <c r="Y308" s="63"/>
      <c r="Z308" s="63"/>
      <c r="AA308" s="63">
        <f t="shared" si="406"/>
        <v>0</v>
      </c>
      <c r="AB308" s="63">
        <f t="shared" si="406"/>
        <v>0</v>
      </c>
      <c r="AC308" s="63">
        <f t="shared" si="407"/>
        <v>14985</v>
      </c>
      <c r="AD308" s="63">
        <f t="shared" si="407"/>
        <v>7500</v>
      </c>
      <c r="AE308" s="63">
        <f t="shared" si="408"/>
        <v>7500</v>
      </c>
      <c r="AF308" s="63">
        <f t="shared" si="409"/>
        <v>7500</v>
      </c>
      <c r="AG308" s="63"/>
      <c r="AH308" s="63"/>
      <c r="AI308" s="25" t="s">
        <v>722</v>
      </c>
      <c r="AJ308" s="19">
        <f t="shared" si="378"/>
        <v>0</v>
      </c>
      <c r="AK308" s="22">
        <f t="shared" si="348"/>
        <v>0</v>
      </c>
      <c r="AL308" s="22"/>
      <c r="AM308" s="12">
        <f t="shared" si="410"/>
        <v>1</v>
      </c>
      <c r="AN308" s="12"/>
      <c r="AO308" s="12">
        <f t="shared" si="411"/>
        <v>0</v>
      </c>
      <c r="AP308" s="12">
        <f t="shared" si="356"/>
        <v>0</v>
      </c>
      <c r="AQ308" s="12">
        <f t="shared" si="412"/>
        <v>0</v>
      </c>
      <c r="AR308" s="12">
        <f t="shared" si="363"/>
        <v>0</v>
      </c>
      <c r="AS308" s="12">
        <f>IF(Q308=0,0,1)</f>
        <v>0</v>
      </c>
      <c r="AT308" s="12">
        <f t="shared" si="395"/>
        <v>0</v>
      </c>
      <c r="AU308" s="12">
        <f>IF(R308=0,0,1)</f>
        <v>0</v>
      </c>
      <c r="AV308" s="12">
        <f t="shared" si="358"/>
        <v>0</v>
      </c>
    </row>
    <row r="309" spans="1:48" ht="49.5" hidden="1" x14ac:dyDescent="0.25">
      <c r="A309" s="60">
        <v>22</v>
      </c>
      <c r="B309" s="91" t="s">
        <v>723</v>
      </c>
      <c r="C309" s="61" t="s">
        <v>230</v>
      </c>
      <c r="D309" s="61"/>
      <c r="E309" s="70" t="s">
        <v>290</v>
      </c>
      <c r="F309" s="61"/>
      <c r="G309" s="68">
        <v>2990</v>
      </c>
      <c r="H309" s="80">
        <f>G309</f>
        <v>2990</v>
      </c>
      <c r="I309" s="63"/>
      <c r="J309" s="63"/>
      <c r="K309" s="63"/>
      <c r="L309" s="63"/>
      <c r="M309" s="68">
        <v>2700</v>
      </c>
      <c r="N309" s="68">
        <f>M309</f>
        <v>2700</v>
      </c>
      <c r="O309" s="68">
        <v>2700</v>
      </c>
      <c r="P309" s="68">
        <f>O309</f>
        <v>2700</v>
      </c>
      <c r="Q309" s="54"/>
      <c r="R309" s="54"/>
      <c r="S309" s="68">
        <v>2700</v>
      </c>
      <c r="T309" s="68">
        <f>S309</f>
        <v>2700</v>
      </c>
      <c r="U309" s="63"/>
      <c r="V309" s="63"/>
      <c r="W309" s="63"/>
      <c r="X309" s="63"/>
      <c r="Y309" s="63"/>
      <c r="Z309" s="63"/>
      <c r="AA309" s="63">
        <f t="shared" si="406"/>
        <v>0</v>
      </c>
      <c r="AB309" s="63">
        <f t="shared" si="406"/>
        <v>0</v>
      </c>
      <c r="AC309" s="63">
        <f t="shared" si="407"/>
        <v>2700</v>
      </c>
      <c r="AD309" s="63">
        <f t="shared" si="407"/>
        <v>2700</v>
      </c>
      <c r="AE309" s="63">
        <f t="shared" si="408"/>
        <v>2700</v>
      </c>
      <c r="AF309" s="63">
        <f t="shared" si="409"/>
        <v>2700</v>
      </c>
      <c r="AG309" s="63"/>
      <c r="AH309" s="63"/>
      <c r="AI309" s="25"/>
      <c r="AJ309" s="19">
        <f t="shared" si="378"/>
        <v>0</v>
      </c>
      <c r="AK309" s="22">
        <f t="shared" ref="AK309:AK375" si="422">AJ309</f>
        <v>0</v>
      </c>
      <c r="AL309" s="22"/>
      <c r="AM309" s="12">
        <f t="shared" si="410"/>
        <v>1</v>
      </c>
      <c r="AO309" s="12">
        <f t="shared" si="411"/>
        <v>0</v>
      </c>
      <c r="AP309" s="12">
        <f t="shared" si="356"/>
        <v>0</v>
      </c>
      <c r="AQ309" s="12">
        <f t="shared" si="412"/>
        <v>0</v>
      </c>
      <c r="AR309" s="12">
        <f t="shared" si="363"/>
        <v>0</v>
      </c>
      <c r="AS309" s="12">
        <f>IF(Q309=0,0,1)</f>
        <v>0</v>
      </c>
      <c r="AT309" s="12">
        <f t="shared" si="395"/>
        <v>0</v>
      </c>
      <c r="AU309" s="12">
        <f>IF(R309=0,0,1)</f>
        <v>0</v>
      </c>
      <c r="AV309" s="12">
        <f t="shared" si="358"/>
        <v>0</v>
      </c>
    </row>
    <row r="310" spans="1:48" ht="49.5" hidden="1" x14ac:dyDescent="0.25">
      <c r="A310" s="60">
        <v>23</v>
      </c>
      <c r="B310" s="91" t="s">
        <v>724</v>
      </c>
      <c r="C310" s="61" t="s">
        <v>70</v>
      </c>
      <c r="D310" s="61"/>
      <c r="E310" s="70" t="s">
        <v>116</v>
      </c>
      <c r="F310" s="61"/>
      <c r="G310" s="68">
        <f>H310</f>
        <v>2970.0000000000005</v>
      </c>
      <c r="H310" s="80">
        <f>2700*1.1</f>
        <v>2970.0000000000005</v>
      </c>
      <c r="I310" s="63"/>
      <c r="J310" s="63"/>
      <c r="K310" s="63"/>
      <c r="L310" s="63"/>
      <c r="M310" s="68"/>
      <c r="N310" s="63"/>
      <c r="O310" s="68">
        <f>P310</f>
        <v>2700</v>
      </c>
      <c r="P310" s="63">
        <f>2700</f>
        <v>2700</v>
      </c>
      <c r="Q310" s="68"/>
      <c r="R310" s="68"/>
      <c r="S310" s="68">
        <f>T310</f>
        <v>2700</v>
      </c>
      <c r="T310" s="63">
        <f>2700</f>
        <v>2700</v>
      </c>
      <c r="U310" s="63"/>
      <c r="V310" s="63"/>
      <c r="W310" s="63"/>
      <c r="X310" s="63"/>
      <c r="Y310" s="63"/>
      <c r="Z310" s="63"/>
      <c r="AA310" s="63">
        <f t="shared" ref="AA310:AB312" si="423">U310+W310+Y310</f>
        <v>0</v>
      </c>
      <c r="AB310" s="63">
        <f t="shared" si="423"/>
        <v>0</v>
      </c>
      <c r="AC310" s="63">
        <f t="shared" si="407"/>
        <v>2700</v>
      </c>
      <c r="AD310" s="63">
        <f t="shared" si="407"/>
        <v>2700</v>
      </c>
      <c r="AE310" s="63">
        <f>AF310</f>
        <v>2700</v>
      </c>
      <c r="AF310" s="63">
        <f>IF(AB310=0,AD310,0)</f>
        <v>2700</v>
      </c>
      <c r="AG310" s="63"/>
      <c r="AH310" s="63"/>
      <c r="AI310" s="25" t="s">
        <v>84</v>
      </c>
      <c r="AJ310" s="19">
        <f t="shared" si="378"/>
        <v>0</v>
      </c>
      <c r="AK310" s="22">
        <f>AJ310</f>
        <v>0</v>
      </c>
      <c r="AL310" s="22"/>
      <c r="AM310" s="12">
        <f>IF(AJ310=0,1,0)</f>
        <v>1</v>
      </c>
      <c r="AO310" s="12">
        <f>IF(P310=0,1,0)</f>
        <v>0</v>
      </c>
      <c r="AP310" s="12">
        <f t="shared" si="356"/>
        <v>0</v>
      </c>
      <c r="AQ310" s="12">
        <f>IF(N310=0,1,0)</f>
        <v>1</v>
      </c>
      <c r="AR310" s="12">
        <f t="shared" si="363"/>
        <v>2700</v>
      </c>
      <c r="AU310" s="12">
        <f>IF(R310=0,0,1)</f>
        <v>0</v>
      </c>
      <c r="AV310" s="12">
        <f>IF(AU310=1,R310,0)</f>
        <v>0</v>
      </c>
    </row>
    <row r="311" spans="1:48" ht="66" hidden="1" x14ac:dyDescent="0.25">
      <c r="A311" s="60">
        <v>24</v>
      </c>
      <c r="B311" s="91" t="s">
        <v>725</v>
      </c>
      <c r="C311" s="61" t="s">
        <v>709</v>
      </c>
      <c r="D311" s="61"/>
      <c r="E311" s="70" t="s">
        <v>116</v>
      </c>
      <c r="F311" s="61"/>
      <c r="G311" s="68">
        <f>H311</f>
        <v>3300</v>
      </c>
      <c r="H311" s="80">
        <v>3300</v>
      </c>
      <c r="I311" s="63"/>
      <c r="J311" s="63"/>
      <c r="K311" s="63"/>
      <c r="L311" s="63"/>
      <c r="M311" s="68"/>
      <c r="N311" s="63"/>
      <c r="O311" s="68">
        <f>P311</f>
        <v>3000</v>
      </c>
      <c r="P311" s="63">
        <v>3000</v>
      </c>
      <c r="Q311" s="68"/>
      <c r="R311" s="68"/>
      <c r="S311" s="68">
        <f>T311</f>
        <v>3000</v>
      </c>
      <c r="T311" s="63">
        <v>3000</v>
      </c>
      <c r="U311" s="63"/>
      <c r="V311" s="63"/>
      <c r="W311" s="63"/>
      <c r="X311" s="63"/>
      <c r="Y311" s="63"/>
      <c r="Z311" s="63"/>
      <c r="AA311" s="63">
        <f t="shared" si="423"/>
        <v>0</v>
      </c>
      <c r="AB311" s="63">
        <f t="shared" si="423"/>
        <v>0</v>
      </c>
      <c r="AC311" s="63">
        <f t="shared" si="407"/>
        <v>3000</v>
      </c>
      <c r="AD311" s="63">
        <f t="shared" si="407"/>
        <v>3000</v>
      </c>
      <c r="AE311" s="63">
        <f>AF311</f>
        <v>3000</v>
      </c>
      <c r="AF311" s="63">
        <f>IF(AB311=0,AD311,0)</f>
        <v>3000</v>
      </c>
      <c r="AG311" s="63"/>
      <c r="AH311" s="63"/>
      <c r="AI311" s="25" t="s">
        <v>84</v>
      </c>
      <c r="AJ311" s="19">
        <f t="shared" si="378"/>
        <v>0</v>
      </c>
      <c r="AK311" s="22">
        <f>AJ311</f>
        <v>0</v>
      </c>
      <c r="AL311" s="22"/>
      <c r="AM311" s="12">
        <f>IF(AJ311=0,1,0)</f>
        <v>1</v>
      </c>
      <c r="AO311" s="12">
        <f>IF(P311=0,1,0)</f>
        <v>0</v>
      </c>
      <c r="AP311" s="12">
        <f t="shared" si="356"/>
        <v>0</v>
      </c>
      <c r="AQ311" s="12">
        <f>IF(N311=0,1,0)</f>
        <v>1</v>
      </c>
      <c r="AR311" s="12">
        <f t="shared" si="363"/>
        <v>3000</v>
      </c>
      <c r="AU311" s="12">
        <f>IF(R311=0,0,1)</f>
        <v>0</v>
      </c>
      <c r="AV311" s="12">
        <f>IF(AU311=1,R311,0)</f>
        <v>0</v>
      </c>
    </row>
    <row r="312" spans="1:48" ht="33" hidden="1" x14ac:dyDescent="0.25">
      <c r="A312" s="60">
        <v>25</v>
      </c>
      <c r="B312" s="91" t="s">
        <v>726</v>
      </c>
      <c r="C312" s="61" t="s">
        <v>70</v>
      </c>
      <c r="D312" s="61"/>
      <c r="E312" s="70" t="s">
        <v>116</v>
      </c>
      <c r="F312" s="61"/>
      <c r="G312" s="68">
        <f>H312</f>
        <v>3300</v>
      </c>
      <c r="H312" s="80">
        <v>3300</v>
      </c>
      <c r="I312" s="63"/>
      <c r="J312" s="63"/>
      <c r="K312" s="63"/>
      <c r="L312" s="63"/>
      <c r="M312" s="68"/>
      <c r="N312" s="63"/>
      <c r="O312" s="68">
        <f>P312</f>
        <v>3000</v>
      </c>
      <c r="P312" s="63">
        <v>3000</v>
      </c>
      <c r="Q312" s="68"/>
      <c r="R312" s="68"/>
      <c r="S312" s="68">
        <f>T312</f>
        <v>3000</v>
      </c>
      <c r="T312" s="63">
        <v>3000</v>
      </c>
      <c r="U312" s="63"/>
      <c r="V312" s="63"/>
      <c r="W312" s="63"/>
      <c r="X312" s="63"/>
      <c r="Y312" s="63"/>
      <c r="Z312" s="63"/>
      <c r="AA312" s="63">
        <f t="shared" si="423"/>
        <v>0</v>
      </c>
      <c r="AB312" s="63">
        <f t="shared" si="423"/>
        <v>0</v>
      </c>
      <c r="AC312" s="63">
        <f t="shared" si="407"/>
        <v>3000</v>
      </c>
      <c r="AD312" s="63">
        <f t="shared" si="407"/>
        <v>3000</v>
      </c>
      <c r="AE312" s="63">
        <f>AF312</f>
        <v>3000</v>
      </c>
      <c r="AF312" s="63">
        <f>IF(AB312=0,AD312,0)</f>
        <v>3000</v>
      </c>
      <c r="AG312" s="63"/>
      <c r="AH312" s="63"/>
      <c r="AI312" s="25" t="s">
        <v>84</v>
      </c>
      <c r="AJ312" s="19">
        <f t="shared" si="378"/>
        <v>0</v>
      </c>
      <c r="AK312" s="22">
        <f>AJ312</f>
        <v>0</v>
      </c>
      <c r="AL312" s="22"/>
      <c r="AM312" s="12">
        <f>IF(AJ312=0,1,0)</f>
        <v>1</v>
      </c>
      <c r="AO312" s="12">
        <f>IF(P312=0,1,0)</f>
        <v>0</v>
      </c>
      <c r="AP312" s="12">
        <f t="shared" si="356"/>
        <v>0</v>
      </c>
      <c r="AQ312" s="12">
        <f>IF(N312=0,1,0)</f>
        <v>1</v>
      </c>
      <c r="AR312" s="12">
        <f t="shared" si="363"/>
        <v>3000</v>
      </c>
      <c r="AU312" s="12">
        <f>IF(R312=0,0,1)</f>
        <v>0</v>
      </c>
      <c r="AV312" s="12">
        <f>IF(AU312=1,R312,0)</f>
        <v>0</v>
      </c>
    </row>
    <row r="313" spans="1:48" s="49" customFormat="1" ht="34.5" x14ac:dyDescent="0.25">
      <c r="A313" s="93" t="s">
        <v>47</v>
      </c>
      <c r="B313" s="44" t="s">
        <v>138</v>
      </c>
      <c r="C313" s="72"/>
      <c r="D313" s="72"/>
      <c r="E313" s="72"/>
      <c r="F313" s="72"/>
      <c r="G313" s="46">
        <f t="shared" ref="G313:T313" si="424">SUM(G314:G315)</f>
        <v>486410</v>
      </c>
      <c r="H313" s="46">
        <f t="shared" si="424"/>
        <v>191247</v>
      </c>
      <c r="I313" s="46">
        <f t="shared" si="424"/>
        <v>0</v>
      </c>
      <c r="J313" s="46">
        <f t="shared" si="424"/>
        <v>0</v>
      </c>
      <c r="K313" s="46">
        <f t="shared" si="424"/>
        <v>0</v>
      </c>
      <c r="L313" s="46">
        <f t="shared" si="424"/>
        <v>0</v>
      </c>
      <c r="M313" s="46">
        <f t="shared" si="424"/>
        <v>16100</v>
      </c>
      <c r="N313" s="46">
        <f t="shared" si="424"/>
        <v>3500</v>
      </c>
      <c r="O313" s="46">
        <f t="shared" si="424"/>
        <v>186100</v>
      </c>
      <c r="P313" s="46">
        <f t="shared" si="424"/>
        <v>16300</v>
      </c>
      <c r="Q313" s="46">
        <f t="shared" si="424"/>
        <v>3500</v>
      </c>
      <c r="R313" s="46">
        <f t="shared" si="424"/>
        <v>3500</v>
      </c>
      <c r="S313" s="46">
        <f t="shared" si="424"/>
        <v>170000</v>
      </c>
      <c r="T313" s="46">
        <f t="shared" si="424"/>
        <v>16300</v>
      </c>
      <c r="U313" s="46">
        <f t="shared" ref="U313:AH313" si="425">SUM(U314:U315)</f>
        <v>0</v>
      </c>
      <c r="V313" s="46">
        <f t="shared" si="425"/>
        <v>0</v>
      </c>
      <c r="W313" s="46">
        <f t="shared" si="425"/>
        <v>0</v>
      </c>
      <c r="X313" s="46">
        <f t="shared" si="425"/>
        <v>0</v>
      </c>
      <c r="Y313" s="46">
        <f t="shared" si="425"/>
        <v>0</v>
      </c>
      <c r="Z313" s="46">
        <f t="shared" si="425"/>
        <v>0</v>
      </c>
      <c r="AA313" s="46">
        <f t="shared" si="425"/>
        <v>0</v>
      </c>
      <c r="AB313" s="46">
        <f t="shared" si="425"/>
        <v>0</v>
      </c>
      <c r="AC313" s="46">
        <f t="shared" si="425"/>
        <v>186100</v>
      </c>
      <c r="AD313" s="46">
        <f t="shared" si="425"/>
        <v>16300</v>
      </c>
      <c r="AE313" s="46">
        <f t="shared" si="425"/>
        <v>16300</v>
      </c>
      <c r="AF313" s="46">
        <f t="shared" si="425"/>
        <v>16300</v>
      </c>
      <c r="AG313" s="46">
        <f t="shared" si="425"/>
        <v>251669</v>
      </c>
      <c r="AH313" s="46">
        <f t="shared" si="425"/>
        <v>155822.30000000002</v>
      </c>
      <c r="AI313" s="127"/>
      <c r="AJ313" s="19">
        <f>AJ314</f>
        <v>1</v>
      </c>
      <c r="AK313" s="22"/>
      <c r="AL313" s="22"/>
      <c r="AM313" s="12"/>
      <c r="AN313" s="12"/>
      <c r="AO313" s="12"/>
      <c r="AP313" s="12">
        <f t="shared" si="356"/>
        <v>0</v>
      </c>
      <c r="AQ313" s="12"/>
      <c r="AR313" s="12">
        <f t="shared" si="363"/>
        <v>0</v>
      </c>
      <c r="AS313" s="12"/>
      <c r="AT313" s="12">
        <f t="shared" si="395"/>
        <v>0</v>
      </c>
      <c r="AU313" s="12"/>
      <c r="AV313" s="12">
        <f t="shared" si="358"/>
        <v>0</v>
      </c>
    </row>
    <row r="314" spans="1:48" ht="33" x14ac:dyDescent="0.25">
      <c r="A314" s="60">
        <v>26</v>
      </c>
      <c r="B314" s="91" t="s">
        <v>727</v>
      </c>
      <c r="C314" s="61" t="s">
        <v>230</v>
      </c>
      <c r="D314" s="61"/>
      <c r="E314" s="70" t="s">
        <v>168</v>
      </c>
      <c r="F314" s="61"/>
      <c r="G314" s="68">
        <v>27513</v>
      </c>
      <c r="H314" s="80"/>
      <c r="I314" s="63"/>
      <c r="J314" s="63"/>
      <c r="K314" s="63"/>
      <c r="L314" s="63"/>
      <c r="M314" s="63">
        <v>16100</v>
      </c>
      <c r="N314" s="63">
        <v>3500</v>
      </c>
      <c r="O314" s="63">
        <v>16100</v>
      </c>
      <c r="P314" s="63">
        <v>3500</v>
      </c>
      <c r="Q314" s="63"/>
      <c r="R314" s="63">
        <f>P314-T314</f>
        <v>3500</v>
      </c>
      <c r="S314" s="63"/>
      <c r="T314" s="63"/>
      <c r="U314" s="63"/>
      <c r="V314" s="63"/>
      <c r="W314" s="63"/>
      <c r="X314" s="63"/>
      <c r="Y314" s="63"/>
      <c r="Z314" s="63"/>
      <c r="AA314" s="63">
        <f t="shared" ref="AA314:AB315" si="426">U314+W314+Y314</f>
        <v>0</v>
      </c>
      <c r="AB314" s="63">
        <f t="shared" si="426"/>
        <v>0</v>
      </c>
      <c r="AC314" s="63">
        <f>O314-AA314</f>
        <v>16100</v>
      </c>
      <c r="AD314" s="63">
        <f>P314-AB314</f>
        <v>3500</v>
      </c>
      <c r="AE314" s="63">
        <f t="shared" ref="AE314:AE315" si="427">AF314</f>
        <v>3500</v>
      </c>
      <c r="AF314" s="63">
        <f t="shared" ref="AF314:AF315" si="428">IF(AB314=0,AD314,0)</f>
        <v>3500</v>
      </c>
      <c r="AG314" s="54">
        <f t="shared" ref="AG314:AH315" si="429">G314*0.9-O314</f>
        <v>8661.7000000000007</v>
      </c>
      <c r="AH314" s="54">
        <f t="shared" si="429"/>
        <v>-3500</v>
      </c>
      <c r="AI314" s="25" t="s">
        <v>2138</v>
      </c>
      <c r="AJ314" s="19">
        <f t="shared" si="378"/>
        <v>1</v>
      </c>
      <c r="AK314" s="22">
        <f t="shared" ref="AK314" si="430">AJ314</f>
        <v>1</v>
      </c>
      <c r="AL314" s="22"/>
      <c r="AM314" s="12">
        <f>IF(AJ314=0,1,0)</f>
        <v>0</v>
      </c>
      <c r="AO314" s="12">
        <f>IF(P314=0,1,0)</f>
        <v>0</v>
      </c>
      <c r="AP314" s="12">
        <f t="shared" si="356"/>
        <v>0</v>
      </c>
      <c r="AQ314" s="12">
        <f>IF(N314=0,1,0)</f>
        <v>0</v>
      </c>
      <c r="AR314" s="12">
        <f t="shared" si="363"/>
        <v>0</v>
      </c>
      <c r="AS314" s="12">
        <f>IF(Q314=0,0,1)</f>
        <v>0</v>
      </c>
      <c r="AT314" s="12">
        <f t="shared" si="395"/>
        <v>0</v>
      </c>
      <c r="AU314" s="12">
        <f>IF(R314=0,0,1)</f>
        <v>1</v>
      </c>
      <c r="AV314" s="12">
        <f t="shared" si="358"/>
        <v>3500</v>
      </c>
    </row>
    <row r="315" spans="1:48" ht="74.25" customHeight="1" x14ac:dyDescent="0.25">
      <c r="A315" s="60">
        <v>27</v>
      </c>
      <c r="B315" s="91" t="s">
        <v>728</v>
      </c>
      <c r="C315" s="61" t="s">
        <v>70</v>
      </c>
      <c r="D315" s="61"/>
      <c r="E315" s="70" t="s">
        <v>332</v>
      </c>
      <c r="F315" s="61"/>
      <c r="G315" s="128">
        <v>458897</v>
      </c>
      <c r="H315" s="129">
        <f>76540+114707</f>
        <v>191247</v>
      </c>
      <c r="I315" s="63"/>
      <c r="J315" s="63"/>
      <c r="K315" s="63"/>
      <c r="L315" s="63"/>
      <c r="M315" s="63"/>
      <c r="N315" s="63"/>
      <c r="O315" s="68">
        <v>170000</v>
      </c>
      <c r="P315" s="63">
        <v>12800</v>
      </c>
      <c r="Q315" s="63">
        <f>T315-P315</f>
        <v>3500</v>
      </c>
      <c r="R315" s="63"/>
      <c r="S315" s="68">
        <v>170000</v>
      </c>
      <c r="T315" s="63">
        <f>12800+3500</f>
        <v>16300</v>
      </c>
      <c r="U315" s="63"/>
      <c r="V315" s="63"/>
      <c r="W315" s="63"/>
      <c r="X315" s="63"/>
      <c r="Y315" s="63"/>
      <c r="Z315" s="63"/>
      <c r="AA315" s="63">
        <f t="shared" si="426"/>
        <v>0</v>
      </c>
      <c r="AB315" s="63">
        <f t="shared" si="426"/>
        <v>0</v>
      </c>
      <c r="AC315" s="63">
        <f>O315-AA315</f>
        <v>170000</v>
      </c>
      <c r="AD315" s="63">
        <f>P315-AB315</f>
        <v>12800</v>
      </c>
      <c r="AE315" s="63">
        <f t="shared" si="427"/>
        <v>12800</v>
      </c>
      <c r="AF315" s="63">
        <f t="shared" si="428"/>
        <v>12800</v>
      </c>
      <c r="AG315" s="54">
        <f t="shared" si="429"/>
        <v>243007.3</v>
      </c>
      <c r="AH315" s="54">
        <f t="shared" si="429"/>
        <v>159322.30000000002</v>
      </c>
      <c r="AI315" s="25" t="s">
        <v>729</v>
      </c>
      <c r="AJ315" s="19">
        <f t="shared" si="378"/>
        <v>1</v>
      </c>
      <c r="AK315" s="22">
        <f t="shared" si="422"/>
        <v>1</v>
      </c>
      <c r="AL315" s="22"/>
      <c r="AM315" s="12">
        <f>IF(AJ315=0,1,0)</f>
        <v>0</v>
      </c>
      <c r="AO315" s="12">
        <f>IF(P315=0,1,0)</f>
        <v>0</v>
      </c>
      <c r="AP315" s="12">
        <f t="shared" si="356"/>
        <v>0</v>
      </c>
      <c r="AQ315" s="12">
        <f>IF(N315=0,1,0)</f>
        <v>1</v>
      </c>
      <c r="AR315" s="12">
        <f t="shared" si="363"/>
        <v>12800</v>
      </c>
      <c r="AS315" s="12">
        <f>IF(Q315=0,0,1)</f>
        <v>1</v>
      </c>
      <c r="AT315" s="12">
        <f t="shared" si="395"/>
        <v>3500</v>
      </c>
      <c r="AU315" s="12">
        <f>IF(R315=0,0,1)</f>
        <v>0</v>
      </c>
      <c r="AV315" s="12">
        <f t="shared" si="358"/>
        <v>0</v>
      </c>
    </row>
    <row r="316" spans="1:48" s="34" customFormat="1" ht="16.5" x14ac:dyDescent="0.25">
      <c r="A316" s="28" t="s">
        <v>730</v>
      </c>
      <c r="B316" s="29" t="s">
        <v>2144</v>
      </c>
      <c r="C316" s="30"/>
      <c r="D316" s="30"/>
      <c r="E316" s="30"/>
      <c r="F316" s="30"/>
      <c r="G316" s="31">
        <f>G317</f>
        <v>59386</v>
      </c>
      <c r="H316" s="31">
        <f t="shared" ref="H316:L316" si="431">H317</f>
        <v>59386</v>
      </c>
      <c r="I316" s="31">
        <f t="shared" si="431"/>
        <v>12000</v>
      </c>
      <c r="J316" s="31">
        <f t="shared" si="431"/>
        <v>12000</v>
      </c>
      <c r="K316" s="31">
        <f t="shared" si="431"/>
        <v>12000</v>
      </c>
      <c r="L316" s="31">
        <f t="shared" si="431"/>
        <v>12000</v>
      </c>
      <c r="M316" s="31">
        <f t="shared" ref="M316:AH316" si="432">M317+M325</f>
        <v>609590</v>
      </c>
      <c r="N316" s="31">
        <f t="shared" si="432"/>
        <v>274000</v>
      </c>
      <c r="O316" s="31">
        <f t="shared" si="432"/>
        <v>691043</v>
      </c>
      <c r="P316" s="31">
        <f t="shared" si="432"/>
        <v>281210</v>
      </c>
      <c r="Q316" s="31">
        <f t="shared" si="432"/>
        <v>17500</v>
      </c>
      <c r="R316" s="31">
        <f t="shared" si="432"/>
        <v>0</v>
      </c>
      <c r="S316" s="31">
        <f t="shared" ref="S316:X316" si="433">S317</f>
        <v>40000</v>
      </c>
      <c r="T316" s="31">
        <f t="shared" si="433"/>
        <v>40000</v>
      </c>
      <c r="U316" s="31">
        <f t="shared" si="433"/>
        <v>22500</v>
      </c>
      <c r="V316" s="31">
        <f t="shared" si="433"/>
        <v>22500</v>
      </c>
      <c r="W316" s="31">
        <f t="shared" si="433"/>
        <v>0</v>
      </c>
      <c r="X316" s="31">
        <f t="shared" si="433"/>
        <v>0</v>
      </c>
      <c r="Y316" s="31">
        <f t="shared" si="432"/>
        <v>58860</v>
      </c>
      <c r="Z316" s="31">
        <f t="shared" si="432"/>
        <v>22800</v>
      </c>
      <c r="AA316" s="31">
        <f t="shared" si="432"/>
        <v>254182</v>
      </c>
      <c r="AB316" s="31">
        <f t="shared" si="432"/>
        <v>218122</v>
      </c>
      <c r="AC316" s="31">
        <f t="shared" si="432"/>
        <v>345796</v>
      </c>
      <c r="AD316" s="31">
        <f t="shared" si="432"/>
        <v>46266</v>
      </c>
      <c r="AE316" s="31">
        <f t="shared" si="432"/>
        <v>25365</v>
      </c>
      <c r="AF316" s="31">
        <f t="shared" si="432"/>
        <v>25365</v>
      </c>
      <c r="AG316" s="31">
        <f t="shared" si="432"/>
        <v>0</v>
      </c>
      <c r="AH316" s="31">
        <f t="shared" si="432"/>
        <v>0</v>
      </c>
      <c r="AI316" s="32"/>
      <c r="AJ316" s="19">
        <f t="shared" si="378"/>
        <v>1</v>
      </c>
      <c r="AK316" s="22"/>
      <c r="AL316" s="22"/>
      <c r="AM316" s="12"/>
      <c r="AN316" s="12"/>
      <c r="AO316" s="12"/>
      <c r="AP316" s="12">
        <f t="shared" si="356"/>
        <v>0</v>
      </c>
      <c r="AQ316" s="12"/>
      <c r="AR316" s="12">
        <f t="shared" si="363"/>
        <v>0</v>
      </c>
      <c r="AS316" s="12"/>
      <c r="AT316" s="12">
        <f t="shared" si="395"/>
        <v>0</v>
      </c>
      <c r="AU316" s="12"/>
      <c r="AV316" s="12">
        <f t="shared" si="358"/>
        <v>0</v>
      </c>
    </row>
    <row r="317" spans="1:48" s="42" customFormat="1" ht="51.75" x14ac:dyDescent="0.25">
      <c r="A317" s="35" t="s">
        <v>45</v>
      </c>
      <c r="B317" s="36" t="s">
        <v>46</v>
      </c>
      <c r="C317" s="37"/>
      <c r="D317" s="37"/>
      <c r="E317" s="37"/>
      <c r="F317" s="37"/>
      <c r="G317" s="38">
        <f>G318</f>
        <v>59386</v>
      </c>
      <c r="H317" s="38">
        <f t="shared" ref="H317:L317" si="434">H318</f>
        <v>59386</v>
      </c>
      <c r="I317" s="38">
        <f t="shared" si="434"/>
        <v>12000</v>
      </c>
      <c r="J317" s="38">
        <f t="shared" si="434"/>
        <v>12000</v>
      </c>
      <c r="K317" s="38">
        <f t="shared" si="434"/>
        <v>12000</v>
      </c>
      <c r="L317" s="38">
        <f t="shared" si="434"/>
        <v>12000</v>
      </c>
      <c r="M317" s="38">
        <f t="shared" ref="M317:AH317" si="435">M318</f>
        <v>79540</v>
      </c>
      <c r="N317" s="38">
        <f t="shared" si="435"/>
        <v>79540</v>
      </c>
      <c r="O317" s="38">
        <f t="shared" si="435"/>
        <v>79540</v>
      </c>
      <c r="P317" s="38">
        <f t="shared" si="435"/>
        <v>79540</v>
      </c>
      <c r="Q317" s="38">
        <f t="shared" si="435"/>
        <v>17500</v>
      </c>
      <c r="R317" s="38">
        <f t="shared" si="435"/>
        <v>0</v>
      </c>
      <c r="S317" s="38">
        <f t="shared" si="435"/>
        <v>40000</v>
      </c>
      <c r="T317" s="38">
        <f t="shared" si="435"/>
        <v>40000</v>
      </c>
      <c r="U317" s="38">
        <f t="shared" si="435"/>
        <v>22500</v>
      </c>
      <c r="V317" s="38">
        <f t="shared" si="435"/>
        <v>22500</v>
      </c>
      <c r="W317" s="38">
        <f t="shared" si="435"/>
        <v>0</v>
      </c>
      <c r="X317" s="38">
        <f t="shared" si="435"/>
        <v>0</v>
      </c>
      <c r="Y317" s="38">
        <f t="shared" si="435"/>
        <v>4000</v>
      </c>
      <c r="Z317" s="38">
        <f t="shared" si="435"/>
        <v>4000</v>
      </c>
      <c r="AA317" s="38">
        <f t="shared" si="435"/>
        <v>84963</v>
      </c>
      <c r="AB317" s="38">
        <f t="shared" si="435"/>
        <v>84963</v>
      </c>
      <c r="AC317" s="38">
        <f t="shared" si="435"/>
        <v>-5423</v>
      </c>
      <c r="AD317" s="38">
        <f t="shared" si="435"/>
        <v>-5423</v>
      </c>
      <c r="AE317" s="38">
        <f t="shared" si="435"/>
        <v>0</v>
      </c>
      <c r="AF317" s="38">
        <f t="shared" si="435"/>
        <v>0</v>
      </c>
      <c r="AG317" s="38">
        <f t="shared" si="435"/>
        <v>0</v>
      </c>
      <c r="AH317" s="38">
        <f t="shared" si="435"/>
        <v>0</v>
      </c>
      <c r="AI317" s="40"/>
      <c r="AJ317" s="19">
        <f t="shared" si="378"/>
        <v>1</v>
      </c>
      <c r="AK317" s="22"/>
      <c r="AL317" s="22"/>
      <c r="AM317" s="12"/>
      <c r="AN317" s="12"/>
      <c r="AO317" s="12"/>
      <c r="AP317" s="12">
        <f t="shared" ref="AP317:AP379" si="436">IF(AO317=1,N317,0)</f>
        <v>0</v>
      </c>
      <c r="AQ317" s="12"/>
      <c r="AR317" s="12">
        <f t="shared" si="363"/>
        <v>0</v>
      </c>
      <c r="AS317" s="12"/>
      <c r="AT317" s="12">
        <f t="shared" si="395"/>
        <v>0</v>
      </c>
      <c r="AU317" s="12"/>
      <c r="AV317" s="12">
        <f t="shared" si="358"/>
        <v>0</v>
      </c>
    </row>
    <row r="318" spans="1:48" s="49" customFormat="1" ht="34.5" x14ac:dyDescent="0.25">
      <c r="A318" s="43" t="s">
        <v>47</v>
      </c>
      <c r="B318" s="44" t="s">
        <v>48</v>
      </c>
      <c r="C318" s="45"/>
      <c r="D318" s="45"/>
      <c r="E318" s="45"/>
      <c r="F318" s="45"/>
      <c r="G318" s="46">
        <v>59386</v>
      </c>
      <c r="H318" s="46">
        <f>H321</f>
        <v>59386</v>
      </c>
      <c r="I318" s="46">
        <f t="shared" ref="I318:L318" si="437">I321</f>
        <v>12000</v>
      </c>
      <c r="J318" s="46">
        <f t="shared" si="437"/>
        <v>12000</v>
      </c>
      <c r="K318" s="46">
        <f t="shared" si="437"/>
        <v>12000</v>
      </c>
      <c r="L318" s="46">
        <f t="shared" si="437"/>
        <v>12000</v>
      </c>
      <c r="M318" s="46">
        <f t="shared" ref="M318:AH318" si="438">SUM(M321:M324)</f>
        <v>79540</v>
      </c>
      <c r="N318" s="46">
        <f t="shared" si="438"/>
        <v>79540</v>
      </c>
      <c r="O318" s="46">
        <f t="shared" si="438"/>
        <v>79540</v>
      </c>
      <c r="P318" s="46">
        <f>SUM(P321:P324)</f>
        <v>79540</v>
      </c>
      <c r="Q318" s="46">
        <f t="shared" si="438"/>
        <v>17500</v>
      </c>
      <c r="R318" s="46">
        <f t="shared" si="438"/>
        <v>0</v>
      </c>
      <c r="S318" s="46">
        <f t="shared" ref="S318:X318" si="439">S321</f>
        <v>40000</v>
      </c>
      <c r="T318" s="46">
        <f t="shared" si="439"/>
        <v>40000</v>
      </c>
      <c r="U318" s="46">
        <f t="shared" si="439"/>
        <v>22500</v>
      </c>
      <c r="V318" s="46">
        <f t="shared" si="439"/>
        <v>22500</v>
      </c>
      <c r="W318" s="46">
        <f t="shared" si="439"/>
        <v>0</v>
      </c>
      <c r="X318" s="46">
        <f t="shared" si="439"/>
        <v>0</v>
      </c>
      <c r="Y318" s="46">
        <f t="shared" si="438"/>
        <v>4000</v>
      </c>
      <c r="Z318" s="46">
        <f t="shared" si="438"/>
        <v>4000</v>
      </c>
      <c r="AA318" s="46">
        <f t="shared" si="438"/>
        <v>84963</v>
      </c>
      <c r="AB318" s="46">
        <f t="shared" si="438"/>
        <v>84963</v>
      </c>
      <c r="AC318" s="46">
        <f t="shared" si="438"/>
        <v>-5423</v>
      </c>
      <c r="AD318" s="46">
        <f t="shared" si="438"/>
        <v>-5423</v>
      </c>
      <c r="AE318" s="46">
        <f t="shared" si="438"/>
        <v>0</v>
      </c>
      <c r="AF318" s="46">
        <f t="shared" si="438"/>
        <v>0</v>
      </c>
      <c r="AG318" s="46">
        <f t="shared" si="438"/>
        <v>0</v>
      </c>
      <c r="AH318" s="46">
        <f t="shared" si="438"/>
        <v>0</v>
      </c>
      <c r="AI318" s="47"/>
      <c r="AJ318" s="19">
        <f t="shared" si="378"/>
        <v>1</v>
      </c>
      <c r="AK318" s="22"/>
      <c r="AL318" s="22"/>
      <c r="AM318" s="12"/>
      <c r="AN318" s="12"/>
      <c r="AO318" s="12"/>
      <c r="AP318" s="12">
        <f t="shared" si="436"/>
        <v>0</v>
      </c>
      <c r="AQ318" s="12"/>
      <c r="AR318" s="12">
        <f t="shared" si="363"/>
        <v>0</v>
      </c>
      <c r="AS318" s="12"/>
      <c r="AT318" s="12">
        <f t="shared" si="395"/>
        <v>0</v>
      </c>
      <c r="AU318" s="12"/>
      <c r="AV318" s="12">
        <f t="shared" ref="AV318:AV379" si="440">IF(AU318=1,R318,0)</f>
        <v>0</v>
      </c>
    </row>
    <row r="319" spans="1:48" ht="17.25" hidden="1" x14ac:dyDescent="0.25">
      <c r="A319" s="50"/>
      <c r="B319" s="51" t="s">
        <v>49</v>
      </c>
      <c r="C319" s="52"/>
      <c r="D319" s="52"/>
      <c r="E319" s="52"/>
      <c r="F319" s="52"/>
      <c r="G319" s="53"/>
      <c r="H319" s="53"/>
      <c r="I319" s="53"/>
      <c r="J319" s="53"/>
      <c r="K319" s="53"/>
      <c r="L319" s="53"/>
      <c r="M319" s="53"/>
      <c r="N319" s="53"/>
      <c r="O319" s="53"/>
      <c r="P319" s="53"/>
      <c r="Q319" s="54"/>
      <c r="R319" s="54"/>
      <c r="S319" s="53"/>
      <c r="T319" s="53"/>
      <c r="U319" s="63"/>
      <c r="V319" s="63"/>
      <c r="W319" s="63"/>
      <c r="X319" s="63"/>
      <c r="Y319" s="63"/>
      <c r="Z319" s="63"/>
      <c r="AA319" s="63"/>
      <c r="AB319" s="63"/>
      <c r="AC319" s="63"/>
      <c r="AD319" s="63"/>
      <c r="AE319" s="63"/>
      <c r="AF319" s="63"/>
      <c r="AG319" s="63"/>
      <c r="AH319" s="63"/>
      <c r="AI319" s="55"/>
      <c r="AJ319" s="19">
        <f t="shared" si="378"/>
        <v>0</v>
      </c>
      <c r="AK319" s="22"/>
      <c r="AL319" s="22"/>
      <c r="AP319" s="12">
        <f t="shared" si="436"/>
        <v>0</v>
      </c>
      <c r="AR319" s="12">
        <f t="shared" si="363"/>
        <v>0</v>
      </c>
      <c r="AT319" s="12">
        <f t="shared" si="395"/>
        <v>0</v>
      </c>
      <c r="AV319" s="12">
        <f t="shared" si="440"/>
        <v>0</v>
      </c>
    </row>
    <row r="320" spans="1:48" ht="69" hidden="1" x14ac:dyDescent="0.25">
      <c r="A320" s="50"/>
      <c r="B320" s="51" t="s">
        <v>732</v>
      </c>
      <c r="C320" s="57"/>
      <c r="D320" s="57"/>
      <c r="E320" s="57"/>
      <c r="F320" s="57"/>
      <c r="G320" s="58"/>
      <c r="H320" s="58"/>
      <c r="I320" s="58"/>
      <c r="J320" s="58"/>
      <c r="K320" s="58"/>
      <c r="L320" s="58"/>
      <c r="M320" s="58"/>
      <c r="N320" s="58"/>
      <c r="O320" s="58"/>
      <c r="P320" s="58"/>
      <c r="Q320" s="54"/>
      <c r="R320" s="54"/>
      <c r="S320" s="58"/>
      <c r="T320" s="58"/>
      <c r="U320" s="63"/>
      <c r="V320" s="63"/>
      <c r="W320" s="63"/>
      <c r="X320" s="63"/>
      <c r="Y320" s="63"/>
      <c r="Z320" s="63"/>
      <c r="AA320" s="63"/>
      <c r="AB320" s="63"/>
      <c r="AC320" s="63"/>
      <c r="AD320" s="63"/>
      <c r="AE320" s="63"/>
      <c r="AF320" s="63"/>
      <c r="AG320" s="63"/>
      <c r="AH320" s="63"/>
      <c r="AI320" s="59"/>
      <c r="AJ320" s="19">
        <f t="shared" si="378"/>
        <v>0</v>
      </c>
      <c r="AK320" s="22"/>
      <c r="AL320" s="22"/>
      <c r="AP320" s="12">
        <f t="shared" si="436"/>
        <v>0</v>
      </c>
      <c r="AR320" s="12">
        <f t="shared" si="363"/>
        <v>0</v>
      </c>
      <c r="AT320" s="12">
        <f t="shared" si="395"/>
        <v>0</v>
      </c>
      <c r="AV320" s="12">
        <f t="shared" si="440"/>
        <v>0</v>
      </c>
    </row>
    <row r="321" spans="1:48" ht="99" x14ac:dyDescent="0.25">
      <c r="A321" s="60">
        <v>1</v>
      </c>
      <c r="B321" s="9" t="s">
        <v>733</v>
      </c>
      <c r="C321" s="61" t="s">
        <v>336</v>
      </c>
      <c r="D321" s="61" t="s">
        <v>734</v>
      </c>
      <c r="E321" s="61" t="s">
        <v>72</v>
      </c>
      <c r="F321" s="61" t="s">
        <v>735</v>
      </c>
      <c r="G321" s="63" t="s">
        <v>909</v>
      </c>
      <c r="H321" s="80">
        <v>59386</v>
      </c>
      <c r="I321" s="63">
        <v>12000</v>
      </c>
      <c r="J321" s="63">
        <f>I321</f>
        <v>12000</v>
      </c>
      <c r="K321" s="63">
        <v>12000</v>
      </c>
      <c r="L321" s="63">
        <f>K321</f>
        <v>12000</v>
      </c>
      <c r="M321" s="68">
        <f>N321</f>
        <v>22500</v>
      </c>
      <c r="N321" s="63">
        <f>22000+500</f>
        <v>22500</v>
      </c>
      <c r="O321" s="68">
        <f>P321</f>
        <v>22500</v>
      </c>
      <c r="P321" s="63">
        <f>22000+500</f>
        <v>22500</v>
      </c>
      <c r="Q321" s="54">
        <f>T321-P321</f>
        <v>17500</v>
      </c>
      <c r="R321" s="54"/>
      <c r="S321" s="68">
        <f>T321</f>
        <v>40000</v>
      </c>
      <c r="T321" s="63">
        <v>40000</v>
      </c>
      <c r="U321" s="63">
        <f>V321</f>
        <v>22500</v>
      </c>
      <c r="V321" s="63">
        <v>22500</v>
      </c>
      <c r="W321" s="63"/>
      <c r="X321" s="63"/>
      <c r="Y321" s="63"/>
      <c r="Z321" s="63"/>
      <c r="AA321" s="63">
        <f t="shared" ref="AA321:AB324" si="441">U321+W321+Y321</f>
        <v>22500</v>
      </c>
      <c r="AB321" s="63">
        <f t="shared" si="441"/>
        <v>22500</v>
      </c>
      <c r="AC321" s="63">
        <f t="shared" ref="AC321:AD324" si="442">O321-AA321</f>
        <v>0</v>
      </c>
      <c r="AD321" s="63">
        <f t="shared" si="442"/>
        <v>0</v>
      </c>
      <c r="AE321" s="63">
        <f t="shared" ref="AE321:AE324" si="443">AF321</f>
        <v>0</v>
      </c>
      <c r="AF321" s="63">
        <f t="shared" ref="AF321:AF324" si="444">IF(AB321=0,AD321,0)</f>
        <v>0</v>
      </c>
      <c r="AG321" s="63"/>
      <c r="AH321" s="63"/>
      <c r="AI321" s="25" t="s">
        <v>917</v>
      </c>
      <c r="AJ321" s="19">
        <f t="shared" si="378"/>
        <v>1</v>
      </c>
      <c r="AK321" s="22">
        <f t="shared" si="422"/>
        <v>1</v>
      </c>
      <c r="AL321" s="22"/>
      <c r="AM321" s="12">
        <f>IF(AJ321=0,1,0)</f>
        <v>0</v>
      </c>
      <c r="AO321" s="12">
        <f>IF(P321=0,1,0)</f>
        <v>0</v>
      </c>
      <c r="AP321" s="12">
        <f t="shared" si="436"/>
        <v>0</v>
      </c>
      <c r="AQ321" s="12">
        <f>IF(N321=0,1,0)</f>
        <v>0</v>
      </c>
      <c r="AR321" s="12">
        <f t="shared" si="363"/>
        <v>0</v>
      </c>
      <c r="AS321" s="12">
        <f>IF(Q321=0,0,1)</f>
        <v>1</v>
      </c>
      <c r="AT321" s="12">
        <f t="shared" si="395"/>
        <v>17500</v>
      </c>
      <c r="AU321" s="12">
        <f>IF(R321=0,0,1)</f>
        <v>0</v>
      </c>
      <c r="AV321" s="12">
        <f t="shared" si="440"/>
        <v>0</v>
      </c>
    </row>
    <row r="322" spans="1:48" ht="49.5" hidden="1" x14ac:dyDescent="0.25">
      <c r="A322" s="60">
        <v>2</v>
      </c>
      <c r="B322" s="9" t="s">
        <v>736</v>
      </c>
      <c r="C322" s="61" t="s">
        <v>336</v>
      </c>
      <c r="D322" s="61" t="s">
        <v>737</v>
      </c>
      <c r="E322" s="61" t="s">
        <v>738</v>
      </c>
      <c r="F322" s="61" t="s">
        <v>739</v>
      </c>
      <c r="G322" s="75">
        <v>162854</v>
      </c>
      <c r="H322" s="80">
        <f>G322</f>
        <v>162854</v>
      </c>
      <c r="I322" s="63">
        <f>80000+3600</f>
        <v>83600</v>
      </c>
      <c r="J322" s="63">
        <f t="shared" ref="J322:L324" si="445">I322</f>
        <v>83600</v>
      </c>
      <c r="K322" s="63">
        <f>80000+3600</f>
        <v>83600</v>
      </c>
      <c r="L322" s="63">
        <f t="shared" si="445"/>
        <v>83600</v>
      </c>
      <c r="M322" s="68">
        <f>N322</f>
        <v>45000</v>
      </c>
      <c r="N322" s="63">
        <f>44230+770</f>
        <v>45000</v>
      </c>
      <c r="O322" s="68">
        <f>P322</f>
        <v>45000</v>
      </c>
      <c r="P322" s="63">
        <f>44230+770</f>
        <v>45000</v>
      </c>
      <c r="Q322" s="54"/>
      <c r="R322" s="54"/>
      <c r="S322" s="68">
        <f>T322</f>
        <v>45000</v>
      </c>
      <c r="T322" s="63">
        <f>44230+770</f>
        <v>45000</v>
      </c>
      <c r="U322" s="63">
        <f>V322</f>
        <v>45000</v>
      </c>
      <c r="V322" s="63">
        <v>45000</v>
      </c>
      <c r="W322" s="63"/>
      <c r="X322" s="63"/>
      <c r="Y322" s="63"/>
      <c r="Z322" s="63"/>
      <c r="AA322" s="63">
        <f t="shared" si="441"/>
        <v>45000</v>
      </c>
      <c r="AB322" s="63">
        <f t="shared" si="441"/>
        <v>45000</v>
      </c>
      <c r="AC322" s="63">
        <f t="shared" si="442"/>
        <v>0</v>
      </c>
      <c r="AD322" s="63">
        <f t="shared" si="442"/>
        <v>0</v>
      </c>
      <c r="AE322" s="63">
        <f t="shared" si="443"/>
        <v>0</v>
      </c>
      <c r="AF322" s="63">
        <f t="shared" si="444"/>
        <v>0</v>
      </c>
      <c r="AG322" s="63"/>
      <c r="AH322" s="63"/>
      <c r="AI322" s="69"/>
      <c r="AJ322" s="19">
        <f t="shared" si="378"/>
        <v>0</v>
      </c>
      <c r="AK322" s="22">
        <f t="shared" si="422"/>
        <v>0</v>
      </c>
      <c r="AL322" s="22"/>
      <c r="AM322" s="12">
        <f>IF(AJ322=0,1,0)</f>
        <v>1</v>
      </c>
      <c r="AO322" s="12">
        <f>IF(P322=0,1,0)</f>
        <v>0</v>
      </c>
      <c r="AP322" s="12">
        <f t="shared" si="436"/>
        <v>0</v>
      </c>
      <c r="AQ322" s="12">
        <f>IF(N322=0,1,0)</f>
        <v>0</v>
      </c>
      <c r="AR322" s="12">
        <f t="shared" si="363"/>
        <v>0</v>
      </c>
      <c r="AS322" s="12">
        <f>IF(Q322=0,0,1)</f>
        <v>0</v>
      </c>
      <c r="AT322" s="12">
        <f t="shared" si="395"/>
        <v>0</v>
      </c>
      <c r="AU322" s="12">
        <f>IF(R322=0,0,1)</f>
        <v>0</v>
      </c>
      <c r="AV322" s="12">
        <f t="shared" si="440"/>
        <v>0</v>
      </c>
    </row>
    <row r="323" spans="1:48" ht="99" hidden="1" x14ac:dyDescent="0.25">
      <c r="A323" s="60">
        <v>3</v>
      </c>
      <c r="B323" s="9" t="s">
        <v>740</v>
      </c>
      <c r="C323" s="61" t="s">
        <v>336</v>
      </c>
      <c r="D323" s="61" t="s">
        <v>741</v>
      </c>
      <c r="E323" s="61" t="s">
        <v>199</v>
      </c>
      <c r="F323" s="61" t="s">
        <v>742</v>
      </c>
      <c r="G323" s="130">
        <v>12974</v>
      </c>
      <c r="H323" s="80">
        <f>G323</f>
        <v>12974</v>
      </c>
      <c r="I323" s="63">
        <v>3500</v>
      </c>
      <c r="J323" s="63">
        <f t="shared" si="445"/>
        <v>3500</v>
      </c>
      <c r="K323" s="63">
        <v>3500</v>
      </c>
      <c r="L323" s="63">
        <f t="shared" si="445"/>
        <v>3500</v>
      </c>
      <c r="M323" s="68">
        <f>N323</f>
        <v>8100</v>
      </c>
      <c r="N323" s="63">
        <v>8100</v>
      </c>
      <c r="O323" s="68">
        <f>P323</f>
        <v>8100</v>
      </c>
      <c r="P323" s="63">
        <v>8100</v>
      </c>
      <c r="Q323" s="54"/>
      <c r="R323" s="54"/>
      <c r="S323" s="68">
        <f>T323</f>
        <v>8100</v>
      </c>
      <c r="T323" s="63">
        <v>8100</v>
      </c>
      <c r="U323" s="63">
        <f>V323</f>
        <v>6500</v>
      </c>
      <c r="V323" s="63">
        <v>6500</v>
      </c>
      <c r="W323" s="63">
        <f>X323</f>
        <v>4000</v>
      </c>
      <c r="X323" s="63">
        <v>4000</v>
      </c>
      <c r="Y323" s="63">
        <f>Z323</f>
        <v>4000</v>
      </c>
      <c r="Z323" s="63">
        <v>4000</v>
      </c>
      <c r="AA323" s="63">
        <f t="shared" si="441"/>
        <v>14500</v>
      </c>
      <c r="AB323" s="63">
        <f t="shared" si="441"/>
        <v>14500</v>
      </c>
      <c r="AC323" s="63">
        <f t="shared" si="442"/>
        <v>-6400</v>
      </c>
      <c r="AD323" s="63">
        <f t="shared" si="442"/>
        <v>-6400</v>
      </c>
      <c r="AE323" s="63">
        <f t="shared" si="443"/>
        <v>0</v>
      </c>
      <c r="AF323" s="63">
        <f t="shared" si="444"/>
        <v>0</v>
      </c>
      <c r="AG323" s="63"/>
      <c r="AH323" s="63"/>
      <c r="AI323" s="69"/>
      <c r="AJ323" s="19">
        <f t="shared" si="378"/>
        <v>0</v>
      </c>
      <c r="AK323" s="22">
        <f t="shared" si="422"/>
        <v>0</v>
      </c>
      <c r="AL323" s="22"/>
      <c r="AM323" s="12">
        <f>IF(AJ323=0,1,0)</f>
        <v>1</v>
      </c>
      <c r="AO323" s="12">
        <f>IF(P323=0,1,0)</f>
        <v>0</v>
      </c>
      <c r="AP323" s="12">
        <f t="shared" si="436"/>
        <v>0</v>
      </c>
      <c r="AQ323" s="12">
        <f>IF(N323=0,1,0)</f>
        <v>0</v>
      </c>
      <c r="AR323" s="12">
        <f t="shared" si="363"/>
        <v>0</v>
      </c>
      <c r="AS323" s="12">
        <f>IF(Q323=0,0,1)</f>
        <v>0</v>
      </c>
      <c r="AT323" s="12">
        <f t="shared" si="395"/>
        <v>0</v>
      </c>
      <c r="AU323" s="12">
        <f>IF(R323=0,0,1)</f>
        <v>0</v>
      </c>
      <c r="AV323" s="12">
        <f t="shared" si="440"/>
        <v>0</v>
      </c>
    </row>
    <row r="324" spans="1:48" ht="66" hidden="1" x14ac:dyDescent="0.25">
      <c r="A324" s="60">
        <v>4</v>
      </c>
      <c r="B324" s="9" t="s">
        <v>743</v>
      </c>
      <c r="C324" s="61" t="s">
        <v>336</v>
      </c>
      <c r="D324" s="61" t="s">
        <v>744</v>
      </c>
      <c r="E324" s="61" t="s">
        <v>199</v>
      </c>
      <c r="F324" s="61" t="s">
        <v>745</v>
      </c>
      <c r="G324" s="75">
        <v>11238</v>
      </c>
      <c r="H324" s="80">
        <f>G324</f>
        <v>11238</v>
      </c>
      <c r="I324" s="63">
        <v>5300</v>
      </c>
      <c r="J324" s="63">
        <f t="shared" si="445"/>
        <v>5300</v>
      </c>
      <c r="K324" s="63">
        <v>5300</v>
      </c>
      <c r="L324" s="63">
        <f t="shared" si="445"/>
        <v>5300</v>
      </c>
      <c r="M324" s="68">
        <f>N324</f>
        <v>3940</v>
      </c>
      <c r="N324" s="63">
        <v>3940</v>
      </c>
      <c r="O324" s="68">
        <f>P324</f>
        <v>3940</v>
      </c>
      <c r="P324" s="63">
        <v>3940</v>
      </c>
      <c r="Q324" s="54"/>
      <c r="R324" s="54"/>
      <c r="S324" s="68">
        <f>T324</f>
        <v>3940</v>
      </c>
      <c r="T324" s="63">
        <v>3940</v>
      </c>
      <c r="U324" s="63">
        <f>V324</f>
        <v>2963</v>
      </c>
      <c r="V324" s="63">
        <v>2963</v>
      </c>
      <c r="W324" s="63"/>
      <c r="X324" s="63"/>
      <c r="Y324" s="63"/>
      <c r="Z324" s="63"/>
      <c r="AA324" s="63">
        <f t="shared" si="441"/>
        <v>2963</v>
      </c>
      <c r="AB324" s="63">
        <f t="shared" si="441"/>
        <v>2963</v>
      </c>
      <c r="AC324" s="63">
        <f t="shared" si="442"/>
        <v>977</v>
      </c>
      <c r="AD324" s="63">
        <f t="shared" si="442"/>
        <v>977</v>
      </c>
      <c r="AE324" s="63">
        <f t="shared" si="443"/>
        <v>0</v>
      </c>
      <c r="AF324" s="63">
        <f t="shared" si="444"/>
        <v>0</v>
      </c>
      <c r="AG324" s="63"/>
      <c r="AH324" s="63"/>
      <c r="AI324" s="69"/>
      <c r="AJ324" s="19">
        <f t="shared" si="378"/>
        <v>0</v>
      </c>
      <c r="AK324" s="22">
        <f t="shared" si="422"/>
        <v>0</v>
      </c>
      <c r="AL324" s="22"/>
      <c r="AM324" s="12">
        <f>IF(AJ324=0,1,0)</f>
        <v>1</v>
      </c>
      <c r="AO324" s="12">
        <f>IF(P324=0,1,0)</f>
        <v>0</v>
      </c>
      <c r="AP324" s="12">
        <f t="shared" si="436"/>
        <v>0</v>
      </c>
      <c r="AQ324" s="12">
        <f>IF(N324=0,1,0)</f>
        <v>0</v>
      </c>
      <c r="AR324" s="12">
        <f t="shared" si="363"/>
        <v>0</v>
      </c>
      <c r="AS324" s="12">
        <f>IF(Q324=0,0,1)</f>
        <v>0</v>
      </c>
      <c r="AT324" s="12">
        <f t="shared" si="395"/>
        <v>0</v>
      </c>
      <c r="AU324" s="12">
        <f>IF(R324=0,0,1)</f>
        <v>0</v>
      </c>
      <c r="AV324" s="12">
        <f t="shared" si="440"/>
        <v>0</v>
      </c>
    </row>
    <row r="325" spans="1:48" s="42" customFormat="1" ht="34.5" hidden="1" x14ac:dyDescent="0.25">
      <c r="A325" s="35" t="s">
        <v>85</v>
      </c>
      <c r="B325" s="36" t="s">
        <v>86</v>
      </c>
      <c r="C325" s="37"/>
      <c r="D325" s="37"/>
      <c r="E325" s="37"/>
      <c r="F325" s="37"/>
      <c r="G325" s="38">
        <f>G326</f>
        <v>793918</v>
      </c>
      <c r="H325" s="38">
        <f t="shared" ref="H325:AH325" si="446">H326</f>
        <v>313090</v>
      </c>
      <c r="I325" s="38">
        <f t="shared" si="446"/>
        <v>0</v>
      </c>
      <c r="J325" s="38">
        <f t="shared" si="446"/>
        <v>0</v>
      </c>
      <c r="K325" s="38">
        <f t="shared" si="446"/>
        <v>0</v>
      </c>
      <c r="L325" s="38">
        <f t="shared" si="446"/>
        <v>0</v>
      </c>
      <c r="M325" s="38">
        <f t="shared" si="446"/>
        <v>530050</v>
      </c>
      <c r="N325" s="38">
        <f t="shared" si="446"/>
        <v>194460</v>
      </c>
      <c r="O325" s="38">
        <f t="shared" si="446"/>
        <v>611503</v>
      </c>
      <c r="P325" s="38">
        <f t="shared" si="446"/>
        <v>201670</v>
      </c>
      <c r="Q325" s="38">
        <f t="shared" si="446"/>
        <v>0</v>
      </c>
      <c r="R325" s="38">
        <f t="shared" si="446"/>
        <v>0</v>
      </c>
      <c r="S325" s="38">
        <f t="shared" si="446"/>
        <v>611503</v>
      </c>
      <c r="T325" s="38">
        <f t="shared" si="446"/>
        <v>201670</v>
      </c>
      <c r="U325" s="38">
        <f t="shared" si="446"/>
        <v>78299</v>
      </c>
      <c r="V325" s="38">
        <f t="shared" si="446"/>
        <v>78299</v>
      </c>
      <c r="W325" s="38">
        <f t="shared" si="446"/>
        <v>36060</v>
      </c>
      <c r="X325" s="38">
        <f t="shared" si="446"/>
        <v>36060</v>
      </c>
      <c r="Y325" s="38">
        <f t="shared" si="446"/>
        <v>54860</v>
      </c>
      <c r="Z325" s="38">
        <f t="shared" si="446"/>
        <v>18800</v>
      </c>
      <c r="AA325" s="38">
        <f t="shared" si="446"/>
        <v>169219</v>
      </c>
      <c r="AB325" s="38">
        <f t="shared" si="446"/>
        <v>133159</v>
      </c>
      <c r="AC325" s="38">
        <f t="shared" si="446"/>
        <v>351219</v>
      </c>
      <c r="AD325" s="38">
        <f t="shared" si="446"/>
        <v>51689</v>
      </c>
      <c r="AE325" s="38">
        <f t="shared" si="446"/>
        <v>25365</v>
      </c>
      <c r="AF325" s="38">
        <f t="shared" si="446"/>
        <v>25365</v>
      </c>
      <c r="AG325" s="38">
        <f t="shared" si="446"/>
        <v>0</v>
      </c>
      <c r="AH325" s="38">
        <f t="shared" si="446"/>
        <v>0</v>
      </c>
      <c r="AI325" s="40"/>
      <c r="AJ325" s="19">
        <f t="shared" si="378"/>
        <v>0</v>
      </c>
      <c r="AK325" s="22"/>
      <c r="AL325" s="22"/>
      <c r="AM325" s="12"/>
      <c r="AN325" s="12"/>
      <c r="AO325" s="12"/>
      <c r="AP325" s="12">
        <f t="shared" si="436"/>
        <v>0</v>
      </c>
      <c r="AQ325" s="12"/>
      <c r="AR325" s="12">
        <f t="shared" si="363"/>
        <v>0</v>
      </c>
      <c r="AS325" s="12"/>
      <c r="AT325" s="12">
        <f t="shared" si="395"/>
        <v>0</v>
      </c>
      <c r="AU325" s="12"/>
      <c r="AV325" s="12">
        <f t="shared" si="440"/>
        <v>0</v>
      </c>
    </row>
    <row r="326" spans="1:48" s="49" customFormat="1" ht="51.75" hidden="1" x14ac:dyDescent="0.25">
      <c r="A326" s="43" t="s">
        <v>87</v>
      </c>
      <c r="B326" s="44" t="s">
        <v>88</v>
      </c>
      <c r="C326" s="45"/>
      <c r="D326" s="45"/>
      <c r="E326" s="45"/>
      <c r="F326" s="45"/>
      <c r="G326" s="46">
        <f>SUM(G327:G379)</f>
        <v>793918</v>
      </c>
      <c r="H326" s="46">
        <f t="shared" ref="H326:T326" si="447">SUM(H327:H379)</f>
        <v>313090</v>
      </c>
      <c r="I326" s="46">
        <f t="shared" si="447"/>
        <v>0</v>
      </c>
      <c r="J326" s="46">
        <f t="shared" si="447"/>
        <v>0</v>
      </c>
      <c r="K326" s="46">
        <f t="shared" si="447"/>
        <v>0</v>
      </c>
      <c r="L326" s="46">
        <f t="shared" si="447"/>
        <v>0</v>
      </c>
      <c r="M326" s="46">
        <f t="shared" si="447"/>
        <v>530050</v>
      </c>
      <c r="N326" s="46">
        <f t="shared" si="447"/>
        <v>194460</v>
      </c>
      <c r="O326" s="46">
        <f t="shared" si="447"/>
        <v>611503</v>
      </c>
      <c r="P326" s="46">
        <f t="shared" si="447"/>
        <v>201670</v>
      </c>
      <c r="Q326" s="46">
        <f t="shared" si="447"/>
        <v>0</v>
      </c>
      <c r="R326" s="46">
        <f t="shared" si="447"/>
        <v>0</v>
      </c>
      <c r="S326" s="46">
        <f t="shared" si="447"/>
        <v>611503</v>
      </c>
      <c r="T326" s="46">
        <f t="shared" si="447"/>
        <v>201670</v>
      </c>
      <c r="U326" s="46">
        <f t="shared" ref="U326:AH326" si="448">SUM(U327:U378)</f>
        <v>78299</v>
      </c>
      <c r="V326" s="46">
        <f t="shared" si="448"/>
        <v>78299</v>
      </c>
      <c r="W326" s="46">
        <f t="shared" si="448"/>
        <v>36060</v>
      </c>
      <c r="X326" s="46">
        <f t="shared" si="448"/>
        <v>36060</v>
      </c>
      <c r="Y326" s="46">
        <f t="shared" si="448"/>
        <v>54860</v>
      </c>
      <c r="Z326" s="46">
        <f t="shared" si="448"/>
        <v>18800</v>
      </c>
      <c r="AA326" s="46">
        <f t="shared" si="448"/>
        <v>169219</v>
      </c>
      <c r="AB326" s="46">
        <f t="shared" si="448"/>
        <v>133159</v>
      </c>
      <c r="AC326" s="46">
        <f t="shared" si="448"/>
        <v>351219</v>
      </c>
      <c r="AD326" s="46">
        <f t="shared" si="448"/>
        <v>51689</v>
      </c>
      <c r="AE326" s="46">
        <f t="shared" si="448"/>
        <v>25365</v>
      </c>
      <c r="AF326" s="46">
        <f t="shared" si="448"/>
        <v>25365</v>
      </c>
      <c r="AG326" s="46">
        <f t="shared" si="448"/>
        <v>0</v>
      </c>
      <c r="AH326" s="46">
        <f t="shared" si="448"/>
        <v>0</v>
      </c>
      <c r="AI326" s="47"/>
      <c r="AJ326" s="19">
        <f t="shared" si="378"/>
        <v>0</v>
      </c>
      <c r="AK326" s="22"/>
      <c r="AL326" s="22"/>
      <c r="AM326" s="12"/>
      <c r="AN326" s="12"/>
      <c r="AO326" s="12"/>
      <c r="AP326" s="12">
        <f t="shared" si="436"/>
        <v>0</v>
      </c>
      <c r="AQ326" s="12"/>
      <c r="AR326" s="12">
        <f t="shared" si="363"/>
        <v>0</v>
      </c>
      <c r="AS326" s="12"/>
      <c r="AT326" s="12">
        <f t="shared" si="395"/>
        <v>0</v>
      </c>
      <c r="AU326" s="12"/>
      <c r="AV326" s="12">
        <f t="shared" si="440"/>
        <v>0</v>
      </c>
    </row>
    <row r="327" spans="1:48" ht="49.5" hidden="1" x14ac:dyDescent="0.25">
      <c r="A327" s="64" t="s">
        <v>414</v>
      </c>
      <c r="B327" s="91" t="s">
        <v>746</v>
      </c>
      <c r="C327" s="70" t="s">
        <v>519</v>
      </c>
      <c r="D327" s="61" t="s">
        <v>747</v>
      </c>
      <c r="E327" s="70">
        <v>2016</v>
      </c>
      <c r="F327" s="61" t="s">
        <v>748</v>
      </c>
      <c r="G327" s="68">
        <v>7312</v>
      </c>
      <c r="H327" s="5">
        <f>G327</f>
        <v>7312</v>
      </c>
      <c r="I327" s="58"/>
      <c r="J327" s="58"/>
      <c r="K327" s="58"/>
      <c r="L327" s="58"/>
      <c r="M327" s="5">
        <f>N327</f>
        <v>6960</v>
      </c>
      <c r="N327" s="63">
        <v>6960</v>
      </c>
      <c r="O327" s="5">
        <f>P327</f>
        <v>6960</v>
      </c>
      <c r="P327" s="63">
        <v>6960</v>
      </c>
      <c r="Q327" s="54"/>
      <c r="R327" s="54"/>
      <c r="S327" s="5">
        <f>T327</f>
        <v>6960</v>
      </c>
      <c r="T327" s="63">
        <v>6960</v>
      </c>
      <c r="U327" s="63">
        <v>4200</v>
      </c>
      <c r="V327" s="63">
        <v>4200</v>
      </c>
      <c r="W327" s="63">
        <v>2760</v>
      </c>
      <c r="X327" s="63">
        <v>2760</v>
      </c>
      <c r="Y327" s="63">
        <v>2760</v>
      </c>
      <c r="Z327" s="63"/>
      <c r="AA327" s="63">
        <f t="shared" ref="AA327:AB379" si="449">U327+W327+Y327</f>
        <v>9720</v>
      </c>
      <c r="AB327" s="63">
        <f t="shared" si="449"/>
        <v>6960</v>
      </c>
      <c r="AC327" s="63">
        <f t="shared" ref="AC327:AD358" si="450">O327-AA327</f>
        <v>-2760</v>
      </c>
      <c r="AD327" s="63">
        <f t="shared" si="450"/>
        <v>0</v>
      </c>
      <c r="AE327" s="63">
        <f t="shared" ref="AE327:AE379" si="451">AF327</f>
        <v>0</v>
      </c>
      <c r="AF327" s="63">
        <f t="shared" ref="AF327:AF379" si="452">IF(AB327=0,AD327,0)</f>
        <v>0</v>
      </c>
      <c r="AG327" s="63"/>
      <c r="AH327" s="63"/>
      <c r="AI327" s="59"/>
      <c r="AJ327" s="19">
        <f t="shared" si="378"/>
        <v>0</v>
      </c>
      <c r="AK327" s="22">
        <f t="shared" si="422"/>
        <v>0</v>
      </c>
      <c r="AL327" s="22"/>
      <c r="AM327" s="12">
        <f t="shared" ref="AM327:AM379" si="453">IF(AJ327=0,1,0)</f>
        <v>1</v>
      </c>
      <c r="AO327" s="12">
        <f t="shared" ref="AO327:AO379" si="454">IF(P327=0,1,0)</f>
        <v>0</v>
      </c>
      <c r="AP327" s="12">
        <f t="shared" si="436"/>
        <v>0</v>
      </c>
      <c r="AQ327" s="12">
        <f t="shared" ref="AQ327:AQ379" si="455">IF(N327=0,1,0)</f>
        <v>0</v>
      </c>
      <c r="AR327" s="12">
        <f t="shared" si="363"/>
        <v>0</v>
      </c>
      <c r="AS327" s="12">
        <f t="shared" ref="AS327:AS378" si="456">IF(Q327=0,0,1)</f>
        <v>0</v>
      </c>
      <c r="AT327" s="12">
        <f t="shared" si="395"/>
        <v>0</v>
      </c>
      <c r="AU327" s="12">
        <f t="shared" ref="AU327:AU363" si="457">IF(R327=0,0,1)</f>
        <v>0</v>
      </c>
      <c r="AV327" s="12">
        <f t="shared" si="440"/>
        <v>0</v>
      </c>
    </row>
    <row r="328" spans="1:48" ht="66" hidden="1" x14ac:dyDescent="0.25">
      <c r="A328" s="60">
        <v>6</v>
      </c>
      <c r="B328" s="91" t="s">
        <v>749</v>
      </c>
      <c r="C328" s="70" t="s">
        <v>519</v>
      </c>
      <c r="D328" s="61" t="s">
        <v>750</v>
      </c>
      <c r="E328" s="70" t="s">
        <v>60</v>
      </c>
      <c r="F328" s="61" t="s">
        <v>751</v>
      </c>
      <c r="G328" s="68">
        <v>80000</v>
      </c>
      <c r="H328" s="80">
        <v>10000</v>
      </c>
      <c r="I328" s="63"/>
      <c r="J328" s="63"/>
      <c r="K328" s="63"/>
      <c r="L328" s="63"/>
      <c r="M328" s="63">
        <v>10000</v>
      </c>
      <c r="N328" s="63">
        <f t="shared" ref="N328:N349" si="458">M328</f>
        <v>10000</v>
      </c>
      <c r="O328" s="63">
        <v>10000</v>
      </c>
      <c r="P328" s="63">
        <f t="shared" ref="P328:P349" si="459">O328</f>
        <v>10000</v>
      </c>
      <c r="Q328" s="54"/>
      <c r="R328" s="54"/>
      <c r="S328" s="63">
        <v>10000</v>
      </c>
      <c r="T328" s="63">
        <f t="shared" ref="T328:T336" si="460">S328</f>
        <v>10000</v>
      </c>
      <c r="U328" s="63">
        <v>10000</v>
      </c>
      <c r="V328" s="63">
        <v>10000</v>
      </c>
      <c r="W328" s="63"/>
      <c r="X328" s="63"/>
      <c r="Y328" s="63"/>
      <c r="Z328" s="63"/>
      <c r="AA328" s="63">
        <f t="shared" si="449"/>
        <v>10000</v>
      </c>
      <c r="AB328" s="63">
        <f t="shared" si="449"/>
        <v>10000</v>
      </c>
      <c r="AC328" s="63">
        <f t="shared" si="450"/>
        <v>0</v>
      </c>
      <c r="AD328" s="63">
        <f t="shared" si="450"/>
        <v>0</v>
      </c>
      <c r="AE328" s="63">
        <f t="shared" si="451"/>
        <v>0</v>
      </c>
      <c r="AF328" s="63">
        <f t="shared" si="452"/>
        <v>0</v>
      </c>
      <c r="AG328" s="63"/>
      <c r="AH328" s="63"/>
      <c r="AI328" s="61" t="s">
        <v>752</v>
      </c>
      <c r="AJ328" s="19">
        <f t="shared" si="378"/>
        <v>0</v>
      </c>
      <c r="AK328" s="22">
        <f t="shared" si="422"/>
        <v>0</v>
      </c>
      <c r="AL328" s="22"/>
      <c r="AM328" s="12">
        <f t="shared" si="453"/>
        <v>1</v>
      </c>
      <c r="AO328" s="12">
        <f t="shared" si="454"/>
        <v>0</v>
      </c>
      <c r="AP328" s="12">
        <f t="shared" si="436"/>
        <v>0</v>
      </c>
      <c r="AQ328" s="12">
        <f t="shared" si="455"/>
        <v>0</v>
      </c>
      <c r="AR328" s="12">
        <f t="shared" si="363"/>
        <v>0</v>
      </c>
      <c r="AS328" s="12">
        <f t="shared" si="456"/>
        <v>0</v>
      </c>
      <c r="AT328" s="12">
        <f t="shared" si="395"/>
        <v>0</v>
      </c>
      <c r="AU328" s="12">
        <f t="shared" si="457"/>
        <v>0</v>
      </c>
      <c r="AV328" s="12">
        <f t="shared" si="440"/>
        <v>0</v>
      </c>
    </row>
    <row r="329" spans="1:48" ht="66" hidden="1" x14ac:dyDescent="0.25">
      <c r="A329" s="60">
        <v>7</v>
      </c>
      <c r="B329" s="91" t="s">
        <v>753</v>
      </c>
      <c r="C329" s="70" t="s">
        <v>519</v>
      </c>
      <c r="D329" s="61" t="s">
        <v>754</v>
      </c>
      <c r="E329" s="70" t="s">
        <v>91</v>
      </c>
      <c r="F329" s="61" t="s">
        <v>755</v>
      </c>
      <c r="G329" s="68">
        <v>62185</v>
      </c>
      <c r="H329" s="80">
        <v>10000</v>
      </c>
      <c r="I329" s="63"/>
      <c r="J329" s="63"/>
      <c r="K329" s="63"/>
      <c r="L329" s="63"/>
      <c r="M329" s="63">
        <v>10000</v>
      </c>
      <c r="N329" s="63">
        <f t="shared" si="458"/>
        <v>10000</v>
      </c>
      <c r="O329" s="63">
        <v>10000</v>
      </c>
      <c r="P329" s="63">
        <f t="shared" si="459"/>
        <v>10000</v>
      </c>
      <c r="Q329" s="54"/>
      <c r="R329" s="54"/>
      <c r="S329" s="63">
        <v>10000</v>
      </c>
      <c r="T329" s="63">
        <f t="shared" si="460"/>
        <v>10000</v>
      </c>
      <c r="U329" s="63">
        <v>10000</v>
      </c>
      <c r="V329" s="63">
        <v>10000</v>
      </c>
      <c r="W329" s="63"/>
      <c r="X329" s="63"/>
      <c r="Y329" s="63"/>
      <c r="Z329" s="63"/>
      <c r="AA329" s="63">
        <f t="shared" si="449"/>
        <v>10000</v>
      </c>
      <c r="AB329" s="63">
        <f t="shared" si="449"/>
        <v>10000</v>
      </c>
      <c r="AC329" s="63">
        <f t="shared" si="450"/>
        <v>0</v>
      </c>
      <c r="AD329" s="63">
        <f t="shared" si="450"/>
        <v>0</v>
      </c>
      <c r="AE329" s="63">
        <f t="shared" si="451"/>
        <v>0</v>
      </c>
      <c r="AF329" s="63">
        <f t="shared" si="452"/>
        <v>0</v>
      </c>
      <c r="AG329" s="63"/>
      <c r="AH329" s="63"/>
      <c r="AI329" s="61" t="s">
        <v>752</v>
      </c>
      <c r="AJ329" s="19">
        <f t="shared" si="378"/>
        <v>0</v>
      </c>
      <c r="AK329" s="22">
        <f t="shared" si="422"/>
        <v>0</v>
      </c>
      <c r="AL329" s="22"/>
      <c r="AM329" s="12">
        <f t="shared" si="453"/>
        <v>1</v>
      </c>
      <c r="AO329" s="12">
        <f t="shared" si="454"/>
        <v>0</v>
      </c>
      <c r="AP329" s="12">
        <f t="shared" si="436"/>
        <v>0</v>
      </c>
      <c r="AQ329" s="12">
        <f t="shared" si="455"/>
        <v>0</v>
      </c>
      <c r="AR329" s="12">
        <f t="shared" si="363"/>
        <v>0</v>
      </c>
      <c r="AS329" s="12">
        <f t="shared" si="456"/>
        <v>0</v>
      </c>
      <c r="AT329" s="12">
        <f t="shared" si="395"/>
        <v>0</v>
      </c>
      <c r="AU329" s="12">
        <f t="shared" si="457"/>
        <v>0</v>
      </c>
      <c r="AV329" s="12">
        <f t="shared" si="440"/>
        <v>0</v>
      </c>
    </row>
    <row r="330" spans="1:48" ht="49.5" hidden="1" x14ac:dyDescent="0.25">
      <c r="A330" s="60">
        <v>8</v>
      </c>
      <c r="B330" s="91" t="s">
        <v>756</v>
      </c>
      <c r="C330" s="70" t="s">
        <v>519</v>
      </c>
      <c r="D330" s="61" t="s">
        <v>757</v>
      </c>
      <c r="E330" s="70">
        <v>2016</v>
      </c>
      <c r="F330" s="61" t="s">
        <v>758</v>
      </c>
      <c r="G330" s="68">
        <v>5042</v>
      </c>
      <c r="H330" s="80">
        <f t="shared" ref="H330:H349" si="461">G330</f>
        <v>5042</v>
      </c>
      <c r="I330" s="63"/>
      <c r="J330" s="63"/>
      <c r="K330" s="63"/>
      <c r="L330" s="63"/>
      <c r="M330" s="63">
        <v>4600</v>
      </c>
      <c r="N330" s="63">
        <f t="shared" si="458"/>
        <v>4600</v>
      </c>
      <c r="O330" s="63">
        <v>4600</v>
      </c>
      <c r="P330" s="63">
        <f t="shared" si="459"/>
        <v>4600</v>
      </c>
      <c r="Q330" s="54"/>
      <c r="R330" s="54"/>
      <c r="S330" s="63">
        <v>4600</v>
      </c>
      <c r="T330" s="63">
        <f t="shared" si="460"/>
        <v>4600</v>
      </c>
      <c r="U330" s="63">
        <v>4500</v>
      </c>
      <c r="V330" s="63">
        <v>4500</v>
      </c>
      <c r="W330" s="63"/>
      <c r="X330" s="63"/>
      <c r="Y330" s="63"/>
      <c r="Z330" s="63"/>
      <c r="AA330" s="63">
        <f t="shared" si="449"/>
        <v>4500</v>
      </c>
      <c r="AB330" s="63">
        <f t="shared" si="449"/>
        <v>4500</v>
      </c>
      <c r="AC330" s="63">
        <f t="shared" si="450"/>
        <v>100</v>
      </c>
      <c r="AD330" s="63">
        <f t="shared" si="450"/>
        <v>100</v>
      </c>
      <c r="AE330" s="63">
        <f t="shared" si="451"/>
        <v>0</v>
      </c>
      <c r="AF330" s="63">
        <f t="shared" si="452"/>
        <v>0</v>
      </c>
      <c r="AG330" s="63"/>
      <c r="AH330" s="63"/>
      <c r="AI330" s="61"/>
      <c r="AJ330" s="19">
        <f t="shared" si="378"/>
        <v>0</v>
      </c>
      <c r="AK330" s="22">
        <f t="shared" si="422"/>
        <v>0</v>
      </c>
      <c r="AL330" s="22"/>
      <c r="AM330" s="12">
        <f t="shared" si="453"/>
        <v>1</v>
      </c>
      <c r="AO330" s="12">
        <f t="shared" si="454"/>
        <v>0</v>
      </c>
      <c r="AP330" s="12">
        <f t="shared" si="436"/>
        <v>0</v>
      </c>
      <c r="AQ330" s="12">
        <f t="shared" si="455"/>
        <v>0</v>
      </c>
      <c r="AR330" s="12">
        <f t="shared" si="363"/>
        <v>0</v>
      </c>
      <c r="AS330" s="12">
        <f t="shared" si="456"/>
        <v>0</v>
      </c>
      <c r="AT330" s="12">
        <f t="shared" si="395"/>
        <v>0</v>
      </c>
      <c r="AU330" s="12">
        <f t="shared" si="457"/>
        <v>0</v>
      </c>
      <c r="AV330" s="12">
        <f t="shared" si="440"/>
        <v>0</v>
      </c>
    </row>
    <row r="331" spans="1:48" ht="66" hidden="1" x14ac:dyDescent="0.25">
      <c r="A331" s="60">
        <v>9</v>
      </c>
      <c r="B331" s="91" t="s">
        <v>759</v>
      </c>
      <c r="C331" s="70" t="s">
        <v>519</v>
      </c>
      <c r="D331" s="61" t="s">
        <v>760</v>
      </c>
      <c r="E331" s="70">
        <v>2016</v>
      </c>
      <c r="F331" s="61" t="s">
        <v>761</v>
      </c>
      <c r="G331" s="122">
        <v>5569</v>
      </c>
      <c r="H331" s="80">
        <f t="shared" si="461"/>
        <v>5569</v>
      </c>
      <c r="I331" s="63"/>
      <c r="J331" s="63"/>
      <c r="K331" s="63"/>
      <c r="L331" s="63"/>
      <c r="M331" s="63">
        <v>5100</v>
      </c>
      <c r="N331" s="63">
        <f t="shared" si="458"/>
        <v>5100</v>
      </c>
      <c r="O331" s="63">
        <v>5100</v>
      </c>
      <c r="P331" s="63">
        <f t="shared" si="459"/>
        <v>5100</v>
      </c>
      <c r="Q331" s="54"/>
      <c r="R331" s="54"/>
      <c r="S331" s="63">
        <v>5100</v>
      </c>
      <c r="T331" s="63">
        <f t="shared" si="460"/>
        <v>5100</v>
      </c>
      <c r="U331" s="63">
        <v>4800</v>
      </c>
      <c r="V331" s="63">
        <v>4800</v>
      </c>
      <c r="W331" s="63"/>
      <c r="X331" s="63"/>
      <c r="Y331" s="63"/>
      <c r="Z331" s="63"/>
      <c r="AA331" s="63">
        <f t="shared" si="449"/>
        <v>4800</v>
      </c>
      <c r="AB331" s="63">
        <f t="shared" si="449"/>
        <v>4800</v>
      </c>
      <c r="AC331" s="63">
        <f t="shared" si="450"/>
        <v>300</v>
      </c>
      <c r="AD331" s="63">
        <f t="shared" si="450"/>
        <v>300</v>
      </c>
      <c r="AE331" s="63">
        <f t="shared" si="451"/>
        <v>0</v>
      </c>
      <c r="AF331" s="63">
        <f t="shared" si="452"/>
        <v>0</v>
      </c>
      <c r="AG331" s="63"/>
      <c r="AH331" s="63"/>
      <c r="AI331" s="61"/>
      <c r="AJ331" s="19">
        <f t="shared" si="378"/>
        <v>0</v>
      </c>
      <c r="AK331" s="22">
        <f t="shared" si="422"/>
        <v>0</v>
      </c>
      <c r="AL331" s="22"/>
      <c r="AM331" s="12">
        <f t="shared" si="453"/>
        <v>1</v>
      </c>
      <c r="AO331" s="12">
        <f t="shared" si="454"/>
        <v>0</v>
      </c>
      <c r="AP331" s="12">
        <f t="shared" si="436"/>
        <v>0</v>
      </c>
      <c r="AQ331" s="12">
        <f t="shared" si="455"/>
        <v>0</v>
      </c>
      <c r="AR331" s="12">
        <f t="shared" ref="AR331:AR379" si="462">IF(AQ331=1,P331,0)</f>
        <v>0</v>
      </c>
      <c r="AS331" s="12">
        <f t="shared" si="456"/>
        <v>0</v>
      </c>
      <c r="AT331" s="12">
        <f t="shared" si="395"/>
        <v>0</v>
      </c>
      <c r="AU331" s="12">
        <f t="shared" si="457"/>
        <v>0</v>
      </c>
      <c r="AV331" s="12">
        <f t="shared" si="440"/>
        <v>0</v>
      </c>
    </row>
    <row r="332" spans="1:48" ht="115.5" hidden="1" x14ac:dyDescent="0.25">
      <c r="A332" s="60">
        <v>10</v>
      </c>
      <c r="B332" s="91" t="s">
        <v>762</v>
      </c>
      <c r="C332" s="70" t="s">
        <v>146</v>
      </c>
      <c r="D332" s="61" t="s">
        <v>763</v>
      </c>
      <c r="E332" s="70">
        <v>2016</v>
      </c>
      <c r="F332" s="95" t="s">
        <v>764</v>
      </c>
      <c r="G332" s="68">
        <v>1628</v>
      </c>
      <c r="H332" s="80">
        <f t="shared" si="461"/>
        <v>1628</v>
      </c>
      <c r="I332" s="63"/>
      <c r="J332" s="63"/>
      <c r="K332" s="63"/>
      <c r="L332" s="63"/>
      <c r="M332" s="63">
        <v>1550</v>
      </c>
      <c r="N332" s="63">
        <f t="shared" si="458"/>
        <v>1550</v>
      </c>
      <c r="O332" s="63">
        <v>1550</v>
      </c>
      <c r="P332" s="63">
        <f t="shared" si="459"/>
        <v>1550</v>
      </c>
      <c r="Q332" s="54"/>
      <c r="R332" s="54"/>
      <c r="S332" s="63">
        <v>1550</v>
      </c>
      <c r="T332" s="63">
        <f t="shared" si="460"/>
        <v>1550</v>
      </c>
      <c r="U332" s="63">
        <v>1400</v>
      </c>
      <c r="V332" s="63">
        <v>1400</v>
      </c>
      <c r="W332" s="63"/>
      <c r="X332" s="63"/>
      <c r="Y332" s="63"/>
      <c r="Z332" s="63"/>
      <c r="AA332" s="63">
        <f t="shared" si="449"/>
        <v>1400</v>
      </c>
      <c r="AB332" s="63">
        <f t="shared" si="449"/>
        <v>1400</v>
      </c>
      <c r="AC332" s="63">
        <f t="shared" si="450"/>
        <v>150</v>
      </c>
      <c r="AD332" s="63">
        <f t="shared" si="450"/>
        <v>150</v>
      </c>
      <c r="AE332" s="63">
        <f t="shared" si="451"/>
        <v>0</v>
      </c>
      <c r="AF332" s="63">
        <f t="shared" si="452"/>
        <v>0</v>
      </c>
      <c r="AG332" s="63"/>
      <c r="AH332" s="63"/>
      <c r="AI332" s="61" t="s">
        <v>765</v>
      </c>
      <c r="AJ332" s="19">
        <f t="shared" si="378"/>
        <v>0</v>
      </c>
      <c r="AK332" s="22">
        <f t="shared" si="422"/>
        <v>0</v>
      </c>
      <c r="AL332" s="22"/>
      <c r="AM332" s="12">
        <f t="shared" si="453"/>
        <v>1</v>
      </c>
      <c r="AO332" s="12">
        <f t="shared" si="454"/>
        <v>0</v>
      </c>
      <c r="AP332" s="12">
        <f t="shared" si="436"/>
        <v>0</v>
      </c>
      <c r="AQ332" s="12">
        <f t="shared" si="455"/>
        <v>0</v>
      </c>
      <c r="AR332" s="12">
        <f t="shared" si="462"/>
        <v>0</v>
      </c>
      <c r="AS332" s="12">
        <f t="shared" si="456"/>
        <v>0</v>
      </c>
      <c r="AT332" s="12">
        <f t="shared" si="395"/>
        <v>0</v>
      </c>
      <c r="AU332" s="12">
        <f t="shared" si="457"/>
        <v>0</v>
      </c>
      <c r="AV332" s="12">
        <f t="shared" si="440"/>
        <v>0</v>
      </c>
    </row>
    <row r="333" spans="1:48" ht="115.5" hidden="1" x14ac:dyDescent="0.25">
      <c r="A333" s="60">
        <v>11</v>
      </c>
      <c r="B333" s="91" t="s">
        <v>766</v>
      </c>
      <c r="C333" s="70" t="s">
        <v>205</v>
      </c>
      <c r="D333" s="61" t="s">
        <v>767</v>
      </c>
      <c r="E333" s="70">
        <v>2016</v>
      </c>
      <c r="F333" s="95" t="s">
        <v>768</v>
      </c>
      <c r="G333" s="122">
        <v>1718</v>
      </c>
      <c r="H333" s="80">
        <f t="shared" si="461"/>
        <v>1718</v>
      </c>
      <c r="I333" s="63"/>
      <c r="J333" s="63"/>
      <c r="K333" s="63"/>
      <c r="L333" s="63"/>
      <c r="M333" s="63">
        <v>1640</v>
      </c>
      <c r="N333" s="63">
        <f t="shared" si="458"/>
        <v>1640</v>
      </c>
      <c r="O333" s="63">
        <v>1640</v>
      </c>
      <c r="P333" s="63">
        <f t="shared" si="459"/>
        <v>1640</v>
      </c>
      <c r="Q333" s="54"/>
      <c r="R333" s="54"/>
      <c r="S333" s="63">
        <v>1640</v>
      </c>
      <c r="T333" s="63">
        <f t="shared" si="460"/>
        <v>1640</v>
      </c>
      <c r="U333" s="63">
        <v>1400</v>
      </c>
      <c r="V333" s="63">
        <v>1400</v>
      </c>
      <c r="W333" s="63"/>
      <c r="X333" s="63"/>
      <c r="Y333" s="63"/>
      <c r="Z333" s="63"/>
      <c r="AA333" s="63">
        <f t="shared" si="449"/>
        <v>1400</v>
      </c>
      <c r="AB333" s="63">
        <f t="shared" si="449"/>
        <v>1400</v>
      </c>
      <c r="AC333" s="63">
        <f t="shared" si="450"/>
        <v>240</v>
      </c>
      <c r="AD333" s="63">
        <f t="shared" si="450"/>
        <v>240</v>
      </c>
      <c r="AE333" s="63">
        <f t="shared" si="451"/>
        <v>0</v>
      </c>
      <c r="AF333" s="63">
        <f t="shared" si="452"/>
        <v>0</v>
      </c>
      <c r="AG333" s="63"/>
      <c r="AH333" s="63"/>
      <c r="AI333" s="61" t="s">
        <v>765</v>
      </c>
      <c r="AJ333" s="19">
        <f t="shared" si="378"/>
        <v>0</v>
      </c>
      <c r="AK333" s="22">
        <f t="shared" si="422"/>
        <v>0</v>
      </c>
      <c r="AL333" s="22"/>
      <c r="AM333" s="12">
        <f t="shared" si="453"/>
        <v>1</v>
      </c>
      <c r="AO333" s="12">
        <f t="shared" si="454"/>
        <v>0</v>
      </c>
      <c r="AP333" s="12">
        <f t="shared" si="436"/>
        <v>0</v>
      </c>
      <c r="AQ333" s="12">
        <f t="shared" si="455"/>
        <v>0</v>
      </c>
      <c r="AR333" s="12">
        <f t="shared" si="462"/>
        <v>0</v>
      </c>
      <c r="AS333" s="12">
        <f t="shared" si="456"/>
        <v>0</v>
      </c>
      <c r="AT333" s="12">
        <f t="shared" si="395"/>
        <v>0</v>
      </c>
      <c r="AU333" s="12">
        <f t="shared" si="457"/>
        <v>0</v>
      </c>
      <c r="AV333" s="12">
        <f t="shared" si="440"/>
        <v>0</v>
      </c>
    </row>
    <row r="334" spans="1:48" ht="49.5" hidden="1" x14ac:dyDescent="0.25">
      <c r="A334" s="60">
        <v>12</v>
      </c>
      <c r="B334" s="91" t="s">
        <v>769</v>
      </c>
      <c r="C334" s="61" t="s">
        <v>336</v>
      </c>
      <c r="D334" s="61" t="s">
        <v>770</v>
      </c>
      <c r="E334" s="70" t="s">
        <v>199</v>
      </c>
      <c r="F334" s="61" t="s">
        <v>771</v>
      </c>
      <c r="G334" s="122">
        <v>13583</v>
      </c>
      <c r="H334" s="80">
        <f t="shared" si="461"/>
        <v>13583</v>
      </c>
      <c r="I334" s="63"/>
      <c r="J334" s="63"/>
      <c r="K334" s="63"/>
      <c r="L334" s="63"/>
      <c r="M334" s="63">
        <v>11530</v>
      </c>
      <c r="N334" s="63">
        <f t="shared" si="458"/>
        <v>11530</v>
      </c>
      <c r="O334" s="63">
        <v>11530</v>
      </c>
      <c r="P334" s="63">
        <f t="shared" si="459"/>
        <v>11530</v>
      </c>
      <c r="Q334" s="54"/>
      <c r="R334" s="54"/>
      <c r="S334" s="63">
        <v>11530</v>
      </c>
      <c r="T334" s="63">
        <f t="shared" si="460"/>
        <v>11530</v>
      </c>
      <c r="U334" s="63">
        <v>8000</v>
      </c>
      <c r="V334" s="63">
        <v>8000</v>
      </c>
      <c r="W334" s="63">
        <v>2500</v>
      </c>
      <c r="X334" s="63">
        <v>2500</v>
      </c>
      <c r="Y334" s="63">
        <v>2500</v>
      </c>
      <c r="Z334" s="63"/>
      <c r="AA334" s="63">
        <f t="shared" si="449"/>
        <v>13000</v>
      </c>
      <c r="AB334" s="63">
        <f t="shared" si="449"/>
        <v>10500</v>
      </c>
      <c r="AC334" s="63">
        <f t="shared" si="450"/>
        <v>-1470</v>
      </c>
      <c r="AD334" s="63">
        <f t="shared" si="450"/>
        <v>1030</v>
      </c>
      <c r="AE334" s="63">
        <f t="shared" si="451"/>
        <v>0</v>
      </c>
      <c r="AF334" s="63">
        <f t="shared" si="452"/>
        <v>0</v>
      </c>
      <c r="AG334" s="63"/>
      <c r="AH334" s="63"/>
      <c r="AI334" s="69"/>
      <c r="AJ334" s="19">
        <f t="shared" si="378"/>
        <v>0</v>
      </c>
      <c r="AK334" s="22">
        <f t="shared" si="422"/>
        <v>0</v>
      </c>
      <c r="AL334" s="22"/>
      <c r="AM334" s="12">
        <f t="shared" si="453"/>
        <v>1</v>
      </c>
      <c r="AO334" s="12">
        <f t="shared" si="454"/>
        <v>0</v>
      </c>
      <c r="AP334" s="12">
        <f t="shared" si="436"/>
        <v>0</v>
      </c>
      <c r="AQ334" s="12">
        <f t="shared" si="455"/>
        <v>0</v>
      </c>
      <c r="AR334" s="12">
        <f t="shared" si="462"/>
        <v>0</v>
      </c>
      <c r="AS334" s="12">
        <f t="shared" si="456"/>
        <v>0</v>
      </c>
      <c r="AT334" s="12">
        <f t="shared" si="395"/>
        <v>0</v>
      </c>
      <c r="AU334" s="12">
        <f t="shared" si="457"/>
        <v>0</v>
      </c>
      <c r="AV334" s="12">
        <f t="shared" si="440"/>
        <v>0</v>
      </c>
    </row>
    <row r="335" spans="1:48" ht="49.5" hidden="1" x14ac:dyDescent="0.25">
      <c r="A335" s="60">
        <v>13</v>
      </c>
      <c r="B335" s="91" t="s">
        <v>772</v>
      </c>
      <c r="C335" s="61" t="s">
        <v>336</v>
      </c>
      <c r="D335" s="61" t="s">
        <v>773</v>
      </c>
      <c r="E335" s="70">
        <v>2016</v>
      </c>
      <c r="F335" s="61" t="s">
        <v>774</v>
      </c>
      <c r="G335" s="68">
        <v>1139</v>
      </c>
      <c r="H335" s="80">
        <f t="shared" si="461"/>
        <v>1139</v>
      </c>
      <c r="I335" s="63"/>
      <c r="J335" s="63"/>
      <c r="K335" s="63"/>
      <c r="L335" s="63"/>
      <c r="M335" s="63">
        <v>980</v>
      </c>
      <c r="N335" s="63">
        <f t="shared" si="458"/>
        <v>980</v>
      </c>
      <c r="O335" s="63">
        <v>980</v>
      </c>
      <c r="P335" s="63">
        <f t="shared" si="459"/>
        <v>980</v>
      </c>
      <c r="Q335" s="54"/>
      <c r="R335" s="54"/>
      <c r="S335" s="63">
        <v>980</v>
      </c>
      <c r="T335" s="63">
        <f t="shared" si="460"/>
        <v>980</v>
      </c>
      <c r="U335" s="63">
        <v>900</v>
      </c>
      <c r="V335" s="63">
        <v>900</v>
      </c>
      <c r="W335" s="63"/>
      <c r="X335" s="63"/>
      <c r="Y335" s="63"/>
      <c r="Z335" s="63"/>
      <c r="AA335" s="63">
        <f t="shared" si="449"/>
        <v>900</v>
      </c>
      <c r="AB335" s="63">
        <f t="shared" si="449"/>
        <v>900</v>
      </c>
      <c r="AC335" s="63">
        <f t="shared" si="450"/>
        <v>80</v>
      </c>
      <c r="AD335" s="63">
        <f t="shared" si="450"/>
        <v>80</v>
      </c>
      <c r="AE335" s="63">
        <f t="shared" si="451"/>
        <v>0</v>
      </c>
      <c r="AF335" s="63">
        <f t="shared" si="452"/>
        <v>0</v>
      </c>
      <c r="AG335" s="63"/>
      <c r="AH335" s="63"/>
      <c r="AI335" s="69"/>
      <c r="AJ335" s="19">
        <f t="shared" si="378"/>
        <v>0</v>
      </c>
      <c r="AK335" s="22">
        <f t="shared" si="422"/>
        <v>0</v>
      </c>
      <c r="AL335" s="22"/>
      <c r="AM335" s="12">
        <f t="shared" si="453"/>
        <v>1</v>
      </c>
      <c r="AO335" s="12">
        <f t="shared" si="454"/>
        <v>0</v>
      </c>
      <c r="AP335" s="12">
        <f t="shared" si="436"/>
        <v>0</v>
      </c>
      <c r="AQ335" s="12">
        <f t="shared" si="455"/>
        <v>0</v>
      </c>
      <c r="AR335" s="12">
        <f t="shared" si="462"/>
        <v>0</v>
      </c>
      <c r="AS335" s="12">
        <f t="shared" si="456"/>
        <v>0</v>
      </c>
      <c r="AT335" s="12">
        <f t="shared" si="395"/>
        <v>0</v>
      </c>
      <c r="AU335" s="12">
        <f t="shared" si="457"/>
        <v>0</v>
      </c>
      <c r="AV335" s="12">
        <f t="shared" si="440"/>
        <v>0</v>
      </c>
    </row>
    <row r="336" spans="1:48" ht="50.25" hidden="1" x14ac:dyDescent="0.25">
      <c r="A336" s="60">
        <v>14</v>
      </c>
      <c r="B336" s="131" t="s">
        <v>775</v>
      </c>
      <c r="C336" s="61" t="s">
        <v>336</v>
      </c>
      <c r="D336" s="115" t="s">
        <v>893</v>
      </c>
      <c r="E336" s="70" t="s">
        <v>97</v>
      </c>
      <c r="F336" s="95" t="s">
        <v>776</v>
      </c>
      <c r="G336" s="63">
        <v>11694</v>
      </c>
      <c r="H336" s="80">
        <f t="shared" si="461"/>
        <v>11694</v>
      </c>
      <c r="I336" s="63"/>
      <c r="J336" s="63"/>
      <c r="K336" s="63"/>
      <c r="L336" s="63"/>
      <c r="M336" s="63">
        <v>11100</v>
      </c>
      <c r="N336" s="63">
        <f t="shared" si="458"/>
        <v>11100</v>
      </c>
      <c r="O336" s="63">
        <v>11100</v>
      </c>
      <c r="P336" s="63">
        <f t="shared" si="459"/>
        <v>11100</v>
      </c>
      <c r="Q336" s="54"/>
      <c r="R336" s="54"/>
      <c r="S336" s="63">
        <v>11100</v>
      </c>
      <c r="T336" s="63">
        <f t="shared" si="460"/>
        <v>11100</v>
      </c>
      <c r="U336" s="63">
        <v>8000</v>
      </c>
      <c r="V336" s="63">
        <v>8000</v>
      </c>
      <c r="W336" s="63"/>
      <c r="X336" s="63"/>
      <c r="Y336" s="63"/>
      <c r="Z336" s="63"/>
      <c r="AA336" s="63">
        <f t="shared" si="449"/>
        <v>8000</v>
      </c>
      <c r="AB336" s="63">
        <f t="shared" si="449"/>
        <v>8000</v>
      </c>
      <c r="AC336" s="63">
        <f t="shared" si="450"/>
        <v>3100</v>
      </c>
      <c r="AD336" s="63">
        <f t="shared" si="450"/>
        <v>3100</v>
      </c>
      <c r="AE336" s="63">
        <f t="shared" si="451"/>
        <v>0</v>
      </c>
      <c r="AF336" s="63">
        <f t="shared" si="452"/>
        <v>0</v>
      </c>
      <c r="AG336" s="63"/>
      <c r="AH336" s="63"/>
      <c r="AI336" s="69"/>
      <c r="AJ336" s="19">
        <f t="shared" si="378"/>
        <v>0</v>
      </c>
      <c r="AK336" s="22">
        <f t="shared" si="422"/>
        <v>0</v>
      </c>
      <c r="AL336" s="22"/>
      <c r="AM336" s="12">
        <f t="shared" si="453"/>
        <v>1</v>
      </c>
      <c r="AO336" s="12">
        <f t="shared" si="454"/>
        <v>0</v>
      </c>
      <c r="AP336" s="12">
        <f t="shared" si="436"/>
        <v>0</v>
      </c>
      <c r="AQ336" s="12">
        <f t="shared" si="455"/>
        <v>0</v>
      </c>
      <c r="AR336" s="12">
        <f t="shared" si="462"/>
        <v>0</v>
      </c>
      <c r="AS336" s="12">
        <f t="shared" si="456"/>
        <v>0</v>
      </c>
      <c r="AT336" s="12">
        <f t="shared" si="395"/>
        <v>0</v>
      </c>
      <c r="AU336" s="12">
        <f t="shared" si="457"/>
        <v>0</v>
      </c>
      <c r="AV336" s="12">
        <f t="shared" si="440"/>
        <v>0</v>
      </c>
    </row>
    <row r="337" spans="1:48" ht="49.5" hidden="1" x14ac:dyDescent="0.25">
      <c r="A337" s="60">
        <v>15</v>
      </c>
      <c r="B337" s="91" t="s">
        <v>777</v>
      </c>
      <c r="C337" s="61" t="s">
        <v>336</v>
      </c>
      <c r="D337" s="115" t="s">
        <v>778</v>
      </c>
      <c r="E337" s="70">
        <v>2016</v>
      </c>
      <c r="F337" s="61" t="s">
        <v>779</v>
      </c>
      <c r="G337" s="68">
        <v>2996</v>
      </c>
      <c r="H337" s="80">
        <f t="shared" si="461"/>
        <v>2996</v>
      </c>
      <c r="I337" s="63"/>
      <c r="J337" s="63"/>
      <c r="K337" s="63"/>
      <c r="L337" s="63"/>
      <c r="M337" s="63">
        <v>2850</v>
      </c>
      <c r="N337" s="63">
        <f t="shared" si="458"/>
        <v>2850</v>
      </c>
      <c r="O337" s="63">
        <f>P337</f>
        <v>2923</v>
      </c>
      <c r="P337" s="63">
        <v>2923</v>
      </c>
      <c r="Q337" s="54"/>
      <c r="R337" s="54"/>
      <c r="S337" s="63">
        <f>T337</f>
        <v>2923</v>
      </c>
      <c r="T337" s="63">
        <v>2923</v>
      </c>
      <c r="U337" s="122">
        <v>2600</v>
      </c>
      <c r="V337" s="122">
        <v>2600</v>
      </c>
      <c r="W337" s="63"/>
      <c r="X337" s="63"/>
      <c r="Y337" s="63"/>
      <c r="Z337" s="63"/>
      <c r="AA337" s="63">
        <f t="shared" si="449"/>
        <v>2600</v>
      </c>
      <c r="AB337" s="63">
        <f t="shared" si="449"/>
        <v>2600</v>
      </c>
      <c r="AC337" s="63">
        <f t="shared" si="450"/>
        <v>323</v>
      </c>
      <c r="AD337" s="63">
        <f t="shared" si="450"/>
        <v>323</v>
      </c>
      <c r="AE337" s="63">
        <f t="shared" si="451"/>
        <v>0</v>
      </c>
      <c r="AF337" s="63">
        <f t="shared" si="452"/>
        <v>0</v>
      </c>
      <c r="AG337" s="63"/>
      <c r="AH337" s="63"/>
      <c r="AI337" s="69"/>
      <c r="AJ337" s="19">
        <f t="shared" si="378"/>
        <v>0</v>
      </c>
      <c r="AK337" s="22">
        <f t="shared" si="422"/>
        <v>0</v>
      </c>
      <c r="AL337" s="22"/>
      <c r="AM337" s="12">
        <f t="shared" si="453"/>
        <v>1</v>
      </c>
      <c r="AO337" s="12">
        <f t="shared" si="454"/>
        <v>0</v>
      </c>
      <c r="AP337" s="12">
        <f t="shared" si="436"/>
        <v>0</v>
      </c>
      <c r="AQ337" s="12">
        <f t="shared" si="455"/>
        <v>0</v>
      </c>
      <c r="AR337" s="12">
        <f t="shared" si="462"/>
        <v>0</v>
      </c>
      <c r="AS337" s="12">
        <f t="shared" si="456"/>
        <v>0</v>
      </c>
      <c r="AT337" s="12">
        <f t="shared" si="395"/>
        <v>0</v>
      </c>
      <c r="AU337" s="12">
        <f t="shared" si="457"/>
        <v>0</v>
      </c>
      <c r="AV337" s="12">
        <f t="shared" si="440"/>
        <v>0</v>
      </c>
    </row>
    <row r="338" spans="1:48" ht="94.5" hidden="1" x14ac:dyDescent="0.25">
      <c r="A338" s="60">
        <v>16</v>
      </c>
      <c r="B338" s="91" t="s">
        <v>780</v>
      </c>
      <c r="C338" s="61" t="s">
        <v>336</v>
      </c>
      <c r="D338" s="115" t="s">
        <v>781</v>
      </c>
      <c r="E338" s="70">
        <v>2016</v>
      </c>
      <c r="F338" s="61" t="s">
        <v>782</v>
      </c>
      <c r="G338" s="68">
        <v>2860</v>
      </c>
      <c r="H338" s="80">
        <f t="shared" si="461"/>
        <v>2860</v>
      </c>
      <c r="I338" s="63"/>
      <c r="J338" s="63"/>
      <c r="K338" s="63"/>
      <c r="L338" s="63"/>
      <c r="M338" s="63">
        <v>2590</v>
      </c>
      <c r="N338" s="63">
        <f t="shared" si="458"/>
        <v>2590</v>
      </c>
      <c r="O338" s="63">
        <v>2590</v>
      </c>
      <c r="P338" s="63">
        <f t="shared" si="459"/>
        <v>2590</v>
      </c>
      <c r="Q338" s="54"/>
      <c r="R338" s="54"/>
      <c r="S338" s="63">
        <v>2590</v>
      </c>
      <c r="T338" s="63">
        <f t="shared" ref="T338:T349" si="463">S338</f>
        <v>2590</v>
      </c>
      <c r="U338" s="122">
        <v>2250</v>
      </c>
      <c r="V338" s="122">
        <v>2250</v>
      </c>
      <c r="W338" s="63"/>
      <c r="X338" s="63"/>
      <c r="Y338" s="63"/>
      <c r="Z338" s="63"/>
      <c r="AA338" s="63">
        <f t="shared" si="449"/>
        <v>2250</v>
      </c>
      <c r="AB338" s="63">
        <f t="shared" si="449"/>
        <v>2250</v>
      </c>
      <c r="AC338" s="63">
        <f t="shared" si="450"/>
        <v>340</v>
      </c>
      <c r="AD338" s="63">
        <f t="shared" si="450"/>
        <v>340</v>
      </c>
      <c r="AE338" s="63">
        <f t="shared" si="451"/>
        <v>0</v>
      </c>
      <c r="AF338" s="63">
        <f t="shared" si="452"/>
        <v>0</v>
      </c>
      <c r="AG338" s="63"/>
      <c r="AH338" s="63"/>
      <c r="AI338" s="69"/>
      <c r="AJ338" s="19">
        <f t="shared" si="378"/>
        <v>0</v>
      </c>
      <c r="AK338" s="22">
        <f t="shared" si="422"/>
        <v>0</v>
      </c>
      <c r="AL338" s="22"/>
      <c r="AM338" s="12">
        <f t="shared" si="453"/>
        <v>1</v>
      </c>
      <c r="AO338" s="12">
        <f t="shared" si="454"/>
        <v>0</v>
      </c>
      <c r="AP338" s="12">
        <f t="shared" si="436"/>
        <v>0</v>
      </c>
      <c r="AQ338" s="12">
        <f t="shared" si="455"/>
        <v>0</v>
      </c>
      <c r="AR338" s="12">
        <f t="shared" si="462"/>
        <v>0</v>
      </c>
      <c r="AS338" s="12">
        <f t="shared" si="456"/>
        <v>0</v>
      </c>
      <c r="AT338" s="12">
        <f t="shared" si="395"/>
        <v>0</v>
      </c>
      <c r="AU338" s="12">
        <f t="shared" si="457"/>
        <v>0</v>
      </c>
      <c r="AV338" s="12">
        <f t="shared" si="440"/>
        <v>0</v>
      </c>
    </row>
    <row r="339" spans="1:48" ht="49.5" hidden="1" x14ac:dyDescent="0.25">
      <c r="A339" s="60">
        <v>17</v>
      </c>
      <c r="B339" s="91" t="s">
        <v>783</v>
      </c>
      <c r="C339" s="61" t="s">
        <v>336</v>
      </c>
      <c r="D339" s="115" t="s">
        <v>784</v>
      </c>
      <c r="E339" s="70">
        <v>2016</v>
      </c>
      <c r="F339" s="61" t="s">
        <v>785</v>
      </c>
      <c r="G339" s="68">
        <v>3296</v>
      </c>
      <c r="H339" s="80">
        <f t="shared" si="461"/>
        <v>3296</v>
      </c>
      <c r="I339" s="63"/>
      <c r="J339" s="63"/>
      <c r="K339" s="63"/>
      <c r="L339" s="63"/>
      <c r="M339" s="63">
        <v>3140</v>
      </c>
      <c r="N339" s="63">
        <f t="shared" si="458"/>
        <v>3140</v>
      </c>
      <c r="O339" s="63">
        <v>3140</v>
      </c>
      <c r="P339" s="63">
        <f t="shared" si="459"/>
        <v>3140</v>
      </c>
      <c r="Q339" s="54"/>
      <c r="R339" s="54"/>
      <c r="S339" s="63">
        <v>3140</v>
      </c>
      <c r="T339" s="63">
        <f t="shared" si="463"/>
        <v>3140</v>
      </c>
      <c r="U339" s="122">
        <v>3620</v>
      </c>
      <c r="V339" s="122">
        <v>3620</v>
      </c>
      <c r="W339" s="63"/>
      <c r="X339" s="63"/>
      <c r="Y339" s="63"/>
      <c r="Z339" s="63"/>
      <c r="AA339" s="63">
        <f t="shared" si="449"/>
        <v>3620</v>
      </c>
      <c r="AB339" s="63">
        <f t="shared" si="449"/>
        <v>3620</v>
      </c>
      <c r="AC339" s="63">
        <f t="shared" si="450"/>
        <v>-480</v>
      </c>
      <c r="AD339" s="63">
        <f t="shared" si="450"/>
        <v>-480</v>
      </c>
      <c r="AE339" s="63">
        <f t="shared" si="451"/>
        <v>0</v>
      </c>
      <c r="AF339" s="63">
        <f t="shared" si="452"/>
        <v>0</v>
      </c>
      <c r="AG339" s="63"/>
      <c r="AH339" s="63"/>
      <c r="AI339" s="69"/>
      <c r="AJ339" s="19">
        <f t="shared" si="378"/>
        <v>0</v>
      </c>
      <c r="AK339" s="22">
        <f t="shared" si="422"/>
        <v>0</v>
      </c>
      <c r="AL339" s="22"/>
      <c r="AM339" s="12">
        <f t="shared" si="453"/>
        <v>1</v>
      </c>
      <c r="AO339" s="12">
        <f t="shared" si="454"/>
        <v>0</v>
      </c>
      <c r="AP339" s="12">
        <f t="shared" si="436"/>
        <v>0</v>
      </c>
      <c r="AQ339" s="12">
        <f t="shared" si="455"/>
        <v>0</v>
      </c>
      <c r="AR339" s="12">
        <f t="shared" si="462"/>
        <v>0</v>
      </c>
      <c r="AS339" s="12">
        <f t="shared" si="456"/>
        <v>0</v>
      </c>
      <c r="AT339" s="12">
        <f t="shared" si="395"/>
        <v>0</v>
      </c>
      <c r="AU339" s="12">
        <f t="shared" si="457"/>
        <v>0</v>
      </c>
      <c r="AV339" s="12">
        <f t="shared" si="440"/>
        <v>0</v>
      </c>
    </row>
    <row r="340" spans="1:48" ht="49.5" hidden="1" x14ac:dyDescent="0.25">
      <c r="A340" s="60">
        <v>18</v>
      </c>
      <c r="B340" s="91" t="s">
        <v>786</v>
      </c>
      <c r="C340" s="61"/>
      <c r="D340" s="115" t="s">
        <v>787</v>
      </c>
      <c r="E340" s="70">
        <v>2016</v>
      </c>
      <c r="F340" s="61" t="s">
        <v>788</v>
      </c>
      <c r="G340" s="68">
        <v>1326</v>
      </c>
      <c r="H340" s="80">
        <f t="shared" si="461"/>
        <v>1326</v>
      </c>
      <c r="I340" s="63"/>
      <c r="J340" s="63"/>
      <c r="K340" s="63"/>
      <c r="L340" s="63"/>
      <c r="M340" s="63">
        <v>1260</v>
      </c>
      <c r="N340" s="63">
        <f t="shared" si="458"/>
        <v>1260</v>
      </c>
      <c r="O340" s="63">
        <v>1260</v>
      </c>
      <c r="P340" s="63">
        <f t="shared" si="459"/>
        <v>1260</v>
      </c>
      <c r="Q340" s="54"/>
      <c r="R340" s="54"/>
      <c r="S340" s="63">
        <v>1260</v>
      </c>
      <c r="T340" s="63">
        <f t="shared" si="463"/>
        <v>1260</v>
      </c>
      <c r="U340" s="122">
        <v>1000</v>
      </c>
      <c r="V340" s="122">
        <v>1000</v>
      </c>
      <c r="W340" s="63"/>
      <c r="X340" s="63"/>
      <c r="Y340" s="63"/>
      <c r="Z340" s="63"/>
      <c r="AA340" s="63">
        <f t="shared" si="449"/>
        <v>1000</v>
      </c>
      <c r="AB340" s="63">
        <f t="shared" si="449"/>
        <v>1000</v>
      </c>
      <c r="AC340" s="63">
        <f t="shared" si="450"/>
        <v>260</v>
      </c>
      <c r="AD340" s="63">
        <f t="shared" si="450"/>
        <v>260</v>
      </c>
      <c r="AE340" s="63">
        <f t="shared" si="451"/>
        <v>0</v>
      </c>
      <c r="AF340" s="63">
        <f t="shared" si="452"/>
        <v>0</v>
      </c>
      <c r="AG340" s="63"/>
      <c r="AH340" s="63"/>
      <c r="AI340" s="69"/>
      <c r="AJ340" s="19">
        <f t="shared" ref="AJ340:AJ379" si="464">IF(P340-T340=0,0,1)</f>
        <v>0</v>
      </c>
      <c r="AK340" s="22">
        <f t="shared" si="422"/>
        <v>0</v>
      </c>
      <c r="AL340" s="22"/>
      <c r="AM340" s="12">
        <f t="shared" si="453"/>
        <v>1</v>
      </c>
      <c r="AO340" s="12">
        <f t="shared" si="454"/>
        <v>0</v>
      </c>
      <c r="AP340" s="12">
        <f t="shared" si="436"/>
        <v>0</v>
      </c>
      <c r="AQ340" s="12">
        <f t="shared" si="455"/>
        <v>0</v>
      </c>
      <c r="AR340" s="12">
        <f t="shared" si="462"/>
        <v>0</v>
      </c>
      <c r="AS340" s="12">
        <f t="shared" si="456"/>
        <v>0</v>
      </c>
      <c r="AT340" s="12">
        <f t="shared" si="395"/>
        <v>0</v>
      </c>
      <c r="AU340" s="12">
        <f t="shared" si="457"/>
        <v>0</v>
      </c>
      <c r="AV340" s="12">
        <f t="shared" si="440"/>
        <v>0</v>
      </c>
    </row>
    <row r="341" spans="1:48" ht="49.5" hidden="1" x14ac:dyDescent="0.25">
      <c r="A341" s="60">
        <v>19</v>
      </c>
      <c r="B341" s="91" t="s">
        <v>789</v>
      </c>
      <c r="C341" s="61"/>
      <c r="D341" s="115" t="s">
        <v>787</v>
      </c>
      <c r="E341" s="70">
        <v>2016</v>
      </c>
      <c r="F341" s="61" t="s">
        <v>790</v>
      </c>
      <c r="G341" s="68">
        <v>779</v>
      </c>
      <c r="H341" s="80">
        <f t="shared" si="461"/>
        <v>779</v>
      </c>
      <c r="I341" s="63"/>
      <c r="J341" s="63"/>
      <c r="K341" s="63"/>
      <c r="L341" s="63"/>
      <c r="M341" s="63">
        <v>740</v>
      </c>
      <c r="N341" s="63">
        <f t="shared" si="458"/>
        <v>740</v>
      </c>
      <c r="O341" s="63">
        <v>740</v>
      </c>
      <c r="P341" s="63">
        <f t="shared" si="459"/>
        <v>740</v>
      </c>
      <c r="Q341" s="54"/>
      <c r="R341" s="54"/>
      <c r="S341" s="63">
        <v>740</v>
      </c>
      <c r="T341" s="63">
        <f t="shared" si="463"/>
        <v>740</v>
      </c>
      <c r="U341" s="122">
        <v>500</v>
      </c>
      <c r="V341" s="122">
        <v>500</v>
      </c>
      <c r="W341" s="63"/>
      <c r="X341" s="63"/>
      <c r="Y341" s="63"/>
      <c r="Z341" s="63"/>
      <c r="AA341" s="63">
        <f t="shared" si="449"/>
        <v>500</v>
      </c>
      <c r="AB341" s="63">
        <f t="shared" si="449"/>
        <v>500</v>
      </c>
      <c r="AC341" s="63">
        <f t="shared" si="450"/>
        <v>240</v>
      </c>
      <c r="AD341" s="63">
        <f t="shared" si="450"/>
        <v>240</v>
      </c>
      <c r="AE341" s="63">
        <f t="shared" si="451"/>
        <v>0</v>
      </c>
      <c r="AF341" s="63">
        <f t="shared" si="452"/>
        <v>0</v>
      </c>
      <c r="AG341" s="63"/>
      <c r="AH341" s="63"/>
      <c r="AI341" s="69"/>
      <c r="AJ341" s="19">
        <f t="shared" si="464"/>
        <v>0</v>
      </c>
      <c r="AK341" s="22">
        <f t="shared" si="422"/>
        <v>0</v>
      </c>
      <c r="AL341" s="22"/>
      <c r="AM341" s="12">
        <f t="shared" si="453"/>
        <v>1</v>
      </c>
      <c r="AO341" s="12">
        <f t="shared" si="454"/>
        <v>0</v>
      </c>
      <c r="AP341" s="12">
        <f t="shared" si="436"/>
        <v>0</v>
      </c>
      <c r="AQ341" s="12">
        <f t="shared" si="455"/>
        <v>0</v>
      </c>
      <c r="AR341" s="12">
        <f t="shared" si="462"/>
        <v>0</v>
      </c>
      <c r="AS341" s="12">
        <f t="shared" si="456"/>
        <v>0</v>
      </c>
      <c r="AT341" s="12">
        <f t="shared" si="395"/>
        <v>0</v>
      </c>
      <c r="AU341" s="12">
        <f t="shared" si="457"/>
        <v>0</v>
      </c>
      <c r="AV341" s="12">
        <f t="shared" si="440"/>
        <v>0</v>
      </c>
    </row>
    <row r="342" spans="1:48" ht="49.5" hidden="1" x14ac:dyDescent="0.25">
      <c r="A342" s="60">
        <v>20</v>
      </c>
      <c r="B342" s="91" t="s">
        <v>791</v>
      </c>
      <c r="C342" s="61" t="s">
        <v>336</v>
      </c>
      <c r="D342" s="115" t="s">
        <v>787</v>
      </c>
      <c r="E342" s="70">
        <v>2016</v>
      </c>
      <c r="F342" s="61" t="s">
        <v>792</v>
      </c>
      <c r="G342" s="68">
        <v>2014</v>
      </c>
      <c r="H342" s="80">
        <f t="shared" si="461"/>
        <v>2014</v>
      </c>
      <c r="I342" s="63"/>
      <c r="J342" s="63"/>
      <c r="K342" s="63"/>
      <c r="L342" s="63"/>
      <c r="M342" s="63">
        <v>1920</v>
      </c>
      <c r="N342" s="63">
        <f t="shared" si="458"/>
        <v>1920</v>
      </c>
      <c r="O342" s="63">
        <v>1920</v>
      </c>
      <c r="P342" s="63">
        <f t="shared" si="459"/>
        <v>1920</v>
      </c>
      <c r="Q342" s="54"/>
      <c r="R342" s="54"/>
      <c r="S342" s="63">
        <v>1920</v>
      </c>
      <c r="T342" s="63">
        <f t="shared" si="463"/>
        <v>1920</v>
      </c>
      <c r="U342" s="122">
        <v>1450</v>
      </c>
      <c r="V342" s="122">
        <v>1450</v>
      </c>
      <c r="W342" s="63"/>
      <c r="X342" s="63"/>
      <c r="Y342" s="63"/>
      <c r="Z342" s="63"/>
      <c r="AA342" s="63">
        <f t="shared" si="449"/>
        <v>1450</v>
      </c>
      <c r="AB342" s="63">
        <f t="shared" si="449"/>
        <v>1450</v>
      </c>
      <c r="AC342" s="63">
        <f t="shared" si="450"/>
        <v>470</v>
      </c>
      <c r="AD342" s="63">
        <f t="shared" si="450"/>
        <v>470</v>
      </c>
      <c r="AE342" s="63">
        <f t="shared" si="451"/>
        <v>0</v>
      </c>
      <c r="AF342" s="63">
        <f t="shared" si="452"/>
        <v>0</v>
      </c>
      <c r="AG342" s="63"/>
      <c r="AH342" s="63"/>
      <c r="AI342" s="69"/>
      <c r="AJ342" s="19">
        <f t="shared" si="464"/>
        <v>0</v>
      </c>
      <c r="AK342" s="22">
        <f t="shared" si="422"/>
        <v>0</v>
      </c>
      <c r="AL342" s="22"/>
      <c r="AM342" s="12">
        <f t="shared" si="453"/>
        <v>1</v>
      </c>
      <c r="AO342" s="12">
        <f t="shared" si="454"/>
        <v>0</v>
      </c>
      <c r="AP342" s="12">
        <f t="shared" si="436"/>
        <v>0</v>
      </c>
      <c r="AQ342" s="12">
        <f t="shared" si="455"/>
        <v>0</v>
      </c>
      <c r="AR342" s="12">
        <f t="shared" si="462"/>
        <v>0</v>
      </c>
      <c r="AS342" s="12">
        <f t="shared" si="456"/>
        <v>0</v>
      </c>
      <c r="AT342" s="12">
        <f t="shared" si="395"/>
        <v>0</v>
      </c>
      <c r="AU342" s="12">
        <f t="shared" si="457"/>
        <v>0</v>
      </c>
      <c r="AV342" s="12">
        <f t="shared" si="440"/>
        <v>0</v>
      </c>
    </row>
    <row r="343" spans="1:48" ht="49.5" hidden="1" x14ac:dyDescent="0.25">
      <c r="A343" s="60">
        <v>21</v>
      </c>
      <c r="B343" s="91" t="s">
        <v>793</v>
      </c>
      <c r="C343" s="61" t="s">
        <v>336</v>
      </c>
      <c r="D343" s="115" t="s">
        <v>794</v>
      </c>
      <c r="E343" s="70">
        <v>2016</v>
      </c>
      <c r="F343" s="61" t="s">
        <v>795</v>
      </c>
      <c r="G343" s="68">
        <v>534</v>
      </c>
      <c r="H343" s="80">
        <f t="shared" si="461"/>
        <v>534</v>
      </c>
      <c r="I343" s="63"/>
      <c r="J343" s="63"/>
      <c r="K343" s="63"/>
      <c r="L343" s="63"/>
      <c r="M343" s="63">
        <v>530</v>
      </c>
      <c r="N343" s="63">
        <f t="shared" si="458"/>
        <v>530</v>
      </c>
      <c r="O343" s="63">
        <v>530</v>
      </c>
      <c r="P343" s="63">
        <f t="shared" si="459"/>
        <v>530</v>
      </c>
      <c r="Q343" s="54"/>
      <c r="R343" s="54"/>
      <c r="S343" s="63">
        <v>530</v>
      </c>
      <c r="T343" s="63">
        <f t="shared" si="463"/>
        <v>530</v>
      </c>
      <c r="U343" s="122">
        <v>400</v>
      </c>
      <c r="V343" s="122">
        <v>400</v>
      </c>
      <c r="W343" s="63"/>
      <c r="X343" s="63"/>
      <c r="Y343" s="63"/>
      <c r="Z343" s="63"/>
      <c r="AA343" s="63">
        <f t="shared" si="449"/>
        <v>400</v>
      </c>
      <c r="AB343" s="63">
        <f t="shared" si="449"/>
        <v>400</v>
      </c>
      <c r="AC343" s="63">
        <f t="shared" si="450"/>
        <v>130</v>
      </c>
      <c r="AD343" s="63">
        <f t="shared" si="450"/>
        <v>130</v>
      </c>
      <c r="AE343" s="63">
        <f t="shared" si="451"/>
        <v>0</v>
      </c>
      <c r="AF343" s="63">
        <f t="shared" si="452"/>
        <v>0</v>
      </c>
      <c r="AG343" s="63"/>
      <c r="AH343" s="63"/>
      <c r="AI343" s="69"/>
      <c r="AJ343" s="19">
        <f t="shared" si="464"/>
        <v>0</v>
      </c>
      <c r="AK343" s="22">
        <f t="shared" si="422"/>
        <v>0</v>
      </c>
      <c r="AL343" s="22"/>
      <c r="AM343" s="12">
        <f t="shared" si="453"/>
        <v>1</v>
      </c>
      <c r="AO343" s="12">
        <f t="shared" si="454"/>
        <v>0</v>
      </c>
      <c r="AP343" s="12">
        <f t="shared" si="436"/>
        <v>0</v>
      </c>
      <c r="AQ343" s="12">
        <f t="shared" si="455"/>
        <v>0</v>
      </c>
      <c r="AR343" s="12">
        <f t="shared" si="462"/>
        <v>0</v>
      </c>
      <c r="AS343" s="12">
        <f t="shared" si="456"/>
        <v>0</v>
      </c>
      <c r="AT343" s="12">
        <f t="shared" si="395"/>
        <v>0</v>
      </c>
      <c r="AU343" s="12">
        <f t="shared" si="457"/>
        <v>0</v>
      </c>
      <c r="AV343" s="12">
        <f t="shared" si="440"/>
        <v>0</v>
      </c>
    </row>
    <row r="344" spans="1:48" ht="63" hidden="1" x14ac:dyDescent="0.25">
      <c r="A344" s="60">
        <v>22</v>
      </c>
      <c r="B344" s="91" t="s">
        <v>796</v>
      </c>
      <c r="C344" s="61" t="s">
        <v>336</v>
      </c>
      <c r="D344" s="115" t="s">
        <v>797</v>
      </c>
      <c r="E344" s="70"/>
      <c r="F344" s="61" t="s">
        <v>798</v>
      </c>
      <c r="G344" s="68">
        <v>1566</v>
      </c>
      <c r="H344" s="80">
        <f t="shared" si="461"/>
        <v>1566</v>
      </c>
      <c r="I344" s="63"/>
      <c r="J344" s="63"/>
      <c r="K344" s="63"/>
      <c r="L344" s="63"/>
      <c r="M344" s="63">
        <v>1500</v>
      </c>
      <c r="N344" s="63">
        <f t="shared" si="458"/>
        <v>1500</v>
      </c>
      <c r="O344" s="63">
        <v>1500</v>
      </c>
      <c r="P344" s="63">
        <f t="shared" si="459"/>
        <v>1500</v>
      </c>
      <c r="Q344" s="54"/>
      <c r="R344" s="54"/>
      <c r="S344" s="63">
        <v>1500</v>
      </c>
      <c r="T344" s="63">
        <f t="shared" si="463"/>
        <v>1500</v>
      </c>
      <c r="U344" s="122">
        <v>1100</v>
      </c>
      <c r="V344" s="122">
        <v>1100</v>
      </c>
      <c r="W344" s="63"/>
      <c r="X344" s="63"/>
      <c r="Y344" s="63"/>
      <c r="Z344" s="63"/>
      <c r="AA344" s="63">
        <f t="shared" si="449"/>
        <v>1100</v>
      </c>
      <c r="AB344" s="63">
        <f t="shared" si="449"/>
        <v>1100</v>
      </c>
      <c r="AC344" s="63">
        <f t="shared" si="450"/>
        <v>400</v>
      </c>
      <c r="AD344" s="63">
        <f t="shared" si="450"/>
        <v>400</v>
      </c>
      <c r="AE344" s="63">
        <f t="shared" si="451"/>
        <v>0</v>
      </c>
      <c r="AF344" s="63">
        <f t="shared" si="452"/>
        <v>0</v>
      </c>
      <c r="AG344" s="63"/>
      <c r="AH344" s="63"/>
      <c r="AI344" s="69"/>
      <c r="AJ344" s="19">
        <f t="shared" si="464"/>
        <v>0</v>
      </c>
      <c r="AK344" s="22">
        <f t="shared" si="422"/>
        <v>0</v>
      </c>
      <c r="AL344" s="22"/>
      <c r="AM344" s="12">
        <f t="shared" si="453"/>
        <v>1</v>
      </c>
      <c r="AO344" s="12">
        <f t="shared" si="454"/>
        <v>0</v>
      </c>
      <c r="AP344" s="12">
        <f t="shared" si="436"/>
        <v>0</v>
      </c>
      <c r="AQ344" s="12">
        <f t="shared" si="455"/>
        <v>0</v>
      </c>
      <c r="AR344" s="12">
        <f t="shared" si="462"/>
        <v>0</v>
      </c>
      <c r="AS344" s="12">
        <f t="shared" si="456"/>
        <v>0</v>
      </c>
      <c r="AT344" s="12">
        <f t="shared" si="395"/>
        <v>0</v>
      </c>
      <c r="AU344" s="12">
        <f t="shared" si="457"/>
        <v>0</v>
      </c>
      <c r="AV344" s="12">
        <f t="shared" si="440"/>
        <v>0</v>
      </c>
    </row>
    <row r="345" spans="1:48" ht="49.5" hidden="1" x14ac:dyDescent="0.25">
      <c r="A345" s="60">
        <v>23</v>
      </c>
      <c r="B345" s="91" t="s">
        <v>799</v>
      </c>
      <c r="C345" s="61" t="s">
        <v>336</v>
      </c>
      <c r="D345" s="115" t="s">
        <v>787</v>
      </c>
      <c r="E345" s="70">
        <v>2016</v>
      </c>
      <c r="F345" s="61" t="s">
        <v>800</v>
      </c>
      <c r="G345" s="68">
        <v>497</v>
      </c>
      <c r="H345" s="80">
        <f t="shared" si="461"/>
        <v>497</v>
      </c>
      <c r="I345" s="63"/>
      <c r="J345" s="63"/>
      <c r="K345" s="63"/>
      <c r="L345" s="63"/>
      <c r="M345" s="63">
        <v>480</v>
      </c>
      <c r="N345" s="63">
        <f t="shared" si="458"/>
        <v>480</v>
      </c>
      <c r="O345" s="63">
        <v>480</v>
      </c>
      <c r="P345" s="63">
        <f t="shared" si="459"/>
        <v>480</v>
      </c>
      <c r="Q345" s="54"/>
      <c r="R345" s="54"/>
      <c r="S345" s="63">
        <v>480</v>
      </c>
      <c r="T345" s="63">
        <f t="shared" si="463"/>
        <v>480</v>
      </c>
      <c r="U345" s="122">
        <v>350</v>
      </c>
      <c r="V345" s="122">
        <v>350</v>
      </c>
      <c r="W345" s="63"/>
      <c r="X345" s="63"/>
      <c r="Y345" s="63"/>
      <c r="Z345" s="63"/>
      <c r="AA345" s="63">
        <f t="shared" si="449"/>
        <v>350</v>
      </c>
      <c r="AB345" s="63">
        <f t="shared" si="449"/>
        <v>350</v>
      </c>
      <c r="AC345" s="63">
        <f t="shared" si="450"/>
        <v>130</v>
      </c>
      <c r="AD345" s="63">
        <f t="shared" si="450"/>
        <v>130</v>
      </c>
      <c r="AE345" s="63">
        <f t="shared" si="451"/>
        <v>0</v>
      </c>
      <c r="AF345" s="63">
        <f t="shared" si="452"/>
        <v>0</v>
      </c>
      <c r="AG345" s="63"/>
      <c r="AH345" s="63"/>
      <c r="AI345" s="69"/>
      <c r="AJ345" s="19">
        <f t="shared" si="464"/>
        <v>0</v>
      </c>
      <c r="AK345" s="22">
        <f t="shared" si="422"/>
        <v>0</v>
      </c>
      <c r="AL345" s="22"/>
      <c r="AM345" s="12">
        <f t="shared" si="453"/>
        <v>1</v>
      </c>
      <c r="AO345" s="12">
        <f t="shared" si="454"/>
        <v>0</v>
      </c>
      <c r="AP345" s="12">
        <f t="shared" si="436"/>
        <v>0</v>
      </c>
      <c r="AQ345" s="12">
        <f t="shared" si="455"/>
        <v>0</v>
      </c>
      <c r="AR345" s="12">
        <f t="shared" si="462"/>
        <v>0</v>
      </c>
      <c r="AS345" s="12">
        <f t="shared" si="456"/>
        <v>0</v>
      </c>
      <c r="AT345" s="12">
        <f t="shared" si="395"/>
        <v>0</v>
      </c>
      <c r="AU345" s="12">
        <f t="shared" si="457"/>
        <v>0</v>
      </c>
      <c r="AV345" s="12">
        <f t="shared" si="440"/>
        <v>0</v>
      </c>
    </row>
    <row r="346" spans="1:48" ht="49.5" hidden="1" x14ac:dyDescent="0.25">
      <c r="A346" s="60">
        <v>24</v>
      </c>
      <c r="B346" s="91" t="s">
        <v>801</v>
      </c>
      <c r="C346" s="61" t="s">
        <v>336</v>
      </c>
      <c r="D346" s="115" t="s">
        <v>802</v>
      </c>
      <c r="E346" s="70">
        <v>2016</v>
      </c>
      <c r="F346" s="61" t="s">
        <v>803</v>
      </c>
      <c r="G346" s="68">
        <v>3392</v>
      </c>
      <c r="H346" s="80">
        <f t="shared" si="461"/>
        <v>3392</v>
      </c>
      <c r="I346" s="63"/>
      <c r="J346" s="63"/>
      <c r="K346" s="63"/>
      <c r="L346" s="63"/>
      <c r="M346" s="63">
        <v>3230</v>
      </c>
      <c r="N346" s="63">
        <f t="shared" si="458"/>
        <v>3230</v>
      </c>
      <c r="O346" s="63">
        <v>3230</v>
      </c>
      <c r="P346" s="63">
        <f t="shared" si="459"/>
        <v>3230</v>
      </c>
      <c r="Q346" s="54"/>
      <c r="R346" s="54"/>
      <c r="S346" s="63">
        <v>3230</v>
      </c>
      <c r="T346" s="63">
        <f t="shared" si="463"/>
        <v>3230</v>
      </c>
      <c r="U346" s="122">
        <v>3020</v>
      </c>
      <c r="V346" s="122">
        <v>3020</v>
      </c>
      <c r="W346" s="63"/>
      <c r="X346" s="63"/>
      <c r="Y346" s="63"/>
      <c r="Z346" s="63"/>
      <c r="AA346" s="63">
        <f t="shared" si="449"/>
        <v>3020</v>
      </c>
      <c r="AB346" s="63">
        <f t="shared" si="449"/>
        <v>3020</v>
      </c>
      <c r="AC346" s="63">
        <f t="shared" si="450"/>
        <v>210</v>
      </c>
      <c r="AD346" s="63">
        <f t="shared" si="450"/>
        <v>210</v>
      </c>
      <c r="AE346" s="63">
        <f t="shared" si="451"/>
        <v>0</v>
      </c>
      <c r="AF346" s="63">
        <f t="shared" si="452"/>
        <v>0</v>
      </c>
      <c r="AG346" s="63"/>
      <c r="AH346" s="63"/>
      <c r="AI346" s="69"/>
      <c r="AJ346" s="19">
        <f t="shared" si="464"/>
        <v>0</v>
      </c>
      <c r="AK346" s="22">
        <f t="shared" si="422"/>
        <v>0</v>
      </c>
      <c r="AL346" s="22"/>
      <c r="AM346" s="12">
        <f t="shared" si="453"/>
        <v>1</v>
      </c>
      <c r="AO346" s="12">
        <f t="shared" si="454"/>
        <v>0</v>
      </c>
      <c r="AP346" s="12">
        <f t="shared" si="436"/>
        <v>0</v>
      </c>
      <c r="AQ346" s="12">
        <f t="shared" si="455"/>
        <v>0</v>
      </c>
      <c r="AR346" s="12">
        <f t="shared" si="462"/>
        <v>0</v>
      </c>
      <c r="AS346" s="12">
        <f t="shared" si="456"/>
        <v>0</v>
      </c>
      <c r="AT346" s="12">
        <f t="shared" si="395"/>
        <v>0</v>
      </c>
      <c r="AU346" s="12">
        <f t="shared" si="457"/>
        <v>0</v>
      </c>
      <c r="AV346" s="12">
        <f t="shared" si="440"/>
        <v>0</v>
      </c>
    </row>
    <row r="347" spans="1:48" ht="49.5" hidden="1" x14ac:dyDescent="0.25">
      <c r="A347" s="60">
        <v>25</v>
      </c>
      <c r="B347" s="91" t="s">
        <v>804</v>
      </c>
      <c r="C347" s="61" t="s">
        <v>336</v>
      </c>
      <c r="D347" s="115" t="s">
        <v>787</v>
      </c>
      <c r="E347" s="70">
        <v>2016</v>
      </c>
      <c r="F347" s="61" t="s">
        <v>805</v>
      </c>
      <c r="G347" s="68">
        <v>2082</v>
      </c>
      <c r="H347" s="80">
        <f t="shared" si="461"/>
        <v>2082</v>
      </c>
      <c r="I347" s="63"/>
      <c r="J347" s="63"/>
      <c r="K347" s="63"/>
      <c r="L347" s="63"/>
      <c r="M347" s="63">
        <v>1980</v>
      </c>
      <c r="N347" s="63">
        <f t="shared" si="458"/>
        <v>1980</v>
      </c>
      <c r="O347" s="63">
        <v>1980</v>
      </c>
      <c r="P347" s="63">
        <f t="shared" si="459"/>
        <v>1980</v>
      </c>
      <c r="Q347" s="54"/>
      <c r="R347" s="54"/>
      <c r="S347" s="63">
        <v>1980</v>
      </c>
      <c r="T347" s="63">
        <f t="shared" si="463"/>
        <v>1980</v>
      </c>
      <c r="U347" s="122">
        <v>1600</v>
      </c>
      <c r="V347" s="122">
        <v>1600</v>
      </c>
      <c r="W347" s="63"/>
      <c r="X347" s="63"/>
      <c r="Y347" s="63"/>
      <c r="Z347" s="63"/>
      <c r="AA347" s="63">
        <f t="shared" si="449"/>
        <v>1600</v>
      </c>
      <c r="AB347" s="63">
        <f t="shared" si="449"/>
        <v>1600</v>
      </c>
      <c r="AC347" s="63">
        <f t="shared" si="450"/>
        <v>380</v>
      </c>
      <c r="AD347" s="63">
        <f t="shared" si="450"/>
        <v>380</v>
      </c>
      <c r="AE347" s="63">
        <f t="shared" si="451"/>
        <v>0</v>
      </c>
      <c r="AF347" s="63">
        <f t="shared" si="452"/>
        <v>0</v>
      </c>
      <c r="AG347" s="63"/>
      <c r="AH347" s="63"/>
      <c r="AI347" s="69"/>
      <c r="AJ347" s="19">
        <f t="shared" si="464"/>
        <v>0</v>
      </c>
      <c r="AK347" s="22">
        <f t="shared" si="422"/>
        <v>0</v>
      </c>
      <c r="AL347" s="22"/>
      <c r="AM347" s="12">
        <f t="shared" si="453"/>
        <v>1</v>
      </c>
      <c r="AO347" s="12">
        <f t="shared" si="454"/>
        <v>0</v>
      </c>
      <c r="AP347" s="12">
        <f t="shared" si="436"/>
        <v>0</v>
      </c>
      <c r="AQ347" s="12">
        <f t="shared" si="455"/>
        <v>0</v>
      </c>
      <c r="AR347" s="12">
        <f t="shared" si="462"/>
        <v>0</v>
      </c>
      <c r="AS347" s="12">
        <f t="shared" si="456"/>
        <v>0</v>
      </c>
      <c r="AT347" s="12">
        <f t="shared" si="395"/>
        <v>0</v>
      </c>
      <c r="AU347" s="12">
        <f t="shared" si="457"/>
        <v>0</v>
      </c>
      <c r="AV347" s="12">
        <f t="shared" si="440"/>
        <v>0</v>
      </c>
    </row>
    <row r="348" spans="1:48" ht="49.5" hidden="1" x14ac:dyDescent="0.25">
      <c r="A348" s="60">
        <v>26</v>
      </c>
      <c r="B348" s="91" t="s">
        <v>806</v>
      </c>
      <c r="C348" s="61" t="s">
        <v>336</v>
      </c>
      <c r="D348" s="115" t="s">
        <v>787</v>
      </c>
      <c r="E348" s="70">
        <v>2016</v>
      </c>
      <c r="F348" s="61" t="s">
        <v>807</v>
      </c>
      <c r="G348" s="68">
        <v>4980</v>
      </c>
      <c r="H348" s="80">
        <f t="shared" si="461"/>
        <v>4980</v>
      </c>
      <c r="I348" s="63"/>
      <c r="J348" s="63"/>
      <c r="K348" s="63"/>
      <c r="L348" s="63"/>
      <c r="M348" s="63">
        <v>3430</v>
      </c>
      <c r="N348" s="63">
        <f t="shared" si="458"/>
        <v>3430</v>
      </c>
      <c r="O348" s="63">
        <v>3430</v>
      </c>
      <c r="P348" s="63">
        <f t="shared" si="459"/>
        <v>3430</v>
      </c>
      <c r="Q348" s="54"/>
      <c r="R348" s="54"/>
      <c r="S348" s="63">
        <v>3430</v>
      </c>
      <c r="T348" s="63">
        <f t="shared" si="463"/>
        <v>3430</v>
      </c>
      <c r="U348" s="122">
        <v>3200</v>
      </c>
      <c r="V348" s="122">
        <v>3200</v>
      </c>
      <c r="W348" s="63"/>
      <c r="X348" s="63"/>
      <c r="Y348" s="63"/>
      <c r="Z348" s="63"/>
      <c r="AA348" s="63">
        <f t="shared" si="449"/>
        <v>3200</v>
      </c>
      <c r="AB348" s="63">
        <f t="shared" si="449"/>
        <v>3200</v>
      </c>
      <c r="AC348" s="63">
        <f t="shared" si="450"/>
        <v>230</v>
      </c>
      <c r="AD348" s="63">
        <f t="shared" si="450"/>
        <v>230</v>
      </c>
      <c r="AE348" s="63">
        <f t="shared" si="451"/>
        <v>0</v>
      </c>
      <c r="AF348" s="63">
        <f t="shared" si="452"/>
        <v>0</v>
      </c>
      <c r="AG348" s="63"/>
      <c r="AH348" s="63"/>
      <c r="AI348" s="69"/>
      <c r="AJ348" s="19">
        <f t="shared" si="464"/>
        <v>0</v>
      </c>
      <c r="AK348" s="22">
        <f t="shared" si="422"/>
        <v>0</v>
      </c>
      <c r="AL348" s="22"/>
      <c r="AM348" s="12">
        <f t="shared" si="453"/>
        <v>1</v>
      </c>
      <c r="AO348" s="12">
        <f t="shared" si="454"/>
        <v>0</v>
      </c>
      <c r="AP348" s="12">
        <f t="shared" si="436"/>
        <v>0</v>
      </c>
      <c r="AQ348" s="12">
        <f t="shared" si="455"/>
        <v>0</v>
      </c>
      <c r="AR348" s="12">
        <f t="shared" si="462"/>
        <v>0</v>
      </c>
      <c r="AS348" s="12">
        <f t="shared" si="456"/>
        <v>0</v>
      </c>
      <c r="AT348" s="12">
        <f t="shared" si="395"/>
        <v>0</v>
      </c>
      <c r="AU348" s="12">
        <f t="shared" si="457"/>
        <v>0</v>
      </c>
      <c r="AV348" s="12">
        <f t="shared" si="440"/>
        <v>0</v>
      </c>
    </row>
    <row r="349" spans="1:48" ht="63" hidden="1" x14ac:dyDescent="0.25">
      <c r="A349" s="60">
        <v>27</v>
      </c>
      <c r="B349" s="91" t="s">
        <v>808</v>
      </c>
      <c r="C349" s="61" t="s">
        <v>336</v>
      </c>
      <c r="D349" s="115" t="s">
        <v>809</v>
      </c>
      <c r="E349" s="70">
        <v>2016</v>
      </c>
      <c r="F349" s="61" t="s">
        <v>810</v>
      </c>
      <c r="G349" s="68">
        <v>4228</v>
      </c>
      <c r="H349" s="80">
        <f t="shared" si="461"/>
        <v>4228</v>
      </c>
      <c r="I349" s="63"/>
      <c r="J349" s="63"/>
      <c r="K349" s="63"/>
      <c r="L349" s="63"/>
      <c r="M349" s="63">
        <v>4050</v>
      </c>
      <c r="N349" s="63">
        <f t="shared" si="458"/>
        <v>4050</v>
      </c>
      <c r="O349" s="63">
        <v>4050</v>
      </c>
      <c r="P349" s="63">
        <f t="shared" si="459"/>
        <v>4050</v>
      </c>
      <c r="Q349" s="54"/>
      <c r="R349" s="54"/>
      <c r="S349" s="63">
        <v>4050</v>
      </c>
      <c r="T349" s="63">
        <f t="shared" si="463"/>
        <v>4050</v>
      </c>
      <c r="U349" s="122">
        <v>4009</v>
      </c>
      <c r="V349" s="122">
        <v>4009</v>
      </c>
      <c r="W349" s="63"/>
      <c r="X349" s="63"/>
      <c r="Y349" s="63"/>
      <c r="Z349" s="63"/>
      <c r="AA349" s="63">
        <f t="shared" si="449"/>
        <v>4009</v>
      </c>
      <c r="AB349" s="63">
        <f t="shared" si="449"/>
        <v>4009</v>
      </c>
      <c r="AC349" s="63">
        <f t="shared" si="450"/>
        <v>41</v>
      </c>
      <c r="AD349" s="63">
        <f t="shared" si="450"/>
        <v>41</v>
      </c>
      <c r="AE349" s="63">
        <f t="shared" si="451"/>
        <v>0</v>
      </c>
      <c r="AF349" s="63">
        <f t="shared" si="452"/>
        <v>0</v>
      </c>
      <c r="AG349" s="63"/>
      <c r="AH349" s="63"/>
      <c r="AI349" s="69"/>
      <c r="AJ349" s="19">
        <f t="shared" si="464"/>
        <v>0</v>
      </c>
      <c r="AK349" s="22">
        <f t="shared" si="422"/>
        <v>0</v>
      </c>
      <c r="AL349" s="22"/>
      <c r="AM349" s="12">
        <f t="shared" si="453"/>
        <v>1</v>
      </c>
      <c r="AO349" s="12">
        <f t="shared" si="454"/>
        <v>0</v>
      </c>
      <c r="AP349" s="12">
        <f t="shared" si="436"/>
        <v>0</v>
      </c>
      <c r="AQ349" s="12">
        <f t="shared" si="455"/>
        <v>0</v>
      </c>
      <c r="AR349" s="12">
        <f t="shared" si="462"/>
        <v>0</v>
      </c>
      <c r="AS349" s="12">
        <f t="shared" si="456"/>
        <v>0</v>
      </c>
      <c r="AT349" s="12">
        <f t="shared" si="395"/>
        <v>0</v>
      </c>
      <c r="AU349" s="12">
        <f t="shared" si="457"/>
        <v>0</v>
      </c>
      <c r="AV349" s="12">
        <f t="shared" si="440"/>
        <v>0</v>
      </c>
    </row>
    <row r="350" spans="1:48" ht="33" hidden="1" x14ac:dyDescent="0.25">
      <c r="A350" s="60">
        <v>28</v>
      </c>
      <c r="B350" s="9" t="s">
        <v>811</v>
      </c>
      <c r="C350" s="61" t="s">
        <v>95</v>
      </c>
      <c r="D350" s="70"/>
      <c r="E350" s="70">
        <v>2017</v>
      </c>
      <c r="F350" s="70"/>
      <c r="G350" s="68">
        <v>10000</v>
      </c>
      <c r="H350" s="68">
        <v>3000</v>
      </c>
      <c r="I350" s="63"/>
      <c r="J350" s="63"/>
      <c r="K350" s="63"/>
      <c r="L350" s="63"/>
      <c r="M350" s="68">
        <v>3000</v>
      </c>
      <c r="N350" s="68">
        <v>3000</v>
      </c>
      <c r="O350" s="68">
        <v>3000</v>
      </c>
      <c r="P350" s="68">
        <v>3000</v>
      </c>
      <c r="Q350" s="54"/>
      <c r="R350" s="54"/>
      <c r="S350" s="68">
        <v>3000</v>
      </c>
      <c r="T350" s="68">
        <v>3000</v>
      </c>
      <c r="U350" s="63"/>
      <c r="V350" s="63"/>
      <c r="W350" s="63">
        <v>3000</v>
      </c>
      <c r="X350" s="63">
        <v>3000</v>
      </c>
      <c r="Y350" s="63">
        <v>3000</v>
      </c>
      <c r="Z350" s="63"/>
      <c r="AA350" s="63">
        <f t="shared" si="449"/>
        <v>6000</v>
      </c>
      <c r="AB350" s="63">
        <f t="shared" si="449"/>
        <v>3000</v>
      </c>
      <c r="AC350" s="63">
        <f t="shared" si="450"/>
        <v>-3000</v>
      </c>
      <c r="AD350" s="63">
        <f t="shared" si="450"/>
        <v>0</v>
      </c>
      <c r="AE350" s="63">
        <f t="shared" si="451"/>
        <v>0</v>
      </c>
      <c r="AF350" s="63">
        <f t="shared" si="452"/>
        <v>0</v>
      </c>
      <c r="AG350" s="63"/>
      <c r="AH350" s="63"/>
      <c r="AI350" s="132" t="s">
        <v>812</v>
      </c>
      <c r="AJ350" s="19">
        <f t="shared" si="464"/>
        <v>0</v>
      </c>
      <c r="AK350" s="22">
        <f t="shared" si="422"/>
        <v>0</v>
      </c>
      <c r="AL350" s="22"/>
      <c r="AM350" s="12">
        <f t="shared" si="453"/>
        <v>1</v>
      </c>
      <c r="AO350" s="12">
        <f t="shared" si="454"/>
        <v>0</v>
      </c>
      <c r="AP350" s="12">
        <f t="shared" si="436"/>
        <v>0</v>
      </c>
      <c r="AQ350" s="12">
        <f t="shared" si="455"/>
        <v>0</v>
      </c>
      <c r="AR350" s="12">
        <f t="shared" si="462"/>
        <v>0</v>
      </c>
      <c r="AS350" s="12">
        <f t="shared" si="456"/>
        <v>0</v>
      </c>
      <c r="AT350" s="12">
        <f t="shared" si="395"/>
        <v>0</v>
      </c>
      <c r="AU350" s="12">
        <f t="shared" si="457"/>
        <v>0</v>
      </c>
      <c r="AV350" s="12">
        <f t="shared" si="440"/>
        <v>0</v>
      </c>
    </row>
    <row r="351" spans="1:48" ht="33" hidden="1" x14ac:dyDescent="0.25">
      <c r="A351" s="60">
        <v>29</v>
      </c>
      <c r="B351" s="9" t="s">
        <v>813</v>
      </c>
      <c r="C351" s="61" t="s">
        <v>146</v>
      </c>
      <c r="D351" s="70"/>
      <c r="E351" s="70">
        <v>2017</v>
      </c>
      <c r="F351" s="70"/>
      <c r="G351" s="68">
        <v>10000</v>
      </c>
      <c r="H351" s="68">
        <v>3000</v>
      </c>
      <c r="I351" s="63"/>
      <c r="J351" s="63"/>
      <c r="K351" s="63"/>
      <c r="L351" s="63"/>
      <c r="M351" s="68">
        <v>3000</v>
      </c>
      <c r="N351" s="68">
        <v>3000</v>
      </c>
      <c r="O351" s="68">
        <v>3000</v>
      </c>
      <c r="P351" s="68">
        <v>3000</v>
      </c>
      <c r="Q351" s="54"/>
      <c r="R351" s="54"/>
      <c r="S351" s="68">
        <v>3000</v>
      </c>
      <c r="T351" s="68">
        <v>3000</v>
      </c>
      <c r="U351" s="63"/>
      <c r="V351" s="63"/>
      <c r="W351" s="63">
        <v>3000</v>
      </c>
      <c r="X351" s="63">
        <v>3000</v>
      </c>
      <c r="Y351" s="63">
        <v>3000</v>
      </c>
      <c r="Z351" s="63"/>
      <c r="AA351" s="63">
        <f t="shared" si="449"/>
        <v>6000</v>
      </c>
      <c r="AB351" s="63">
        <f t="shared" si="449"/>
        <v>3000</v>
      </c>
      <c r="AC351" s="63">
        <f t="shared" si="450"/>
        <v>-3000</v>
      </c>
      <c r="AD351" s="63">
        <f t="shared" si="450"/>
        <v>0</v>
      </c>
      <c r="AE351" s="63">
        <f t="shared" si="451"/>
        <v>0</v>
      </c>
      <c r="AF351" s="63">
        <f t="shared" si="452"/>
        <v>0</v>
      </c>
      <c r="AG351" s="63"/>
      <c r="AH351" s="63"/>
      <c r="AI351" s="132" t="s">
        <v>812</v>
      </c>
      <c r="AJ351" s="19">
        <f t="shared" si="464"/>
        <v>0</v>
      </c>
      <c r="AK351" s="22">
        <f t="shared" si="422"/>
        <v>0</v>
      </c>
      <c r="AL351" s="22"/>
      <c r="AM351" s="12">
        <f t="shared" si="453"/>
        <v>1</v>
      </c>
      <c r="AO351" s="12">
        <f t="shared" si="454"/>
        <v>0</v>
      </c>
      <c r="AP351" s="12">
        <f t="shared" si="436"/>
        <v>0</v>
      </c>
      <c r="AQ351" s="12">
        <f t="shared" si="455"/>
        <v>0</v>
      </c>
      <c r="AR351" s="12">
        <f t="shared" si="462"/>
        <v>0</v>
      </c>
      <c r="AS351" s="12">
        <f t="shared" si="456"/>
        <v>0</v>
      </c>
      <c r="AT351" s="12">
        <f t="shared" ref="AT351:AT378" si="465">IF(AS351=1,Q351,0)</f>
        <v>0</v>
      </c>
      <c r="AU351" s="12">
        <f t="shared" si="457"/>
        <v>0</v>
      </c>
      <c r="AV351" s="12">
        <f t="shared" si="440"/>
        <v>0</v>
      </c>
    </row>
    <row r="352" spans="1:48" ht="49.5" hidden="1" x14ac:dyDescent="0.25">
      <c r="A352" s="60">
        <v>30</v>
      </c>
      <c r="B352" s="9" t="s">
        <v>814</v>
      </c>
      <c r="C352" s="61" t="s">
        <v>336</v>
      </c>
      <c r="D352" s="61" t="s">
        <v>815</v>
      </c>
      <c r="E352" s="70">
        <v>2017</v>
      </c>
      <c r="F352" s="61" t="s">
        <v>816</v>
      </c>
      <c r="G352" s="68">
        <v>4834</v>
      </c>
      <c r="H352" s="68">
        <v>4834</v>
      </c>
      <c r="I352" s="63"/>
      <c r="J352" s="63"/>
      <c r="K352" s="63"/>
      <c r="L352" s="63"/>
      <c r="M352" s="68">
        <v>4500</v>
      </c>
      <c r="N352" s="68">
        <v>4500</v>
      </c>
      <c r="O352" s="68">
        <v>4500</v>
      </c>
      <c r="P352" s="68">
        <v>4500</v>
      </c>
      <c r="Q352" s="54"/>
      <c r="R352" s="54"/>
      <c r="S352" s="68">
        <v>4500</v>
      </c>
      <c r="T352" s="68">
        <v>4500</v>
      </c>
      <c r="U352" s="63"/>
      <c r="V352" s="63"/>
      <c r="W352" s="63">
        <v>2500</v>
      </c>
      <c r="X352" s="63">
        <v>2500</v>
      </c>
      <c r="Y352" s="63">
        <v>2500</v>
      </c>
      <c r="Z352" s="63"/>
      <c r="AA352" s="63">
        <f t="shared" si="449"/>
        <v>5000</v>
      </c>
      <c r="AB352" s="63">
        <f t="shared" si="449"/>
        <v>2500</v>
      </c>
      <c r="AC352" s="63">
        <f t="shared" si="450"/>
        <v>-500</v>
      </c>
      <c r="AD352" s="63">
        <f t="shared" si="450"/>
        <v>2000</v>
      </c>
      <c r="AE352" s="63">
        <f t="shared" si="451"/>
        <v>0</v>
      </c>
      <c r="AF352" s="63">
        <f t="shared" si="452"/>
        <v>0</v>
      </c>
      <c r="AG352" s="63"/>
      <c r="AH352" s="63"/>
      <c r="AI352" s="69"/>
      <c r="AJ352" s="19">
        <f t="shared" si="464"/>
        <v>0</v>
      </c>
      <c r="AK352" s="22">
        <f t="shared" si="422"/>
        <v>0</v>
      </c>
      <c r="AL352" s="22"/>
      <c r="AM352" s="12">
        <f t="shared" si="453"/>
        <v>1</v>
      </c>
      <c r="AO352" s="12">
        <f t="shared" si="454"/>
        <v>0</v>
      </c>
      <c r="AP352" s="12">
        <f t="shared" si="436"/>
        <v>0</v>
      </c>
      <c r="AQ352" s="12">
        <f t="shared" si="455"/>
        <v>0</v>
      </c>
      <c r="AR352" s="12">
        <f t="shared" si="462"/>
        <v>0</v>
      </c>
      <c r="AS352" s="12">
        <f t="shared" si="456"/>
        <v>0</v>
      </c>
      <c r="AT352" s="12">
        <f t="shared" si="465"/>
        <v>0</v>
      </c>
      <c r="AU352" s="12">
        <f t="shared" si="457"/>
        <v>0</v>
      </c>
      <c r="AV352" s="12">
        <f t="shared" si="440"/>
        <v>0</v>
      </c>
    </row>
    <row r="353" spans="1:48" ht="49.5" hidden="1" x14ac:dyDescent="0.25">
      <c r="A353" s="60">
        <v>31</v>
      </c>
      <c r="B353" s="9" t="s">
        <v>817</v>
      </c>
      <c r="C353" s="61" t="s">
        <v>95</v>
      </c>
      <c r="D353" s="61" t="s">
        <v>818</v>
      </c>
      <c r="E353" s="70">
        <v>2017</v>
      </c>
      <c r="F353" s="61" t="s">
        <v>819</v>
      </c>
      <c r="G353" s="75">
        <v>4046</v>
      </c>
      <c r="H353" s="75">
        <v>4046</v>
      </c>
      <c r="I353" s="63"/>
      <c r="J353" s="63"/>
      <c r="K353" s="63"/>
      <c r="L353" s="63"/>
      <c r="M353" s="63">
        <v>3800</v>
      </c>
      <c r="N353" s="63">
        <v>3800</v>
      </c>
      <c r="O353" s="63">
        <v>3800</v>
      </c>
      <c r="P353" s="63">
        <v>3800</v>
      </c>
      <c r="Q353" s="54"/>
      <c r="R353" s="54"/>
      <c r="S353" s="63">
        <v>3800</v>
      </c>
      <c r="T353" s="63">
        <v>3800</v>
      </c>
      <c r="U353" s="63"/>
      <c r="V353" s="63"/>
      <c r="W353" s="63">
        <v>3200</v>
      </c>
      <c r="X353" s="63">
        <v>3200</v>
      </c>
      <c r="Y353" s="63">
        <v>3200</v>
      </c>
      <c r="Z353" s="63"/>
      <c r="AA353" s="63">
        <f t="shared" si="449"/>
        <v>6400</v>
      </c>
      <c r="AB353" s="63">
        <f t="shared" si="449"/>
        <v>3200</v>
      </c>
      <c r="AC353" s="63">
        <f t="shared" si="450"/>
        <v>-2600</v>
      </c>
      <c r="AD353" s="63">
        <f t="shared" si="450"/>
        <v>600</v>
      </c>
      <c r="AE353" s="63">
        <f t="shared" si="451"/>
        <v>0</v>
      </c>
      <c r="AF353" s="63">
        <f t="shared" si="452"/>
        <v>0</v>
      </c>
      <c r="AG353" s="63"/>
      <c r="AH353" s="63"/>
      <c r="AI353" s="69"/>
      <c r="AJ353" s="19">
        <f t="shared" si="464"/>
        <v>0</v>
      </c>
      <c r="AK353" s="22">
        <f t="shared" si="422"/>
        <v>0</v>
      </c>
      <c r="AL353" s="22"/>
      <c r="AM353" s="12">
        <f t="shared" si="453"/>
        <v>1</v>
      </c>
      <c r="AO353" s="12">
        <f t="shared" si="454"/>
        <v>0</v>
      </c>
      <c r="AP353" s="12">
        <f t="shared" si="436"/>
        <v>0</v>
      </c>
      <c r="AQ353" s="12">
        <f t="shared" si="455"/>
        <v>0</v>
      </c>
      <c r="AR353" s="12">
        <f t="shared" si="462"/>
        <v>0</v>
      </c>
      <c r="AS353" s="12">
        <f t="shared" si="456"/>
        <v>0</v>
      </c>
      <c r="AT353" s="12">
        <f t="shared" si="465"/>
        <v>0</v>
      </c>
      <c r="AU353" s="12">
        <f t="shared" si="457"/>
        <v>0</v>
      </c>
      <c r="AV353" s="12">
        <f t="shared" si="440"/>
        <v>0</v>
      </c>
    </row>
    <row r="354" spans="1:48" ht="49.5" hidden="1" x14ac:dyDescent="0.25">
      <c r="A354" s="60">
        <v>32</v>
      </c>
      <c r="B354" s="9" t="s">
        <v>820</v>
      </c>
      <c r="C354" s="61" t="s">
        <v>104</v>
      </c>
      <c r="D354" s="61" t="s">
        <v>821</v>
      </c>
      <c r="E354" s="70">
        <v>2017</v>
      </c>
      <c r="F354" s="61" t="s">
        <v>822</v>
      </c>
      <c r="G354" s="75">
        <v>2324</v>
      </c>
      <c r="H354" s="75">
        <v>2324</v>
      </c>
      <c r="I354" s="63"/>
      <c r="J354" s="63"/>
      <c r="K354" s="63"/>
      <c r="L354" s="63"/>
      <c r="M354" s="63">
        <v>2100</v>
      </c>
      <c r="N354" s="63">
        <v>2100</v>
      </c>
      <c r="O354" s="63">
        <v>2100</v>
      </c>
      <c r="P354" s="63">
        <v>2100</v>
      </c>
      <c r="Q354" s="54"/>
      <c r="R354" s="54"/>
      <c r="S354" s="63">
        <v>2100</v>
      </c>
      <c r="T354" s="63">
        <v>2100</v>
      </c>
      <c r="U354" s="63"/>
      <c r="V354" s="63"/>
      <c r="W354" s="63">
        <v>2200</v>
      </c>
      <c r="X354" s="63">
        <v>2200</v>
      </c>
      <c r="Y354" s="63">
        <v>2200</v>
      </c>
      <c r="Z354" s="63"/>
      <c r="AA354" s="63">
        <f t="shared" si="449"/>
        <v>4400</v>
      </c>
      <c r="AB354" s="63">
        <f t="shared" si="449"/>
        <v>2200</v>
      </c>
      <c r="AC354" s="63">
        <f t="shared" si="450"/>
        <v>-2300</v>
      </c>
      <c r="AD354" s="63">
        <f t="shared" si="450"/>
        <v>-100</v>
      </c>
      <c r="AE354" s="63">
        <f t="shared" si="451"/>
        <v>0</v>
      </c>
      <c r="AF354" s="63">
        <f t="shared" si="452"/>
        <v>0</v>
      </c>
      <c r="AG354" s="63"/>
      <c r="AH354" s="63"/>
      <c r="AI354" s="69"/>
      <c r="AJ354" s="19">
        <f t="shared" si="464"/>
        <v>0</v>
      </c>
      <c r="AK354" s="22">
        <f t="shared" si="422"/>
        <v>0</v>
      </c>
      <c r="AL354" s="22"/>
      <c r="AM354" s="12">
        <f t="shared" si="453"/>
        <v>1</v>
      </c>
      <c r="AO354" s="12">
        <f t="shared" si="454"/>
        <v>0</v>
      </c>
      <c r="AP354" s="12">
        <f t="shared" si="436"/>
        <v>0</v>
      </c>
      <c r="AQ354" s="12">
        <f t="shared" si="455"/>
        <v>0</v>
      </c>
      <c r="AR354" s="12">
        <f t="shared" si="462"/>
        <v>0</v>
      </c>
      <c r="AS354" s="12">
        <f t="shared" si="456"/>
        <v>0</v>
      </c>
      <c r="AT354" s="12">
        <f t="shared" si="465"/>
        <v>0</v>
      </c>
      <c r="AU354" s="12">
        <f t="shared" si="457"/>
        <v>0</v>
      </c>
      <c r="AV354" s="12">
        <f t="shared" si="440"/>
        <v>0</v>
      </c>
    </row>
    <row r="355" spans="1:48" ht="66" hidden="1" x14ac:dyDescent="0.25">
      <c r="A355" s="60">
        <v>33</v>
      </c>
      <c r="B355" s="91" t="s">
        <v>823</v>
      </c>
      <c r="C355" s="61" t="s">
        <v>336</v>
      </c>
      <c r="D355" s="61" t="s">
        <v>824</v>
      </c>
      <c r="E355" s="70">
        <v>2017</v>
      </c>
      <c r="F355" s="61" t="s">
        <v>825</v>
      </c>
      <c r="G355" s="74">
        <v>1031</v>
      </c>
      <c r="H355" s="74">
        <v>1031</v>
      </c>
      <c r="I355" s="63"/>
      <c r="J355" s="63"/>
      <c r="K355" s="63"/>
      <c r="L355" s="63"/>
      <c r="M355" s="63">
        <v>980</v>
      </c>
      <c r="N355" s="63">
        <v>980</v>
      </c>
      <c r="O355" s="63">
        <v>980</v>
      </c>
      <c r="P355" s="63">
        <v>980</v>
      </c>
      <c r="Q355" s="54"/>
      <c r="R355" s="54"/>
      <c r="S355" s="63">
        <v>980</v>
      </c>
      <c r="T355" s="63">
        <v>980</v>
      </c>
      <c r="U355" s="63"/>
      <c r="V355" s="63"/>
      <c r="W355" s="63">
        <v>800</v>
      </c>
      <c r="X355" s="63">
        <v>800</v>
      </c>
      <c r="Y355" s="63">
        <v>800</v>
      </c>
      <c r="Z355" s="63"/>
      <c r="AA355" s="63">
        <f t="shared" si="449"/>
        <v>1600</v>
      </c>
      <c r="AB355" s="63">
        <f t="shared" si="449"/>
        <v>800</v>
      </c>
      <c r="AC355" s="63">
        <f t="shared" si="450"/>
        <v>-620</v>
      </c>
      <c r="AD355" s="63">
        <f t="shared" si="450"/>
        <v>180</v>
      </c>
      <c r="AE355" s="63">
        <f t="shared" si="451"/>
        <v>0</v>
      </c>
      <c r="AF355" s="63">
        <f t="shared" si="452"/>
        <v>0</v>
      </c>
      <c r="AG355" s="63"/>
      <c r="AH355" s="63"/>
      <c r="AI355" s="69"/>
      <c r="AJ355" s="19">
        <f t="shared" si="464"/>
        <v>0</v>
      </c>
      <c r="AK355" s="22">
        <f t="shared" si="422"/>
        <v>0</v>
      </c>
      <c r="AL355" s="22"/>
      <c r="AM355" s="12">
        <f t="shared" si="453"/>
        <v>1</v>
      </c>
      <c r="AO355" s="12">
        <f t="shared" si="454"/>
        <v>0</v>
      </c>
      <c r="AP355" s="12">
        <f t="shared" si="436"/>
        <v>0</v>
      </c>
      <c r="AQ355" s="12">
        <f t="shared" si="455"/>
        <v>0</v>
      </c>
      <c r="AR355" s="12">
        <f t="shared" si="462"/>
        <v>0</v>
      </c>
      <c r="AS355" s="12">
        <f t="shared" si="456"/>
        <v>0</v>
      </c>
      <c r="AT355" s="12">
        <f t="shared" si="465"/>
        <v>0</v>
      </c>
      <c r="AU355" s="12">
        <f t="shared" si="457"/>
        <v>0</v>
      </c>
      <c r="AV355" s="12">
        <f t="shared" si="440"/>
        <v>0</v>
      </c>
    </row>
    <row r="356" spans="1:48" ht="49.5" hidden="1" x14ac:dyDescent="0.25">
      <c r="A356" s="60">
        <v>34</v>
      </c>
      <c r="B356" s="9" t="s">
        <v>826</v>
      </c>
      <c r="C356" s="61" t="s">
        <v>336</v>
      </c>
      <c r="D356" s="61" t="s">
        <v>827</v>
      </c>
      <c r="E356" s="70">
        <v>2017</v>
      </c>
      <c r="F356" s="61" t="s">
        <v>828</v>
      </c>
      <c r="G356" s="68">
        <v>873</v>
      </c>
      <c r="H356" s="68">
        <v>873</v>
      </c>
      <c r="I356" s="63"/>
      <c r="J356" s="63"/>
      <c r="K356" s="63"/>
      <c r="L356" s="63"/>
      <c r="M356" s="63">
        <v>830</v>
      </c>
      <c r="N356" s="63">
        <v>830</v>
      </c>
      <c r="O356" s="63">
        <v>830</v>
      </c>
      <c r="P356" s="63">
        <v>830</v>
      </c>
      <c r="Q356" s="54"/>
      <c r="R356" s="54"/>
      <c r="S356" s="63">
        <v>830</v>
      </c>
      <c r="T356" s="63">
        <v>830</v>
      </c>
      <c r="U356" s="63"/>
      <c r="V356" s="63"/>
      <c r="W356" s="63">
        <v>700</v>
      </c>
      <c r="X356" s="63">
        <v>700</v>
      </c>
      <c r="Y356" s="63">
        <v>700</v>
      </c>
      <c r="Z356" s="63"/>
      <c r="AA356" s="63">
        <f t="shared" si="449"/>
        <v>1400</v>
      </c>
      <c r="AB356" s="63">
        <f t="shared" si="449"/>
        <v>700</v>
      </c>
      <c r="AC356" s="63">
        <f t="shared" si="450"/>
        <v>-570</v>
      </c>
      <c r="AD356" s="63">
        <f t="shared" si="450"/>
        <v>130</v>
      </c>
      <c r="AE356" s="63">
        <f t="shared" si="451"/>
        <v>0</v>
      </c>
      <c r="AF356" s="63">
        <f t="shared" si="452"/>
        <v>0</v>
      </c>
      <c r="AG356" s="63"/>
      <c r="AH356" s="63"/>
      <c r="AI356" s="69"/>
      <c r="AJ356" s="19">
        <f t="shared" si="464"/>
        <v>0</v>
      </c>
      <c r="AK356" s="22">
        <f t="shared" si="422"/>
        <v>0</v>
      </c>
      <c r="AL356" s="22"/>
      <c r="AM356" s="12">
        <f t="shared" si="453"/>
        <v>1</v>
      </c>
      <c r="AO356" s="12">
        <f t="shared" si="454"/>
        <v>0</v>
      </c>
      <c r="AP356" s="12">
        <f t="shared" si="436"/>
        <v>0</v>
      </c>
      <c r="AQ356" s="12">
        <f t="shared" si="455"/>
        <v>0</v>
      </c>
      <c r="AR356" s="12">
        <f t="shared" si="462"/>
        <v>0</v>
      </c>
      <c r="AS356" s="12">
        <f t="shared" si="456"/>
        <v>0</v>
      </c>
      <c r="AT356" s="12">
        <f t="shared" si="465"/>
        <v>0</v>
      </c>
      <c r="AU356" s="12">
        <f t="shared" si="457"/>
        <v>0</v>
      </c>
      <c r="AV356" s="12">
        <f t="shared" si="440"/>
        <v>0</v>
      </c>
    </row>
    <row r="357" spans="1:48" ht="66" hidden="1" x14ac:dyDescent="0.25">
      <c r="A357" s="60">
        <v>35</v>
      </c>
      <c r="B357" s="91" t="s">
        <v>829</v>
      </c>
      <c r="C357" s="61" t="s">
        <v>95</v>
      </c>
      <c r="D357" s="61" t="s">
        <v>830</v>
      </c>
      <c r="E357" s="70">
        <v>2017</v>
      </c>
      <c r="F357" s="61" t="s">
        <v>831</v>
      </c>
      <c r="G357" s="74">
        <v>2885</v>
      </c>
      <c r="H357" s="74">
        <v>2885</v>
      </c>
      <c r="I357" s="63"/>
      <c r="J357" s="63"/>
      <c r="K357" s="63"/>
      <c r="L357" s="63"/>
      <c r="M357" s="63">
        <v>2700</v>
      </c>
      <c r="N357" s="63">
        <v>2700</v>
      </c>
      <c r="O357" s="63">
        <v>2700</v>
      </c>
      <c r="P357" s="63">
        <v>2700</v>
      </c>
      <c r="Q357" s="54"/>
      <c r="R357" s="54"/>
      <c r="S357" s="63">
        <v>2700</v>
      </c>
      <c r="T357" s="63">
        <v>2700</v>
      </c>
      <c r="U357" s="63"/>
      <c r="V357" s="63"/>
      <c r="W357" s="63">
        <v>2000</v>
      </c>
      <c r="X357" s="63">
        <v>2000</v>
      </c>
      <c r="Y357" s="63">
        <v>2000</v>
      </c>
      <c r="Z357" s="63"/>
      <c r="AA357" s="63">
        <f t="shared" si="449"/>
        <v>4000</v>
      </c>
      <c r="AB357" s="63">
        <f t="shared" si="449"/>
        <v>2000</v>
      </c>
      <c r="AC357" s="63">
        <f t="shared" si="450"/>
        <v>-1300</v>
      </c>
      <c r="AD357" s="63">
        <f t="shared" si="450"/>
        <v>700</v>
      </c>
      <c r="AE357" s="63">
        <f t="shared" si="451"/>
        <v>0</v>
      </c>
      <c r="AF357" s="63">
        <f t="shared" si="452"/>
        <v>0</v>
      </c>
      <c r="AG357" s="63"/>
      <c r="AH357" s="63"/>
      <c r="AI357" s="69"/>
      <c r="AJ357" s="19">
        <f t="shared" si="464"/>
        <v>0</v>
      </c>
      <c r="AK357" s="22">
        <f t="shared" si="422"/>
        <v>0</v>
      </c>
      <c r="AL357" s="22"/>
      <c r="AM357" s="12">
        <f t="shared" si="453"/>
        <v>1</v>
      </c>
      <c r="AO357" s="12">
        <f t="shared" si="454"/>
        <v>0</v>
      </c>
      <c r="AP357" s="12">
        <f t="shared" si="436"/>
        <v>0</v>
      </c>
      <c r="AQ357" s="12">
        <f t="shared" si="455"/>
        <v>0</v>
      </c>
      <c r="AR357" s="12">
        <f t="shared" si="462"/>
        <v>0</v>
      </c>
      <c r="AS357" s="12">
        <f t="shared" si="456"/>
        <v>0</v>
      </c>
      <c r="AT357" s="12">
        <f t="shared" si="465"/>
        <v>0</v>
      </c>
      <c r="AU357" s="12">
        <f t="shared" si="457"/>
        <v>0</v>
      </c>
      <c r="AV357" s="12">
        <f t="shared" si="440"/>
        <v>0</v>
      </c>
    </row>
    <row r="358" spans="1:48" ht="66" hidden="1" x14ac:dyDescent="0.25">
      <c r="A358" s="60">
        <v>36</v>
      </c>
      <c r="B358" s="91" t="s">
        <v>832</v>
      </c>
      <c r="C358" s="61" t="s">
        <v>205</v>
      </c>
      <c r="D358" s="61" t="s">
        <v>833</v>
      </c>
      <c r="E358" s="70">
        <v>2017</v>
      </c>
      <c r="F358" s="61" t="s">
        <v>834</v>
      </c>
      <c r="G358" s="74">
        <v>3083</v>
      </c>
      <c r="H358" s="74">
        <v>3083</v>
      </c>
      <c r="I358" s="63"/>
      <c r="J358" s="63"/>
      <c r="K358" s="63"/>
      <c r="L358" s="63"/>
      <c r="M358" s="63">
        <v>3000</v>
      </c>
      <c r="N358" s="63">
        <v>3000</v>
      </c>
      <c r="O358" s="63">
        <v>3000</v>
      </c>
      <c r="P358" s="63">
        <v>3000</v>
      </c>
      <c r="Q358" s="54"/>
      <c r="R358" s="54"/>
      <c r="S358" s="63">
        <v>3000</v>
      </c>
      <c r="T358" s="63">
        <v>3000</v>
      </c>
      <c r="U358" s="63"/>
      <c r="V358" s="63"/>
      <c r="W358" s="63">
        <v>2200</v>
      </c>
      <c r="X358" s="63">
        <v>2200</v>
      </c>
      <c r="Y358" s="63">
        <v>2200</v>
      </c>
      <c r="Z358" s="63"/>
      <c r="AA358" s="63">
        <f t="shared" si="449"/>
        <v>4400</v>
      </c>
      <c r="AB358" s="63">
        <f t="shared" si="449"/>
        <v>2200</v>
      </c>
      <c r="AC358" s="63">
        <f t="shared" si="450"/>
        <v>-1400</v>
      </c>
      <c r="AD358" s="63">
        <f t="shared" si="450"/>
        <v>800</v>
      </c>
      <c r="AE358" s="63">
        <f t="shared" si="451"/>
        <v>0</v>
      </c>
      <c r="AF358" s="63">
        <f t="shared" si="452"/>
        <v>0</v>
      </c>
      <c r="AG358" s="63"/>
      <c r="AH358" s="63"/>
      <c r="AI358" s="69"/>
      <c r="AJ358" s="19">
        <f t="shared" si="464"/>
        <v>0</v>
      </c>
      <c r="AK358" s="22">
        <f t="shared" si="422"/>
        <v>0</v>
      </c>
      <c r="AL358" s="22"/>
      <c r="AM358" s="12">
        <f t="shared" si="453"/>
        <v>1</v>
      </c>
      <c r="AO358" s="12">
        <f t="shared" si="454"/>
        <v>0</v>
      </c>
      <c r="AP358" s="12">
        <f t="shared" si="436"/>
        <v>0</v>
      </c>
      <c r="AQ358" s="12">
        <f t="shared" si="455"/>
        <v>0</v>
      </c>
      <c r="AR358" s="12">
        <f t="shared" si="462"/>
        <v>0</v>
      </c>
      <c r="AS358" s="12">
        <f t="shared" si="456"/>
        <v>0</v>
      </c>
      <c r="AT358" s="12">
        <f t="shared" si="465"/>
        <v>0</v>
      </c>
      <c r="AU358" s="12">
        <f t="shared" si="457"/>
        <v>0</v>
      </c>
      <c r="AV358" s="12">
        <f t="shared" si="440"/>
        <v>0</v>
      </c>
    </row>
    <row r="359" spans="1:48" ht="49.5" hidden="1" x14ac:dyDescent="0.25">
      <c r="A359" s="60">
        <v>37</v>
      </c>
      <c r="B359" s="91" t="s">
        <v>835</v>
      </c>
      <c r="C359" s="61" t="s">
        <v>146</v>
      </c>
      <c r="D359" s="61" t="s">
        <v>836</v>
      </c>
      <c r="E359" s="70">
        <v>2017</v>
      </c>
      <c r="F359" s="61" t="s">
        <v>837</v>
      </c>
      <c r="G359" s="74">
        <v>3349</v>
      </c>
      <c r="H359" s="74">
        <v>3349</v>
      </c>
      <c r="I359" s="63"/>
      <c r="J359" s="63"/>
      <c r="K359" s="63"/>
      <c r="L359" s="63"/>
      <c r="M359" s="63">
        <v>3200</v>
      </c>
      <c r="N359" s="63">
        <v>3200</v>
      </c>
      <c r="O359" s="63">
        <v>3200</v>
      </c>
      <c r="P359" s="63">
        <v>3200</v>
      </c>
      <c r="Q359" s="54"/>
      <c r="R359" s="54"/>
      <c r="S359" s="63">
        <v>3200</v>
      </c>
      <c r="T359" s="63">
        <v>3200</v>
      </c>
      <c r="U359" s="63"/>
      <c r="V359" s="63"/>
      <c r="W359" s="63">
        <v>2200</v>
      </c>
      <c r="X359" s="63">
        <v>2200</v>
      </c>
      <c r="Y359" s="63">
        <v>2200</v>
      </c>
      <c r="Z359" s="63"/>
      <c r="AA359" s="63">
        <f t="shared" si="449"/>
        <v>4400</v>
      </c>
      <c r="AB359" s="63">
        <f t="shared" si="449"/>
        <v>2200</v>
      </c>
      <c r="AC359" s="63">
        <f t="shared" ref="AC359:AD379" si="466">O359-AA359</f>
        <v>-1200</v>
      </c>
      <c r="AD359" s="63">
        <f t="shared" si="466"/>
        <v>1000</v>
      </c>
      <c r="AE359" s="63">
        <f t="shared" si="451"/>
        <v>0</v>
      </c>
      <c r="AF359" s="63">
        <f t="shared" si="452"/>
        <v>0</v>
      </c>
      <c r="AG359" s="63"/>
      <c r="AH359" s="63"/>
      <c r="AI359" s="69"/>
      <c r="AJ359" s="19">
        <f t="shared" si="464"/>
        <v>0</v>
      </c>
      <c r="AK359" s="22">
        <f t="shared" si="422"/>
        <v>0</v>
      </c>
      <c r="AL359" s="22"/>
      <c r="AM359" s="12">
        <f t="shared" si="453"/>
        <v>1</v>
      </c>
      <c r="AO359" s="12">
        <f t="shared" si="454"/>
        <v>0</v>
      </c>
      <c r="AP359" s="12">
        <f t="shared" si="436"/>
        <v>0</v>
      </c>
      <c r="AQ359" s="12">
        <f t="shared" si="455"/>
        <v>0</v>
      </c>
      <c r="AR359" s="12">
        <f t="shared" si="462"/>
        <v>0</v>
      </c>
      <c r="AS359" s="12">
        <f t="shared" si="456"/>
        <v>0</v>
      </c>
      <c r="AT359" s="12">
        <f t="shared" si="465"/>
        <v>0</v>
      </c>
      <c r="AU359" s="12">
        <f t="shared" si="457"/>
        <v>0</v>
      </c>
      <c r="AV359" s="12">
        <f t="shared" si="440"/>
        <v>0</v>
      </c>
    </row>
    <row r="360" spans="1:48" ht="66" hidden="1" x14ac:dyDescent="0.25">
      <c r="A360" s="60">
        <v>38</v>
      </c>
      <c r="B360" s="91" t="s">
        <v>838</v>
      </c>
      <c r="C360" s="61" t="s">
        <v>194</v>
      </c>
      <c r="D360" s="61" t="s">
        <v>839</v>
      </c>
      <c r="E360" s="70">
        <v>2017</v>
      </c>
      <c r="F360" s="61" t="s">
        <v>840</v>
      </c>
      <c r="G360" s="74">
        <v>2958</v>
      </c>
      <c r="H360" s="74">
        <v>2958</v>
      </c>
      <c r="I360" s="63"/>
      <c r="J360" s="63"/>
      <c r="K360" s="63"/>
      <c r="L360" s="63"/>
      <c r="M360" s="63">
        <v>2800</v>
      </c>
      <c r="N360" s="63">
        <v>2800</v>
      </c>
      <c r="O360" s="63">
        <v>2800</v>
      </c>
      <c r="P360" s="63">
        <v>2800</v>
      </c>
      <c r="Q360" s="54"/>
      <c r="R360" s="54"/>
      <c r="S360" s="63">
        <v>2800</v>
      </c>
      <c r="T360" s="63">
        <v>2800</v>
      </c>
      <c r="U360" s="63"/>
      <c r="V360" s="63"/>
      <c r="W360" s="63">
        <v>2000</v>
      </c>
      <c r="X360" s="63">
        <v>2000</v>
      </c>
      <c r="Y360" s="63">
        <v>2000</v>
      </c>
      <c r="Z360" s="63"/>
      <c r="AA360" s="63">
        <f t="shared" si="449"/>
        <v>4000</v>
      </c>
      <c r="AB360" s="63">
        <f t="shared" si="449"/>
        <v>2000</v>
      </c>
      <c r="AC360" s="63">
        <f t="shared" si="466"/>
        <v>-1200</v>
      </c>
      <c r="AD360" s="63">
        <f t="shared" si="466"/>
        <v>800</v>
      </c>
      <c r="AE360" s="63">
        <f t="shared" si="451"/>
        <v>0</v>
      </c>
      <c r="AF360" s="63">
        <f t="shared" si="452"/>
        <v>0</v>
      </c>
      <c r="AG360" s="63"/>
      <c r="AH360" s="63"/>
      <c r="AI360" s="69"/>
      <c r="AJ360" s="19">
        <f t="shared" si="464"/>
        <v>0</v>
      </c>
      <c r="AK360" s="22">
        <f t="shared" si="422"/>
        <v>0</v>
      </c>
      <c r="AL360" s="22"/>
      <c r="AM360" s="12">
        <f t="shared" si="453"/>
        <v>1</v>
      </c>
      <c r="AO360" s="12">
        <f t="shared" si="454"/>
        <v>0</v>
      </c>
      <c r="AP360" s="12">
        <f t="shared" si="436"/>
        <v>0</v>
      </c>
      <c r="AQ360" s="12">
        <f t="shared" si="455"/>
        <v>0</v>
      </c>
      <c r="AR360" s="12">
        <f t="shared" si="462"/>
        <v>0</v>
      </c>
      <c r="AS360" s="12">
        <f t="shared" si="456"/>
        <v>0</v>
      </c>
      <c r="AT360" s="12">
        <f t="shared" si="465"/>
        <v>0</v>
      </c>
      <c r="AU360" s="12">
        <f t="shared" si="457"/>
        <v>0</v>
      </c>
      <c r="AV360" s="12">
        <f t="shared" si="440"/>
        <v>0</v>
      </c>
    </row>
    <row r="361" spans="1:48" ht="82.5" hidden="1" x14ac:dyDescent="0.25">
      <c r="A361" s="60">
        <v>39</v>
      </c>
      <c r="B361" s="9" t="s">
        <v>841</v>
      </c>
      <c r="C361" s="25" t="s">
        <v>526</v>
      </c>
      <c r="D361" s="61" t="s">
        <v>842</v>
      </c>
      <c r="E361" s="70">
        <v>2017</v>
      </c>
      <c r="F361" s="61" t="s">
        <v>843</v>
      </c>
      <c r="G361" s="5">
        <v>1305</v>
      </c>
      <c r="H361" s="5">
        <v>1305</v>
      </c>
      <c r="I361" s="63"/>
      <c r="J361" s="63"/>
      <c r="K361" s="63"/>
      <c r="L361" s="63"/>
      <c r="M361" s="63">
        <v>1200</v>
      </c>
      <c r="N361" s="63">
        <v>1200</v>
      </c>
      <c r="O361" s="63">
        <v>1200</v>
      </c>
      <c r="P361" s="63">
        <v>1200</v>
      </c>
      <c r="Q361" s="54"/>
      <c r="R361" s="54"/>
      <c r="S361" s="63">
        <v>1200</v>
      </c>
      <c r="T361" s="63">
        <v>1200</v>
      </c>
      <c r="U361" s="63"/>
      <c r="V361" s="63"/>
      <c r="W361" s="63">
        <v>1200</v>
      </c>
      <c r="X361" s="63">
        <v>1200</v>
      </c>
      <c r="Y361" s="63">
        <v>1200</v>
      </c>
      <c r="Z361" s="63"/>
      <c r="AA361" s="63">
        <f t="shared" si="449"/>
        <v>2400</v>
      </c>
      <c r="AB361" s="63">
        <f t="shared" si="449"/>
        <v>1200</v>
      </c>
      <c r="AC361" s="63">
        <f t="shared" si="466"/>
        <v>-1200</v>
      </c>
      <c r="AD361" s="63">
        <f t="shared" si="466"/>
        <v>0</v>
      </c>
      <c r="AE361" s="63">
        <f t="shared" si="451"/>
        <v>0</v>
      </c>
      <c r="AF361" s="63">
        <f t="shared" si="452"/>
        <v>0</v>
      </c>
      <c r="AG361" s="63"/>
      <c r="AH361" s="63"/>
      <c r="AI361" s="69"/>
      <c r="AJ361" s="19">
        <f t="shared" si="464"/>
        <v>0</v>
      </c>
      <c r="AK361" s="22">
        <f t="shared" si="422"/>
        <v>0</v>
      </c>
      <c r="AL361" s="22"/>
      <c r="AM361" s="12">
        <f t="shared" si="453"/>
        <v>1</v>
      </c>
      <c r="AO361" s="12">
        <f t="shared" si="454"/>
        <v>0</v>
      </c>
      <c r="AP361" s="12">
        <f t="shared" si="436"/>
        <v>0</v>
      </c>
      <c r="AQ361" s="12">
        <f t="shared" si="455"/>
        <v>0</v>
      </c>
      <c r="AR361" s="12">
        <f t="shared" si="462"/>
        <v>0</v>
      </c>
      <c r="AS361" s="12">
        <f t="shared" si="456"/>
        <v>0</v>
      </c>
      <c r="AT361" s="12">
        <f t="shared" si="465"/>
        <v>0</v>
      </c>
      <c r="AU361" s="12">
        <f t="shared" si="457"/>
        <v>0</v>
      </c>
      <c r="AV361" s="12">
        <f t="shared" si="440"/>
        <v>0</v>
      </c>
    </row>
    <row r="362" spans="1:48" ht="82.5" hidden="1" x14ac:dyDescent="0.25">
      <c r="A362" s="60">
        <v>40</v>
      </c>
      <c r="B362" s="91" t="s">
        <v>844</v>
      </c>
      <c r="C362" s="61" t="s">
        <v>845</v>
      </c>
      <c r="D362" s="61" t="s">
        <v>846</v>
      </c>
      <c r="E362" s="70">
        <v>2017</v>
      </c>
      <c r="F362" s="61" t="s">
        <v>847</v>
      </c>
      <c r="G362" s="74">
        <v>6456</v>
      </c>
      <c r="H362" s="74">
        <v>6456</v>
      </c>
      <c r="I362" s="63"/>
      <c r="J362" s="63"/>
      <c r="K362" s="63"/>
      <c r="L362" s="63"/>
      <c r="M362" s="63">
        <v>6100</v>
      </c>
      <c r="N362" s="63">
        <v>6100</v>
      </c>
      <c r="O362" s="63">
        <v>6100</v>
      </c>
      <c r="P362" s="63">
        <v>6100</v>
      </c>
      <c r="Q362" s="54"/>
      <c r="R362" s="54"/>
      <c r="S362" s="63">
        <v>6100</v>
      </c>
      <c r="T362" s="63">
        <v>6100</v>
      </c>
      <c r="U362" s="5"/>
      <c r="V362" s="5"/>
      <c r="W362" s="63">
        <v>4500</v>
      </c>
      <c r="X362" s="63">
        <v>4500</v>
      </c>
      <c r="Y362" s="63">
        <v>4500</v>
      </c>
      <c r="Z362" s="63"/>
      <c r="AA362" s="63">
        <f t="shared" si="449"/>
        <v>9000</v>
      </c>
      <c r="AB362" s="63">
        <f t="shared" si="449"/>
        <v>4500</v>
      </c>
      <c r="AC362" s="63">
        <f t="shared" si="466"/>
        <v>-2900</v>
      </c>
      <c r="AD362" s="63">
        <f t="shared" si="466"/>
        <v>1600</v>
      </c>
      <c r="AE362" s="63">
        <f t="shared" si="451"/>
        <v>0</v>
      </c>
      <c r="AF362" s="63">
        <f t="shared" si="452"/>
        <v>0</v>
      </c>
      <c r="AG362" s="63"/>
      <c r="AH362" s="63"/>
      <c r="AI362" s="69"/>
      <c r="AJ362" s="19">
        <f t="shared" si="464"/>
        <v>0</v>
      </c>
      <c r="AK362" s="22">
        <f t="shared" si="422"/>
        <v>0</v>
      </c>
      <c r="AL362" s="22"/>
      <c r="AM362" s="12">
        <f t="shared" si="453"/>
        <v>1</v>
      </c>
      <c r="AO362" s="12">
        <f t="shared" si="454"/>
        <v>0</v>
      </c>
      <c r="AP362" s="12">
        <f t="shared" si="436"/>
        <v>0</v>
      </c>
      <c r="AQ362" s="12">
        <f t="shared" si="455"/>
        <v>0</v>
      </c>
      <c r="AR362" s="12">
        <f t="shared" si="462"/>
        <v>0</v>
      </c>
      <c r="AS362" s="12">
        <f t="shared" si="456"/>
        <v>0</v>
      </c>
      <c r="AT362" s="12">
        <f t="shared" si="465"/>
        <v>0</v>
      </c>
      <c r="AU362" s="12">
        <f t="shared" si="457"/>
        <v>0</v>
      </c>
      <c r="AV362" s="12">
        <f t="shared" si="440"/>
        <v>0</v>
      </c>
    </row>
    <row r="363" spans="1:48" ht="49.5" hidden="1" x14ac:dyDescent="0.25">
      <c r="A363" s="60">
        <v>41</v>
      </c>
      <c r="B363" s="9" t="s">
        <v>848</v>
      </c>
      <c r="C363" s="61" t="s">
        <v>58</v>
      </c>
      <c r="D363" s="61" t="s">
        <v>849</v>
      </c>
      <c r="E363" s="70">
        <v>2017</v>
      </c>
      <c r="F363" s="61" t="s">
        <v>850</v>
      </c>
      <c r="G363" s="68">
        <v>1587</v>
      </c>
      <c r="H363" s="68">
        <v>1587</v>
      </c>
      <c r="I363" s="63"/>
      <c r="J363" s="63"/>
      <c r="K363" s="63"/>
      <c r="L363" s="63"/>
      <c r="M363" s="63">
        <v>1500</v>
      </c>
      <c r="N363" s="63">
        <v>1500</v>
      </c>
      <c r="O363" s="63">
        <v>1500</v>
      </c>
      <c r="P363" s="63">
        <v>1500</v>
      </c>
      <c r="Q363" s="54"/>
      <c r="R363" s="54"/>
      <c r="S363" s="63">
        <v>1500</v>
      </c>
      <c r="T363" s="63">
        <v>1500</v>
      </c>
      <c r="U363" s="5"/>
      <c r="V363" s="5"/>
      <c r="W363" s="63">
        <v>1300</v>
      </c>
      <c r="X363" s="63">
        <v>1300</v>
      </c>
      <c r="Y363" s="63">
        <v>1300</v>
      </c>
      <c r="Z363" s="63"/>
      <c r="AA363" s="63">
        <f t="shared" si="449"/>
        <v>2600</v>
      </c>
      <c r="AB363" s="63">
        <f t="shared" si="449"/>
        <v>1300</v>
      </c>
      <c r="AC363" s="63">
        <f t="shared" si="466"/>
        <v>-1100</v>
      </c>
      <c r="AD363" s="63">
        <f t="shared" si="466"/>
        <v>200</v>
      </c>
      <c r="AE363" s="63">
        <f t="shared" si="451"/>
        <v>0</v>
      </c>
      <c r="AF363" s="63">
        <f t="shared" si="452"/>
        <v>0</v>
      </c>
      <c r="AG363" s="63"/>
      <c r="AH363" s="63"/>
      <c r="AI363" s="69"/>
      <c r="AJ363" s="19">
        <f t="shared" si="464"/>
        <v>0</v>
      </c>
      <c r="AK363" s="22">
        <f t="shared" si="422"/>
        <v>0</v>
      </c>
      <c r="AL363" s="22"/>
      <c r="AM363" s="12">
        <f t="shared" si="453"/>
        <v>1</v>
      </c>
      <c r="AO363" s="12">
        <f t="shared" si="454"/>
        <v>0</v>
      </c>
      <c r="AP363" s="12">
        <f t="shared" si="436"/>
        <v>0</v>
      </c>
      <c r="AQ363" s="12">
        <f t="shared" si="455"/>
        <v>0</v>
      </c>
      <c r="AR363" s="12">
        <f t="shared" si="462"/>
        <v>0</v>
      </c>
      <c r="AS363" s="12">
        <f t="shared" si="456"/>
        <v>0</v>
      </c>
      <c r="AT363" s="12">
        <f t="shared" si="465"/>
        <v>0</v>
      </c>
      <c r="AU363" s="12">
        <f t="shared" si="457"/>
        <v>0</v>
      </c>
      <c r="AV363" s="12">
        <f t="shared" si="440"/>
        <v>0</v>
      </c>
    </row>
    <row r="364" spans="1:48" ht="82.5" hidden="1" x14ac:dyDescent="0.25">
      <c r="A364" s="60">
        <v>42</v>
      </c>
      <c r="B364" s="91" t="s">
        <v>851</v>
      </c>
      <c r="C364" s="61" t="s">
        <v>852</v>
      </c>
      <c r="D364" s="61" t="s">
        <v>853</v>
      </c>
      <c r="E364" s="70" t="s">
        <v>461</v>
      </c>
      <c r="F364" s="70"/>
      <c r="G364" s="74">
        <v>10000</v>
      </c>
      <c r="H364" s="74">
        <v>10000</v>
      </c>
      <c r="I364" s="63"/>
      <c r="J364" s="63"/>
      <c r="K364" s="63"/>
      <c r="L364" s="63"/>
      <c r="M364" s="63">
        <v>500</v>
      </c>
      <c r="N364" s="63">
        <v>500</v>
      </c>
      <c r="O364" s="63"/>
      <c r="P364" s="63"/>
      <c r="Q364" s="54"/>
      <c r="R364" s="54"/>
      <c r="S364" s="63"/>
      <c r="T364" s="63"/>
      <c r="U364" s="5"/>
      <c r="V364" s="5"/>
      <c r="W364" s="5"/>
      <c r="X364" s="5"/>
      <c r="Y364" s="5"/>
      <c r="Z364" s="5"/>
      <c r="AA364" s="63">
        <f t="shared" si="449"/>
        <v>0</v>
      </c>
      <c r="AB364" s="63">
        <f t="shared" si="449"/>
        <v>0</v>
      </c>
      <c r="AC364" s="63">
        <f t="shared" si="466"/>
        <v>0</v>
      </c>
      <c r="AD364" s="63">
        <f t="shared" si="466"/>
        <v>0</v>
      </c>
      <c r="AE364" s="63">
        <f t="shared" si="451"/>
        <v>0</v>
      </c>
      <c r="AF364" s="63">
        <f t="shared" si="452"/>
        <v>0</v>
      </c>
      <c r="AG364" s="5"/>
      <c r="AH364" s="5"/>
      <c r="AI364" s="61" t="s">
        <v>284</v>
      </c>
      <c r="AJ364" s="19">
        <f t="shared" si="464"/>
        <v>0</v>
      </c>
      <c r="AK364" s="22">
        <f t="shared" si="422"/>
        <v>0</v>
      </c>
      <c r="AL364" s="22"/>
      <c r="AM364" s="12">
        <f t="shared" si="453"/>
        <v>1</v>
      </c>
      <c r="AO364" s="12">
        <f t="shared" si="454"/>
        <v>1</v>
      </c>
      <c r="AP364" s="12">
        <f t="shared" si="436"/>
        <v>500</v>
      </c>
      <c r="AQ364" s="12">
        <f t="shared" si="455"/>
        <v>0</v>
      </c>
      <c r="AR364" s="12">
        <f t="shared" si="462"/>
        <v>0</v>
      </c>
      <c r="AS364" s="12">
        <f t="shared" si="456"/>
        <v>0</v>
      </c>
      <c r="AT364" s="12">
        <f t="shared" si="465"/>
        <v>0</v>
      </c>
    </row>
    <row r="365" spans="1:48" ht="49.5" hidden="1" x14ac:dyDescent="0.25">
      <c r="A365" s="60">
        <v>43</v>
      </c>
      <c r="B365" s="91" t="s">
        <v>854</v>
      </c>
      <c r="C365" s="61" t="s">
        <v>70</v>
      </c>
      <c r="D365" s="70"/>
      <c r="E365" s="70" t="s">
        <v>461</v>
      </c>
      <c r="F365" s="61" t="s">
        <v>855</v>
      </c>
      <c r="G365" s="74">
        <f>H365</f>
        <v>8578</v>
      </c>
      <c r="H365" s="74">
        <v>8578</v>
      </c>
      <c r="I365" s="63"/>
      <c r="J365" s="63"/>
      <c r="K365" s="63"/>
      <c r="L365" s="63"/>
      <c r="M365" s="63">
        <v>7700</v>
      </c>
      <c r="N365" s="63">
        <v>7700</v>
      </c>
      <c r="O365" s="63">
        <v>7700</v>
      </c>
      <c r="P365" s="63">
        <v>7700</v>
      </c>
      <c r="Q365" s="54"/>
      <c r="R365" s="54"/>
      <c r="S365" s="63">
        <v>7700</v>
      </c>
      <c r="T365" s="63">
        <v>7700</v>
      </c>
      <c r="U365" s="5"/>
      <c r="V365" s="5"/>
      <c r="W365" s="5"/>
      <c r="X365" s="5"/>
      <c r="Y365" s="5">
        <f>Z365</f>
        <v>4000</v>
      </c>
      <c r="Z365" s="5">
        <v>4000</v>
      </c>
      <c r="AA365" s="63">
        <f t="shared" si="449"/>
        <v>4000</v>
      </c>
      <c r="AB365" s="63">
        <f t="shared" si="449"/>
        <v>4000</v>
      </c>
      <c r="AC365" s="63">
        <f t="shared" si="466"/>
        <v>3700</v>
      </c>
      <c r="AD365" s="63">
        <f t="shared" si="466"/>
        <v>3700</v>
      </c>
      <c r="AE365" s="63">
        <f t="shared" si="451"/>
        <v>0</v>
      </c>
      <c r="AF365" s="63">
        <f t="shared" si="452"/>
        <v>0</v>
      </c>
      <c r="AG365" s="5"/>
      <c r="AH365" s="5"/>
      <c r="AI365" s="69"/>
      <c r="AJ365" s="19">
        <f t="shared" si="464"/>
        <v>0</v>
      </c>
      <c r="AK365" s="22">
        <f t="shared" si="422"/>
        <v>0</v>
      </c>
      <c r="AL365" s="22"/>
      <c r="AM365" s="12">
        <f t="shared" si="453"/>
        <v>1</v>
      </c>
      <c r="AO365" s="12">
        <f t="shared" si="454"/>
        <v>0</v>
      </c>
      <c r="AP365" s="12">
        <f t="shared" si="436"/>
        <v>0</v>
      </c>
      <c r="AQ365" s="12">
        <f t="shared" si="455"/>
        <v>0</v>
      </c>
      <c r="AR365" s="12">
        <f t="shared" si="462"/>
        <v>0</v>
      </c>
      <c r="AS365" s="12">
        <f t="shared" si="456"/>
        <v>0</v>
      </c>
      <c r="AT365" s="12">
        <f t="shared" si="465"/>
        <v>0</v>
      </c>
      <c r="AU365" s="12">
        <f>IF(R365=0,0,1)</f>
        <v>0</v>
      </c>
      <c r="AV365" s="12">
        <f t="shared" si="440"/>
        <v>0</v>
      </c>
    </row>
    <row r="366" spans="1:48" ht="89.25" hidden="1" customHeight="1" x14ac:dyDescent="0.25">
      <c r="A366" s="60">
        <v>44</v>
      </c>
      <c r="B366" s="9" t="s">
        <v>856</v>
      </c>
      <c r="C366" s="61" t="s">
        <v>112</v>
      </c>
      <c r="D366" s="70"/>
      <c r="E366" s="70" t="s">
        <v>461</v>
      </c>
      <c r="F366" s="70"/>
      <c r="G366" s="75">
        <v>2000</v>
      </c>
      <c r="H366" s="75">
        <v>2000</v>
      </c>
      <c r="I366" s="63"/>
      <c r="J366" s="63"/>
      <c r="K366" s="63"/>
      <c r="L366" s="63"/>
      <c r="M366" s="63">
        <v>1900</v>
      </c>
      <c r="N366" s="63">
        <v>1900</v>
      </c>
      <c r="O366" s="63">
        <v>2700</v>
      </c>
      <c r="P366" s="63">
        <v>2700</v>
      </c>
      <c r="Q366" s="54"/>
      <c r="R366" s="54"/>
      <c r="S366" s="63">
        <v>2700</v>
      </c>
      <c r="T366" s="63">
        <v>2700</v>
      </c>
      <c r="U366" s="5"/>
      <c r="V366" s="5"/>
      <c r="W366" s="5"/>
      <c r="X366" s="5"/>
      <c r="Y366" s="5">
        <f>Z366</f>
        <v>1600</v>
      </c>
      <c r="Z366" s="5">
        <v>1600</v>
      </c>
      <c r="AA366" s="63">
        <f t="shared" si="449"/>
        <v>1600</v>
      </c>
      <c r="AB366" s="63">
        <f t="shared" si="449"/>
        <v>1600</v>
      </c>
      <c r="AC366" s="63">
        <f t="shared" si="466"/>
        <v>1100</v>
      </c>
      <c r="AD366" s="63">
        <f t="shared" si="466"/>
        <v>1100</v>
      </c>
      <c r="AE366" s="63">
        <f t="shared" si="451"/>
        <v>0</v>
      </c>
      <c r="AF366" s="63">
        <f t="shared" si="452"/>
        <v>0</v>
      </c>
      <c r="AG366" s="5"/>
      <c r="AH366" s="5"/>
      <c r="AI366" s="69"/>
      <c r="AJ366" s="19">
        <f t="shared" si="464"/>
        <v>0</v>
      </c>
      <c r="AK366" s="22">
        <f t="shared" si="422"/>
        <v>0</v>
      </c>
      <c r="AL366" s="22"/>
      <c r="AM366" s="12">
        <f t="shared" si="453"/>
        <v>1</v>
      </c>
      <c r="AO366" s="12">
        <f t="shared" si="454"/>
        <v>0</v>
      </c>
      <c r="AP366" s="12">
        <f t="shared" si="436"/>
        <v>0</v>
      </c>
      <c r="AQ366" s="12">
        <f t="shared" si="455"/>
        <v>0</v>
      </c>
      <c r="AR366" s="12">
        <f t="shared" si="462"/>
        <v>0</v>
      </c>
      <c r="AS366" s="12">
        <f t="shared" si="456"/>
        <v>0</v>
      </c>
      <c r="AT366" s="12">
        <f t="shared" si="465"/>
        <v>0</v>
      </c>
      <c r="AU366" s="12">
        <f>IF(R366=0,0,1)</f>
        <v>0</v>
      </c>
      <c r="AV366" s="12">
        <f t="shared" si="440"/>
        <v>0</v>
      </c>
    </row>
    <row r="367" spans="1:48" ht="66" hidden="1" x14ac:dyDescent="0.25">
      <c r="A367" s="60">
        <v>45</v>
      </c>
      <c r="B367" s="9" t="s">
        <v>857</v>
      </c>
      <c r="C367" s="61" t="s">
        <v>58</v>
      </c>
      <c r="D367" s="70"/>
      <c r="E367" s="70" t="s">
        <v>461</v>
      </c>
      <c r="F367" s="70"/>
      <c r="G367" s="75">
        <v>3000</v>
      </c>
      <c r="H367" s="75">
        <v>3000</v>
      </c>
      <c r="I367" s="63"/>
      <c r="J367" s="63"/>
      <c r="K367" s="63"/>
      <c r="L367" s="63"/>
      <c r="M367" s="63">
        <v>2860</v>
      </c>
      <c r="N367" s="63">
        <v>2860</v>
      </c>
      <c r="O367" s="63">
        <v>2860</v>
      </c>
      <c r="P367" s="63">
        <v>2860</v>
      </c>
      <c r="Q367" s="54"/>
      <c r="R367" s="54"/>
      <c r="S367" s="63">
        <v>2860</v>
      </c>
      <c r="T367" s="63">
        <v>2860</v>
      </c>
      <c r="U367" s="5"/>
      <c r="V367" s="5"/>
      <c r="W367" s="5"/>
      <c r="X367" s="5"/>
      <c r="Y367" s="5">
        <f>Z367</f>
        <v>2450</v>
      </c>
      <c r="Z367" s="5">
        <v>2450</v>
      </c>
      <c r="AA367" s="63">
        <f t="shared" si="449"/>
        <v>2450</v>
      </c>
      <c r="AB367" s="63">
        <f t="shared" si="449"/>
        <v>2450</v>
      </c>
      <c r="AC367" s="63">
        <f t="shared" si="466"/>
        <v>410</v>
      </c>
      <c r="AD367" s="63">
        <f t="shared" si="466"/>
        <v>410</v>
      </c>
      <c r="AE367" s="63">
        <f t="shared" si="451"/>
        <v>0</v>
      </c>
      <c r="AF367" s="63">
        <f t="shared" si="452"/>
        <v>0</v>
      </c>
      <c r="AG367" s="5"/>
      <c r="AH367" s="5"/>
      <c r="AI367" s="69"/>
      <c r="AJ367" s="19">
        <f t="shared" si="464"/>
        <v>0</v>
      </c>
      <c r="AK367" s="22">
        <f t="shared" si="422"/>
        <v>0</v>
      </c>
      <c r="AL367" s="22"/>
      <c r="AM367" s="12">
        <f t="shared" si="453"/>
        <v>1</v>
      </c>
      <c r="AO367" s="12">
        <f t="shared" si="454"/>
        <v>0</v>
      </c>
      <c r="AP367" s="12">
        <f t="shared" si="436"/>
        <v>0</v>
      </c>
      <c r="AQ367" s="12">
        <f t="shared" si="455"/>
        <v>0</v>
      </c>
      <c r="AR367" s="12">
        <f t="shared" si="462"/>
        <v>0</v>
      </c>
      <c r="AS367" s="12">
        <f t="shared" si="456"/>
        <v>0</v>
      </c>
      <c r="AT367" s="12">
        <f t="shared" si="465"/>
        <v>0</v>
      </c>
      <c r="AU367" s="12">
        <f>IF(R367=0,0,1)</f>
        <v>0</v>
      </c>
      <c r="AV367" s="12">
        <f t="shared" si="440"/>
        <v>0</v>
      </c>
    </row>
    <row r="368" spans="1:48" ht="49.5" hidden="1" x14ac:dyDescent="0.25">
      <c r="A368" s="60">
        <v>46</v>
      </c>
      <c r="B368" s="9" t="s">
        <v>858</v>
      </c>
      <c r="C368" s="61" t="s">
        <v>104</v>
      </c>
      <c r="D368" s="70"/>
      <c r="E368" s="70" t="s">
        <v>116</v>
      </c>
      <c r="F368" s="61" t="s">
        <v>859</v>
      </c>
      <c r="G368" s="75">
        <f>H368</f>
        <v>4074</v>
      </c>
      <c r="H368" s="75">
        <v>4074</v>
      </c>
      <c r="I368" s="63"/>
      <c r="J368" s="63"/>
      <c r="K368" s="63"/>
      <c r="L368" s="63"/>
      <c r="M368" s="63">
        <v>3800</v>
      </c>
      <c r="N368" s="63">
        <v>3800</v>
      </c>
      <c r="O368" s="63">
        <v>3800</v>
      </c>
      <c r="P368" s="63">
        <v>3800</v>
      </c>
      <c r="Q368" s="54"/>
      <c r="R368" s="54"/>
      <c r="S368" s="63">
        <v>3800</v>
      </c>
      <c r="T368" s="63">
        <v>3800</v>
      </c>
      <c r="U368" s="5"/>
      <c r="V368" s="5"/>
      <c r="W368" s="5"/>
      <c r="X368" s="5"/>
      <c r="Y368" s="5">
        <f>Z368</f>
        <v>3600</v>
      </c>
      <c r="Z368" s="5">
        <v>3600</v>
      </c>
      <c r="AA368" s="63">
        <f t="shared" si="449"/>
        <v>3600</v>
      </c>
      <c r="AB368" s="63">
        <f t="shared" si="449"/>
        <v>3600</v>
      </c>
      <c r="AC368" s="63">
        <f t="shared" si="466"/>
        <v>200</v>
      </c>
      <c r="AD368" s="63">
        <f t="shared" si="466"/>
        <v>200</v>
      </c>
      <c r="AE368" s="63">
        <f t="shared" si="451"/>
        <v>0</v>
      </c>
      <c r="AF368" s="63">
        <f t="shared" si="452"/>
        <v>0</v>
      </c>
      <c r="AG368" s="5"/>
      <c r="AH368" s="5"/>
      <c r="AI368" s="69"/>
      <c r="AJ368" s="19">
        <f t="shared" si="464"/>
        <v>0</v>
      </c>
      <c r="AK368" s="22">
        <f t="shared" si="422"/>
        <v>0</v>
      </c>
      <c r="AL368" s="22"/>
      <c r="AM368" s="12">
        <f t="shared" si="453"/>
        <v>1</v>
      </c>
      <c r="AO368" s="12">
        <f t="shared" si="454"/>
        <v>0</v>
      </c>
      <c r="AP368" s="12">
        <f t="shared" si="436"/>
        <v>0</v>
      </c>
      <c r="AQ368" s="12">
        <f t="shared" si="455"/>
        <v>0</v>
      </c>
      <c r="AR368" s="12">
        <f t="shared" si="462"/>
        <v>0</v>
      </c>
      <c r="AS368" s="12">
        <f t="shared" si="456"/>
        <v>0</v>
      </c>
      <c r="AT368" s="12">
        <f t="shared" si="465"/>
        <v>0</v>
      </c>
      <c r="AU368" s="12">
        <f>IF(R368=0,0,1)</f>
        <v>0</v>
      </c>
      <c r="AV368" s="12">
        <f t="shared" si="440"/>
        <v>0</v>
      </c>
    </row>
    <row r="369" spans="1:48" ht="49.5" hidden="1" x14ac:dyDescent="0.25">
      <c r="A369" s="60">
        <v>47</v>
      </c>
      <c r="B369" s="9" t="s">
        <v>860</v>
      </c>
      <c r="C369" s="61" t="s">
        <v>104</v>
      </c>
      <c r="D369" s="70"/>
      <c r="E369" s="70" t="s">
        <v>116</v>
      </c>
      <c r="F369" s="61"/>
      <c r="G369" s="75">
        <v>14000</v>
      </c>
      <c r="H369" s="75">
        <v>14000</v>
      </c>
      <c r="I369" s="63"/>
      <c r="J369" s="63"/>
      <c r="K369" s="63"/>
      <c r="L369" s="63"/>
      <c r="M369" s="63">
        <v>10420</v>
      </c>
      <c r="N369" s="63">
        <v>10420</v>
      </c>
      <c r="O369" s="63"/>
      <c r="P369" s="63"/>
      <c r="Q369" s="54"/>
      <c r="R369" s="54"/>
      <c r="S369" s="63"/>
      <c r="T369" s="63"/>
      <c r="U369" s="5"/>
      <c r="V369" s="5"/>
      <c r="W369" s="5"/>
      <c r="X369" s="5"/>
      <c r="Y369" s="5"/>
      <c r="Z369" s="5"/>
      <c r="AA369" s="63">
        <f t="shared" si="449"/>
        <v>0</v>
      </c>
      <c r="AB369" s="63">
        <f t="shared" si="449"/>
        <v>0</v>
      </c>
      <c r="AC369" s="63">
        <f t="shared" si="466"/>
        <v>0</v>
      </c>
      <c r="AD369" s="63">
        <f t="shared" si="466"/>
        <v>0</v>
      </c>
      <c r="AE369" s="63">
        <f t="shared" si="451"/>
        <v>0</v>
      </c>
      <c r="AF369" s="63">
        <f t="shared" si="452"/>
        <v>0</v>
      </c>
      <c r="AG369" s="5"/>
      <c r="AH369" s="5"/>
      <c r="AI369" s="25" t="s">
        <v>284</v>
      </c>
      <c r="AJ369" s="19">
        <f t="shared" si="464"/>
        <v>0</v>
      </c>
      <c r="AK369" s="22">
        <f t="shared" si="422"/>
        <v>0</v>
      </c>
      <c r="AL369" s="22"/>
      <c r="AM369" s="12">
        <f t="shared" si="453"/>
        <v>1</v>
      </c>
      <c r="AO369" s="12">
        <f t="shared" si="454"/>
        <v>1</v>
      </c>
      <c r="AP369" s="12">
        <f t="shared" si="436"/>
        <v>10420</v>
      </c>
      <c r="AQ369" s="12">
        <f t="shared" si="455"/>
        <v>0</v>
      </c>
      <c r="AR369" s="12">
        <f t="shared" si="462"/>
        <v>0</v>
      </c>
      <c r="AS369" s="12">
        <f t="shared" si="456"/>
        <v>0</v>
      </c>
      <c r="AT369" s="12">
        <f t="shared" si="465"/>
        <v>0</v>
      </c>
    </row>
    <row r="370" spans="1:48" ht="33" hidden="1" x14ac:dyDescent="0.25">
      <c r="A370" s="60">
        <v>48</v>
      </c>
      <c r="B370" s="9" t="s">
        <v>861</v>
      </c>
      <c r="C370" s="61" t="s">
        <v>104</v>
      </c>
      <c r="D370" s="70"/>
      <c r="E370" s="70" t="s">
        <v>116</v>
      </c>
      <c r="F370" s="70"/>
      <c r="G370" s="75">
        <v>2600</v>
      </c>
      <c r="H370" s="75">
        <v>2600</v>
      </c>
      <c r="I370" s="63"/>
      <c r="J370" s="63"/>
      <c r="K370" s="63"/>
      <c r="L370" s="63"/>
      <c r="M370" s="63">
        <v>2480</v>
      </c>
      <c r="N370" s="63">
        <v>2480</v>
      </c>
      <c r="O370" s="63">
        <v>2480</v>
      </c>
      <c r="P370" s="63">
        <v>2480</v>
      </c>
      <c r="Q370" s="54"/>
      <c r="R370" s="54"/>
      <c r="S370" s="63">
        <v>2480</v>
      </c>
      <c r="T370" s="63">
        <v>2480</v>
      </c>
      <c r="U370" s="5"/>
      <c r="V370" s="5"/>
      <c r="W370" s="5"/>
      <c r="X370" s="5"/>
      <c r="Y370" s="5">
        <f>Z370</f>
        <v>2150</v>
      </c>
      <c r="Z370" s="5">
        <v>2150</v>
      </c>
      <c r="AA370" s="63">
        <f t="shared" si="449"/>
        <v>2150</v>
      </c>
      <c r="AB370" s="63">
        <f t="shared" si="449"/>
        <v>2150</v>
      </c>
      <c r="AC370" s="63">
        <f t="shared" si="466"/>
        <v>330</v>
      </c>
      <c r="AD370" s="63">
        <f t="shared" si="466"/>
        <v>330</v>
      </c>
      <c r="AE370" s="63">
        <f t="shared" si="451"/>
        <v>0</v>
      </c>
      <c r="AF370" s="63">
        <f t="shared" si="452"/>
        <v>0</v>
      </c>
      <c r="AG370" s="5"/>
      <c r="AH370" s="5"/>
      <c r="AI370" s="69"/>
      <c r="AJ370" s="19">
        <f t="shared" si="464"/>
        <v>0</v>
      </c>
      <c r="AK370" s="22">
        <f t="shared" si="422"/>
        <v>0</v>
      </c>
      <c r="AL370" s="22"/>
      <c r="AM370" s="12">
        <f t="shared" si="453"/>
        <v>1</v>
      </c>
      <c r="AO370" s="12">
        <f t="shared" si="454"/>
        <v>0</v>
      </c>
      <c r="AP370" s="12">
        <f t="shared" si="436"/>
        <v>0</v>
      </c>
      <c r="AQ370" s="12">
        <f t="shared" si="455"/>
        <v>0</v>
      </c>
      <c r="AR370" s="12">
        <f t="shared" si="462"/>
        <v>0</v>
      </c>
      <c r="AS370" s="12">
        <f t="shared" si="456"/>
        <v>0</v>
      </c>
      <c r="AT370" s="12">
        <f t="shared" si="465"/>
        <v>0</v>
      </c>
      <c r="AU370" s="12">
        <f>IF(R370=0,0,1)</f>
        <v>0</v>
      </c>
      <c r="AV370" s="12">
        <f t="shared" si="440"/>
        <v>0</v>
      </c>
    </row>
    <row r="371" spans="1:48" ht="49.5" hidden="1" x14ac:dyDescent="0.25">
      <c r="A371" s="60">
        <v>49</v>
      </c>
      <c r="B371" s="9" t="s">
        <v>862</v>
      </c>
      <c r="C371" s="61" t="s">
        <v>104</v>
      </c>
      <c r="D371" s="70"/>
      <c r="E371" s="70" t="s">
        <v>116</v>
      </c>
      <c r="F371" s="61" t="s">
        <v>863</v>
      </c>
      <c r="G371" s="75">
        <f>H371</f>
        <v>10860</v>
      </c>
      <c r="H371" s="75">
        <v>10860</v>
      </c>
      <c r="I371" s="63"/>
      <c r="J371" s="63"/>
      <c r="K371" s="63"/>
      <c r="L371" s="63"/>
      <c r="M371" s="63">
        <v>10000</v>
      </c>
      <c r="N371" s="63">
        <v>10000</v>
      </c>
      <c r="O371" s="63">
        <v>10000</v>
      </c>
      <c r="P371" s="63">
        <v>10000</v>
      </c>
      <c r="Q371" s="54"/>
      <c r="R371" s="54"/>
      <c r="S371" s="63">
        <v>10000</v>
      </c>
      <c r="T371" s="63">
        <v>10000</v>
      </c>
      <c r="U371" s="5"/>
      <c r="V371" s="5"/>
      <c r="W371" s="5"/>
      <c r="X371" s="5"/>
      <c r="Y371" s="5">
        <f>Z371</f>
        <v>5000</v>
      </c>
      <c r="Z371" s="5">
        <v>5000</v>
      </c>
      <c r="AA371" s="63">
        <f t="shared" si="449"/>
        <v>5000</v>
      </c>
      <c r="AB371" s="63">
        <f t="shared" si="449"/>
        <v>5000</v>
      </c>
      <c r="AC371" s="63">
        <f t="shared" si="466"/>
        <v>5000</v>
      </c>
      <c r="AD371" s="63">
        <f t="shared" si="466"/>
        <v>5000</v>
      </c>
      <c r="AE371" s="63">
        <f t="shared" si="451"/>
        <v>0</v>
      </c>
      <c r="AF371" s="63">
        <f t="shared" si="452"/>
        <v>0</v>
      </c>
      <c r="AG371" s="5"/>
      <c r="AH371" s="5"/>
      <c r="AI371" s="69"/>
      <c r="AJ371" s="19">
        <f t="shared" si="464"/>
        <v>0</v>
      </c>
      <c r="AK371" s="22">
        <f t="shared" si="422"/>
        <v>0</v>
      </c>
      <c r="AL371" s="22"/>
      <c r="AM371" s="12">
        <f t="shared" si="453"/>
        <v>1</v>
      </c>
      <c r="AO371" s="12">
        <f t="shared" si="454"/>
        <v>0</v>
      </c>
      <c r="AP371" s="12">
        <f t="shared" si="436"/>
        <v>0</v>
      </c>
      <c r="AQ371" s="12">
        <f t="shared" si="455"/>
        <v>0</v>
      </c>
      <c r="AR371" s="12">
        <f t="shared" si="462"/>
        <v>0</v>
      </c>
      <c r="AS371" s="12">
        <f t="shared" si="456"/>
        <v>0</v>
      </c>
      <c r="AT371" s="12">
        <f t="shared" si="465"/>
        <v>0</v>
      </c>
      <c r="AU371" s="12">
        <f>IF(R371=0,0,1)</f>
        <v>0</v>
      </c>
      <c r="AV371" s="12">
        <f t="shared" si="440"/>
        <v>0</v>
      </c>
    </row>
    <row r="372" spans="1:48" ht="33" hidden="1" x14ac:dyDescent="0.25">
      <c r="A372" s="60">
        <v>50</v>
      </c>
      <c r="B372" s="9" t="s">
        <v>864</v>
      </c>
      <c r="C372" s="61" t="s">
        <v>95</v>
      </c>
      <c r="D372" s="70"/>
      <c r="E372" s="70">
        <v>2020</v>
      </c>
      <c r="F372" s="70"/>
      <c r="G372" s="75">
        <v>750</v>
      </c>
      <c r="H372" s="75">
        <v>750</v>
      </c>
      <c r="I372" s="63"/>
      <c r="J372" s="63"/>
      <c r="K372" s="63"/>
      <c r="L372" s="63"/>
      <c r="M372" s="63">
        <v>710</v>
      </c>
      <c r="N372" s="63">
        <v>710</v>
      </c>
      <c r="O372" s="63">
        <v>710</v>
      </c>
      <c r="P372" s="63">
        <v>710</v>
      </c>
      <c r="Q372" s="54"/>
      <c r="R372" s="54"/>
      <c r="S372" s="63">
        <v>710</v>
      </c>
      <c r="T372" s="63">
        <v>710</v>
      </c>
      <c r="U372" s="5"/>
      <c r="V372" s="5"/>
      <c r="W372" s="5"/>
      <c r="X372" s="5"/>
      <c r="Y372" s="5"/>
      <c r="Z372" s="5"/>
      <c r="AA372" s="63">
        <f t="shared" si="449"/>
        <v>0</v>
      </c>
      <c r="AB372" s="63">
        <f t="shared" si="449"/>
        <v>0</v>
      </c>
      <c r="AC372" s="63">
        <f t="shared" si="466"/>
        <v>710</v>
      </c>
      <c r="AD372" s="63">
        <f t="shared" si="466"/>
        <v>710</v>
      </c>
      <c r="AE372" s="63">
        <f t="shared" si="451"/>
        <v>710</v>
      </c>
      <c r="AF372" s="63">
        <f t="shared" si="452"/>
        <v>710</v>
      </c>
      <c r="AG372" s="5"/>
      <c r="AH372" s="5"/>
      <c r="AI372" s="69"/>
      <c r="AJ372" s="19">
        <f t="shared" si="464"/>
        <v>0</v>
      </c>
      <c r="AK372" s="22">
        <f t="shared" si="422"/>
        <v>0</v>
      </c>
      <c r="AL372" s="22"/>
      <c r="AM372" s="12">
        <f t="shared" si="453"/>
        <v>1</v>
      </c>
      <c r="AO372" s="12">
        <f t="shared" si="454"/>
        <v>0</v>
      </c>
      <c r="AP372" s="12">
        <f t="shared" si="436"/>
        <v>0</v>
      </c>
      <c r="AQ372" s="12">
        <f t="shared" si="455"/>
        <v>0</v>
      </c>
      <c r="AR372" s="12">
        <f t="shared" si="462"/>
        <v>0</v>
      </c>
      <c r="AS372" s="12">
        <f t="shared" si="456"/>
        <v>0</v>
      </c>
      <c r="AT372" s="12">
        <f t="shared" si="465"/>
        <v>0</v>
      </c>
      <c r="AU372" s="12">
        <f t="shared" ref="AU372:AU379" si="467">IF(R372=0,0,1)</f>
        <v>0</v>
      </c>
      <c r="AV372" s="12">
        <f t="shared" si="440"/>
        <v>0</v>
      </c>
    </row>
    <row r="373" spans="1:48" ht="33" hidden="1" x14ac:dyDescent="0.25">
      <c r="A373" s="60">
        <v>51</v>
      </c>
      <c r="B373" s="9" t="s">
        <v>865</v>
      </c>
      <c r="C373" s="61" t="s">
        <v>104</v>
      </c>
      <c r="D373" s="70"/>
      <c r="E373" s="70">
        <v>2020</v>
      </c>
      <c r="F373" s="70"/>
      <c r="G373" s="75">
        <v>250</v>
      </c>
      <c r="H373" s="75">
        <v>250</v>
      </c>
      <c r="I373" s="63"/>
      <c r="J373" s="63"/>
      <c r="K373" s="63"/>
      <c r="L373" s="63"/>
      <c r="M373" s="63">
        <v>240</v>
      </c>
      <c r="N373" s="63">
        <v>240</v>
      </c>
      <c r="O373" s="63">
        <f>P373</f>
        <v>675</v>
      </c>
      <c r="P373" s="63">
        <v>675</v>
      </c>
      <c r="Q373" s="54"/>
      <c r="R373" s="54"/>
      <c r="S373" s="63">
        <f>T373</f>
        <v>675</v>
      </c>
      <c r="T373" s="63">
        <v>675</v>
      </c>
      <c r="U373" s="5"/>
      <c r="V373" s="5"/>
      <c r="W373" s="5"/>
      <c r="X373" s="5"/>
      <c r="Y373" s="5"/>
      <c r="Z373" s="5"/>
      <c r="AA373" s="63">
        <f t="shared" si="449"/>
        <v>0</v>
      </c>
      <c r="AB373" s="63">
        <f t="shared" si="449"/>
        <v>0</v>
      </c>
      <c r="AC373" s="63">
        <f t="shared" si="466"/>
        <v>675</v>
      </c>
      <c r="AD373" s="63">
        <f t="shared" si="466"/>
        <v>675</v>
      </c>
      <c r="AE373" s="63">
        <f t="shared" si="451"/>
        <v>675</v>
      </c>
      <c r="AF373" s="63">
        <f t="shared" si="452"/>
        <v>675</v>
      </c>
      <c r="AG373" s="5"/>
      <c r="AH373" s="5"/>
      <c r="AI373" s="25"/>
      <c r="AJ373" s="19">
        <f t="shared" si="464"/>
        <v>0</v>
      </c>
      <c r="AK373" s="22">
        <f t="shared" si="422"/>
        <v>0</v>
      </c>
      <c r="AL373" s="22"/>
      <c r="AM373" s="12">
        <f t="shared" si="453"/>
        <v>1</v>
      </c>
      <c r="AO373" s="12">
        <f t="shared" si="454"/>
        <v>0</v>
      </c>
      <c r="AP373" s="12">
        <f t="shared" si="436"/>
        <v>0</v>
      </c>
      <c r="AQ373" s="12">
        <f t="shared" si="455"/>
        <v>0</v>
      </c>
      <c r="AR373" s="12">
        <f t="shared" si="462"/>
        <v>0</v>
      </c>
      <c r="AS373" s="12">
        <f t="shared" si="456"/>
        <v>0</v>
      </c>
      <c r="AT373" s="12">
        <f t="shared" si="465"/>
        <v>0</v>
      </c>
      <c r="AU373" s="12">
        <f t="shared" si="467"/>
        <v>0</v>
      </c>
      <c r="AV373" s="12">
        <f t="shared" si="440"/>
        <v>0</v>
      </c>
    </row>
    <row r="374" spans="1:48" ht="49.5" hidden="1" x14ac:dyDescent="0.25">
      <c r="A374" s="60">
        <v>52</v>
      </c>
      <c r="B374" s="9" t="s">
        <v>866</v>
      </c>
      <c r="C374" s="61" t="s">
        <v>58</v>
      </c>
      <c r="D374" s="70"/>
      <c r="E374" s="70">
        <v>2020</v>
      </c>
      <c r="F374" s="61" t="s">
        <v>867</v>
      </c>
      <c r="G374" s="75">
        <v>500</v>
      </c>
      <c r="H374" s="75">
        <v>500</v>
      </c>
      <c r="I374" s="63"/>
      <c r="J374" s="63"/>
      <c r="K374" s="63"/>
      <c r="L374" s="63"/>
      <c r="M374" s="63">
        <v>480</v>
      </c>
      <c r="N374" s="63">
        <v>480</v>
      </c>
      <c r="O374" s="63">
        <v>480</v>
      </c>
      <c r="P374" s="63">
        <v>480</v>
      </c>
      <c r="Q374" s="54"/>
      <c r="R374" s="54"/>
      <c r="S374" s="63">
        <v>480</v>
      </c>
      <c r="T374" s="63">
        <v>480</v>
      </c>
      <c r="U374" s="5"/>
      <c r="V374" s="5"/>
      <c r="W374" s="5"/>
      <c r="X374" s="5"/>
      <c r="Y374" s="5"/>
      <c r="Z374" s="5"/>
      <c r="AA374" s="63">
        <f t="shared" si="449"/>
        <v>0</v>
      </c>
      <c r="AB374" s="63">
        <f t="shared" si="449"/>
        <v>0</v>
      </c>
      <c r="AC374" s="63">
        <f t="shared" si="466"/>
        <v>480</v>
      </c>
      <c r="AD374" s="63">
        <f t="shared" si="466"/>
        <v>480</v>
      </c>
      <c r="AE374" s="63">
        <f t="shared" si="451"/>
        <v>480</v>
      </c>
      <c r="AF374" s="63">
        <f t="shared" si="452"/>
        <v>480</v>
      </c>
      <c r="AG374" s="5"/>
      <c r="AH374" s="5"/>
      <c r="AI374" s="69"/>
      <c r="AJ374" s="19">
        <f t="shared" si="464"/>
        <v>0</v>
      </c>
      <c r="AK374" s="22">
        <f t="shared" si="422"/>
        <v>0</v>
      </c>
      <c r="AL374" s="22"/>
      <c r="AM374" s="12">
        <f t="shared" si="453"/>
        <v>1</v>
      </c>
      <c r="AO374" s="12">
        <f t="shared" si="454"/>
        <v>0</v>
      </c>
      <c r="AP374" s="12">
        <f t="shared" si="436"/>
        <v>0</v>
      </c>
      <c r="AQ374" s="12">
        <f t="shared" si="455"/>
        <v>0</v>
      </c>
      <c r="AR374" s="12">
        <f t="shared" si="462"/>
        <v>0</v>
      </c>
      <c r="AS374" s="12">
        <f t="shared" si="456"/>
        <v>0</v>
      </c>
      <c r="AT374" s="12">
        <f t="shared" si="465"/>
        <v>0</v>
      </c>
      <c r="AU374" s="12">
        <f t="shared" si="467"/>
        <v>0</v>
      </c>
      <c r="AV374" s="12">
        <f t="shared" si="440"/>
        <v>0</v>
      </c>
    </row>
    <row r="375" spans="1:48" ht="33" hidden="1" x14ac:dyDescent="0.25">
      <c r="A375" s="60">
        <v>53</v>
      </c>
      <c r="B375" s="9" t="s">
        <v>868</v>
      </c>
      <c r="C375" s="61" t="s">
        <v>104</v>
      </c>
      <c r="D375" s="70"/>
      <c r="E375" s="70">
        <v>2020</v>
      </c>
      <c r="F375" s="70"/>
      <c r="G375" s="75">
        <v>1500</v>
      </c>
      <c r="H375" s="75">
        <v>1500</v>
      </c>
      <c r="I375" s="63"/>
      <c r="J375" s="63"/>
      <c r="K375" s="63"/>
      <c r="L375" s="63"/>
      <c r="M375" s="63">
        <v>1300</v>
      </c>
      <c r="N375" s="63">
        <v>1300</v>
      </c>
      <c r="O375" s="63"/>
      <c r="P375" s="63"/>
      <c r="Q375" s="54"/>
      <c r="R375" s="54"/>
      <c r="S375" s="63"/>
      <c r="T375" s="63"/>
      <c r="U375" s="5"/>
      <c r="V375" s="5"/>
      <c r="W375" s="5"/>
      <c r="X375" s="5"/>
      <c r="Y375" s="5"/>
      <c r="Z375" s="5"/>
      <c r="AA375" s="63">
        <f t="shared" si="449"/>
        <v>0</v>
      </c>
      <c r="AB375" s="63">
        <f t="shared" si="449"/>
        <v>0</v>
      </c>
      <c r="AC375" s="63">
        <f t="shared" si="466"/>
        <v>0</v>
      </c>
      <c r="AD375" s="63">
        <f t="shared" si="466"/>
        <v>0</v>
      </c>
      <c r="AE375" s="63">
        <f t="shared" si="451"/>
        <v>0</v>
      </c>
      <c r="AF375" s="63">
        <f t="shared" si="452"/>
        <v>0</v>
      </c>
      <c r="AG375" s="5"/>
      <c r="AH375" s="5"/>
      <c r="AI375" s="25" t="s">
        <v>284</v>
      </c>
      <c r="AJ375" s="19">
        <f t="shared" si="464"/>
        <v>0</v>
      </c>
      <c r="AK375" s="22">
        <f t="shared" si="422"/>
        <v>0</v>
      </c>
      <c r="AL375" s="22"/>
      <c r="AM375" s="12">
        <f t="shared" si="453"/>
        <v>1</v>
      </c>
      <c r="AO375" s="12">
        <f t="shared" si="454"/>
        <v>1</v>
      </c>
      <c r="AP375" s="12">
        <f t="shared" si="436"/>
        <v>1300</v>
      </c>
      <c r="AQ375" s="12">
        <f t="shared" si="455"/>
        <v>0</v>
      </c>
      <c r="AR375" s="12">
        <f t="shared" si="462"/>
        <v>0</v>
      </c>
      <c r="AS375" s="12">
        <f t="shared" si="456"/>
        <v>0</v>
      </c>
      <c r="AT375" s="12">
        <f t="shared" si="465"/>
        <v>0</v>
      </c>
    </row>
    <row r="376" spans="1:48" ht="49.5" hidden="1" x14ac:dyDescent="0.25">
      <c r="A376" s="60">
        <v>54</v>
      </c>
      <c r="B376" s="9" t="s">
        <v>869</v>
      </c>
      <c r="C376" s="88" t="s">
        <v>58</v>
      </c>
      <c r="D376" s="70"/>
      <c r="E376" s="70">
        <v>2020</v>
      </c>
      <c r="F376" s="70"/>
      <c r="G376" s="75">
        <v>2500</v>
      </c>
      <c r="H376" s="75">
        <v>2500</v>
      </c>
      <c r="I376" s="63"/>
      <c r="J376" s="63"/>
      <c r="K376" s="63"/>
      <c r="L376" s="63"/>
      <c r="M376" s="63">
        <v>2200</v>
      </c>
      <c r="N376" s="63">
        <v>2200</v>
      </c>
      <c r="O376" s="63">
        <v>2200</v>
      </c>
      <c r="P376" s="63">
        <v>2200</v>
      </c>
      <c r="Q376" s="54"/>
      <c r="R376" s="54"/>
      <c r="S376" s="63">
        <v>2200</v>
      </c>
      <c r="T376" s="63">
        <v>2200</v>
      </c>
      <c r="U376" s="5"/>
      <c r="V376" s="5"/>
      <c r="W376" s="5"/>
      <c r="X376" s="5"/>
      <c r="Y376" s="5"/>
      <c r="Z376" s="5"/>
      <c r="AA376" s="63">
        <f t="shared" si="449"/>
        <v>0</v>
      </c>
      <c r="AB376" s="63">
        <f t="shared" si="449"/>
        <v>0</v>
      </c>
      <c r="AC376" s="63">
        <f t="shared" si="466"/>
        <v>2200</v>
      </c>
      <c r="AD376" s="63">
        <f t="shared" si="466"/>
        <v>2200</v>
      </c>
      <c r="AE376" s="63">
        <f t="shared" si="451"/>
        <v>2200</v>
      </c>
      <c r="AF376" s="63">
        <f t="shared" si="452"/>
        <v>2200</v>
      </c>
      <c r="AG376" s="5"/>
      <c r="AH376" s="5"/>
      <c r="AI376" s="69"/>
      <c r="AJ376" s="19">
        <f t="shared" si="464"/>
        <v>0</v>
      </c>
      <c r="AK376" s="22">
        <f t="shared" ref="AK376:AK379" si="468">AJ376</f>
        <v>0</v>
      </c>
      <c r="AL376" s="22"/>
      <c r="AM376" s="12">
        <f t="shared" si="453"/>
        <v>1</v>
      </c>
      <c r="AO376" s="12">
        <f t="shared" si="454"/>
        <v>0</v>
      </c>
      <c r="AP376" s="12">
        <f t="shared" si="436"/>
        <v>0</v>
      </c>
      <c r="AQ376" s="12">
        <f t="shared" si="455"/>
        <v>0</v>
      </c>
      <c r="AR376" s="12">
        <f t="shared" si="462"/>
        <v>0</v>
      </c>
      <c r="AS376" s="12">
        <f t="shared" si="456"/>
        <v>0</v>
      </c>
      <c r="AT376" s="12">
        <f t="shared" si="465"/>
        <v>0</v>
      </c>
      <c r="AU376" s="12">
        <f t="shared" si="467"/>
        <v>0</v>
      </c>
      <c r="AV376" s="12">
        <f t="shared" si="440"/>
        <v>0</v>
      </c>
    </row>
    <row r="377" spans="1:48" ht="33" hidden="1" x14ac:dyDescent="0.25">
      <c r="A377" s="60">
        <v>55</v>
      </c>
      <c r="B377" s="9" t="s">
        <v>870</v>
      </c>
      <c r="C377" s="61" t="s">
        <v>104</v>
      </c>
      <c r="D377" s="70"/>
      <c r="E377" s="70">
        <v>2020</v>
      </c>
      <c r="F377" s="70"/>
      <c r="G377" s="75">
        <v>1500</v>
      </c>
      <c r="H377" s="75">
        <v>3000</v>
      </c>
      <c r="I377" s="63"/>
      <c r="J377" s="63"/>
      <c r="K377" s="63"/>
      <c r="L377" s="63"/>
      <c r="M377" s="63"/>
      <c r="N377" s="63"/>
      <c r="O377" s="63">
        <f>P377</f>
        <v>1300</v>
      </c>
      <c r="P377" s="63">
        <v>1300</v>
      </c>
      <c r="Q377" s="54"/>
      <c r="R377" s="54"/>
      <c r="S377" s="63">
        <f>T377</f>
        <v>1300</v>
      </c>
      <c r="T377" s="63">
        <v>1300</v>
      </c>
      <c r="U377" s="5"/>
      <c r="V377" s="5"/>
      <c r="W377" s="5"/>
      <c r="X377" s="5"/>
      <c r="Y377" s="5"/>
      <c r="Z377" s="5"/>
      <c r="AA377" s="63">
        <f t="shared" si="449"/>
        <v>0</v>
      </c>
      <c r="AB377" s="63">
        <f t="shared" si="449"/>
        <v>0</v>
      </c>
      <c r="AC377" s="63">
        <f t="shared" si="466"/>
        <v>1300</v>
      </c>
      <c r="AD377" s="63">
        <f t="shared" si="466"/>
        <v>1300</v>
      </c>
      <c r="AE377" s="63">
        <f t="shared" si="451"/>
        <v>1300</v>
      </c>
      <c r="AF377" s="63">
        <f t="shared" si="452"/>
        <v>1300</v>
      </c>
      <c r="AG377" s="5"/>
      <c r="AH377" s="5"/>
      <c r="AI377" s="25" t="s">
        <v>871</v>
      </c>
      <c r="AJ377" s="19">
        <f t="shared" si="464"/>
        <v>0</v>
      </c>
      <c r="AK377" s="22">
        <f t="shared" si="468"/>
        <v>0</v>
      </c>
      <c r="AL377" s="22"/>
      <c r="AM377" s="12">
        <f t="shared" si="453"/>
        <v>1</v>
      </c>
      <c r="AO377" s="12">
        <f t="shared" si="454"/>
        <v>0</v>
      </c>
      <c r="AP377" s="12">
        <f t="shared" si="436"/>
        <v>0</v>
      </c>
      <c r="AQ377" s="12">
        <f t="shared" si="455"/>
        <v>1</v>
      </c>
      <c r="AR377" s="12">
        <f t="shared" si="462"/>
        <v>1300</v>
      </c>
      <c r="AS377" s="12">
        <f t="shared" si="456"/>
        <v>0</v>
      </c>
      <c r="AT377" s="12">
        <f t="shared" si="465"/>
        <v>0</v>
      </c>
    </row>
    <row r="378" spans="1:48" ht="204.75" hidden="1" customHeight="1" x14ac:dyDescent="0.25">
      <c r="A378" s="60">
        <v>56</v>
      </c>
      <c r="B378" s="9" t="s">
        <v>872</v>
      </c>
      <c r="C378" s="88" t="s">
        <v>104</v>
      </c>
      <c r="D378" s="70" t="s">
        <v>873</v>
      </c>
      <c r="E378" s="70" t="s">
        <v>101</v>
      </c>
      <c r="F378" s="61" t="s">
        <v>874</v>
      </c>
      <c r="G378" s="75">
        <f>13170000*27000/1000000</f>
        <v>355590</v>
      </c>
      <c r="H378" s="75">
        <f>3470000*27000/1000000</f>
        <v>93690</v>
      </c>
      <c r="I378" s="63"/>
      <c r="J378" s="63"/>
      <c r="K378" s="63"/>
      <c r="L378" s="63"/>
      <c r="M378" s="63">
        <f>G378</f>
        <v>355590</v>
      </c>
      <c r="N378" s="63">
        <v>20000</v>
      </c>
      <c r="O378" s="63">
        <f>M378</f>
        <v>355590</v>
      </c>
      <c r="P378" s="63">
        <v>20000</v>
      </c>
      <c r="Q378" s="54"/>
      <c r="R378" s="54"/>
      <c r="S378" s="63">
        <f>O378</f>
        <v>355590</v>
      </c>
      <c r="T378" s="63">
        <v>20000</v>
      </c>
      <c r="U378" s="5"/>
      <c r="V378" s="5"/>
      <c r="W378" s="5"/>
      <c r="X378" s="5"/>
      <c r="Y378" s="5"/>
      <c r="Z378" s="5"/>
      <c r="AA378" s="63">
        <f t="shared" si="449"/>
        <v>0</v>
      </c>
      <c r="AB378" s="63">
        <f t="shared" si="449"/>
        <v>0</v>
      </c>
      <c r="AC378" s="63">
        <f t="shared" si="466"/>
        <v>355590</v>
      </c>
      <c r="AD378" s="63">
        <f t="shared" si="466"/>
        <v>20000</v>
      </c>
      <c r="AE378" s="63">
        <f t="shared" si="451"/>
        <v>20000</v>
      </c>
      <c r="AF378" s="63">
        <f t="shared" si="452"/>
        <v>20000</v>
      </c>
      <c r="AG378" s="5"/>
      <c r="AH378" s="5"/>
      <c r="AI378" s="25" t="s">
        <v>875</v>
      </c>
      <c r="AJ378" s="19">
        <f t="shared" si="464"/>
        <v>0</v>
      </c>
      <c r="AK378" s="22">
        <f t="shared" si="468"/>
        <v>0</v>
      </c>
      <c r="AL378" s="22"/>
      <c r="AM378" s="12">
        <f t="shared" si="453"/>
        <v>1</v>
      </c>
      <c r="AO378" s="12">
        <f t="shared" si="454"/>
        <v>0</v>
      </c>
      <c r="AP378" s="12">
        <f t="shared" si="436"/>
        <v>0</v>
      </c>
      <c r="AQ378" s="12">
        <f t="shared" si="455"/>
        <v>0</v>
      </c>
      <c r="AR378" s="12">
        <f t="shared" si="462"/>
        <v>0</v>
      </c>
      <c r="AS378" s="12">
        <f t="shared" si="456"/>
        <v>0</v>
      </c>
      <c r="AT378" s="12">
        <f t="shared" si="465"/>
        <v>0</v>
      </c>
      <c r="AU378" s="12">
        <f t="shared" si="467"/>
        <v>0</v>
      </c>
      <c r="AV378" s="12">
        <f t="shared" si="440"/>
        <v>0</v>
      </c>
    </row>
    <row r="379" spans="1:48" ht="66" hidden="1" x14ac:dyDescent="0.25">
      <c r="A379" s="60">
        <v>57</v>
      </c>
      <c r="B379" s="9" t="s">
        <v>876</v>
      </c>
      <c r="C379" s="61" t="s">
        <v>176</v>
      </c>
      <c r="D379" s="61"/>
      <c r="E379" s="61" t="s">
        <v>141</v>
      </c>
      <c r="F379" s="61" t="s">
        <v>877</v>
      </c>
      <c r="G379" s="74">
        <v>101065</v>
      </c>
      <c r="H379" s="80">
        <v>16822</v>
      </c>
      <c r="I379" s="63"/>
      <c r="J379" s="63"/>
      <c r="K379" s="63"/>
      <c r="L379" s="63"/>
      <c r="M379" s="68"/>
      <c r="N379" s="63"/>
      <c r="O379" s="68">
        <v>91065</v>
      </c>
      <c r="P379" s="63">
        <f>H379</f>
        <v>16822</v>
      </c>
      <c r="Q379" s="54"/>
      <c r="R379" s="54"/>
      <c r="S379" s="68">
        <v>91065</v>
      </c>
      <c r="T379" s="63">
        <f>P379</f>
        <v>16822</v>
      </c>
      <c r="U379" s="5"/>
      <c r="V379" s="5"/>
      <c r="W379" s="5"/>
      <c r="X379" s="5"/>
      <c r="Y379" s="5"/>
      <c r="Z379" s="5"/>
      <c r="AA379" s="63">
        <f t="shared" si="449"/>
        <v>0</v>
      </c>
      <c r="AB379" s="63">
        <f t="shared" si="449"/>
        <v>0</v>
      </c>
      <c r="AC379" s="63">
        <f t="shared" si="466"/>
        <v>91065</v>
      </c>
      <c r="AD379" s="63">
        <f t="shared" si="466"/>
        <v>16822</v>
      </c>
      <c r="AE379" s="63">
        <f t="shared" si="451"/>
        <v>16822</v>
      </c>
      <c r="AF379" s="63">
        <f t="shared" si="452"/>
        <v>16822</v>
      </c>
      <c r="AG379" s="5"/>
      <c r="AH379" s="5"/>
      <c r="AI379" s="25" t="s">
        <v>878</v>
      </c>
      <c r="AJ379" s="19">
        <f t="shared" si="464"/>
        <v>0</v>
      </c>
      <c r="AK379" s="22">
        <f t="shared" si="468"/>
        <v>0</v>
      </c>
      <c r="AL379" s="22"/>
      <c r="AM379" s="12">
        <f t="shared" si="453"/>
        <v>1</v>
      </c>
      <c r="AO379" s="12">
        <f t="shared" si="454"/>
        <v>0</v>
      </c>
      <c r="AP379" s="12">
        <f t="shared" si="436"/>
        <v>0</v>
      </c>
      <c r="AQ379" s="12">
        <f t="shared" si="455"/>
        <v>1</v>
      </c>
      <c r="AR379" s="12">
        <f t="shared" si="462"/>
        <v>16822</v>
      </c>
      <c r="AU379" s="12">
        <f t="shared" si="467"/>
        <v>0</v>
      </c>
      <c r="AV379" s="12">
        <f t="shared" si="440"/>
        <v>0</v>
      </c>
    </row>
    <row r="380" spans="1:48" ht="16.5" hidden="1" x14ac:dyDescent="0.25">
      <c r="A380" s="23" t="s">
        <v>879</v>
      </c>
      <c r="B380" s="24" t="s">
        <v>880</v>
      </c>
      <c r="C380" s="25"/>
      <c r="D380" s="25"/>
      <c r="E380" s="25"/>
      <c r="F380" s="25"/>
      <c r="G380" s="26"/>
      <c r="H380" s="26"/>
      <c r="I380" s="26"/>
      <c r="J380" s="26"/>
      <c r="K380" s="26"/>
      <c r="L380" s="26"/>
      <c r="M380" s="26">
        <f>N380</f>
        <v>652000</v>
      </c>
      <c r="N380" s="26">
        <v>652000</v>
      </c>
      <c r="O380" s="26"/>
      <c r="P380" s="26">
        <v>41270</v>
      </c>
      <c r="Q380" s="26">
        <f>T380-P380</f>
        <v>45932</v>
      </c>
      <c r="R380" s="26"/>
      <c r="S380" s="26"/>
      <c r="T380" s="26">
        <f>60600+20648-5400+10830+524</f>
        <v>87202</v>
      </c>
      <c r="U380" s="5"/>
      <c r="V380" s="5"/>
      <c r="W380" s="5"/>
      <c r="X380" s="5"/>
      <c r="Y380" s="5"/>
      <c r="Z380" s="5"/>
      <c r="AA380" s="5"/>
      <c r="AB380" s="5"/>
      <c r="AC380" s="5"/>
      <c r="AD380" s="5"/>
      <c r="AE380" s="5"/>
      <c r="AF380" s="5"/>
      <c r="AG380" s="5"/>
      <c r="AH380" s="5"/>
      <c r="AI380" s="25"/>
      <c r="AJ380" s="19">
        <v>1</v>
      </c>
      <c r="AK380" s="22"/>
      <c r="AL380" s="22"/>
    </row>
    <row r="381" spans="1:48" ht="16.5" hidden="1" x14ac:dyDescent="0.25">
      <c r="A381" s="23"/>
      <c r="B381" s="24"/>
      <c r="C381" s="25"/>
      <c r="D381" s="25"/>
      <c r="E381" s="25"/>
      <c r="F381" s="25"/>
      <c r="G381" s="26"/>
      <c r="H381" s="26"/>
      <c r="I381" s="26"/>
      <c r="J381" s="26"/>
      <c r="K381" s="26"/>
      <c r="L381" s="26"/>
      <c r="M381" s="26"/>
      <c r="N381" s="26"/>
      <c r="O381" s="26"/>
      <c r="P381" s="26"/>
      <c r="Q381" s="26"/>
      <c r="R381" s="26"/>
      <c r="S381" s="26"/>
      <c r="T381" s="26"/>
      <c r="U381" s="5"/>
      <c r="V381" s="5"/>
      <c r="W381" s="5"/>
      <c r="X381" s="5"/>
      <c r="Y381" s="5"/>
      <c r="Z381" s="5"/>
      <c r="AA381" s="5"/>
      <c r="AB381" s="5"/>
      <c r="AC381" s="5"/>
      <c r="AD381" s="5"/>
      <c r="AE381" s="5"/>
      <c r="AF381" s="5"/>
      <c r="AG381" s="5"/>
      <c r="AH381" s="5"/>
      <c r="AI381" s="25"/>
      <c r="AJ381" s="19"/>
      <c r="AK381" s="22"/>
      <c r="AL381" s="22"/>
    </row>
    <row r="382" spans="1:48" ht="16.5" x14ac:dyDescent="0.25">
      <c r="A382" s="133"/>
      <c r="B382" s="134"/>
      <c r="C382" s="135"/>
      <c r="D382" s="135"/>
      <c r="E382" s="135"/>
      <c r="F382" s="135"/>
      <c r="G382" s="136"/>
      <c r="H382" s="136"/>
      <c r="I382" s="137"/>
      <c r="J382" s="137"/>
      <c r="K382" s="137"/>
      <c r="L382" s="137"/>
      <c r="M382" s="137"/>
      <c r="N382" s="137"/>
      <c r="O382" s="137"/>
      <c r="P382" s="137"/>
      <c r="Q382" s="138"/>
      <c r="R382" s="138"/>
      <c r="S382" s="137"/>
      <c r="T382" s="137"/>
      <c r="U382" s="139"/>
      <c r="V382" s="140"/>
      <c r="W382" s="140"/>
      <c r="X382" s="140"/>
      <c r="Y382" s="140"/>
      <c r="Z382" s="140"/>
      <c r="AA382" s="140"/>
      <c r="AB382" s="140"/>
      <c r="AC382" s="140"/>
      <c r="AD382" s="140"/>
      <c r="AE382" s="140"/>
      <c r="AF382" s="140"/>
      <c r="AG382" s="140"/>
      <c r="AH382" s="140"/>
      <c r="AI382" s="136"/>
      <c r="AJ382" s="19">
        <v>1</v>
      </c>
    </row>
    <row r="383" spans="1:48" ht="18.75" hidden="1" x14ac:dyDescent="0.25">
      <c r="AK383" s="142">
        <f>SUM(AK18:AK382)</f>
        <v>30</v>
      </c>
      <c r="AL383" s="142"/>
      <c r="AM383" s="142">
        <f>SUM(AM18:AM382)</f>
        <v>252</v>
      </c>
      <c r="AN383" s="142"/>
      <c r="AO383" s="142">
        <f t="shared" ref="AO383:AV383" si="469">SUM(AO18:AO382)</f>
        <v>24</v>
      </c>
      <c r="AP383" s="142">
        <f t="shared" si="469"/>
        <v>226574</v>
      </c>
      <c r="AQ383" s="142">
        <f t="shared" si="469"/>
        <v>19</v>
      </c>
      <c r="AR383" s="142">
        <f t="shared" si="469"/>
        <v>208322</v>
      </c>
      <c r="AS383" s="142">
        <f t="shared" si="469"/>
        <v>10</v>
      </c>
      <c r="AT383" s="142">
        <f t="shared" si="469"/>
        <v>251410</v>
      </c>
      <c r="AU383" s="142">
        <f t="shared" si="469"/>
        <v>16</v>
      </c>
      <c r="AV383" s="142">
        <f t="shared" si="469"/>
        <v>134218</v>
      </c>
    </row>
    <row r="384" spans="1:48" hidden="1" x14ac:dyDescent="0.25">
      <c r="O384" s="143"/>
      <c r="P384" s="143"/>
      <c r="Q384" s="144"/>
      <c r="R384" s="144"/>
      <c r="S384" s="143"/>
      <c r="T384" s="143"/>
      <c r="AU384" s="22"/>
    </row>
    <row r="385" spans="15:48" ht="18.75" hidden="1" x14ac:dyDescent="0.25">
      <c r="O385" s="143"/>
      <c r="S385" s="143"/>
      <c r="AI385" s="1945" t="s">
        <v>882</v>
      </c>
      <c r="AJ385" s="10" t="s">
        <v>883</v>
      </c>
      <c r="AK385" s="163"/>
      <c r="AL385" s="163"/>
      <c r="AM385" s="163"/>
      <c r="AN385" s="163"/>
      <c r="AO385" s="163"/>
      <c r="AP385" s="145">
        <f>AP383+AV383</f>
        <v>360792</v>
      </c>
      <c r="AQ385" s="163"/>
      <c r="AR385" s="145"/>
      <c r="AS385" s="163" t="s">
        <v>884</v>
      </c>
      <c r="AT385" s="163"/>
      <c r="AU385" s="145">
        <v>155000</v>
      </c>
      <c r="AV385" s="163" t="s">
        <v>885</v>
      </c>
    </row>
    <row r="386" spans="15:48" ht="18.75" hidden="1" x14ac:dyDescent="0.25">
      <c r="AI386" s="1945"/>
      <c r="AJ386" s="10" t="s">
        <v>886</v>
      </c>
      <c r="AK386" s="163"/>
      <c r="AL386" s="163"/>
      <c r="AM386" s="163"/>
      <c r="AN386" s="163"/>
      <c r="AO386" s="163"/>
      <c r="AP386" s="145">
        <f>AR383+AT383</f>
        <v>459732</v>
      </c>
      <c r="AQ386" s="163"/>
      <c r="AR386" s="163"/>
      <c r="AS386" s="163"/>
      <c r="AT386" s="163"/>
      <c r="AU386" s="145">
        <v>579440</v>
      </c>
      <c r="AV386" s="163" t="s">
        <v>887</v>
      </c>
    </row>
    <row r="387" spans="15:48" ht="18.75" hidden="1" x14ac:dyDescent="0.25">
      <c r="AI387" s="1945"/>
      <c r="AJ387" s="10" t="s">
        <v>888</v>
      </c>
      <c r="AK387" s="163"/>
      <c r="AL387" s="163"/>
      <c r="AM387" s="163"/>
      <c r="AN387" s="163"/>
      <c r="AO387" s="163"/>
      <c r="AP387" s="145">
        <f>AP386-AP385</f>
        <v>98940</v>
      </c>
      <c r="AQ387" s="163"/>
      <c r="AR387" s="163"/>
      <c r="AS387" s="163"/>
      <c r="AT387" s="163"/>
      <c r="AU387" s="146">
        <f>SUM(AU385:AU386)</f>
        <v>734440</v>
      </c>
      <c r="AV387" s="145" t="s">
        <v>889</v>
      </c>
    </row>
    <row r="388" spans="15:48" ht="18.75" hidden="1" x14ac:dyDescent="0.3">
      <c r="AI388" s="147" t="s">
        <v>890</v>
      </c>
      <c r="AJ388" s="163"/>
      <c r="AK388" s="163"/>
      <c r="AL388" s="163"/>
      <c r="AM388" s="163"/>
      <c r="AN388" s="163"/>
      <c r="AO388" s="163"/>
      <c r="AP388" s="145">
        <v>5000</v>
      </c>
      <c r="AQ388" s="163"/>
      <c r="AR388" s="163"/>
      <c r="AS388" s="163"/>
      <c r="AT388" s="163"/>
      <c r="AU388" s="145"/>
      <c r="AV388" s="163"/>
    </row>
    <row r="389" spans="15:48" ht="18.75" x14ac:dyDescent="0.3">
      <c r="AI389" s="148"/>
      <c r="AJ389" s="163"/>
      <c r="AK389" s="163"/>
      <c r="AL389" s="163"/>
      <c r="AM389" s="163"/>
      <c r="AN389" s="163"/>
      <c r="AO389" s="145"/>
      <c r="AP389" s="146">
        <f>AP388+AP387</f>
        <v>103940</v>
      </c>
      <c r="AQ389" s="163"/>
      <c r="AR389" s="163"/>
      <c r="AS389" s="163"/>
      <c r="AT389" s="163"/>
      <c r="AU389" s="145"/>
      <c r="AV389" s="163"/>
    </row>
    <row r="390" spans="15:48" ht="18.75" x14ac:dyDescent="0.3">
      <c r="Q390" s="144"/>
      <c r="R390" s="144"/>
      <c r="AI390" s="148"/>
      <c r="AJ390" s="163"/>
      <c r="AK390" s="163"/>
      <c r="AL390" s="163"/>
      <c r="AM390" s="163"/>
      <c r="AN390" s="163"/>
      <c r="AO390" s="163"/>
      <c r="AP390" s="163"/>
      <c r="AQ390" s="163"/>
      <c r="AR390" s="163"/>
      <c r="AS390" s="163"/>
      <c r="AT390" s="163"/>
      <c r="AU390" s="163"/>
      <c r="AV390" s="163"/>
    </row>
    <row r="391" spans="15:48" ht="18.75" x14ac:dyDescent="0.3">
      <c r="Q391" s="144"/>
      <c r="AI391" s="148"/>
      <c r="AJ391" s="163"/>
      <c r="AK391" s="163"/>
      <c r="AL391" s="163"/>
      <c r="AM391" s="163"/>
      <c r="AN391" s="163"/>
      <c r="AO391" s="163"/>
      <c r="AP391" s="145">
        <f>AP385+AP389</f>
        <v>464732</v>
      </c>
      <c r="AQ391" s="163"/>
      <c r="AR391" s="163"/>
      <c r="AS391" s="163"/>
      <c r="AT391" s="163"/>
      <c r="AU391" s="163"/>
      <c r="AV391" s="163"/>
    </row>
    <row r="394" spans="15:48" x14ac:dyDescent="0.25">
      <c r="AP394" s="22"/>
    </row>
    <row r="395" spans="15:48" x14ac:dyDescent="0.25">
      <c r="AP395" s="22"/>
    </row>
  </sheetData>
  <autoFilter ref="AJ17:AJ388">
    <filterColumn colId="0">
      <filters>
        <filter val="1"/>
      </filters>
    </filterColumn>
  </autoFilter>
  <mergeCells count="75">
    <mergeCell ref="AI231:AI234"/>
    <mergeCell ref="AI385:AI387"/>
    <mergeCell ref="AC14:AC16"/>
    <mergeCell ref="AD14:AD16"/>
    <mergeCell ref="AE14:AE16"/>
    <mergeCell ref="AF14:AF16"/>
    <mergeCell ref="AG14:AG16"/>
    <mergeCell ref="AH14:AH16"/>
    <mergeCell ref="X14:X16"/>
    <mergeCell ref="M14:M16"/>
    <mergeCell ref="N14:N16"/>
    <mergeCell ref="O14:O16"/>
    <mergeCell ref="P14:P16"/>
    <mergeCell ref="Q14:Q16"/>
    <mergeCell ref="R14:R16"/>
    <mergeCell ref="S14:S16"/>
    <mergeCell ref="T14:T16"/>
    <mergeCell ref="U14:U16"/>
    <mergeCell ref="V14:V16"/>
    <mergeCell ref="W14:W16"/>
    <mergeCell ref="F14:F16"/>
    <mergeCell ref="G14:H14"/>
    <mergeCell ref="I14:I16"/>
    <mergeCell ref="J14:J16"/>
    <mergeCell ref="K14:K16"/>
    <mergeCell ref="L14:L16"/>
    <mergeCell ref="G15:G16"/>
    <mergeCell ref="H15:H16"/>
    <mergeCell ref="AU12:AV12"/>
    <mergeCell ref="AO13:AO16"/>
    <mergeCell ref="AP13:AP16"/>
    <mergeCell ref="AQ13:AQ16"/>
    <mergeCell ref="AR13:AR16"/>
    <mergeCell ref="AS13:AS16"/>
    <mergeCell ref="AT13:AT16"/>
    <mergeCell ref="AU13:AU16"/>
    <mergeCell ref="AV13:AV16"/>
    <mergeCell ref="AJ12:AJ16"/>
    <mergeCell ref="AK12:AK16"/>
    <mergeCell ref="AM12:AM16"/>
    <mergeCell ref="AO12:AP12"/>
    <mergeCell ref="AQ12:AR12"/>
    <mergeCell ref="AS12:AT12"/>
    <mergeCell ref="Y12:Z13"/>
    <mergeCell ref="AA12:AB13"/>
    <mergeCell ref="AC12:AD13"/>
    <mergeCell ref="AE12:AF13"/>
    <mergeCell ref="AG12:AH13"/>
    <mergeCell ref="AI12:AI16"/>
    <mergeCell ref="Y14:Y16"/>
    <mergeCell ref="Z14:Z16"/>
    <mergeCell ref="AA14:AA16"/>
    <mergeCell ref="AB14:AB16"/>
    <mergeCell ref="W12:X13"/>
    <mergeCell ref="A7:AI7"/>
    <mergeCell ref="A11:AI11"/>
    <mergeCell ref="A12:A16"/>
    <mergeCell ref="B12:B16"/>
    <mergeCell ref="C12:C16"/>
    <mergeCell ref="D12:D16"/>
    <mergeCell ref="E12:E16"/>
    <mergeCell ref="F12:H13"/>
    <mergeCell ref="I12:J13"/>
    <mergeCell ref="K12:L13"/>
    <mergeCell ref="M12:N13"/>
    <mergeCell ref="O12:P13"/>
    <mergeCell ref="Q12:R13"/>
    <mergeCell ref="S12:T13"/>
    <mergeCell ref="U12:V13"/>
    <mergeCell ref="A6:AI6"/>
    <mergeCell ref="A1:AI1"/>
    <mergeCell ref="A2:AI2"/>
    <mergeCell ref="A3:AI3"/>
    <mergeCell ref="A4:AI4"/>
    <mergeCell ref="A5:AI5"/>
  </mergeCells>
  <pageMargins left="0.5" right="0.31496062992125984" top="0.43307086614173229" bottom="0.39370078740157483" header="0.31496062992125984" footer="0.19685039370078741"/>
  <pageSetup paperSize="9" scale="50" fitToHeight="0" orientation="landscape" r:id="rId1"/>
  <headerFooter differentFirst="1">
    <oddHeader>&amp;C&amp;"Times New Roman,Regular"&amp;14&amp;P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AJ503"/>
  <sheetViews>
    <sheetView topLeftCell="A14" zoomScale="70" zoomScaleNormal="70" workbookViewId="0">
      <pane xSplit="4320" ySplit="1665" topLeftCell="F286" activePane="topRight"/>
      <selection activeCell="A10" sqref="A10:AG503"/>
      <selection pane="topRight" activeCell="S10" sqref="S10:T11"/>
      <selection pane="bottomLeft" activeCell="B332" sqref="B332"/>
      <selection pane="bottomRight" activeCell="R430" sqref="R430"/>
    </sheetView>
  </sheetViews>
  <sheetFormatPr defaultColWidth="9.140625" defaultRowHeight="15" x14ac:dyDescent="0.25"/>
  <cols>
    <col min="1" max="1" width="9.140625" style="165"/>
    <col min="2" max="2" width="32.7109375" style="165" customWidth="1"/>
    <col min="3" max="3" width="11.42578125" style="167" customWidth="1"/>
    <col min="4" max="4" width="35.5703125" style="165" customWidth="1"/>
    <col min="5" max="5" width="12.5703125" style="165" customWidth="1"/>
    <col min="6" max="12" width="13.7109375" style="165" customWidth="1"/>
    <col min="13" max="14" width="13.7109375" style="165" hidden="1" customWidth="1"/>
    <col min="15" max="16" width="13.7109375" style="166" customWidth="1"/>
    <col min="17" max="18" width="11.85546875" style="165" customWidth="1"/>
    <col min="19" max="20" width="13.7109375" style="691" customWidth="1"/>
    <col min="21" max="24" width="12.5703125" style="165" hidden="1" customWidth="1"/>
    <col min="25" max="32" width="9.140625" style="165" hidden="1" customWidth="1"/>
    <col min="33" max="33" width="13.42578125" style="165" customWidth="1"/>
    <col min="34" max="16384" width="9.140625" style="165"/>
  </cols>
  <sheetData>
    <row r="1" spans="1:36" ht="18.75" x14ac:dyDescent="0.25">
      <c r="A1" s="1977" t="s">
        <v>1880</v>
      </c>
      <c r="B1" s="1977"/>
      <c r="C1" s="1977"/>
      <c r="D1" s="1977"/>
      <c r="E1" s="1977"/>
      <c r="F1" s="1977"/>
      <c r="G1" s="1977"/>
      <c r="H1" s="1977"/>
      <c r="I1" s="1977"/>
      <c r="J1" s="1977"/>
      <c r="K1" s="1977"/>
      <c r="L1" s="1977"/>
      <c r="M1" s="1977"/>
      <c r="N1" s="1977"/>
      <c r="O1" s="1977"/>
      <c r="P1" s="1977"/>
      <c r="Q1" s="1977"/>
      <c r="R1" s="1977"/>
      <c r="S1" s="2004"/>
      <c r="T1" s="2004"/>
      <c r="U1" s="1977"/>
      <c r="V1" s="1977"/>
      <c r="W1" s="1977"/>
      <c r="X1" s="1977"/>
      <c r="Y1" s="1977"/>
      <c r="Z1" s="1977"/>
      <c r="AA1" s="1977"/>
      <c r="AB1" s="1977"/>
      <c r="AC1" s="1977"/>
      <c r="AD1" s="1977"/>
      <c r="AE1" s="1977"/>
      <c r="AF1" s="1977"/>
      <c r="AG1" s="1977"/>
    </row>
    <row r="2" spans="1:36" s="444" customFormat="1" ht="43.5" customHeight="1" x14ac:dyDescent="0.35">
      <c r="A2" s="1978" t="s">
        <v>1974</v>
      </c>
      <c r="B2" s="1978"/>
      <c r="C2" s="1978"/>
      <c r="D2" s="1978"/>
      <c r="E2" s="1978"/>
      <c r="F2" s="1978"/>
      <c r="G2" s="1978"/>
      <c r="H2" s="1978"/>
      <c r="I2" s="1979"/>
      <c r="J2" s="1979"/>
      <c r="K2" s="1979"/>
      <c r="L2" s="1979"/>
      <c r="M2" s="1978"/>
      <c r="N2" s="1978"/>
      <c r="O2" s="1978"/>
      <c r="P2" s="1978"/>
      <c r="Q2" s="1978"/>
      <c r="R2" s="1978"/>
      <c r="S2" s="2005"/>
      <c r="T2" s="2005"/>
      <c r="U2" s="1979"/>
      <c r="V2" s="1979"/>
      <c r="W2" s="1979"/>
      <c r="X2" s="1979"/>
      <c r="Y2" s="1979"/>
      <c r="Z2" s="1979"/>
      <c r="AA2" s="1979"/>
      <c r="AB2" s="1979"/>
      <c r="AC2" s="1979"/>
      <c r="AD2" s="1979"/>
      <c r="AE2" s="1979"/>
      <c r="AF2" s="1979"/>
      <c r="AG2" s="1978"/>
    </row>
    <row r="3" spans="1:36" s="443" customFormat="1" ht="21.75" customHeight="1" x14ac:dyDescent="0.3">
      <c r="A3" s="1980" t="s">
        <v>1</v>
      </c>
      <c r="B3" s="1980"/>
      <c r="C3" s="1980"/>
      <c r="D3" s="1980"/>
      <c r="E3" s="1980"/>
      <c r="F3" s="1980"/>
      <c r="G3" s="1980"/>
      <c r="H3" s="1980"/>
      <c r="I3" s="1961"/>
      <c r="J3" s="1961"/>
      <c r="K3" s="1961"/>
      <c r="L3" s="1961"/>
      <c r="M3" s="1980"/>
      <c r="N3" s="1980"/>
      <c r="O3" s="1980"/>
      <c r="P3" s="1980"/>
      <c r="Q3" s="1980"/>
      <c r="R3" s="1980"/>
      <c r="S3" s="1980"/>
      <c r="T3" s="1980"/>
      <c r="U3" s="1961"/>
      <c r="V3" s="1961"/>
      <c r="W3" s="1961"/>
      <c r="X3" s="1961"/>
      <c r="Y3" s="1961"/>
      <c r="Z3" s="1961"/>
      <c r="AA3" s="1961"/>
      <c r="AB3" s="1961"/>
      <c r="AC3" s="1961"/>
      <c r="AD3" s="1961"/>
      <c r="AE3" s="1961"/>
      <c r="AF3" s="1961"/>
      <c r="AG3" s="1980"/>
    </row>
    <row r="4" spans="1:36" ht="16.5" hidden="1" x14ac:dyDescent="0.25">
      <c r="A4" s="1961" t="s">
        <v>1878</v>
      </c>
      <c r="B4" s="1961"/>
      <c r="C4" s="1961"/>
      <c r="D4" s="1961"/>
      <c r="E4" s="1961"/>
      <c r="F4" s="1961"/>
      <c r="G4" s="1961"/>
      <c r="H4" s="1961"/>
      <c r="I4" s="1961"/>
      <c r="J4" s="1961"/>
      <c r="K4" s="1961"/>
      <c r="L4" s="1961"/>
      <c r="M4" s="1961"/>
      <c r="N4" s="1961"/>
      <c r="O4" s="1961"/>
      <c r="P4" s="1961"/>
      <c r="Q4" s="1961"/>
      <c r="R4" s="1961"/>
      <c r="S4" s="2006"/>
      <c r="T4" s="2006"/>
      <c r="U4" s="1961"/>
      <c r="V4" s="1961"/>
      <c r="W4" s="1961"/>
      <c r="X4" s="1961"/>
      <c r="Y4" s="1961"/>
      <c r="Z4" s="1961"/>
      <c r="AA4" s="1961"/>
      <c r="AB4" s="1961"/>
      <c r="AC4" s="1961"/>
      <c r="AD4" s="1961"/>
      <c r="AE4" s="1961"/>
      <c r="AF4" s="1961"/>
      <c r="AG4" s="1961"/>
    </row>
    <row r="5" spans="1:36" ht="16.5" hidden="1" x14ac:dyDescent="0.25">
      <c r="A5" s="1961" t="s">
        <v>1877</v>
      </c>
      <c r="B5" s="1961"/>
      <c r="C5" s="1961"/>
      <c r="D5" s="1961"/>
      <c r="E5" s="1961"/>
      <c r="F5" s="1961"/>
      <c r="G5" s="1961"/>
      <c r="H5" s="1961"/>
      <c r="I5" s="1961"/>
      <c r="J5" s="1961"/>
      <c r="K5" s="1961"/>
      <c r="L5" s="1961"/>
      <c r="M5" s="1961"/>
      <c r="N5" s="1961"/>
      <c r="O5" s="1961"/>
      <c r="P5" s="1961"/>
      <c r="Q5" s="1961"/>
      <c r="R5" s="1961"/>
      <c r="S5" s="1961"/>
      <c r="T5" s="1961"/>
      <c r="U5" s="1961"/>
      <c r="V5" s="1961"/>
      <c r="W5" s="1961"/>
      <c r="X5" s="1961"/>
      <c r="Y5" s="1961"/>
      <c r="Z5" s="1961"/>
      <c r="AA5" s="1961"/>
      <c r="AB5" s="1961"/>
      <c r="AC5" s="1961"/>
      <c r="AD5" s="1961"/>
      <c r="AE5" s="1961"/>
      <c r="AF5" s="1961"/>
      <c r="AG5" s="1961"/>
    </row>
    <row r="6" spans="1:36" ht="16.5" hidden="1" x14ac:dyDescent="0.25">
      <c r="A6" s="1961" t="s">
        <v>1876</v>
      </c>
      <c r="B6" s="1961"/>
      <c r="C6" s="1961"/>
      <c r="D6" s="1961"/>
      <c r="E6" s="1961"/>
      <c r="F6" s="1961"/>
      <c r="G6" s="1961"/>
      <c r="H6" s="1961"/>
      <c r="I6" s="1961"/>
      <c r="J6" s="1961"/>
      <c r="K6" s="1961"/>
      <c r="L6" s="1961"/>
      <c r="M6" s="1961"/>
      <c r="N6" s="1961"/>
      <c r="O6" s="1961"/>
      <c r="P6" s="1961"/>
      <c r="Q6" s="1961"/>
      <c r="R6" s="1961"/>
      <c r="S6" s="1961"/>
      <c r="T6" s="1961"/>
      <c r="U6" s="1961"/>
      <c r="V6" s="1961"/>
      <c r="W6" s="1961"/>
      <c r="X6" s="1961"/>
      <c r="Y6" s="1961"/>
      <c r="Z6" s="1961"/>
      <c r="AA6" s="1961"/>
      <c r="AB6" s="1961"/>
      <c r="AC6" s="1961"/>
      <c r="AD6" s="1961"/>
      <c r="AE6" s="1961"/>
      <c r="AF6" s="1961"/>
      <c r="AG6" s="1961"/>
    </row>
    <row r="7" spans="1:36" ht="16.5" hidden="1" x14ac:dyDescent="0.25">
      <c r="A7" s="1961" t="s">
        <v>2</v>
      </c>
      <c r="B7" s="1961"/>
      <c r="C7" s="1961"/>
      <c r="D7" s="1961"/>
      <c r="E7" s="1961"/>
      <c r="F7" s="1961"/>
      <c r="G7" s="1961"/>
      <c r="H7" s="1961"/>
      <c r="I7" s="1961"/>
      <c r="J7" s="1961"/>
      <c r="K7" s="1961"/>
      <c r="L7" s="1961"/>
      <c r="M7" s="1961"/>
      <c r="N7" s="1961"/>
      <c r="O7" s="1961"/>
      <c r="P7" s="1961"/>
      <c r="Q7" s="1961"/>
      <c r="R7" s="1961"/>
      <c r="S7" s="1961"/>
      <c r="T7" s="1961"/>
      <c r="U7" s="1961"/>
      <c r="V7" s="1961"/>
      <c r="W7" s="1961"/>
      <c r="X7" s="1961"/>
      <c r="Y7" s="1961"/>
      <c r="Z7" s="1961"/>
      <c r="AA7" s="1961"/>
      <c r="AB7" s="1961"/>
      <c r="AC7" s="1961"/>
      <c r="AD7" s="1961"/>
      <c r="AE7" s="1961"/>
      <c r="AF7" s="1961"/>
      <c r="AG7" s="1961"/>
    </row>
    <row r="8" spans="1:36" ht="16.5" x14ac:dyDescent="0.25">
      <c r="A8" s="440"/>
      <c r="B8" s="440"/>
      <c r="C8" s="440"/>
      <c r="D8" s="440"/>
      <c r="E8" s="440"/>
      <c r="F8" s="440"/>
      <c r="G8" s="440"/>
      <c r="H8" s="440"/>
      <c r="I8" s="440"/>
      <c r="J8" s="440"/>
      <c r="K8" s="440"/>
      <c r="L8" s="440"/>
      <c r="M8" s="440"/>
      <c r="N8" s="440"/>
      <c r="O8" s="442" t="s">
        <v>1875</v>
      </c>
      <c r="P8" s="442"/>
      <c r="Q8" s="441"/>
      <c r="R8" s="441"/>
      <c r="S8" s="469" t="s">
        <v>1875</v>
      </c>
      <c r="T8" s="469"/>
      <c r="U8" s="441"/>
      <c r="V8" s="441"/>
      <c r="W8" s="441"/>
      <c r="X8" s="441"/>
      <c r="Y8" s="441"/>
      <c r="Z8" s="441"/>
      <c r="AA8" s="441"/>
      <c r="AB8" s="441"/>
      <c r="AC8" s="441"/>
      <c r="AD8" s="441"/>
      <c r="AE8" s="441"/>
      <c r="AF8" s="441"/>
      <c r="AG8" s="440"/>
    </row>
    <row r="9" spans="1:36" ht="16.5" x14ac:dyDescent="0.25">
      <c r="A9" s="2007" t="s">
        <v>6</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1962"/>
      <c r="Z9" s="1962"/>
      <c r="AA9" s="1962"/>
      <c r="AB9" s="1962"/>
      <c r="AC9" s="1962"/>
      <c r="AD9" s="1962"/>
      <c r="AE9" s="1962"/>
      <c r="AF9" s="1962"/>
      <c r="AG9" s="2007"/>
    </row>
    <row r="10" spans="1:36" ht="41.25" customHeight="1" x14ac:dyDescent="0.25">
      <c r="A10" s="2002" t="s">
        <v>7</v>
      </c>
      <c r="B10" s="2002" t="s">
        <v>8</v>
      </c>
      <c r="C10" s="2002" t="s">
        <v>9</v>
      </c>
      <c r="D10" s="2002" t="s">
        <v>10</v>
      </c>
      <c r="E10" s="2002" t="s">
        <v>11</v>
      </c>
      <c r="F10" s="2002" t="s">
        <v>12</v>
      </c>
      <c r="G10" s="2002"/>
      <c r="H10" s="2002"/>
      <c r="I10" s="2002" t="s">
        <v>1874</v>
      </c>
      <c r="J10" s="2002"/>
      <c r="K10" s="2002" t="s">
        <v>13</v>
      </c>
      <c r="L10" s="2002"/>
      <c r="M10" s="2003" t="s">
        <v>14</v>
      </c>
      <c r="N10" s="2003"/>
      <c r="O10" s="2002" t="s">
        <v>907</v>
      </c>
      <c r="P10" s="2002"/>
      <c r="Q10" s="1998" t="s">
        <v>2079</v>
      </c>
      <c r="R10" s="1998"/>
      <c r="S10" s="1999" t="s">
        <v>2078</v>
      </c>
      <c r="T10" s="1999"/>
      <c r="U10" s="1997" t="s">
        <v>15</v>
      </c>
      <c r="V10" s="1997"/>
      <c r="W10" s="1997" t="s">
        <v>16</v>
      </c>
      <c r="X10" s="1997"/>
      <c r="Y10" s="1960" t="s">
        <v>17</v>
      </c>
      <c r="Z10" s="1960"/>
      <c r="AA10" s="1960" t="s">
        <v>18</v>
      </c>
      <c r="AB10" s="1960"/>
      <c r="AC10" s="1960" t="s">
        <v>19</v>
      </c>
      <c r="AD10" s="1960"/>
      <c r="AE10" s="1960" t="s">
        <v>21</v>
      </c>
      <c r="AF10" s="1960"/>
      <c r="AG10" s="2002" t="s">
        <v>1870</v>
      </c>
    </row>
    <row r="11" spans="1:36" ht="35.25" customHeight="1" x14ac:dyDescent="0.25">
      <c r="A11" s="2002"/>
      <c r="B11" s="2002"/>
      <c r="C11" s="2002"/>
      <c r="D11" s="2002"/>
      <c r="E11" s="2002"/>
      <c r="F11" s="2002"/>
      <c r="G11" s="2002"/>
      <c r="H11" s="2002"/>
      <c r="I11" s="2002"/>
      <c r="J11" s="2002"/>
      <c r="K11" s="2002"/>
      <c r="L11" s="2002"/>
      <c r="M11" s="2001"/>
      <c r="N11" s="2001"/>
      <c r="O11" s="2002"/>
      <c r="P11" s="2002"/>
      <c r="Q11" s="1998"/>
      <c r="R11" s="1998"/>
      <c r="S11" s="1999"/>
      <c r="T11" s="1999"/>
      <c r="U11" s="1997"/>
      <c r="V11" s="1997"/>
      <c r="W11" s="1997"/>
      <c r="X11" s="1997"/>
      <c r="Y11" s="1946"/>
      <c r="Z11" s="1946"/>
      <c r="AA11" s="1946"/>
      <c r="AB11" s="1946"/>
      <c r="AC11" s="1946"/>
      <c r="AD11" s="1946"/>
      <c r="AE11" s="1946"/>
      <c r="AF11" s="1946"/>
      <c r="AG11" s="2002"/>
    </row>
    <row r="12" spans="1:36" ht="16.5" customHeight="1" x14ac:dyDescent="0.25">
      <c r="A12" s="2002"/>
      <c r="B12" s="2002"/>
      <c r="C12" s="2002"/>
      <c r="D12" s="2002"/>
      <c r="E12" s="2002"/>
      <c r="F12" s="2002" t="s">
        <v>32</v>
      </c>
      <c r="G12" s="2002" t="s">
        <v>1869</v>
      </c>
      <c r="H12" s="2002"/>
      <c r="I12" s="2002" t="s">
        <v>34</v>
      </c>
      <c r="J12" s="2002" t="s">
        <v>35</v>
      </c>
      <c r="K12" s="2002" t="s">
        <v>34</v>
      </c>
      <c r="L12" s="2002" t="s">
        <v>35</v>
      </c>
      <c r="M12" s="2001" t="s">
        <v>34</v>
      </c>
      <c r="N12" s="2001" t="s">
        <v>35</v>
      </c>
      <c r="O12" s="2002" t="s">
        <v>34</v>
      </c>
      <c r="P12" s="2002" t="s">
        <v>35</v>
      </c>
      <c r="Q12" s="1998" t="s">
        <v>36</v>
      </c>
      <c r="R12" s="1998" t="s">
        <v>37</v>
      </c>
      <c r="S12" s="1999" t="s">
        <v>34</v>
      </c>
      <c r="T12" s="1999" t="s">
        <v>35</v>
      </c>
      <c r="U12" s="2000" t="s">
        <v>34</v>
      </c>
      <c r="V12" s="1997" t="s">
        <v>35</v>
      </c>
      <c r="W12" s="1997" t="s">
        <v>34</v>
      </c>
      <c r="X12" s="1997" t="s">
        <v>35</v>
      </c>
      <c r="Y12" s="1946" t="s">
        <v>34</v>
      </c>
      <c r="Z12" s="1946" t="s">
        <v>35</v>
      </c>
      <c r="AA12" s="1946" t="s">
        <v>34</v>
      </c>
      <c r="AB12" s="1946" t="s">
        <v>35</v>
      </c>
      <c r="AC12" s="1946" t="s">
        <v>34</v>
      </c>
      <c r="AD12" s="1946" t="s">
        <v>35</v>
      </c>
      <c r="AE12" s="1946" t="s">
        <v>34</v>
      </c>
      <c r="AF12" s="1946" t="s">
        <v>35</v>
      </c>
      <c r="AG12" s="2002"/>
    </row>
    <row r="13" spans="1:36" ht="15" customHeight="1" x14ac:dyDescent="0.25">
      <c r="A13" s="2002"/>
      <c r="B13" s="2002"/>
      <c r="C13" s="2002"/>
      <c r="D13" s="2002"/>
      <c r="E13" s="2002"/>
      <c r="F13" s="2002"/>
      <c r="G13" s="2002" t="s">
        <v>34</v>
      </c>
      <c r="H13" s="2002" t="s">
        <v>35</v>
      </c>
      <c r="I13" s="2002"/>
      <c r="J13" s="2002"/>
      <c r="K13" s="2002"/>
      <c r="L13" s="2002"/>
      <c r="M13" s="2001"/>
      <c r="N13" s="2001"/>
      <c r="O13" s="2002"/>
      <c r="P13" s="2002"/>
      <c r="Q13" s="1998"/>
      <c r="R13" s="1998"/>
      <c r="S13" s="1999"/>
      <c r="T13" s="1999"/>
      <c r="U13" s="2000"/>
      <c r="V13" s="1997"/>
      <c r="W13" s="1997"/>
      <c r="X13" s="1997"/>
      <c r="Y13" s="1946"/>
      <c r="Z13" s="1946"/>
      <c r="AA13" s="1946"/>
      <c r="AB13" s="1946"/>
      <c r="AC13" s="1946"/>
      <c r="AD13" s="1946"/>
      <c r="AE13" s="1946"/>
      <c r="AF13" s="1946"/>
      <c r="AG13" s="2002"/>
    </row>
    <row r="14" spans="1:36" ht="22.5" customHeight="1" x14ac:dyDescent="0.25">
      <c r="A14" s="2002"/>
      <c r="B14" s="2002"/>
      <c r="C14" s="2002"/>
      <c r="D14" s="2002"/>
      <c r="E14" s="2002"/>
      <c r="F14" s="2002"/>
      <c r="G14" s="2002"/>
      <c r="H14" s="2002"/>
      <c r="I14" s="2002"/>
      <c r="J14" s="2002"/>
      <c r="K14" s="2002"/>
      <c r="L14" s="2002"/>
      <c r="M14" s="2001"/>
      <c r="N14" s="2001"/>
      <c r="O14" s="2002"/>
      <c r="P14" s="2002"/>
      <c r="Q14" s="1998"/>
      <c r="R14" s="1998"/>
      <c r="S14" s="1999"/>
      <c r="T14" s="1999"/>
      <c r="U14" s="2000"/>
      <c r="V14" s="1997"/>
      <c r="W14" s="1997"/>
      <c r="X14" s="1997"/>
      <c r="Y14" s="1946"/>
      <c r="Z14" s="1946"/>
      <c r="AA14" s="1946"/>
      <c r="AB14" s="1946"/>
      <c r="AC14" s="1946"/>
      <c r="AD14" s="1946"/>
      <c r="AE14" s="1946"/>
      <c r="AF14" s="1946"/>
      <c r="AG14" s="2002"/>
    </row>
    <row r="15" spans="1:36" ht="16.5" x14ac:dyDescent="0.25">
      <c r="A15" s="662">
        <v>1</v>
      </c>
      <c r="B15" s="662">
        <v>2</v>
      </c>
      <c r="C15" s="662">
        <v>3</v>
      </c>
      <c r="D15" s="662">
        <v>4</v>
      </c>
      <c r="E15" s="662">
        <v>5</v>
      </c>
      <c r="F15" s="662">
        <v>6</v>
      </c>
      <c r="G15" s="662">
        <v>7</v>
      </c>
      <c r="H15" s="662">
        <v>8</v>
      </c>
      <c r="I15" s="662">
        <v>9</v>
      </c>
      <c r="J15" s="662">
        <v>10</v>
      </c>
      <c r="K15" s="662">
        <v>11</v>
      </c>
      <c r="L15" s="662">
        <v>12</v>
      </c>
      <c r="M15" s="435">
        <v>9</v>
      </c>
      <c r="N15" s="435">
        <v>10</v>
      </c>
      <c r="O15" s="662">
        <v>13</v>
      </c>
      <c r="P15" s="662">
        <v>14</v>
      </c>
      <c r="Q15" s="662">
        <v>13</v>
      </c>
      <c r="R15" s="662">
        <v>14</v>
      </c>
      <c r="S15" s="662">
        <v>13</v>
      </c>
      <c r="T15" s="662">
        <v>14</v>
      </c>
      <c r="U15" s="662">
        <v>15</v>
      </c>
      <c r="V15" s="662">
        <v>16</v>
      </c>
      <c r="W15" s="662">
        <v>17</v>
      </c>
      <c r="X15" s="662">
        <v>18</v>
      </c>
      <c r="Y15" s="435"/>
      <c r="Z15" s="435"/>
      <c r="AA15" s="435"/>
      <c r="AB15" s="435"/>
      <c r="AC15" s="435"/>
      <c r="AD15" s="435"/>
      <c r="AE15" s="435"/>
      <c r="AF15" s="435"/>
      <c r="AG15" s="662">
        <v>19</v>
      </c>
      <c r="AH15" s="165">
        <v>1</v>
      </c>
    </row>
    <row r="16" spans="1:36" ht="26.25" customHeight="1" x14ac:dyDescent="0.25">
      <c r="A16" s="662"/>
      <c r="B16" s="663" t="s">
        <v>38</v>
      </c>
      <c r="C16" s="662"/>
      <c r="D16" s="662"/>
      <c r="E16" s="662"/>
      <c r="F16" s="662"/>
      <c r="G16" s="664">
        <f t="shared" ref="G16:X16" si="0">G18+G316</f>
        <v>345435</v>
      </c>
      <c r="H16" s="664">
        <f t="shared" si="0"/>
        <v>341054</v>
      </c>
      <c r="I16" s="664">
        <f t="shared" si="0"/>
        <v>53200</v>
      </c>
      <c r="J16" s="664">
        <f t="shared" si="0"/>
        <v>53200</v>
      </c>
      <c r="K16" s="664">
        <f t="shared" si="0"/>
        <v>53200</v>
      </c>
      <c r="L16" s="664">
        <f t="shared" si="0"/>
        <v>53200</v>
      </c>
      <c r="M16" s="846">
        <f t="shared" si="0"/>
        <v>94940</v>
      </c>
      <c r="N16" s="846">
        <f t="shared" si="0"/>
        <v>94940</v>
      </c>
      <c r="O16" s="664">
        <f t="shared" si="0"/>
        <v>252665</v>
      </c>
      <c r="P16" s="664">
        <f t="shared" si="0"/>
        <v>252665</v>
      </c>
      <c r="Q16" s="664">
        <f t="shared" si="0"/>
        <v>50272</v>
      </c>
      <c r="R16" s="664">
        <f t="shared" si="0"/>
        <v>50272</v>
      </c>
      <c r="S16" s="664">
        <f t="shared" si="0"/>
        <v>256115</v>
      </c>
      <c r="T16" s="664">
        <f t="shared" si="0"/>
        <v>256115</v>
      </c>
      <c r="U16" s="664">
        <f t="shared" si="0"/>
        <v>0</v>
      </c>
      <c r="V16" s="664">
        <f t="shared" si="0"/>
        <v>0</v>
      </c>
      <c r="W16" s="664">
        <f t="shared" si="0"/>
        <v>22470</v>
      </c>
      <c r="X16" s="664">
        <f t="shared" si="0"/>
        <v>22470</v>
      </c>
      <c r="Y16" s="436"/>
      <c r="Z16" s="436"/>
      <c r="AA16" s="436"/>
      <c r="AB16" s="436"/>
      <c r="AC16" s="436"/>
      <c r="AD16" s="436"/>
      <c r="AE16" s="436"/>
      <c r="AF16" s="436"/>
      <c r="AG16" s="662"/>
      <c r="AH16" s="173">
        <v>1</v>
      </c>
      <c r="AJ16" s="434"/>
    </row>
    <row r="17" spans="1:35" s="362" customFormat="1" ht="33" hidden="1" x14ac:dyDescent="0.25">
      <c r="A17" s="541" t="s">
        <v>39</v>
      </c>
      <c r="B17" s="542" t="s">
        <v>1868</v>
      </c>
      <c r="C17" s="543"/>
      <c r="D17" s="543"/>
      <c r="E17" s="543"/>
      <c r="F17" s="543"/>
      <c r="G17" s="544"/>
      <c r="H17" s="544"/>
      <c r="I17" s="544"/>
      <c r="J17" s="544"/>
      <c r="K17" s="544"/>
      <c r="L17" s="544"/>
      <c r="M17" s="544">
        <f>N17</f>
        <v>1230000</v>
      </c>
      <c r="N17" s="544">
        <v>1230000</v>
      </c>
      <c r="O17" s="545">
        <f>P17</f>
        <v>1230000</v>
      </c>
      <c r="P17" s="546">
        <f>N17</f>
        <v>1230000</v>
      </c>
      <c r="Q17" s="544" t="e">
        <f>R17</f>
        <v>#REF!</v>
      </c>
      <c r="R17" s="547" t="e">
        <f>#REF!</f>
        <v>#REF!</v>
      </c>
      <c r="S17" s="548">
        <f>T17</f>
        <v>1230000</v>
      </c>
      <c r="T17" s="549">
        <f>P17</f>
        <v>1230000</v>
      </c>
      <c r="U17" s="544"/>
      <c r="V17" s="544"/>
      <c r="W17" s="544"/>
      <c r="X17" s="544"/>
      <c r="Y17" s="365"/>
      <c r="Z17" s="365"/>
      <c r="AA17" s="365"/>
      <c r="AB17" s="365"/>
      <c r="AC17" s="365"/>
      <c r="AD17" s="365"/>
      <c r="AE17" s="365"/>
      <c r="AF17" s="365"/>
      <c r="AG17" s="550"/>
      <c r="AH17" s="173">
        <f>IF(T17-P17=0,0,1)</f>
        <v>0</v>
      </c>
    </row>
    <row r="18" spans="1:35" s="362" customFormat="1" ht="33" x14ac:dyDescent="0.25">
      <c r="A18" s="621" t="s">
        <v>41</v>
      </c>
      <c r="B18" s="622" t="s">
        <v>1867</v>
      </c>
      <c r="C18" s="623"/>
      <c r="D18" s="623"/>
      <c r="E18" s="623"/>
      <c r="F18" s="623"/>
      <c r="G18" s="624">
        <f t="shared" ref="G18:L18" si="1">G19+G246</f>
        <v>199866</v>
      </c>
      <c r="H18" s="624">
        <f t="shared" si="1"/>
        <v>199866</v>
      </c>
      <c r="I18" s="624">
        <f t="shared" si="1"/>
        <v>0</v>
      </c>
      <c r="J18" s="624">
        <f t="shared" si="1"/>
        <v>0</v>
      </c>
      <c r="K18" s="624">
        <f t="shared" si="1"/>
        <v>0</v>
      </c>
      <c r="L18" s="624">
        <f t="shared" si="1"/>
        <v>0</v>
      </c>
      <c r="M18" s="624">
        <f t="shared" ref="M18:N18" si="2">M246</f>
        <v>26690</v>
      </c>
      <c r="N18" s="624">
        <f t="shared" si="2"/>
        <v>26690</v>
      </c>
      <c r="O18" s="624">
        <f t="shared" ref="O18:S18" si="3">O19+O246</f>
        <v>142660</v>
      </c>
      <c r="P18" s="624">
        <f t="shared" si="3"/>
        <v>142660</v>
      </c>
      <c r="Q18" s="624">
        <f>Q19+Q246</f>
        <v>41047</v>
      </c>
      <c r="R18" s="624">
        <f t="shared" si="3"/>
        <v>41047</v>
      </c>
      <c r="S18" s="624">
        <f t="shared" si="3"/>
        <v>142660</v>
      </c>
      <c r="T18" s="624">
        <f>T19+T246</f>
        <v>142660</v>
      </c>
      <c r="U18" s="624">
        <f t="shared" ref="U18:X18" si="4">U246</f>
        <v>0</v>
      </c>
      <c r="V18" s="624">
        <f t="shared" si="4"/>
        <v>0</v>
      </c>
      <c r="W18" s="624">
        <f t="shared" si="4"/>
        <v>16000</v>
      </c>
      <c r="X18" s="624">
        <f t="shared" si="4"/>
        <v>16000</v>
      </c>
      <c r="Y18" s="364">
        <f t="shared" ref="Y18:AF18" si="5">Y19+Y107+Y137+Y246</f>
        <v>0</v>
      </c>
      <c r="Z18" s="364">
        <f t="shared" si="5"/>
        <v>0</v>
      </c>
      <c r="AA18" s="364">
        <f t="shared" si="5"/>
        <v>0</v>
      </c>
      <c r="AB18" s="364">
        <f t="shared" si="5"/>
        <v>0</v>
      </c>
      <c r="AC18" s="364">
        <f t="shared" si="5"/>
        <v>0</v>
      </c>
      <c r="AD18" s="364">
        <f t="shared" si="5"/>
        <v>0</v>
      </c>
      <c r="AE18" s="364">
        <f t="shared" si="5"/>
        <v>0</v>
      </c>
      <c r="AF18" s="364">
        <f t="shared" si="5"/>
        <v>0</v>
      </c>
      <c r="AG18" s="625"/>
      <c r="AH18" s="173">
        <v>1</v>
      </c>
      <c r="AI18" s="433"/>
    </row>
    <row r="19" spans="1:35" s="203" customFormat="1" ht="16.5" x14ac:dyDescent="0.25">
      <c r="A19" s="639" t="s">
        <v>43</v>
      </c>
      <c r="B19" s="968" t="s">
        <v>1263</v>
      </c>
      <c r="C19" s="969"/>
      <c r="D19" s="969"/>
      <c r="E19" s="969"/>
      <c r="F19" s="969"/>
      <c r="G19" s="669">
        <f t="shared" ref="G19:L19" si="6">G26</f>
        <v>128975</v>
      </c>
      <c r="H19" s="669">
        <f t="shared" si="6"/>
        <v>128975</v>
      </c>
      <c r="I19" s="669">
        <f t="shared" si="6"/>
        <v>0</v>
      </c>
      <c r="J19" s="669">
        <f t="shared" si="6"/>
        <v>0</v>
      </c>
      <c r="K19" s="669">
        <f t="shared" si="6"/>
        <v>0</v>
      </c>
      <c r="L19" s="669">
        <f t="shared" si="6"/>
        <v>0</v>
      </c>
      <c r="M19" s="551">
        <f>M26</f>
        <v>168340</v>
      </c>
      <c r="N19" s="551">
        <f>N26</f>
        <v>168340</v>
      </c>
      <c r="O19" s="669">
        <f t="shared" ref="O19:S19" si="7">O26</f>
        <v>97660</v>
      </c>
      <c r="P19" s="669">
        <f t="shared" si="7"/>
        <v>97660</v>
      </c>
      <c r="Q19" s="669">
        <f t="shared" si="7"/>
        <v>22347</v>
      </c>
      <c r="R19" s="669">
        <f t="shared" si="7"/>
        <v>22347</v>
      </c>
      <c r="S19" s="669">
        <f t="shared" si="7"/>
        <v>97660</v>
      </c>
      <c r="T19" s="669">
        <f>T26</f>
        <v>97660</v>
      </c>
      <c r="U19" s="551">
        <f t="shared" ref="U19:X19" si="8">U26</f>
        <v>38500</v>
      </c>
      <c r="V19" s="551">
        <f t="shared" si="8"/>
        <v>38500</v>
      </c>
      <c r="W19" s="551">
        <f t="shared" si="8"/>
        <v>33930</v>
      </c>
      <c r="X19" s="551">
        <f t="shared" si="8"/>
        <v>33930</v>
      </c>
      <c r="Y19" s="430">
        <f t="shared" ref="Y19:AF19" si="9">Y20+Y26</f>
        <v>0</v>
      </c>
      <c r="Z19" s="430">
        <f t="shared" si="9"/>
        <v>0</v>
      </c>
      <c r="AA19" s="430">
        <f t="shared" si="9"/>
        <v>0</v>
      </c>
      <c r="AB19" s="430">
        <f t="shared" si="9"/>
        <v>0</v>
      </c>
      <c r="AC19" s="430">
        <f t="shared" si="9"/>
        <v>0</v>
      </c>
      <c r="AD19" s="430">
        <f t="shared" si="9"/>
        <v>0</v>
      </c>
      <c r="AE19" s="430">
        <f t="shared" si="9"/>
        <v>0</v>
      </c>
      <c r="AF19" s="430">
        <f t="shared" si="9"/>
        <v>0</v>
      </c>
      <c r="AG19" s="970"/>
      <c r="AH19" s="173">
        <v>1</v>
      </c>
    </row>
    <row r="20" spans="1:35" ht="51.75" hidden="1" x14ac:dyDescent="0.25">
      <c r="A20" s="592" t="s">
        <v>45</v>
      </c>
      <c r="B20" s="315" t="s">
        <v>46</v>
      </c>
      <c r="C20" s="593"/>
      <c r="D20" s="593"/>
      <c r="E20" s="593"/>
      <c r="F20" s="593"/>
      <c r="G20" s="594">
        <f t="shared" ref="G20:AF20" si="10">G21</f>
        <v>6944</v>
      </c>
      <c r="H20" s="594">
        <f t="shared" si="10"/>
        <v>6944</v>
      </c>
      <c r="I20" s="594">
        <f t="shared" si="10"/>
        <v>4500</v>
      </c>
      <c r="J20" s="594">
        <f t="shared" si="10"/>
        <v>4500</v>
      </c>
      <c r="K20" s="594">
        <f t="shared" si="10"/>
        <v>4500</v>
      </c>
      <c r="L20" s="594">
        <f t="shared" si="10"/>
        <v>4500</v>
      </c>
      <c r="M20" s="191">
        <f t="shared" si="10"/>
        <v>1500</v>
      </c>
      <c r="N20" s="191">
        <f t="shared" si="10"/>
        <v>1500</v>
      </c>
      <c r="O20" s="596">
        <f t="shared" si="10"/>
        <v>1500</v>
      </c>
      <c r="P20" s="596">
        <f t="shared" si="10"/>
        <v>1500</v>
      </c>
      <c r="Q20" s="594">
        <f t="shared" si="10"/>
        <v>0</v>
      </c>
      <c r="R20" s="594">
        <f t="shared" si="10"/>
        <v>0</v>
      </c>
      <c r="S20" s="595">
        <f t="shared" si="10"/>
        <v>1500</v>
      </c>
      <c r="T20" s="595">
        <f t="shared" si="10"/>
        <v>1500</v>
      </c>
      <c r="U20" s="190">
        <f t="shared" si="10"/>
        <v>1500</v>
      </c>
      <c r="V20" s="190">
        <f t="shared" si="10"/>
        <v>1500</v>
      </c>
      <c r="W20" s="190">
        <f t="shared" si="10"/>
        <v>0</v>
      </c>
      <c r="X20" s="190">
        <f t="shared" si="10"/>
        <v>0</v>
      </c>
      <c r="Y20" s="190">
        <f t="shared" si="10"/>
        <v>0</v>
      </c>
      <c r="Z20" s="190">
        <f t="shared" si="10"/>
        <v>0</v>
      </c>
      <c r="AA20" s="190">
        <f t="shared" si="10"/>
        <v>0</v>
      </c>
      <c r="AB20" s="190">
        <f t="shared" si="10"/>
        <v>0</v>
      </c>
      <c r="AC20" s="190">
        <f t="shared" si="10"/>
        <v>0</v>
      </c>
      <c r="AD20" s="190">
        <f t="shared" si="10"/>
        <v>0</v>
      </c>
      <c r="AE20" s="190">
        <f t="shared" si="10"/>
        <v>0</v>
      </c>
      <c r="AF20" s="190">
        <f t="shared" si="10"/>
        <v>0</v>
      </c>
      <c r="AG20" s="824"/>
      <c r="AH20" s="173">
        <f t="shared" ref="AH20:AH82" si="11">IF(T20-P20=0,0,1)</f>
        <v>0</v>
      </c>
    </row>
    <row r="21" spans="1:35" ht="34.5" hidden="1" x14ac:dyDescent="0.25">
      <c r="A21" s="194" t="s">
        <v>47</v>
      </c>
      <c r="B21" s="193" t="s">
        <v>48</v>
      </c>
      <c r="C21" s="192"/>
      <c r="D21" s="192"/>
      <c r="E21" s="192"/>
      <c r="F21" s="192"/>
      <c r="G21" s="191">
        <f t="shared" ref="G21:AF21" si="12">SUM(G23:G25)</f>
        <v>6944</v>
      </c>
      <c r="H21" s="191">
        <f t="shared" si="12"/>
        <v>6944</v>
      </c>
      <c r="I21" s="191">
        <f t="shared" si="12"/>
        <v>4500</v>
      </c>
      <c r="J21" s="191">
        <f t="shared" si="12"/>
        <v>4500</v>
      </c>
      <c r="K21" s="191">
        <f t="shared" si="12"/>
        <v>4500</v>
      </c>
      <c r="L21" s="191">
        <f t="shared" si="12"/>
        <v>4500</v>
      </c>
      <c r="M21" s="191">
        <f t="shared" si="12"/>
        <v>1500</v>
      </c>
      <c r="N21" s="191">
        <f t="shared" si="12"/>
        <v>1500</v>
      </c>
      <c r="O21" s="190">
        <f t="shared" si="12"/>
        <v>1500</v>
      </c>
      <c r="P21" s="190">
        <f t="shared" si="12"/>
        <v>1500</v>
      </c>
      <c r="Q21" s="191">
        <f t="shared" si="12"/>
        <v>0</v>
      </c>
      <c r="R21" s="191">
        <f t="shared" si="12"/>
        <v>0</v>
      </c>
      <c r="S21" s="474">
        <f t="shared" si="12"/>
        <v>1500</v>
      </c>
      <c r="T21" s="474">
        <f t="shared" si="12"/>
        <v>1500</v>
      </c>
      <c r="U21" s="190">
        <f t="shared" si="12"/>
        <v>1500</v>
      </c>
      <c r="V21" s="190">
        <f t="shared" si="12"/>
        <v>1500</v>
      </c>
      <c r="W21" s="190">
        <f t="shared" si="12"/>
        <v>0</v>
      </c>
      <c r="X21" s="190">
        <f t="shared" si="12"/>
        <v>0</v>
      </c>
      <c r="Y21" s="190">
        <f t="shared" si="12"/>
        <v>0</v>
      </c>
      <c r="Z21" s="190">
        <f t="shared" si="12"/>
        <v>0</v>
      </c>
      <c r="AA21" s="190">
        <f t="shared" si="12"/>
        <v>0</v>
      </c>
      <c r="AB21" s="190">
        <f t="shared" si="12"/>
        <v>0</v>
      </c>
      <c r="AC21" s="190">
        <f t="shared" si="12"/>
        <v>0</v>
      </c>
      <c r="AD21" s="190">
        <f t="shared" si="12"/>
        <v>0</v>
      </c>
      <c r="AE21" s="190">
        <f t="shared" si="12"/>
        <v>0</v>
      </c>
      <c r="AF21" s="190">
        <f t="shared" si="12"/>
        <v>0</v>
      </c>
      <c r="AG21" s="428"/>
      <c r="AH21" s="173">
        <f t="shared" si="11"/>
        <v>0</v>
      </c>
    </row>
    <row r="22" spans="1:35" ht="17.25" hidden="1" x14ac:dyDescent="0.25">
      <c r="A22" s="194"/>
      <c r="B22" s="193" t="s">
        <v>49</v>
      </c>
      <c r="C22" s="202"/>
      <c r="D22" s="202"/>
      <c r="E22" s="202"/>
      <c r="F22" s="202"/>
      <c r="G22" s="200"/>
      <c r="H22" s="200"/>
      <c r="I22" s="200"/>
      <c r="J22" s="200"/>
      <c r="K22" s="200"/>
      <c r="L22" s="200"/>
      <c r="M22" s="200"/>
      <c r="N22" s="200"/>
      <c r="O22" s="201"/>
      <c r="P22" s="201"/>
      <c r="Q22" s="200"/>
      <c r="R22" s="200"/>
      <c r="S22" s="475"/>
      <c r="T22" s="475"/>
      <c r="U22" s="200"/>
      <c r="V22" s="200"/>
      <c r="W22" s="200"/>
      <c r="X22" s="200"/>
      <c r="Y22" s="200"/>
      <c r="Z22" s="200"/>
      <c r="AA22" s="200"/>
      <c r="AB22" s="200"/>
      <c r="AC22" s="200"/>
      <c r="AD22" s="200"/>
      <c r="AE22" s="200"/>
      <c r="AF22" s="428"/>
      <c r="AG22" s="428"/>
      <c r="AH22" s="173">
        <f t="shared" si="11"/>
        <v>0</v>
      </c>
    </row>
    <row r="23" spans="1:35" ht="51.75" hidden="1" x14ac:dyDescent="0.25">
      <c r="A23" s="194"/>
      <c r="B23" s="199" t="s">
        <v>50</v>
      </c>
      <c r="C23" s="192"/>
      <c r="D23" s="192"/>
      <c r="E23" s="192"/>
      <c r="F23" s="192"/>
      <c r="G23" s="191"/>
      <c r="H23" s="191"/>
      <c r="I23" s="191"/>
      <c r="J23" s="191"/>
      <c r="K23" s="191"/>
      <c r="L23" s="191"/>
      <c r="M23" s="191"/>
      <c r="N23" s="191"/>
      <c r="O23" s="190"/>
      <c r="P23" s="190"/>
      <c r="Q23" s="191"/>
      <c r="R23" s="191"/>
      <c r="S23" s="474"/>
      <c r="T23" s="474"/>
      <c r="U23" s="191"/>
      <c r="V23" s="191"/>
      <c r="W23" s="191"/>
      <c r="X23" s="191"/>
      <c r="Y23" s="191"/>
      <c r="Z23" s="191"/>
      <c r="AA23" s="191"/>
      <c r="AB23" s="191"/>
      <c r="AC23" s="191"/>
      <c r="AD23" s="191"/>
      <c r="AE23" s="191"/>
      <c r="AF23" s="190"/>
      <c r="AG23" s="190"/>
      <c r="AH23" s="173">
        <f t="shared" si="11"/>
        <v>0</v>
      </c>
    </row>
    <row r="24" spans="1:35" ht="49.5" hidden="1" x14ac:dyDescent="0.25">
      <c r="A24" s="221">
        <v>1</v>
      </c>
      <c r="B24" s="231" t="s">
        <v>1866</v>
      </c>
      <c r="C24" s="230" t="s">
        <v>1865</v>
      </c>
      <c r="D24" s="188"/>
      <c r="E24" s="230" t="s">
        <v>199</v>
      </c>
      <c r="F24" s="226" t="s">
        <v>1864</v>
      </c>
      <c r="G24" s="212">
        <v>4615</v>
      </c>
      <c r="H24" s="229">
        <f>G24</f>
        <v>4615</v>
      </c>
      <c r="I24" s="212">
        <v>3000</v>
      </c>
      <c r="J24" s="177">
        <f>I24</f>
        <v>3000</v>
      </c>
      <c r="K24" s="212">
        <v>3000</v>
      </c>
      <c r="L24" s="177">
        <f>K24</f>
        <v>3000</v>
      </c>
      <c r="M24" s="212">
        <v>1100</v>
      </c>
      <c r="N24" s="177">
        <f>M24</f>
        <v>1100</v>
      </c>
      <c r="O24" s="183">
        <v>1100</v>
      </c>
      <c r="P24" s="220">
        <f>O24</f>
        <v>1100</v>
      </c>
      <c r="Q24" s="176"/>
      <c r="R24" s="176"/>
      <c r="S24" s="454">
        <v>1100</v>
      </c>
      <c r="T24" s="454">
        <v>1100</v>
      </c>
      <c r="U24" s="177">
        <f>V24</f>
        <v>1100</v>
      </c>
      <c r="V24" s="177">
        <v>1100</v>
      </c>
      <c r="W24" s="177"/>
      <c r="X24" s="177"/>
      <c r="Y24" s="177"/>
      <c r="Z24" s="177"/>
      <c r="AA24" s="177"/>
      <c r="AB24" s="177"/>
      <c r="AC24" s="177"/>
      <c r="AD24" s="177"/>
      <c r="AE24" s="177"/>
      <c r="AF24" s="190"/>
      <c r="AG24" s="190"/>
      <c r="AH24" s="173">
        <f t="shared" si="11"/>
        <v>0</v>
      </c>
    </row>
    <row r="25" spans="1:35" ht="49.5" hidden="1" x14ac:dyDescent="0.25">
      <c r="A25" s="310" t="s">
        <v>56</v>
      </c>
      <c r="B25" s="509" t="s">
        <v>1863</v>
      </c>
      <c r="C25" s="308" t="s">
        <v>1252</v>
      </c>
      <c r="D25" s="308" t="s">
        <v>1862</v>
      </c>
      <c r="E25" s="812" t="s">
        <v>199</v>
      </c>
      <c r="F25" s="537" t="s">
        <v>1861</v>
      </c>
      <c r="G25" s="518">
        <v>2329</v>
      </c>
      <c r="H25" s="519">
        <f>G25</f>
        <v>2329</v>
      </c>
      <c r="I25" s="513">
        <v>1500</v>
      </c>
      <c r="J25" s="813">
        <f>I25</f>
        <v>1500</v>
      </c>
      <c r="K25" s="513">
        <v>1500</v>
      </c>
      <c r="L25" s="813">
        <f>K25</f>
        <v>1500</v>
      </c>
      <c r="M25" s="385">
        <v>400</v>
      </c>
      <c r="N25" s="177">
        <f>M25</f>
        <v>400</v>
      </c>
      <c r="O25" s="509">
        <v>400</v>
      </c>
      <c r="P25" s="534">
        <f>O25</f>
        <v>400</v>
      </c>
      <c r="Q25" s="446"/>
      <c r="R25" s="446"/>
      <c r="S25" s="936">
        <v>400</v>
      </c>
      <c r="T25" s="535">
        <v>400</v>
      </c>
      <c r="U25" s="177">
        <f>V25</f>
        <v>400</v>
      </c>
      <c r="V25" s="177">
        <v>400</v>
      </c>
      <c r="W25" s="217"/>
      <c r="X25" s="217"/>
      <c r="Y25" s="217"/>
      <c r="Z25" s="217"/>
      <c r="AA25" s="217"/>
      <c r="AB25" s="217"/>
      <c r="AC25" s="217"/>
      <c r="AD25" s="217"/>
      <c r="AE25" s="217"/>
      <c r="AF25" s="217"/>
      <c r="AG25" s="814"/>
      <c r="AH25" s="173">
        <f t="shared" si="11"/>
        <v>0</v>
      </c>
    </row>
    <row r="26" spans="1:35" ht="34.5" x14ac:dyDescent="0.25">
      <c r="A26" s="671" t="s">
        <v>85</v>
      </c>
      <c r="B26" s="646" t="s">
        <v>86</v>
      </c>
      <c r="C26" s="647"/>
      <c r="D26" s="647"/>
      <c r="E26" s="647"/>
      <c r="F26" s="647"/>
      <c r="G26" s="648">
        <f>G27</f>
        <v>128975</v>
      </c>
      <c r="H26" s="648">
        <f>H27</f>
        <v>128975</v>
      </c>
      <c r="I26" s="648"/>
      <c r="J26" s="648"/>
      <c r="K26" s="648"/>
      <c r="L26" s="648"/>
      <c r="M26" s="191">
        <f t="shared" ref="M26:AF26" si="13">M27</f>
        <v>168340</v>
      </c>
      <c r="N26" s="191">
        <f t="shared" si="13"/>
        <v>168340</v>
      </c>
      <c r="O26" s="648">
        <f t="shared" si="13"/>
        <v>97660</v>
      </c>
      <c r="P26" s="648">
        <f t="shared" si="13"/>
        <v>97660</v>
      </c>
      <c r="Q26" s="648">
        <f t="shared" si="13"/>
        <v>22347</v>
      </c>
      <c r="R26" s="648">
        <f t="shared" si="13"/>
        <v>22347</v>
      </c>
      <c r="S26" s="971">
        <f t="shared" si="13"/>
        <v>97660</v>
      </c>
      <c r="T26" s="971">
        <f t="shared" si="13"/>
        <v>97660</v>
      </c>
      <c r="U26" s="190">
        <f t="shared" si="13"/>
        <v>38500</v>
      </c>
      <c r="V26" s="190">
        <f t="shared" si="13"/>
        <v>38500</v>
      </c>
      <c r="W26" s="190">
        <f t="shared" si="13"/>
        <v>33930</v>
      </c>
      <c r="X26" s="190">
        <f t="shared" si="13"/>
        <v>33930</v>
      </c>
      <c r="Y26" s="190">
        <f t="shared" si="13"/>
        <v>0</v>
      </c>
      <c r="Z26" s="190">
        <f t="shared" si="13"/>
        <v>0</v>
      </c>
      <c r="AA26" s="190">
        <f t="shared" si="13"/>
        <v>0</v>
      </c>
      <c r="AB26" s="190">
        <f t="shared" si="13"/>
        <v>0</v>
      </c>
      <c r="AC26" s="190">
        <f t="shared" si="13"/>
        <v>0</v>
      </c>
      <c r="AD26" s="190">
        <f t="shared" si="13"/>
        <v>0</v>
      </c>
      <c r="AE26" s="190">
        <f t="shared" si="13"/>
        <v>0</v>
      </c>
      <c r="AF26" s="190">
        <f t="shared" si="13"/>
        <v>0</v>
      </c>
      <c r="AG26" s="649"/>
      <c r="AH26" s="173">
        <v>1</v>
      </c>
    </row>
    <row r="27" spans="1:35" ht="51.75" x14ac:dyDescent="0.25">
      <c r="A27" s="645" t="s">
        <v>87</v>
      </c>
      <c r="B27" s="646" t="s">
        <v>88</v>
      </c>
      <c r="C27" s="647"/>
      <c r="D27" s="647"/>
      <c r="E27" s="647"/>
      <c r="F27" s="647"/>
      <c r="G27" s="648">
        <f t="shared" ref="G27:H27" si="14">G48+SUM(G50:G54)+G57+G62+SUM(G72:G77)+G79+SUM(G82:G85)+G88+SUM(G92:G101)+SUM(G103:G106)</f>
        <v>128975</v>
      </c>
      <c r="H27" s="648">
        <f t="shared" si="14"/>
        <v>128975</v>
      </c>
      <c r="I27" s="648"/>
      <c r="J27" s="648"/>
      <c r="K27" s="648"/>
      <c r="L27" s="648"/>
      <c r="M27" s="191">
        <f t="shared" ref="M27:N27" si="15">SUM(M28:M46)+SUM(M48:M53)+M55+M58+SUM(M62:M74)+SUM(M77:M105)</f>
        <v>168340</v>
      </c>
      <c r="N27" s="191">
        <f t="shared" si="15"/>
        <v>168340</v>
      </c>
      <c r="O27" s="648">
        <f t="shared" ref="O27:P27" si="16">O48+SUM(O50:O54)+O57+O62+SUM(O72:O77)+O79+SUM(O82:O85)+O88+SUM(O92:O101)+SUM(O103:O106)</f>
        <v>97660</v>
      </c>
      <c r="P27" s="648">
        <f t="shared" si="16"/>
        <v>97660</v>
      </c>
      <c r="Q27" s="648">
        <f>Q48+SUM(Q50:Q54)+Q57+Q62+SUM(Q72:Q77)+Q79+SUM(Q82:Q85)+Q88+SUM(Q92:Q101)+SUM(Q103:Q106)</f>
        <v>22347</v>
      </c>
      <c r="R27" s="648">
        <f>R48+SUM(R50:R54)+R57+R62+SUM(R72:R77)+R79+SUM(R82:R85)+R88+SUM(R92:R101)+SUM(R103:R106)</f>
        <v>22347</v>
      </c>
      <c r="S27" s="648">
        <f t="shared" ref="S27:T27" si="17">S48+SUM(S50:S54)+S57+S62+SUM(S72:S77)+S79+SUM(S82:S85)+S88+SUM(S92:S101)+SUM(S103:S106)</f>
        <v>97660</v>
      </c>
      <c r="T27" s="648">
        <f t="shared" si="17"/>
        <v>97660</v>
      </c>
      <c r="U27" s="190">
        <f t="shared" ref="U27:AF27" si="18">SUM(U28:U105)</f>
        <v>38500</v>
      </c>
      <c r="V27" s="190">
        <f t="shared" si="18"/>
        <v>38500</v>
      </c>
      <c r="W27" s="190">
        <f t="shared" si="18"/>
        <v>33930</v>
      </c>
      <c r="X27" s="190">
        <f t="shared" si="18"/>
        <v>33930</v>
      </c>
      <c r="Y27" s="190">
        <f t="shared" si="18"/>
        <v>0</v>
      </c>
      <c r="Z27" s="190">
        <f t="shared" si="18"/>
        <v>0</v>
      </c>
      <c r="AA27" s="190">
        <f t="shared" si="18"/>
        <v>0</v>
      </c>
      <c r="AB27" s="190">
        <f t="shared" si="18"/>
        <v>0</v>
      </c>
      <c r="AC27" s="190">
        <f t="shared" si="18"/>
        <v>0</v>
      </c>
      <c r="AD27" s="190">
        <f t="shared" si="18"/>
        <v>0</v>
      </c>
      <c r="AE27" s="190">
        <f t="shared" si="18"/>
        <v>0</v>
      </c>
      <c r="AF27" s="190">
        <f t="shared" si="18"/>
        <v>0</v>
      </c>
      <c r="AG27" s="649"/>
      <c r="AH27" s="173">
        <v>1</v>
      </c>
    </row>
    <row r="28" spans="1:35" ht="49.5" hidden="1" x14ac:dyDescent="0.25">
      <c r="A28" s="597">
        <v>1</v>
      </c>
      <c r="B28" s="834" t="s">
        <v>1860</v>
      </c>
      <c r="C28" s="570" t="s">
        <v>1859</v>
      </c>
      <c r="D28" s="570" t="s">
        <v>1858</v>
      </c>
      <c r="E28" s="570" t="s">
        <v>199</v>
      </c>
      <c r="F28" s="830" t="s">
        <v>1857</v>
      </c>
      <c r="G28" s="604">
        <v>14164</v>
      </c>
      <c r="H28" s="573">
        <f t="shared" ref="H28:H50" si="19">G28</f>
        <v>14164</v>
      </c>
      <c r="I28" s="574"/>
      <c r="J28" s="574"/>
      <c r="K28" s="574"/>
      <c r="L28" s="574"/>
      <c r="M28" s="177">
        <v>13460</v>
      </c>
      <c r="N28" s="177">
        <f t="shared" ref="N28:N59" si="20">M28</f>
        <v>13460</v>
      </c>
      <c r="O28" s="606">
        <v>20000</v>
      </c>
      <c r="P28" s="606">
        <f t="shared" ref="P28:P34" si="21">O28</f>
        <v>20000</v>
      </c>
      <c r="Q28" s="574">
        <f>S28-O28</f>
        <v>0</v>
      </c>
      <c r="R28" s="574">
        <f>P28-T28</f>
        <v>0</v>
      </c>
      <c r="S28" s="608">
        <v>20000</v>
      </c>
      <c r="T28" s="608">
        <v>20000</v>
      </c>
      <c r="U28" s="177">
        <f t="shared" ref="U28:U45" si="22">V28</f>
        <v>500</v>
      </c>
      <c r="V28" s="177">
        <v>500</v>
      </c>
      <c r="W28" s="177">
        <f t="shared" ref="W28:W47" si="23">X28</f>
        <v>12300</v>
      </c>
      <c r="X28" s="177">
        <v>12300</v>
      </c>
      <c r="Y28" s="177"/>
      <c r="Z28" s="177"/>
      <c r="AA28" s="177"/>
      <c r="AB28" s="177"/>
      <c r="AC28" s="177"/>
      <c r="AD28" s="177"/>
      <c r="AE28" s="177"/>
      <c r="AF28" s="177"/>
      <c r="AG28" s="954"/>
      <c r="AH28" s="173">
        <f t="shared" si="11"/>
        <v>0</v>
      </c>
    </row>
    <row r="29" spans="1:35" ht="49.5" hidden="1" x14ac:dyDescent="0.25">
      <c r="A29" s="221">
        <v>2</v>
      </c>
      <c r="B29" s="231" t="s">
        <v>1856</v>
      </c>
      <c r="C29" s="230" t="s">
        <v>1252</v>
      </c>
      <c r="D29" s="230" t="s">
        <v>1855</v>
      </c>
      <c r="E29" s="230" t="s">
        <v>199</v>
      </c>
      <c r="F29" s="226" t="s">
        <v>1854</v>
      </c>
      <c r="G29" s="212">
        <v>2888</v>
      </c>
      <c r="H29" s="229">
        <f t="shared" si="19"/>
        <v>2888</v>
      </c>
      <c r="I29" s="177"/>
      <c r="J29" s="177"/>
      <c r="K29" s="177"/>
      <c r="L29" s="177"/>
      <c r="M29" s="177">
        <v>2490</v>
      </c>
      <c r="N29" s="177">
        <f t="shared" si="20"/>
        <v>2490</v>
      </c>
      <c r="O29" s="220">
        <v>2350</v>
      </c>
      <c r="P29" s="220">
        <f t="shared" si="21"/>
        <v>2350</v>
      </c>
      <c r="Q29" s="177">
        <f t="shared" ref="Q29:Q91" si="24">S29-O29</f>
        <v>0</v>
      </c>
      <c r="R29" s="177">
        <f t="shared" ref="R29:R92" si="25">P29-T29</f>
        <v>0</v>
      </c>
      <c r="S29" s="454">
        <v>2350</v>
      </c>
      <c r="T29" s="454">
        <v>2350</v>
      </c>
      <c r="U29" s="177">
        <f t="shared" si="22"/>
        <v>2000</v>
      </c>
      <c r="V29" s="177">
        <v>2000</v>
      </c>
      <c r="W29" s="177">
        <f t="shared" si="23"/>
        <v>350</v>
      </c>
      <c r="X29" s="177">
        <v>350</v>
      </c>
      <c r="Y29" s="177"/>
      <c r="Z29" s="177"/>
      <c r="AA29" s="177"/>
      <c r="AB29" s="177"/>
      <c r="AC29" s="177"/>
      <c r="AD29" s="177"/>
      <c r="AE29" s="177"/>
      <c r="AF29" s="177"/>
      <c r="AG29" s="198"/>
      <c r="AH29" s="173">
        <f t="shared" si="11"/>
        <v>0</v>
      </c>
    </row>
    <row r="30" spans="1:35" ht="49.5" hidden="1" x14ac:dyDescent="0.25">
      <c r="A30" s="221">
        <v>3</v>
      </c>
      <c r="B30" s="231" t="s">
        <v>1853</v>
      </c>
      <c r="C30" s="230" t="s">
        <v>1806</v>
      </c>
      <c r="D30" s="230" t="s">
        <v>1852</v>
      </c>
      <c r="E30" s="230" t="s">
        <v>199</v>
      </c>
      <c r="F30" s="226" t="s">
        <v>1851</v>
      </c>
      <c r="G30" s="212">
        <v>2842</v>
      </c>
      <c r="H30" s="229">
        <f t="shared" si="19"/>
        <v>2842</v>
      </c>
      <c r="I30" s="177"/>
      <c r="J30" s="177"/>
      <c r="K30" s="177"/>
      <c r="L30" s="177"/>
      <c r="M30" s="177">
        <v>2340</v>
      </c>
      <c r="N30" s="177">
        <f t="shared" si="20"/>
        <v>2340</v>
      </c>
      <c r="O30" s="220">
        <v>2640</v>
      </c>
      <c r="P30" s="220">
        <f t="shared" si="21"/>
        <v>2640</v>
      </c>
      <c r="Q30" s="177">
        <f t="shared" si="24"/>
        <v>0</v>
      </c>
      <c r="R30" s="177">
        <f t="shared" si="25"/>
        <v>0</v>
      </c>
      <c r="S30" s="454">
        <v>2640</v>
      </c>
      <c r="T30" s="454">
        <v>2640</v>
      </c>
      <c r="U30" s="177">
        <f t="shared" si="22"/>
        <v>1800</v>
      </c>
      <c r="V30" s="177">
        <v>1800</v>
      </c>
      <c r="W30" s="177">
        <f t="shared" si="23"/>
        <v>841</v>
      </c>
      <c r="X30" s="177">
        <v>841</v>
      </c>
      <c r="Y30" s="177"/>
      <c r="Z30" s="177"/>
      <c r="AA30" s="177"/>
      <c r="AB30" s="177"/>
      <c r="AC30" s="177"/>
      <c r="AD30" s="177"/>
      <c r="AE30" s="177"/>
      <c r="AF30" s="177"/>
      <c r="AG30" s="198"/>
      <c r="AH30" s="173">
        <f t="shared" si="11"/>
        <v>0</v>
      </c>
    </row>
    <row r="31" spans="1:35" ht="49.5" hidden="1" x14ac:dyDescent="0.25">
      <c r="A31" s="221">
        <v>4</v>
      </c>
      <c r="B31" s="231" t="s">
        <v>1850</v>
      </c>
      <c r="C31" s="230" t="s">
        <v>1709</v>
      </c>
      <c r="D31" s="230" t="s">
        <v>1849</v>
      </c>
      <c r="E31" s="230" t="s">
        <v>199</v>
      </c>
      <c r="F31" s="226" t="s">
        <v>1848</v>
      </c>
      <c r="G31" s="212">
        <v>3166</v>
      </c>
      <c r="H31" s="229">
        <f t="shared" si="19"/>
        <v>3166</v>
      </c>
      <c r="I31" s="177"/>
      <c r="J31" s="177"/>
      <c r="K31" s="177"/>
      <c r="L31" s="177"/>
      <c r="M31" s="177">
        <v>2600</v>
      </c>
      <c r="N31" s="177">
        <f t="shared" si="20"/>
        <v>2600</v>
      </c>
      <c r="O31" s="220">
        <v>2300</v>
      </c>
      <c r="P31" s="220">
        <f t="shared" si="21"/>
        <v>2300</v>
      </c>
      <c r="Q31" s="177">
        <f t="shared" si="24"/>
        <v>0</v>
      </c>
      <c r="R31" s="177">
        <f t="shared" si="25"/>
        <v>0</v>
      </c>
      <c r="S31" s="454">
        <v>2300</v>
      </c>
      <c r="T31" s="454">
        <v>2300</v>
      </c>
      <c r="U31" s="177">
        <f t="shared" si="22"/>
        <v>2300</v>
      </c>
      <c r="V31" s="177">
        <v>2300</v>
      </c>
      <c r="W31" s="177">
        <f t="shared" si="23"/>
        <v>0</v>
      </c>
      <c r="X31" s="177">
        <v>0</v>
      </c>
      <c r="Y31" s="177"/>
      <c r="Z31" s="177"/>
      <c r="AA31" s="177"/>
      <c r="AB31" s="177"/>
      <c r="AC31" s="177"/>
      <c r="AD31" s="177"/>
      <c r="AE31" s="177"/>
      <c r="AF31" s="177"/>
      <c r="AG31" s="198"/>
      <c r="AH31" s="173">
        <f t="shared" si="11"/>
        <v>0</v>
      </c>
    </row>
    <row r="32" spans="1:35" ht="49.5" hidden="1" x14ac:dyDescent="0.25">
      <c r="A32" s="221">
        <v>5</v>
      </c>
      <c r="B32" s="231" t="s">
        <v>1847</v>
      </c>
      <c r="C32" s="230" t="s">
        <v>1846</v>
      </c>
      <c r="D32" s="230" t="s">
        <v>1845</v>
      </c>
      <c r="E32" s="230" t="s">
        <v>199</v>
      </c>
      <c r="F32" s="226" t="s">
        <v>1844</v>
      </c>
      <c r="G32" s="212">
        <v>2139</v>
      </c>
      <c r="H32" s="229">
        <f t="shared" si="19"/>
        <v>2139</v>
      </c>
      <c r="I32" s="177"/>
      <c r="J32" s="177"/>
      <c r="K32" s="177"/>
      <c r="L32" s="177"/>
      <c r="M32" s="177">
        <v>1900</v>
      </c>
      <c r="N32" s="177">
        <f t="shared" si="20"/>
        <v>1900</v>
      </c>
      <c r="O32" s="220">
        <v>1800</v>
      </c>
      <c r="P32" s="220">
        <f t="shared" si="21"/>
        <v>1800</v>
      </c>
      <c r="Q32" s="177">
        <f t="shared" si="24"/>
        <v>0</v>
      </c>
      <c r="R32" s="177">
        <f t="shared" si="25"/>
        <v>0</v>
      </c>
      <c r="S32" s="454">
        <v>1800</v>
      </c>
      <c r="T32" s="454">
        <v>1800</v>
      </c>
      <c r="U32" s="177">
        <f t="shared" si="22"/>
        <v>1500</v>
      </c>
      <c r="V32" s="177">
        <v>1500</v>
      </c>
      <c r="W32" s="177">
        <f t="shared" si="23"/>
        <v>300</v>
      </c>
      <c r="X32" s="177">
        <v>300</v>
      </c>
      <c r="Y32" s="177"/>
      <c r="Z32" s="177"/>
      <c r="AA32" s="177"/>
      <c r="AB32" s="177"/>
      <c r="AC32" s="177"/>
      <c r="AD32" s="177"/>
      <c r="AE32" s="177"/>
      <c r="AF32" s="177"/>
      <c r="AG32" s="198"/>
      <c r="AH32" s="173">
        <f t="shared" si="11"/>
        <v>0</v>
      </c>
    </row>
    <row r="33" spans="1:34" ht="49.5" hidden="1" x14ac:dyDescent="0.25">
      <c r="A33" s="221">
        <v>6</v>
      </c>
      <c r="B33" s="231" t="s">
        <v>1843</v>
      </c>
      <c r="C33" s="230" t="s">
        <v>1709</v>
      </c>
      <c r="D33" s="230" t="s">
        <v>1842</v>
      </c>
      <c r="E33" s="230" t="s">
        <v>199</v>
      </c>
      <c r="F33" s="226" t="s">
        <v>1841</v>
      </c>
      <c r="G33" s="212">
        <v>5646</v>
      </c>
      <c r="H33" s="229">
        <f t="shared" si="19"/>
        <v>5646</v>
      </c>
      <c r="I33" s="177"/>
      <c r="J33" s="177"/>
      <c r="K33" s="177"/>
      <c r="L33" s="177"/>
      <c r="M33" s="177">
        <v>5000</v>
      </c>
      <c r="N33" s="177">
        <f t="shared" si="20"/>
        <v>5000</v>
      </c>
      <c r="O33" s="220">
        <v>4750</v>
      </c>
      <c r="P33" s="220">
        <f t="shared" si="21"/>
        <v>4750</v>
      </c>
      <c r="Q33" s="177">
        <f t="shared" si="24"/>
        <v>0</v>
      </c>
      <c r="R33" s="177">
        <f t="shared" si="25"/>
        <v>0</v>
      </c>
      <c r="S33" s="454">
        <v>4750</v>
      </c>
      <c r="T33" s="454">
        <v>4750</v>
      </c>
      <c r="U33" s="177">
        <f t="shared" si="22"/>
        <v>3500</v>
      </c>
      <c r="V33" s="177">
        <v>3500</v>
      </c>
      <c r="W33" s="177">
        <f t="shared" si="23"/>
        <v>1248</v>
      </c>
      <c r="X33" s="177">
        <v>1248</v>
      </c>
      <c r="Y33" s="177"/>
      <c r="Z33" s="177"/>
      <c r="AA33" s="177"/>
      <c r="AB33" s="177"/>
      <c r="AC33" s="177"/>
      <c r="AD33" s="177"/>
      <c r="AE33" s="177"/>
      <c r="AF33" s="177"/>
      <c r="AG33" s="198"/>
      <c r="AH33" s="173">
        <f t="shared" si="11"/>
        <v>0</v>
      </c>
    </row>
    <row r="34" spans="1:34" ht="49.5" hidden="1" x14ac:dyDescent="0.25">
      <c r="A34" s="221">
        <v>7</v>
      </c>
      <c r="B34" s="231" t="s">
        <v>1840</v>
      </c>
      <c r="C34" s="230" t="s">
        <v>1709</v>
      </c>
      <c r="D34" s="230" t="s">
        <v>1839</v>
      </c>
      <c r="E34" s="230" t="s">
        <v>199</v>
      </c>
      <c r="F34" s="226" t="s">
        <v>1838</v>
      </c>
      <c r="G34" s="212">
        <v>4084</v>
      </c>
      <c r="H34" s="229">
        <f t="shared" si="19"/>
        <v>4084</v>
      </c>
      <c r="I34" s="177"/>
      <c r="J34" s="177"/>
      <c r="K34" s="177"/>
      <c r="L34" s="177"/>
      <c r="M34" s="177">
        <v>3620</v>
      </c>
      <c r="N34" s="177">
        <f t="shared" si="20"/>
        <v>3620</v>
      </c>
      <c r="O34" s="220">
        <v>3400</v>
      </c>
      <c r="P34" s="220">
        <f t="shared" si="21"/>
        <v>3400</v>
      </c>
      <c r="Q34" s="177">
        <f t="shared" si="24"/>
        <v>0</v>
      </c>
      <c r="R34" s="177">
        <f t="shared" si="25"/>
        <v>0</v>
      </c>
      <c r="S34" s="454">
        <v>3400</v>
      </c>
      <c r="T34" s="454">
        <v>3400</v>
      </c>
      <c r="U34" s="177">
        <f t="shared" si="22"/>
        <v>3400</v>
      </c>
      <c r="V34" s="177">
        <v>3400</v>
      </c>
      <c r="W34" s="177">
        <f t="shared" si="23"/>
        <v>0</v>
      </c>
      <c r="X34" s="177">
        <v>0</v>
      </c>
      <c r="Y34" s="177"/>
      <c r="Z34" s="177"/>
      <c r="AA34" s="177"/>
      <c r="AB34" s="177"/>
      <c r="AC34" s="177"/>
      <c r="AD34" s="177"/>
      <c r="AE34" s="177"/>
      <c r="AF34" s="177"/>
      <c r="AG34" s="185"/>
      <c r="AH34" s="173">
        <f t="shared" si="11"/>
        <v>0</v>
      </c>
    </row>
    <row r="35" spans="1:34" ht="49.5" hidden="1" x14ac:dyDescent="0.25">
      <c r="A35" s="221">
        <v>8</v>
      </c>
      <c r="B35" s="231" t="s">
        <v>1837</v>
      </c>
      <c r="C35" s="230" t="s">
        <v>1709</v>
      </c>
      <c r="D35" s="230" t="s">
        <v>1836</v>
      </c>
      <c r="E35" s="230" t="s">
        <v>199</v>
      </c>
      <c r="F35" s="226" t="s">
        <v>1835</v>
      </c>
      <c r="G35" s="212">
        <v>6480</v>
      </c>
      <c r="H35" s="229">
        <f t="shared" si="19"/>
        <v>6480</v>
      </c>
      <c r="I35" s="177"/>
      <c r="J35" s="177"/>
      <c r="K35" s="177"/>
      <c r="L35" s="177"/>
      <c r="M35" s="177">
        <v>5750</v>
      </c>
      <c r="N35" s="177">
        <f t="shared" si="20"/>
        <v>5750</v>
      </c>
      <c r="O35" s="220">
        <f>P35</f>
        <v>5600</v>
      </c>
      <c r="P35" s="220">
        <v>5600</v>
      </c>
      <c r="Q35" s="177">
        <f t="shared" si="24"/>
        <v>0</v>
      </c>
      <c r="R35" s="177">
        <f t="shared" si="25"/>
        <v>0</v>
      </c>
      <c r="S35" s="454">
        <f>T35</f>
        <v>5600</v>
      </c>
      <c r="T35" s="454">
        <v>5600</v>
      </c>
      <c r="U35" s="177">
        <f t="shared" si="22"/>
        <v>4600</v>
      </c>
      <c r="V35" s="177">
        <v>4600</v>
      </c>
      <c r="W35" s="177">
        <f t="shared" si="23"/>
        <v>1007</v>
      </c>
      <c r="X35" s="177">
        <v>1007</v>
      </c>
      <c r="Y35" s="177"/>
      <c r="Z35" s="177"/>
      <c r="AA35" s="177"/>
      <c r="AB35" s="177"/>
      <c r="AC35" s="177"/>
      <c r="AD35" s="177"/>
      <c r="AE35" s="177"/>
      <c r="AF35" s="177"/>
      <c r="AG35" s="185"/>
      <c r="AH35" s="173">
        <f t="shared" si="11"/>
        <v>0</v>
      </c>
    </row>
    <row r="36" spans="1:34" ht="49.5" hidden="1" x14ac:dyDescent="0.25">
      <c r="A36" s="221">
        <v>9</v>
      </c>
      <c r="B36" s="231" t="s">
        <v>1834</v>
      </c>
      <c r="C36" s="230" t="s">
        <v>1713</v>
      </c>
      <c r="D36" s="230" t="s">
        <v>1833</v>
      </c>
      <c r="E36" s="230" t="s">
        <v>199</v>
      </c>
      <c r="F36" s="226" t="s">
        <v>1832</v>
      </c>
      <c r="G36" s="212">
        <v>2557</v>
      </c>
      <c r="H36" s="229">
        <f t="shared" si="19"/>
        <v>2557</v>
      </c>
      <c r="I36" s="177"/>
      <c r="J36" s="177"/>
      <c r="K36" s="177"/>
      <c r="L36" s="177"/>
      <c r="M36" s="177">
        <v>2270</v>
      </c>
      <c r="N36" s="177">
        <f t="shared" si="20"/>
        <v>2270</v>
      </c>
      <c r="O36" s="220">
        <v>2200</v>
      </c>
      <c r="P36" s="220">
        <f t="shared" ref="P36:P48" si="26">O36</f>
        <v>2200</v>
      </c>
      <c r="Q36" s="177">
        <f t="shared" si="24"/>
        <v>0</v>
      </c>
      <c r="R36" s="177">
        <f t="shared" si="25"/>
        <v>0</v>
      </c>
      <c r="S36" s="454">
        <v>2200</v>
      </c>
      <c r="T36" s="454">
        <v>2200</v>
      </c>
      <c r="U36" s="177">
        <f t="shared" si="22"/>
        <v>2200</v>
      </c>
      <c r="V36" s="177">
        <v>2200</v>
      </c>
      <c r="W36" s="177">
        <f t="shared" si="23"/>
        <v>0</v>
      </c>
      <c r="X36" s="177">
        <v>0</v>
      </c>
      <c r="Y36" s="177"/>
      <c r="Z36" s="177"/>
      <c r="AA36" s="177"/>
      <c r="AB36" s="177"/>
      <c r="AC36" s="177"/>
      <c r="AD36" s="177"/>
      <c r="AE36" s="177"/>
      <c r="AF36" s="177"/>
      <c r="AG36" s="185"/>
      <c r="AH36" s="173">
        <f t="shared" si="11"/>
        <v>0</v>
      </c>
    </row>
    <row r="37" spans="1:34" ht="49.5" hidden="1" x14ac:dyDescent="0.25">
      <c r="A37" s="221">
        <v>10</v>
      </c>
      <c r="B37" s="231" t="s">
        <v>1831</v>
      </c>
      <c r="C37" s="230" t="s">
        <v>1713</v>
      </c>
      <c r="D37" s="230" t="s">
        <v>1830</v>
      </c>
      <c r="E37" s="230" t="s">
        <v>199</v>
      </c>
      <c r="F37" s="226" t="s">
        <v>1829</v>
      </c>
      <c r="G37" s="212">
        <v>7209</v>
      </c>
      <c r="H37" s="229">
        <f t="shared" si="19"/>
        <v>7209</v>
      </c>
      <c r="I37" s="426"/>
      <c r="J37" s="177"/>
      <c r="K37" s="177"/>
      <c r="L37" s="177"/>
      <c r="M37" s="177">
        <v>6400</v>
      </c>
      <c r="N37" s="177">
        <f t="shared" si="20"/>
        <v>6400</v>
      </c>
      <c r="O37" s="220">
        <v>6100</v>
      </c>
      <c r="P37" s="220">
        <f t="shared" si="26"/>
        <v>6100</v>
      </c>
      <c r="Q37" s="177">
        <f t="shared" si="24"/>
        <v>0</v>
      </c>
      <c r="R37" s="177">
        <f t="shared" si="25"/>
        <v>0</v>
      </c>
      <c r="S37" s="454">
        <v>6100</v>
      </c>
      <c r="T37" s="454">
        <v>6100</v>
      </c>
      <c r="U37" s="177">
        <f t="shared" si="22"/>
        <v>5000</v>
      </c>
      <c r="V37" s="177">
        <v>5000</v>
      </c>
      <c r="W37" s="177">
        <f t="shared" si="23"/>
        <v>1100</v>
      </c>
      <c r="X37" s="177">
        <v>1100</v>
      </c>
      <c r="Y37" s="177"/>
      <c r="Z37" s="177"/>
      <c r="AA37" s="177"/>
      <c r="AB37" s="177"/>
      <c r="AC37" s="177"/>
      <c r="AD37" s="177"/>
      <c r="AE37" s="177"/>
      <c r="AF37" s="177"/>
      <c r="AG37" s="185"/>
      <c r="AH37" s="173">
        <f t="shared" si="11"/>
        <v>0</v>
      </c>
    </row>
    <row r="38" spans="1:34" ht="49.5" hidden="1" x14ac:dyDescent="0.25">
      <c r="A38" s="221">
        <v>11</v>
      </c>
      <c r="B38" s="231" t="s">
        <v>1828</v>
      </c>
      <c r="C38" s="230" t="s">
        <v>1713</v>
      </c>
      <c r="D38" s="230" t="s">
        <v>1827</v>
      </c>
      <c r="E38" s="226">
        <v>2016</v>
      </c>
      <c r="F38" s="226" t="s">
        <v>1826</v>
      </c>
      <c r="G38" s="385">
        <v>1946</v>
      </c>
      <c r="H38" s="229">
        <f t="shared" si="19"/>
        <v>1946</v>
      </c>
      <c r="I38" s="360"/>
      <c r="J38" s="360"/>
      <c r="K38" s="360"/>
      <c r="L38" s="360"/>
      <c r="M38" s="385">
        <v>1750</v>
      </c>
      <c r="N38" s="177">
        <f t="shared" si="20"/>
        <v>1750</v>
      </c>
      <c r="O38" s="231">
        <v>1650</v>
      </c>
      <c r="P38" s="220">
        <f t="shared" si="26"/>
        <v>1650</v>
      </c>
      <c r="Q38" s="177">
        <f t="shared" si="24"/>
        <v>0</v>
      </c>
      <c r="R38" s="177">
        <f t="shared" si="25"/>
        <v>0</v>
      </c>
      <c r="S38" s="455">
        <v>1650</v>
      </c>
      <c r="T38" s="454">
        <v>1650</v>
      </c>
      <c r="U38" s="177">
        <f t="shared" si="22"/>
        <v>1200</v>
      </c>
      <c r="V38" s="177">
        <v>1200</v>
      </c>
      <c r="W38" s="177">
        <f t="shared" si="23"/>
        <v>448</v>
      </c>
      <c r="X38" s="177">
        <v>448</v>
      </c>
      <c r="Y38" s="177"/>
      <c r="Z38" s="177"/>
      <c r="AA38" s="177"/>
      <c r="AB38" s="177"/>
      <c r="AC38" s="177"/>
      <c r="AD38" s="177"/>
      <c r="AE38" s="177"/>
      <c r="AF38" s="177"/>
      <c r="AG38" s="359"/>
      <c r="AH38" s="173">
        <f t="shared" si="11"/>
        <v>0</v>
      </c>
    </row>
    <row r="39" spans="1:34" ht="115.5" hidden="1" x14ac:dyDescent="0.25">
      <c r="A39" s="221">
        <v>12</v>
      </c>
      <c r="B39" s="231" t="s">
        <v>1825</v>
      </c>
      <c r="C39" s="230" t="s">
        <v>1713</v>
      </c>
      <c r="D39" s="230" t="s">
        <v>1824</v>
      </c>
      <c r="E39" s="230" t="s">
        <v>97</v>
      </c>
      <c r="F39" s="226" t="s">
        <v>1823</v>
      </c>
      <c r="G39" s="212">
        <v>8073</v>
      </c>
      <c r="H39" s="229">
        <f t="shared" si="19"/>
        <v>8073</v>
      </c>
      <c r="I39" s="177"/>
      <c r="J39" s="177"/>
      <c r="K39" s="177"/>
      <c r="L39" s="177"/>
      <c r="M39" s="212">
        <v>7170</v>
      </c>
      <c r="N39" s="177">
        <f t="shared" si="20"/>
        <v>7170</v>
      </c>
      <c r="O39" s="183">
        <v>6880</v>
      </c>
      <c r="P39" s="220">
        <f t="shared" si="26"/>
        <v>6880</v>
      </c>
      <c r="Q39" s="177">
        <f t="shared" si="24"/>
        <v>0</v>
      </c>
      <c r="R39" s="177">
        <f t="shared" si="25"/>
        <v>0</v>
      </c>
      <c r="S39" s="454">
        <v>6880</v>
      </c>
      <c r="T39" s="454">
        <v>6880</v>
      </c>
      <c r="U39" s="177">
        <f t="shared" si="22"/>
        <v>3150</v>
      </c>
      <c r="V39" s="177">
        <v>3150</v>
      </c>
      <c r="W39" s="177">
        <f t="shared" si="23"/>
        <v>3724</v>
      </c>
      <c r="X39" s="177">
        <v>3724</v>
      </c>
      <c r="Y39" s="177"/>
      <c r="Z39" s="177"/>
      <c r="AA39" s="177"/>
      <c r="AB39" s="177"/>
      <c r="AC39" s="177"/>
      <c r="AD39" s="177"/>
      <c r="AE39" s="177"/>
      <c r="AF39" s="177"/>
      <c r="AG39" s="185"/>
      <c r="AH39" s="173">
        <f t="shared" si="11"/>
        <v>0</v>
      </c>
    </row>
    <row r="40" spans="1:34" ht="115.5" hidden="1" x14ac:dyDescent="0.25">
      <c r="A40" s="221">
        <v>13</v>
      </c>
      <c r="B40" s="231" t="s">
        <v>1822</v>
      </c>
      <c r="C40" s="230" t="s">
        <v>1713</v>
      </c>
      <c r="D40" s="230" t="s">
        <v>1821</v>
      </c>
      <c r="E40" s="230" t="s">
        <v>97</v>
      </c>
      <c r="F40" s="226" t="s">
        <v>1820</v>
      </c>
      <c r="G40" s="212">
        <v>4532</v>
      </c>
      <c r="H40" s="229">
        <f t="shared" si="19"/>
        <v>4532</v>
      </c>
      <c r="I40" s="177"/>
      <c r="J40" s="177"/>
      <c r="K40" s="177"/>
      <c r="L40" s="177"/>
      <c r="M40" s="212">
        <v>4020</v>
      </c>
      <c r="N40" s="177">
        <f t="shared" si="20"/>
        <v>4020</v>
      </c>
      <c r="O40" s="183">
        <v>3700</v>
      </c>
      <c r="P40" s="220">
        <f t="shared" si="26"/>
        <v>3700</v>
      </c>
      <c r="Q40" s="177">
        <f t="shared" si="24"/>
        <v>0</v>
      </c>
      <c r="R40" s="177">
        <f t="shared" si="25"/>
        <v>0</v>
      </c>
      <c r="S40" s="454">
        <v>3700</v>
      </c>
      <c r="T40" s="454">
        <v>3700</v>
      </c>
      <c r="U40" s="177">
        <f t="shared" si="22"/>
        <v>1700</v>
      </c>
      <c r="V40" s="177">
        <v>1700</v>
      </c>
      <c r="W40" s="177">
        <f t="shared" si="23"/>
        <v>2001</v>
      </c>
      <c r="X40" s="177">
        <v>2001</v>
      </c>
      <c r="Y40" s="177"/>
      <c r="Z40" s="177"/>
      <c r="AA40" s="177"/>
      <c r="AB40" s="177"/>
      <c r="AC40" s="177"/>
      <c r="AD40" s="177"/>
      <c r="AE40" s="177"/>
      <c r="AF40" s="177"/>
      <c r="AG40" s="198"/>
      <c r="AH40" s="173">
        <f t="shared" si="11"/>
        <v>0</v>
      </c>
    </row>
    <row r="41" spans="1:34" ht="115.5" hidden="1" x14ac:dyDescent="0.25">
      <c r="A41" s="221">
        <v>14</v>
      </c>
      <c r="B41" s="231" t="s">
        <v>1819</v>
      </c>
      <c r="C41" s="230" t="s">
        <v>1713</v>
      </c>
      <c r="D41" s="230" t="s">
        <v>1818</v>
      </c>
      <c r="E41" s="230" t="s">
        <v>97</v>
      </c>
      <c r="F41" s="226" t="s">
        <v>1817</v>
      </c>
      <c r="G41" s="212">
        <v>5170</v>
      </c>
      <c r="H41" s="229">
        <f t="shared" si="19"/>
        <v>5170</v>
      </c>
      <c r="I41" s="177"/>
      <c r="J41" s="177"/>
      <c r="K41" s="177"/>
      <c r="L41" s="177"/>
      <c r="M41" s="212">
        <v>4590</v>
      </c>
      <c r="N41" s="177">
        <f t="shared" si="20"/>
        <v>4590</v>
      </c>
      <c r="O41" s="183">
        <v>4400</v>
      </c>
      <c r="P41" s="220">
        <f t="shared" si="26"/>
        <v>4400</v>
      </c>
      <c r="Q41" s="177">
        <f t="shared" si="24"/>
        <v>0</v>
      </c>
      <c r="R41" s="177">
        <f t="shared" si="25"/>
        <v>0</v>
      </c>
      <c r="S41" s="454">
        <v>4400</v>
      </c>
      <c r="T41" s="454">
        <v>4400</v>
      </c>
      <c r="U41" s="177">
        <f t="shared" si="22"/>
        <v>2000</v>
      </c>
      <c r="V41" s="177">
        <v>2000</v>
      </c>
      <c r="W41" s="177">
        <f t="shared" si="23"/>
        <v>2401</v>
      </c>
      <c r="X41" s="177">
        <v>2401</v>
      </c>
      <c r="Y41" s="177"/>
      <c r="Z41" s="177"/>
      <c r="AA41" s="177"/>
      <c r="AB41" s="177"/>
      <c r="AC41" s="177"/>
      <c r="AD41" s="177"/>
      <c r="AE41" s="177"/>
      <c r="AF41" s="177"/>
      <c r="AG41" s="198"/>
      <c r="AH41" s="173">
        <f t="shared" si="11"/>
        <v>0</v>
      </c>
    </row>
    <row r="42" spans="1:34" ht="115.5" hidden="1" x14ac:dyDescent="0.25">
      <c r="A42" s="221">
        <v>15</v>
      </c>
      <c r="B42" s="231" t="s">
        <v>1816</v>
      </c>
      <c r="C42" s="230" t="s">
        <v>1713</v>
      </c>
      <c r="D42" s="230" t="s">
        <v>1815</v>
      </c>
      <c r="E42" s="230" t="s">
        <v>97</v>
      </c>
      <c r="F42" s="226" t="s">
        <v>1814</v>
      </c>
      <c r="G42" s="212">
        <v>2413</v>
      </c>
      <c r="H42" s="229">
        <f t="shared" si="19"/>
        <v>2413</v>
      </c>
      <c r="I42" s="177"/>
      <c r="J42" s="177"/>
      <c r="K42" s="177"/>
      <c r="L42" s="177"/>
      <c r="M42" s="212">
        <v>2140</v>
      </c>
      <c r="N42" s="177">
        <f t="shared" si="20"/>
        <v>2140</v>
      </c>
      <c r="O42" s="183">
        <v>1950</v>
      </c>
      <c r="P42" s="220">
        <f t="shared" si="26"/>
        <v>1950</v>
      </c>
      <c r="Q42" s="177">
        <f t="shared" si="24"/>
        <v>0</v>
      </c>
      <c r="R42" s="177">
        <f t="shared" si="25"/>
        <v>0</v>
      </c>
      <c r="S42" s="454">
        <v>1950</v>
      </c>
      <c r="T42" s="454">
        <v>1950</v>
      </c>
      <c r="U42" s="177">
        <f t="shared" si="22"/>
        <v>1000</v>
      </c>
      <c r="V42" s="177">
        <v>1000</v>
      </c>
      <c r="W42" s="177">
        <f t="shared" si="23"/>
        <v>946</v>
      </c>
      <c r="X42" s="177">
        <v>946</v>
      </c>
      <c r="Y42" s="177"/>
      <c r="Z42" s="177"/>
      <c r="AA42" s="177"/>
      <c r="AB42" s="177"/>
      <c r="AC42" s="177"/>
      <c r="AD42" s="177"/>
      <c r="AE42" s="177"/>
      <c r="AF42" s="177"/>
      <c r="AG42" s="185"/>
      <c r="AH42" s="173">
        <f t="shared" si="11"/>
        <v>0</v>
      </c>
    </row>
    <row r="43" spans="1:34" ht="49.5" hidden="1" x14ac:dyDescent="0.25">
      <c r="A43" s="221">
        <v>16</v>
      </c>
      <c r="B43" s="231" t="s">
        <v>1813</v>
      </c>
      <c r="C43" s="230" t="s">
        <v>1709</v>
      </c>
      <c r="D43" s="230" t="s">
        <v>1812</v>
      </c>
      <c r="E43" s="230" t="s">
        <v>97</v>
      </c>
      <c r="F43" s="226" t="s">
        <v>1811</v>
      </c>
      <c r="G43" s="212">
        <v>1490</v>
      </c>
      <c r="H43" s="229">
        <f t="shared" si="19"/>
        <v>1490</v>
      </c>
      <c r="I43" s="177"/>
      <c r="J43" s="177"/>
      <c r="K43" s="177"/>
      <c r="L43" s="177"/>
      <c r="M43" s="212">
        <v>1420</v>
      </c>
      <c r="N43" s="177">
        <f t="shared" si="20"/>
        <v>1420</v>
      </c>
      <c r="O43" s="183">
        <v>1360</v>
      </c>
      <c r="P43" s="220">
        <f t="shared" si="26"/>
        <v>1360</v>
      </c>
      <c r="Q43" s="177">
        <f t="shared" si="24"/>
        <v>0</v>
      </c>
      <c r="R43" s="177">
        <f t="shared" si="25"/>
        <v>0</v>
      </c>
      <c r="S43" s="454">
        <v>1360</v>
      </c>
      <c r="T43" s="454">
        <v>1360</v>
      </c>
      <c r="U43" s="177">
        <f t="shared" si="22"/>
        <v>700</v>
      </c>
      <c r="V43" s="177">
        <v>700</v>
      </c>
      <c r="W43" s="177">
        <f t="shared" si="23"/>
        <v>657</v>
      </c>
      <c r="X43" s="177">
        <v>657</v>
      </c>
      <c r="Y43" s="177"/>
      <c r="Z43" s="177"/>
      <c r="AA43" s="177"/>
      <c r="AB43" s="177"/>
      <c r="AC43" s="177"/>
      <c r="AD43" s="177"/>
      <c r="AE43" s="177"/>
      <c r="AF43" s="177"/>
      <c r="AG43" s="198"/>
      <c r="AH43" s="173">
        <f t="shared" si="11"/>
        <v>0</v>
      </c>
    </row>
    <row r="44" spans="1:34" ht="49.5" hidden="1" x14ac:dyDescent="0.25">
      <c r="A44" s="221">
        <v>17</v>
      </c>
      <c r="B44" s="231" t="s">
        <v>1810</v>
      </c>
      <c r="C44" s="230" t="s">
        <v>1259</v>
      </c>
      <c r="D44" s="230" t="s">
        <v>1809</v>
      </c>
      <c r="E44" s="230" t="s">
        <v>97</v>
      </c>
      <c r="F44" s="226" t="s">
        <v>1808</v>
      </c>
      <c r="G44" s="212">
        <v>2531</v>
      </c>
      <c r="H44" s="229">
        <f t="shared" si="19"/>
        <v>2531</v>
      </c>
      <c r="I44" s="177"/>
      <c r="J44" s="177"/>
      <c r="K44" s="177"/>
      <c r="L44" s="177"/>
      <c r="M44" s="212">
        <v>2180</v>
      </c>
      <c r="N44" s="177">
        <f t="shared" si="20"/>
        <v>2180</v>
      </c>
      <c r="O44" s="183">
        <v>2060</v>
      </c>
      <c r="P44" s="220">
        <f t="shared" si="26"/>
        <v>2060</v>
      </c>
      <c r="Q44" s="177">
        <f t="shared" si="24"/>
        <v>0</v>
      </c>
      <c r="R44" s="177">
        <f t="shared" si="25"/>
        <v>0</v>
      </c>
      <c r="S44" s="454">
        <v>2060</v>
      </c>
      <c r="T44" s="454">
        <v>2060</v>
      </c>
      <c r="U44" s="177">
        <f t="shared" si="22"/>
        <v>1000</v>
      </c>
      <c r="V44" s="177">
        <v>1000</v>
      </c>
      <c r="W44" s="177">
        <f t="shared" si="23"/>
        <v>1060</v>
      </c>
      <c r="X44" s="177">
        <v>1060</v>
      </c>
      <c r="Y44" s="177"/>
      <c r="Z44" s="177"/>
      <c r="AA44" s="177"/>
      <c r="AB44" s="177"/>
      <c r="AC44" s="177"/>
      <c r="AD44" s="177"/>
      <c r="AE44" s="177"/>
      <c r="AF44" s="177"/>
      <c r="AG44" s="198"/>
      <c r="AH44" s="173">
        <f t="shared" si="11"/>
        <v>0</v>
      </c>
    </row>
    <row r="45" spans="1:34" ht="115.5" hidden="1" x14ac:dyDescent="0.25">
      <c r="A45" s="221">
        <v>18</v>
      </c>
      <c r="B45" s="231" t="s">
        <v>1807</v>
      </c>
      <c r="C45" s="230" t="s">
        <v>1806</v>
      </c>
      <c r="D45" s="230" t="s">
        <v>1805</v>
      </c>
      <c r="E45" s="230" t="s">
        <v>97</v>
      </c>
      <c r="F45" s="226" t="s">
        <v>1804</v>
      </c>
      <c r="G45" s="385">
        <v>1996</v>
      </c>
      <c r="H45" s="229">
        <f t="shared" si="19"/>
        <v>1996</v>
      </c>
      <c r="I45" s="177"/>
      <c r="J45" s="177"/>
      <c r="K45" s="177"/>
      <c r="L45" s="177"/>
      <c r="M45" s="385">
        <v>1770</v>
      </c>
      <c r="N45" s="177">
        <f t="shared" si="20"/>
        <v>1770</v>
      </c>
      <c r="O45" s="231">
        <v>1660</v>
      </c>
      <c r="P45" s="220">
        <f t="shared" si="26"/>
        <v>1660</v>
      </c>
      <c r="Q45" s="177">
        <f t="shared" si="24"/>
        <v>0</v>
      </c>
      <c r="R45" s="177">
        <f t="shared" si="25"/>
        <v>0</v>
      </c>
      <c r="S45" s="455">
        <v>1660</v>
      </c>
      <c r="T45" s="454">
        <v>1660</v>
      </c>
      <c r="U45" s="177">
        <f t="shared" si="22"/>
        <v>950</v>
      </c>
      <c r="V45" s="177">
        <v>950</v>
      </c>
      <c r="W45" s="177">
        <f t="shared" si="23"/>
        <v>707</v>
      </c>
      <c r="X45" s="177">
        <v>707</v>
      </c>
      <c r="Y45" s="177"/>
      <c r="Z45" s="177"/>
      <c r="AA45" s="177"/>
      <c r="AB45" s="177"/>
      <c r="AC45" s="177"/>
      <c r="AD45" s="177"/>
      <c r="AE45" s="177"/>
      <c r="AF45" s="177"/>
      <c r="AG45" s="198"/>
      <c r="AH45" s="173">
        <f t="shared" si="11"/>
        <v>0</v>
      </c>
    </row>
    <row r="46" spans="1:34" ht="33" hidden="1" x14ac:dyDescent="0.25">
      <c r="A46" s="221">
        <v>19</v>
      </c>
      <c r="B46" s="358" t="s">
        <v>1803</v>
      </c>
      <c r="C46" s="230"/>
      <c r="D46" s="182" t="s">
        <v>1802</v>
      </c>
      <c r="E46" s="230" t="s">
        <v>109</v>
      </c>
      <c r="F46" s="226"/>
      <c r="G46" s="179">
        <v>2612</v>
      </c>
      <c r="H46" s="229">
        <f t="shared" si="19"/>
        <v>2612</v>
      </c>
      <c r="I46" s="177"/>
      <c r="J46" s="177"/>
      <c r="K46" s="177"/>
      <c r="L46" s="177"/>
      <c r="M46" s="179">
        <v>2460</v>
      </c>
      <c r="N46" s="177">
        <f t="shared" si="20"/>
        <v>2460</v>
      </c>
      <c r="O46" s="178">
        <v>1490</v>
      </c>
      <c r="P46" s="220">
        <f t="shared" si="26"/>
        <v>1490</v>
      </c>
      <c r="Q46" s="177">
        <f t="shared" si="24"/>
        <v>0</v>
      </c>
      <c r="R46" s="177">
        <f t="shared" si="25"/>
        <v>0</v>
      </c>
      <c r="S46" s="456">
        <v>1490</v>
      </c>
      <c r="T46" s="454">
        <v>1490</v>
      </c>
      <c r="U46" s="177"/>
      <c r="V46" s="177"/>
      <c r="W46" s="177">
        <f t="shared" si="23"/>
        <v>1488</v>
      </c>
      <c r="X46" s="177">
        <v>1488</v>
      </c>
      <c r="Y46" s="177"/>
      <c r="Z46" s="177"/>
      <c r="AA46" s="177"/>
      <c r="AB46" s="177"/>
      <c r="AC46" s="177"/>
      <c r="AD46" s="177"/>
      <c r="AE46" s="177"/>
      <c r="AF46" s="177"/>
      <c r="AG46" s="198"/>
      <c r="AH46" s="173">
        <f t="shared" si="11"/>
        <v>0</v>
      </c>
    </row>
    <row r="47" spans="1:34" ht="33" hidden="1" x14ac:dyDescent="0.25">
      <c r="A47" s="526">
        <v>20</v>
      </c>
      <c r="B47" s="937" t="s">
        <v>1801</v>
      </c>
      <c r="C47" s="507"/>
      <c r="D47" s="508" t="s">
        <v>1800</v>
      </c>
      <c r="E47" s="507" t="s">
        <v>109</v>
      </c>
      <c r="F47" s="517"/>
      <c r="G47" s="938">
        <v>803</v>
      </c>
      <c r="H47" s="519">
        <f t="shared" si="19"/>
        <v>803</v>
      </c>
      <c r="I47" s="815"/>
      <c r="J47" s="815"/>
      <c r="K47" s="815"/>
      <c r="L47" s="815"/>
      <c r="M47" s="179">
        <v>760</v>
      </c>
      <c r="N47" s="177">
        <f t="shared" si="20"/>
        <v>760</v>
      </c>
      <c r="O47" s="304">
        <v>760</v>
      </c>
      <c r="P47" s="534">
        <f t="shared" si="26"/>
        <v>760</v>
      </c>
      <c r="Q47" s="277">
        <f t="shared" si="24"/>
        <v>0</v>
      </c>
      <c r="R47" s="277">
        <f t="shared" si="25"/>
        <v>0</v>
      </c>
      <c r="S47" s="461">
        <v>760</v>
      </c>
      <c r="T47" s="535">
        <v>760</v>
      </c>
      <c r="U47" s="177"/>
      <c r="V47" s="177"/>
      <c r="W47" s="177">
        <f t="shared" si="23"/>
        <v>765</v>
      </c>
      <c r="X47" s="177">
        <v>765</v>
      </c>
      <c r="Y47" s="177"/>
      <c r="Z47" s="177"/>
      <c r="AA47" s="177"/>
      <c r="AB47" s="177"/>
      <c r="AC47" s="177"/>
      <c r="AD47" s="177"/>
      <c r="AE47" s="177"/>
      <c r="AF47" s="177"/>
      <c r="AG47" s="816"/>
      <c r="AH47" s="173">
        <f t="shared" si="11"/>
        <v>0</v>
      </c>
    </row>
    <row r="48" spans="1:34" ht="49.5" x14ac:dyDescent="0.25">
      <c r="A48" s="650">
        <v>21</v>
      </c>
      <c r="B48" s="972" t="s">
        <v>1799</v>
      </c>
      <c r="C48" s="628" t="s">
        <v>1806</v>
      </c>
      <c r="D48" s="684" t="s">
        <v>1798</v>
      </c>
      <c r="E48" s="628" t="s">
        <v>109</v>
      </c>
      <c r="F48" s="654"/>
      <c r="G48" s="973">
        <v>3500</v>
      </c>
      <c r="H48" s="631">
        <f t="shared" si="19"/>
        <v>3500</v>
      </c>
      <c r="I48" s="648"/>
      <c r="J48" s="648"/>
      <c r="K48" s="648"/>
      <c r="L48" s="648"/>
      <c r="M48" s="179">
        <v>3300</v>
      </c>
      <c r="N48" s="177">
        <f t="shared" si="20"/>
        <v>3300</v>
      </c>
      <c r="O48" s="852">
        <v>2930</v>
      </c>
      <c r="P48" s="657">
        <f t="shared" si="26"/>
        <v>2930</v>
      </c>
      <c r="Q48" s="632"/>
      <c r="R48" s="632">
        <f t="shared" si="25"/>
        <v>330</v>
      </c>
      <c r="S48" s="974">
        <f>T48</f>
        <v>2600</v>
      </c>
      <c r="T48" s="975">
        <v>2600</v>
      </c>
      <c r="U48" s="177"/>
      <c r="V48" s="177"/>
      <c r="W48" s="177"/>
      <c r="X48" s="177"/>
      <c r="Y48" s="177"/>
      <c r="Z48" s="177"/>
      <c r="AA48" s="177"/>
      <c r="AB48" s="177"/>
      <c r="AC48" s="177"/>
      <c r="AD48" s="177"/>
      <c r="AE48" s="177"/>
      <c r="AF48" s="177"/>
      <c r="AG48" s="649"/>
      <c r="AH48" s="173">
        <f t="shared" si="11"/>
        <v>1</v>
      </c>
    </row>
    <row r="49" spans="1:34" ht="49.5" hidden="1" x14ac:dyDescent="0.25">
      <c r="A49" s="609">
        <v>22</v>
      </c>
      <c r="B49" s="825" t="s">
        <v>1797</v>
      </c>
      <c r="C49" s="554"/>
      <c r="D49" s="826" t="s">
        <v>1796</v>
      </c>
      <c r="E49" s="554" t="s">
        <v>109</v>
      </c>
      <c r="F49" s="555"/>
      <c r="G49" s="829">
        <f>621*4.2</f>
        <v>2608.2000000000003</v>
      </c>
      <c r="H49" s="557">
        <f t="shared" si="19"/>
        <v>2608.2000000000003</v>
      </c>
      <c r="I49" s="558"/>
      <c r="J49" s="558"/>
      <c r="K49" s="558"/>
      <c r="L49" s="558"/>
      <c r="M49" s="179">
        <v>2400</v>
      </c>
      <c r="N49" s="177">
        <f t="shared" si="20"/>
        <v>2400</v>
      </c>
      <c r="O49" s="827"/>
      <c r="P49" s="615"/>
      <c r="Q49" s="564">
        <f t="shared" si="24"/>
        <v>0</v>
      </c>
      <c r="R49" s="564">
        <f t="shared" si="25"/>
        <v>0</v>
      </c>
      <c r="S49" s="828"/>
      <c r="T49" s="616"/>
      <c r="U49" s="177"/>
      <c r="V49" s="177"/>
      <c r="W49" s="177"/>
      <c r="X49" s="177"/>
      <c r="Y49" s="177"/>
      <c r="Z49" s="177"/>
      <c r="AA49" s="177"/>
      <c r="AB49" s="177"/>
      <c r="AC49" s="177"/>
      <c r="AD49" s="177"/>
      <c r="AE49" s="177"/>
      <c r="AF49" s="177"/>
      <c r="AG49" s="955" t="s">
        <v>284</v>
      </c>
      <c r="AH49" s="173">
        <f t="shared" si="11"/>
        <v>0</v>
      </c>
    </row>
    <row r="50" spans="1:34" ht="33" x14ac:dyDescent="0.25">
      <c r="A50" s="650">
        <v>23</v>
      </c>
      <c r="B50" s="850" t="s">
        <v>1795</v>
      </c>
      <c r="C50" s="652" t="s">
        <v>1713</v>
      </c>
      <c r="D50" s="652" t="s">
        <v>1794</v>
      </c>
      <c r="E50" s="628" t="s">
        <v>109</v>
      </c>
      <c r="F50" s="654"/>
      <c r="G50" s="851">
        <f>500*4.2</f>
        <v>2100</v>
      </c>
      <c r="H50" s="631">
        <f t="shared" si="19"/>
        <v>2100</v>
      </c>
      <c r="I50" s="677"/>
      <c r="J50" s="677"/>
      <c r="K50" s="677"/>
      <c r="L50" s="677"/>
      <c r="M50" s="179">
        <v>2000</v>
      </c>
      <c r="N50" s="177">
        <f t="shared" si="20"/>
        <v>2000</v>
      </c>
      <c r="O50" s="852">
        <v>1800</v>
      </c>
      <c r="P50" s="657">
        <f t="shared" ref="P50:P62" si="27">O50</f>
        <v>1800</v>
      </c>
      <c r="Q50" s="632">
        <f t="shared" si="24"/>
        <v>1043</v>
      </c>
      <c r="R50" s="632"/>
      <c r="S50" s="853">
        <f>T50</f>
        <v>2843</v>
      </c>
      <c r="T50" s="854">
        <v>2843</v>
      </c>
      <c r="U50" s="177"/>
      <c r="V50" s="177"/>
      <c r="W50" s="177"/>
      <c r="X50" s="177"/>
      <c r="Y50" s="177"/>
      <c r="Z50" s="177"/>
      <c r="AA50" s="177"/>
      <c r="AB50" s="177"/>
      <c r="AC50" s="177"/>
      <c r="AD50" s="177"/>
      <c r="AE50" s="177"/>
      <c r="AF50" s="177"/>
      <c r="AG50" s="978"/>
      <c r="AH50" s="173">
        <f t="shared" si="11"/>
        <v>1</v>
      </c>
    </row>
    <row r="51" spans="1:34" ht="33" x14ac:dyDescent="0.25">
      <c r="A51" s="650">
        <v>24</v>
      </c>
      <c r="B51" s="850" t="s">
        <v>1793</v>
      </c>
      <c r="C51" s="652" t="s">
        <v>1713</v>
      </c>
      <c r="D51" s="652" t="s">
        <v>1792</v>
      </c>
      <c r="E51" s="628" t="s">
        <v>109</v>
      </c>
      <c r="F51" s="654"/>
      <c r="G51" s="976">
        <f>H51</f>
        <v>5411</v>
      </c>
      <c r="H51" s="977">
        <v>5411</v>
      </c>
      <c r="I51" s="648"/>
      <c r="J51" s="648"/>
      <c r="K51" s="648"/>
      <c r="L51" s="648"/>
      <c r="M51" s="179">
        <v>2400</v>
      </c>
      <c r="N51" s="177">
        <f t="shared" si="20"/>
        <v>2400</v>
      </c>
      <c r="O51" s="852">
        <v>4540</v>
      </c>
      <c r="P51" s="657">
        <f t="shared" si="27"/>
        <v>4540</v>
      </c>
      <c r="Q51" s="632"/>
      <c r="R51" s="632">
        <f t="shared" si="25"/>
        <v>900</v>
      </c>
      <c r="S51" s="853">
        <f>T51</f>
        <v>3640</v>
      </c>
      <c r="T51" s="854">
        <v>3640</v>
      </c>
      <c r="U51" s="177"/>
      <c r="V51" s="177"/>
      <c r="W51" s="177"/>
      <c r="X51" s="177"/>
      <c r="Y51" s="177"/>
      <c r="Z51" s="177"/>
      <c r="AA51" s="177"/>
      <c r="AB51" s="177"/>
      <c r="AC51" s="177"/>
      <c r="AD51" s="177"/>
      <c r="AE51" s="177"/>
      <c r="AF51" s="177"/>
      <c r="AG51" s="649"/>
      <c r="AH51" s="173">
        <f t="shared" si="11"/>
        <v>1</v>
      </c>
    </row>
    <row r="52" spans="1:34" ht="33" x14ac:dyDescent="0.25">
      <c r="A52" s="650">
        <v>25</v>
      </c>
      <c r="B52" s="850" t="s">
        <v>1791</v>
      </c>
      <c r="C52" s="652" t="s">
        <v>1713</v>
      </c>
      <c r="D52" s="652" t="s">
        <v>1778</v>
      </c>
      <c r="E52" s="628" t="s">
        <v>109</v>
      </c>
      <c r="F52" s="654"/>
      <c r="G52" s="851">
        <f>1000*4.2</f>
        <v>4200</v>
      </c>
      <c r="H52" s="631">
        <f>G52</f>
        <v>4200</v>
      </c>
      <c r="I52" s="632"/>
      <c r="J52" s="632"/>
      <c r="K52" s="632"/>
      <c r="L52" s="632"/>
      <c r="M52" s="179">
        <v>4000</v>
      </c>
      <c r="N52" s="177">
        <f t="shared" si="20"/>
        <v>4000</v>
      </c>
      <c r="O52" s="852">
        <v>3530</v>
      </c>
      <c r="P52" s="657">
        <f t="shared" si="27"/>
        <v>3530</v>
      </c>
      <c r="Q52" s="632"/>
      <c r="R52" s="632">
        <f t="shared" si="25"/>
        <v>330</v>
      </c>
      <c r="S52" s="853">
        <f>T52</f>
        <v>3200</v>
      </c>
      <c r="T52" s="854">
        <v>3200</v>
      </c>
      <c r="U52" s="177"/>
      <c r="V52" s="177"/>
      <c r="W52" s="177"/>
      <c r="X52" s="177"/>
      <c r="Y52" s="177"/>
      <c r="Z52" s="177"/>
      <c r="AA52" s="177"/>
      <c r="AB52" s="177"/>
      <c r="AC52" s="177"/>
      <c r="AD52" s="177"/>
      <c r="AE52" s="177"/>
      <c r="AF52" s="177"/>
      <c r="AG52" s="638"/>
      <c r="AH52" s="173">
        <f t="shared" si="11"/>
        <v>1</v>
      </c>
    </row>
    <row r="53" spans="1:34" ht="33" x14ac:dyDescent="0.25">
      <c r="A53" s="650">
        <v>26</v>
      </c>
      <c r="B53" s="850" t="s">
        <v>1790</v>
      </c>
      <c r="C53" s="652" t="s">
        <v>1713</v>
      </c>
      <c r="D53" s="652" t="s">
        <v>1789</v>
      </c>
      <c r="E53" s="628" t="s">
        <v>461</v>
      </c>
      <c r="F53" s="654"/>
      <c r="G53" s="851">
        <f>700*4.2</f>
        <v>2940</v>
      </c>
      <c r="H53" s="631">
        <f>G53</f>
        <v>2940</v>
      </c>
      <c r="I53" s="632"/>
      <c r="J53" s="632"/>
      <c r="K53" s="632"/>
      <c r="L53" s="632"/>
      <c r="M53" s="179">
        <v>2800</v>
      </c>
      <c r="N53" s="177">
        <f t="shared" si="20"/>
        <v>2800</v>
      </c>
      <c r="O53" s="852">
        <v>2630</v>
      </c>
      <c r="P53" s="657">
        <f t="shared" si="27"/>
        <v>2630</v>
      </c>
      <c r="Q53" s="632"/>
      <c r="R53" s="632">
        <f t="shared" si="25"/>
        <v>149</v>
      </c>
      <c r="S53" s="853">
        <f>T53</f>
        <v>2481</v>
      </c>
      <c r="T53" s="854">
        <v>2481</v>
      </c>
      <c r="U53" s="177"/>
      <c r="V53" s="177"/>
      <c r="W53" s="177"/>
      <c r="X53" s="177"/>
      <c r="Y53" s="177"/>
      <c r="Z53" s="177"/>
      <c r="AA53" s="177"/>
      <c r="AB53" s="177"/>
      <c r="AC53" s="177"/>
      <c r="AD53" s="177"/>
      <c r="AE53" s="177"/>
      <c r="AF53" s="177"/>
      <c r="AG53" s="638"/>
      <c r="AH53" s="173">
        <f t="shared" si="11"/>
        <v>1</v>
      </c>
    </row>
    <row r="54" spans="1:34" ht="33" x14ac:dyDescent="0.25">
      <c r="A54" s="650">
        <v>27</v>
      </c>
      <c r="B54" s="850" t="s">
        <v>1788</v>
      </c>
      <c r="C54" s="652" t="s">
        <v>1713</v>
      </c>
      <c r="D54" s="652" t="s">
        <v>1787</v>
      </c>
      <c r="E54" s="628" t="s">
        <v>461</v>
      </c>
      <c r="F54" s="654"/>
      <c r="G54" s="851">
        <f>2200*4.2</f>
        <v>9240</v>
      </c>
      <c r="H54" s="631">
        <f>G54</f>
        <v>9240</v>
      </c>
      <c r="I54" s="632"/>
      <c r="J54" s="632"/>
      <c r="K54" s="632"/>
      <c r="L54" s="632"/>
      <c r="M54" s="179">
        <v>8800</v>
      </c>
      <c r="N54" s="177">
        <f t="shared" si="20"/>
        <v>8800</v>
      </c>
      <c r="O54" s="852">
        <v>8800</v>
      </c>
      <c r="P54" s="657">
        <f t="shared" si="27"/>
        <v>8800</v>
      </c>
      <c r="Q54" s="632"/>
      <c r="R54" s="632">
        <f t="shared" si="25"/>
        <v>1300</v>
      </c>
      <c r="S54" s="853">
        <f>T54</f>
        <v>7500</v>
      </c>
      <c r="T54" s="854">
        <v>7500</v>
      </c>
      <c r="U54" s="177"/>
      <c r="V54" s="177"/>
      <c r="W54" s="177"/>
      <c r="X54" s="177"/>
      <c r="Y54" s="177"/>
      <c r="Z54" s="177"/>
      <c r="AA54" s="177"/>
      <c r="AB54" s="177"/>
      <c r="AC54" s="177"/>
      <c r="AD54" s="177"/>
      <c r="AE54" s="177"/>
      <c r="AF54" s="177"/>
      <c r="AG54" s="638"/>
      <c r="AH54" s="173">
        <f t="shared" si="11"/>
        <v>1</v>
      </c>
    </row>
    <row r="55" spans="1:34" ht="33" hidden="1" x14ac:dyDescent="0.25">
      <c r="A55" s="597">
        <v>28</v>
      </c>
      <c r="B55" s="598" t="s">
        <v>1786</v>
      </c>
      <c r="C55" s="599" t="s">
        <v>1709</v>
      </c>
      <c r="D55" s="599" t="s">
        <v>1785</v>
      </c>
      <c r="E55" s="570" t="s">
        <v>461</v>
      </c>
      <c r="F55" s="830"/>
      <c r="G55" s="831">
        <f>H55</f>
        <v>5119</v>
      </c>
      <c r="H55" s="573">
        <v>5119</v>
      </c>
      <c r="I55" s="574"/>
      <c r="J55" s="574"/>
      <c r="K55" s="574"/>
      <c r="L55" s="574"/>
      <c r="M55" s="179">
        <v>4600</v>
      </c>
      <c r="N55" s="177">
        <f t="shared" si="20"/>
        <v>4600</v>
      </c>
      <c r="O55" s="605">
        <v>4390</v>
      </c>
      <c r="P55" s="606">
        <f t="shared" si="27"/>
        <v>4390</v>
      </c>
      <c r="Q55" s="574">
        <f t="shared" si="24"/>
        <v>0</v>
      </c>
      <c r="R55" s="574">
        <f t="shared" si="25"/>
        <v>0</v>
      </c>
      <c r="S55" s="607">
        <v>4390</v>
      </c>
      <c r="T55" s="608">
        <v>4390</v>
      </c>
      <c r="U55" s="177"/>
      <c r="V55" s="177"/>
      <c r="W55" s="177">
        <f>X55</f>
        <v>2587</v>
      </c>
      <c r="X55" s="177">
        <v>2587</v>
      </c>
      <c r="Y55" s="177"/>
      <c r="Z55" s="177"/>
      <c r="AA55" s="177"/>
      <c r="AB55" s="177"/>
      <c r="AC55" s="177"/>
      <c r="AD55" s="177"/>
      <c r="AE55" s="177"/>
      <c r="AF55" s="177"/>
      <c r="AG55" s="580"/>
      <c r="AH55" s="173">
        <f t="shared" si="11"/>
        <v>0</v>
      </c>
    </row>
    <row r="56" spans="1:34" ht="33" hidden="1" x14ac:dyDescent="0.25">
      <c r="A56" s="526">
        <v>29</v>
      </c>
      <c r="B56" s="817" t="s">
        <v>1784</v>
      </c>
      <c r="C56" s="308" t="s">
        <v>1709</v>
      </c>
      <c r="D56" s="308" t="s">
        <v>1783</v>
      </c>
      <c r="E56" s="507" t="s">
        <v>461</v>
      </c>
      <c r="F56" s="517"/>
      <c r="G56" s="818">
        <f>720*4.2</f>
        <v>3024</v>
      </c>
      <c r="H56" s="519">
        <f t="shared" ref="H56:H87" si="28">G56</f>
        <v>3024</v>
      </c>
      <c r="I56" s="277"/>
      <c r="J56" s="819"/>
      <c r="K56" s="277"/>
      <c r="L56" s="277"/>
      <c r="M56" s="179">
        <v>2800</v>
      </c>
      <c r="N56" s="177">
        <f t="shared" si="20"/>
        <v>2800</v>
      </c>
      <c r="O56" s="304">
        <v>2800</v>
      </c>
      <c r="P56" s="534">
        <f t="shared" si="27"/>
        <v>2800</v>
      </c>
      <c r="Q56" s="277">
        <f t="shared" si="24"/>
        <v>0</v>
      </c>
      <c r="R56" s="277">
        <f t="shared" si="25"/>
        <v>0</v>
      </c>
      <c r="S56" s="461">
        <v>2800</v>
      </c>
      <c r="T56" s="535">
        <v>2800</v>
      </c>
      <c r="U56" s="177"/>
      <c r="V56" s="177"/>
      <c r="W56" s="177"/>
      <c r="X56" s="177"/>
      <c r="Y56" s="177"/>
      <c r="Z56" s="177"/>
      <c r="AA56" s="177"/>
      <c r="AB56" s="177"/>
      <c r="AC56" s="177"/>
      <c r="AD56" s="177"/>
      <c r="AE56" s="177"/>
      <c r="AF56" s="177"/>
      <c r="AG56" s="302"/>
      <c r="AH56" s="173">
        <f t="shared" si="11"/>
        <v>0</v>
      </c>
    </row>
    <row r="57" spans="1:34" ht="33" x14ac:dyDescent="0.25">
      <c r="A57" s="650">
        <v>30</v>
      </c>
      <c r="B57" s="850" t="s">
        <v>1782</v>
      </c>
      <c r="C57" s="652" t="s">
        <v>1709</v>
      </c>
      <c r="D57" s="652" t="s">
        <v>1780</v>
      </c>
      <c r="E57" s="628" t="s">
        <v>461</v>
      </c>
      <c r="F57" s="654"/>
      <c r="G57" s="851">
        <f>780*4.2</f>
        <v>3276</v>
      </c>
      <c r="H57" s="631">
        <f t="shared" si="28"/>
        <v>3276</v>
      </c>
      <c r="I57" s="632"/>
      <c r="J57" s="855"/>
      <c r="K57" s="632"/>
      <c r="L57" s="632"/>
      <c r="M57" s="179">
        <v>3100</v>
      </c>
      <c r="N57" s="177">
        <f t="shared" si="20"/>
        <v>3100</v>
      </c>
      <c r="O57" s="852">
        <v>3100</v>
      </c>
      <c r="P57" s="657">
        <f t="shared" si="27"/>
        <v>3100</v>
      </c>
      <c r="Q57" s="632"/>
      <c r="R57" s="632">
        <f t="shared" si="25"/>
        <v>781</v>
      </c>
      <c r="S57" s="853">
        <f>T57</f>
        <v>2319</v>
      </c>
      <c r="T57" s="854">
        <v>2319</v>
      </c>
      <c r="U57" s="177"/>
      <c r="V57" s="177"/>
      <c r="W57" s="177"/>
      <c r="X57" s="177"/>
      <c r="Y57" s="177"/>
      <c r="Z57" s="177"/>
      <c r="AA57" s="177"/>
      <c r="AB57" s="177"/>
      <c r="AC57" s="177"/>
      <c r="AD57" s="177"/>
      <c r="AE57" s="177"/>
      <c r="AF57" s="177"/>
      <c r="AG57" s="638"/>
      <c r="AH57" s="173">
        <f t="shared" si="11"/>
        <v>1</v>
      </c>
    </row>
    <row r="58" spans="1:34" ht="33" hidden="1" x14ac:dyDescent="0.25">
      <c r="A58" s="597">
        <v>31</v>
      </c>
      <c r="B58" s="598" t="s">
        <v>1781</v>
      </c>
      <c r="C58" s="599" t="s">
        <v>1709</v>
      </c>
      <c r="D58" s="599" t="s">
        <v>1780</v>
      </c>
      <c r="E58" s="570" t="s">
        <v>461</v>
      </c>
      <c r="F58" s="830"/>
      <c r="G58" s="831">
        <f>780*4.2</f>
        <v>3276</v>
      </c>
      <c r="H58" s="573">
        <f t="shared" si="28"/>
        <v>3276</v>
      </c>
      <c r="I58" s="574"/>
      <c r="J58" s="832"/>
      <c r="K58" s="574"/>
      <c r="L58" s="574"/>
      <c r="M58" s="179">
        <v>3100</v>
      </c>
      <c r="N58" s="177">
        <f t="shared" si="20"/>
        <v>3100</v>
      </c>
      <c r="O58" s="605">
        <v>2700</v>
      </c>
      <c r="P58" s="606">
        <f t="shared" si="27"/>
        <v>2700</v>
      </c>
      <c r="Q58" s="574">
        <f t="shared" si="24"/>
        <v>0</v>
      </c>
      <c r="R58" s="574">
        <f t="shared" si="25"/>
        <v>0</v>
      </c>
      <c r="S58" s="607">
        <v>2700</v>
      </c>
      <c r="T58" s="608">
        <v>2700</v>
      </c>
      <c r="U58" s="177"/>
      <c r="V58" s="177"/>
      <c r="W58" s="177"/>
      <c r="X58" s="177"/>
      <c r="Y58" s="177"/>
      <c r="Z58" s="177"/>
      <c r="AA58" s="177"/>
      <c r="AB58" s="177"/>
      <c r="AC58" s="177"/>
      <c r="AD58" s="177"/>
      <c r="AE58" s="177"/>
      <c r="AF58" s="177"/>
      <c r="AG58" s="580"/>
      <c r="AH58" s="173">
        <f t="shared" si="11"/>
        <v>0</v>
      </c>
    </row>
    <row r="59" spans="1:34" ht="33" hidden="1" x14ac:dyDescent="0.25">
      <c r="A59" s="221">
        <v>32</v>
      </c>
      <c r="B59" s="233" t="s">
        <v>1779</v>
      </c>
      <c r="C59" s="188" t="s">
        <v>1709</v>
      </c>
      <c r="D59" s="188" t="s">
        <v>1778</v>
      </c>
      <c r="E59" s="230" t="s">
        <v>461</v>
      </c>
      <c r="F59" s="226"/>
      <c r="G59" s="341">
        <f>1000*4.2</f>
        <v>4200</v>
      </c>
      <c r="H59" s="229">
        <f t="shared" si="28"/>
        <v>4200</v>
      </c>
      <c r="I59" s="191"/>
      <c r="J59" s="191"/>
      <c r="K59" s="191"/>
      <c r="L59" s="191"/>
      <c r="M59" s="179">
        <v>4000</v>
      </c>
      <c r="N59" s="177">
        <f t="shared" si="20"/>
        <v>4000</v>
      </c>
      <c r="O59" s="178">
        <v>4000</v>
      </c>
      <c r="P59" s="220">
        <f t="shared" si="27"/>
        <v>4000</v>
      </c>
      <c r="Q59" s="177">
        <f t="shared" si="24"/>
        <v>0</v>
      </c>
      <c r="R59" s="177">
        <f t="shared" si="25"/>
        <v>0</v>
      </c>
      <c r="S59" s="456">
        <v>4000</v>
      </c>
      <c r="T59" s="454">
        <v>4000</v>
      </c>
      <c r="U59" s="177"/>
      <c r="V59" s="177"/>
      <c r="W59" s="177"/>
      <c r="X59" s="177"/>
      <c r="Y59" s="191"/>
      <c r="Z59" s="191"/>
      <c r="AA59" s="191"/>
      <c r="AB59" s="191"/>
      <c r="AC59" s="191"/>
      <c r="AD59" s="191"/>
      <c r="AE59" s="191"/>
      <c r="AF59" s="191"/>
      <c r="AG59" s="189"/>
      <c r="AH59" s="173">
        <f t="shared" si="11"/>
        <v>0</v>
      </c>
    </row>
    <row r="60" spans="1:34" ht="33" hidden="1" x14ac:dyDescent="0.25">
      <c r="A60" s="221">
        <v>33</v>
      </c>
      <c r="B60" s="233" t="s">
        <v>1777</v>
      </c>
      <c r="C60" s="188" t="s">
        <v>1709</v>
      </c>
      <c r="D60" s="188" t="s">
        <v>1776</v>
      </c>
      <c r="E60" s="230" t="s">
        <v>461</v>
      </c>
      <c r="F60" s="226"/>
      <c r="G60" s="341">
        <f>1100*4.2</f>
        <v>4620</v>
      </c>
      <c r="H60" s="229">
        <f t="shared" si="28"/>
        <v>4620</v>
      </c>
      <c r="I60" s="265"/>
      <c r="J60" s="265"/>
      <c r="K60" s="265"/>
      <c r="L60" s="265"/>
      <c r="M60" s="179">
        <v>4400</v>
      </c>
      <c r="N60" s="177">
        <f t="shared" ref="N60:N91" si="29">M60</f>
        <v>4400</v>
      </c>
      <c r="O60" s="178">
        <v>4400</v>
      </c>
      <c r="P60" s="220">
        <f t="shared" si="27"/>
        <v>4400</v>
      </c>
      <c r="Q60" s="177">
        <f t="shared" si="24"/>
        <v>0</v>
      </c>
      <c r="R60" s="177">
        <f t="shared" si="25"/>
        <v>0</v>
      </c>
      <c r="S60" s="456">
        <v>4400</v>
      </c>
      <c r="T60" s="454">
        <v>4400</v>
      </c>
      <c r="U60" s="177"/>
      <c r="V60" s="177"/>
      <c r="W60" s="177"/>
      <c r="X60" s="177"/>
      <c r="Y60" s="191"/>
      <c r="Z60" s="191"/>
      <c r="AA60" s="191"/>
      <c r="AB60" s="191"/>
      <c r="AC60" s="191"/>
      <c r="AD60" s="191"/>
      <c r="AE60" s="191"/>
      <c r="AF60" s="191"/>
      <c r="AG60" s="384"/>
      <c r="AH60" s="173">
        <f t="shared" si="11"/>
        <v>0</v>
      </c>
    </row>
    <row r="61" spans="1:34" ht="33" hidden="1" x14ac:dyDescent="0.25">
      <c r="A61" s="526">
        <v>34</v>
      </c>
      <c r="B61" s="817" t="s">
        <v>1775</v>
      </c>
      <c r="C61" s="308" t="s">
        <v>1709</v>
      </c>
      <c r="D61" s="308" t="s">
        <v>1774</v>
      </c>
      <c r="E61" s="507" t="s">
        <v>461</v>
      </c>
      <c r="F61" s="517"/>
      <c r="G61" s="818">
        <f>970*4.2</f>
        <v>4074</v>
      </c>
      <c r="H61" s="519">
        <f t="shared" si="28"/>
        <v>4074</v>
      </c>
      <c r="I61" s="277"/>
      <c r="J61" s="277"/>
      <c r="K61" s="277"/>
      <c r="L61" s="277"/>
      <c r="M61" s="179">
        <v>3800</v>
      </c>
      <c r="N61" s="177">
        <f t="shared" si="29"/>
        <v>3800</v>
      </c>
      <c r="O61" s="304">
        <v>3800</v>
      </c>
      <c r="P61" s="534">
        <f t="shared" si="27"/>
        <v>3800</v>
      </c>
      <c r="Q61" s="277">
        <f t="shared" si="24"/>
        <v>0</v>
      </c>
      <c r="R61" s="277">
        <f t="shared" si="25"/>
        <v>0</v>
      </c>
      <c r="S61" s="461">
        <v>3800</v>
      </c>
      <c r="T61" s="535">
        <v>3800</v>
      </c>
      <c r="U61" s="177"/>
      <c r="V61" s="177"/>
      <c r="W61" s="177"/>
      <c r="X61" s="177"/>
      <c r="Y61" s="177"/>
      <c r="Z61" s="177"/>
      <c r="AA61" s="177"/>
      <c r="AB61" s="177"/>
      <c r="AC61" s="177"/>
      <c r="AD61" s="177"/>
      <c r="AE61" s="177"/>
      <c r="AF61" s="177"/>
      <c r="AG61" s="302"/>
      <c r="AH61" s="173">
        <f t="shared" si="11"/>
        <v>0</v>
      </c>
    </row>
    <row r="62" spans="1:34" ht="33" x14ac:dyDescent="0.25">
      <c r="A62" s="650">
        <v>35</v>
      </c>
      <c r="B62" s="850" t="s">
        <v>1773</v>
      </c>
      <c r="C62" s="652" t="s">
        <v>1713</v>
      </c>
      <c r="D62" s="652" t="s">
        <v>1772</v>
      </c>
      <c r="E62" s="628" t="s">
        <v>461</v>
      </c>
      <c r="F62" s="654"/>
      <c r="G62" s="851">
        <f>2800*4.2</f>
        <v>11760</v>
      </c>
      <c r="H62" s="631">
        <f t="shared" si="28"/>
        <v>11760</v>
      </c>
      <c r="I62" s="632"/>
      <c r="J62" s="632"/>
      <c r="K62" s="632"/>
      <c r="L62" s="632"/>
      <c r="M62" s="179">
        <v>11200</v>
      </c>
      <c r="N62" s="177">
        <f t="shared" si="29"/>
        <v>11200</v>
      </c>
      <c r="O62" s="852">
        <v>9000</v>
      </c>
      <c r="P62" s="657">
        <f t="shared" si="27"/>
        <v>9000</v>
      </c>
      <c r="Q62" s="632"/>
      <c r="R62" s="632">
        <f t="shared" si="25"/>
        <v>180</v>
      </c>
      <c r="S62" s="853">
        <f>T62</f>
        <v>8820</v>
      </c>
      <c r="T62" s="854">
        <v>8820</v>
      </c>
      <c r="U62" s="177"/>
      <c r="V62" s="177"/>
      <c r="W62" s="177"/>
      <c r="X62" s="177"/>
      <c r="Y62" s="177"/>
      <c r="Z62" s="177"/>
      <c r="AA62" s="177"/>
      <c r="AB62" s="177"/>
      <c r="AC62" s="177"/>
      <c r="AD62" s="177"/>
      <c r="AE62" s="177"/>
      <c r="AF62" s="177"/>
      <c r="AG62" s="638"/>
      <c r="AH62" s="173">
        <f t="shared" si="11"/>
        <v>1</v>
      </c>
    </row>
    <row r="63" spans="1:34" ht="33" hidden="1" x14ac:dyDescent="0.25">
      <c r="A63" s="597">
        <v>36</v>
      </c>
      <c r="B63" s="598" t="s">
        <v>1771</v>
      </c>
      <c r="C63" s="599" t="s">
        <v>1713</v>
      </c>
      <c r="D63" s="599" t="s">
        <v>1770</v>
      </c>
      <c r="E63" s="570" t="s">
        <v>461</v>
      </c>
      <c r="F63" s="830"/>
      <c r="G63" s="831">
        <f>1600*4.2</f>
        <v>6720</v>
      </c>
      <c r="H63" s="573">
        <f t="shared" si="28"/>
        <v>6720</v>
      </c>
      <c r="I63" s="574"/>
      <c r="J63" s="574"/>
      <c r="K63" s="574"/>
      <c r="L63" s="574"/>
      <c r="M63" s="179">
        <v>6400</v>
      </c>
      <c r="N63" s="177">
        <f t="shared" si="29"/>
        <v>6400</v>
      </c>
      <c r="O63" s="605"/>
      <c r="P63" s="606"/>
      <c r="Q63" s="574">
        <f t="shared" si="24"/>
        <v>0</v>
      </c>
      <c r="R63" s="574">
        <f t="shared" si="25"/>
        <v>0</v>
      </c>
      <c r="S63" s="607"/>
      <c r="T63" s="608"/>
      <c r="U63" s="177"/>
      <c r="V63" s="177"/>
      <c r="W63" s="177"/>
      <c r="X63" s="177"/>
      <c r="Y63" s="177"/>
      <c r="Z63" s="177"/>
      <c r="AA63" s="177"/>
      <c r="AB63" s="177"/>
      <c r="AC63" s="177"/>
      <c r="AD63" s="177"/>
      <c r="AE63" s="177"/>
      <c r="AF63" s="177"/>
      <c r="AG63" s="579" t="s">
        <v>1741</v>
      </c>
      <c r="AH63" s="173">
        <f t="shared" si="11"/>
        <v>0</v>
      </c>
    </row>
    <row r="64" spans="1:34" ht="33" hidden="1" x14ac:dyDescent="0.25">
      <c r="A64" s="221">
        <v>37</v>
      </c>
      <c r="B64" s="233" t="s">
        <v>1769</v>
      </c>
      <c r="C64" s="188" t="s">
        <v>1713</v>
      </c>
      <c r="D64" s="188" t="s">
        <v>1768</v>
      </c>
      <c r="E64" s="230" t="s">
        <v>461</v>
      </c>
      <c r="F64" s="226"/>
      <c r="G64" s="341">
        <v>1750</v>
      </c>
      <c r="H64" s="229">
        <f t="shared" si="28"/>
        <v>1750</v>
      </c>
      <c r="I64" s="177"/>
      <c r="J64" s="177"/>
      <c r="K64" s="177"/>
      <c r="L64" s="177"/>
      <c r="M64" s="179">
        <v>1600</v>
      </c>
      <c r="N64" s="177">
        <f t="shared" si="29"/>
        <v>1600</v>
      </c>
      <c r="O64" s="178"/>
      <c r="P64" s="220"/>
      <c r="Q64" s="177">
        <f t="shared" si="24"/>
        <v>0</v>
      </c>
      <c r="R64" s="177">
        <f t="shared" si="25"/>
        <v>0</v>
      </c>
      <c r="S64" s="456"/>
      <c r="T64" s="454"/>
      <c r="U64" s="177"/>
      <c r="V64" s="177"/>
      <c r="W64" s="177"/>
      <c r="X64" s="177"/>
      <c r="Y64" s="177"/>
      <c r="Z64" s="177"/>
      <c r="AA64" s="177"/>
      <c r="AB64" s="177"/>
      <c r="AC64" s="177"/>
      <c r="AD64" s="177"/>
      <c r="AE64" s="177"/>
      <c r="AF64" s="177"/>
      <c r="AG64" s="185" t="s">
        <v>1741</v>
      </c>
      <c r="AH64" s="173">
        <f t="shared" si="11"/>
        <v>0</v>
      </c>
    </row>
    <row r="65" spans="1:34" ht="33" hidden="1" x14ac:dyDescent="0.25">
      <c r="A65" s="221">
        <v>38</v>
      </c>
      <c r="B65" s="233" t="s">
        <v>1767</v>
      </c>
      <c r="C65" s="188" t="s">
        <v>1713</v>
      </c>
      <c r="D65" s="188" t="s">
        <v>1766</v>
      </c>
      <c r="E65" s="230" t="s">
        <v>461</v>
      </c>
      <c r="F65" s="226"/>
      <c r="G65" s="341">
        <v>2851</v>
      </c>
      <c r="H65" s="229">
        <f t="shared" si="28"/>
        <v>2851</v>
      </c>
      <c r="I65" s="177"/>
      <c r="J65" s="177"/>
      <c r="K65" s="177"/>
      <c r="L65" s="177"/>
      <c r="M65" s="179">
        <v>2700</v>
      </c>
      <c r="N65" s="177">
        <f t="shared" si="29"/>
        <v>2700</v>
      </c>
      <c r="O65" s="178"/>
      <c r="P65" s="220"/>
      <c r="Q65" s="177">
        <f t="shared" si="24"/>
        <v>0</v>
      </c>
      <c r="R65" s="177">
        <f t="shared" si="25"/>
        <v>0</v>
      </c>
      <c r="S65" s="456"/>
      <c r="T65" s="454"/>
      <c r="U65" s="177"/>
      <c r="V65" s="177"/>
      <c r="W65" s="177"/>
      <c r="X65" s="177"/>
      <c r="Y65" s="177"/>
      <c r="Z65" s="177"/>
      <c r="AA65" s="177"/>
      <c r="AB65" s="177"/>
      <c r="AC65" s="177"/>
      <c r="AD65" s="177"/>
      <c r="AE65" s="177"/>
      <c r="AF65" s="177"/>
      <c r="AG65" s="185" t="s">
        <v>1741</v>
      </c>
      <c r="AH65" s="173">
        <f t="shared" si="11"/>
        <v>0</v>
      </c>
    </row>
    <row r="66" spans="1:34" ht="33" hidden="1" x14ac:dyDescent="0.25">
      <c r="A66" s="221">
        <v>39</v>
      </c>
      <c r="B66" s="233" t="s">
        <v>1765</v>
      </c>
      <c r="C66" s="188" t="s">
        <v>1713</v>
      </c>
      <c r="D66" s="188" t="s">
        <v>1764</v>
      </c>
      <c r="E66" s="230" t="s">
        <v>461</v>
      </c>
      <c r="F66" s="226"/>
      <c r="G66" s="341">
        <v>2839</v>
      </c>
      <c r="H66" s="229">
        <f t="shared" si="28"/>
        <v>2839</v>
      </c>
      <c r="I66" s="177"/>
      <c r="J66" s="177"/>
      <c r="K66" s="177"/>
      <c r="L66" s="177"/>
      <c r="M66" s="179">
        <v>2500</v>
      </c>
      <c r="N66" s="177">
        <f t="shared" si="29"/>
        <v>2500</v>
      </c>
      <c r="O66" s="178"/>
      <c r="P66" s="220"/>
      <c r="Q66" s="177">
        <f t="shared" si="24"/>
        <v>0</v>
      </c>
      <c r="R66" s="177">
        <f t="shared" si="25"/>
        <v>0</v>
      </c>
      <c r="S66" s="456"/>
      <c r="T66" s="454"/>
      <c r="U66" s="177"/>
      <c r="V66" s="177"/>
      <c r="W66" s="177"/>
      <c r="X66" s="177"/>
      <c r="Y66" s="177"/>
      <c r="Z66" s="177"/>
      <c r="AA66" s="177"/>
      <c r="AB66" s="177"/>
      <c r="AC66" s="177"/>
      <c r="AD66" s="177"/>
      <c r="AE66" s="177"/>
      <c r="AF66" s="177"/>
      <c r="AG66" s="185" t="s">
        <v>1741</v>
      </c>
      <c r="AH66" s="173">
        <f t="shared" si="11"/>
        <v>0</v>
      </c>
    </row>
    <row r="67" spans="1:34" ht="33" hidden="1" x14ac:dyDescent="0.25">
      <c r="A67" s="221">
        <v>40</v>
      </c>
      <c r="B67" s="211" t="s">
        <v>1763</v>
      </c>
      <c r="C67" s="188"/>
      <c r="D67" s="188"/>
      <c r="E67" s="230" t="s">
        <v>290</v>
      </c>
      <c r="F67" s="226"/>
      <c r="G67" s="179">
        <v>3900</v>
      </c>
      <c r="H67" s="229">
        <f t="shared" si="28"/>
        <v>3900</v>
      </c>
      <c r="I67" s="177"/>
      <c r="J67" s="177"/>
      <c r="K67" s="177"/>
      <c r="L67" s="177"/>
      <c r="M67" s="179">
        <v>3700</v>
      </c>
      <c r="N67" s="177">
        <f t="shared" si="29"/>
        <v>3700</v>
      </c>
      <c r="O67" s="178"/>
      <c r="P67" s="220"/>
      <c r="Q67" s="177">
        <f t="shared" si="24"/>
        <v>0</v>
      </c>
      <c r="R67" s="177">
        <f t="shared" si="25"/>
        <v>0</v>
      </c>
      <c r="S67" s="456"/>
      <c r="T67" s="454"/>
      <c r="U67" s="177"/>
      <c r="V67" s="177"/>
      <c r="W67" s="177"/>
      <c r="X67" s="177"/>
      <c r="Y67" s="177"/>
      <c r="Z67" s="177"/>
      <c r="AA67" s="177"/>
      <c r="AB67" s="177"/>
      <c r="AC67" s="177"/>
      <c r="AD67" s="177"/>
      <c r="AE67" s="177"/>
      <c r="AF67" s="177"/>
      <c r="AG67" s="185" t="s">
        <v>1741</v>
      </c>
      <c r="AH67" s="173">
        <f t="shared" si="11"/>
        <v>0</v>
      </c>
    </row>
    <row r="68" spans="1:34" ht="33" hidden="1" x14ac:dyDescent="0.25">
      <c r="A68" s="221">
        <v>41</v>
      </c>
      <c r="B68" s="211" t="s">
        <v>1762</v>
      </c>
      <c r="C68" s="188"/>
      <c r="D68" s="188"/>
      <c r="E68" s="230" t="s">
        <v>290</v>
      </c>
      <c r="F68" s="226"/>
      <c r="G68" s="225">
        <v>700</v>
      </c>
      <c r="H68" s="229">
        <f t="shared" si="28"/>
        <v>700</v>
      </c>
      <c r="I68" s="177"/>
      <c r="J68" s="177"/>
      <c r="K68" s="177"/>
      <c r="L68" s="177"/>
      <c r="M68" s="179">
        <v>660</v>
      </c>
      <c r="N68" s="177">
        <f t="shared" si="29"/>
        <v>660</v>
      </c>
      <c r="O68" s="178"/>
      <c r="P68" s="220"/>
      <c r="Q68" s="177">
        <f t="shared" si="24"/>
        <v>0</v>
      </c>
      <c r="R68" s="177">
        <f t="shared" si="25"/>
        <v>0</v>
      </c>
      <c r="S68" s="456"/>
      <c r="T68" s="454"/>
      <c r="U68" s="177"/>
      <c r="V68" s="177"/>
      <c r="W68" s="177"/>
      <c r="X68" s="177"/>
      <c r="Y68" s="177"/>
      <c r="Z68" s="177"/>
      <c r="AA68" s="177"/>
      <c r="AB68" s="177"/>
      <c r="AC68" s="177"/>
      <c r="AD68" s="177"/>
      <c r="AE68" s="177"/>
      <c r="AF68" s="177"/>
      <c r="AG68" s="185" t="s">
        <v>1741</v>
      </c>
      <c r="AH68" s="173">
        <f t="shared" si="11"/>
        <v>0</v>
      </c>
    </row>
    <row r="69" spans="1:34" ht="33" hidden="1" x14ac:dyDescent="0.25">
      <c r="A69" s="221">
        <v>42</v>
      </c>
      <c r="B69" s="211" t="s">
        <v>1761</v>
      </c>
      <c r="C69" s="188"/>
      <c r="D69" s="188"/>
      <c r="E69" s="230" t="s">
        <v>290</v>
      </c>
      <c r="F69" s="226"/>
      <c r="G69" s="225">
        <v>800</v>
      </c>
      <c r="H69" s="229">
        <f t="shared" si="28"/>
        <v>800</v>
      </c>
      <c r="I69" s="177"/>
      <c r="J69" s="177"/>
      <c r="K69" s="177"/>
      <c r="L69" s="177"/>
      <c r="M69" s="179">
        <v>760</v>
      </c>
      <c r="N69" s="177">
        <f t="shared" si="29"/>
        <v>760</v>
      </c>
      <c r="O69" s="178"/>
      <c r="P69" s="220"/>
      <c r="Q69" s="177">
        <f t="shared" si="24"/>
        <v>0</v>
      </c>
      <c r="R69" s="177">
        <f t="shared" si="25"/>
        <v>0</v>
      </c>
      <c r="S69" s="456"/>
      <c r="T69" s="454"/>
      <c r="U69" s="177"/>
      <c r="V69" s="177"/>
      <c r="W69" s="177"/>
      <c r="X69" s="177"/>
      <c r="Y69" s="177"/>
      <c r="Z69" s="177"/>
      <c r="AA69" s="177"/>
      <c r="AB69" s="177"/>
      <c r="AC69" s="177"/>
      <c r="AD69" s="177"/>
      <c r="AE69" s="177"/>
      <c r="AF69" s="177"/>
      <c r="AG69" s="185" t="s">
        <v>1741</v>
      </c>
      <c r="AH69" s="173">
        <f t="shared" si="11"/>
        <v>0</v>
      </c>
    </row>
    <row r="70" spans="1:34" ht="33" hidden="1" x14ac:dyDescent="0.25">
      <c r="A70" s="221">
        <v>43</v>
      </c>
      <c r="B70" s="211" t="s">
        <v>1760</v>
      </c>
      <c r="C70" s="188"/>
      <c r="D70" s="188"/>
      <c r="E70" s="230" t="s">
        <v>290</v>
      </c>
      <c r="F70" s="226"/>
      <c r="G70" s="225">
        <v>800</v>
      </c>
      <c r="H70" s="229">
        <f t="shared" si="28"/>
        <v>800</v>
      </c>
      <c r="I70" s="177"/>
      <c r="J70" s="177"/>
      <c r="K70" s="177"/>
      <c r="L70" s="177"/>
      <c r="M70" s="179">
        <v>760</v>
      </c>
      <c r="N70" s="177">
        <f t="shared" si="29"/>
        <v>760</v>
      </c>
      <c r="O70" s="178"/>
      <c r="P70" s="220"/>
      <c r="Q70" s="177">
        <f t="shared" si="24"/>
        <v>0</v>
      </c>
      <c r="R70" s="177">
        <f t="shared" si="25"/>
        <v>0</v>
      </c>
      <c r="S70" s="456"/>
      <c r="T70" s="454"/>
      <c r="U70" s="177"/>
      <c r="V70" s="177"/>
      <c r="W70" s="177"/>
      <c r="X70" s="177"/>
      <c r="Y70" s="177"/>
      <c r="Z70" s="177"/>
      <c r="AA70" s="177"/>
      <c r="AB70" s="177"/>
      <c r="AC70" s="177"/>
      <c r="AD70" s="177"/>
      <c r="AE70" s="177"/>
      <c r="AF70" s="177"/>
      <c r="AG70" s="185" t="s">
        <v>1741</v>
      </c>
      <c r="AH70" s="173">
        <f t="shared" si="11"/>
        <v>0</v>
      </c>
    </row>
    <row r="71" spans="1:34" ht="33" hidden="1" x14ac:dyDescent="0.25">
      <c r="A71" s="526">
        <v>44</v>
      </c>
      <c r="B71" s="820" t="s">
        <v>1759</v>
      </c>
      <c r="C71" s="308"/>
      <c r="D71" s="308"/>
      <c r="E71" s="507" t="s">
        <v>290</v>
      </c>
      <c r="F71" s="517"/>
      <c r="G71" s="938">
        <v>700</v>
      </c>
      <c r="H71" s="519">
        <f t="shared" si="28"/>
        <v>700</v>
      </c>
      <c r="I71" s="277"/>
      <c r="J71" s="277"/>
      <c r="K71" s="277"/>
      <c r="L71" s="277"/>
      <c r="M71" s="179">
        <v>660</v>
      </c>
      <c r="N71" s="177">
        <f t="shared" si="29"/>
        <v>660</v>
      </c>
      <c r="O71" s="304"/>
      <c r="P71" s="534"/>
      <c r="Q71" s="277">
        <f t="shared" si="24"/>
        <v>0</v>
      </c>
      <c r="R71" s="277">
        <f t="shared" si="25"/>
        <v>0</v>
      </c>
      <c r="S71" s="461"/>
      <c r="T71" s="535"/>
      <c r="U71" s="177"/>
      <c r="V71" s="177"/>
      <c r="W71" s="177"/>
      <c r="X71" s="177"/>
      <c r="Y71" s="177"/>
      <c r="Z71" s="177"/>
      <c r="AA71" s="177"/>
      <c r="AB71" s="177"/>
      <c r="AC71" s="177"/>
      <c r="AD71" s="177"/>
      <c r="AE71" s="177"/>
      <c r="AF71" s="177"/>
      <c r="AG71" s="520" t="s">
        <v>1741</v>
      </c>
      <c r="AH71" s="173">
        <f t="shared" si="11"/>
        <v>0</v>
      </c>
    </row>
    <row r="72" spans="1:34" ht="33" x14ac:dyDescent="0.25">
      <c r="A72" s="650">
        <v>45</v>
      </c>
      <c r="B72" s="979" t="s">
        <v>1758</v>
      </c>
      <c r="C72" s="652" t="s">
        <v>1709</v>
      </c>
      <c r="D72" s="652"/>
      <c r="E72" s="628" t="s">
        <v>290</v>
      </c>
      <c r="F72" s="654"/>
      <c r="G72" s="656">
        <v>4500</v>
      </c>
      <c r="H72" s="631">
        <f t="shared" si="28"/>
        <v>4500</v>
      </c>
      <c r="I72" s="632"/>
      <c r="J72" s="632"/>
      <c r="K72" s="632"/>
      <c r="L72" s="632"/>
      <c r="M72" s="179">
        <v>4200</v>
      </c>
      <c r="N72" s="177">
        <f t="shared" si="29"/>
        <v>4200</v>
      </c>
      <c r="O72" s="852">
        <v>2000</v>
      </c>
      <c r="P72" s="657">
        <f t="shared" ref="P72:P77" si="30">O72</f>
        <v>2000</v>
      </c>
      <c r="Q72" s="632"/>
      <c r="R72" s="632">
        <f t="shared" si="25"/>
        <v>2000</v>
      </c>
      <c r="S72" s="853"/>
      <c r="T72" s="854"/>
      <c r="U72" s="177"/>
      <c r="V72" s="177"/>
      <c r="W72" s="177"/>
      <c r="X72" s="177"/>
      <c r="Y72" s="177"/>
      <c r="Z72" s="177"/>
      <c r="AA72" s="177"/>
      <c r="AB72" s="177"/>
      <c r="AC72" s="177"/>
      <c r="AD72" s="177"/>
      <c r="AE72" s="177"/>
      <c r="AF72" s="177"/>
      <c r="AG72" s="637" t="s">
        <v>1741</v>
      </c>
      <c r="AH72" s="173">
        <f t="shared" si="11"/>
        <v>1</v>
      </c>
    </row>
    <row r="73" spans="1:34" ht="49.5" x14ac:dyDescent="0.25">
      <c r="A73" s="650">
        <v>46</v>
      </c>
      <c r="B73" s="979" t="s">
        <v>1757</v>
      </c>
      <c r="C73" s="652" t="s">
        <v>1709</v>
      </c>
      <c r="D73" s="652"/>
      <c r="E73" s="628" t="s">
        <v>290</v>
      </c>
      <c r="F73" s="654"/>
      <c r="G73" s="656">
        <v>2200</v>
      </c>
      <c r="H73" s="631">
        <f t="shared" si="28"/>
        <v>2200</v>
      </c>
      <c r="I73" s="632"/>
      <c r="J73" s="632"/>
      <c r="K73" s="632"/>
      <c r="L73" s="632"/>
      <c r="M73" s="179">
        <v>2000</v>
      </c>
      <c r="N73" s="177">
        <f t="shared" si="29"/>
        <v>2000</v>
      </c>
      <c r="O73" s="852">
        <v>1500</v>
      </c>
      <c r="P73" s="657">
        <f t="shared" si="30"/>
        <v>1500</v>
      </c>
      <c r="Q73" s="632"/>
      <c r="R73" s="632">
        <f t="shared" si="25"/>
        <v>1500</v>
      </c>
      <c r="S73" s="853"/>
      <c r="T73" s="854"/>
      <c r="U73" s="177"/>
      <c r="V73" s="177"/>
      <c r="W73" s="177"/>
      <c r="X73" s="177"/>
      <c r="Y73" s="177"/>
      <c r="Z73" s="177"/>
      <c r="AA73" s="177"/>
      <c r="AB73" s="177"/>
      <c r="AC73" s="177"/>
      <c r="AD73" s="177"/>
      <c r="AE73" s="177"/>
      <c r="AF73" s="177"/>
      <c r="AG73" s="637" t="s">
        <v>1741</v>
      </c>
      <c r="AH73" s="173">
        <f t="shared" si="11"/>
        <v>1</v>
      </c>
    </row>
    <row r="74" spans="1:34" ht="49.5" x14ac:dyDescent="0.25">
      <c r="A74" s="650">
        <v>47</v>
      </c>
      <c r="B74" s="979" t="s">
        <v>1756</v>
      </c>
      <c r="C74" s="652" t="s">
        <v>1713</v>
      </c>
      <c r="D74" s="652"/>
      <c r="E74" s="628" t="s">
        <v>290</v>
      </c>
      <c r="F74" s="654"/>
      <c r="G74" s="656">
        <v>700</v>
      </c>
      <c r="H74" s="631">
        <f t="shared" si="28"/>
        <v>700</v>
      </c>
      <c r="I74" s="632"/>
      <c r="J74" s="632"/>
      <c r="K74" s="632"/>
      <c r="L74" s="632"/>
      <c r="M74" s="179">
        <v>660</v>
      </c>
      <c r="N74" s="177">
        <f t="shared" si="29"/>
        <v>660</v>
      </c>
      <c r="O74" s="852">
        <v>700</v>
      </c>
      <c r="P74" s="657">
        <f t="shared" si="30"/>
        <v>700</v>
      </c>
      <c r="Q74" s="632"/>
      <c r="R74" s="632">
        <f t="shared" si="25"/>
        <v>700</v>
      </c>
      <c r="S74" s="853"/>
      <c r="T74" s="854"/>
      <c r="U74" s="177"/>
      <c r="V74" s="177"/>
      <c r="W74" s="177"/>
      <c r="X74" s="177"/>
      <c r="Y74" s="177"/>
      <c r="Z74" s="177"/>
      <c r="AA74" s="177"/>
      <c r="AB74" s="177"/>
      <c r="AC74" s="177"/>
      <c r="AD74" s="177"/>
      <c r="AE74" s="177"/>
      <c r="AF74" s="177"/>
      <c r="AG74" s="637" t="s">
        <v>1741</v>
      </c>
      <c r="AH74" s="173">
        <f t="shared" si="11"/>
        <v>1</v>
      </c>
    </row>
    <row r="75" spans="1:34" ht="49.5" x14ac:dyDescent="0.25">
      <c r="A75" s="650">
        <v>48</v>
      </c>
      <c r="B75" s="979" t="s">
        <v>1755</v>
      </c>
      <c r="C75" s="652" t="s">
        <v>1709</v>
      </c>
      <c r="D75" s="652"/>
      <c r="E75" s="628" t="s">
        <v>290</v>
      </c>
      <c r="F75" s="654"/>
      <c r="G75" s="656">
        <v>1100</v>
      </c>
      <c r="H75" s="631">
        <f t="shared" si="28"/>
        <v>1100</v>
      </c>
      <c r="I75" s="632"/>
      <c r="J75" s="632"/>
      <c r="K75" s="632"/>
      <c r="L75" s="632"/>
      <c r="M75" s="179">
        <v>1000</v>
      </c>
      <c r="N75" s="177">
        <f t="shared" si="29"/>
        <v>1000</v>
      </c>
      <c r="O75" s="852">
        <v>1000</v>
      </c>
      <c r="P75" s="657">
        <f t="shared" si="30"/>
        <v>1000</v>
      </c>
      <c r="Q75" s="632"/>
      <c r="R75" s="632">
        <f t="shared" si="25"/>
        <v>1000</v>
      </c>
      <c r="S75" s="853"/>
      <c r="T75" s="854"/>
      <c r="U75" s="177"/>
      <c r="V75" s="177"/>
      <c r="W75" s="177"/>
      <c r="X75" s="177"/>
      <c r="Y75" s="177"/>
      <c r="Z75" s="177"/>
      <c r="AA75" s="177"/>
      <c r="AB75" s="177"/>
      <c r="AC75" s="177"/>
      <c r="AD75" s="177"/>
      <c r="AE75" s="177"/>
      <c r="AF75" s="177"/>
      <c r="AG75" s="637" t="s">
        <v>1741</v>
      </c>
      <c r="AH75" s="173">
        <f t="shared" si="11"/>
        <v>1</v>
      </c>
    </row>
    <row r="76" spans="1:34" ht="33" x14ac:dyDescent="0.25">
      <c r="A76" s="650">
        <v>49</v>
      </c>
      <c r="B76" s="979" t="s">
        <v>1754</v>
      </c>
      <c r="C76" s="652" t="s">
        <v>1709</v>
      </c>
      <c r="D76" s="652"/>
      <c r="E76" s="628" t="s">
        <v>290</v>
      </c>
      <c r="F76" s="654"/>
      <c r="G76" s="656">
        <v>1600</v>
      </c>
      <c r="H76" s="631">
        <f t="shared" si="28"/>
        <v>1600</v>
      </c>
      <c r="I76" s="632"/>
      <c r="J76" s="632"/>
      <c r="K76" s="632"/>
      <c r="L76" s="632"/>
      <c r="M76" s="179">
        <v>1500</v>
      </c>
      <c r="N76" s="177">
        <f t="shared" si="29"/>
        <v>1500</v>
      </c>
      <c r="O76" s="852">
        <v>1500</v>
      </c>
      <c r="P76" s="657">
        <f t="shared" si="30"/>
        <v>1500</v>
      </c>
      <c r="Q76" s="632"/>
      <c r="R76" s="632">
        <f t="shared" si="25"/>
        <v>1500</v>
      </c>
      <c r="S76" s="853"/>
      <c r="T76" s="854"/>
      <c r="U76" s="177"/>
      <c r="V76" s="177"/>
      <c r="W76" s="177"/>
      <c r="X76" s="177"/>
      <c r="Y76" s="177"/>
      <c r="Z76" s="177"/>
      <c r="AA76" s="177"/>
      <c r="AB76" s="177"/>
      <c r="AC76" s="177"/>
      <c r="AD76" s="177"/>
      <c r="AE76" s="177"/>
      <c r="AF76" s="177"/>
      <c r="AG76" s="637" t="s">
        <v>1741</v>
      </c>
      <c r="AH76" s="173">
        <f t="shared" si="11"/>
        <v>1</v>
      </c>
    </row>
    <row r="77" spans="1:34" ht="33" x14ac:dyDescent="0.25">
      <c r="A77" s="650">
        <v>50</v>
      </c>
      <c r="B77" s="979" t="s">
        <v>1753</v>
      </c>
      <c r="C77" s="652" t="s">
        <v>1709</v>
      </c>
      <c r="D77" s="652"/>
      <c r="E77" s="628" t="s">
        <v>290</v>
      </c>
      <c r="F77" s="654"/>
      <c r="G77" s="656">
        <v>800</v>
      </c>
      <c r="H77" s="631">
        <f t="shared" si="28"/>
        <v>800</v>
      </c>
      <c r="I77" s="632"/>
      <c r="J77" s="632"/>
      <c r="K77" s="632"/>
      <c r="L77" s="632"/>
      <c r="M77" s="179">
        <v>760</v>
      </c>
      <c r="N77" s="177">
        <f t="shared" si="29"/>
        <v>760</v>
      </c>
      <c r="O77" s="852">
        <v>800</v>
      </c>
      <c r="P77" s="657">
        <f t="shared" si="30"/>
        <v>800</v>
      </c>
      <c r="Q77" s="632"/>
      <c r="R77" s="632">
        <f t="shared" si="25"/>
        <v>800</v>
      </c>
      <c r="S77" s="853"/>
      <c r="T77" s="854"/>
      <c r="U77" s="177"/>
      <c r="V77" s="177"/>
      <c r="W77" s="177"/>
      <c r="X77" s="177"/>
      <c r="Y77" s="177"/>
      <c r="Z77" s="177"/>
      <c r="AA77" s="177"/>
      <c r="AB77" s="177"/>
      <c r="AC77" s="177"/>
      <c r="AD77" s="177"/>
      <c r="AE77" s="177"/>
      <c r="AF77" s="177"/>
      <c r="AG77" s="637" t="s">
        <v>1741</v>
      </c>
      <c r="AH77" s="173">
        <f t="shared" si="11"/>
        <v>1</v>
      </c>
    </row>
    <row r="78" spans="1:34" ht="33" hidden="1" x14ac:dyDescent="0.25">
      <c r="A78" s="609">
        <v>51</v>
      </c>
      <c r="B78" s="843" t="s">
        <v>1752</v>
      </c>
      <c r="C78" s="611"/>
      <c r="D78" s="611"/>
      <c r="E78" s="554" t="s">
        <v>290</v>
      </c>
      <c r="F78" s="555"/>
      <c r="G78" s="614">
        <v>1100</v>
      </c>
      <c r="H78" s="557">
        <f t="shared" si="28"/>
        <v>1100</v>
      </c>
      <c r="I78" s="564"/>
      <c r="J78" s="564"/>
      <c r="K78" s="564"/>
      <c r="L78" s="564"/>
      <c r="M78" s="179">
        <v>1000</v>
      </c>
      <c r="N78" s="177">
        <f t="shared" si="29"/>
        <v>1000</v>
      </c>
      <c r="O78" s="827"/>
      <c r="P78" s="615"/>
      <c r="Q78" s="564">
        <f t="shared" si="24"/>
        <v>0</v>
      </c>
      <c r="R78" s="564">
        <f t="shared" si="25"/>
        <v>0</v>
      </c>
      <c r="S78" s="828"/>
      <c r="T78" s="616"/>
      <c r="U78" s="177"/>
      <c r="V78" s="177"/>
      <c r="W78" s="177"/>
      <c r="X78" s="177"/>
      <c r="Y78" s="177"/>
      <c r="Z78" s="177"/>
      <c r="AA78" s="177"/>
      <c r="AB78" s="177"/>
      <c r="AC78" s="177"/>
      <c r="AD78" s="177"/>
      <c r="AE78" s="177"/>
      <c r="AF78" s="177"/>
      <c r="AG78" s="563" t="s">
        <v>1741</v>
      </c>
      <c r="AH78" s="173">
        <f t="shared" si="11"/>
        <v>0</v>
      </c>
    </row>
    <row r="79" spans="1:34" ht="33" x14ac:dyDescent="0.25">
      <c r="A79" s="650">
        <v>52</v>
      </c>
      <c r="B79" s="979" t="s">
        <v>1751</v>
      </c>
      <c r="C79" s="652" t="s">
        <v>1709</v>
      </c>
      <c r="D79" s="652"/>
      <c r="E79" s="628" t="s">
        <v>290</v>
      </c>
      <c r="F79" s="654"/>
      <c r="G79" s="656">
        <v>1300</v>
      </c>
      <c r="H79" s="631">
        <f t="shared" si="28"/>
        <v>1300</v>
      </c>
      <c r="I79" s="632"/>
      <c r="J79" s="632"/>
      <c r="K79" s="632"/>
      <c r="L79" s="632"/>
      <c r="M79" s="179">
        <v>1200</v>
      </c>
      <c r="N79" s="177">
        <f t="shared" si="29"/>
        <v>1200</v>
      </c>
      <c r="O79" s="852">
        <v>1100</v>
      </c>
      <c r="P79" s="657">
        <f>O79</f>
        <v>1100</v>
      </c>
      <c r="Q79" s="632"/>
      <c r="R79" s="632">
        <f t="shared" si="25"/>
        <v>1100</v>
      </c>
      <c r="S79" s="853"/>
      <c r="T79" s="854"/>
      <c r="U79" s="177"/>
      <c r="V79" s="177"/>
      <c r="W79" s="177"/>
      <c r="X79" s="177"/>
      <c r="Y79" s="177"/>
      <c r="Z79" s="177"/>
      <c r="AA79" s="177"/>
      <c r="AB79" s="177"/>
      <c r="AC79" s="177"/>
      <c r="AD79" s="177"/>
      <c r="AE79" s="177"/>
      <c r="AF79" s="177"/>
      <c r="AG79" s="637" t="s">
        <v>1741</v>
      </c>
      <c r="AH79" s="173">
        <f t="shared" si="11"/>
        <v>1</v>
      </c>
    </row>
    <row r="80" spans="1:34" ht="33" hidden="1" x14ac:dyDescent="0.25">
      <c r="A80" s="597">
        <v>53</v>
      </c>
      <c r="B80" s="833" t="s">
        <v>1750</v>
      </c>
      <c r="C80" s="599"/>
      <c r="D80" s="599"/>
      <c r="E80" s="570" t="s">
        <v>290</v>
      </c>
      <c r="F80" s="830"/>
      <c r="G80" s="603">
        <v>1000</v>
      </c>
      <c r="H80" s="573">
        <f t="shared" si="28"/>
        <v>1000</v>
      </c>
      <c r="I80" s="574"/>
      <c r="J80" s="574"/>
      <c r="K80" s="574"/>
      <c r="L80" s="574"/>
      <c r="M80" s="179">
        <v>950</v>
      </c>
      <c r="N80" s="177">
        <f t="shared" si="29"/>
        <v>950</v>
      </c>
      <c r="O80" s="605"/>
      <c r="P80" s="606"/>
      <c r="Q80" s="574">
        <f t="shared" si="24"/>
        <v>0</v>
      </c>
      <c r="R80" s="574">
        <f t="shared" si="25"/>
        <v>0</v>
      </c>
      <c r="S80" s="607"/>
      <c r="T80" s="608"/>
      <c r="U80" s="177"/>
      <c r="V80" s="177"/>
      <c r="W80" s="177"/>
      <c r="X80" s="177"/>
      <c r="Y80" s="177"/>
      <c r="Z80" s="177"/>
      <c r="AA80" s="177"/>
      <c r="AB80" s="177"/>
      <c r="AC80" s="177"/>
      <c r="AD80" s="177"/>
      <c r="AE80" s="177"/>
      <c r="AF80" s="177"/>
      <c r="AG80" s="579" t="s">
        <v>1741</v>
      </c>
      <c r="AH80" s="173">
        <f t="shared" si="11"/>
        <v>0</v>
      </c>
    </row>
    <row r="81" spans="1:34" ht="33" hidden="1" x14ac:dyDescent="0.25">
      <c r="A81" s="526">
        <v>54</v>
      </c>
      <c r="B81" s="820" t="s">
        <v>1749</v>
      </c>
      <c r="C81" s="308"/>
      <c r="D81" s="308"/>
      <c r="E81" s="507" t="s">
        <v>290</v>
      </c>
      <c r="F81" s="517"/>
      <c r="G81" s="306">
        <v>950</v>
      </c>
      <c r="H81" s="519">
        <f t="shared" si="28"/>
        <v>950</v>
      </c>
      <c r="I81" s="277"/>
      <c r="J81" s="277"/>
      <c r="K81" s="277"/>
      <c r="L81" s="277"/>
      <c r="M81" s="179">
        <v>900</v>
      </c>
      <c r="N81" s="177">
        <f t="shared" si="29"/>
        <v>900</v>
      </c>
      <c r="O81" s="304"/>
      <c r="P81" s="534"/>
      <c r="Q81" s="277">
        <f t="shared" si="24"/>
        <v>0</v>
      </c>
      <c r="R81" s="277">
        <f t="shared" si="25"/>
        <v>0</v>
      </c>
      <c r="S81" s="461"/>
      <c r="T81" s="535"/>
      <c r="U81" s="177"/>
      <c r="V81" s="177"/>
      <c r="W81" s="177"/>
      <c r="X81" s="177"/>
      <c r="Y81" s="177"/>
      <c r="Z81" s="177"/>
      <c r="AA81" s="177"/>
      <c r="AB81" s="177"/>
      <c r="AC81" s="177"/>
      <c r="AD81" s="177"/>
      <c r="AE81" s="177"/>
      <c r="AF81" s="177"/>
      <c r="AG81" s="520" t="s">
        <v>1741</v>
      </c>
      <c r="AH81" s="173">
        <f t="shared" si="11"/>
        <v>0</v>
      </c>
    </row>
    <row r="82" spans="1:34" ht="33" x14ac:dyDescent="0.25">
      <c r="A82" s="650">
        <v>55</v>
      </c>
      <c r="B82" s="979" t="s">
        <v>1748</v>
      </c>
      <c r="C82" s="652" t="s">
        <v>1709</v>
      </c>
      <c r="D82" s="652"/>
      <c r="E82" s="628" t="s">
        <v>290</v>
      </c>
      <c r="F82" s="654"/>
      <c r="G82" s="656">
        <v>1400</v>
      </c>
      <c r="H82" s="631">
        <f t="shared" si="28"/>
        <v>1400</v>
      </c>
      <c r="I82" s="632"/>
      <c r="J82" s="632"/>
      <c r="K82" s="632"/>
      <c r="L82" s="632"/>
      <c r="M82" s="179">
        <v>1300</v>
      </c>
      <c r="N82" s="177">
        <f t="shared" si="29"/>
        <v>1300</v>
      </c>
      <c r="O82" s="852">
        <v>1200</v>
      </c>
      <c r="P82" s="657">
        <f>O82</f>
        <v>1200</v>
      </c>
      <c r="Q82" s="632"/>
      <c r="R82" s="632">
        <f t="shared" si="25"/>
        <v>1200</v>
      </c>
      <c r="S82" s="853"/>
      <c r="T82" s="854"/>
      <c r="U82" s="177"/>
      <c r="V82" s="177"/>
      <c r="W82" s="177"/>
      <c r="X82" s="177"/>
      <c r="Y82" s="177"/>
      <c r="Z82" s="177"/>
      <c r="AA82" s="177"/>
      <c r="AB82" s="177"/>
      <c r="AC82" s="177"/>
      <c r="AD82" s="177"/>
      <c r="AE82" s="177"/>
      <c r="AF82" s="177"/>
      <c r="AG82" s="637" t="s">
        <v>1741</v>
      </c>
      <c r="AH82" s="173">
        <f t="shared" si="11"/>
        <v>1</v>
      </c>
    </row>
    <row r="83" spans="1:34" ht="33" x14ac:dyDescent="0.25">
      <c r="A83" s="650">
        <v>56</v>
      </c>
      <c r="B83" s="979" t="s">
        <v>1747</v>
      </c>
      <c r="C83" s="652" t="s">
        <v>2139</v>
      </c>
      <c r="D83" s="652"/>
      <c r="E83" s="628" t="s">
        <v>290</v>
      </c>
      <c r="F83" s="654"/>
      <c r="G83" s="656">
        <v>2200</v>
      </c>
      <c r="H83" s="631">
        <f t="shared" si="28"/>
        <v>2200</v>
      </c>
      <c r="I83" s="632"/>
      <c r="J83" s="632"/>
      <c r="K83" s="632"/>
      <c r="L83" s="632"/>
      <c r="M83" s="179">
        <v>2100</v>
      </c>
      <c r="N83" s="177">
        <f t="shared" si="29"/>
        <v>2100</v>
      </c>
      <c r="O83" s="852">
        <v>1800</v>
      </c>
      <c r="P83" s="657">
        <f>O83</f>
        <v>1800</v>
      </c>
      <c r="Q83" s="632"/>
      <c r="R83" s="632">
        <f t="shared" si="25"/>
        <v>1800</v>
      </c>
      <c r="S83" s="853"/>
      <c r="T83" s="854"/>
      <c r="U83" s="177"/>
      <c r="V83" s="177"/>
      <c r="W83" s="177"/>
      <c r="X83" s="177"/>
      <c r="Y83" s="177"/>
      <c r="Z83" s="177"/>
      <c r="AA83" s="177"/>
      <c r="AB83" s="177"/>
      <c r="AC83" s="177"/>
      <c r="AD83" s="177"/>
      <c r="AE83" s="177"/>
      <c r="AF83" s="177"/>
      <c r="AG83" s="637" t="s">
        <v>1741</v>
      </c>
      <c r="AH83" s="173">
        <f t="shared" ref="AH83:AH147" si="31">IF(T83-P83=0,0,1)</f>
        <v>1</v>
      </c>
    </row>
    <row r="84" spans="1:34" ht="33" x14ac:dyDescent="0.25">
      <c r="A84" s="650">
        <v>57</v>
      </c>
      <c r="B84" s="979" t="s">
        <v>1746</v>
      </c>
      <c r="C84" s="652" t="s">
        <v>2140</v>
      </c>
      <c r="D84" s="652"/>
      <c r="E84" s="628" t="s">
        <v>290</v>
      </c>
      <c r="F84" s="654"/>
      <c r="G84" s="656">
        <v>1600</v>
      </c>
      <c r="H84" s="631">
        <f t="shared" si="28"/>
        <v>1600</v>
      </c>
      <c r="I84" s="632"/>
      <c r="J84" s="632"/>
      <c r="K84" s="632"/>
      <c r="L84" s="632"/>
      <c r="M84" s="179">
        <v>1500</v>
      </c>
      <c r="N84" s="177">
        <f t="shared" si="29"/>
        <v>1500</v>
      </c>
      <c r="O84" s="852">
        <v>1400</v>
      </c>
      <c r="P84" s="657">
        <f>O84</f>
        <v>1400</v>
      </c>
      <c r="Q84" s="632"/>
      <c r="R84" s="632">
        <f t="shared" si="25"/>
        <v>1400</v>
      </c>
      <c r="S84" s="853"/>
      <c r="T84" s="854"/>
      <c r="U84" s="177"/>
      <c r="V84" s="177"/>
      <c r="W84" s="177"/>
      <c r="X84" s="177"/>
      <c r="Y84" s="177"/>
      <c r="Z84" s="177"/>
      <c r="AA84" s="177"/>
      <c r="AB84" s="177"/>
      <c r="AC84" s="177"/>
      <c r="AD84" s="177"/>
      <c r="AE84" s="177"/>
      <c r="AF84" s="177"/>
      <c r="AG84" s="637" t="s">
        <v>1741</v>
      </c>
      <c r="AH84" s="173">
        <f t="shared" si="31"/>
        <v>1</v>
      </c>
    </row>
    <row r="85" spans="1:34" s="157" customFormat="1" ht="33" x14ac:dyDescent="0.25">
      <c r="A85" s="650">
        <v>58</v>
      </c>
      <c r="B85" s="980" t="s">
        <v>1745</v>
      </c>
      <c r="C85" s="894" t="s">
        <v>1709</v>
      </c>
      <c r="D85" s="894"/>
      <c r="E85" s="981" t="s">
        <v>290</v>
      </c>
      <c r="F85" s="982"/>
      <c r="G85" s="976">
        <v>10727</v>
      </c>
      <c r="H85" s="977">
        <f t="shared" si="28"/>
        <v>10727</v>
      </c>
      <c r="I85" s="898"/>
      <c r="J85" s="898"/>
      <c r="K85" s="898"/>
      <c r="L85" s="898"/>
      <c r="M85" s="4">
        <v>1900</v>
      </c>
      <c r="N85" s="244">
        <f t="shared" si="29"/>
        <v>1900</v>
      </c>
      <c r="O85" s="902">
        <v>9230</v>
      </c>
      <c r="P85" s="983">
        <f>O85</f>
        <v>9230</v>
      </c>
      <c r="Q85" s="632"/>
      <c r="R85" s="632">
        <f t="shared" si="25"/>
        <v>1230</v>
      </c>
      <c r="S85" s="974">
        <f>T85</f>
        <v>8000</v>
      </c>
      <c r="T85" s="975">
        <v>8000</v>
      </c>
      <c r="U85" s="244"/>
      <c r="V85" s="244"/>
      <c r="W85" s="244"/>
      <c r="X85" s="244"/>
      <c r="Y85" s="244"/>
      <c r="Z85" s="244"/>
      <c r="AA85" s="244"/>
      <c r="AB85" s="244"/>
      <c r="AC85" s="244"/>
      <c r="AD85" s="244"/>
      <c r="AE85" s="244"/>
      <c r="AF85" s="244"/>
      <c r="AG85" s="984"/>
      <c r="AH85" s="173">
        <f t="shared" si="31"/>
        <v>1</v>
      </c>
    </row>
    <row r="86" spans="1:34" ht="49.5" hidden="1" x14ac:dyDescent="0.25">
      <c r="A86" s="597">
        <v>59</v>
      </c>
      <c r="B86" s="598" t="s">
        <v>1744</v>
      </c>
      <c r="C86" s="599" t="s">
        <v>1713</v>
      </c>
      <c r="D86" s="599" t="s">
        <v>1730</v>
      </c>
      <c r="E86" s="570" t="s">
        <v>290</v>
      </c>
      <c r="F86" s="830"/>
      <c r="G86" s="831">
        <v>2918</v>
      </c>
      <c r="H86" s="573">
        <f t="shared" si="28"/>
        <v>2918</v>
      </c>
      <c r="I86" s="574"/>
      <c r="J86" s="574"/>
      <c r="K86" s="574"/>
      <c r="L86" s="574"/>
      <c r="M86" s="179">
        <v>2800</v>
      </c>
      <c r="N86" s="177">
        <f t="shared" si="29"/>
        <v>2800</v>
      </c>
      <c r="O86" s="605"/>
      <c r="P86" s="606"/>
      <c r="Q86" s="574">
        <f t="shared" si="24"/>
        <v>0</v>
      </c>
      <c r="R86" s="574">
        <f t="shared" si="25"/>
        <v>0</v>
      </c>
      <c r="S86" s="607"/>
      <c r="T86" s="608"/>
      <c r="U86" s="177"/>
      <c r="V86" s="177"/>
      <c r="W86" s="177"/>
      <c r="X86" s="177"/>
      <c r="Y86" s="177"/>
      <c r="Z86" s="177"/>
      <c r="AA86" s="177"/>
      <c r="AB86" s="177"/>
      <c r="AC86" s="177"/>
      <c r="AD86" s="177"/>
      <c r="AE86" s="177"/>
      <c r="AF86" s="177"/>
      <c r="AG86" s="579" t="s">
        <v>1729</v>
      </c>
      <c r="AH86" s="173">
        <f t="shared" si="31"/>
        <v>0</v>
      </c>
    </row>
    <row r="87" spans="1:34" ht="33" hidden="1" x14ac:dyDescent="0.25">
      <c r="A87" s="526">
        <v>60</v>
      </c>
      <c r="B87" s="817" t="s">
        <v>1743</v>
      </c>
      <c r="C87" s="308" t="s">
        <v>1709</v>
      </c>
      <c r="D87" s="308" t="s">
        <v>1742</v>
      </c>
      <c r="E87" s="507" t="s">
        <v>290</v>
      </c>
      <c r="F87" s="517"/>
      <c r="G87" s="818">
        <v>2750</v>
      </c>
      <c r="H87" s="519">
        <f t="shared" si="28"/>
        <v>2750</v>
      </c>
      <c r="I87" s="277"/>
      <c r="J87" s="277"/>
      <c r="K87" s="277"/>
      <c r="L87" s="277"/>
      <c r="M87" s="179">
        <v>2600</v>
      </c>
      <c r="N87" s="177">
        <f t="shared" si="29"/>
        <v>2600</v>
      </c>
      <c r="O87" s="304"/>
      <c r="P87" s="534"/>
      <c r="Q87" s="277">
        <f t="shared" si="24"/>
        <v>0</v>
      </c>
      <c r="R87" s="277">
        <f t="shared" si="25"/>
        <v>0</v>
      </c>
      <c r="S87" s="461"/>
      <c r="T87" s="535"/>
      <c r="U87" s="177"/>
      <c r="V87" s="177"/>
      <c r="W87" s="177"/>
      <c r="X87" s="177"/>
      <c r="Y87" s="177"/>
      <c r="Z87" s="177"/>
      <c r="AA87" s="177"/>
      <c r="AB87" s="177"/>
      <c r="AC87" s="177"/>
      <c r="AD87" s="177"/>
      <c r="AE87" s="177"/>
      <c r="AF87" s="177"/>
      <c r="AG87" s="520" t="s">
        <v>1741</v>
      </c>
      <c r="AH87" s="173">
        <f t="shared" si="31"/>
        <v>0</v>
      </c>
    </row>
    <row r="88" spans="1:34" ht="33" x14ac:dyDescent="0.25">
      <c r="A88" s="650">
        <v>61</v>
      </c>
      <c r="B88" s="850" t="s">
        <v>1740</v>
      </c>
      <c r="C88" s="652" t="s">
        <v>1709</v>
      </c>
      <c r="D88" s="652" t="s">
        <v>1739</v>
      </c>
      <c r="E88" s="628" t="s">
        <v>290</v>
      </c>
      <c r="F88" s="654"/>
      <c r="G88" s="976">
        <f>H88</f>
        <v>3568</v>
      </c>
      <c r="H88" s="977">
        <v>3568</v>
      </c>
      <c r="I88" s="632"/>
      <c r="J88" s="632"/>
      <c r="K88" s="632"/>
      <c r="L88" s="632"/>
      <c r="M88" s="179">
        <v>2200</v>
      </c>
      <c r="N88" s="177">
        <f t="shared" si="29"/>
        <v>2200</v>
      </c>
      <c r="O88" s="852">
        <v>3200</v>
      </c>
      <c r="P88" s="657">
        <f>O88</f>
        <v>3200</v>
      </c>
      <c r="Q88" s="632"/>
      <c r="R88" s="632">
        <f t="shared" si="25"/>
        <v>1100</v>
      </c>
      <c r="S88" s="853">
        <f>T88</f>
        <v>2100</v>
      </c>
      <c r="T88" s="854">
        <v>2100</v>
      </c>
      <c r="U88" s="177"/>
      <c r="V88" s="177"/>
      <c r="W88" s="177"/>
      <c r="X88" s="177"/>
      <c r="Y88" s="177"/>
      <c r="Z88" s="177"/>
      <c r="AA88" s="177"/>
      <c r="AB88" s="177"/>
      <c r="AC88" s="177"/>
      <c r="AD88" s="177"/>
      <c r="AE88" s="177"/>
      <c r="AF88" s="177"/>
      <c r="AG88" s="638"/>
      <c r="AH88" s="173">
        <f t="shared" si="31"/>
        <v>1</v>
      </c>
    </row>
    <row r="89" spans="1:34" ht="36" hidden="1" customHeight="1" x14ac:dyDescent="0.25">
      <c r="A89" s="597">
        <v>62</v>
      </c>
      <c r="B89" s="598" t="s">
        <v>1738</v>
      </c>
      <c r="C89" s="599" t="s">
        <v>1737</v>
      </c>
      <c r="D89" s="599" t="s">
        <v>1736</v>
      </c>
      <c r="E89" s="570" t="s">
        <v>290</v>
      </c>
      <c r="F89" s="830"/>
      <c r="G89" s="831">
        <v>5000</v>
      </c>
      <c r="H89" s="573">
        <f>G89</f>
        <v>5000</v>
      </c>
      <c r="I89" s="574"/>
      <c r="J89" s="574"/>
      <c r="K89" s="574"/>
      <c r="L89" s="574"/>
      <c r="M89" s="179">
        <v>4750</v>
      </c>
      <c r="N89" s="177">
        <f t="shared" si="29"/>
        <v>4750</v>
      </c>
      <c r="O89" s="605"/>
      <c r="P89" s="606"/>
      <c r="Q89" s="574">
        <f t="shared" si="24"/>
        <v>0</v>
      </c>
      <c r="R89" s="574">
        <f t="shared" si="25"/>
        <v>0</v>
      </c>
      <c r="S89" s="607"/>
      <c r="T89" s="608"/>
      <c r="U89" s="177"/>
      <c r="V89" s="177"/>
      <c r="W89" s="177"/>
      <c r="X89" s="177"/>
      <c r="Y89" s="177"/>
      <c r="Z89" s="177"/>
      <c r="AA89" s="177"/>
      <c r="AB89" s="177"/>
      <c r="AC89" s="177"/>
      <c r="AD89" s="177"/>
      <c r="AE89" s="177"/>
      <c r="AF89" s="177"/>
      <c r="AG89" s="579" t="s">
        <v>284</v>
      </c>
      <c r="AH89" s="173">
        <f t="shared" si="31"/>
        <v>0</v>
      </c>
    </row>
    <row r="90" spans="1:34" ht="33" hidden="1" x14ac:dyDescent="0.25">
      <c r="A90" s="221">
        <v>63</v>
      </c>
      <c r="B90" s="233" t="s">
        <v>1735</v>
      </c>
      <c r="C90" s="188" t="s">
        <v>1709</v>
      </c>
      <c r="D90" s="188" t="s">
        <v>1733</v>
      </c>
      <c r="E90" s="230" t="s">
        <v>290</v>
      </c>
      <c r="F90" s="226"/>
      <c r="G90" s="341">
        <v>3100</v>
      </c>
      <c r="H90" s="229">
        <f>G90</f>
        <v>3100</v>
      </c>
      <c r="I90" s="177"/>
      <c r="J90" s="177"/>
      <c r="K90" s="177"/>
      <c r="L90" s="177"/>
      <c r="M90" s="179">
        <v>2950</v>
      </c>
      <c r="N90" s="177">
        <f t="shared" si="29"/>
        <v>2950</v>
      </c>
      <c r="O90" s="178"/>
      <c r="P90" s="220"/>
      <c r="Q90" s="177">
        <f t="shared" si="24"/>
        <v>0</v>
      </c>
      <c r="R90" s="177">
        <f t="shared" si="25"/>
        <v>0</v>
      </c>
      <c r="S90" s="456"/>
      <c r="T90" s="454"/>
      <c r="U90" s="177"/>
      <c r="V90" s="177"/>
      <c r="W90" s="177"/>
      <c r="X90" s="177"/>
      <c r="Y90" s="177"/>
      <c r="Z90" s="177"/>
      <c r="AA90" s="177"/>
      <c r="AB90" s="177"/>
      <c r="AC90" s="177"/>
      <c r="AD90" s="177"/>
      <c r="AE90" s="177"/>
      <c r="AF90" s="177"/>
      <c r="AG90" s="185" t="s">
        <v>284</v>
      </c>
      <c r="AH90" s="173">
        <f t="shared" si="31"/>
        <v>0</v>
      </c>
    </row>
    <row r="91" spans="1:34" ht="33" hidden="1" x14ac:dyDescent="0.25">
      <c r="A91" s="526">
        <v>64</v>
      </c>
      <c r="B91" s="817" t="s">
        <v>1734</v>
      </c>
      <c r="C91" s="308" t="s">
        <v>1709</v>
      </c>
      <c r="D91" s="308" t="s">
        <v>1733</v>
      </c>
      <c r="E91" s="507" t="s">
        <v>290</v>
      </c>
      <c r="F91" s="517"/>
      <c r="G91" s="818">
        <v>3000</v>
      </c>
      <c r="H91" s="519">
        <f>G91</f>
        <v>3000</v>
      </c>
      <c r="I91" s="277"/>
      <c r="J91" s="277"/>
      <c r="K91" s="277"/>
      <c r="L91" s="277"/>
      <c r="M91" s="179">
        <v>2850</v>
      </c>
      <c r="N91" s="177">
        <f t="shared" si="29"/>
        <v>2850</v>
      </c>
      <c r="O91" s="304"/>
      <c r="P91" s="534"/>
      <c r="Q91" s="277">
        <f t="shared" si="24"/>
        <v>0</v>
      </c>
      <c r="R91" s="277">
        <f t="shared" si="25"/>
        <v>0</v>
      </c>
      <c r="S91" s="461"/>
      <c r="T91" s="535"/>
      <c r="U91" s="177"/>
      <c r="V91" s="177"/>
      <c r="W91" s="177"/>
      <c r="X91" s="177"/>
      <c r="Y91" s="177"/>
      <c r="Z91" s="177"/>
      <c r="AA91" s="177"/>
      <c r="AB91" s="177"/>
      <c r="AC91" s="177"/>
      <c r="AD91" s="177"/>
      <c r="AE91" s="177"/>
      <c r="AF91" s="177"/>
      <c r="AG91" s="520" t="s">
        <v>284</v>
      </c>
      <c r="AH91" s="173">
        <f t="shared" si="31"/>
        <v>0</v>
      </c>
    </row>
    <row r="92" spans="1:34" ht="49.5" x14ac:dyDescent="0.25">
      <c r="A92" s="650">
        <v>65</v>
      </c>
      <c r="B92" s="979" t="s">
        <v>1732</v>
      </c>
      <c r="C92" s="652" t="s">
        <v>1709</v>
      </c>
      <c r="D92" s="652" t="s">
        <v>1715</v>
      </c>
      <c r="E92" s="628" t="s">
        <v>290</v>
      </c>
      <c r="F92" s="654"/>
      <c r="G92" s="851">
        <f>H92</f>
        <v>3895</v>
      </c>
      <c r="H92" s="631">
        <v>3895</v>
      </c>
      <c r="I92" s="632"/>
      <c r="J92" s="632"/>
      <c r="K92" s="632"/>
      <c r="L92" s="632"/>
      <c r="M92" s="179">
        <v>2850</v>
      </c>
      <c r="N92" s="177">
        <f t="shared" ref="N92" si="32">M92</f>
        <v>2850</v>
      </c>
      <c r="O92" s="852">
        <v>3350</v>
      </c>
      <c r="P92" s="657">
        <f>O92</f>
        <v>3350</v>
      </c>
      <c r="Q92" s="632"/>
      <c r="R92" s="632">
        <f t="shared" si="25"/>
        <v>650</v>
      </c>
      <c r="S92" s="853">
        <f t="shared" ref="S92:S98" si="33">T92</f>
        <v>2700</v>
      </c>
      <c r="T92" s="854">
        <v>2700</v>
      </c>
      <c r="U92" s="177"/>
      <c r="V92" s="177"/>
      <c r="W92" s="177"/>
      <c r="X92" s="177"/>
      <c r="Y92" s="177"/>
      <c r="Z92" s="177"/>
      <c r="AA92" s="177"/>
      <c r="AB92" s="177"/>
      <c r="AC92" s="177"/>
      <c r="AD92" s="177"/>
      <c r="AE92" s="177"/>
      <c r="AF92" s="177"/>
      <c r="AG92" s="638"/>
      <c r="AH92" s="173">
        <f t="shared" si="31"/>
        <v>1</v>
      </c>
    </row>
    <row r="93" spans="1:34" ht="49.5" x14ac:dyDescent="0.25">
      <c r="A93" s="650">
        <v>66</v>
      </c>
      <c r="B93" s="850" t="s">
        <v>1731</v>
      </c>
      <c r="C93" s="652" t="s">
        <v>1709</v>
      </c>
      <c r="D93" s="652" t="s">
        <v>1730</v>
      </c>
      <c r="E93" s="628" t="s">
        <v>290</v>
      </c>
      <c r="F93" s="654"/>
      <c r="G93" s="851">
        <v>1365</v>
      </c>
      <c r="H93" s="631">
        <f>G93</f>
        <v>1365</v>
      </c>
      <c r="I93" s="632"/>
      <c r="J93" s="632"/>
      <c r="K93" s="632"/>
      <c r="L93" s="632"/>
      <c r="M93" s="179"/>
      <c r="N93" s="177"/>
      <c r="O93" s="852">
        <v>1000</v>
      </c>
      <c r="P93" s="657">
        <f>O93</f>
        <v>1000</v>
      </c>
      <c r="Q93" s="632">
        <f t="shared" ref="Q93:Q106" si="34">S93-O93</f>
        <v>100</v>
      </c>
      <c r="R93" s="632"/>
      <c r="S93" s="853">
        <f t="shared" si="33"/>
        <v>1100</v>
      </c>
      <c r="T93" s="854">
        <v>1100</v>
      </c>
      <c r="U93" s="177"/>
      <c r="V93" s="177"/>
      <c r="W93" s="177"/>
      <c r="X93" s="177"/>
      <c r="Y93" s="177"/>
      <c r="Z93" s="177"/>
      <c r="AA93" s="177"/>
      <c r="AB93" s="177"/>
      <c r="AC93" s="177"/>
      <c r="AD93" s="177"/>
      <c r="AE93" s="177"/>
      <c r="AF93" s="177"/>
      <c r="AG93" s="637" t="s">
        <v>1729</v>
      </c>
      <c r="AH93" s="173">
        <f t="shared" si="31"/>
        <v>1</v>
      </c>
    </row>
    <row r="94" spans="1:34" s="157" customFormat="1" ht="49.5" x14ac:dyDescent="0.25">
      <c r="A94" s="650">
        <v>67</v>
      </c>
      <c r="B94" s="985" t="s">
        <v>1728</v>
      </c>
      <c r="C94" s="894" t="s">
        <v>1252</v>
      </c>
      <c r="D94" s="894" t="s">
        <v>1727</v>
      </c>
      <c r="E94" s="981" t="s">
        <v>290</v>
      </c>
      <c r="F94" s="982"/>
      <c r="G94" s="976">
        <f t="shared" ref="G94:G106" si="35">H94</f>
        <v>4075</v>
      </c>
      <c r="H94" s="977">
        <v>4075</v>
      </c>
      <c r="I94" s="898"/>
      <c r="J94" s="898"/>
      <c r="K94" s="898"/>
      <c r="L94" s="898"/>
      <c r="M94" s="4"/>
      <c r="N94" s="244"/>
      <c r="O94" s="902">
        <v>3530</v>
      </c>
      <c r="P94" s="983">
        <v>3530</v>
      </c>
      <c r="Q94" s="632"/>
      <c r="R94" s="632">
        <f t="shared" ref="R94:R104" si="36">P94-T94</f>
        <v>530</v>
      </c>
      <c r="S94" s="974">
        <f t="shared" si="33"/>
        <v>3000</v>
      </c>
      <c r="T94" s="975">
        <v>3000</v>
      </c>
      <c r="U94" s="244"/>
      <c r="V94" s="244"/>
      <c r="W94" s="244"/>
      <c r="X94" s="244"/>
      <c r="Y94" s="244"/>
      <c r="Z94" s="244"/>
      <c r="AA94" s="244"/>
      <c r="AB94" s="244"/>
      <c r="AC94" s="244"/>
      <c r="AD94" s="244"/>
      <c r="AE94" s="244"/>
      <c r="AF94" s="244"/>
      <c r="AG94" s="984" t="s">
        <v>871</v>
      </c>
      <c r="AH94" s="173">
        <f t="shared" si="31"/>
        <v>1</v>
      </c>
    </row>
    <row r="95" spans="1:34" s="157" customFormat="1" ht="49.5" x14ac:dyDescent="0.25">
      <c r="A95" s="650">
        <v>68</v>
      </c>
      <c r="B95" s="985" t="s">
        <v>1726</v>
      </c>
      <c r="C95" s="894" t="s">
        <v>1709</v>
      </c>
      <c r="D95" s="894" t="s">
        <v>1715</v>
      </c>
      <c r="E95" s="981" t="s">
        <v>290</v>
      </c>
      <c r="F95" s="982"/>
      <c r="G95" s="976">
        <f t="shared" si="35"/>
        <v>6196</v>
      </c>
      <c r="H95" s="977">
        <v>6196</v>
      </c>
      <c r="I95" s="898"/>
      <c r="J95" s="898"/>
      <c r="K95" s="898"/>
      <c r="L95" s="898"/>
      <c r="M95" s="4"/>
      <c r="N95" s="244"/>
      <c r="O95" s="902">
        <v>5420</v>
      </c>
      <c r="P95" s="983">
        <f t="shared" ref="P95:P105" si="37">O95</f>
        <v>5420</v>
      </c>
      <c r="Q95" s="632"/>
      <c r="R95" s="632">
        <f t="shared" si="36"/>
        <v>1775</v>
      </c>
      <c r="S95" s="974">
        <f t="shared" si="33"/>
        <v>3645</v>
      </c>
      <c r="T95" s="975">
        <v>3645</v>
      </c>
      <c r="U95" s="244"/>
      <c r="V95" s="244"/>
      <c r="W95" s="244"/>
      <c r="X95" s="244"/>
      <c r="Y95" s="244"/>
      <c r="Z95" s="244"/>
      <c r="AA95" s="244"/>
      <c r="AB95" s="244"/>
      <c r="AC95" s="244"/>
      <c r="AD95" s="244"/>
      <c r="AE95" s="244"/>
      <c r="AF95" s="244"/>
      <c r="AG95" s="984" t="s">
        <v>871</v>
      </c>
      <c r="AH95" s="173">
        <f t="shared" si="31"/>
        <v>1</v>
      </c>
    </row>
    <row r="96" spans="1:34" ht="33" x14ac:dyDescent="0.25">
      <c r="A96" s="650">
        <v>69</v>
      </c>
      <c r="B96" s="979" t="s">
        <v>1725</v>
      </c>
      <c r="C96" s="652" t="s">
        <v>1713</v>
      </c>
      <c r="D96" s="652" t="s">
        <v>1724</v>
      </c>
      <c r="E96" s="628" t="s">
        <v>290</v>
      </c>
      <c r="F96" s="654"/>
      <c r="G96" s="851">
        <f t="shared" si="35"/>
        <v>2520</v>
      </c>
      <c r="H96" s="631">
        <v>2520</v>
      </c>
      <c r="I96" s="632"/>
      <c r="J96" s="632"/>
      <c r="K96" s="632"/>
      <c r="L96" s="632"/>
      <c r="M96" s="179"/>
      <c r="N96" s="177"/>
      <c r="O96" s="852">
        <v>1000</v>
      </c>
      <c r="P96" s="657">
        <f t="shared" si="37"/>
        <v>1000</v>
      </c>
      <c r="Q96" s="632">
        <f t="shared" si="34"/>
        <v>2385</v>
      </c>
      <c r="R96" s="632"/>
      <c r="S96" s="853">
        <f t="shared" si="33"/>
        <v>3385</v>
      </c>
      <c r="T96" s="854">
        <v>3385</v>
      </c>
      <c r="U96" s="177"/>
      <c r="V96" s="177"/>
      <c r="W96" s="177"/>
      <c r="X96" s="177"/>
      <c r="Y96" s="177"/>
      <c r="Z96" s="177"/>
      <c r="AA96" s="177"/>
      <c r="AB96" s="177"/>
      <c r="AC96" s="177"/>
      <c r="AD96" s="177"/>
      <c r="AE96" s="177"/>
      <c r="AF96" s="177"/>
      <c r="AG96" s="984" t="s">
        <v>871</v>
      </c>
      <c r="AH96" s="173">
        <f t="shared" si="31"/>
        <v>1</v>
      </c>
    </row>
    <row r="97" spans="1:34" ht="33" x14ac:dyDescent="0.25">
      <c r="A97" s="650">
        <v>70</v>
      </c>
      <c r="B97" s="979" t="s">
        <v>1723</v>
      </c>
      <c r="C97" s="652" t="s">
        <v>1713</v>
      </c>
      <c r="D97" s="652" t="s">
        <v>1722</v>
      </c>
      <c r="E97" s="628" t="s">
        <v>290</v>
      </c>
      <c r="F97" s="654"/>
      <c r="G97" s="851">
        <f t="shared" si="35"/>
        <v>2940</v>
      </c>
      <c r="H97" s="631">
        <v>2940</v>
      </c>
      <c r="I97" s="632"/>
      <c r="J97" s="632"/>
      <c r="K97" s="632"/>
      <c r="L97" s="632"/>
      <c r="M97" s="179"/>
      <c r="N97" s="177"/>
      <c r="O97" s="852">
        <v>600</v>
      </c>
      <c r="P97" s="657">
        <f t="shared" si="37"/>
        <v>600</v>
      </c>
      <c r="Q97" s="632">
        <f t="shared" si="34"/>
        <v>1745</v>
      </c>
      <c r="R97" s="632"/>
      <c r="S97" s="853">
        <f t="shared" si="33"/>
        <v>2345</v>
      </c>
      <c r="T97" s="854">
        <v>2345</v>
      </c>
      <c r="U97" s="177"/>
      <c r="V97" s="177"/>
      <c r="W97" s="177"/>
      <c r="X97" s="177"/>
      <c r="Y97" s="177"/>
      <c r="Z97" s="177"/>
      <c r="AA97" s="177"/>
      <c r="AB97" s="177"/>
      <c r="AC97" s="177"/>
      <c r="AD97" s="177"/>
      <c r="AE97" s="177"/>
      <c r="AF97" s="177"/>
      <c r="AG97" s="984" t="s">
        <v>871</v>
      </c>
      <c r="AH97" s="173">
        <f t="shared" si="31"/>
        <v>1</v>
      </c>
    </row>
    <row r="98" spans="1:34" ht="33" x14ac:dyDescent="0.25">
      <c r="A98" s="650">
        <v>71</v>
      </c>
      <c r="B98" s="979" t="s">
        <v>1721</v>
      </c>
      <c r="C98" s="652" t="s">
        <v>1713</v>
      </c>
      <c r="D98" s="652" t="s">
        <v>1715</v>
      </c>
      <c r="E98" s="628" t="s">
        <v>290</v>
      </c>
      <c r="F98" s="654"/>
      <c r="G98" s="851">
        <f t="shared" si="35"/>
        <v>2352</v>
      </c>
      <c r="H98" s="631">
        <v>2352</v>
      </c>
      <c r="I98" s="632"/>
      <c r="J98" s="632"/>
      <c r="K98" s="632"/>
      <c r="L98" s="632"/>
      <c r="M98" s="179"/>
      <c r="N98" s="177"/>
      <c r="O98" s="852">
        <v>2000</v>
      </c>
      <c r="P98" s="657">
        <f t="shared" si="37"/>
        <v>2000</v>
      </c>
      <c r="Q98" s="632">
        <f t="shared" si="34"/>
        <v>4571</v>
      </c>
      <c r="R98" s="632"/>
      <c r="S98" s="853">
        <f t="shared" si="33"/>
        <v>6571</v>
      </c>
      <c r="T98" s="854">
        <v>6571</v>
      </c>
      <c r="U98" s="177"/>
      <c r="V98" s="177"/>
      <c r="W98" s="177"/>
      <c r="X98" s="177"/>
      <c r="Y98" s="177"/>
      <c r="Z98" s="177"/>
      <c r="AA98" s="177"/>
      <c r="AB98" s="177"/>
      <c r="AC98" s="177"/>
      <c r="AD98" s="177"/>
      <c r="AE98" s="177"/>
      <c r="AF98" s="177"/>
      <c r="AG98" s="984" t="s">
        <v>871</v>
      </c>
      <c r="AH98" s="173">
        <f t="shared" si="31"/>
        <v>1</v>
      </c>
    </row>
    <row r="99" spans="1:34" ht="33" hidden="1" x14ac:dyDescent="0.25">
      <c r="A99" s="609">
        <v>72</v>
      </c>
      <c r="B99" s="843" t="s">
        <v>1720</v>
      </c>
      <c r="C99" s="611" t="s">
        <v>1713</v>
      </c>
      <c r="D99" s="611" t="s">
        <v>1719</v>
      </c>
      <c r="E99" s="554" t="s">
        <v>290</v>
      </c>
      <c r="F99" s="555"/>
      <c r="G99" s="829">
        <f t="shared" si="35"/>
        <v>2730</v>
      </c>
      <c r="H99" s="557">
        <v>2730</v>
      </c>
      <c r="I99" s="564"/>
      <c r="J99" s="564"/>
      <c r="K99" s="564"/>
      <c r="L99" s="564"/>
      <c r="M99" s="179"/>
      <c r="N99" s="177"/>
      <c r="O99" s="827">
        <v>2300</v>
      </c>
      <c r="P99" s="615">
        <f t="shared" si="37"/>
        <v>2300</v>
      </c>
      <c r="Q99" s="564">
        <f t="shared" si="34"/>
        <v>0</v>
      </c>
      <c r="R99" s="564">
        <f t="shared" si="36"/>
        <v>0</v>
      </c>
      <c r="S99" s="828">
        <v>2300</v>
      </c>
      <c r="T99" s="616">
        <v>2300</v>
      </c>
      <c r="U99" s="177"/>
      <c r="V99" s="177"/>
      <c r="W99" s="177"/>
      <c r="X99" s="177"/>
      <c r="Y99" s="177"/>
      <c r="Z99" s="177"/>
      <c r="AA99" s="177"/>
      <c r="AB99" s="177"/>
      <c r="AC99" s="177"/>
      <c r="AD99" s="177"/>
      <c r="AE99" s="177"/>
      <c r="AF99" s="177"/>
      <c r="AG99" s="956" t="s">
        <v>871</v>
      </c>
      <c r="AH99" s="173">
        <f t="shared" si="31"/>
        <v>0</v>
      </c>
    </row>
    <row r="100" spans="1:34" ht="33" x14ac:dyDescent="0.25">
      <c r="A100" s="650">
        <v>73</v>
      </c>
      <c r="B100" s="979" t="s">
        <v>1718</v>
      </c>
      <c r="C100" s="652" t="s">
        <v>1713</v>
      </c>
      <c r="D100" s="652" t="s">
        <v>1715</v>
      </c>
      <c r="E100" s="628" t="s">
        <v>290</v>
      </c>
      <c r="F100" s="654"/>
      <c r="G100" s="851">
        <f t="shared" si="35"/>
        <v>1680</v>
      </c>
      <c r="H100" s="631">
        <v>1680</v>
      </c>
      <c r="I100" s="632"/>
      <c r="J100" s="632"/>
      <c r="K100" s="632"/>
      <c r="L100" s="632"/>
      <c r="M100" s="179"/>
      <c r="N100" s="177"/>
      <c r="O100" s="852">
        <v>1400</v>
      </c>
      <c r="P100" s="657">
        <f t="shared" si="37"/>
        <v>1400</v>
      </c>
      <c r="Q100" s="632">
        <f t="shared" si="34"/>
        <v>1465</v>
      </c>
      <c r="R100" s="632"/>
      <c r="S100" s="853">
        <f>T100</f>
        <v>2865</v>
      </c>
      <c r="T100" s="854">
        <v>2865</v>
      </c>
      <c r="U100" s="177"/>
      <c r="V100" s="177"/>
      <c r="W100" s="177"/>
      <c r="X100" s="177"/>
      <c r="Y100" s="177"/>
      <c r="Z100" s="177"/>
      <c r="AA100" s="177"/>
      <c r="AB100" s="177"/>
      <c r="AC100" s="177"/>
      <c r="AD100" s="177"/>
      <c r="AE100" s="177"/>
      <c r="AF100" s="177"/>
      <c r="AG100" s="984" t="s">
        <v>871</v>
      </c>
      <c r="AH100" s="173">
        <f t="shared" si="31"/>
        <v>1</v>
      </c>
    </row>
    <row r="101" spans="1:34" ht="33" x14ac:dyDescent="0.25">
      <c r="A101" s="650">
        <v>74</v>
      </c>
      <c r="B101" s="979" t="s">
        <v>1717</v>
      </c>
      <c r="C101" s="652" t="s">
        <v>1713</v>
      </c>
      <c r="D101" s="652" t="s">
        <v>1715</v>
      </c>
      <c r="E101" s="628" t="s">
        <v>290</v>
      </c>
      <c r="F101" s="654"/>
      <c r="G101" s="851">
        <f t="shared" si="35"/>
        <v>1890</v>
      </c>
      <c r="H101" s="631">
        <v>1890</v>
      </c>
      <c r="I101" s="632"/>
      <c r="J101" s="632"/>
      <c r="K101" s="632"/>
      <c r="L101" s="632"/>
      <c r="M101" s="179"/>
      <c r="N101" s="177"/>
      <c r="O101" s="852">
        <v>1600</v>
      </c>
      <c r="P101" s="657">
        <f t="shared" si="37"/>
        <v>1600</v>
      </c>
      <c r="Q101" s="632">
        <f t="shared" si="34"/>
        <v>7</v>
      </c>
      <c r="R101" s="632"/>
      <c r="S101" s="853">
        <f>T101</f>
        <v>1607</v>
      </c>
      <c r="T101" s="854">
        <v>1607</v>
      </c>
      <c r="U101" s="177"/>
      <c r="V101" s="177"/>
      <c r="W101" s="177"/>
      <c r="X101" s="177"/>
      <c r="Y101" s="177"/>
      <c r="Z101" s="177"/>
      <c r="AA101" s="177"/>
      <c r="AB101" s="177"/>
      <c r="AC101" s="177"/>
      <c r="AD101" s="177"/>
      <c r="AE101" s="177"/>
      <c r="AF101" s="177"/>
      <c r="AG101" s="984" t="s">
        <v>871</v>
      </c>
      <c r="AH101" s="173">
        <f t="shared" si="31"/>
        <v>1</v>
      </c>
    </row>
    <row r="102" spans="1:34" ht="33" hidden="1" x14ac:dyDescent="0.25">
      <c r="A102" s="609">
        <v>75</v>
      </c>
      <c r="B102" s="843" t="s">
        <v>1716</v>
      </c>
      <c r="C102" s="611" t="s">
        <v>1713</v>
      </c>
      <c r="D102" s="611" t="s">
        <v>1715</v>
      </c>
      <c r="E102" s="554" t="s">
        <v>290</v>
      </c>
      <c r="F102" s="555"/>
      <c r="G102" s="829">
        <f t="shared" si="35"/>
        <v>2100</v>
      </c>
      <c r="H102" s="557">
        <v>2100</v>
      </c>
      <c r="I102" s="564"/>
      <c r="J102" s="564"/>
      <c r="K102" s="564"/>
      <c r="L102" s="564"/>
      <c r="M102" s="179"/>
      <c r="N102" s="177"/>
      <c r="O102" s="827">
        <v>1700</v>
      </c>
      <c r="P102" s="615">
        <f t="shared" si="37"/>
        <v>1700</v>
      </c>
      <c r="Q102" s="564">
        <f t="shared" si="34"/>
        <v>0</v>
      </c>
      <c r="R102" s="564">
        <f t="shared" si="36"/>
        <v>0</v>
      </c>
      <c r="S102" s="828">
        <v>1700</v>
      </c>
      <c r="T102" s="616">
        <v>1700</v>
      </c>
      <c r="U102" s="177"/>
      <c r="V102" s="177"/>
      <c r="W102" s="177"/>
      <c r="X102" s="177"/>
      <c r="Y102" s="177"/>
      <c r="Z102" s="177"/>
      <c r="AA102" s="177"/>
      <c r="AB102" s="177"/>
      <c r="AC102" s="177"/>
      <c r="AD102" s="177"/>
      <c r="AE102" s="177"/>
      <c r="AF102" s="177"/>
      <c r="AG102" s="956" t="s">
        <v>871</v>
      </c>
      <c r="AH102" s="173">
        <f t="shared" si="31"/>
        <v>0</v>
      </c>
    </row>
    <row r="103" spans="1:34" ht="33" x14ac:dyDescent="0.25">
      <c r="A103" s="650">
        <v>76</v>
      </c>
      <c r="B103" s="979" t="s">
        <v>1714</v>
      </c>
      <c r="C103" s="652" t="s">
        <v>1713</v>
      </c>
      <c r="D103" s="652" t="s">
        <v>1712</v>
      </c>
      <c r="E103" s="628" t="s">
        <v>290</v>
      </c>
      <c r="F103" s="654"/>
      <c r="G103" s="851">
        <f t="shared" si="35"/>
        <v>14000</v>
      </c>
      <c r="H103" s="631">
        <v>14000</v>
      </c>
      <c r="I103" s="632"/>
      <c r="J103" s="632"/>
      <c r="K103" s="632"/>
      <c r="L103" s="632"/>
      <c r="M103" s="179"/>
      <c r="N103" s="177"/>
      <c r="O103" s="852">
        <v>10500</v>
      </c>
      <c r="P103" s="657">
        <f t="shared" si="37"/>
        <v>10500</v>
      </c>
      <c r="Q103" s="632">
        <f t="shared" si="34"/>
        <v>5364</v>
      </c>
      <c r="R103" s="632"/>
      <c r="S103" s="853">
        <f>T103</f>
        <v>15864</v>
      </c>
      <c r="T103" s="854">
        <v>15864</v>
      </c>
      <c r="U103" s="177"/>
      <c r="V103" s="177"/>
      <c r="W103" s="177"/>
      <c r="X103" s="177"/>
      <c r="Y103" s="177"/>
      <c r="Z103" s="177"/>
      <c r="AA103" s="177"/>
      <c r="AB103" s="177"/>
      <c r="AC103" s="177"/>
      <c r="AD103" s="177"/>
      <c r="AE103" s="177"/>
      <c r="AF103" s="177"/>
      <c r="AG103" s="984" t="s">
        <v>871</v>
      </c>
      <c r="AH103" s="173">
        <f t="shared" si="31"/>
        <v>1</v>
      </c>
    </row>
    <row r="104" spans="1:34" ht="49.5" x14ac:dyDescent="0.25">
      <c r="A104" s="650">
        <v>77</v>
      </c>
      <c r="B104" s="979" t="s">
        <v>1711</v>
      </c>
      <c r="C104" s="652" t="s">
        <v>1709</v>
      </c>
      <c r="D104" s="652" t="s">
        <v>1715</v>
      </c>
      <c r="E104" s="628" t="s">
        <v>290</v>
      </c>
      <c r="F104" s="654"/>
      <c r="G104" s="851">
        <f t="shared" si="35"/>
        <v>1616</v>
      </c>
      <c r="H104" s="631">
        <v>1616</v>
      </c>
      <c r="I104" s="632"/>
      <c r="J104" s="632"/>
      <c r="K104" s="632"/>
      <c r="L104" s="632"/>
      <c r="M104" s="179"/>
      <c r="N104" s="177"/>
      <c r="O104" s="852">
        <v>1400</v>
      </c>
      <c r="P104" s="657">
        <f t="shared" si="37"/>
        <v>1400</v>
      </c>
      <c r="Q104" s="632"/>
      <c r="R104" s="632">
        <f t="shared" si="36"/>
        <v>92</v>
      </c>
      <c r="S104" s="853">
        <f>T104</f>
        <v>1308</v>
      </c>
      <c r="T104" s="854">
        <v>1308</v>
      </c>
      <c r="U104" s="177"/>
      <c r="V104" s="177"/>
      <c r="W104" s="177"/>
      <c r="X104" s="177"/>
      <c r="Y104" s="177"/>
      <c r="Z104" s="177"/>
      <c r="AA104" s="177"/>
      <c r="AB104" s="177"/>
      <c r="AC104" s="177"/>
      <c r="AD104" s="177"/>
      <c r="AE104" s="177"/>
      <c r="AF104" s="177"/>
      <c r="AG104" s="984" t="s">
        <v>871</v>
      </c>
      <c r="AH104" s="173">
        <f t="shared" si="31"/>
        <v>1</v>
      </c>
    </row>
    <row r="105" spans="1:34" ht="49.5" x14ac:dyDescent="0.25">
      <c r="A105" s="650">
        <v>78</v>
      </c>
      <c r="B105" s="979" t="s">
        <v>1710</v>
      </c>
      <c r="C105" s="652" t="s">
        <v>1709</v>
      </c>
      <c r="D105" s="652" t="s">
        <v>1715</v>
      </c>
      <c r="E105" s="628" t="s">
        <v>290</v>
      </c>
      <c r="F105" s="654"/>
      <c r="G105" s="851">
        <f t="shared" si="35"/>
        <v>2074</v>
      </c>
      <c r="H105" s="631">
        <v>2074</v>
      </c>
      <c r="I105" s="632"/>
      <c r="J105" s="632"/>
      <c r="K105" s="632"/>
      <c r="L105" s="632"/>
      <c r="M105" s="179"/>
      <c r="N105" s="177"/>
      <c r="O105" s="852">
        <v>1800</v>
      </c>
      <c r="P105" s="657">
        <f t="shared" si="37"/>
        <v>1800</v>
      </c>
      <c r="Q105" s="632">
        <f t="shared" si="34"/>
        <v>27</v>
      </c>
      <c r="R105" s="632"/>
      <c r="S105" s="853">
        <f>T105</f>
        <v>1827</v>
      </c>
      <c r="T105" s="854">
        <v>1827</v>
      </c>
      <c r="U105" s="177"/>
      <c r="V105" s="177"/>
      <c r="W105" s="177"/>
      <c r="X105" s="177"/>
      <c r="Y105" s="177"/>
      <c r="Z105" s="177"/>
      <c r="AA105" s="177"/>
      <c r="AB105" s="177"/>
      <c r="AC105" s="177"/>
      <c r="AD105" s="177"/>
      <c r="AE105" s="177"/>
      <c r="AF105" s="177"/>
      <c r="AG105" s="984" t="s">
        <v>871</v>
      </c>
      <c r="AH105" s="173">
        <f t="shared" si="31"/>
        <v>1</v>
      </c>
    </row>
    <row r="106" spans="1:34" ht="49.5" x14ac:dyDescent="0.25">
      <c r="A106" s="650">
        <v>79</v>
      </c>
      <c r="B106" s="979" t="s">
        <v>2137</v>
      </c>
      <c r="C106" s="652" t="s">
        <v>1709</v>
      </c>
      <c r="D106" s="652" t="s">
        <v>1715</v>
      </c>
      <c r="E106" s="628" t="s">
        <v>290</v>
      </c>
      <c r="F106" s="654"/>
      <c r="G106" s="851">
        <f t="shared" si="35"/>
        <v>7520</v>
      </c>
      <c r="H106" s="631">
        <v>7520</v>
      </c>
      <c r="I106" s="632"/>
      <c r="J106" s="632"/>
      <c r="K106" s="632"/>
      <c r="L106" s="632"/>
      <c r="M106" s="179"/>
      <c r="N106" s="177"/>
      <c r="O106" s="852"/>
      <c r="P106" s="657"/>
      <c r="Q106" s="632">
        <f t="shared" si="34"/>
        <v>5640</v>
      </c>
      <c r="R106" s="632"/>
      <c r="S106" s="632">
        <f t="shared" ref="S106" si="38">V106-N106</f>
        <v>5640</v>
      </c>
      <c r="T106" s="632">
        <f>S106</f>
        <v>5640</v>
      </c>
      <c r="U106" s="456">
        <f>V106</f>
        <v>5640</v>
      </c>
      <c r="V106" s="454">
        <v>5640</v>
      </c>
      <c r="W106" s="177"/>
      <c r="X106" s="177"/>
      <c r="Y106" s="177"/>
      <c r="Z106" s="177"/>
      <c r="AA106" s="177"/>
      <c r="AB106" s="177"/>
      <c r="AC106" s="177"/>
      <c r="AD106" s="177"/>
      <c r="AE106" s="177"/>
      <c r="AF106" s="177"/>
      <c r="AG106" s="984" t="s">
        <v>871</v>
      </c>
      <c r="AH106" s="173">
        <f t="shared" si="31"/>
        <v>1</v>
      </c>
    </row>
    <row r="107" spans="1:34" s="203" customFormat="1" ht="16.5" hidden="1" x14ac:dyDescent="0.25">
      <c r="A107" s="957" t="s">
        <v>173</v>
      </c>
      <c r="B107" s="958" t="s">
        <v>1114</v>
      </c>
      <c r="C107" s="959"/>
      <c r="D107" s="957"/>
      <c r="E107" s="957"/>
      <c r="F107" s="960"/>
      <c r="G107" s="961">
        <f>G116</f>
        <v>163360</v>
      </c>
      <c r="H107" s="961">
        <f>H116</f>
        <v>163360</v>
      </c>
      <c r="I107" s="961">
        <f>I108+I116</f>
        <v>10500</v>
      </c>
      <c r="J107" s="961">
        <f>J108+J116</f>
        <v>10500</v>
      </c>
      <c r="K107" s="961">
        <f>K108+K116</f>
        <v>10500</v>
      </c>
      <c r="L107" s="961">
        <f>L108+L116</f>
        <v>10500</v>
      </c>
      <c r="M107" s="419">
        <f>M116</f>
        <v>117300</v>
      </c>
      <c r="N107" s="419">
        <f>N116</f>
        <v>117300</v>
      </c>
      <c r="O107" s="961">
        <f>O116</f>
        <v>117300</v>
      </c>
      <c r="P107" s="961">
        <f>P116</f>
        <v>117300</v>
      </c>
      <c r="Q107" s="961">
        <f t="shared" ref="Q107:X107" si="39">Q116</f>
        <v>0</v>
      </c>
      <c r="R107" s="961">
        <f t="shared" si="39"/>
        <v>0</v>
      </c>
      <c r="S107" s="962">
        <f t="shared" si="39"/>
        <v>117300</v>
      </c>
      <c r="T107" s="962">
        <f t="shared" si="39"/>
        <v>117300</v>
      </c>
      <c r="U107" s="419">
        <f t="shared" si="39"/>
        <v>0</v>
      </c>
      <c r="V107" s="419">
        <f t="shared" si="39"/>
        <v>0</v>
      </c>
      <c r="W107" s="419">
        <f t="shared" si="39"/>
        <v>0</v>
      </c>
      <c r="X107" s="419">
        <f t="shared" si="39"/>
        <v>0</v>
      </c>
      <c r="Y107" s="418">
        <f t="shared" ref="Y107:AF107" si="40">Y108+Y116</f>
        <v>0</v>
      </c>
      <c r="Z107" s="418">
        <f t="shared" si="40"/>
        <v>0</v>
      </c>
      <c r="AA107" s="418">
        <f t="shared" si="40"/>
        <v>0</v>
      </c>
      <c r="AB107" s="418">
        <f t="shared" si="40"/>
        <v>0</v>
      </c>
      <c r="AC107" s="418">
        <f t="shared" si="40"/>
        <v>0</v>
      </c>
      <c r="AD107" s="418">
        <f t="shared" si="40"/>
        <v>0</v>
      </c>
      <c r="AE107" s="418">
        <f t="shared" si="40"/>
        <v>0</v>
      </c>
      <c r="AF107" s="418">
        <f t="shared" si="40"/>
        <v>0</v>
      </c>
      <c r="AG107" s="620"/>
      <c r="AH107" s="173">
        <f t="shared" si="31"/>
        <v>0</v>
      </c>
    </row>
    <row r="108" spans="1:34" ht="51.75" hidden="1" x14ac:dyDescent="0.25">
      <c r="A108" s="195" t="s">
        <v>45</v>
      </c>
      <c r="B108" s="193" t="s">
        <v>46</v>
      </c>
      <c r="C108" s="192"/>
      <c r="D108" s="192"/>
      <c r="E108" s="192"/>
      <c r="F108" s="192"/>
      <c r="G108" s="191">
        <f t="shared" ref="G108:AF108" si="41">G109</f>
        <v>17774</v>
      </c>
      <c r="H108" s="191">
        <f t="shared" si="41"/>
        <v>17774</v>
      </c>
      <c r="I108" s="191">
        <f t="shared" si="41"/>
        <v>10500</v>
      </c>
      <c r="J108" s="191">
        <f t="shared" si="41"/>
        <v>10500</v>
      </c>
      <c r="K108" s="191">
        <f t="shared" si="41"/>
        <v>10500</v>
      </c>
      <c r="L108" s="191">
        <f t="shared" si="41"/>
        <v>10500</v>
      </c>
      <c r="M108" s="191">
        <f t="shared" si="41"/>
        <v>4370</v>
      </c>
      <c r="N108" s="191">
        <f t="shared" si="41"/>
        <v>4370</v>
      </c>
      <c r="O108" s="190">
        <f t="shared" si="41"/>
        <v>4370</v>
      </c>
      <c r="P108" s="190">
        <f t="shared" si="41"/>
        <v>4370</v>
      </c>
      <c r="Q108" s="191">
        <f t="shared" si="41"/>
        <v>0</v>
      </c>
      <c r="R108" s="191">
        <f t="shared" si="41"/>
        <v>0</v>
      </c>
      <c r="S108" s="474">
        <f t="shared" si="41"/>
        <v>4370</v>
      </c>
      <c r="T108" s="474">
        <f t="shared" si="41"/>
        <v>4370</v>
      </c>
      <c r="U108" s="190">
        <f t="shared" si="41"/>
        <v>4373</v>
      </c>
      <c r="V108" s="190">
        <f t="shared" si="41"/>
        <v>4373</v>
      </c>
      <c r="W108" s="190">
        <f t="shared" si="41"/>
        <v>0</v>
      </c>
      <c r="X108" s="190">
        <f t="shared" si="41"/>
        <v>0</v>
      </c>
      <c r="Y108" s="190">
        <f t="shared" si="41"/>
        <v>0</v>
      </c>
      <c r="Z108" s="190">
        <f t="shared" si="41"/>
        <v>0</v>
      </c>
      <c r="AA108" s="190">
        <f t="shared" si="41"/>
        <v>0</v>
      </c>
      <c r="AB108" s="190">
        <f t="shared" si="41"/>
        <v>0</v>
      </c>
      <c r="AC108" s="190">
        <f t="shared" si="41"/>
        <v>0</v>
      </c>
      <c r="AD108" s="190">
        <f t="shared" si="41"/>
        <v>0</v>
      </c>
      <c r="AE108" s="190">
        <f t="shared" si="41"/>
        <v>0</v>
      </c>
      <c r="AF108" s="190">
        <f t="shared" si="41"/>
        <v>0</v>
      </c>
      <c r="AG108" s="189"/>
      <c r="AH108" s="173">
        <f t="shared" si="31"/>
        <v>0</v>
      </c>
    </row>
    <row r="109" spans="1:34" ht="34.5" hidden="1" x14ac:dyDescent="0.25">
      <c r="A109" s="194" t="s">
        <v>47</v>
      </c>
      <c r="B109" s="193" t="s">
        <v>48</v>
      </c>
      <c r="C109" s="192"/>
      <c r="D109" s="192"/>
      <c r="E109" s="192"/>
      <c r="F109" s="192"/>
      <c r="G109" s="191">
        <f t="shared" ref="G109:AF109" si="42">SUM(G112:G115)</f>
        <v>17774</v>
      </c>
      <c r="H109" s="191">
        <f t="shared" si="42"/>
        <v>17774</v>
      </c>
      <c r="I109" s="191">
        <f t="shared" si="42"/>
        <v>10500</v>
      </c>
      <c r="J109" s="191">
        <f t="shared" si="42"/>
        <v>10500</v>
      </c>
      <c r="K109" s="191">
        <f t="shared" si="42"/>
        <v>10500</v>
      </c>
      <c r="L109" s="191">
        <f t="shared" si="42"/>
        <v>10500</v>
      </c>
      <c r="M109" s="191">
        <f t="shared" si="42"/>
        <v>4370</v>
      </c>
      <c r="N109" s="191">
        <f t="shared" si="42"/>
        <v>4370</v>
      </c>
      <c r="O109" s="190">
        <f t="shared" si="42"/>
        <v>4370</v>
      </c>
      <c r="P109" s="190">
        <f t="shared" si="42"/>
        <v>4370</v>
      </c>
      <c r="Q109" s="191">
        <f t="shared" si="42"/>
        <v>0</v>
      </c>
      <c r="R109" s="191">
        <f t="shared" si="42"/>
        <v>0</v>
      </c>
      <c r="S109" s="474">
        <f t="shared" si="42"/>
        <v>4370</v>
      </c>
      <c r="T109" s="474">
        <f t="shared" si="42"/>
        <v>4370</v>
      </c>
      <c r="U109" s="190">
        <f t="shared" si="42"/>
        <v>4373</v>
      </c>
      <c r="V109" s="190">
        <f t="shared" si="42"/>
        <v>4373</v>
      </c>
      <c r="W109" s="190">
        <f t="shared" si="42"/>
        <v>0</v>
      </c>
      <c r="X109" s="190">
        <f t="shared" si="42"/>
        <v>0</v>
      </c>
      <c r="Y109" s="190">
        <f t="shared" si="42"/>
        <v>0</v>
      </c>
      <c r="Z109" s="190">
        <f t="shared" si="42"/>
        <v>0</v>
      </c>
      <c r="AA109" s="190">
        <f t="shared" si="42"/>
        <v>0</v>
      </c>
      <c r="AB109" s="190">
        <f t="shared" si="42"/>
        <v>0</v>
      </c>
      <c r="AC109" s="190">
        <f t="shared" si="42"/>
        <v>0</v>
      </c>
      <c r="AD109" s="190">
        <f t="shared" si="42"/>
        <v>0</v>
      </c>
      <c r="AE109" s="190">
        <f t="shared" si="42"/>
        <v>0</v>
      </c>
      <c r="AF109" s="190">
        <f t="shared" si="42"/>
        <v>0</v>
      </c>
      <c r="AG109" s="189"/>
      <c r="AH109" s="173">
        <f t="shared" si="31"/>
        <v>0</v>
      </c>
    </row>
    <row r="110" spans="1:34" ht="17.25" hidden="1" x14ac:dyDescent="0.25">
      <c r="A110" s="194"/>
      <c r="B110" s="193" t="s">
        <v>49</v>
      </c>
      <c r="C110" s="202"/>
      <c r="D110" s="202"/>
      <c r="E110" s="202"/>
      <c r="F110" s="202"/>
      <c r="G110" s="200"/>
      <c r="H110" s="200"/>
      <c r="I110" s="200"/>
      <c r="J110" s="200"/>
      <c r="K110" s="200"/>
      <c r="L110" s="200"/>
      <c r="M110" s="200"/>
      <c r="N110" s="200"/>
      <c r="O110" s="201"/>
      <c r="P110" s="201"/>
      <c r="Q110" s="176"/>
      <c r="R110" s="176"/>
      <c r="S110" s="475"/>
      <c r="T110" s="475"/>
      <c r="U110" s="200"/>
      <c r="V110" s="200"/>
      <c r="W110" s="200"/>
      <c r="X110" s="200"/>
      <c r="Y110" s="200"/>
      <c r="Z110" s="200"/>
      <c r="AA110" s="200"/>
      <c r="AB110" s="200"/>
      <c r="AC110" s="200"/>
      <c r="AD110" s="200"/>
      <c r="AE110" s="200"/>
      <c r="AF110" s="200"/>
      <c r="AG110" s="264"/>
      <c r="AH110" s="173">
        <f t="shared" si="31"/>
        <v>0</v>
      </c>
    </row>
    <row r="111" spans="1:34" ht="51.75" hidden="1" x14ac:dyDescent="0.25">
      <c r="A111" s="194"/>
      <c r="B111" s="199" t="s">
        <v>50</v>
      </c>
      <c r="C111" s="192"/>
      <c r="D111" s="192"/>
      <c r="E111" s="192"/>
      <c r="F111" s="192"/>
      <c r="G111" s="191"/>
      <c r="H111" s="191"/>
      <c r="I111" s="191"/>
      <c r="J111" s="191"/>
      <c r="K111" s="191"/>
      <c r="L111" s="191"/>
      <c r="M111" s="191"/>
      <c r="N111" s="191"/>
      <c r="O111" s="190"/>
      <c r="P111" s="190"/>
      <c r="Q111" s="176"/>
      <c r="R111" s="176"/>
      <c r="S111" s="474"/>
      <c r="T111" s="474"/>
      <c r="U111" s="191"/>
      <c r="V111" s="191"/>
      <c r="W111" s="191"/>
      <c r="X111" s="191"/>
      <c r="Y111" s="191"/>
      <c r="Z111" s="191"/>
      <c r="AA111" s="191"/>
      <c r="AB111" s="191"/>
      <c r="AC111" s="191"/>
      <c r="AD111" s="191"/>
      <c r="AE111" s="191"/>
      <c r="AF111" s="191"/>
      <c r="AG111" s="189"/>
      <c r="AH111" s="173">
        <f t="shared" si="31"/>
        <v>0</v>
      </c>
    </row>
    <row r="112" spans="1:34" ht="49.5" hidden="1" x14ac:dyDescent="0.25">
      <c r="A112" s="230">
        <v>1</v>
      </c>
      <c r="B112" s="233" t="s">
        <v>1708</v>
      </c>
      <c r="C112" s="230" t="s">
        <v>1206</v>
      </c>
      <c r="D112" s="417" t="s">
        <v>1707</v>
      </c>
      <c r="E112" s="413">
        <v>2015</v>
      </c>
      <c r="F112" s="180" t="s">
        <v>1706</v>
      </c>
      <c r="G112" s="374">
        <v>5957</v>
      </c>
      <c r="H112" s="229">
        <f>G112</f>
        <v>5957</v>
      </c>
      <c r="I112" s="374">
        <v>3500</v>
      </c>
      <c r="J112" s="177">
        <f>I112</f>
        <v>3500</v>
      </c>
      <c r="K112" s="374">
        <v>3500</v>
      </c>
      <c r="L112" s="177">
        <f>K112</f>
        <v>3500</v>
      </c>
      <c r="M112" s="374">
        <f>N112</f>
        <v>1030</v>
      </c>
      <c r="N112" s="374">
        <v>1030</v>
      </c>
      <c r="O112" s="220">
        <f>P112</f>
        <v>1030</v>
      </c>
      <c r="P112" s="409">
        <v>1030</v>
      </c>
      <c r="Q112" s="176"/>
      <c r="R112" s="176"/>
      <c r="S112" s="454">
        <f>T112</f>
        <v>1030</v>
      </c>
      <c r="T112" s="477">
        <v>1030</v>
      </c>
      <c r="U112" s="409">
        <v>1030</v>
      </c>
      <c r="V112" s="409">
        <v>1030</v>
      </c>
      <c r="W112" s="177"/>
      <c r="X112" s="177"/>
      <c r="Y112" s="177"/>
      <c r="Z112" s="177"/>
      <c r="AA112" s="177"/>
      <c r="AB112" s="177"/>
      <c r="AC112" s="177"/>
      <c r="AD112" s="177"/>
      <c r="AE112" s="177"/>
      <c r="AF112" s="177"/>
      <c r="AG112" s="185" t="s">
        <v>404</v>
      </c>
      <c r="AH112" s="173">
        <f t="shared" si="31"/>
        <v>0</v>
      </c>
    </row>
    <row r="113" spans="1:34" ht="49.5" hidden="1" x14ac:dyDescent="0.25">
      <c r="A113" s="230">
        <v>2</v>
      </c>
      <c r="B113" s="233" t="s">
        <v>1705</v>
      </c>
      <c r="C113" s="230" t="s">
        <v>1206</v>
      </c>
      <c r="D113" s="180" t="s">
        <v>1704</v>
      </c>
      <c r="E113" s="413">
        <v>2015</v>
      </c>
      <c r="F113" s="188" t="s">
        <v>1703</v>
      </c>
      <c r="G113" s="374">
        <v>2448</v>
      </c>
      <c r="H113" s="229">
        <f>G113</f>
        <v>2448</v>
      </c>
      <c r="I113" s="374">
        <v>1500</v>
      </c>
      <c r="J113" s="177">
        <f>I113</f>
        <v>1500</v>
      </c>
      <c r="K113" s="374">
        <v>1500</v>
      </c>
      <c r="L113" s="177">
        <f>K113</f>
        <v>1500</v>
      </c>
      <c r="M113" s="374">
        <f>N113</f>
        <v>500</v>
      </c>
      <c r="N113" s="374">
        <v>500</v>
      </c>
      <c r="O113" s="220">
        <f>P113</f>
        <v>500</v>
      </c>
      <c r="P113" s="409">
        <v>500</v>
      </c>
      <c r="Q113" s="176"/>
      <c r="R113" s="176"/>
      <c r="S113" s="454">
        <f>T113</f>
        <v>500</v>
      </c>
      <c r="T113" s="477">
        <v>500</v>
      </c>
      <c r="U113" s="409">
        <v>500</v>
      </c>
      <c r="V113" s="409">
        <v>500</v>
      </c>
      <c r="W113" s="177"/>
      <c r="X113" s="177"/>
      <c r="Y113" s="177"/>
      <c r="Z113" s="177"/>
      <c r="AA113" s="177"/>
      <c r="AB113" s="177"/>
      <c r="AC113" s="177"/>
      <c r="AD113" s="177"/>
      <c r="AE113" s="177"/>
      <c r="AF113" s="177"/>
      <c r="AG113" s="185" t="s">
        <v>404</v>
      </c>
      <c r="AH113" s="173">
        <f t="shared" si="31"/>
        <v>0</v>
      </c>
    </row>
    <row r="114" spans="1:34" ht="49.5" hidden="1" x14ac:dyDescent="0.25">
      <c r="A114" s="230">
        <v>3</v>
      </c>
      <c r="B114" s="416" t="s">
        <v>1702</v>
      </c>
      <c r="C114" s="230" t="s">
        <v>1206</v>
      </c>
      <c r="D114" s="230" t="s">
        <v>1701</v>
      </c>
      <c r="E114" s="413">
        <v>2015</v>
      </c>
      <c r="F114" s="188" t="s">
        <v>1700</v>
      </c>
      <c r="G114" s="374">
        <v>3528</v>
      </c>
      <c r="H114" s="229">
        <f>G114</f>
        <v>3528</v>
      </c>
      <c r="I114" s="374">
        <v>2000</v>
      </c>
      <c r="J114" s="177">
        <f>I114</f>
        <v>2000</v>
      </c>
      <c r="K114" s="374">
        <v>2000</v>
      </c>
      <c r="L114" s="177">
        <f>K114</f>
        <v>2000</v>
      </c>
      <c r="M114" s="374">
        <f>N114</f>
        <v>1390</v>
      </c>
      <c r="N114" s="374">
        <v>1390</v>
      </c>
      <c r="O114" s="220">
        <f>P114</f>
        <v>1390</v>
      </c>
      <c r="P114" s="409">
        <v>1390</v>
      </c>
      <c r="Q114" s="176"/>
      <c r="R114" s="176"/>
      <c r="S114" s="454">
        <f>T114</f>
        <v>1390</v>
      </c>
      <c r="T114" s="477">
        <v>1390</v>
      </c>
      <c r="U114" s="409">
        <f>V114</f>
        <v>1394</v>
      </c>
      <c r="V114" s="409">
        <v>1394</v>
      </c>
      <c r="W114" s="177"/>
      <c r="X114" s="177"/>
      <c r="Y114" s="177"/>
      <c r="Z114" s="177"/>
      <c r="AA114" s="177"/>
      <c r="AB114" s="177"/>
      <c r="AC114" s="177"/>
      <c r="AD114" s="177"/>
      <c r="AE114" s="177"/>
      <c r="AF114" s="177"/>
      <c r="AG114" s="185" t="s">
        <v>404</v>
      </c>
      <c r="AH114" s="173">
        <f t="shared" si="31"/>
        <v>0</v>
      </c>
    </row>
    <row r="115" spans="1:34" ht="49.5" hidden="1" x14ac:dyDescent="0.25">
      <c r="A115" s="230">
        <v>4</v>
      </c>
      <c r="B115" s="416" t="s">
        <v>1699</v>
      </c>
      <c r="C115" s="230" t="s">
        <v>1206</v>
      </c>
      <c r="D115" s="410" t="s">
        <v>1698</v>
      </c>
      <c r="E115" s="413">
        <v>2015</v>
      </c>
      <c r="F115" s="180" t="s">
        <v>1697</v>
      </c>
      <c r="G115" s="374">
        <v>5841</v>
      </c>
      <c r="H115" s="229">
        <f>G115</f>
        <v>5841</v>
      </c>
      <c r="I115" s="374">
        <v>3500</v>
      </c>
      <c r="J115" s="177">
        <f>I115</f>
        <v>3500</v>
      </c>
      <c r="K115" s="374">
        <v>3500</v>
      </c>
      <c r="L115" s="177">
        <f>K115</f>
        <v>3500</v>
      </c>
      <c r="M115" s="374">
        <f>N115</f>
        <v>1450</v>
      </c>
      <c r="N115" s="374">
        <v>1450</v>
      </c>
      <c r="O115" s="220">
        <f>P115</f>
        <v>1450</v>
      </c>
      <c r="P115" s="409">
        <v>1450</v>
      </c>
      <c r="Q115" s="176"/>
      <c r="R115" s="176"/>
      <c r="S115" s="454">
        <f>T115</f>
        <v>1450</v>
      </c>
      <c r="T115" s="477">
        <v>1450</v>
      </c>
      <c r="U115" s="409">
        <f>V115</f>
        <v>1449</v>
      </c>
      <c r="V115" s="409">
        <v>1449</v>
      </c>
      <c r="W115" s="177"/>
      <c r="X115" s="177"/>
      <c r="Y115" s="177"/>
      <c r="Z115" s="177"/>
      <c r="AA115" s="177"/>
      <c r="AB115" s="177"/>
      <c r="AC115" s="177"/>
      <c r="AD115" s="177"/>
      <c r="AE115" s="177"/>
      <c r="AF115" s="177"/>
      <c r="AG115" s="185" t="s">
        <v>404</v>
      </c>
      <c r="AH115" s="173">
        <f t="shared" si="31"/>
        <v>0</v>
      </c>
    </row>
    <row r="116" spans="1:34" ht="17.25" hidden="1" x14ac:dyDescent="0.25">
      <c r="A116" s="195" t="s">
        <v>85</v>
      </c>
      <c r="B116" s="193"/>
      <c r="C116" s="192"/>
      <c r="D116" s="192"/>
      <c r="E116" s="192"/>
      <c r="F116" s="192"/>
      <c r="G116" s="191">
        <f>G117</f>
        <v>163360</v>
      </c>
      <c r="H116" s="191">
        <f>H117</f>
        <v>163360</v>
      </c>
      <c r="I116" s="191"/>
      <c r="J116" s="191"/>
      <c r="K116" s="191"/>
      <c r="L116" s="191"/>
      <c r="M116" s="191">
        <f t="shared" ref="M116:AF116" si="43">M117</f>
        <v>117300</v>
      </c>
      <c r="N116" s="191">
        <f t="shared" si="43"/>
        <v>117300</v>
      </c>
      <c r="O116" s="190">
        <f t="shared" si="43"/>
        <v>117300</v>
      </c>
      <c r="P116" s="190">
        <f t="shared" si="43"/>
        <v>117300</v>
      </c>
      <c r="Q116" s="191">
        <f t="shared" si="43"/>
        <v>0</v>
      </c>
      <c r="R116" s="191">
        <f t="shared" si="43"/>
        <v>0</v>
      </c>
      <c r="S116" s="474">
        <f t="shared" si="43"/>
        <v>117300</v>
      </c>
      <c r="T116" s="474">
        <f t="shared" si="43"/>
        <v>117300</v>
      </c>
      <c r="U116" s="191">
        <f t="shared" si="43"/>
        <v>0</v>
      </c>
      <c r="V116" s="191">
        <f t="shared" si="43"/>
        <v>0</v>
      </c>
      <c r="W116" s="191">
        <f t="shared" si="43"/>
        <v>0</v>
      </c>
      <c r="X116" s="191">
        <f t="shared" si="43"/>
        <v>0</v>
      </c>
      <c r="Y116" s="190">
        <f t="shared" si="43"/>
        <v>0</v>
      </c>
      <c r="Z116" s="190">
        <f t="shared" si="43"/>
        <v>0</v>
      </c>
      <c r="AA116" s="190">
        <f t="shared" si="43"/>
        <v>0</v>
      </c>
      <c r="AB116" s="190">
        <f t="shared" si="43"/>
        <v>0</v>
      </c>
      <c r="AC116" s="190">
        <f t="shared" si="43"/>
        <v>0</v>
      </c>
      <c r="AD116" s="190">
        <f t="shared" si="43"/>
        <v>0</v>
      </c>
      <c r="AE116" s="190">
        <f t="shared" si="43"/>
        <v>0</v>
      </c>
      <c r="AF116" s="190">
        <f t="shared" si="43"/>
        <v>0</v>
      </c>
      <c r="AG116" s="189"/>
      <c r="AH116" s="173">
        <f t="shared" si="31"/>
        <v>0</v>
      </c>
    </row>
    <row r="117" spans="1:34" ht="51.75" hidden="1" x14ac:dyDescent="0.25">
      <c r="A117" s="194" t="s">
        <v>87</v>
      </c>
      <c r="B117" s="193" t="s">
        <v>88</v>
      </c>
      <c r="C117" s="192"/>
      <c r="D117" s="192"/>
      <c r="E117" s="192"/>
      <c r="F117" s="192"/>
      <c r="G117" s="191">
        <f>SUM(G132:G136)</f>
        <v>163360</v>
      </c>
      <c r="H117" s="191">
        <f>SUM(H132:H136)</f>
        <v>163360</v>
      </c>
      <c r="I117" s="191"/>
      <c r="J117" s="191"/>
      <c r="K117" s="191"/>
      <c r="L117" s="191"/>
      <c r="M117" s="191">
        <f>SUM(M132:M136)</f>
        <v>117300</v>
      </c>
      <c r="N117" s="191">
        <f>SUM(N132:N136)</f>
        <v>117300</v>
      </c>
      <c r="O117" s="191">
        <f>SUM(O132:O136)</f>
        <v>117300</v>
      </c>
      <c r="P117" s="191">
        <f>SUM(P132:P136)</f>
        <v>117300</v>
      </c>
      <c r="Q117" s="191">
        <f t="shared" ref="Q117:X117" si="44">SUM(Q132:Q136)</f>
        <v>0</v>
      </c>
      <c r="R117" s="191">
        <f t="shared" si="44"/>
        <v>0</v>
      </c>
      <c r="S117" s="474">
        <f t="shared" si="44"/>
        <v>117300</v>
      </c>
      <c r="T117" s="474">
        <f t="shared" si="44"/>
        <v>117300</v>
      </c>
      <c r="U117" s="191">
        <f t="shared" si="44"/>
        <v>0</v>
      </c>
      <c r="V117" s="191">
        <f t="shared" si="44"/>
        <v>0</v>
      </c>
      <c r="W117" s="191">
        <f t="shared" si="44"/>
        <v>0</v>
      </c>
      <c r="X117" s="191">
        <f t="shared" si="44"/>
        <v>0</v>
      </c>
      <c r="Y117" s="190">
        <f t="shared" ref="Y117:AF117" si="45">SUM(Y118:Y136)</f>
        <v>0</v>
      </c>
      <c r="Z117" s="190">
        <f t="shared" si="45"/>
        <v>0</v>
      </c>
      <c r="AA117" s="190">
        <f t="shared" si="45"/>
        <v>0</v>
      </c>
      <c r="AB117" s="190">
        <f t="shared" si="45"/>
        <v>0</v>
      </c>
      <c r="AC117" s="190">
        <f t="shared" si="45"/>
        <v>0</v>
      </c>
      <c r="AD117" s="190">
        <f t="shared" si="45"/>
        <v>0</v>
      </c>
      <c r="AE117" s="190">
        <f t="shared" si="45"/>
        <v>0</v>
      </c>
      <c r="AF117" s="190">
        <f t="shared" si="45"/>
        <v>0</v>
      </c>
      <c r="AG117" s="189"/>
      <c r="AH117" s="173">
        <f t="shared" si="31"/>
        <v>0</v>
      </c>
    </row>
    <row r="118" spans="1:34" ht="49.5" hidden="1" x14ac:dyDescent="0.25">
      <c r="A118" s="410">
        <v>5</v>
      </c>
      <c r="B118" s="231" t="s">
        <v>1696</v>
      </c>
      <c r="C118" s="230" t="s">
        <v>1206</v>
      </c>
      <c r="D118" s="410" t="s">
        <v>1666</v>
      </c>
      <c r="E118" s="413" t="s">
        <v>199</v>
      </c>
      <c r="F118" s="180" t="s">
        <v>1695</v>
      </c>
      <c r="G118" s="415">
        <v>538</v>
      </c>
      <c r="H118" s="229">
        <f t="shared" ref="H118:H132" si="46">G118</f>
        <v>538</v>
      </c>
      <c r="I118" s="177"/>
      <c r="J118" s="177"/>
      <c r="K118" s="177"/>
      <c r="L118" s="177"/>
      <c r="M118" s="374">
        <f>N118</f>
        <v>480</v>
      </c>
      <c r="N118" s="374">
        <v>480</v>
      </c>
      <c r="O118" s="220">
        <v>480</v>
      </c>
      <c r="P118" s="409">
        <v>480</v>
      </c>
      <c r="Q118" s="176"/>
      <c r="R118" s="176"/>
      <c r="S118" s="454">
        <v>480</v>
      </c>
      <c r="T118" s="477">
        <v>480</v>
      </c>
      <c r="U118" s="183">
        <v>480</v>
      </c>
      <c r="V118" s="183">
        <v>480</v>
      </c>
      <c r="W118" s="177"/>
      <c r="X118" s="177"/>
      <c r="Y118" s="177"/>
      <c r="Z118" s="177"/>
      <c r="AA118" s="177"/>
      <c r="AB118" s="177"/>
      <c r="AC118" s="177"/>
      <c r="AD118" s="177"/>
      <c r="AE118" s="177"/>
      <c r="AF118" s="177"/>
      <c r="AG118" s="185" t="s">
        <v>404</v>
      </c>
      <c r="AH118" s="173">
        <f t="shared" si="31"/>
        <v>0</v>
      </c>
    </row>
    <row r="119" spans="1:34" ht="66" hidden="1" x14ac:dyDescent="0.25">
      <c r="A119" s="230">
        <v>6</v>
      </c>
      <c r="B119" s="233" t="s">
        <v>1694</v>
      </c>
      <c r="C119" s="230" t="s">
        <v>1206</v>
      </c>
      <c r="D119" s="414" t="s">
        <v>1693</v>
      </c>
      <c r="E119" s="413" t="s">
        <v>199</v>
      </c>
      <c r="F119" s="180" t="s">
        <v>1692</v>
      </c>
      <c r="G119" s="412">
        <v>6689</v>
      </c>
      <c r="H119" s="229">
        <f t="shared" si="46"/>
        <v>6689</v>
      </c>
      <c r="I119" s="177"/>
      <c r="J119" s="177"/>
      <c r="K119" s="177"/>
      <c r="L119" s="177"/>
      <c r="M119" s="374">
        <f>N119</f>
        <v>5900</v>
      </c>
      <c r="N119" s="374">
        <v>5900</v>
      </c>
      <c r="O119" s="220">
        <v>5900</v>
      </c>
      <c r="P119" s="409">
        <v>5900</v>
      </c>
      <c r="Q119" s="176"/>
      <c r="R119" s="176"/>
      <c r="S119" s="454">
        <v>5900</v>
      </c>
      <c r="T119" s="477">
        <v>5900</v>
      </c>
      <c r="U119" s="183">
        <v>5650</v>
      </c>
      <c r="V119" s="183">
        <v>5650</v>
      </c>
      <c r="W119" s="177"/>
      <c r="X119" s="177"/>
      <c r="Y119" s="177"/>
      <c r="Z119" s="177"/>
      <c r="AA119" s="177"/>
      <c r="AB119" s="177"/>
      <c r="AC119" s="177"/>
      <c r="AD119" s="177"/>
      <c r="AE119" s="177"/>
      <c r="AF119" s="177"/>
      <c r="AG119" s="185" t="s">
        <v>404</v>
      </c>
      <c r="AH119" s="173">
        <f t="shared" si="31"/>
        <v>0</v>
      </c>
    </row>
    <row r="120" spans="1:34" ht="49.5" hidden="1" x14ac:dyDescent="0.25">
      <c r="A120" s="230">
        <v>7</v>
      </c>
      <c r="B120" s="233" t="s">
        <v>1691</v>
      </c>
      <c r="C120" s="230" t="s">
        <v>1649</v>
      </c>
      <c r="D120" s="188" t="s">
        <v>1690</v>
      </c>
      <c r="E120" s="188" t="s">
        <v>199</v>
      </c>
      <c r="F120" s="188" t="s">
        <v>1689</v>
      </c>
      <c r="G120" s="239">
        <v>9864</v>
      </c>
      <c r="H120" s="229">
        <f t="shared" si="46"/>
        <v>9864</v>
      </c>
      <c r="I120" s="177"/>
      <c r="J120" s="177"/>
      <c r="K120" s="177"/>
      <c r="L120" s="177"/>
      <c r="M120" s="374">
        <v>8760</v>
      </c>
      <c r="N120" s="374">
        <v>8760</v>
      </c>
      <c r="O120" s="220">
        <v>8760</v>
      </c>
      <c r="P120" s="183">
        <v>8760</v>
      </c>
      <c r="Q120" s="176"/>
      <c r="R120" s="176"/>
      <c r="S120" s="454">
        <v>8760</v>
      </c>
      <c r="T120" s="454">
        <v>8760</v>
      </c>
      <c r="U120" s="183">
        <v>8400</v>
      </c>
      <c r="V120" s="183">
        <v>8400</v>
      </c>
      <c r="W120" s="177"/>
      <c r="X120" s="177"/>
      <c r="Y120" s="177"/>
      <c r="Z120" s="177"/>
      <c r="AA120" s="177"/>
      <c r="AB120" s="177"/>
      <c r="AC120" s="177"/>
      <c r="AD120" s="177"/>
      <c r="AE120" s="177"/>
      <c r="AF120" s="177"/>
      <c r="AG120" s="185" t="s">
        <v>404</v>
      </c>
      <c r="AH120" s="173">
        <f t="shared" si="31"/>
        <v>0</v>
      </c>
    </row>
    <row r="121" spans="1:34" ht="49.5" hidden="1" x14ac:dyDescent="0.25">
      <c r="A121" s="230">
        <v>8</v>
      </c>
      <c r="B121" s="233" t="s">
        <v>1688</v>
      </c>
      <c r="C121" s="230" t="s">
        <v>1649</v>
      </c>
      <c r="D121" s="180" t="s">
        <v>1687</v>
      </c>
      <c r="E121" s="188" t="s">
        <v>199</v>
      </c>
      <c r="F121" s="188" t="s">
        <v>1686</v>
      </c>
      <c r="G121" s="239">
        <v>4475</v>
      </c>
      <c r="H121" s="229">
        <f t="shared" si="46"/>
        <v>4475</v>
      </c>
      <c r="I121" s="177"/>
      <c r="J121" s="177"/>
      <c r="K121" s="177"/>
      <c r="L121" s="177"/>
      <c r="M121" s="374">
        <f t="shared" ref="M121:M136" si="47">N121</f>
        <v>3800</v>
      </c>
      <c r="N121" s="374">
        <v>3800</v>
      </c>
      <c r="O121" s="220">
        <v>3800</v>
      </c>
      <c r="P121" s="183">
        <v>3800</v>
      </c>
      <c r="Q121" s="176"/>
      <c r="R121" s="176"/>
      <c r="S121" s="454">
        <v>3800</v>
      </c>
      <c r="T121" s="454">
        <v>3800</v>
      </c>
      <c r="U121" s="183">
        <v>3800</v>
      </c>
      <c r="V121" s="183">
        <v>3800</v>
      </c>
      <c r="W121" s="177"/>
      <c r="X121" s="177"/>
      <c r="Y121" s="177"/>
      <c r="Z121" s="177"/>
      <c r="AA121" s="177"/>
      <c r="AB121" s="177"/>
      <c r="AC121" s="177"/>
      <c r="AD121" s="177"/>
      <c r="AE121" s="177"/>
      <c r="AF121" s="177"/>
      <c r="AG121" s="185" t="s">
        <v>404</v>
      </c>
      <c r="AH121" s="173">
        <f t="shared" si="31"/>
        <v>0</v>
      </c>
    </row>
    <row r="122" spans="1:34" ht="49.5" hidden="1" x14ac:dyDescent="0.25">
      <c r="A122" s="230">
        <v>9</v>
      </c>
      <c r="B122" s="233" t="s">
        <v>1685</v>
      </c>
      <c r="C122" s="230" t="s">
        <v>1649</v>
      </c>
      <c r="D122" s="180" t="s">
        <v>1684</v>
      </c>
      <c r="E122" s="188" t="s">
        <v>199</v>
      </c>
      <c r="F122" s="188" t="s">
        <v>1683</v>
      </c>
      <c r="G122" s="239">
        <v>8281</v>
      </c>
      <c r="H122" s="229">
        <f t="shared" si="46"/>
        <v>8281</v>
      </c>
      <c r="I122" s="177"/>
      <c r="J122" s="177"/>
      <c r="K122" s="177"/>
      <c r="L122" s="177"/>
      <c r="M122" s="374">
        <f t="shared" si="47"/>
        <v>7300</v>
      </c>
      <c r="N122" s="374">
        <v>7300</v>
      </c>
      <c r="O122" s="220">
        <v>7300</v>
      </c>
      <c r="P122" s="183">
        <v>7300</v>
      </c>
      <c r="Q122" s="176"/>
      <c r="R122" s="176"/>
      <c r="S122" s="454">
        <v>7300</v>
      </c>
      <c r="T122" s="454">
        <v>7300</v>
      </c>
      <c r="U122" s="183">
        <v>7300</v>
      </c>
      <c r="V122" s="183">
        <v>7300</v>
      </c>
      <c r="W122" s="177"/>
      <c r="X122" s="177"/>
      <c r="Y122" s="177"/>
      <c r="Z122" s="177"/>
      <c r="AA122" s="177"/>
      <c r="AB122" s="177"/>
      <c r="AC122" s="177"/>
      <c r="AD122" s="177"/>
      <c r="AE122" s="177"/>
      <c r="AF122" s="177"/>
      <c r="AG122" s="198"/>
      <c r="AH122" s="173">
        <f t="shared" si="31"/>
        <v>0</v>
      </c>
    </row>
    <row r="123" spans="1:34" ht="49.5" hidden="1" x14ac:dyDescent="0.25">
      <c r="A123" s="230">
        <v>10</v>
      </c>
      <c r="B123" s="411" t="s">
        <v>1682</v>
      </c>
      <c r="C123" s="230" t="s">
        <v>1649</v>
      </c>
      <c r="D123" s="180" t="s">
        <v>1681</v>
      </c>
      <c r="E123" s="188" t="s">
        <v>199</v>
      </c>
      <c r="F123" s="188" t="s">
        <v>1680</v>
      </c>
      <c r="G123" s="196">
        <v>1823</v>
      </c>
      <c r="H123" s="229">
        <f t="shared" si="46"/>
        <v>1823</v>
      </c>
      <c r="I123" s="177"/>
      <c r="J123" s="177"/>
      <c r="K123" s="177"/>
      <c r="L123" s="177"/>
      <c r="M123" s="374">
        <f t="shared" si="47"/>
        <v>1550</v>
      </c>
      <c r="N123" s="374">
        <v>1550</v>
      </c>
      <c r="O123" s="220">
        <v>1550</v>
      </c>
      <c r="P123" s="183">
        <v>1550</v>
      </c>
      <c r="Q123" s="176"/>
      <c r="R123" s="176"/>
      <c r="S123" s="454">
        <v>1550</v>
      </c>
      <c r="T123" s="454">
        <v>1550</v>
      </c>
      <c r="U123" s="183">
        <v>1550</v>
      </c>
      <c r="V123" s="183">
        <v>1550</v>
      </c>
      <c r="W123" s="177"/>
      <c r="X123" s="177"/>
      <c r="Y123" s="177"/>
      <c r="Z123" s="177"/>
      <c r="AA123" s="177"/>
      <c r="AB123" s="177"/>
      <c r="AC123" s="177"/>
      <c r="AD123" s="177"/>
      <c r="AE123" s="177"/>
      <c r="AF123" s="177"/>
      <c r="AG123" s="185" t="s">
        <v>404</v>
      </c>
      <c r="AH123" s="173">
        <f t="shared" si="31"/>
        <v>0</v>
      </c>
    </row>
    <row r="124" spans="1:34" ht="49.5" hidden="1" x14ac:dyDescent="0.25">
      <c r="A124" s="230">
        <v>11</v>
      </c>
      <c r="B124" s="233" t="s">
        <v>1679</v>
      </c>
      <c r="C124" s="230" t="s">
        <v>1649</v>
      </c>
      <c r="D124" s="197" t="s">
        <v>1678</v>
      </c>
      <c r="E124" s="188" t="s">
        <v>199</v>
      </c>
      <c r="F124" s="188" t="s">
        <v>1677</v>
      </c>
      <c r="G124" s="196">
        <v>333</v>
      </c>
      <c r="H124" s="229">
        <f t="shared" si="46"/>
        <v>333</v>
      </c>
      <c r="I124" s="177"/>
      <c r="J124" s="177"/>
      <c r="K124" s="177"/>
      <c r="L124" s="177"/>
      <c r="M124" s="374">
        <f t="shared" si="47"/>
        <v>290</v>
      </c>
      <c r="N124" s="374">
        <v>290</v>
      </c>
      <c r="O124" s="220">
        <v>290</v>
      </c>
      <c r="P124" s="183">
        <v>290</v>
      </c>
      <c r="Q124" s="176"/>
      <c r="R124" s="176"/>
      <c r="S124" s="454">
        <v>290</v>
      </c>
      <c r="T124" s="454">
        <v>290</v>
      </c>
      <c r="U124" s="183">
        <v>290</v>
      </c>
      <c r="V124" s="183">
        <v>290</v>
      </c>
      <c r="W124" s="177"/>
      <c r="X124" s="177"/>
      <c r="Y124" s="177"/>
      <c r="Z124" s="177"/>
      <c r="AA124" s="177"/>
      <c r="AB124" s="177"/>
      <c r="AC124" s="177"/>
      <c r="AD124" s="177"/>
      <c r="AE124" s="177"/>
      <c r="AF124" s="177"/>
      <c r="AG124" s="185" t="s">
        <v>404</v>
      </c>
      <c r="AH124" s="173">
        <f t="shared" si="31"/>
        <v>0</v>
      </c>
    </row>
    <row r="125" spans="1:34" ht="49.5" hidden="1" x14ac:dyDescent="0.25">
      <c r="A125" s="230">
        <v>12</v>
      </c>
      <c r="B125" s="233" t="s">
        <v>1676</v>
      </c>
      <c r="C125" s="230" t="s">
        <v>1649</v>
      </c>
      <c r="D125" s="197" t="s">
        <v>1675</v>
      </c>
      <c r="E125" s="188" t="s">
        <v>199</v>
      </c>
      <c r="F125" s="188" t="s">
        <v>1674</v>
      </c>
      <c r="G125" s="196">
        <v>1716</v>
      </c>
      <c r="H125" s="229">
        <f t="shared" si="46"/>
        <v>1716</v>
      </c>
      <c r="I125" s="177"/>
      <c r="J125" s="177"/>
      <c r="K125" s="177"/>
      <c r="L125" s="177"/>
      <c r="M125" s="374">
        <f t="shared" si="47"/>
        <v>1570</v>
      </c>
      <c r="N125" s="374">
        <v>1570</v>
      </c>
      <c r="O125" s="220">
        <v>1570</v>
      </c>
      <c r="P125" s="183">
        <v>1570</v>
      </c>
      <c r="Q125" s="176"/>
      <c r="R125" s="176"/>
      <c r="S125" s="454">
        <v>1570</v>
      </c>
      <c r="T125" s="454">
        <v>1570</v>
      </c>
      <c r="U125" s="183">
        <v>1570</v>
      </c>
      <c r="V125" s="183">
        <v>1570</v>
      </c>
      <c r="W125" s="177"/>
      <c r="X125" s="177"/>
      <c r="Y125" s="177"/>
      <c r="Z125" s="177"/>
      <c r="AA125" s="177"/>
      <c r="AB125" s="177"/>
      <c r="AC125" s="177"/>
      <c r="AD125" s="177"/>
      <c r="AE125" s="177"/>
      <c r="AF125" s="177"/>
      <c r="AG125" s="185" t="s">
        <v>404</v>
      </c>
      <c r="AH125" s="173">
        <f t="shared" si="31"/>
        <v>0</v>
      </c>
    </row>
    <row r="126" spans="1:34" ht="49.5" hidden="1" x14ac:dyDescent="0.25">
      <c r="A126" s="230">
        <v>13</v>
      </c>
      <c r="B126" s="233" t="s">
        <v>1673</v>
      </c>
      <c r="C126" s="230" t="s">
        <v>1649</v>
      </c>
      <c r="D126" s="197" t="s">
        <v>1672</v>
      </c>
      <c r="E126" s="188" t="s">
        <v>199</v>
      </c>
      <c r="F126" s="188" t="s">
        <v>1671</v>
      </c>
      <c r="G126" s="196">
        <v>1307</v>
      </c>
      <c r="H126" s="229">
        <f t="shared" si="46"/>
        <v>1307</v>
      </c>
      <c r="I126" s="177"/>
      <c r="J126" s="177"/>
      <c r="K126" s="177"/>
      <c r="L126" s="177"/>
      <c r="M126" s="374">
        <f t="shared" si="47"/>
        <v>1180</v>
      </c>
      <c r="N126" s="374">
        <v>1180</v>
      </c>
      <c r="O126" s="220">
        <v>1180</v>
      </c>
      <c r="P126" s="183">
        <v>1180</v>
      </c>
      <c r="Q126" s="176"/>
      <c r="R126" s="176"/>
      <c r="S126" s="454">
        <v>1180</v>
      </c>
      <c r="T126" s="454">
        <v>1180</v>
      </c>
      <c r="U126" s="183">
        <v>1140</v>
      </c>
      <c r="V126" s="183">
        <v>1140</v>
      </c>
      <c r="W126" s="177"/>
      <c r="X126" s="177"/>
      <c r="Y126" s="177"/>
      <c r="Z126" s="177"/>
      <c r="AA126" s="177"/>
      <c r="AB126" s="177"/>
      <c r="AC126" s="177"/>
      <c r="AD126" s="177"/>
      <c r="AE126" s="177"/>
      <c r="AF126" s="177"/>
      <c r="AG126" s="185"/>
      <c r="AH126" s="173">
        <f t="shared" si="31"/>
        <v>0</v>
      </c>
    </row>
    <row r="127" spans="1:34" ht="49.5" hidden="1" x14ac:dyDescent="0.25">
      <c r="A127" s="230">
        <v>14</v>
      </c>
      <c r="B127" s="233" t="s">
        <v>1670</v>
      </c>
      <c r="C127" s="230" t="s">
        <v>1649</v>
      </c>
      <c r="D127" s="197" t="s">
        <v>1669</v>
      </c>
      <c r="E127" s="188" t="s">
        <v>199</v>
      </c>
      <c r="F127" s="188" t="s">
        <v>1668</v>
      </c>
      <c r="G127" s="196">
        <v>418</v>
      </c>
      <c r="H127" s="229">
        <f t="shared" si="46"/>
        <v>418</v>
      </c>
      <c r="I127" s="177"/>
      <c r="J127" s="177"/>
      <c r="K127" s="177"/>
      <c r="L127" s="177"/>
      <c r="M127" s="374">
        <f t="shared" si="47"/>
        <v>370</v>
      </c>
      <c r="N127" s="374">
        <v>370</v>
      </c>
      <c r="O127" s="220">
        <v>370</v>
      </c>
      <c r="P127" s="183">
        <v>370</v>
      </c>
      <c r="Q127" s="176"/>
      <c r="R127" s="176"/>
      <c r="S127" s="454">
        <v>370</v>
      </c>
      <c r="T127" s="454">
        <v>370</v>
      </c>
      <c r="U127" s="183">
        <f>V127</f>
        <v>365</v>
      </c>
      <c r="V127" s="183">
        <v>365</v>
      </c>
      <c r="W127" s="177"/>
      <c r="X127" s="177"/>
      <c r="Y127" s="177"/>
      <c r="Z127" s="177"/>
      <c r="AA127" s="177"/>
      <c r="AB127" s="177"/>
      <c r="AC127" s="177"/>
      <c r="AD127" s="177"/>
      <c r="AE127" s="177"/>
      <c r="AF127" s="177"/>
      <c r="AG127" s="185"/>
      <c r="AH127" s="173">
        <f t="shared" si="31"/>
        <v>0</v>
      </c>
    </row>
    <row r="128" spans="1:34" ht="49.5" hidden="1" x14ac:dyDescent="0.25">
      <c r="A128" s="230">
        <v>15</v>
      </c>
      <c r="B128" s="233" t="s">
        <v>1667</v>
      </c>
      <c r="C128" s="230" t="s">
        <v>1649</v>
      </c>
      <c r="D128" s="197" t="s">
        <v>1666</v>
      </c>
      <c r="E128" s="188" t="s">
        <v>199</v>
      </c>
      <c r="F128" s="188" t="s">
        <v>1665</v>
      </c>
      <c r="G128" s="196">
        <v>379</v>
      </c>
      <c r="H128" s="229">
        <f t="shared" si="46"/>
        <v>379</v>
      </c>
      <c r="I128" s="177"/>
      <c r="J128" s="177"/>
      <c r="K128" s="177"/>
      <c r="L128" s="177"/>
      <c r="M128" s="374">
        <f t="shared" si="47"/>
        <v>330</v>
      </c>
      <c r="N128" s="374">
        <v>330</v>
      </c>
      <c r="O128" s="220">
        <v>330</v>
      </c>
      <c r="P128" s="231">
        <v>330</v>
      </c>
      <c r="Q128" s="176"/>
      <c r="R128" s="176"/>
      <c r="S128" s="454">
        <v>330</v>
      </c>
      <c r="T128" s="455">
        <v>330</v>
      </c>
      <c r="U128" s="183">
        <v>330</v>
      </c>
      <c r="V128" s="183">
        <v>330</v>
      </c>
      <c r="W128" s="177"/>
      <c r="X128" s="177"/>
      <c r="Y128" s="177"/>
      <c r="Z128" s="177"/>
      <c r="AA128" s="177"/>
      <c r="AB128" s="177"/>
      <c r="AC128" s="177"/>
      <c r="AD128" s="177"/>
      <c r="AE128" s="177"/>
      <c r="AF128" s="177"/>
      <c r="AG128" s="185" t="s">
        <v>404</v>
      </c>
      <c r="AH128" s="173">
        <f t="shared" si="31"/>
        <v>0</v>
      </c>
    </row>
    <row r="129" spans="1:34" ht="66" hidden="1" x14ac:dyDescent="0.25">
      <c r="A129" s="410">
        <v>16</v>
      </c>
      <c r="B129" s="237" t="s">
        <v>1664</v>
      </c>
      <c r="C129" s="230" t="s">
        <v>1649</v>
      </c>
      <c r="D129" s="182" t="s">
        <v>1663</v>
      </c>
      <c r="E129" s="188" t="s">
        <v>109</v>
      </c>
      <c r="F129" s="188" t="s">
        <v>1662</v>
      </c>
      <c r="G129" s="236">
        <v>13052</v>
      </c>
      <c r="H129" s="229">
        <f t="shared" si="46"/>
        <v>13052</v>
      </c>
      <c r="I129" s="191"/>
      <c r="J129" s="191"/>
      <c r="K129" s="191"/>
      <c r="L129" s="191"/>
      <c r="M129" s="374">
        <f t="shared" si="47"/>
        <v>11700</v>
      </c>
      <c r="N129" s="374">
        <v>11700</v>
      </c>
      <c r="O129" s="220">
        <v>11700</v>
      </c>
      <c r="P129" s="220">
        <v>11700</v>
      </c>
      <c r="Q129" s="176"/>
      <c r="R129" s="176"/>
      <c r="S129" s="454">
        <v>11700</v>
      </c>
      <c r="T129" s="454">
        <v>11700</v>
      </c>
      <c r="U129" s="183"/>
      <c r="V129" s="183"/>
      <c r="W129" s="220">
        <v>8974</v>
      </c>
      <c r="X129" s="220">
        <v>8974</v>
      </c>
      <c r="Y129" s="217"/>
      <c r="Z129" s="217"/>
      <c r="AA129" s="217"/>
      <c r="AB129" s="217"/>
      <c r="AC129" s="217"/>
      <c r="AD129" s="217"/>
      <c r="AE129" s="217"/>
      <c r="AF129" s="217"/>
      <c r="AG129" s="189"/>
      <c r="AH129" s="173">
        <f t="shared" si="31"/>
        <v>0</v>
      </c>
    </row>
    <row r="130" spans="1:34" ht="49.5" hidden="1" x14ac:dyDescent="0.25">
      <c r="A130" s="410">
        <v>17</v>
      </c>
      <c r="B130" s="237" t="s">
        <v>1661</v>
      </c>
      <c r="C130" s="230" t="s">
        <v>1649</v>
      </c>
      <c r="D130" s="182" t="s">
        <v>1660</v>
      </c>
      <c r="E130" s="188" t="s">
        <v>109</v>
      </c>
      <c r="F130" s="188" t="s">
        <v>1659</v>
      </c>
      <c r="G130" s="236">
        <v>14817</v>
      </c>
      <c r="H130" s="229">
        <f t="shared" si="46"/>
        <v>14817</v>
      </c>
      <c r="I130" s="177"/>
      <c r="J130" s="177"/>
      <c r="K130" s="177"/>
      <c r="L130" s="177"/>
      <c r="M130" s="374">
        <f t="shared" si="47"/>
        <v>13300</v>
      </c>
      <c r="N130" s="374">
        <v>13300</v>
      </c>
      <c r="O130" s="220">
        <v>13300</v>
      </c>
      <c r="P130" s="220">
        <v>13300</v>
      </c>
      <c r="Q130" s="176"/>
      <c r="R130" s="176"/>
      <c r="S130" s="454">
        <v>13300</v>
      </c>
      <c r="T130" s="454">
        <v>13300</v>
      </c>
      <c r="U130" s="177"/>
      <c r="V130" s="177"/>
      <c r="W130" s="220">
        <v>10189</v>
      </c>
      <c r="X130" s="220">
        <v>10189</v>
      </c>
      <c r="Y130" s="177"/>
      <c r="Z130" s="177"/>
      <c r="AA130" s="177"/>
      <c r="AB130" s="177"/>
      <c r="AC130" s="177"/>
      <c r="AD130" s="177"/>
      <c r="AE130" s="177"/>
      <c r="AF130" s="177"/>
      <c r="AG130" s="198"/>
      <c r="AH130" s="173">
        <f t="shared" si="31"/>
        <v>0</v>
      </c>
    </row>
    <row r="131" spans="1:34" ht="49.5" hidden="1" x14ac:dyDescent="0.25">
      <c r="A131" s="410">
        <v>18</v>
      </c>
      <c r="B131" s="237" t="s">
        <v>1658</v>
      </c>
      <c r="C131" s="230" t="s">
        <v>1649</v>
      </c>
      <c r="D131" s="182"/>
      <c r="E131" s="188" t="s">
        <v>109</v>
      </c>
      <c r="F131" s="188" t="s">
        <v>1657</v>
      </c>
      <c r="G131" s="236">
        <v>12800</v>
      </c>
      <c r="H131" s="229">
        <f t="shared" si="46"/>
        <v>12800</v>
      </c>
      <c r="I131" s="265"/>
      <c r="J131" s="265"/>
      <c r="K131" s="265"/>
      <c r="L131" s="265"/>
      <c r="M131" s="374">
        <f t="shared" si="47"/>
        <v>11800</v>
      </c>
      <c r="N131" s="374">
        <v>11800</v>
      </c>
      <c r="O131" s="345">
        <v>11800</v>
      </c>
      <c r="P131" s="345">
        <v>11800</v>
      </c>
      <c r="Q131" s="176"/>
      <c r="R131" s="176"/>
      <c r="S131" s="478">
        <v>11800</v>
      </c>
      <c r="T131" s="478">
        <v>11800</v>
      </c>
      <c r="U131" s="217"/>
      <c r="V131" s="217"/>
      <c r="W131" s="220">
        <v>11637</v>
      </c>
      <c r="X131" s="220">
        <v>11637</v>
      </c>
      <c r="Y131" s="217"/>
      <c r="Z131" s="217"/>
      <c r="AA131" s="217"/>
      <c r="AB131" s="217"/>
      <c r="AC131" s="217"/>
      <c r="AD131" s="217"/>
      <c r="AE131" s="217"/>
      <c r="AF131" s="217"/>
      <c r="AG131" s="219"/>
      <c r="AH131" s="173">
        <f t="shared" si="31"/>
        <v>0</v>
      </c>
    </row>
    <row r="132" spans="1:34" ht="49.5" hidden="1" x14ac:dyDescent="0.25">
      <c r="A132" s="410">
        <v>19</v>
      </c>
      <c r="B132" s="237" t="s">
        <v>1656</v>
      </c>
      <c r="C132" s="230" t="s">
        <v>1649</v>
      </c>
      <c r="D132" s="182" t="s">
        <v>1655</v>
      </c>
      <c r="E132" s="188" t="s">
        <v>109</v>
      </c>
      <c r="F132" s="188"/>
      <c r="G132" s="236">
        <v>14560</v>
      </c>
      <c r="H132" s="229">
        <f t="shared" si="46"/>
        <v>14560</v>
      </c>
      <c r="I132" s="191"/>
      <c r="J132" s="191"/>
      <c r="K132" s="191"/>
      <c r="L132" s="191"/>
      <c r="M132" s="374">
        <f t="shared" si="47"/>
        <v>13000</v>
      </c>
      <c r="N132" s="374">
        <v>13000</v>
      </c>
      <c r="O132" s="218"/>
      <c r="P132" s="218"/>
      <c r="Q132" s="176"/>
      <c r="R132" s="176"/>
      <c r="S132" s="467"/>
      <c r="T132" s="467"/>
      <c r="U132" s="217"/>
      <c r="V132" s="217"/>
      <c r="W132" s="217"/>
      <c r="X132" s="217"/>
      <c r="Y132" s="217"/>
      <c r="Z132" s="217"/>
      <c r="AA132" s="217"/>
      <c r="AB132" s="217"/>
      <c r="AC132" s="217"/>
      <c r="AD132" s="217"/>
      <c r="AE132" s="217"/>
      <c r="AF132" s="217"/>
      <c r="AG132" s="185" t="s">
        <v>284</v>
      </c>
      <c r="AH132" s="173">
        <f t="shared" si="31"/>
        <v>0</v>
      </c>
    </row>
    <row r="133" spans="1:34" ht="49.5" hidden="1" x14ac:dyDescent="0.25">
      <c r="A133" s="410">
        <v>20</v>
      </c>
      <c r="B133" s="237" t="s">
        <v>1654</v>
      </c>
      <c r="C133" s="230" t="s">
        <v>1649</v>
      </c>
      <c r="D133" s="182"/>
      <c r="E133" s="188" t="s">
        <v>248</v>
      </c>
      <c r="F133" s="188"/>
      <c r="G133" s="236">
        <f>H133</f>
        <v>83800</v>
      </c>
      <c r="H133" s="229">
        <v>83800</v>
      </c>
      <c r="I133" s="191"/>
      <c r="J133" s="191"/>
      <c r="K133" s="191"/>
      <c r="L133" s="191"/>
      <c r="M133" s="374">
        <f t="shared" si="47"/>
        <v>68200</v>
      </c>
      <c r="N133" s="374">
        <f>71400-3200</f>
        <v>68200</v>
      </c>
      <c r="O133" s="345">
        <f>P133</f>
        <v>82300</v>
      </c>
      <c r="P133" s="345">
        <v>82300</v>
      </c>
      <c r="Q133" s="176"/>
      <c r="R133" s="176"/>
      <c r="S133" s="478">
        <f>T133</f>
        <v>82300</v>
      </c>
      <c r="T133" s="478">
        <v>82300</v>
      </c>
      <c r="U133" s="217"/>
      <c r="V133" s="217"/>
      <c r="W133" s="217"/>
      <c r="X133" s="217"/>
      <c r="Y133" s="217"/>
      <c r="Z133" s="217"/>
      <c r="AA133" s="217"/>
      <c r="AB133" s="217"/>
      <c r="AC133" s="217"/>
      <c r="AD133" s="217"/>
      <c r="AE133" s="217"/>
      <c r="AF133" s="217"/>
      <c r="AG133" s="189"/>
      <c r="AH133" s="173">
        <f t="shared" si="31"/>
        <v>0</v>
      </c>
    </row>
    <row r="134" spans="1:34" ht="49.5" hidden="1" x14ac:dyDescent="0.25">
      <c r="A134" s="410">
        <v>21</v>
      </c>
      <c r="B134" s="237" t="s">
        <v>1653</v>
      </c>
      <c r="C134" s="230" t="s">
        <v>1649</v>
      </c>
      <c r="D134" s="185" t="s">
        <v>1652</v>
      </c>
      <c r="E134" s="188" t="s">
        <v>290</v>
      </c>
      <c r="F134" s="188"/>
      <c r="G134" s="236">
        <v>20000</v>
      </c>
      <c r="H134" s="229">
        <f>G134</f>
        <v>20000</v>
      </c>
      <c r="I134" s="200"/>
      <c r="J134" s="200"/>
      <c r="K134" s="200"/>
      <c r="L134" s="200"/>
      <c r="M134" s="374">
        <f t="shared" si="47"/>
        <v>18000</v>
      </c>
      <c r="N134" s="374">
        <v>18000</v>
      </c>
      <c r="O134" s="220"/>
      <c r="P134" s="220"/>
      <c r="Q134" s="176"/>
      <c r="R134" s="176"/>
      <c r="S134" s="454"/>
      <c r="T134" s="454"/>
      <c r="U134" s="217"/>
      <c r="V134" s="217"/>
      <c r="W134" s="217"/>
      <c r="X134" s="217"/>
      <c r="Y134" s="217"/>
      <c r="Z134" s="217"/>
      <c r="AA134" s="217"/>
      <c r="AB134" s="217"/>
      <c r="AC134" s="217"/>
      <c r="AD134" s="217"/>
      <c r="AE134" s="217"/>
      <c r="AF134" s="217"/>
      <c r="AG134" s="185" t="s">
        <v>284</v>
      </c>
      <c r="AH134" s="173">
        <f t="shared" si="31"/>
        <v>0</v>
      </c>
    </row>
    <row r="135" spans="1:34" ht="49.5" hidden="1" x14ac:dyDescent="0.25">
      <c r="A135" s="410">
        <v>22</v>
      </c>
      <c r="B135" s="237" t="s">
        <v>1651</v>
      </c>
      <c r="C135" s="230" t="s">
        <v>1649</v>
      </c>
      <c r="D135" s="182"/>
      <c r="E135" s="188" t="s">
        <v>290</v>
      </c>
      <c r="F135" s="188"/>
      <c r="G135" s="236">
        <f>H135</f>
        <v>35000</v>
      </c>
      <c r="H135" s="229">
        <v>35000</v>
      </c>
      <c r="I135" s="191"/>
      <c r="J135" s="191"/>
      <c r="K135" s="191"/>
      <c r="L135" s="191"/>
      <c r="M135" s="374">
        <f t="shared" si="47"/>
        <v>9100</v>
      </c>
      <c r="N135" s="374">
        <v>9100</v>
      </c>
      <c r="O135" s="183">
        <f>G135</f>
        <v>35000</v>
      </c>
      <c r="P135" s="183">
        <f>H135</f>
        <v>35000</v>
      </c>
      <c r="Q135" s="176"/>
      <c r="R135" s="176"/>
      <c r="S135" s="454">
        <f>T135</f>
        <v>35000</v>
      </c>
      <c r="T135" s="454">
        <f>P135</f>
        <v>35000</v>
      </c>
      <c r="U135" s="217"/>
      <c r="V135" s="217"/>
      <c r="W135" s="217"/>
      <c r="X135" s="217"/>
      <c r="Y135" s="217"/>
      <c r="Z135" s="217"/>
      <c r="AA135" s="217"/>
      <c r="AB135" s="217"/>
      <c r="AC135" s="217"/>
      <c r="AD135" s="217"/>
      <c r="AE135" s="217"/>
      <c r="AF135" s="217"/>
      <c r="AG135" s="189"/>
      <c r="AH135" s="173">
        <f t="shared" si="31"/>
        <v>0</v>
      </c>
    </row>
    <row r="136" spans="1:34" ht="49.5" hidden="1" x14ac:dyDescent="0.25">
      <c r="A136" s="410">
        <v>23</v>
      </c>
      <c r="B136" s="237" t="s">
        <v>1650</v>
      </c>
      <c r="C136" s="230" t="s">
        <v>1649</v>
      </c>
      <c r="D136" s="182"/>
      <c r="E136" s="188" t="s">
        <v>290</v>
      </c>
      <c r="F136" s="188"/>
      <c r="G136" s="236">
        <v>10000</v>
      </c>
      <c r="H136" s="229">
        <v>10000</v>
      </c>
      <c r="I136" s="177"/>
      <c r="J136" s="212"/>
      <c r="K136" s="177"/>
      <c r="L136" s="212"/>
      <c r="M136" s="374">
        <f t="shared" si="47"/>
        <v>9000</v>
      </c>
      <c r="N136" s="374">
        <v>9000</v>
      </c>
      <c r="O136" s="409"/>
      <c r="P136" s="409"/>
      <c r="Q136" s="176"/>
      <c r="R136" s="176"/>
      <c r="S136" s="477"/>
      <c r="T136" s="477"/>
      <c r="U136" s="217"/>
      <c r="V136" s="217"/>
      <c r="W136" s="217"/>
      <c r="X136" s="217"/>
      <c r="Y136" s="217"/>
      <c r="Z136" s="217"/>
      <c r="AA136" s="217"/>
      <c r="AB136" s="217"/>
      <c r="AC136" s="217"/>
      <c r="AD136" s="217"/>
      <c r="AE136" s="217"/>
      <c r="AF136" s="217"/>
      <c r="AG136" s="185" t="s">
        <v>284</v>
      </c>
      <c r="AH136" s="173">
        <f t="shared" si="31"/>
        <v>0</v>
      </c>
    </row>
    <row r="137" spans="1:34" s="203" customFormat="1" ht="16.5" hidden="1" x14ac:dyDescent="0.25">
      <c r="A137" s="394" t="s">
        <v>333</v>
      </c>
      <c r="B137" s="395" t="s">
        <v>1239</v>
      </c>
      <c r="C137" s="394"/>
      <c r="D137" s="394"/>
      <c r="E137" s="394"/>
      <c r="F137" s="393"/>
      <c r="G137" s="408">
        <f>G138</f>
        <v>324941.71791925468</v>
      </c>
      <c r="H137" s="408">
        <f>H138</f>
        <v>324941.71791925468</v>
      </c>
      <c r="I137" s="240"/>
      <c r="J137" s="241"/>
      <c r="K137" s="240"/>
      <c r="L137" s="241"/>
      <c r="M137" s="408">
        <f t="shared" ref="M137:T138" si="48">M138</f>
        <v>158219.52380952379</v>
      </c>
      <c r="N137" s="408">
        <f t="shared" si="48"/>
        <v>158219.52380952379</v>
      </c>
      <c r="O137" s="407">
        <f t="shared" si="48"/>
        <v>158220</v>
      </c>
      <c r="P137" s="407">
        <f t="shared" si="48"/>
        <v>158220</v>
      </c>
      <c r="Q137" s="408">
        <f t="shared" si="48"/>
        <v>0</v>
      </c>
      <c r="R137" s="408">
        <f t="shared" si="48"/>
        <v>0</v>
      </c>
      <c r="S137" s="458">
        <f t="shared" si="48"/>
        <v>158220</v>
      </c>
      <c r="T137" s="458">
        <f t="shared" si="48"/>
        <v>158220</v>
      </c>
      <c r="U137" s="407">
        <f t="shared" ref="U137:AD138" si="49">U138</f>
        <v>17655</v>
      </c>
      <c r="V137" s="407">
        <f t="shared" si="49"/>
        <v>17655</v>
      </c>
      <c r="W137" s="407">
        <f t="shared" si="49"/>
        <v>29451</v>
      </c>
      <c r="X137" s="407">
        <f t="shared" si="49"/>
        <v>29451</v>
      </c>
      <c r="Y137" s="407">
        <f t="shared" si="49"/>
        <v>0</v>
      </c>
      <c r="Z137" s="407">
        <f t="shared" si="49"/>
        <v>0</v>
      </c>
      <c r="AA137" s="407">
        <f t="shared" si="49"/>
        <v>0</v>
      </c>
      <c r="AB137" s="407">
        <f t="shared" si="49"/>
        <v>0</v>
      </c>
      <c r="AC137" s="407">
        <f t="shared" si="49"/>
        <v>0</v>
      </c>
      <c r="AD137" s="407">
        <f t="shared" si="49"/>
        <v>0</v>
      </c>
      <c r="AE137" s="407">
        <f t="shared" ref="AE137:AF138" si="50">AE138</f>
        <v>0</v>
      </c>
      <c r="AF137" s="407">
        <f t="shared" si="50"/>
        <v>0</v>
      </c>
      <c r="AG137" s="204"/>
      <c r="AH137" s="173">
        <f t="shared" si="31"/>
        <v>0</v>
      </c>
    </row>
    <row r="138" spans="1:34" ht="34.5" hidden="1" x14ac:dyDescent="0.25">
      <c r="A138" s="195" t="s">
        <v>85</v>
      </c>
      <c r="B138" s="193" t="s">
        <v>86</v>
      </c>
      <c r="C138" s="192"/>
      <c r="D138" s="192"/>
      <c r="E138" s="192"/>
      <c r="F138" s="192"/>
      <c r="G138" s="191">
        <f>G139</f>
        <v>324941.71791925468</v>
      </c>
      <c r="H138" s="191">
        <f>H139</f>
        <v>324941.71791925468</v>
      </c>
      <c r="I138" s="191"/>
      <c r="J138" s="191"/>
      <c r="K138" s="191"/>
      <c r="L138" s="191"/>
      <c r="M138" s="191">
        <f t="shared" si="48"/>
        <v>158219.52380952379</v>
      </c>
      <c r="N138" s="191">
        <f t="shared" si="48"/>
        <v>158219.52380952379</v>
      </c>
      <c r="O138" s="190">
        <f t="shared" si="48"/>
        <v>158220</v>
      </c>
      <c r="P138" s="190">
        <f t="shared" si="48"/>
        <v>158220</v>
      </c>
      <c r="Q138" s="191">
        <f t="shared" si="48"/>
        <v>0</v>
      </c>
      <c r="R138" s="191">
        <f t="shared" si="48"/>
        <v>0</v>
      </c>
      <c r="S138" s="474">
        <f t="shared" si="48"/>
        <v>158220</v>
      </c>
      <c r="T138" s="474">
        <f t="shared" si="48"/>
        <v>158220</v>
      </c>
      <c r="U138" s="190">
        <f t="shared" si="49"/>
        <v>17655</v>
      </c>
      <c r="V138" s="190">
        <f t="shared" si="49"/>
        <v>17655</v>
      </c>
      <c r="W138" s="190">
        <f t="shared" si="49"/>
        <v>29451</v>
      </c>
      <c r="X138" s="190">
        <f t="shared" si="49"/>
        <v>29451</v>
      </c>
      <c r="Y138" s="190">
        <f t="shared" si="49"/>
        <v>0</v>
      </c>
      <c r="Z138" s="190">
        <f t="shared" si="49"/>
        <v>0</v>
      </c>
      <c r="AA138" s="190">
        <f t="shared" si="49"/>
        <v>0</v>
      </c>
      <c r="AB138" s="190">
        <f t="shared" si="49"/>
        <v>0</v>
      </c>
      <c r="AC138" s="190">
        <f t="shared" si="49"/>
        <v>0</v>
      </c>
      <c r="AD138" s="190">
        <f t="shared" si="49"/>
        <v>0</v>
      </c>
      <c r="AE138" s="190">
        <f t="shared" si="50"/>
        <v>0</v>
      </c>
      <c r="AF138" s="190">
        <f t="shared" si="50"/>
        <v>0</v>
      </c>
      <c r="AG138" s="189"/>
      <c r="AH138" s="173">
        <f t="shared" si="31"/>
        <v>0</v>
      </c>
    </row>
    <row r="139" spans="1:34" ht="51.75" hidden="1" x14ac:dyDescent="0.25">
      <c r="A139" s="194" t="s">
        <v>87</v>
      </c>
      <c r="B139" s="193" t="s">
        <v>88</v>
      </c>
      <c r="C139" s="192"/>
      <c r="D139" s="192"/>
      <c r="E139" s="192"/>
      <c r="F139" s="192"/>
      <c r="G139" s="191">
        <f>G141+SUM(G144:G146)+G149+SUM(G152:G154)+G158+G160+G161+G163+SUM(G165:G175)+SUM(G177:G245)</f>
        <v>324941.71791925468</v>
      </c>
      <c r="H139" s="191">
        <f>H141+SUM(H144:H146)+H149+SUM(H152:H154)+H158+H160+H161+H163+SUM(H165:H175)+SUM(H177:H245)</f>
        <v>324941.71791925468</v>
      </c>
      <c r="I139" s="191"/>
      <c r="J139" s="191"/>
      <c r="K139" s="191"/>
      <c r="L139" s="191"/>
      <c r="M139" s="191">
        <f>M141+SUM(M144:M146)+M149+SUM(M152:M154)+M158+M160+M161+M163+SUM(M165:M175)+SUM(M177:M245)</f>
        <v>158219.52380952379</v>
      </c>
      <c r="N139" s="191">
        <f>N141+SUM(N144:N146)+N149+SUM(N152:N154)+N158+N160+N161+N163+SUM(N165:N175)+SUM(N177:N245)</f>
        <v>158219.52380952379</v>
      </c>
      <c r="O139" s="191">
        <f>O141+SUM(O144:O146)+O149+SUM(O152:O154)+O158+O160+O161+O163+SUM(O165:O175)+SUM(O177:O245)</f>
        <v>158220</v>
      </c>
      <c r="P139" s="191">
        <f>P141+SUM(P144:P146)+P149+SUM(P152:P154)+P158+P160+P161+P163+SUM(P165:P175)+SUM(P177:P245)</f>
        <v>158220</v>
      </c>
      <c r="Q139" s="191">
        <f t="shared" ref="Q139:X139" si="51">Q141+SUM(Q144:Q146)+Q149+SUM(Q152:Q154)+Q158+Q160+Q161+Q163+SUM(Q165:Q175)+SUM(Q177:Q245)</f>
        <v>0</v>
      </c>
      <c r="R139" s="191">
        <f t="shared" si="51"/>
        <v>0</v>
      </c>
      <c r="S139" s="474">
        <f t="shared" si="51"/>
        <v>158220</v>
      </c>
      <c r="T139" s="474">
        <f t="shared" si="51"/>
        <v>158220</v>
      </c>
      <c r="U139" s="191">
        <f t="shared" si="51"/>
        <v>17655</v>
      </c>
      <c r="V139" s="191">
        <f t="shared" si="51"/>
        <v>17655</v>
      </c>
      <c r="W139" s="191">
        <f t="shared" si="51"/>
        <v>29451</v>
      </c>
      <c r="X139" s="191">
        <f t="shared" si="51"/>
        <v>29451</v>
      </c>
      <c r="Y139" s="190">
        <f t="shared" ref="Y139:AF139" si="52">SUM(Y140:Y245)</f>
        <v>0</v>
      </c>
      <c r="Z139" s="190">
        <f t="shared" si="52"/>
        <v>0</v>
      </c>
      <c r="AA139" s="190">
        <f t="shared" si="52"/>
        <v>0</v>
      </c>
      <c r="AB139" s="190">
        <f t="shared" si="52"/>
        <v>0</v>
      </c>
      <c r="AC139" s="190">
        <f t="shared" si="52"/>
        <v>0</v>
      </c>
      <c r="AD139" s="190">
        <f t="shared" si="52"/>
        <v>0</v>
      </c>
      <c r="AE139" s="190">
        <f t="shared" si="52"/>
        <v>0</v>
      </c>
      <c r="AF139" s="190">
        <f t="shared" si="52"/>
        <v>0</v>
      </c>
      <c r="AG139" s="189"/>
      <c r="AH139" s="173">
        <f t="shared" si="31"/>
        <v>0</v>
      </c>
    </row>
    <row r="140" spans="1:34" ht="49.5" hidden="1" x14ac:dyDescent="0.25">
      <c r="A140" s="188">
        <v>1</v>
      </c>
      <c r="B140" s="233" t="s">
        <v>1648</v>
      </c>
      <c r="C140" s="188" t="s">
        <v>1359</v>
      </c>
      <c r="D140" s="188" t="s">
        <v>1647</v>
      </c>
      <c r="E140" s="188">
        <v>2016</v>
      </c>
      <c r="F140" s="188" t="s">
        <v>1646</v>
      </c>
      <c r="G140" s="212">
        <v>9627</v>
      </c>
      <c r="H140" s="229">
        <f t="shared" ref="H140:H179" si="53">G140</f>
        <v>9627</v>
      </c>
      <c r="I140" s="177"/>
      <c r="J140" s="212"/>
      <c r="K140" s="177"/>
      <c r="L140" s="212"/>
      <c r="M140" s="374">
        <f t="shared" ref="M140:M171" si="54">N140</f>
        <v>8850</v>
      </c>
      <c r="N140" s="212">
        <v>8850</v>
      </c>
      <c r="O140" s="403">
        <v>8850</v>
      </c>
      <c r="P140" s="383">
        <v>8850</v>
      </c>
      <c r="Q140" s="176"/>
      <c r="R140" s="176"/>
      <c r="S140" s="479">
        <v>8850</v>
      </c>
      <c r="T140" s="459">
        <v>8850</v>
      </c>
      <c r="U140" s="177">
        <f t="shared" ref="U140:U175" si="55">V140</f>
        <v>5770</v>
      </c>
      <c r="V140" s="177">
        <v>5770</v>
      </c>
      <c r="W140" s="177">
        <f t="shared" ref="W140:W175" si="56">X140</f>
        <v>2177</v>
      </c>
      <c r="X140" s="177">
        <v>2177</v>
      </c>
      <c r="Y140" s="177"/>
      <c r="Z140" s="177"/>
      <c r="AA140" s="177"/>
      <c r="AB140" s="177"/>
      <c r="AC140" s="177"/>
      <c r="AD140" s="177"/>
      <c r="AE140" s="177"/>
      <c r="AF140" s="177"/>
      <c r="AG140" s="198"/>
      <c r="AH140" s="173">
        <f t="shared" si="31"/>
        <v>0</v>
      </c>
    </row>
    <row r="141" spans="1:34" ht="82.5" hidden="1" x14ac:dyDescent="0.25">
      <c r="A141" s="188">
        <v>2</v>
      </c>
      <c r="B141" s="405" t="s">
        <v>1645</v>
      </c>
      <c r="C141" s="188" t="s">
        <v>1640</v>
      </c>
      <c r="D141" s="188" t="s">
        <v>1644</v>
      </c>
      <c r="E141" s="188">
        <v>2016</v>
      </c>
      <c r="F141" s="188" t="s">
        <v>1643</v>
      </c>
      <c r="G141" s="212">
        <v>1934</v>
      </c>
      <c r="H141" s="229">
        <f t="shared" si="53"/>
        <v>1934</v>
      </c>
      <c r="I141" s="177"/>
      <c r="J141" s="212"/>
      <c r="K141" s="177"/>
      <c r="L141" s="212"/>
      <c r="M141" s="374">
        <f t="shared" si="54"/>
        <v>1750</v>
      </c>
      <c r="N141" s="212">
        <v>1750</v>
      </c>
      <c r="O141" s="403">
        <f>P141</f>
        <v>1520</v>
      </c>
      <c r="P141" s="383">
        <v>1520</v>
      </c>
      <c r="Q141" s="176"/>
      <c r="R141" s="176"/>
      <c r="S141" s="479">
        <f>T141</f>
        <v>1520</v>
      </c>
      <c r="T141" s="459">
        <v>1520</v>
      </c>
      <c r="U141" s="177">
        <f t="shared" si="55"/>
        <v>1160</v>
      </c>
      <c r="V141" s="177">
        <v>1160</v>
      </c>
      <c r="W141" s="177">
        <f t="shared" si="56"/>
        <v>200</v>
      </c>
      <c r="X141" s="177">
        <v>200</v>
      </c>
      <c r="Y141" s="177"/>
      <c r="Z141" s="177"/>
      <c r="AA141" s="177"/>
      <c r="AB141" s="177"/>
      <c r="AC141" s="177"/>
      <c r="AD141" s="177"/>
      <c r="AE141" s="177"/>
      <c r="AF141" s="177"/>
      <c r="AG141" s="185" t="s">
        <v>1642</v>
      </c>
      <c r="AH141" s="173">
        <f t="shared" si="31"/>
        <v>0</v>
      </c>
    </row>
    <row r="142" spans="1:34" ht="66" hidden="1" x14ac:dyDescent="0.25">
      <c r="A142" s="188">
        <v>3</v>
      </c>
      <c r="B142" s="405" t="s">
        <v>1641</v>
      </c>
      <c r="C142" s="188" t="s">
        <v>1640</v>
      </c>
      <c r="D142" s="188" t="s">
        <v>1639</v>
      </c>
      <c r="E142" s="188">
        <v>2016</v>
      </c>
      <c r="F142" s="188" t="s">
        <v>1638</v>
      </c>
      <c r="G142" s="212">
        <v>8333</v>
      </c>
      <c r="H142" s="229">
        <f t="shared" si="53"/>
        <v>8333</v>
      </c>
      <c r="I142" s="177"/>
      <c r="J142" s="212"/>
      <c r="K142" s="177"/>
      <c r="L142" s="212"/>
      <c r="M142" s="374">
        <f t="shared" si="54"/>
        <v>7550</v>
      </c>
      <c r="N142" s="212">
        <v>7550</v>
      </c>
      <c r="O142" s="403">
        <v>7550</v>
      </c>
      <c r="P142" s="383">
        <v>7550</v>
      </c>
      <c r="Q142" s="176"/>
      <c r="R142" s="176"/>
      <c r="S142" s="479">
        <v>7550</v>
      </c>
      <c r="T142" s="459">
        <v>7550</v>
      </c>
      <c r="U142" s="177">
        <f t="shared" si="55"/>
        <v>5000</v>
      </c>
      <c r="V142" s="177">
        <v>5000</v>
      </c>
      <c r="W142" s="177">
        <f t="shared" si="56"/>
        <v>1275</v>
      </c>
      <c r="X142" s="177">
        <v>1275</v>
      </c>
      <c r="Y142" s="177"/>
      <c r="Z142" s="177"/>
      <c r="AA142" s="177"/>
      <c r="AB142" s="177"/>
      <c r="AC142" s="177"/>
      <c r="AD142" s="177"/>
      <c r="AE142" s="177"/>
      <c r="AF142" s="177"/>
      <c r="AG142" s="198"/>
      <c r="AH142" s="173">
        <f t="shared" si="31"/>
        <v>0</v>
      </c>
    </row>
    <row r="143" spans="1:34" ht="49.5" hidden="1" x14ac:dyDescent="0.25">
      <c r="A143" s="188">
        <v>4</v>
      </c>
      <c r="B143" s="251" t="s">
        <v>1637</v>
      </c>
      <c r="C143" s="188" t="s">
        <v>1357</v>
      </c>
      <c r="D143" s="188" t="s">
        <v>1636</v>
      </c>
      <c r="E143" s="188">
        <v>2016</v>
      </c>
      <c r="F143" s="188" t="s">
        <v>1635</v>
      </c>
      <c r="G143" s="212">
        <v>2669</v>
      </c>
      <c r="H143" s="229">
        <f t="shared" si="53"/>
        <v>2669</v>
      </c>
      <c r="I143" s="191"/>
      <c r="J143" s="191"/>
      <c r="K143" s="191"/>
      <c r="L143" s="191"/>
      <c r="M143" s="374">
        <f t="shared" si="54"/>
        <v>2450</v>
      </c>
      <c r="N143" s="212">
        <v>2450</v>
      </c>
      <c r="O143" s="403">
        <v>2450</v>
      </c>
      <c r="P143" s="383">
        <v>2450</v>
      </c>
      <c r="Q143" s="176"/>
      <c r="R143" s="176"/>
      <c r="S143" s="479">
        <v>2450</v>
      </c>
      <c r="T143" s="459">
        <v>2450</v>
      </c>
      <c r="U143" s="177">
        <f t="shared" si="55"/>
        <v>1600</v>
      </c>
      <c r="V143" s="177">
        <v>1600</v>
      </c>
      <c r="W143" s="177">
        <f t="shared" si="56"/>
        <v>270</v>
      </c>
      <c r="X143" s="177">
        <v>270</v>
      </c>
      <c r="Y143" s="177"/>
      <c r="Z143" s="177"/>
      <c r="AA143" s="177"/>
      <c r="AB143" s="177"/>
      <c r="AC143" s="177"/>
      <c r="AD143" s="177"/>
      <c r="AE143" s="177"/>
      <c r="AF143" s="177"/>
      <c r="AG143" s="189"/>
      <c r="AH143" s="173">
        <f t="shared" si="31"/>
        <v>0</v>
      </c>
    </row>
    <row r="144" spans="1:34" ht="49.5" hidden="1" x14ac:dyDescent="0.25">
      <c r="A144" s="188">
        <v>5</v>
      </c>
      <c r="B144" s="251" t="s">
        <v>1634</v>
      </c>
      <c r="C144" s="188" t="s">
        <v>1357</v>
      </c>
      <c r="D144" s="188" t="s">
        <v>1633</v>
      </c>
      <c r="E144" s="188">
        <v>2016</v>
      </c>
      <c r="F144" s="188" t="s">
        <v>1632</v>
      </c>
      <c r="G144" s="212">
        <v>2089</v>
      </c>
      <c r="H144" s="229">
        <f t="shared" si="53"/>
        <v>2089</v>
      </c>
      <c r="I144" s="265"/>
      <c r="J144" s="265"/>
      <c r="K144" s="265"/>
      <c r="L144" s="265"/>
      <c r="M144" s="374">
        <f t="shared" si="54"/>
        <v>1950</v>
      </c>
      <c r="N144" s="212">
        <v>1950</v>
      </c>
      <c r="O144" s="403">
        <f>P144</f>
        <v>1720</v>
      </c>
      <c r="P144" s="383">
        <v>1720</v>
      </c>
      <c r="Q144" s="176"/>
      <c r="R144" s="176"/>
      <c r="S144" s="479">
        <f>T144</f>
        <v>1720</v>
      </c>
      <c r="T144" s="459">
        <v>1720</v>
      </c>
      <c r="U144" s="177">
        <f t="shared" si="55"/>
        <v>1250</v>
      </c>
      <c r="V144" s="177">
        <v>1250</v>
      </c>
      <c r="W144" s="177">
        <f t="shared" si="56"/>
        <v>230</v>
      </c>
      <c r="X144" s="177">
        <v>230</v>
      </c>
      <c r="Y144" s="177"/>
      <c r="Z144" s="177"/>
      <c r="AA144" s="177"/>
      <c r="AB144" s="177"/>
      <c r="AC144" s="177"/>
      <c r="AD144" s="177"/>
      <c r="AE144" s="177"/>
      <c r="AF144" s="177"/>
      <c r="AG144" s="384"/>
      <c r="AH144" s="173">
        <f t="shared" si="31"/>
        <v>0</v>
      </c>
    </row>
    <row r="145" spans="1:34" ht="49.5" hidden="1" x14ac:dyDescent="0.25">
      <c r="A145" s="188">
        <v>6</v>
      </c>
      <c r="B145" s="251" t="s">
        <v>1631</v>
      </c>
      <c r="C145" s="188" t="s">
        <v>1357</v>
      </c>
      <c r="D145" s="188" t="s">
        <v>1630</v>
      </c>
      <c r="E145" s="188">
        <v>2016</v>
      </c>
      <c r="F145" s="188" t="s">
        <v>1629</v>
      </c>
      <c r="G145" s="212">
        <v>1706</v>
      </c>
      <c r="H145" s="229">
        <f t="shared" si="53"/>
        <v>1706</v>
      </c>
      <c r="I145" s="177"/>
      <c r="J145" s="177"/>
      <c r="K145" s="177"/>
      <c r="L145" s="177"/>
      <c r="M145" s="374">
        <f t="shared" si="54"/>
        <v>1600</v>
      </c>
      <c r="N145" s="212">
        <v>1600</v>
      </c>
      <c r="O145" s="403">
        <f>P145</f>
        <v>1330</v>
      </c>
      <c r="P145" s="383">
        <v>1330</v>
      </c>
      <c r="Q145" s="176"/>
      <c r="R145" s="176"/>
      <c r="S145" s="479">
        <f>T145</f>
        <v>1330</v>
      </c>
      <c r="T145" s="459">
        <v>1330</v>
      </c>
      <c r="U145" s="177">
        <f t="shared" si="55"/>
        <v>1020</v>
      </c>
      <c r="V145" s="177">
        <v>1020</v>
      </c>
      <c r="W145" s="177">
        <f t="shared" si="56"/>
        <v>250</v>
      </c>
      <c r="X145" s="177">
        <v>250</v>
      </c>
      <c r="Y145" s="177"/>
      <c r="Z145" s="177"/>
      <c r="AA145" s="177"/>
      <c r="AB145" s="177"/>
      <c r="AC145" s="177"/>
      <c r="AD145" s="177"/>
      <c r="AE145" s="177"/>
      <c r="AF145" s="177"/>
      <c r="AG145" s="198"/>
      <c r="AH145" s="173">
        <f t="shared" si="31"/>
        <v>0</v>
      </c>
    </row>
    <row r="146" spans="1:34" ht="49.5" hidden="1" x14ac:dyDescent="0.25">
      <c r="A146" s="188">
        <v>7</v>
      </c>
      <c r="B146" s="251" t="s">
        <v>1628</v>
      </c>
      <c r="C146" s="188" t="s">
        <v>1357</v>
      </c>
      <c r="D146" s="188" t="s">
        <v>1627</v>
      </c>
      <c r="E146" s="188">
        <v>2016</v>
      </c>
      <c r="F146" s="188" t="s">
        <v>1626</v>
      </c>
      <c r="G146" s="212">
        <v>1307</v>
      </c>
      <c r="H146" s="229">
        <f t="shared" si="53"/>
        <v>1307</v>
      </c>
      <c r="I146" s="177"/>
      <c r="J146" s="177"/>
      <c r="K146" s="177"/>
      <c r="L146" s="177"/>
      <c r="M146" s="374">
        <f t="shared" si="54"/>
        <v>1200</v>
      </c>
      <c r="N146" s="212">
        <v>1200</v>
      </c>
      <c r="O146" s="403">
        <v>1050</v>
      </c>
      <c r="P146" s="383">
        <v>1050</v>
      </c>
      <c r="Q146" s="176"/>
      <c r="R146" s="176"/>
      <c r="S146" s="479">
        <v>1050</v>
      </c>
      <c r="T146" s="459">
        <v>1050</v>
      </c>
      <c r="U146" s="177">
        <f t="shared" si="55"/>
        <v>780</v>
      </c>
      <c r="V146" s="177">
        <v>780</v>
      </c>
      <c r="W146" s="177">
        <f t="shared" si="56"/>
        <v>190</v>
      </c>
      <c r="X146" s="177">
        <v>190</v>
      </c>
      <c r="Y146" s="177"/>
      <c r="Z146" s="177"/>
      <c r="AA146" s="177"/>
      <c r="AB146" s="177"/>
      <c r="AC146" s="177"/>
      <c r="AD146" s="177"/>
      <c r="AE146" s="177"/>
      <c r="AF146" s="177"/>
      <c r="AG146" s="198"/>
      <c r="AH146" s="173">
        <f t="shared" si="31"/>
        <v>0</v>
      </c>
    </row>
    <row r="147" spans="1:34" ht="49.5" hidden="1" x14ac:dyDescent="0.25">
      <c r="A147" s="188">
        <v>8</v>
      </c>
      <c r="B147" s="405" t="s">
        <v>1625</v>
      </c>
      <c r="C147" s="188" t="s">
        <v>1357</v>
      </c>
      <c r="D147" s="188" t="s">
        <v>1624</v>
      </c>
      <c r="E147" s="188">
        <v>2016</v>
      </c>
      <c r="F147" s="188" t="s">
        <v>1623</v>
      </c>
      <c r="G147" s="212">
        <v>2749</v>
      </c>
      <c r="H147" s="229">
        <f t="shared" si="53"/>
        <v>2749</v>
      </c>
      <c r="I147" s="177"/>
      <c r="J147" s="177"/>
      <c r="K147" s="177"/>
      <c r="L147" s="177"/>
      <c r="M147" s="374">
        <f t="shared" si="54"/>
        <v>2500</v>
      </c>
      <c r="N147" s="212">
        <v>2500</v>
      </c>
      <c r="O147" s="403">
        <v>2500</v>
      </c>
      <c r="P147" s="383">
        <v>2500</v>
      </c>
      <c r="Q147" s="176"/>
      <c r="R147" s="176"/>
      <c r="S147" s="479">
        <v>2500</v>
      </c>
      <c r="T147" s="459">
        <v>2500</v>
      </c>
      <c r="U147" s="177">
        <f t="shared" si="55"/>
        <v>1650</v>
      </c>
      <c r="V147" s="177">
        <v>1650</v>
      </c>
      <c r="W147" s="177">
        <f t="shared" si="56"/>
        <v>320</v>
      </c>
      <c r="X147" s="177">
        <v>320</v>
      </c>
      <c r="Y147" s="177"/>
      <c r="Z147" s="177"/>
      <c r="AA147" s="177"/>
      <c r="AB147" s="177"/>
      <c r="AC147" s="177"/>
      <c r="AD147" s="177"/>
      <c r="AE147" s="177"/>
      <c r="AF147" s="177"/>
      <c r="AG147" s="198"/>
      <c r="AH147" s="173">
        <f t="shared" si="31"/>
        <v>0</v>
      </c>
    </row>
    <row r="148" spans="1:34" ht="49.5" hidden="1" x14ac:dyDescent="0.25">
      <c r="A148" s="188">
        <v>9</v>
      </c>
      <c r="B148" s="251" t="s">
        <v>1622</v>
      </c>
      <c r="C148" s="188" t="s">
        <v>1357</v>
      </c>
      <c r="D148" s="188" t="s">
        <v>1621</v>
      </c>
      <c r="E148" s="188">
        <v>2016</v>
      </c>
      <c r="F148" s="188" t="s">
        <v>1620</v>
      </c>
      <c r="G148" s="212">
        <v>1653</v>
      </c>
      <c r="H148" s="229">
        <f t="shared" si="53"/>
        <v>1653</v>
      </c>
      <c r="I148" s="177"/>
      <c r="J148" s="177"/>
      <c r="K148" s="177"/>
      <c r="L148" s="177"/>
      <c r="M148" s="374">
        <f t="shared" si="54"/>
        <v>1500</v>
      </c>
      <c r="N148" s="212">
        <v>1500</v>
      </c>
      <c r="O148" s="403">
        <v>1500</v>
      </c>
      <c r="P148" s="383">
        <v>1500</v>
      </c>
      <c r="Q148" s="176"/>
      <c r="R148" s="176"/>
      <c r="S148" s="479">
        <v>1500</v>
      </c>
      <c r="T148" s="459">
        <v>1500</v>
      </c>
      <c r="U148" s="177">
        <f t="shared" si="55"/>
        <v>990</v>
      </c>
      <c r="V148" s="177">
        <v>990</v>
      </c>
      <c r="W148" s="177">
        <f t="shared" si="56"/>
        <v>250</v>
      </c>
      <c r="X148" s="177">
        <v>250</v>
      </c>
      <c r="Y148" s="177"/>
      <c r="Z148" s="177"/>
      <c r="AA148" s="177"/>
      <c r="AB148" s="177"/>
      <c r="AC148" s="177"/>
      <c r="AD148" s="177"/>
      <c r="AE148" s="177"/>
      <c r="AF148" s="177"/>
      <c r="AG148" s="198"/>
      <c r="AH148" s="173">
        <f t="shared" ref="AH148:AH211" si="57">IF(T148-P148=0,0,1)</f>
        <v>0</v>
      </c>
    </row>
    <row r="149" spans="1:34" ht="49.5" hidden="1" x14ac:dyDescent="0.25">
      <c r="A149" s="188">
        <v>10</v>
      </c>
      <c r="B149" s="251" t="s">
        <v>1619</v>
      </c>
      <c r="C149" s="188" t="s">
        <v>1357</v>
      </c>
      <c r="D149" s="188" t="s">
        <v>1618</v>
      </c>
      <c r="E149" s="188">
        <v>2016</v>
      </c>
      <c r="F149" s="188" t="s">
        <v>1617</v>
      </c>
      <c r="G149" s="212">
        <v>1842</v>
      </c>
      <c r="H149" s="229">
        <f t="shared" si="53"/>
        <v>1842</v>
      </c>
      <c r="I149" s="177"/>
      <c r="J149" s="177"/>
      <c r="K149" s="177"/>
      <c r="L149" s="177"/>
      <c r="M149" s="374">
        <f t="shared" si="54"/>
        <v>1700</v>
      </c>
      <c r="N149" s="212">
        <v>1700</v>
      </c>
      <c r="O149" s="403">
        <f>P149</f>
        <v>1530</v>
      </c>
      <c r="P149" s="383">
        <v>1530</v>
      </c>
      <c r="Q149" s="176"/>
      <c r="R149" s="176"/>
      <c r="S149" s="479">
        <f>T149</f>
        <v>1530</v>
      </c>
      <c r="T149" s="459">
        <v>1530</v>
      </c>
      <c r="U149" s="177">
        <f t="shared" si="55"/>
        <v>1100</v>
      </c>
      <c r="V149" s="177">
        <v>1100</v>
      </c>
      <c r="W149" s="177">
        <f t="shared" si="56"/>
        <v>230</v>
      </c>
      <c r="X149" s="177">
        <v>230</v>
      </c>
      <c r="Y149" s="177"/>
      <c r="Z149" s="177"/>
      <c r="AA149" s="177"/>
      <c r="AB149" s="177"/>
      <c r="AC149" s="177"/>
      <c r="AD149" s="177"/>
      <c r="AE149" s="177"/>
      <c r="AF149" s="177"/>
      <c r="AG149" s="188"/>
      <c r="AH149" s="173">
        <f t="shared" si="57"/>
        <v>0</v>
      </c>
    </row>
    <row r="150" spans="1:34" ht="49.5" hidden="1" x14ac:dyDescent="0.25">
      <c r="A150" s="188">
        <v>11</v>
      </c>
      <c r="B150" s="251" t="s">
        <v>1616</v>
      </c>
      <c r="C150" s="188" t="s">
        <v>1357</v>
      </c>
      <c r="D150" s="188" t="s">
        <v>1615</v>
      </c>
      <c r="E150" s="188">
        <v>2016</v>
      </c>
      <c r="F150" s="188" t="s">
        <v>1614</v>
      </c>
      <c r="G150" s="212">
        <v>1305</v>
      </c>
      <c r="H150" s="229">
        <f t="shared" si="53"/>
        <v>1305</v>
      </c>
      <c r="I150" s="177"/>
      <c r="J150" s="177"/>
      <c r="K150" s="177"/>
      <c r="L150" s="177"/>
      <c r="M150" s="374">
        <f t="shared" si="54"/>
        <v>1200</v>
      </c>
      <c r="N150" s="212">
        <v>1200</v>
      </c>
      <c r="O150" s="403">
        <v>1200</v>
      </c>
      <c r="P150" s="383">
        <v>1200</v>
      </c>
      <c r="Q150" s="176"/>
      <c r="R150" s="176"/>
      <c r="S150" s="479">
        <v>1200</v>
      </c>
      <c r="T150" s="459">
        <v>1200</v>
      </c>
      <c r="U150" s="177">
        <f t="shared" si="55"/>
        <v>780</v>
      </c>
      <c r="V150" s="177">
        <v>780</v>
      </c>
      <c r="W150" s="177">
        <f t="shared" si="56"/>
        <v>170</v>
      </c>
      <c r="X150" s="177">
        <v>170</v>
      </c>
      <c r="Y150" s="177"/>
      <c r="Z150" s="177"/>
      <c r="AA150" s="177"/>
      <c r="AB150" s="177"/>
      <c r="AC150" s="177"/>
      <c r="AD150" s="177"/>
      <c r="AE150" s="177"/>
      <c r="AF150" s="177"/>
      <c r="AG150" s="198"/>
      <c r="AH150" s="173">
        <f t="shared" si="57"/>
        <v>0</v>
      </c>
    </row>
    <row r="151" spans="1:34" ht="49.5" hidden="1" x14ac:dyDescent="0.25">
      <c r="A151" s="188">
        <v>12</v>
      </c>
      <c r="B151" s="251" t="s">
        <v>1613</v>
      </c>
      <c r="C151" s="188" t="s">
        <v>1357</v>
      </c>
      <c r="D151" s="188" t="s">
        <v>1612</v>
      </c>
      <c r="E151" s="188">
        <v>2016</v>
      </c>
      <c r="F151" s="188" t="s">
        <v>1611</v>
      </c>
      <c r="G151" s="385">
        <v>1342</v>
      </c>
      <c r="H151" s="229">
        <f t="shared" si="53"/>
        <v>1342</v>
      </c>
      <c r="I151" s="177"/>
      <c r="J151" s="177"/>
      <c r="K151" s="177"/>
      <c r="L151" s="177"/>
      <c r="M151" s="374">
        <f t="shared" si="54"/>
        <v>1230</v>
      </c>
      <c r="N151" s="212">
        <v>1230</v>
      </c>
      <c r="O151" s="403">
        <v>1230</v>
      </c>
      <c r="P151" s="404">
        <v>1230</v>
      </c>
      <c r="Q151" s="176"/>
      <c r="R151" s="176"/>
      <c r="S151" s="479">
        <v>1230</v>
      </c>
      <c r="T151" s="460">
        <v>1230</v>
      </c>
      <c r="U151" s="177">
        <f t="shared" si="55"/>
        <v>800</v>
      </c>
      <c r="V151" s="177">
        <v>800</v>
      </c>
      <c r="W151" s="177">
        <f t="shared" si="56"/>
        <v>160</v>
      </c>
      <c r="X151" s="177">
        <v>160</v>
      </c>
      <c r="Y151" s="177"/>
      <c r="Z151" s="177"/>
      <c r="AA151" s="177"/>
      <c r="AB151" s="177"/>
      <c r="AC151" s="177"/>
      <c r="AD151" s="177"/>
      <c r="AE151" s="177"/>
      <c r="AF151" s="177"/>
      <c r="AG151" s="198"/>
      <c r="AH151" s="173">
        <f t="shared" si="57"/>
        <v>0</v>
      </c>
    </row>
    <row r="152" spans="1:34" ht="49.5" hidden="1" x14ac:dyDescent="0.25">
      <c r="A152" s="188">
        <v>13</v>
      </c>
      <c r="B152" s="406" t="s">
        <v>1610</v>
      </c>
      <c r="C152" s="188" t="s">
        <v>1355</v>
      </c>
      <c r="D152" s="188" t="s">
        <v>1609</v>
      </c>
      <c r="E152" s="188">
        <v>2016</v>
      </c>
      <c r="F152" s="188" t="s">
        <v>1608</v>
      </c>
      <c r="G152" s="385">
        <v>2109</v>
      </c>
      <c r="H152" s="229">
        <f t="shared" si="53"/>
        <v>2109</v>
      </c>
      <c r="I152" s="177"/>
      <c r="J152" s="177"/>
      <c r="K152" s="177"/>
      <c r="L152" s="177"/>
      <c r="M152" s="374">
        <f t="shared" si="54"/>
        <v>1940</v>
      </c>
      <c r="N152" s="212">
        <v>1940</v>
      </c>
      <c r="O152" s="403">
        <f>P152</f>
        <v>1740</v>
      </c>
      <c r="P152" s="404">
        <v>1740</v>
      </c>
      <c r="Q152" s="176"/>
      <c r="R152" s="176"/>
      <c r="S152" s="479">
        <f>T152</f>
        <v>1740</v>
      </c>
      <c r="T152" s="460">
        <v>1740</v>
      </c>
      <c r="U152" s="177">
        <f t="shared" si="55"/>
        <v>1260</v>
      </c>
      <c r="V152" s="177">
        <v>1260</v>
      </c>
      <c r="W152" s="177">
        <f t="shared" si="56"/>
        <v>330</v>
      </c>
      <c r="X152" s="177">
        <v>330</v>
      </c>
      <c r="Y152" s="177"/>
      <c r="Z152" s="177"/>
      <c r="AA152" s="177"/>
      <c r="AB152" s="177"/>
      <c r="AC152" s="177"/>
      <c r="AD152" s="177"/>
      <c r="AE152" s="177"/>
      <c r="AF152" s="177"/>
      <c r="AG152" s="198"/>
      <c r="AH152" s="173">
        <f t="shared" si="57"/>
        <v>0</v>
      </c>
    </row>
    <row r="153" spans="1:34" ht="49.5" hidden="1" x14ac:dyDescent="0.25">
      <c r="A153" s="188">
        <v>14</v>
      </c>
      <c r="B153" s="406" t="s">
        <v>1607</v>
      </c>
      <c r="C153" s="188" t="s">
        <v>1355</v>
      </c>
      <c r="D153" s="188" t="s">
        <v>1606</v>
      </c>
      <c r="E153" s="188">
        <v>2016</v>
      </c>
      <c r="F153" s="188" t="s">
        <v>1605</v>
      </c>
      <c r="G153" s="385">
        <v>3221</v>
      </c>
      <c r="H153" s="229">
        <f t="shared" si="53"/>
        <v>3221</v>
      </c>
      <c r="I153" s="177"/>
      <c r="J153" s="177"/>
      <c r="K153" s="177"/>
      <c r="L153" s="177"/>
      <c r="M153" s="374">
        <f t="shared" si="54"/>
        <v>2960</v>
      </c>
      <c r="N153" s="212">
        <v>2960</v>
      </c>
      <c r="O153" s="403">
        <v>2700</v>
      </c>
      <c r="P153" s="404">
        <v>2700</v>
      </c>
      <c r="Q153" s="176"/>
      <c r="R153" s="176"/>
      <c r="S153" s="479">
        <v>2700</v>
      </c>
      <c r="T153" s="460">
        <v>2700</v>
      </c>
      <c r="U153" s="177">
        <f t="shared" si="55"/>
        <v>1930</v>
      </c>
      <c r="V153" s="177">
        <v>1930</v>
      </c>
      <c r="W153" s="177">
        <f t="shared" si="56"/>
        <v>390</v>
      </c>
      <c r="X153" s="177">
        <v>390</v>
      </c>
      <c r="Y153" s="177"/>
      <c r="Z153" s="177"/>
      <c r="AA153" s="177"/>
      <c r="AB153" s="177"/>
      <c r="AC153" s="177"/>
      <c r="AD153" s="177"/>
      <c r="AE153" s="177"/>
      <c r="AF153" s="177"/>
      <c r="AG153" s="198"/>
      <c r="AH153" s="173">
        <f t="shared" si="57"/>
        <v>0</v>
      </c>
    </row>
    <row r="154" spans="1:34" ht="49.5" hidden="1" x14ac:dyDescent="0.25">
      <c r="A154" s="188">
        <v>15</v>
      </c>
      <c r="B154" s="406" t="s">
        <v>1604</v>
      </c>
      <c r="C154" s="188" t="s">
        <v>1355</v>
      </c>
      <c r="D154" s="188" t="s">
        <v>1603</v>
      </c>
      <c r="E154" s="188">
        <v>2016</v>
      </c>
      <c r="F154" s="188" t="s">
        <v>1602</v>
      </c>
      <c r="G154" s="385">
        <v>1105</v>
      </c>
      <c r="H154" s="229">
        <f t="shared" si="53"/>
        <v>1105</v>
      </c>
      <c r="I154" s="177"/>
      <c r="J154" s="177"/>
      <c r="K154" s="177"/>
      <c r="L154" s="177"/>
      <c r="M154" s="374">
        <f t="shared" si="54"/>
        <v>1020</v>
      </c>
      <c r="N154" s="212">
        <v>1020</v>
      </c>
      <c r="O154" s="403">
        <f>P154</f>
        <v>830</v>
      </c>
      <c r="P154" s="404">
        <v>830</v>
      </c>
      <c r="Q154" s="176"/>
      <c r="R154" s="176"/>
      <c r="S154" s="479">
        <f>T154</f>
        <v>830</v>
      </c>
      <c r="T154" s="460">
        <v>830</v>
      </c>
      <c r="U154" s="177">
        <f t="shared" si="55"/>
        <v>660</v>
      </c>
      <c r="V154" s="177">
        <v>660</v>
      </c>
      <c r="W154" s="177">
        <f t="shared" si="56"/>
        <v>140</v>
      </c>
      <c r="X154" s="177">
        <v>140</v>
      </c>
      <c r="Y154" s="177"/>
      <c r="Z154" s="177"/>
      <c r="AA154" s="177"/>
      <c r="AB154" s="177"/>
      <c r="AC154" s="177"/>
      <c r="AD154" s="177"/>
      <c r="AE154" s="177"/>
      <c r="AF154" s="177"/>
      <c r="AG154" s="198"/>
      <c r="AH154" s="173">
        <f t="shared" si="57"/>
        <v>0</v>
      </c>
    </row>
    <row r="155" spans="1:34" ht="49.5" hidden="1" x14ac:dyDescent="0.25">
      <c r="A155" s="188">
        <v>16</v>
      </c>
      <c r="B155" s="405" t="s">
        <v>1601</v>
      </c>
      <c r="C155" s="188" t="s">
        <v>1600</v>
      </c>
      <c r="D155" s="188"/>
      <c r="E155" s="188">
        <v>2016</v>
      </c>
      <c r="F155" s="188" t="s">
        <v>1599</v>
      </c>
      <c r="G155" s="385">
        <v>1455</v>
      </c>
      <c r="H155" s="229">
        <f t="shared" si="53"/>
        <v>1455</v>
      </c>
      <c r="I155" s="177"/>
      <c r="J155" s="177"/>
      <c r="K155" s="177"/>
      <c r="L155" s="177"/>
      <c r="M155" s="374">
        <f t="shared" si="54"/>
        <v>1390</v>
      </c>
      <c r="N155" s="212">
        <v>1390</v>
      </c>
      <c r="O155" s="403">
        <v>1390</v>
      </c>
      <c r="P155" s="404">
        <v>1390</v>
      </c>
      <c r="Q155" s="176"/>
      <c r="R155" s="176"/>
      <c r="S155" s="479">
        <v>1390</v>
      </c>
      <c r="T155" s="460">
        <v>1390</v>
      </c>
      <c r="U155" s="177">
        <f t="shared" si="55"/>
        <v>870</v>
      </c>
      <c r="V155" s="177">
        <v>870</v>
      </c>
      <c r="W155" s="177">
        <f t="shared" si="56"/>
        <v>370</v>
      </c>
      <c r="X155" s="177">
        <v>370</v>
      </c>
      <c r="Y155" s="177"/>
      <c r="Z155" s="177"/>
      <c r="AA155" s="177"/>
      <c r="AB155" s="177"/>
      <c r="AC155" s="177"/>
      <c r="AD155" s="177"/>
      <c r="AE155" s="177"/>
      <c r="AF155" s="177"/>
      <c r="AG155" s="198"/>
      <c r="AH155" s="173">
        <f t="shared" si="57"/>
        <v>0</v>
      </c>
    </row>
    <row r="156" spans="1:34" ht="49.5" hidden="1" x14ac:dyDescent="0.25">
      <c r="A156" s="188">
        <v>17</v>
      </c>
      <c r="B156" s="233" t="s">
        <v>1598</v>
      </c>
      <c r="C156" s="188" t="s">
        <v>1357</v>
      </c>
      <c r="D156" s="188" t="s">
        <v>1597</v>
      </c>
      <c r="E156" s="188">
        <v>2016</v>
      </c>
      <c r="F156" s="188" t="s">
        <v>1596</v>
      </c>
      <c r="G156" s="385">
        <v>962</v>
      </c>
      <c r="H156" s="229">
        <f t="shared" si="53"/>
        <v>962</v>
      </c>
      <c r="I156" s="177"/>
      <c r="J156" s="177"/>
      <c r="K156" s="177"/>
      <c r="L156" s="177"/>
      <c r="M156" s="374">
        <f t="shared" si="54"/>
        <v>880</v>
      </c>
      <c r="N156" s="212">
        <v>880</v>
      </c>
      <c r="O156" s="403">
        <v>880</v>
      </c>
      <c r="P156" s="404">
        <v>880</v>
      </c>
      <c r="Q156" s="176"/>
      <c r="R156" s="176"/>
      <c r="S156" s="479">
        <v>880</v>
      </c>
      <c r="T156" s="460">
        <v>880</v>
      </c>
      <c r="U156" s="177">
        <f t="shared" si="55"/>
        <v>580</v>
      </c>
      <c r="V156" s="177">
        <v>580</v>
      </c>
      <c r="W156" s="177">
        <f t="shared" si="56"/>
        <v>130</v>
      </c>
      <c r="X156" s="177">
        <v>130</v>
      </c>
      <c r="Y156" s="177"/>
      <c r="Z156" s="177"/>
      <c r="AA156" s="177"/>
      <c r="AB156" s="177"/>
      <c r="AC156" s="177"/>
      <c r="AD156" s="177"/>
      <c r="AE156" s="177"/>
      <c r="AF156" s="177"/>
      <c r="AG156" s="198"/>
      <c r="AH156" s="173">
        <f t="shared" si="57"/>
        <v>0</v>
      </c>
    </row>
    <row r="157" spans="1:34" ht="49.5" hidden="1" x14ac:dyDescent="0.25">
      <c r="A157" s="188">
        <v>18</v>
      </c>
      <c r="B157" s="231" t="s">
        <v>1595</v>
      </c>
      <c r="C157" s="230" t="s">
        <v>1359</v>
      </c>
      <c r="D157" s="230" t="s">
        <v>1594</v>
      </c>
      <c r="E157" s="230" t="s">
        <v>199</v>
      </c>
      <c r="F157" s="226" t="s">
        <v>1593</v>
      </c>
      <c r="G157" s="212">
        <v>407</v>
      </c>
      <c r="H157" s="229">
        <f t="shared" si="53"/>
        <v>407</v>
      </c>
      <c r="I157" s="177"/>
      <c r="J157" s="177"/>
      <c r="K157" s="177"/>
      <c r="L157" s="177"/>
      <c r="M157" s="374">
        <f t="shared" si="54"/>
        <v>370</v>
      </c>
      <c r="N157" s="212">
        <v>370</v>
      </c>
      <c r="O157" s="403">
        <v>370</v>
      </c>
      <c r="P157" s="340">
        <v>370</v>
      </c>
      <c r="Q157" s="176"/>
      <c r="R157" s="176"/>
      <c r="S157" s="479">
        <v>370</v>
      </c>
      <c r="T157" s="459">
        <v>370</v>
      </c>
      <c r="U157" s="177">
        <f t="shared" si="55"/>
        <v>245</v>
      </c>
      <c r="V157" s="177">
        <v>245</v>
      </c>
      <c r="W157" s="177">
        <f t="shared" si="56"/>
        <v>90</v>
      </c>
      <c r="X157" s="177">
        <v>90</v>
      </c>
      <c r="Y157" s="177"/>
      <c r="Z157" s="177"/>
      <c r="AA157" s="177"/>
      <c r="AB157" s="177"/>
      <c r="AC157" s="177"/>
      <c r="AD157" s="177"/>
      <c r="AE157" s="177"/>
      <c r="AF157" s="177"/>
      <c r="AG157" s="198"/>
      <c r="AH157" s="173">
        <f t="shared" si="57"/>
        <v>0</v>
      </c>
    </row>
    <row r="158" spans="1:34" ht="49.5" hidden="1" x14ac:dyDescent="0.25">
      <c r="A158" s="188">
        <v>19</v>
      </c>
      <c r="B158" s="231" t="s">
        <v>1592</v>
      </c>
      <c r="C158" s="230" t="s">
        <v>1359</v>
      </c>
      <c r="D158" s="230" t="s">
        <v>1591</v>
      </c>
      <c r="E158" s="230" t="s">
        <v>183</v>
      </c>
      <c r="F158" s="226" t="s">
        <v>1590</v>
      </c>
      <c r="G158" s="212">
        <v>1793</v>
      </c>
      <c r="H158" s="229">
        <f t="shared" si="53"/>
        <v>1793</v>
      </c>
      <c r="I158" s="177"/>
      <c r="J158" s="177"/>
      <c r="K158" s="177"/>
      <c r="L158" s="177"/>
      <c r="M158" s="374">
        <f t="shared" si="54"/>
        <v>1630</v>
      </c>
      <c r="N158" s="212">
        <v>1630</v>
      </c>
      <c r="O158" s="403">
        <f>P158</f>
        <v>1590</v>
      </c>
      <c r="P158" s="340">
        <v>1590</v>
      </c>
      <c r="Q158" s="176"/>
      <c r="R158" s="176"/>
      <c r="S158" s="479">
        <f>T158</f>
        <v>1590</v>
      </c>
      <c r="T158" s="459">
        <v>1590</v>
      </c>
      <c r="U158" s="177">
        <f t="shared" si="55"/>
        <v>1075</v>
      </c>
      <c r="V158" s="177">
        <v>1075</v>
      </c>
      <c r="W158" s="177">
        <f t="shared" si="56"/>
        <v>200</v>
      </c>
      <c r="X158" s="177">
        <v>200</v>
      </c>
      <c r="Y158" s="177"/>
      <c r="Z158" s="177"/>
      <c r="AA158" s="177"/>
      <c r="AB158" s="177"/>
      <c r="AC158" s="177"/>
      <c r="AD158" s="177"/>
      <c r="AE158" s="177"/>
      <c r="AF158" s="177"/>
      <c r="AG158" s="198"/>
      <c r="AH158" s="173">
        <f t="shared" si="57"/>
        <v>0</v>
      </c>
    </row>
    <row r="159" spans="1:34" ht="49.5" hidden="1" x14ac:dyDescent="0.25">
      <c r="A159" s="188">
        <v>20</v>
      </c>
      <c r="B159" s="231" t="s">
        <v>1589</v>
      </c>
      <c r="C159" s="230" t="s">
        <v>1359</v>
      </c>
      <c r="D159" s="230" t="s">
        <v>1556</v>
      </c>
      <c r="E159" s="230" t="s">
        <v>97</v>
      </c>
      <c r="F159" s="226" t="s">
        <v>1588</v>
      </c>
      <c r="G159" s="212">
        <v>1046</v>
      </c>
      <c r="H159" s="229">
        <f t="shared" si="53"/>
        <v>1046</v>
      </c>
      <c r="I159" s="360"/>
      <c r="J159" s="360"/>
      <c r="K159" s="360"/>
      <c r="L159" s="360"/>
      <c r="M159" s="374">
        <f t="shared" si="54"/>
        <v>960</v>
      </c>
      <c r="N159" s="212">
        <v>960</v>
      </c>
      <c r="O159" s="403">
        <v>960</v>
      </c>
      <c r="P159" s="340">
        <v>960</v>
      </c>
      <c r="Q159" s="176"/>
      <c r="R159" s="176"/>
      <c r="S159" s="479">
        <v>960</v>
      </c>
      <c r="T159" s="459">
        <v>960</v>
      </c>
      <c r="U159" s="177">
        <f t="shared" si="55"/>
        <v>630</v>
      </c>
      <c r="V159" s="177">
        <v>630</v>
      </c>
      <c r="W159" s="177">
        <f t="shared" si="56"/>
        <v>150</v>
      </c>
      <c r="X159" s="177">
        <v>150</v>
      </c>
      <c r="Y159" s="177"/>
      <c r="Z159" s="177"/>
      <c r="AA159" s="177"/>
      <c r="AB159" s="177"/>
      <c r="AC159" s="177"/>
      <c r="AD159" s="177"/>
      <c r="AE159" s="177"/>
      <c r="AF159" s="177"/>
      <c r="AG159" s="359"/>
      <c r="AH159" s="173">
        <f t="shared" si="57"/>
        <v>0</v>
      </c>
    </row>
    <row r="160" spans="1:34" ht="49.5" hidden="1" x14ac:dyDescent="0.25">
      <c r="A160" s="188">
        <v>21</v>
      </c>
      <c r="B160" s="231" t="s">
        <v>1587</v>
      </c>
      <c r="C160" s="230" t="s">
        <v>1359</v>
      </c>
      <c r="D160" s="230" t="s">
        <v>1556</v>
      </c>
      <c r="E160" s="230" t="s">
        <v>97</v>
      </c>
      <c r="F160" s="226" t="s">
        <v>1586</v>
      </c>
      <c r="G160" s="212">
        <v>1637</v>
      </c>
      <c r="H160" s="229">
        <f t="shared" si="53"/>
        <v>1637</v>
      </c>
      <c r="I160" s="177"/>
      <c r="J160" s="177"/>
      <c r="K160" s="177"/>
      <c r="L160" s="177"/>
      <c r="M160" s="374">
        <f t="shared" si="54"/>
        <v>1500</v>
      </c>
      <c r="N160" s="212">
        <v>1500</v>
      </c>
      <c r="O160" s="403">
        <f>P160</f>
        <v>1370</v>
      </c>
      <c r="P160" s="340">
        <v>1370</v>
      </c>
      <c r="Q160" s="176"/>
      <c r="R160" s="176"/>
      <c r="S160" s="479">
        <f>T160</f>
        <v>1370</v>
      </c>
      <c r="T160" s="459">
        <v>1370</v>
      </c>
      <c r="U160" s="177">
        <f t="shared" si="55"/>
        <v>980</v>
      </c>
      <c r="V160" s="177">
        <v>980</v>
      </c>
      <c r="W160" s="177">
        <f t="shared" si="56"/>
        <v>220</v>
      </c>
      <c r="X160" s="177">
        <v>220</v>
      </c>
      <c r="Y160" s="177"/>
      <c r="Z160" s="177"/>
      <c r="AA160" s="177"/>
      <c r="AB160" s="177"/>
      <c r="AC160" s="177"/>
      <c r="AD160" s="177"/>
      <c r="AE160" s="177"/>
      <c r="AF160" s="177"/>
      <c r="AG160" s="185"/>
      <c r="AH160" s="173">
        <f t="shared" si="57"/>
        <v>0</v>
      </c>
    </row>
    <row r="161" spans="1:34" ht="49.5" hidden="1" x14ac:dyDescent="0.25">
      <c r="A161" s="188">
        <v>22</v>
      </c>
      <c r="B161" s="231" t="s">
        <v>1585</v>
      </c>
      <c r="C161" s="230" t="s">
        <v>1359</v>
      </c>
      <c r="D161" s="230" t="s">
        <v>1556</v>
      </c>
      <c r="E161" s="230" t="s">
        <v>97</v>
      </c>
      <c r="F161" s="226" t="s">
        <v>1584</v>
      </c>
      <c r="G161" s="212">
        <v>711</v>
      </c>
      <c r="H161" s="229">
        <f t="shared" si="53"/>
        <v>711</v>
      </c>
      <c r="I161" s="177"/>
      <c r="J161" s="177"/>
      <c r="K161" s="177"/>
      <c r="L161" s="177"/>
      <c r="M161" s="374">
        <f t="shared" si="54"/>
        <v>650</v>
      </c>
      <c r="N161" s="212">
        <v>650</v>
      </c>
      <c r="O161" s="403">
        <f>P161</f>
        <v>660</v>
      </c>
      <c r="P161" s="340">
        <v>660</v>
      </c>
      <c r="Q161" s="176"/>
      <c r="R161" s="176"/>
      <c r="S161" s="479">
        <f>T161</f>
        <v>660</v>
      </c>
      <c r="T161" s="459">
        <v>660</v>
      </c>
      <c r="U161" s="177">
        <f t="shared" si="55"/>
        <v>440</v>
      </c>
      <c r="V161" s="177">
        <v>440</v>
      </c>
      <c r="W161" s="177">
        <f t="shared" si="56"/>
        <v>130</v>
      </c>
      <c r="X161" s="177">
        <v>130</v>
      </c>
      <c r="Y161" s="177"/>
      <c r="Z161" s="177"/>
      <c r="AA161" s="177"/>
      <c r="AB161" s="177"/>
      <c r="AC161" s="177"/>
      <c r="AD161" s="177"/>
      <c r="AE161" s="177"/>
      <c r="AF161" s="177"/>
      <c r="AG161" s="198"/>
      <c r="AH161" s="173">
        <f t="shared" si="57"/>
        <v>0</v>
      </c>
    </row>
    <row r="162" spans="1:34" ht="49.5" hidden="1" x14ac:dyDescent="0.25">
      <c r="A162" s="188">
        <v>23</v>
      </c>
      <c r="B162" s="231" t="s">
        <v>1583</v>
      </c>
      <c r="C162" s="230" t="s">
        <v>1357</v>
      </c>
      <c r="D162" s="230" t="s">
        <v>1556</v>
      </c>
      <c r="E162" s="230" t="s">
        <v>252</v>
      </c>
      <c r="F162" s="226" t="s">
        <v>1582</v>
      </c>
      <c r="G162" s="212">
        <v>838</v>
      </c>
      <c r="H162" s="229">
        <f t="shared" si="53"/>
        <v>838</v>
      </c>
      <c r="I162" s="265"/>
      <c r="J162" s="265"/>
      <c r="K162" s="265"/>
      <c r="L162" s="265"/>
      <c r="M162" s="374">
        <f t="shared" si="54"/>
        <v>770</v>
      </c>
      <c r="N162" s="212">
        <v>770</v>
      </c>
      <c r="O162" s="403">
        <v>770</v>
      </c>
      <c r="P162" s="340">
        <v>770</v>
      </c>
      <c r="Q162" s="176"/>
      <c r="R162" s="176"/>
      <c r="S162" s="479">
        <v>770</v>
      </c>
      <c r="T162" s="459">
        <v>770</v>
      </c>
      <c r="U162" s="177">
        <f t="shared" si="55"/>
        <v>500</v>
      </c>
      <c r="V162" s="177">
        <v>500</v>
      </c>
      <c r="W162" s="177">
        <f t="shared" si="56"/>
        <v>90</v>
      </c>
      <c r="X162" s="177">
        <v>90</v>
      </c>
      <c r="Y162" s="177"/>
      <c r="Z162" s="177"/>
      <c r="AA162" s="177"/>
      <c r="AB162" s="177"/>
      <c r="AC162" s="177"/>
      <c r="AD162" s="177"/>
      <c r="AE162" s="177"/>
      <c r="AF162" s="177"/>
      <c r="AG162" s="219"/>
      <c r="AH162" s="173">
        <f t="shared" si="57"/>
        <v>0</v>
      </c>
    </row>
    <row r="163" spans="1:34" ht="66" hidden="1" x14ac:dyDescent="0.25">
      <c r="A163" s="188">
        <v>24</v>
      </c>
      <c r="B163" s="231" t="s">
        <v>1581</v>
      </c>
      <c r="C163" s="230" t="s">
        <v>1357</v>
      </c>
      <c r="D163" s="230" t="s">
        <v>1580</v>
      </c>
      <c r="E163" s="230" t="s">
        <v>252</v>
      </c>
      <c r="F163" s="226" t="s">
        <v>1579</v>
      </c>
      <c r="G163" s="212">
        <v>624</v>
      </c>
      <c r="H163" s="229">
        <f t="shared" si="53"/>
        <v>624</v>
      </c>
      <c r="I163" s="191"/>
      <c r="J163" s="191"/>
      <c r="K163" s="191"/>
      <c r="L163" s="191"/>
      <c r="M163" s="374">
        <f t="shared" si="54"/>
        <v>560</v>
      </c>
      <c r="N163" s="212">
        <v>560</v>
      </c>
      <c r="O163" s="403">
        <f>P163</f>
        <v>520</v>
      </c>
      <c r="P163" s="340">
        <v>520</v>
      </c>
      <c r="Q163" s="176"/>
      <c r="R163" s="176"/>
      <c r="S163" s="479">
        <f>T163</f>
        <v>520</v>
      </c>
      <c r="T163" s="459">
        <v>520</v>
      </c>
      <c r="U163" s="177">
        <f t="shared" si="55"/>
        <v>375</v>
      </c>
      <c r="V163" s="177">
        <v>375</v>
      </c>
      <c r="W163" s="177">
        <f t="shared" si="56"/>
        <v>80</v>
      </c>
      <c r="X163" s="177">
        <v>80</v>
      </c>
      <c r="Y163" s="177"/>
      <c r="Z163" s="177"/>
      <c r="AA163" s="177"/>
      <c r="AB163" s="177"/>
      <c r="AC163" s="177"/>
      <c r="AD163" s="177"/>
      <c r="AE163" s="177"/>
      <c r="AF163" s="177"/>
      <c r="AG163" s="189"/>
      <c r="AH163" s="173">
        <f t="shared" si="57"/>
        <v>0</v>
      </c>
    </row>
    <row r="164" spans="1:34" ht="66" hidden="1" x14ac:dyDescent="0.25">
      <c r="A164" s="188">
        <v>25</v>
      </c>
      <c r="B164" s="231" t="s">
        <v>1578</v>
      </c>
      <c r="C164" s="230" t="s">
        <v>1379</v>
      </c>
      <c r="D164" s="230" t="s">
        <v>1556</v>
      </c>
      <c r="E164" s="230" t="s">
        <v>252</v>
      </c>
      <c r="F164" s="226" t="s">
        <v>1577</v>
      </c>
      <c r="G164" s="212">
        <v>1548</v>
      </c>
      <c r="H164" s="229">
        <f t="shared" si="53"/>
        <v>1548</v>
      </c>
      <c r="I164" s="191"/>
      <c r="J164" s="191"/>
      <c r="K164" s="191"/>
      <c r="L164" s="191"/>
      <c r="M164" s="374">
        <f t="shared" si="54"/>
        <v>1450</v>
      </c>
      <c r="N164" s="212">
        <v>1450</v>
      </c>
      <c r="O164" s="403">
        <v>1450</v>
      </c>
      <c r="P164" s="340">
        <v>1450</v>
      </c>
      <c r="Q164" s="176"/>
      <c r="R164" s="176"/>
      <c r="S164" s="479">
        <v>1450</v>
      </c>
      <c r="T164" s="459">
        <v>1450</v>
      </c>
      <c r="U164" s="177">
        <f t="shared" si="55"/>
        <v>930</v>
      </c>
      <c r="V164" s="177">
        <v>930</v>
      </c>
      <c r="W164" s="177">
        <f t="shared" si="56"/>
        <v>190</v>
      </c>
      <c r="X164" s="177">
        <v>190</v>
      </c>
      <c r="Y164" s="177"/>
      <c r="Z164" s="177"/>
      <c r="AA164" s="177"/>
      <c r="AB164" s="177"/>
      <c r="AC164" s="177"/>
      <c r="AD164" s="177"/>
      <c r="AE164" s="177"/>
      <c r="AF164" s="177"/>
      <c r="AG164" s="189"/>
      <c r="AH164" s="173">
        <f t="shared" si="57"/>
        <v>0</v>
      </c>
    </row>
    <row r="165" spans="1:34" ht="49.5" hidden="1" x14ac:dyDescent="0.25">
      <c r="A165" s="188">
        <v>26</v>
      </c>
      <c r="B165" s="231" t="s">
        <v>1576</v>
      </c>
      <c r="C165" s="230" t="s">
        <v>1355</v>
      </c>
      <c r="D165" s="230" t="s">
        <v>1565</v>
      </c>
      <c r="E165" s="230" t="s">
        <v>252</v>
      </c>
      <c r="F165" s="226" t="s">
        <v>1575</v>
      </c>
      <c r="G165" s="212">
        <v>819</v>
      </c>
      <c r="H165" s="229">
        <f t="shared" si="53"/>
        <v>819</v>
      </c>
      <c r="I165" s="200"/>
      <c r="J165" s="200"/>
      <c r="K165" s="200"/>
      <c r="L165" s="200"/>
      <c r="M165" s="374">
        <f t="shared" si="54"/>
        <v>750</v>
      </c>
      <c r="N165" s="212">
        <v>750</v>
      </c>
      <c r="O165" s="403">
        <f t="shared" ref="O165:O175" si="58">P165</f>
        <v>690</v>
      </c>
      <c r="P165" s="340">
        <v>690</v>
      </c>
      <c r="Q165" s="176"/>
      <c r="R165" s="176"/>
      <c r="S165" s="479">
        <f t="shared" ref="S165:S175" si="59">T165</f>
        <v>690</v>
      </c>
      <c r="T165" s="459">
        <v>690</v>
      </c>
      <c r="U165" s="177">
        <f t="shared" si="55"/>
        <v>490</v>
      </c>
      <c r="V165" s="177">
        <v>490</v>
      </c>
      <c r="W165" s="177">
        <f t="shared" si="56"/>
        <v>100</v>
      </c>
      <c r="X165" s="177">
        <v>100</v>
      </c>
      <c r="Y165" s="177"/>
      <c r="Z165" s="177"/>
      <c r="AA165" s="177"/>
      <c r="AB165" s="177"/>
      <c r="AC165" s="177"/>
      <c r="AD165" s="177"/>
      <c r="AE165" s="177"/>
      <c r="AF165" s="177"/>
      <c r="AG165" s="264"/>
      <c r="AH165" s="173">
        <f t="shared" si="57"/>
        <v>0</v>
      </c>
    </row>
    <row r="166" spans="1:34" ht="49.5" hidden="1" x14ac:dyDescent="0.25">
      <c r="A166" s="188">
        <v>27</v>
      </c>
      <c r="B166" s="231" t="s">
        <v>1574</v>
      </c>
      <c r="C166" s="230" t="s">
        <v>1355</v>
      </c>
      <c r="D166" s="230" t="s">
        <v>1565</v>
      </c>
      <c r="E166" s="230" t="s">
        <v>252</v>
      </c>
      <c r="F166" s="226" t="s">
        <v>1573</v>
      </c>
      <c r="G166" s="212">
        <v>598</v>
      </c>
      <c r="H166" s="229">
        <f t="shared" si="53"/>
        <v>598</v>
      </c>
      <c r="I166" s="191"/>
      <c r="J166" s="191"/>
      <c r="K166" s="191"/>
      <c r="L166" s="191"/>
      <c r="M166" s="374">
        <f t="shared" si="54"/>
        <v>550</v>
      </c>
      <c r="N166" s="212">
        <v>550</v>
      </c>
      <c r="O166" s="403">
        <f t="shared" si="58"/>
        <v>520</v>
      </c>
      <c r="P166" s="340">
        <v>520</v>
      </c>
      <c r="Q166" s="176"/>
      <c r="R166" s="176"/>
      <c r="S166" s="479">
        <f t="shared" si="59"/>
        <v>520</v>
      </c>
      <c r="T166" s="459">
        <v>520</v>
      </c>
      <c r="U166" s="177">
        <f t="shared" si="55"/>
        <v>360</v>
      </c>
      <c r="V166" s="177">
        <v>360</v>
      </c>
      <c r="W166" s="177">
        <f t="shared" si="56"/>
        <v>70</v>
      </c>
      <c r="X166" s="177">
        <v>70</v>
      </c>
      <c r="Y166" s="177"/>
      <c r="Z166" s="177"/>
      <c r="AA166" s="177"/>
      <c r="AB166" s="177"/>
      <c r="AC166" s="177"/>
      <c r="AD166" s="177"/>
      <c r="AE166" s="177"/>
      <c r="AF166" s="177"/>
      <c r="AG166" s="189"/>
      <c r="AH166" s="173">
        <f t="shared" si="57"/>
        <v>0</v>
      </c>
    </row>
    <row r="167" spans="1:34" ht="49.5" hidden="1" x14ac:dyDescent="0.25">
      <c r="A167" s="188">
        <v>28</v>
      </c>
      <c r="B167" s="231" t="s">
        <v>1572</v>
      </c>
      <c r="C167" s="230" t="s">
        <v>1355</v>
      </c>
      <c r="D167" s="230" t="s">
        <v>1565</v>
      </c>
      <c r="E167" s="230" t="s">
        <v>252</v>
      </c>
      <c r="F167" s="226" t="s">
        <v>1571</v>
      </c>
      <c r="G167" s="212">
        <v>862</v>
      </c>
      <c r="H167" s="229">
        <f t="shared" si="53"/>
        <v>862</v>
      </c>
      <c r="I167" s="177"/>
      <c r="J167" s="212"/>
      <c r="K167" s="177"/>
      <c r="L167" s="212"/>
      <c r="M167" s="374">
        <f t="shared" si="54"/>
        <v>790</v>
      </c>
      <c r="N167" s="212">
        <v>790</v>
      </c>
      <c r="O167" s="403">
        <f t="shared" si="58"/>
        <v>680</v>
      </c>
      <c r="P167" s="340">
        <v>680</v>
      </c>
      <c r="Q167" s="176"/>
      <c r="R167" s="176"/>
      <c r="S167" s="479">
        <f t="shared" si="59"/>
        <v>680</v>
      </c>
      <c r="T167" s="459">
        <v>680</v>
      </c>
      <c r="U167" s="177">
        <f t="shared" si="55"/>
        <v>515</v>
      </c>
      <c r="V167" s="177">
        <v>515</v>
      </c>
      <c r="W167" s="177">
        <f t="shared" si="56"/>
        <v>100</v>
      </c>
      <c r="X167" s="177">
        <v>100</v>
      </c>
      <c r="Y167" s="177"/>
      <c r="Z167" s="177"/>
      <c r="AA167" s="177"/>
      <c r="AB167" s="177"/>
      <c r="AC167" s="177"/>
      <c r="AD167" s="177"/>
      <c r="AE167" s="177"/>
      <c r="AF167" s="177"/>
      <c r="AG167" s="198"/>
      <c r="AH167" s="173">
        <f t="shared" si="57"/>
        <v>0</v>
      </c>
    </row>
    <row r="168" spans="1:34" ht="49.5" hidden="1" x14ac:dyDescent="0.25">
      <c r="A168" s="188">
        <v>29</v>
      </c>
      <c r="B168" s="231" t="s">
        <v>1570</v>
      </c>
      <c r="C168" s="230" t="s">
        <v>1355</v>
      </c>
      <c r="D168" s="230" t="s">
        <v>1565</v>
      </c>
      <c r="E168" s="230" t="s">
        <v>252</v>
      </c>
      <c r="F168" s="226" t="s">
        <v>1569</v>
      </c>
      <c r="G168" s="212">
        <v>1697</v>
      </c>
      <c r="H168" s="229">
        <f t="shared" si="53"/>
        <v>1697</v>
      </c>
      <c r="I168" s="177"/>
      <c r="J168" s="212"/>
      <c r="K168" s="177"/>
      <c r="L168" s="212"/>
      <c r="M168" s="374">
        <f t="shared" si="54"/>
        <v>1560</v>
      </c>
      <c r="N168" s="212">
        <v>1560</v>
      </c>
      <c r="O168" s="403">
        <f t="shared" si="58"/>
        <v>1420</v>
      </c>
      <c r="P168" s="340">
        <v>1420</v>
      </c>
      <c r="Q168" s="176"/>
      <c r="R168" s="176"/>
      <c r="S168" s="479">
        <f t="shared" si="59"/>
        <v>1420</v>
      </c>
      <c r="T168" s="459">
        <v>1420</v>
      </c>
      <c r="U168" s="177">
        <f t="shared" si="55"/>
        <v>1015</v>
      </c>
      <c r="V168" s="177">
        <v>1015</v>
      </c>
      <c r="W168" s="177">
        <f t="shared" si="56"/>
        <v>200</v>
      </c>
      <c r="X168" s="177">
        <v>200</v>
      </c>
      <c r="Y168" s="177"/>
      <c r="Z168" s="177"/>
      <c r="AA168" s="177"/>
      <c r="AB168" s="177"/>
      <c r="AC168" s="177"/>
      <c r="AD168" s="177"/>
      <c r="AE168" s="177"/>
      <c r="AF168" s="177"/>
      <c r="AG168" s="198"/>
      <c r="AH168" s="173">
        <f t="shared" si="57"/>
        <v>0</v>
      </c>
    </row>
    <row r="169" spans="1:34" ht="49.5" hidden="1" x14ac:dyDescent="0.25">
      <c r="A169" s="188">
        <v>30</v>
      </c>
      <c r="B169" s="231" t="s">
        <v>1568</v>
      </c>
      <c r="C169" s="230" t="s">
        <v>1379</v>
      </c>
      <c r="D169" s="230" t="s">
        <v>1556</v>
      </c>
      <c r="E169" s="230" t="s">
        <v>252</v>
      </c>
      <c r="F169" s="226" t="s">
        <v>1567</v>
      </c>
      <c r="G169" s="212">
        <v>934</v>
      </c>
      <c r="H169" s="229">
        <f t="shared" si="53"/>
        <v>934</v>
      </c>
      <c r="I169" s="177"/>
      <c r="J169" s="212"/>
      <c r="K169" s="177"/>
      <c r="L169" s="212"/>
      <c r="M169" s="374">
        <f t="shared" si="54"/>
        <v>860</v>
      </c>
      <c r="N169" s="212">
        <v>860</v>
      </c>
      <c r="O169" s="403">
        <f t="shared" si="58"/>
        <v>830</v>
      </c>
      <c r="P169" s="340">
        <v>830</v>
      </c>
      <c r="Q169" s="176"/>
      <c r="R169" s="176"/>
      <c r="S169" s="479">
        <f t="shared" si="59"/>
        <v>830</v>
      </c>
      <c r="T169" s="459">
        <v>830</v>
      </c>
      <c r="U169" s="177">
        <f t="shared" si="55"/>
        <v>560</v>
      </c>
      <c r="V169" s="177">
        <v>560</v>
      </c>
      <c r="W169" s="177">
        <f t="shared" si="56"/>
        <v>130</v>
      </c>
      <c r="X169" s="177">
        <v>130</v>
      </c>
      <c r="Y169" s="177"/>
      <c r="Z169" s="177"/>
      <c r="AA169" s="177"/>
      <c r="AB169" s="177"/>
      <c r="AC169" s="177"/>
      <c r="AD169" s="177"/>
      <c r="AE169" s="177"/>
      <c r="AF169" s="177"/>
      <c r="AG169" s="198"/>
      <c r="AH169" s="173">
        <f t="shared" si="57"/>
        <v>0</v>
      </c>
    </row>
    <row r="170" spans="1:34" ht="49.5" hidden="1" x14ac:dyDescent="0.25">
      <c r="A170" s="188">
        <v>31</v>
      </c>
      <c r="B170" s="231" t="s">
        <v>1566</v>
      </c>
      <c r="C170" s="230" t="s">
        <v>1379</v>
      </c>
      <c r="D170" s="230" t="s">
        <v>1565</v>
      </c>
      <c r="E170" s="230" t="s">
        <v>252</v>
      </c>
      <c r="F170" s="226" t="s">
        <v>1564</v>
      </c>
      <c r="G170" s="212">
        <v>676</v>
      </c>
      <c r="H170" s="229">
        <f t="shared" si="53"/>
        <v>676</v>
      </c>
      <c r="I170" s="177"/>
      <c r="J170" s="212"/>
      <c r="K170" s="177"/>
      <c r="L170" s="212"/>
      <c r="M170" s="374">
        <f t="shared" si="54"/>
        <v>620</v>
      </c>
      <c r="N170" s="212">
        <v>620</v>
      </c>
      <c r="O170" s="403">
        <f t="shared" si="58"/>
        <v>550</v>
      </c>
      <c r="P170" s="340">
        <v>550</v>
      </c>
      <c r="Q170" s="176"/>
      <c r="R170" s="176"/>
      <c r="S170" s="479">
        <f t="shared" si="59"/>
        <v>550</v>
      </c>
      <c r="T170" s="459">
        <v>550</v>
      </c>
      <c r="U170" s="177">
        <f t="shared" si="55"/>
        <v>405</v>
      </c>
      <c r="V170" s="177">
        <v>405</v>
      </c>
      <c r="W170" s="177">
        <f t="shared" si="56"/>
        <v>90</v>
      </c>
      <c r="X170" s="177">
        <v>90</v>
      </c>
      <c r="Y170" s="177"/>
      <c r="Z170" s="177"/>
      <c r="AA170" s="177"/>
      <c r="AB170" s="177"/>
      <c r="AC170" s="177"/>
      <c r="AD170" s="177"/>
      <c r="AE170" s="177"/>
      <c r="AF170" s="177"/>
      <c r="AG170" s="198"/>
      <c r="AH170" s="173">
        <f t="shared" si="57"/>
        <v>0</v>
      </c>
    </row>
    <row r="171" spans="1:34" ht="82.5" hidden="1" x14ac:dyDescent="0.25">
      <c r="A171" s="188">
        <v>32</v>
      </c>
      <c r="B171" s="231" t="s">
        <v>1563</v>
      </c>
      <c r="C171" s="230" t="s">
        <v>1379</v>
      </c>
      <c r="D171" s="230" t="s">
        <v>1556</v>
      </c>
      <c r="E171" s="230" t="s">
        <v>252</v>
      </c>
      <c r="F171" s="226" t="s">
        <v>1562</v>
      </c>
      <c r="G171" s="385">
        <v>431</v>
      </c>
      <c r="H171" s="229">
        <f t="shared" si="53"/>
        <v>431</v>
      </c>
      <c r="I171" s="191"/>
      <c r="J171" s="191"/>
      <c r="K171" s="191"/>
      <c r="L171" s="191"/>
      <c r="M171" s="374">
        <f t="shared" si="54"/>
        <v>400</v>
      </c>
      <c r="N171" s="212">
        <v>400</v>
      </c>
      <c r="O171" s="403">
        <f t="shared" si="58"/>
        <v>360</v>
      </c>
      <c r="P171" s="404">
        <v>360</v>
      </c>
      <c r="Q171" s="176"/>
      <c r="R171" s="176"/>
      <c r="S171" s="479">
        <f t="shared" si="59"/>
        <v>360</v>
      </c>
      <c r="T171" s="460">
        <v>360</v>
      </c>
      <c r="U171" s="177">
        <f t="shared" si="55"/>
        <v>260</v>
      </c>
      <c r="V171" s="177">
        <v>260</v>
      </c>
      <c r="W171" s="177">
        <f t="shared" si="56"/>
        <v>60</v>
      </c>
      <c r="X171" s="177">
        <v>60</v>
      </c>
      <c r="Y171" s="177"/>
      <c r="Z171" s="177"/>
      <c r="AA171" s="177"/>
      <c r="AB171" s="177"/>
      <c r="AC171" s="177"/>
      <c r="AD171" s="177"/>
      <c r="AE171" s="177"/>
      <c r="AF171" s="177"/>
      <c r="AG171" s="189"/>
      <c r="AH171" s="173">
        <f t="shared" si="57"/>
        <v>0</v>
      </c>
    </row>
    <row r="172" spans="1:34" ht="49.5" hidden="1" x14ac:dyDescent="0.25">
      <c r="A172" s="188">
        <v>33</v>
      </c>
      <c r="B172" s="231" t="s">
        <v>1561</v>
      </c>
      <c r="C172" s="230" t="s">
        <v>1379</v>
      </c>
      <c r="D172" s="230" t="s">
        <v>1556</v>
      </c>
      <c r="E172" s="230" t="s">
        <v>97</v>
      </c>
      <c r="F172" s="226" t="s">
        <v>1560</v>
      </c>
      <c r="G172" s="385">
        <v>1022</v>
      </c>
      <c r="H172" s="229">
        <f t="shared" si="53"/>
        <v>1022</v>
      </c>
      <c r="I172" s="265"/>
      <c r="J172" s="265"/>
      <c r="K172" s="265"/>
      <c r="L172" s="265"/>
      <c r="M172" s="374">
        <f t="shared" ref="M172:M192" si="60">N172</f>
        <v>940</v>
      </c>
      <c r="N172" s="212">
        <v>940</v>
      </c>
      <c r="O172" s="403">
        <f t="shared" si="58"/>
        <v>850</v>
      </c>
      <c r="P172" s="404">
        <v>850</v>
      </c>
      <c r="Q172" s="176"/>
      <c r="R172" s="176"/>
      <c r="S172" s="479">
        <f t="shared" si="59"/>
        <v>850</v>
      </c>
      <c r="T172" s="460">
        <v>850</v>
      </c>
      <c r="U172" s="177">
        <f t="shared" si="55"/>
        <v>615</v>
      </c>
      <c r="V172" s="177">
        <v>615</v>
      </c>
      <c r="W172" s="177">
        <f t="shared" si="56"/>
        <v>100</v>
      </c>
      <c r="X172" s="177">
        <v>100</v>
      </c>
      <c r="Y172" s="177"/>
      <c r="Z172" s="177"/>
      <c r="AA172" s="177"/>
      <c r="AB172" s="177"/>
      <c r="AC172" s="177"/>
      <c r="AD172" s="177"/>
      <c r="AE172" s="177"/>
      <c r="AF172" s="177"/>
      <c r="AG172" s="384"/>
      <c r="AH172" s="173">
        <f t="shared" si="57"/>
        <v>0</v>
      </c>
    </row>
    <row r="173" spans="1:34" ht="49.5" hidden="1" x14ac:dyDescent="0.25">
      <c r="A173" s="188">
        <v>34</v>
      </c>
      <c r="B173" s="231" t="s">
        <v>1559</v>
      </c>
      <c r="C173" s="230" t="s">
        <v>1355</v>
      </c>
      <c r="D173" s="230" t="s">
        <v>1553</v>
      </c>
      <c r="E173" s="230" t="s">
        <v>252</v>
      </c>
      <c r="F173" s="226" t="s">
        <v>1558</v>
      </c>
      <c r="G173" s="385">
        <v>612</v>
      </c>
      <c r="H173" s="229">
        <f t="shared" si="53"/>
        <v>612</v>
      </c>
      <c r="I173" s="217"/>
      <c r="J173" s="217"/>
      <c r="K173" s="217"/>
      <c r="L173" s="217"/>
      <c r="M173" s="374">
        <f t="shared" si="60"/>
        <v>560</v>
      </c>
      <c r="N173" s="212">
        <v>560</v>
      </c>
      <c r="O173" s="403">
        <f t="shared" si="58"/>
        <v>500</v>
      </c>
      <c r="P173" s="404">
        <v>500</v>
      </c>
      <c r="Q173" s="176"/>
      <c r="R173" s="176"/>
      <c r="S173" s="479">
        <f t="shared" si="59"/>
        <v>500</v>
      </c>
      <c r="T173" s="460">
        <v>500</v>
      </c>
      <c r="U173" s="177">
        <f t="shared" si="55"/>
        <v>370</v>
      </c>
      <c r="V173" s="177">
        <v>370</v>
      </c>
      <c r="W173" s="177">
        <f t="shared" si="56"/>
        <v>70</v>
      </c>
      <c r="X173" s="177">
        <v>70</v>
      </c>
      <c r="Y173" s="177"/>
      <c r="Z173" s="177"/>
      <c r="AA173" s="177"/>
      <c r="AB173" s="177"/>
      <c r="AC173" s="177"/>
      <c r="AD173" s="177"/>
      <c r="AE173" s="177"/>
      <c r="AF173" s="177"/>
      <c r="AG173" s="219"/>
      <c r="AH173" s="173">
        <f t="shared" si="57"/>
        <v>0</v>
      </c>
    </row>
    <row r="174" spans="1:34" ht="49.5" hidden="1" x14ac:dyDescent="0.25">
      <c r="A174" s="188">
        <v>35</v>
      </c>
      <c r="B174" s="231" t="s">
        <v>1557</v>
      </c>
      <c r="C174" s="230" t="s">
        <v>1379</v>
      </c>
      <c r="D174" s="230" t="s">
        <v>1556</v>
      </c>
      <c r="E174" s="230" t="s">
        <v>252</v>
      </c>
      <c r="F174" s="226" t="s">
        <v>1555</v>
      </c>
      <c r="G174" s="385">
        <v>1062</v>
      </c>
      <c r="H174" s="229">
        <f t="shared" si="53"/>
        <v>1062</v>
      </c>
      <c r="I174" s="217"/>
      <c r="J174" s="217"/>
      <c r="K174" s="217"/>
      <c r="L174" s="217"/>
      <c r="M174" s="374">
        <f t="shared" si="60"/>
        <v>980</v>
      </c>
      <c r="N174" s="212">
        <v>980</v>
      </c>
      <c r="O174" s="403">
        <f t="shared" si="58"/>
        <v>890</v>
      </c>
      <c r="P174" s="404">
        <v>890</v>
      </c>
      <c r="Q174" s="176"/>
      <c r="R174" s="176"/>
      <c r="S174" s="479">
        <f t="shared" si="59"/>
        <v>890</v>
      </c>
      <c r="T174" s="460">
        <v>890</v>
      </c>
      <c r="U174" s="177">
        <f t="shared" si="55"/>
        <v>635</v>
      </c>
      <c r="V174" s="177">
        <v>635</v>
      </c>
      <c r="W174" s="177">
        <f t="shared" si="56"/>
        <v>150</v>
      </c>
      <c r="X174" s="177">
        <v>150</v>
      </c>
      <c r="Y174" s="177"/>
      <c r="Z174" s="177"/>
      <c r="AA174" s="177"/>
      <c r="AB174" s="177"/>
      <c r="AC174" s="177"/>
      <c r="AD174" s="177"/>
      <c r="AE174" s="177"/>
      <c r="AF174" s="177"/>
      <c r="AG174" s="219"/>
      <c r="AH174" s="173">
        <f t="shared" si="57"/>
        <v>0</v>
      </c>
    </row>
    <row r="175" spans="1:34" ht="49.5" hidden="1" x14ac:dyDescent="0.25">
      <c r="A175" s="188">
        <v>36</v>
      </c>
      <c r="B175" s="231" t="s">
        <v>1554</v>
      </c>
      <c r="C175" s="230" t="s">
        <v>1355</v>
      </c>
      <c r="D175" s="230" t="s">
        <v>1553</v>
      </c>
      <c r="E175" s="230" t="s">
        <v>252</v>
      </c>
      <c r="F175" s="226" t="s">
        <v>1552</v>
      </c>
      <c r="G175" s="212">
        <v>668</v>
      </c>
      <c r="H175" s="229">
        <f t="shared" si="53"/>
        <v>668</v>
      </c>
      <c r="I175" s="217"/>
      <c r="J175" s="217"/>
      <c r="K175" s="217"/>
      <c r="L175" s="217"/>
      <c r="M175" s="374">
        <f t="shared" si="60"/>
        <v>620</v>
      </c>
      <c r="N175" s="212">
        <v>620</v>
      </c>
      <c r="O175" s="403">
        <f t="shared" si="58"/>
        <v>560</v>
      </c>
      <c r="P175" s="340">
        <v>560</v>
      </c>
      <c r="Q175" s="176"/>
      <c r="R175" s="176"/>
      <c r="S175" s="479">
        <f t="shared" si="59"/>
        <v>560</v>
      </c>
      <c r="T175" s="459">
        <v>560</v>
      </c>
      <c r="U175" s="177">
        <f t="shared" si="55"/>
        <v>400</v>
      </c>
      <c r="V175" s="177">
        <v>400</v>
      </c>
      <c r="W175" s="177">
        <f t="shared" si="56"/>
        <v>70</v>
      </c>
      <c r="X175" s="177">
        <v>70</v>
      </c>
      <c r="Y175" s="177"/>
      <c r="Z175" s="177"/>
      <c r="AA175" s="177"/>
      <c r="AB175" s="177"/>
      <c r="AC175" s="177"/>
      <c r="AD175" s="177"/>
      <c r="AE175" s="177"/>
      <c r="AF175" s="177"/>
      <c r="AG175" s="219"/>
      <c r="AH175" s="173">
        <f t="shared" si="57"/>
        <v>0</v>
      </c>
    </row>
    <row r="176" spans="1:34" ht="99" hidden="1" x14ac:dyDescent="0.25">
      <c r="A176" s="188">
        <v>37</v>
      </c>
      <c r="B176" s="402" t="s">
        <v>1551</v>
      </c>
      <c r="C176" s="230"/>
      <c r="D176" s="188" t="s">
        <v>1550</v>
      </c>
      <c r="E176" s="230"/>
      <c r="F176" s="230"/>
      <c r="G176" s="401">
        <v>714</v>
      </c>
      <c r="H176" s="229">
        <f t="shared" si="53"/>
        <v>714</v>
      </c>
      <c r="I176" s="217"/>
      <c r="J176" s="217"/>
      <c r="K176" s="217"/>
      <c r="L176" s="217"/>
      <c r="M176" s="374">
        <f t="shared" si="60"/>
        <v>680</v>
      </c>
      <c r="N176" s="385">
        <f>H176/1.05</f>
        <v>680</v>
      </c>
      <c r="O176" s="345">
        <v>680</v>
      </c>
      <c r="P176" s="345">
        <v>680</v>
      </c>
      <c r="Q176" s="176"/>
      <c r="R176" s="176"/>
      <c r="S176" s="478">
        <v>680</v>
      </c>
      <c r="T176" s="478">
        <v>680</v>
      </c>
      <c r="U176" s="217"/>
      <c r="V176" s="217"/>
      <c r="W176" s="217"/>
      <c r="X176" s="217"/>
      <c r="Y176" s="217"/>
      <c r="Z176" s="217"/>
      <c r="AA176" s="217"/>
      <c r="AB176" s="217"/>
      <c r="AC176" s="217"/>
      <c r="AD176" s="217"/>
      <c r="AE176" s="217"/>
      <c r="AF176" s="217"/>
      <c r="AG176" s="219"/>
      <c r="AH176" s="173">
        <f t="shared" si="57"/>
        <v>0</v>
      </c>
    </row>
    <row r="177" spans="1:34" ht="66" hidden="1" x14ac:dyDescent="0.25">
      <c r="A177" s="188">
        <v>38</v>
      </c>
      <c r="B177" s="402" t="s">
        <v>1549</v>
      </c>
      <c r="C177" s="230"/>
      <c r="D177" s="188"/>
      <c r="E177" s="230"/>
      <c r="F177" s="230"/>
      <c r="G177" s="401">
        <v>766</v>
      </c>
      <c r="H177" s="229">
        <f t="shared" si="53"/>
        <v>766</v>
      </c>
      <c r="I177" s="217"/>
      <c r="J177" s="217"/>
      <c r="K177" s="217"/>
      <c r="L177" s="217"/>
      <c r="M177" s="374">
        <f t="shared" si="60"/>
        <v>729.52380952380952</v>
      </c>
      <c r="N177" s="385">
        <f>H177/1.05</f>
        <v>729.52380952380952</v>
      </c>
      <c r="O177" s="345"/>
      <c r="P177" s="345"/>
      <c r="Q177" s="176"/>
      <c r="R177" s="176"/>
      <c r="S177" s="478"/>
      <c r="T177" s="478"/>
      <c r="U177" s="217"/>
      <c r="V177" s="217"/>
      <c r="W177" s="217"/>
      <c r="X177" s="217"/>
      <c r="Y177" s="217"/>
      <c r="Z177" s="217"/>
      <c r="AA177" s="217"/>
      <c r="AB177" s="217"/>
      <c r="AC177" s="217"/>
      <c r="AD177" s="217"/>
      <c r="AE177" s="217"/>
      <c r="AF177" s="217"/>
      <c r="AG177" s="185" t="s">
        <v>1547</v>
      </c>
      <c r="AH177" s="173">
        <f t="shared" si="57"/>
        <v>0</v>
      </c>
    </row>
    <row r="178" spans="1:34" ht="66" hidden="1" x14ac:dyDescent="0.25">
      <c r="A178" s="188">
        <v>39</v>
      </c>
      <c r="B178" s="402" t="s">
        <v>1548</v>
      </c>
      <c r="C178" s="230"/>
      <c r="D178" s="188"/>
      <c r="E178" s="230"/>
      <c r="F178" s="230"/>
      <c r="G178" s="401">
        <v>32000</v>
      </c>
      <c r="H178" s="229">
        <f t="shared" si="53"/>
        <v>32000</v>
      </c>
      <c r="I178" s="217"/>
      <c r="J178" s="217"/>
      <c r="K178" s="217"/>
      <c r="L178" s="217"/>
      <c r="M178" s="374">
        <f t="shared" si="60"/>
        <v>29570</v>
      </c>
      <c r="N178" s="385">
        <v>29570</v>
      </c>
      <c r="O178" s="345"/>
      <c r="P178" s="345"/>
      <c r="Q178" s="176"/>
      <c r="R178" s="176"/>
      <c r="S178" s="478"/>
      <c r="T178" s="478"/>
      <c r="U178" s="217"/>
      <c r="V178" s="217"/>
      <c r="W178" s="217"/>
      <c r="X178" s="217"/>
      <c r="Y178" s="217"/>
      <c r="Z178" s="217"/>
      <c r="AA178" s="217"/>
      <c r="AB178" s="217"/>
      <c r="AC178" s="217"/>
      <c r="AD178" s="217"/>
      <c r="AE178" s="217"/>
      <c r="AF178" s="217"/>
      <c r="AG178" s="185" t="s">
        <v>1547</v>
      </c>
      <c r="AH178" s="173">
        <f t="shared" si="57"/>
        <v>0</v>
      </c>
    </row>
    <row r="179" spans="1:34" ht="49.5" hidden="1" x14ac:dyDescent="0.25">
      <c r="A179" s="188">
        <v>40</v>
      </c>
      <c r="B179" s="402" t="s">
        <v>1546</v>
      </c>
      <c r="C179" s="230"/>
      <c r="D179" s="188"/>
      <c r="E179" s="230"/>
      <c r="F179" s="230"/>
      <c r="G179" s="401">
        <v>55000</v>
      </c>
      <c r="H179" s="229">
        <f t="shared" si="53"/>
        <v>55000</v>
      </c>
      <c r="I179" s="217"/>
      <c r="J179" s="217"/>
      <c r="K179" s="217"/>
      <c r="L179" s="217"/>
      <c r="M179" s="374">
        <f t="shared" si="60"/>
        <v>49999.999999999993</v>
      </c>
      <c r="N179" s="385">
        <f>H179/1.1</f>
        <v>49999.999999999993</v>
      </c>
      <c r="O179" s="345"/>
      <c r="P179" s="345"/>
      <c r="Q179" s="176"/>
      <c r="R179" s="176"/>
      <c r="S179" s="478"/>
      <c r="T179" s="478"/>
      <c r="U179" s="217"/>
      <c r="V179" s="217"/>
      <c r="W179" s="217"/>
      <c r="X179" s="217"/>
      <c r="Y179" s="217"/>
      <c r="Z179" s="217"/>
      <c r="AA179" s="217"/>
      <c r="AB179" s="217"/>
      <c r="AC179" s="217"/>
      <c r="AD179" s="217"/>
      <c r="AE179" s="217"/>
      <c r="AF179" s="217"/>
      <c r="AG179" s="185" t="s">
        <v>1545</v>
      </c>
      <c r="AH179" s="173">
        <f t="shared" si="57"/>
        <v>0</v>
      </c>
    </row>
    <row r="180" spans="1:34" ht="49.5" hidden="1" x14ac:dyDescent="0.25">
      <c r="A180" s="188">
        <v>41</v>
      </c>
      <c r="B180" s="402" t="s">
        <v>1544</v>
      </c>
      <c r="C180" s="230" t="s">
        <v>1355</v>
      </c>
      <c r="D180" s="182" t="s">
        <v>1543</v>
      </c>
      <c r="E180" s="230" t="s">
        <v>109</v>
      </c>
      <c r="F180" s="226" t="s">
        <v>1542</v>
      </c>
      <c r="G180" s="401">
        <f>H180</f>
        <v>4688</v>
      </c>
      <c r="H180" s="229">
        <v>4688</v>
      </c>
      <c r="I180" s="217"/>
      <c r="J180" s="217"/>
      <c r="K180" s="217"/>
      <c r="L180" s="217"/>
      <c r="M180" s="374">
        <f t="shared" si="60"/>
        <v>4760</v>
      </c>
      <c r="N180" s="385">
        <v>4760</v>
      </c>
      <c r="O180" s="345">
        <f>P180</f>
        <v>3380</v>
      </c>
      <c r="P180" s="345">
        <v>3380</v>
      </c>
      <c r="Q180" s="176"/>
      <c r="R180" s="176"/>
      <c r="S180" s="478">
        <f>T180</f>
        <v>3380</v>
      </c>
      <c r="T180" s="478">
        <v>3380</v>
      </c>
      <c r="U180" s="217"/>
      <c r="V180" s="217"/>
      <c r="W180" s="177">
        <f t="shared" ref="W180:W199" si="61">X180</f>
        <v>2927</v>
      </c>
      <c r="X180" s="177">
        <v>2927</v>
      </c>
      <c r="Y180" s="217"/>
      <c r="Z180" s="217"/>
      <c r="AA180" s="217"/>
      <c r="AB180" s="217"/>
      <c r="AC180" s="217"/>
      <c r="AD180" s="217"/>
      <c r="AE180" s="217"/>
      <c r="AF180" s="217"/>
      <c r="AG180" s="219"/>
      <c r="AH180" s="173">
        <f t="shared" si="57"/>
        <v>0</v>
      </c>
    </row>
    <row r="181" spans="1:34" ht="66" hidden="1" x14ac:dyDescent="0.25">
      <c r="A181" s="188">
        <v>42</v>
      </c>
      <c r="B181" s="237" t="s">
        <v>1541</v>
      </c>
      <c r="C181" s="230" t="s">
        <v>1379</v>
      </c>
      <c r="D181" s="182" t="s">
        <v>1540</v>
      </c>
      <c r="E181" s="230" t="s">
        <v>109</v>
      </c>
      <c r="F181" s="230" t="s">
        <v>1539</v>
      </c>
      <c r="G181" s="400">
        <v>3853</v>
      </c>
      <c r="H181" s="396">
        <f t="shared" ref="H181:H212" si="62">G181</f>
        <v>3853</v>
      </c>
      <c r="I181" s="217"/>
      <c r="J181" s="217"/>
      <c r="K181" s="217"/>
      <c r="L181" s="217"/>
      <c r="M181" s="374">
        <f t="shared" si="60"/>
        <v>4760</v>
      </c>
      <c r="N181" s="385">
        <v>4760</v>
      </c>
      <c r="O181" s="345">
        <f>P181</f>
        <v>3000</v>
      </c>
      <c r="P181" s="345">
        <v>3000</v>
      </c>
      <c r="Q181" s="176"/>
      <c r="R181" s="176"/>
      <c r="S181" s="478">
        <f>T181</f>
        <v>3000</v>
      </c>
      <c r="T181" s="478">
        <v>3000</v>
      </c>
      <c r="U181" s="217"/>
      <c r="V181" s="217"/>
      <c r="W181" s="177">
        <f t="shared" si="61"/>
        <v>2130</v>
      </c>
      <c r="X181" s="177">
        <v>2130</v>
      </c>
      <c r="Y181" s="217"/>
      <c r="Z181" s="217"/>
      <c r="AA181" s="217"/>
      <c r="AB181" s="217"/>
      <c r="AC181" s="217"/>
      <c r="AD181" s="217"/>
      <c r="AE181" s="217"/>
      <c r="AF181" s="217"/>
      <c r="AG181" s="219"/>
      <c r="AH181" s="173">
        <f t="shared" si="57"/>
        <v>0</v>
      </c>
    </row>
    <row r="182" spans="1:34" ht="66" hidden="1" x14ac:dyDescent="0.25">
      <c r="A182" s="188">
        <v>43</v>
      </c>
      <c r="B182" s="237" t="s">
        <v>1538</v>
      </c>
      <c r="C182" s="230" t="s">
        <v>1355</v>
      </c>
      <c r="D182" s="182" t="s">
        <v>1537</v>
      </c>
      <c r="E182" s="230" t="s">
        <v>109</v>
      </c>
      <c r="F182" s="230" t="s">
        <v>1536</v>
      </c>
      <c r="G182" s="231">
        <v>27628</v>
      </c>
      <c r="H182" s="396">
        <f t="shared" si="62"/>
        <v>27628</v>
      </c>
      <c r="I182" s="217"/>
      <c r="J182" s="217"/>
      <c r="K182" s="217"/>
      <c r="L182" s="217"/>
      <c r="M182" s="374">
        <f t="shared" si="60"/>
        <v>18000</v>
      </c>
      <c r="N182" s="385">
        <v>18000</v>
      </c>
      <c r="O182" s="345">
        <f>P182</f>
        <v>20500</v>
      </c>
      <c r="P182" s="345">
        <v>20500</v>
      </c>
      <c r="Q182" s="176"/>
      <c r="R182" s="176"/>
      <c r="S182" s="478">
        <f>T182</f>
        <v>20500</v>
      </c>
      <c r="T182" s="478">
        <v>20500</v>
      </c>
      <c r="U182" s="217"/>
      <c r="V182" s="217"/>
      <c r="W182" s="177">
        <f t="shared" si="61"/>
        <v>7000</v>
      </c>
      <c r="X182" s="177">
        <v>7000</v>
      </c>
      <c r="Y182" s="217"/>
      <c r="Z182" s="217"/>
      <c r="AA182" s="217"/>
      <c r="AB182" s="217"/>
      <c r="AC182" s="217"/>
      <c r="AD182" s="217"/>
      <c r="AE182" s="217"/>
      <c r="AF182" s="217"/>
      <c r="AG182" s="219"/>
      <c r="AH182" s="173">
        <f t="shared" si="57"/>
        <v>0</v>
      </c>
    </row>
    <row r="183" spans="1:34" ht="49.5" hidden="1" x14ac:dyDescent="0.25">
      <c r="A183" s="188">
        <v>44</v>
      </c>
      <c r="B183" s="237" t="s">
        <v>1535</v>
      </c>
      <c r="C183" s="230" t="s">
        <v>1355</v>
      </c>
      <c r="D183" s="182" t="s">
        <v>1534</v>
      </c>
      <c r="E183" s="230" t="s">
        <v>109</v>
      </c>
      <c r="F183" s="230" t="s">
        <v>1533</v>
      </c>
      <c r="G183" s="231">
        <v>4462</v>
      </c>
      <c r="H183" s="396">
        <f t="shared" si="62"/>
        <v>4462</v>
      </c>
      <c r="I183" s="177"/>
      <c r="J183" s="177"/>
      <c r="K183" s="177"/>
      <c r="L183" s="177"/>
      <c r="M183" s="374">
        <f t="shared" si="60"/>
        <v>2670</v>
      </c>
      <c r="N183" s="385">
        <v>2670</v>
      </c>
      <c r="O183" s="340">
        <v>3450</v>
      </c>
      <c r="P183" s="345">
        <f t="shared" ref="P183:P199" si="63">O183</f>
        <v>3450</v>
      </c>
      <c r="Q183" s="176"/>
      <c r="R183" s="176"/>
      <c r="S183" s="459">
        <v>3450</v>
      </c>
      <c r="T183" s="478">
        <f t="shared" ref="T183:T199" si="64">S183</f>
        <v>3450</v>
      </c>
      <c r="U183" s="177"/>
      <c r="V183" s="177"/>
      <c r="W183" s="177">
        <f t="shared" si="61"/>
        <v>2581</v>
      </c>
      <c r="X183" s="177">
        <v>2581</v>
      </c>
      <c r="Y183" s="177"/>
      <c r="Z183" s="177"/>
      <c r="AA183" s="177"/>
      <c r="AB183" s="177"/>
      <c r="AC183" s="177"/>
      <c r="AD183" s="177"/>
      <c r="AE183" s="177"/>
      <c r="AF183" s="177"/>
      <c r="AG183" s="198"/>
      <c r="AH183" s="173">
        <f t="shared" si="57"/>
        <v>0</v>
      </c>
    </row>
    <row r="184" spans="1:34" ht="66" hidden="1" x14ac:dyDescent="0.25">
      <c r="A184" s="188">
        <v>45</v>
      </c>
      <c r="B184" s="237" t="s">
        <v>1532</v>
      </c>
      <c r="C184" s="230" t="s">
        <v>1355</v>
      </c>
      <c r="D184" s="182" t="s">
        <v>1531</v>
      </c>
      <c r="E184" s="230" t="s">
        <v>109</v>
      </c>
      <c r="F184" s="230" t="s">
        <v>1530</v>
      </c>
      <c r="G184" s="231">
        <v>2600</v>
      </c>
      <c r="H184" s="396">
        <f t="shared" si="62"/>
        <v>2600</v>
      </c>
      <c r="I184" s="177"/>
      <c r="J184" s="177"/>
      <c r="K184" s="177"/>
      <c r="L184" s="177"/>
      <c r="M184" s="374">
        <f t="shared" si="60"/>
        <v>1330</v>
      </c>
      <c r="N184" s="385">
        <v>1330</v>
      </c>
      <c r="O184" s="340">
        <v>2040</v>
      </c>
      <c r="P184" s="345">
        <f t="shared" si="63"/>
        <v>2040</v>
      </c>
      <c r="Q184" s="176"/>
      <c r="R184" s="176"/>
      <c r="S184" s="459">
        <v>2040</v>
      </c>
      <c r="T184" s="478">
        <f t="shared" si="64"/>
        <v>2040</v>
      </c>
      <c r="U184" s="177"/>
      <c r="V184" s="177"/>
      <c r="W184" s="177">
        <f t="shared" si="61"/>
        <v>740</v>
      </c>
      <c r="X184" s="177">
        <v>740</v>
      </c>
      <c r="Y184" s="177"/>
      <c r="Z184" s="177"/>
      <c r="AA184" s="177"/>
      <c r="AB184" s="177"/>
      <c r="AC184" s="177"/>
      <c r="AD184" s="177"/>
      <c r="AE184" s="177"/>
      <c r="AF184" s="177"/>
      <c r="AG184" s="198"/>
      <c r="AH184" s="173">
        <f t="shared" si="57"/>
        <v>0</v>
      </c>
    </row>
    <row r="185" spans="1:34" ht="49.5" hidden="1" x14ac:dyDescent="0.25">
      <c r="A185" s="188">
        <v>46</v>
      </c>
      <c r="B185" s="237" t="s">
        <v>1529</v>
      </c>
      <c r="C185" s="230" t="s">
        <v>1355</v>
      </c>
      <c r="D185" s="182" t="s">
        <v>1528</v>
      </c>
      <c r="E185" s="230" t="s">
        <v>109</v>
      </c>
      <c r="F185" s="230" t="s">
        <v>1527</v>
      </c>
      <c r="G185" s="231">
        <v>487</v>
      </c>
      <c r="H185" s="396">
        <f t="shared" si="62"/>
        <v>487</v>
      </c>
      <c r="I185" s="177"/>
      <c r="J185" s="177"/>
      <c r="K185" s="177"/>
      <c r="L185" s="177"/>
      <c r="M185" s="374">
        <f t="shared" si="60"/>
        <v>1000</v>
      </c>
      <c r="N185" s="385">
        <v>1000</v>
      </c>
      <c r="O185" s="340">
        <v>380</v>
      </c>
      <c r="P185" s="345">
        <f t="shared" si="63"/>
        <v>380</v>
      </c>
      <c r="Q185" s="176"/>
      <c r="R185" s="176"/>
      <c r="S185" s="459">
        <v>380</v>
      </c>
      <c r="T185" s="478">
        <f t="shared" si="64"/>
        <v>380</v>
      </c>
      <c r="U185" s="177"/>
      <c r="V185" s="177"/>
      <c r="W185" s="177">
        <f t="shared" si="61"/>
        <v>319</v>
      </c>
      <c r="X185" s="177">
        <v>319</v>
      </c>
      <c r="Y185" s="177"/>
      <c r="Z185" s="177"/>
      <c r="AA185" s="177"/>
      <c r="AB185" s="177"/>
      <c r="AC185" s="177"/>
      <c r="AD185" s="177"/>
      <c r="AE185" s="177"/>
      <c r="AF185" s="177"/>
      <c r="AG185" s="198"/>
      <c r="AH185" s="173">
        <f t="shared" si="57"/>
        <v>0</v>
      </c>
    </row>
    <row r="186" spans="1:34" ht="66" hidden="1" x14ac:dyDescent="0.25">
      <c r="A186" s="188">
        <v>47</v>
      </c>
      <c r="B186" s="237" t="s">
        <v>1526</v>
      </c>
      <c r="C186" s="230" t="s">
        <v>1355</v>
      </c>
      <c r="D186" s="182" t="s">
        <v>1525</v>
      </c>
      <c r="E186" s="230" t="s">
        <v>109</v>
      </c>
      <c r="F186" s="230" t="s">
        <v>1524</v>
      </c>
      <c r="G186" s="231">
        <v>1055</v>
      </c>
      <c r="H186" s="396">
        <f t="shared" si="62"/>
        <v>1055</v>
      </c>
      <c r="I186" s="177"/>
      <c r="J186" s="177"/>
      <c r="K186" s="177"/>
      <c r="L186" s="177"/>
      <c r="M186" s="374">
        <f t="shared" si="60"/>
        <v>500</v>
      </c>
      <c r="N186" s="385">
        <v>500</v>
      </c>
      <c r="O186" s="340">
        <v>820</v>
      </c>
      <c r="P186" s="345">
        <f t="shared" si="63"/>
        <v>820</v>
      </c>
      <c r="Q186" s="176"/>
      <c r="R186" s="176"/>
      <c r="S186" s="459">
        <v>820</v>
      </c>
      <c r="T186" s="478">
        <f t="shared" si="64"/>
        <v>820</v>
      </c>
      <c r="U186" s="177"/>
      <c r="V186" s="177"/>
      <c r="W186" s="177">
        <f t="shared" si="61"/>
        <v>777</v>
      </c>
      <c r="X186" s="177">
        <v>777</v>
      </c>
      <c r="Y186" s="177"/>
      <c r="Z186" s="177"/>
      <c r="AA186" s="177"/>
      <c r="AB186" s="177"/>
      <c r="AC186" s="177"/>
      <c r="AD186" s="177"/>
      <c r="AE186" s="177"/>
      <c r="AF186" s="177"/>
      <c r="AG186" s="198"/>
      <c r="AH186" s="173">
        <f t="shared" si="57"/>
        <v>0</v>
      </c>
    </row>
    <row r="187" spans="1:34" ht="66" hidden="1" x14ac:dyDescent="0.25">
      <c r="A187" s="188">
        <v>48</v>
      </c>
      <c r="B187" s="237" t="s">
        <v>1523</v>
      </c>
      <c r="C187" s="230" t="s">
        <v>1355</v>
      </c>
      <c r="D187" s="182" t="s">
        <v>1522</v>
      </c>
      <c r="E187" s="230" t="s">
        <v>109</v>
      </c>
      <c r="F187" s="230" t="s">
        <v>1521</v>
      </c>
      <c r="G187" s="231">
        <v>473</v>
      </c>
      <c r="H187" s="396">
        <f t="shared" si="62"/>
        <v>473</v>
      </c>
      <c r="I187" s="177"/>
      <c r="J187" s="177"/>
      <c r="K187" s="177"/>
      <c r="L187" s="177"/>
      <c r="M187" s="374">
        <f t="shared" si="60"/>
        <v>500</v>
      </c>
      <c r="N187" s="385">
        <v>500</v>
      </c>
      <c r="O187" s="340">
        <v>350</v>
      </c>
      <c r="P187" s="345">
        <f t="shared" si="63"/>
        <v>350</v>
      </c>
      <c r="Q187" s="176"/>
      <c r="R187" s="176"/>
      <c r="S187" s="459">
        <v>350</v>
      </c>
      <c r="T187" s="478">
        <f t="shared" si="64"/>
        <v>350</v>
      </c>
      <c r="U187" s="177"/>
      <c r="V187" s="177"/>
      <c r="W187" s="177">
        <f t="shared" si="61"/>
        <v>302</v>
      </c>
      <c r="X187" s="177">
        <v>302</v>
      </c>
      <c r="Y187" s="177"/>
      <c r="Z187" s="177"/>
      <c r="AA187" s="177"/>
      <c r="AB187" s="177"/>
      <c r="AC187" s="177"/>
      <c r="AD187" s="177"/>
      <c r="AE187" s="177"/>
      <c r="AF187" s="177"/>
      <c r="AG187" s="198"/>
      <c r="AH187" s="173">
        <f t="shared" si="57"/>
        <v>0</v>
      </c>
    </row>
    <row r="188" spans="1:34" ht="66" hidden="1" x14ac:dyDescent="0.25">
      <c r="A188" s="188">
        <v>49</v>
      </c>
      <c r="B188" s="237" t="s">
        <v>1520</v>
      </c>
      <c r="C188" s="230" t="s">
        <v>1355</v>
      </c>
      <c r="D188" s="182" t="s">
        <v>1519</v>
      </c>
      <c r="E188" s="230" t="s">
        <v>109</v>
      </c>
      <c r="F188" s="230" t="s">
        <v>1518</v>
      </c>
      <c r="G188" s="231">
        <v>1392</v>
      </c>
      <c r="H188" s="396">
        <f t="shared" si="62"/>
        <v>1392</v>
      </c>
      <c r="I188" s="177"/>
      <c r="J188" s="177"/>
      <c r="K188" s="177"/>
      <c r="L188" s="177"/>
      <c r="M188" s="374">
        <f t="shared" si="60"/>
        <v>830</v>
      </c>
      <c r="N188" s="385">
        <v>830</v>
      </c>
      <c r="O188" s="340">
        <v>1090</v>
      </c>
      <c r="P188" s="345">
        <f t="shared" si="63"/>
        <v>1090</v>
      </c>
      <c r="Q188" s="176"/>
      <c r="R188" s="176"/>
      <c r="S188" s="459">
        <v>1090</v>
      </c>
      <c r="T188" s="478">
        <f t="shared" si="64"/>
        <v>1090</v>
      </c>
      <c r="U188" s="177"/>
      <c r="V188" s="177"/>
      <c r="W188" s="177">
        <f t="shared" si="61"/>
        <v>767</v>
      </c>
      <c r="X188" s="177">
        <v>767</v>
      </c>
      <c r="Y188" s="177"/>
      <c r="Z188" s="177"/>
      <c r="AA188" s="177"/>
      <c r="AB188" s="177"/>
      <c r="AC188" s="177"/>
      <c r="AD188" s="177"/>
      <c r="AE188" s="177"/>
      <c r="AF188" s="177"/>
      <c r="AG188" s="198"/>
      <c r="AH188" s="173">
        <f t="shared" si="57"/>
        <v>0</v>
      </c>
    </row>
    <row r="189" spans="1:34" ht="66" hidden="1" x14ac:dyDescent="0.25">
      <c r="A189" s="188">
        <v>50</v>
      </c>
      <c r="B189" s="237" t="s">
        <v>1517</v>
      </c>
      <c r="C189" s="230" t="s">
        <v>1355</v>
      </c>
      <c r="D189" s="182" t="s">
        <v>1516</v>
      </c>
      <c r="E189" s="230" t="s">
        <v>109</v>
      </c>
      <c r="F189" s="230" t="s">
        <v>1515</v>
      </c>
      <c r="G189" s="231">
        <v>726</v>
      </c>
      <c r="H189" s="396">
        <f t="shared" si="62"/>
        <v>726</v>
      </c>
      <c r="I189" s="177"/>
      <c r="J189" s="177"/>
      <c r="K189" s="177"/>
      <c r="L189" s="177"/>
      <c r="M189" s="374">
        <f t="shared" si="60"/>
        <v>1000</v>
      </c>
      <c r="N189" s="385">
        <v>1000</v>
      </c>
      <c r="O189" s="340">
        <v>550</v>
      </c>
      <c r="P189" s="345">
        <f t="shared" si="63"/>
        <v>550</v>
      </c>
      <c r="Q189" s="176"/>
      <c r="R189" s="176"/>
      <c r="S189" s="459">
        <v>550</v>
      </c>
      <c r="T189" s="478">
        <f t="shared" si="64"/>
        <v>550</v>
      </c>
      <c r="U189" s="177"/>
      <c r="V189" s="177"/>
      <c r="W189" s="177">
        <f t="shared" si="61"/>
        <v>498</v>
      </c>
      <c r="X189" s="177">
        <v>498</v>
      </c>
      <c r="Y189" s="177"/>
      <c r="Z189" s="177"/>
      <c r="AA189" s="177"/>
      <c r="AB189" s="177"/>
      <c r="AC189" s="177"/>
      <c r="AD189" s="177"/>
      <c r="AE189" s="177"/>
      <c r="AF189" s="177"/>
      <c r="AG189" s="198"/>
      <c r="AH189" s="173">
        <f t="shared" si="57"/>
        <v>0</v>
      </c>
    </row>
    <row r="190" spans="1:34" ht="66" hidden="1" x14ac:dyDescent="0.25">
      <c r="A190" s="188">
        <v>51</v>
      </c>
      <c r="B190" s="237" t="s">
        <v>1514</v>
      </c>
      <c r="C190" s="230" t="s">
        <v>1355</v>
      </c>
      <c r="D190" s="182" t="s">
        <v>1513</v>
      </c>
      <c r="E190" s="230" t="s">
        <v>109</v>
      </c>
      <c r="F190" s="230" t="s">
        <v>1512</v>
      </c>
      <c r="G190" s="231">
        <v>494</v>
      </c>
      <c r="H190" s="396">
        <f t="shared" si="62"/>
        <v>494</v>
      </c>
      <c r="I190" s="177"/>
      <c r="J190" s="177"/>
      <c r="K190" s="177"/>
      <c r="L190" s="177"/>
      <c r="M190" s="374">
        <f t="shared" si="60"/>
        <v>500</v>
      </c>
      <c r="N190" s="385">
        <v>500</v>
      </c>
      <c r="O190" s="340">
        <v>390</v>
      </c>
      <c r="P190" s="345">
        <f t="shared" si="63"/>
        <v>390</v>
      </c>
      <c r="Q190" s="176"/>
      <c r="R190" s="176"/>
      <c r="S190" s="459">
        <v>390</v>
      </c>
      <c r="T190" s="478">
        <f t="shared" si="64"/>
        <v>390</v>
      </c>
      <c r="U190" s="177"/>
      <c r="V190" s="177"/>
      <c r="W190" s="177">
        <f t="shared" si="61"/>
        <v>323</v>
      </c>
      <c r="X190" s="177">
        <v>323</v>
      </c>
      <c r="Y190" s="177"/>
      <c r="Z190" s="177"/>
      <c r="AA190" s="177"/>
      <c r="AB190" s="177"/>
      <c r="AC190" s="177"/>
      <c r="AD190" s="177"/>
      <c r="AE190" s="177"/>
      <c r="AF190" s="177"/>
      <c r="AG190" s="198"/>
      <c r="AH190" s="173">
        <f t="shared" si="57"/>
        <v>0</v>
      </c>
    </row>
    <row r="191" spans="1:34" ht="66" hidden="1" x14ac:dyDescent="0.25">
      <c r="A191" s="188">
        <v>52</v>
      </c>
      <c r="B191" s="237" t="s">
        <v>1511</v>
      </c>
      <c r="C191" s="230" t="s">
        <v>1355</v>
      </c>
      <c r="D191" s="182" t="s">
        <v>1510</v>
      </c>
      <c r="E191" s="230" t="s">
        <v>109</v>
      </c>
      <c r="F191" s="230" t="s">
        <v>1509</v>
      </c>
      <c r="G191" s="231">
        <v>685</v>
      </c>
      <c r="H191" s="396">
        <f t="shared" si="62"/>
        <v>685</v>
      </c>
      <c r="I191" s="177"/>
      <c r="J191" s="177"/>
      <c r="K191" s="177"/>
      <c r="L191" s="177"/>
      <c r="M191" s="374">
        <f t="shared" si="60"/>
        <v>830</v>
      </c>
      <c r="N191" s="385">
        <v>830</v>
      </c>
      <c r="O191" s="340">
        <v>530</v>
      </c>
      <c r="P191" s="345">
        <f t="shared" si="63"/>
        <v>530</v>
      </c>
      <c r="Q191" s="176"/>
      <c r="R191" s="176"/>
      <c r="S191" s="459">
        <v>530</v>
      </c>
      <c r="T191" s="478">
        <f t="shared" si="64"/>
        <v>530</v>
      </c>
      <c r="U191" s="177"/>
      <c r="V191" s="177"/>
      <c r="W191" s="177">
        <f t="shared" si="61"/>
        <v>482</v>
      </c>
      <c r="X191" s="177">
        <v>482</v>
      </c>
      <c r="Y191" s="177"/>
      <c r="Z191" s="177"/>
      <c r="AA191" s="177"/>
      <c r="AB191" s="177"/>
      <c r="AC191" s="177"/>
      <c r="AD191" s="177"/>
      <c r="AE191" s="177"/>
      <c r="AF191" s="177"/>
      <c r="AG191" s="198"/>
      <c r="AH191" s="173">
        <f t="shared" si="57"/>
        <v>0</v>
      </c>
    </row>
    <row r="192" spans="1:34" ht="66" hidden="1" x14ac:dyDescent="0.25">
      <c r="A192" s="188">
        <v>53</v>
      </c>
      <c r="B192" s="237" t="s">
        <v>1508</v>
      </c>
      <c r="C192" s="230" t="s">
        <v>1355</v>
      </c>
      <c r="D192" s="182" t="s">
        <v>1507</v>
      </c>
      <c r="E192" s="230" t="s">
        <v>109</v>
      </c>
      <c r="F192" s="230" t="s">
        <v>1506</v>
      </c>
      <c r="G192" s="231">
        <v>1027</v>
      </c>
      <c r="H192" s="396">
        <f t="shared" si="62"/>
        <v>1027</v>
      </c>
      <c r="I192" s="177"/>
      <c r="J192" s="177"/>
      <c r="K192" s="177"/>
      <c r="L192" s="177"/>
      <c r="M192" s="374">
        <f t="shared" si="60"/>
        <v>2670</v>
      </c>
      <c r="N192" s="385">
        <v>2670</v>
      </c>
      <c r="O192" s="340">
        <v>800</v>
      </c>
      <c r="P192" s="345">
        <f t="shared" si="63"/>
        <v>800</v>
      </c>
      <c r="Q192" s="176"/>
      <c r="R192" s="176"/>
      <c r="S192" s="459">
        <v>800</v>
      </c>
      <c r="T192" s="478">
        <f t="shared" si="64"/>
        <v>800</v>
      </c>
      <c r="U192" s="177"/>
      <c r="V192" s="177"/>
      <c r="W192" s="177">
        <f t="shared" si="61"/>
        <v>566</v>
      </c>
      <c r="X192" s="177">
        <v>566</v>
      </c>
      <c r="Y192" s="177"/>
      <c r="Z192" s="177"/>
      <c r="AA192" s="177"/>
      <c r="AB192" s="177"/>
      <c r="AC192" s="177"/>
      <c r="AD192" s="177"/>
      <c r="AE192" s="177"/>
      <c r="AF192" s="177"/>
      <c r="AG192" s="198"/>
      <c r="AH192" s="173">
        <f t="shared" si="57"/>
        <v>0</v>
      </c>
    </row>
    <row r="193" spans="1:34" ht="66" hidden="1" x14ac:dyDescent="0.25">
      <c r="A193" s="188">
        <v>54</v>
      </c>
      <c r="B193" s="237" t="s">
        <v>1505</v>
      </c>
      <c r="C193" s="230" t="s">
        <v>1355</v>
      </c>
      <c r="D193" s="182" t="s">
        <v>1504</v>
      </c>
      <c r="E193" s="230" t="s">
        <v>109</v>
      </c>
      <c r="F193" s="230" t="s">
        <v>1503</v>
      </c>
      <c r="G193" s="231">
        <v>656</v>
      </c>
      <c r="H193" s="396">
        <f t="shared" si="62"/>
        <v>656</v>
      </c>
      <c r="I193" s="177"/>
      <c r="J193" s="177"/>
      <c r="K193" s="177"/>
      <c r="L193" s="177"/>
      <c r="M193" s="374">
        <v>1170</v>
      </c>
      <c r="N193" s="385">
        <v>1170</v>
      </c>
      <c r="O193" s="340">
        <v>500</v>
      </c>
      <c r="P193" s="345">
        <f t="shared" si="63"/>
        <v>500</v>
      </c>
      <c r="Q193" s="176"/>
      <c r="R193" s="176"/>
      <c r="S193" s="459">
        <v>500</v>
      </c>
      <c r="T193" s="478">
        <f t="shared" si="64"/>
        <v>500</v>
      </c>
      <c r="U193" s="177"/>
      <c r="V193" s="177"/>
      <c r="W193" s="177">
        <f t="shared" si="61"/>
        <v>362</v>
      </c>
      <c r="X193" s="177">
        <v>362</v>
      </c>
      <c r="Y193" s="177"/>
      <c r="Z193" s="177"/>
      <c r="AA193" s="177"/>
      <c r="AB193" s="177"/>
      <c r="AC193" s="177"/>
      <c r="AD193" s="177"/>
      <c r="AE193" s="177"/>
      <c r="AF193" s="177"/>
      <c r="AG193" s="198"/>
      <c r="AH193" s="173">
        <f t="shared" si="57"/>
        <v>0</v>
      </c>
    </row>
    <row r="194" spans="1:34" ht="66" hidden="1" x14ac:dyDescent="0.25">
      <c r="A194" s="188">
        <v>55</v>
      </c>
      <c r="B194" s="237" t="s">
        <v>1502</v>
      </c>
      <c r="C194" s="230" t="s">
        <v>1357</v>
      </c>
      <c r="D194" s="182" t="s">
        <v>1501</v>
      </c>
      <c r="E194" s="230" t="s">
        <v>109</v>
      </c>
      <c r="F194" s="230" t="s">
        <v>1500</v>
      </c>
      <c r="G194" s="231">
        <v>1534</v>
      </c>
      <c r="H194" s="396">
        <f t="shared" si="62"/>
        <v>1534</v>
      </c>
      <c r="I194" s="360"/>
      <c r="J194" s="360"/>
      <c r="K194" s="360"/>
      <c r="L194" s="360"/>
      <c r="M194" s="374">
        <f t="shared" ref="M194:M199" si="65">N194</f>
        <v>1310</v>
      </c>
      <c r="N194" s="385">
        <v>1310</v>
      </c>
      <c r="O194" s="340">
        <v>1150</v>
      </c>
      <c r="P194" s="345">
        <f t="shared" si="63"/>
        <v>1150</v>
      </c>
      <c r="Q194" s="176"/>
      <c r="R194" s="176"/>
      <c r="S194" s="459">
        <v>1150</v>
      </c>
      <c r="T194" s="478">
        <f t="shared" si="64"/>
        <v>1150</v>
      </c>
      <c r="U194" s="399"/>
      <c r="V194" s="399"/>
      <c r="W194" s="177">
        <f t="shared" si="61"/>
        <v>845</v>
      </c>
      <c r="X194" s="177">
        <v>845</v>
      </c>
      <c r="Y194" s="399"/>
      <c r="Z194" s="399"/>
      <c r="AA194" s="399"/>
      <c r="AB194" s="399"/>
      <c r="AC194" s="399"/>
      <c r="AD194" s="399"/>
      <c r="AE194" s="399"/>
      <c r="AF194" s="399"/>
      <c r="AG194" s="359"/>
      <c r="AH194" s="173">
        <f t="shared" si="57"/>
        <v>0</v>
      </c>
    </row>
    <row r="195" spans="1:34" ht="66" hidden="1" x14ac:dyDescent="0.25">
      <c r="A195" s="188">
        <v>56</v>
      </c>
      <c r="B195" s="237" t="s">
        <v>1499</v>
      </c>
      <c r="C195" s="230" t="s">
        <v>1357</v>
      </c>
      <c r="D195" s="182" t="s">
        <v>1498</v>
      </c>
      <c r="E195" s="230" t="s">
        <v>109</v>
      </c>
      <c r="F195" s="398" t="s">
        <v>1497</v>
      </c>
      <c r="G195" s="231">
        <v>1406</v>
      </c>
      <c r="H195" s="396">
        <f t="shared" si="62"/>
        <v>1406</v>
      </c>
      <c r="I195" s="177"/>
      <c r="J195" s="177"/>
      <c r="K195" s="177"/>
      <c r="L195" s="177"/>
      <c r="M195" s="374">
        <f t="shared" si="65"/>
        <v>1390</v>
      </c>
      <c r="N195" s="385">
        <v>1390</v>
      </c>
      <c r="O195" s="340">
        <v>1060</v>
      </c>
      <c r="P195" s="345">
        <f t="shared" si="63"/>
        <v>1060</v>
      </c>
      <c r="Q195" s="176"/>
      <c r="R195" s="176"/>
      <c r="S195" s="459">
        <v>1060</v>
      </c>
      <c r="T195" s="478">
        <f t="shared" si="64"/>
        <v>1060</v>
      </c>
      <c r="U195" s="177"/>
      <c r="V195" s="177"/>
      <c r="W195" s="177">
        <f t="shared" si="61"/>
        <v>775</v>
      </c>
      <c r="X195" s="177">
        <v>775</v>
      </c>
      <c r="Y195" s="177"/>
      <c r="Z195" s="177"/>
      <c r="AA195" s="177"/>
      <c r="AB195" s="177"/>
      <c r="AC195" s="177"/>
      <c r="AD195" s="177"/>
      <c r="AE195" s="177"/>
      <c r="AF195" s="177"/>
      <c r="AG195" s="198"/>
      <c r="AH195" s="173">
        <f t="shared" si="57"/>
        <v>0</v>
      </c>
    </row>
    <row r="196" spans="1:34" ht="66" hidden="1" x14ac:dyDescent="0.25">
      <c r="A196" s="188">
        <v>57</v>
      </c>
      <c r="B196" s="237" t="s">
        <v>1496</v>
      </c>
      <c r="C196" s="230" t="s">
        <v>1357</v>
      </c>
      <c r="D196" s="182" t="s">
        <v>1495</v>
      </c>
      <c r="E196" s="230" t="s">
        <v>109</v>
      </c>
      <c r="F196" s="230" t="s">
        <v>1494</v>
      </c>
      <c r="G196" s="231">
        <v>1185</v>
      </c>
      <c r="H196" s="396">
        <f t="shared" si="62"/>
        <v>1185</v>
      </c>
      <c r="I196" s="265"/>
      <c r="J196" s="265"/>
      <c r="K196" s="265"/>
      <c r="L196" s="265"/>
      <c r="M196" s="374">
        <f t="shared" si="65"/>
        <v>1200</v>
      </c>
      <c r="N196" s="385">
        <v>1200</v>
      </c>
      <c r="O196" s="345">
        <v>920</v>
      </c>
      <c r="P196" s="345">
        <f t="shared" si="63"/>
        <v>920</v>
      </c>
      <c r="Q196" s="176"/>
      <c r="R196" s="176"/>
      <c r="S196" s="478">
        <v>920</v>
      </c>
      <c r="T196" s="478">
        <f t="shared" si="64"/>
        <v>920</v>
      </c>
      <c r="U196" s="265"/>
      <c r="V196" s="265"/>
      <c r="W196" s="177">
        <f t="shared" si="61"/>
        <v>710</v>
      </c>
      <c r="X196" s="177">
        <v>710</v>
      </c>
      <c r="Y196" s="265"/>
      <c r="Z196" s="265"/>
      <c r="AA196" s="265"/>
      <c r="AB196" s="265"/>
      <c r="AC196" s="265"/>
      <c r="AD196" s="265"/>
      <c r="AE196" s="265"/>
      <c r="AF196" s="265"/>
      <c r="AG196" s="219"/>
      <c r="AH196" s="173">
        <f t="shared" si="57"/>
        <v>0</v>
      </c>
    </row>
    <row r="197" spans="1:34" ht="66" hidden="1" x14ac:dyDescent="0.25">
      <c r="A197" s="188">
        <v>58</v>
      </c>
      <c r="B197" s="237" t="s">
        <v>1493</v>
      </c>
      <c r="C197" s="230" t="s">
        <v>1357</v>
      </c>
      <c r="D197" s="182" t="s">
        <v>1492</v>
      </c>
      <c r="E197" s="230" t="s">
        <v>109</v>
      </c>
      <c r="F197" s="230" t="s">
        <v>1491</v>
      </c>
      <c r="G197" s="231">
        <v>2914</v>
      </c>
      <c r="H197" s="396">
        <f t="shared" si="62"/>
        <v>2914</v>
      </c>
      <c r="I197" s="191"/>
      <c r="J197" s="191"/>
      <c r="K197" s="191"/>
      <c r="L197" s="191"/>
      <c r="M197" s="374">
        <f t="shared" si="65"/>
        <v>2280</v>
      </c>
      <c r="N197" s="385">
        <v>2280</v>
      </c>
      <c r="O197" s="345">
        <v>2260</v>
      </c>
      <c r="P197" s="345">
        <f t="shared" si="63"/>
        <v>2260</v>
      </c>
      <c r="Q197" s="176"/>
      <c r="R197" s="176"/>
      <c r="S197" s="478">
        <v>2260</v>
      </c>
      <c r="T197" s="478">
        <f t="shared" si="64"/>
        <v>2260</v>
      </c>
      <c r="U197" s="191"/>
      <c r="V197" s="191"/>
      <c r="W197" s="177">
        <f t="shared" si="61"/>
        <v>1605</v>
      </c>
      <c r="X197" s="177">
        <v>1605</v>
      </c>
      <c r="Y197" s="191"/>
      <c r="Z197" s="191"/>
      <c r="AA197" s="191"/>
      <c r="AB197" s="191"/>
      <c r="AC197" s="191"/>
      <c r="AD197" s="191"/>
      <c r="AE197" s="191"/>
      <c r="AF197" s="191"/>
      <c r="AG197" s="189"/>
      <c r="AH197" s="173">
        <f t="shared" si="57"/>
        <v>0</v>
      </c>
    </row>
    <row r="198" spans="1:34" ht="66" hidden="1" x14ac:dyDescent="0.25">
      <c r="A198" s="188">
        <v>59</v>
      </c>
      <c r="B198" s="237" t="s">
        <v>1490</v>
      </c>
      <c r="C198" s="230" t="s">
        <v>1357</v>
      </c>
      <c r="D198" s="182" t="s">
        <v>1489</v>
      </c>
      <c r="E198" s="230" t="s">
        <v>109</v>
      </c>
      <c r="F198" s="230" t="s">
        <v>1488</v>
      </c>
      <c r="G198" s="231">
        <v>1760</v>
      </c>
      <c r="H198" s="396">
        <f t="shared" si="62"/>
        <v>1760</v>
      </c>
      <c r="I198" s="191"/>
      <c r="J198" s="191"/>
      <c r="K198" s="191"/>
      <c r="L198" s="191"/>
      <c r="M198" s="374">
        <f t="shared" si="65"/>
        <v>1960</v>
      </c>
      <c r="N198" s="385">
        <v>1960</v>
      </c>
      <c r="O198" s="345">
        <v>1380</v>
      </c>
      <c r="P198" s="345">
        <f t="shared" si="63"/>
        <v>1380</v>
      </c>
      <c r="Q198" s="176"/>
      <c r="R198" s="176"/>
      <c r="S198" s="478">
        <v>1380</v>
      </c>
      <c r="T198" s="478">
        <f t="shared" si="64"/>
        <v>1380</v>
      </c>
      <c r="U198" s="191"/>
      <c r="V198" s="191"/>
      <c r="W198" s="177">
        <f t="shared" si="61"/>
        <v>970</v>
      </c>
      <c r="X198" s="177">
        <v>970</v>
      </c>
      <c r="Y198" s="191"/>
      <c r="Z198" s="191"/>
      <c r="AA198" s="191"/>
      <c r="AB198" s="191"/>
      <c r="AC198" s="191"/>
      <c r="AD198" s="191"/>
      <c r="AE198" s="191"/>
      <c r="AF198" s="191"/>
      <c r="AG198" s="189"/>
      <c r="AH198" s="173">
        <f t="shared" si="57"/>
        <v>0</v>
      </c>
    </row>
    <row r="199" spans="1:34" ht="66" hidden="1" x14ac:dyDescent="0.25">
      <c r="A199" s="188">
        <v>60</v>
      </c>
      <c r="B199" s="237" t="s">
        <v>1487</v>
      </c>
      <c r="C199" s="230" t="s">
        <v>1357</v>
      </c>
      <c r="D199" s="182" t="s">
        <v>1486</v>
      </c>
      <c r="E199" s="230" t="s">
        <v>109</v>
      </c>
      <c r="F199" s="230" t="s">
        <v>1485</v>
      </c>
      <c r="G199" s="231">
        <v>1891</v>
      </c>
      <c r="H199" s="396">
        <f t="shared" si="62"/>
        <v>1891</v>
      </c>
      <c r="I199" s="200"/>
      <c r="J199" s="200"/>
      <c r="K199" s="200"/>
      <c r="L199" s="200"/>
      <c r="M199" s="374">
        <f t="shared" si="65"/>
        <v>2170</v>
      </c>
      <c r="N199" s="385">
        <v>2170</v>
      </c>
      <c r="O199" s="345">
        <v>1480</v>
      </c>
      <c r="P199" s="345">
        <f t="shared" si="63"/>
        <v>1480</v>
      </c>
      <c r="Q199" s="176"/>
      <c r="R199" s="176"/>
      <c r="S199" s="478">
        <v>1480</v>
      </c>
      <c r="T199" s="478">
        <f t="shared" si="64"/>
        <v>1480</v>
      </c>
      <c r="U199" s="200"/>
      <c r="V199" s="200"/>
      <c r="W199" s="177">
        <f t="shared" si="61"/>
        <v>1042</v>
      </c>
      <c r="X199" s="177">
        <v>1042</v>
      </c>
      <c r="Y199" s="200"/>
      <c r="Z199" s="200"/>
      <c r="AA199" s="200"/>
      <c r="AB199" s="200"/>
      <c r="AC199" s="200"/>
      <c r="AD199" s="200"/>
      <c r="AE199" s="200"/>
      <c r="AF199" s="200"/>
      <c r="AG199" s="264"/>
      <c r="AH199" s="173">
        <f t="shared" si="57"/>
        <v>0</v>
      </c>
    </row>
    <row r="200" spans="1:34" ht="82.5" hidden="1" x14ac:dyDescent="0.25">
      <c r="A200" s="188">
        <v>61</v>
      </c>
      <c r="B200" s="237" t="s">
        <v>1484</v>
      </c>
      <c r="C200" s="230" t="s">
        <v>1359</v>
      </c>
      <c r="D200" s="182" t="s">
        <v>1483</v>
      </c>
      <c r="E200" s="230" t="s">
        <v>461</v>
      </c>
      <c r="F200" s="230" t="s">
        <v>1482</v>
      </c>
      <c r="G200" s="231">
        <v>9171.2569999999996</v>
      </c>
      <c r="H200" s="396">
        <f t="shared" si="62"/>
        <v>9171.2569999999996</v>
      </c>
      <c r="I200" s="200"/>
      <c r="J200" s="200"/>
      <c r="K200" s="200"/>
      <c r="L200" s="200"/>
      <c r="M200" s="374"/>
      <c r="N200" s="385"/>
      <c r="O200" s="345">
        <v>7700</v>
      </c>
      <c r="P200" s="345">
        <v>7700</v>
      </c>
      <c r="Q200" s="176"/>
      <c r="R200" s="176"/>
      <c r="S200" s="478">
        <v>7700</v>
      </c>
      <c r="T200" s="478">
        <v>7700</v>
      </c>
      <c r="U200" s="200"/>
      <c r="V200" s="200"/>
      <c r="W200" s="200"/>
      <c r="X200" s="200"/>
      <c r="Y200" s="200"/>
      <c r="Z200" s="200"/>
      <c r="AA200" s="200"/>
      <c r="AB200" s="200"/>
      <c r="AC200" s="200"/>
      <c r="AD200" s="200"/>
      <c r="AE200" s="200"/>
      <c r="AF200" s="200"/>
      <c r="AG200" s="339" t="s">
        <v>84</v>
      </c>
      <c r="AH200" s="173">
        <f t="shared" si="57"/>
        <v>0</v>
      </c>
    </row>
    <row r="201" spans="1:34" ht="82.5" hidden="1" x14ac:dyDescent="0.25">
      <c r="A201" s="188">
        <v>62</v>
      </c>
      <c r="B201" s="237" t="s">
        <v>1481</v>
      </c>
      <c r="C201" s="230" t="s">
        <v>1359</v>
      </c>
      <c r="D201" s="182" t="s">
        <v>1480</v>
      </c>
      <c r="E201" s="230" t="s">
        <v>461</v>
      </c>
      <c r="F201" s="230" t="s">
        <v>1479</v>
      </c>
      <c r="G201" s="231">
        <v>8059.91</v>
      </c>
      <c r="H201" s="396">
        <f t="shared" si="62"/>
        <v>8059.91</v>
      </c>
      <c r="I201" s="200"/>
      <c r="J201" s="200"/>
      <c r="K201" s="200"/>
      <c r="L201" s="200"/>
      <c r="M201" s="374"/>
      <c r="N201" s="385"/>
      <c r="O201" s="345">
        <f>P201</f>
        <v>6950</v>
      </c>
      <c r="P201" s="345">
        <v>6950</v>
      </c>
      <c r="Q201" s="176"/>
      <c r="R201" s="176"/>
      <c r="S201" s="478">
        <f>T201</f>
        <v>6950</v>
      </c>
      <c r="T201" s="478">
        <v>6950</v>
      </c>
      <c r="U201" s="200"/>
      <c r="V201" s="200"/>
      <c r="W201" s="200"/>
      <c r="X201" s="200"/>
      <c r="Y201" s="200"/>
      <c r="Z201" s="200"/>
      <c r="AA201" s="200"/>
      <c r="AB201" s="200"/>
      <c r="AC201" s="200"/>
      <c r="AD201" s="200"/>
      <c r="AE201" s="200"/>
      <c r="AF201" s="200"/>
      <c r="AG201" s="339" t="s">
        <v>84</v>
      </c>
      <c r="AH201" s="173">
        <f t="shared" si="57"/>
        <v>0</v>
      </c>
    </row>
    <row r="202" spans="1:34" ht="82.5" hidden="1" x14ac:dyDescent="0.25">
      <c r="A202" s="188">
        <v>63</v>
      </c>
      <c r="B202" s="237" t="s">
        <v>1478</v>
      </c>
      <c r="C202" s="230" t="s">
        <v>1379</v>
      </c>
      <c r="D202" s="182" t="s">
        <v>1477</v>
      </c>
      <c r="E202" s="230" t="s">
        <v>461</v>
      </c>
      <c r="F202" s="230" t="s">
        <v>1476</v>
      </c>
      <c r="G202" s="231">
        <v>943.69899999999996</v>
      </c>
      <c r="H202" s="396">
        <f t="shared" si="62"/>
        <v>943.69899999999996</v>
      </c>
      <c r="I202" s="200"/>
      <c r="J202" s="200"/>
      <c r="K202" s="200"/>
      <c r="L202" s="200"/>
      <c r="M202" s="374"/>
      <c r="N202" s="385"/>
      <c r="O202" s="345">
        <f>P202</f>
        <v>770</v>
      </c>
      <c r="P202" s="345">
        <v>770</v>
      </c>
      <c r="Q202" s="176"/>
      <c r="R202" s="176"/>
      <c r="S202" s="478">
        <f>T202</f>
        <v>770</v>
      </c>
      <c r="T202" s="478">
        <v>770</v>
      </c>
      <c r="U202" s="200"/>
      <c r="V202" s="200"/>
      <c r="W202" s="200"/>
      <c r="X202" s="200"/>
      <c r="Y202" s="200"/>
      <c r="Z202" s="200"/>
      <c r="AA202" s="200"/>
      <c r="AB202" s="200"/>
      <c r="AC202" s="200"/>
      <c r="AD202" s="200"/>
      <c r="AE202" s="200"/>
      <c r="AF202" s="200"/>
      <c r="AG202" s="339" t="s">
        <v>84</v>
      </c>
      <c r="AH202" s="173">
        <f t="shared" si="57"/>
        <v>0</v>
      </c>
    </row>
    <row r="203" spans="1:34" ht="82.5" hidden="1" x14ac:dyDescent="0.25">
      <c r="A203" s="188">
        <v>64</v>
      </c>
      <c r="B203" s="237" t="s">
        <v>1475</v>
      </c>
      <c r="C203" s="230" t="s">
        <v>1379</v>
      </c>
      <c r="D203" s="182" t="s">
        <v>1474</v>
      </c>
      <c r="E203" s="230" t="s">
        <v>461</v>
      </c>
      <c r="F203" s="230" t="s">
        <v>1473</v>
      </c>
      <c r="G203" s="231">
        <v>2272.511</v>
      </c>
      <c r="H203" s="396">
        <f t="shared" si="62"/>
        <v>2272.511</v>
      </c>
      <c r="I203" s="200"/>
      <c r="J203" s="200"/>
      <c r="K203" s="200"/>
      <c r="L203" s="200"/>
      <c r="M203" s="374"/>
      <c r="N203" s="385"/>
      <c r="O203" s="345">
        <v>1860</v>
      </c>
      <c r="P203" s="345">
        <f t="shared" ref="P203:P245" si="66">O203</f>
        <v>1860</v>
      </c>
      <c r="Q203" s="176"/>
      <c r="R203" s="176"/>
      <c r="S203" s="478">
        <v>1860</v>
      </c>
      <c r="T203" s="478">
        <f t="shared" ref="T203:T245" si="67">S203</f>
        <v>1860</v>
      </c>
      <c r="U203" s="200"/>
      <c r="V203" s="200"/>
      <c r="W203" s="200"/>
      <c r="X203" s="200"/>
      <c r="Y203" s="200"/>
      <c r="Z203" s="200"/>
      <c r="AA203" s="200"/>
      <c r="AB203" s="200"/>
      <c r="AC203" s="200"/>
      <c r="AD203" s="200"/>
      <c r="AE203" s="200"/>
      <c r="AF203" s="200"/>
      <c r="AG203" s="339" t="s">
        <v>84</v>
      </c>
      <c r="AH203" s="173">
        <f t="shared" si="57"/>
        <v>0</v>
      </c>
    </row>
    <row r="204" spans="1:34" ht="82.5" hidden="1" x14ac:dyDescent="0.25">
      <c r="A204" s="188">
        <v>65</v>
      </c>
      <c r="B204" s="237" t="s">
        <v>1472</v>
      </c>
      <c r="C204" s="230" t="s">
        <v>1379</v>
      </c>
      <c r="D204" s="182" t="s">
        <v>1471</v>
      </c>
      <c r="E204" s="230" t="s">
        <v>461</v>
      </c>
      <c r="F204" s="230" t="s">
        <v>1470</v>
      </c>
      <c r="G204" s="231">
        <v>1928.723</v>
      </c>
      <c r="H204" s="396">
        <f t="shared" si="62"/>
        <v>1928.723</v>
      </c>
      <c r="I204" s="200"/>
      <c r="J204" s="200"/>
      <c r="K204" s="200"/>
      <c r="L204" s="200"/>
      <c r="M204" s="374"/>
      <c r="N204" s="385"/>
      <c r="O204" s="345">
        <v>1580</v>
      </c>
      <c r="P204" s="345">
        <f t="shared" si="66"/>
        <v>1580</v>
      </c>
      <c r="Q204" s="176"/>
      <c r="R204" s="176"/>
      <c r="S204" s="478">
        <v>1580</v>
      </c>
      <c r="T204" s="478">
        <f t="shared" si="67"/>
        <v>1580</v>
      </c>
      <c r="U204" s="200"/>
      <c r="V204" s="200"/>
      <c r="W204" s="200"/>
      <c r="X204" s="200"/>
      <c r="Y204" s="200"/>
      <c r="Z204" s="200"/>
      <c r="AA204" s="200"/>
      <c r="AB204" s="200"/>
      <c r="AC204" s="200"/>
      <c r="AD204" s="200"/>
      <c r="AE204" s="200"/>
      <c r="AF204" s="200"/>
      <c r="AG204" s="339" t="s">
        <v>84</v>
      </c>
      <c r="AH204" s="173">
        <f t="shared" si="57"/>
        <v>0</v>
      </c>
    </row>
    <row r="205" spans="1:34" ht="82.5" hidden="1" x14ac:dyDescent="0.25">
      <c r="A205" s="188">
        <v>66</v>
      </c>
      <c r="B205" s="237" t="s">
        <v>1469</v>
      </c>
      <c r="C205" s="230" t="s">
        <v>1379</v>
      </c>
      <c r="D205" s="182" t="s">
        <v>1468</v>
      </c>
      <c r="E205" s="230" t="s">
        <v>461</v>
      </c>
      <c r="F205" s="230" t="s">
        <v>1467</v>
      </c>
      <c r="G205" s="231">
        <v>1794.9259999999999</v>
      </c>
      <c r="H205" s="396">
        <f t="shared" si="62"/>
        <v>1794.9259999999999</v>
      </c>
      <c r="I205" s="200"/>
      <c r="J205" s="200"/>
      <c r="K205" s="200"/>
      <c r="L205" s="200"/>
      <c r="M205" s="374"/>
      <c r="N205" s="385"/>
      <c r="O205" s="345">
        <v>1470</v>
      </c>
      <c r="P205" s="345">
        <f t="shared" si="66"/>
        <v>1470</v>
      </c>
      <c r="Q205" s="176"/>
      <c r="R205" s="176"/>
      <c r="S205" s="478">
        <v>1470</v>
      </c>
      <c r="T205" s="478">
        <f t="shared" si="67"/>
        <v>1470</v>
      </c>
      <c r="U205" s="200"/>
      <c r="V205" s="200"/>
      <c r="W205" s="200"/>
      <c r="X205" s="200"/>
      <c r="Y205" s="200"/>
      <c r="Z205" s="200"/>
      <c r="AA205" s="200"/>
      <c r="AB205" s="200"/>
      <c r="AC205" s="200"/>
      <c r="AD205" s="200"/>
      <c r="AE205" s="200"/>
      <c r="AF205" s="200"/>
      <c r="AG205" s="339" t="s">
        <v>84</v>
      </c>
      <c r="AH205" s="173">
        <f t="shared" si="57"/>
        <v>0</v>
      </c>
    </row>
    <row r="206" spans="1:34" ht="82.5" hidden="1" x14ac:dyDescent="0.25">
      <c r="A206" s="188">
        <v>67</v>
      </c>
      <c r="B206" s="237" t="s">
        <v>1466</v>
      </c>
      <c r="C206" s="230" t="s">
        <v>1379</v>
      </c>
      <c r="D206" s="182" t="s">
        <v>1465</v>
      </c>
      <c r="E206" s="230" t="s">
        <v>461</v>
      </c>
      <c r="F206" s="230" t="s">
        <v>1464</v>
      </c>
      <c r="G206" s="231">
        <v>1778.587</v>
      </c>
      <c r="H206" s="396">
        <f t="shared" si="62"/>
        <v>1778.587</v>
      </c>
      <c r="I206" s="200"/>
      <c r="J206" s="200"/>
      <c r="K206" s="200"/>
      <c r="L206" s="200"/>
      <c r="M206" s="374"/>
      <c r="N206" s="385"/>
      <c r="O206" s="345">
        <v>1460</v>
      </c>
      <c r="P206" s="345">
        <f t="shared" si="66"/>
        <v>1460</v>
      </c>
      <c r="Q206" s="176"/>
      <c r="R206" s="176"/>
      <c r="S206" s="478">
        <v>1460</v>
      </c>
      <c r="T206" s="478">
        <f t="shared" si="67"/>
        <v>1460</v>
      </c>
      <c r="U206" s="200"/>
      <c r="V206" s="200"/>
      <c r="W206" s="200"/>
      <c r="X206" s="200"/>
      <c r="Y206" s="200"/>
      <c r="Z206" s="200"/>
      <c r="AA206" s="200"/>
      <c r="AB206" s="200"/>
      <c r="AC206" s="200"/>
      <c r="AD206" s="200"/>
      <c r="AE206" s="200"/>
      <c r="AF206" s="200"/>
      <c r="AG206" s="339" t="s">
        <v>84</v>
      </c>
      <c r="AH206" s="173">
        <f t="shared" si="57"/>
        <v>0</v>
      </c>
    </row>
    <row r="207" spans="1:34" ht="82.5" hidden="1" x14ac:dyDescent="0.25">
      <c r="A207" s="188">
        <v>68</v>
      </c>
      <c r="B207" s="237" t="s">
        <v>1463</v>
      </c>
      <c r="C207" s="230" t="s">
        <v>1379</v>
      </c>
      <c r="D207" s="182" t="s">
        <v>1462</v>
      </c>
      <c r="E207" s="230" t="s">
        <v>461</v>
      </c>
      <c r="F207" s="230" t="s">
        <v>1461</v>
      </c>
      <c r="G207" s="231">
        <v>2036.423</v>
      </c>
      <c r="H207" s="396">
        <f t="shared" si="62"/>
        <v>2036.423</v>
      </c>
      <c r="I207" s="200"/>
      <c r="J207" s="200"/>
      <c r="K207" s="200"/>
      <c r="L207" s="200"/>
      <c r="M207" s="374"/>
      <c r="N207" s="385"/>
      <c r="O207" s="345">
        <v>1670</v>
      </c>
      <c r="P207" s="345">
        <f t="shared" si="66"/>
        <v>1670</v>
      </c>
      <c r="Q207" s="176"/>
      <c r="R207" s="176"/>
      <c r="S207" s="478">
        <v>1670</v>
      </c>
      <c r="T207" s="478">
        <f t="shared" si="67"/>
        <v>1670</v>
      </c>
      <c r="U207" s="200"/>
      <c r="V207" s="200"/>
      <c r="W207" s="200"/>
      <c r="X207" s="200"/>
      <c r="Y207" s="200"/>
      <c r="Z207" s="200"/>
      <c r="AA207" s="200"/>
      <c r="AB207" s="200"/>
      <c r="AC207" s="200"/>
      <c r="AD207" s="200"/>
      <c r="AE207" s="200"/>
      <c r="AF207" s="200"/>
      <c r="AG207" s="339" t="s">
        <v>84</v>
      </c>
      <c r="AH207" s="173">
        <f t="shared" si="57"/>
        <v>0</v>
      </c>
    </row>
    <row r="208" spans="1:34" ht="82.5" hidden="1" x14ac:dyDescent="0.25">
      <c r="A208" s="188">
        <v>69</v>
      </c>
      <c r="B208" s="237" t="s">
        <v>1460</v>
      </c>
      <c r="C208" s="230" t="s">
        <v>1379</v>
      </c>
      <c r="D208" s="182" t="s">
        <v>1459</v>
      </c>
      <c r="E208" s="230" t="s">
        <v>461</v>
      </c>
      <c r="F208" s="230" t="s">
        <v>1458</v>
      </c>
      <c r="G208" s="231">
        <v>2023</v>
      </c>
      <c r="H208" s="396">
        <f t="shared" si="62"/>
        <v>2023</v>
      </c>
      <c r="I208" s="200"/>
      <c r="J208" s="200"/>
      <c r="K208" s="200"/>
      <c r="L208" s="200"/>
      <c r="M208" s="374"/>
      <c r="N208" s="385"/>
      <c r="O208" s="345">
        <v>1660</v>
      </c>
      <c r="P208" s="345">
        <f t="shared" si="66"/>
        <v>1660</v>
      </c>
      <c r="Q208" s="176"/>
      <c r="R208" s="176"/>
      <c r="S208" s="478">
        <v>1660</v>
      </c>
      <c r="T208" s="478">
        <f t="shared" si="67"/>
        <v>1660</v>
      </c>
      <c r="U208" s="200"/>
      <c r="V208" s="200"/>
      <c r="W208" s="200"/>
      <c r="X208" s="200"/>
      <c r="Y208" s="200"/>
      <c r="Z208" s="200"/>
      <c r="AA208" s="200"/>
      <c r="AB208" s="200"/>
      <c r="AC208" s="200"/>
      <c r="AD208" s="200"/>
      <c r="AE208" s="200"/>
      <c r="AF208" s="200"/>
      <c r="AG208" s="339" t="s">
        <v>84</v>
      </c>
      <c r="AH208" s="173">
        <f t="shared" si="57"/>
        <v>0</v>
      </c>
    </row>
    <row r="209" spans="1:34" ht="82.5" hidden="1" x14ac:dyDescent="0.25">
      <c r="A209" s="188">
        <v>70</v>
      </c>
      <c r="B209" s="237" t="s">
        <v>1457</v>
      </c>
      <c r="C209" s="230" t="s">
        <v>1379</v>
      </c>
      <c r="D209" s="182" t="s">
        <v>1456</v>
      </c>
      <c r="E209" s="230" t="s">
        <v>461</v>
      </c>
      <c r="F209" s="230" t="s">
        <v>1455</v>
      </c>
      <c r="G209" s="231">
        <v>1824</v>
      </c>
      <c r="H209" s="396">
        <f t="shared" si="62"/>
        <v>1824</v>
      </c>
      <c r="I209" s="200"/>
      <c r="J209" s="200"/>
      <c r="K209" s="200"/>
      <c r="L209" s="200"/>
      <c r="M209" s="374"/>
      <c r="N209" s="385"/>
      <c r="O209" s="345">
        <v>1490</v>
      </c>
      <c r="P209" s="345">
        <f t="shared" si="66"/>
        <v>1490</v>
      </c>
      <c r="Q209" s="176"/>
      <c r="R209" s="176"/>
      <c r="S209" s="478">
        <v>1490</v>
      </c>
      <c r="T209" s="478">
        <f t="shared" si="67"/>
        <v>1490</v>
      </c>
      <c r="U209" s="200"/>
      <c r="V209" s="200"/>
      <c r="W209" s="200"/>
      <c r="X209" s="200"/>
      <c r="Y209" s="200"/>
      <c r="Z209" s="200"/>
      <c r="AA209" s="200"/>
      <c r="AB209" s="200"/>
      <c r="AC209" s="200"/>
      <c r="AD209" s="200"/>
      <c r="AE209" s="200"/>
      <c r="AF209" s="200"/>
      <c r="AG209" s="339" t="s">
        <v>84</v>
      </c>
      <c r="AH209" s="173">
        <f t="shared" si="57"/>
        <v>0</v>
      </c>
    </row>
    <row r="210" spans="1:34" ht="82.5" hidden="1" x14ac:dyDescent="0.25">
      <c r="A210" s="188">
        <v>71</v>
      </c>
      <c r="B210" s="237" t="s">
        <v>1454</v>
      </c>
      <c r="C210" s="230" t="s">
        <v>1379</v>
      </c>
      <c r="D210" s="182" t="s">
        <v>1453</v>
      </c>
      <c r="E210" s="230" t="s">
        <v>461</v>
      </c>
      <c r="F210" s="230" t="s">
        <v>1452</v>
      </c>
      <c r="G210" s="231">
        <v>1568</v>
      </c>
      <c r="H210" s="396">
        <f t="shared" si="62"/>
        <v>1568</v>
      </c>
      <c r="I210" s="200"/>
      <c r="J210" s="200"/>
      <c r="K210" s="200"/>
      <c r="L210" s="200"/>
      <c r="M210" s="374"/>
      <c r="N210" s="385"/>
      <c r="O210" s="345">
        <v>1290</v>
      </c>
      <c r="P210" s="345">
        <f t="shared" si="66"/>
        <v>1290</v>
      </c>
      <c r="Q210" s="176"/>
      <c r="R210" s="176"/>
      <c r="S210" s="478">
        <v>1290</v>
      </c>
      <c r="T210" s="478">
        <f t="shared" si="67"/>
        <v>1290</v>
      </c>
      <c r="U210" s="200"/>
      <c r="V210" s="200"/>
      <c r="W210" s="200"/>
      <c r="X210" s="200"/>
      <c r="Y210" s="200"/>
      <c r="Z210" s="200"/>
      <c r="AA210" s="200"/>
      <c r="AB210" s="200"/>
      <c r="AC210" s="200"/>
      <c r="AD210" s="200"/>
      <c r="AE210" s="200"/>
      <c r="AF210" s="200"/>
      <c r="AG210" s="339" t="s">
        <v>84</v>
      </c>
      <c r="AH210" s="173">
        <f t="shared" si="57"/>
        <v>0</v>
      </c>
    </row>
    <row r="211" spans="1:34" ht="82.5" hidden="1" x14ac:dyDescent="0.25">
      <c r="A211" s="188">
        <v>72</v>
      </c>
      <c r="B211" s="237" t="s">
        <v>1451</v>
      </c>
      <c r="C211" s="230" t="s">
        <v>1379</v>
      </c>
      <c r="D211" s="182" t="s">
        <v>1448</v>
      </c>
      <c r="E211" s="230" t="s">
        <v>461</v>
      </c>
      <c r="F211" s="230" t="s">
        <v>1450</v>
      </c>
      <c r="G211" s="231">
        <v>1336</v>
      </c>
      <c r="H211" s="396">
        <f t="shared" si="62"/>
        <v>1336</v>
      </c>
      <c r="I211" s="200"/>
      <c r="J211" s="200"/>
      <c r="K211" s="200"/>
      <c r="L211" s="200"/>
      <c r="M211" s="374"/>
      <c r="N211" s="385"/>
      <c r="O211" s="345">
        <v>1100</v>
      </c>
      <c r="P211" s="345">
        <f t="shared" si="66"/>
        <v>1100</v>
      </c>
      <c r="Q211" s="176"/>
      <c r="R211" s="176"/>
      <c r="S211" s="478">
        <v>1100</v>
      </c>
      <c r="T211" s="478">
        <f t="shared" si="67"/>
        <v>1100</v>
      </c>
      <c r="U211" s="200"/>
      <c r="V211" s="200"/>
      <c r="W211" s="200"/>
      <c r="X211" s="200"/>
      <c r="Y211" s="200"/>
      <c r="Z211" s="200"/>
      <c r="AA211" s="200"/>
      <c r="AB211" s="200"/>
      <c r="AC211" s="200"/>
      <c r="AD211" s="200"/>
      <c r="AE211" s="200"/>
      <c r="AF211" s="200"/>
      <c r="AG211" s="339" t="s">
        <v>84</v>
      </c>
      <c r="AH211" s="173">
        <f t="shared" si="57"/>
        <v>0</v>
      </c>
    </row>
    <row r="212" spans="1:34" ht="82.5" hidden="1" x14ac:dyDescent="0.25">
      <c r="A212" s="188">
        <v>73</v>
      </c>
      <c r="B212" s="237" t="s">
        <v>1449</v>
      </c>
      <c r="C212" s="230" t="s">
        <v>1379</v>
      </c>
      <c r="D212" s="182" t="s">
        <v>1448</v>
      </c>
      <c r="E212" s="230" t="s">
        <v>461</v>
      </c>
      <c r="F212" s="230" t="s">
        <v>1447</v>
      </c>
      <c r="G212" s="231">
        <v>1391</v>
      </c>
      <c r="H212" s="396">
        <f t="shared" si="62"/>
        <v>1391</v>
      </c>
      <c r="I212" s="200"/>
      <c r="J212" s="200"/>
      <c r="K212" s="200"/>
      <c r="L212" s="200"/>
      <c r="M212" s="374"/>
      <c r="N212" s="385"/>
      <c r="O212" s="345">
        <v>1150</v>
      </c>
      <c r="P212" s="345">
        <f t="shared" si="66"/>
        <v>1150</v>
      </c>
      <c r="Q212" s="176"/>
      <c r="R212" s="176"/>
      <c r="S212" s="478">
        <v>1150</v>
      </c>
      <c r="T212" s="478">
        <f t="shared" si="67"/>
        <v>1150</v>
      </c>
      <c r="U212" s="200"/>
      <c r="V212" s="200"/>
      <c r="W212" s="200"/>
      <c r="X212" s="200"/>
      <c r="Y212" s="200"/>
      <c r="Z212" s="200"/>
      <c r="AA212" s="200"/>
      <c r="AB212" s="200"/>
      <c r="AC212" s="200"/>
      <c r="AD212" s="200"/>
      <c r="AE212" s="200"/>
      <c r="AF212" s="200"/>
      <c r="AG212" s="339" t="s">
        <v>84</v>
      </c>
      <c r="AH212" s="173">
        <f t="shared" ref="AH212:AH245" si="68">IF(T212-P212=0,0,1)</f>
        <v>0</v>
      </c>
    </row>
    <row r="213" spans="1:34" ht="82.5" hidden="1" x14ac:dyDescent="0.25">
      <c r="A213" s="188">
        <v>74</v>
      </c>
      <c r="B213" s="237" t="s">
        <v>1446</v>
      </c>
      <c r="C213" s="230" t="s">
        <v>1379</v>
      </c>
      <c r="D213" s="182" t="s">
        <v>1445</v>
      </c>
      <c r="E213" s="230" t="s">
        <v>461</v>
      </c>
      <c r="F213" s="230" t="s">
        <v>1444</v>
      </c>
      <c r="G213" s="231">
        <v>2204</v>
      </c>
      <c r="H213" s="396">
        <f t="shared" ref="H213:H244" si="69">G213</f>
        <v>2204</v>
      </c>
      <c r="I213" s="200"/>
      <c r="J213" s="200"/>
      <c r="K213" s="200"/>
      <c r="L213" s="200"/>
      <c r="M213" s="374"/>
      <c r="N213" s="385"/>
      <c r="O213" s="345">
        <v>1820</v>
      </c>
      <c r="P213" s="345">
        <f t="shared" si="66"/>
        <v>1820</v>
      </c>
      <c r="Q213" s="176"/>
      <c r="R213" s="176"/>
      <c r="S213" s="478">
        <v>1820</v>
      </c>
      <c r="T213" s="478">
        <f t="shared" si="67"/>
        <v>1820</v>
      </c>
      <c r="U213" s="200"/>
      <c r="V213" s="200"/>
      <c r="W213" s="200"/>
      <c r="X213" s="200"/>
      <c r="Y213" s="200"/>
      <c r="Z213" s="200"/>
      <c r="AA213" s="200"/>
      <c r="AB213" s="200"/>
      <c r="AC213" s="200"/>
      <c r="AD213" s="200"/>
      <c r="AE213" s="200"/>
      <c r="AF213" s="200"/>
      <c r="AG213" s="339" t="s">
        <v>84</v>
      </c>
      <c r="AH213" s="173">
        <f t="shared" si="68"/>
        <v>0</v>
      </c>
    </row>
    <row r="214" spans="1:34" ht="82.5" hidden="1" x14ac:dyDescent="0.25">
      <c r="A214" s="188">
        <v>75</v>
      </c>
      <c r="B214" s="237" t="s">
        <v>1443</v>
      </c>
      <c r="C214" s="230" t="s">
        <v>1379</v>
      </c>
      <c r="D214" s="182" t="s">
        <v>1442</v>
      </c>
      <c r="E214" s="230" t="s">
        <v>461</v>
      </c>
      <c r="F214" s="230" t="s">
        <v>1441</v>
      </c>
      <c r="G214" s="231">
        <v>1755</v>
      </c>
      <c r="H214" s="396">
        <f t="shared" si="69"/>
        <v>1755</v>
      </c>
      <c r="I214" s="200"/>
      <c r="J214" s="200"/>
      <c r="K214" s="200"/>
      <c r="L214" s="200"/>
      <c r="M214" s="374"/>
      <c r="N214" s="385"/>
      <c r="O214" s="345">
        <v>1450</v>
      </c>
      <c r="P214" s="345">
        <f t="shared" si="66"/>
        <v>1450</v>
      </c>
      <c r="Q214" s="176"/>
      <c r="R214" s="176"/>
      <c r="S214" s="478">
        <v>1450</v>
      </c>
      <c r="T214" s="478">
        <f t="shared" si="67"/>
        <v>1450</v>
      </c>
      <c r="U214" s="200"/>
      <c r="V214" s="200"/>
      <c r="W214" s="200"/>
      <c r="X214" s="200"/>
      <c r="Y214" s="200"/>
      <c r="Z214" s="200"/>
      <c r="AA214" s="200"/>
      <c r="AB214" s="200"/>
      <c r="AC214" s="200"/>
      <c r="AD214" s="200"/>
      <c r="AE214" s="200"/>
      <c r="AF214" s="200"/>
      <c r="AG214" s="339" t="s">
        <v>84</v>
      </c>
      <c r="AH214" s="173">
        <f t="shared" si="68"/>
        <v>0</v>
      </c>
    </row>
    <row r="215" spans="1:34" ht="82.5" hidden="1" x14ac:dyDescent="0.25">
      <c r="A215" s="188">
        <v>76</v>
      </c>
      <c r="B215" s="237" t="s">
        <v>1440</v>
      </c>
      <c r="C215" s="230" t="s">
        <v>1379</v>
      </c>
      <c r="D215" s="182" t="s">
        <v>1439</v>
      </c>
      <c r="E215" s="230" t="s">
        <v>461</v>
      </c>
      <c r="F215" s="230" t="s">
        <v>1438</v>
      </c>
      <c r="G215" s="231">
        <v>723</v>
      </c>
      <c r="H215" s="396">
        <f t="shared" si="69"/>
        <v>723</v>
      </c>
      <c r="I215" s="200"/>
      <c r="J215" s="200"/>
      <c r="K215" s="200"/>
      <c r="L215" s="200"/>
      <c r="M215" s="374"/>
      <c r="N215" s="385"/>
      <c r="O215" s="345">
        <v>600</v>
      </c>
      <c r="P215" s="345">
        <f t="shared" si="66"/>
        <v>600</v>
      </c>
      <c r="Q215" s="176"/>
      <c r="R215" s="176"/>
      <c r="S215" s="478">
        <v>600</v>
      </c>
      <c r="T215" s="478">
        <f t="shared" si="67"/>
        <v>600</v>
      </c>
      <c r="U215" s="200"/>
      <c r="V215" s="200"/>
      <c r="W215" s="200"/>
      <c r="X215" s="200"/>
      <c r="Y215" s="200"/>
      <c r="Z215" s="200"/>
      <c r="AA215" s="200"/>
      <c r="AB215" s="200"/>
      <c r="AC215" s="200"/>
      <c r="AD215" s="200"/>
      <c r="AE215" s="200"/>
      <c r="AF215" s="200"/>
      <c r="AG215" s="339" t="s">
        <v>84</v>
      </c>
      <c r="AH215" s="173">
        <f t="shared" si="68"/>
        <v>0</v>
      </c>
    </row>
    <row r="216" spans="1:34" ht="82.5" hidden="1" x14ac:dyDescent="0.25">
      <c r="A216" s="188">
        <v>77</v>
      </c>
      <c r="B216" s="237" t="s">
        <v>1437</v>
      </c>
      <c r="C216" s="230" t="s">
        <v>1379</v>
      </c>
      <c r="D216" s="182" t="s">
        <v>1436</v>
      </c>
      <c r="E216" s="230" t="s">
        <v>461</v>
      </c>
      <c r="F216" s="230" t="s">
        <v>1435</v>
      </c>
      <c r="G216" s="231">
        <v>967</v>
      </c>
      <c r="H216" s="396">
        <f t="shared" si="69"/>
        <v>967</v>
      </c>
      <c r="I216" s="200"/>
      <c r="J216" s="200"/>
      <c r="K216" s="200"/>
      <c r="L216" s="200"/>
      <c r="M216" s="374"/>
      <c r="N216" s="385"/>
      <c r="O216" s="345">
        <v>800</v>
      </c>
      <c r="P216" s="345">
        <f t="shared" si="66"/>
        <v>800</v>
      </c>
      <c r="Q216" s="176"/>
      <c r="R216" s="176"/>
      <c r="S216" s="478">
        <v>800</v>
      </c>
      <c r="T216" s="478">
        <f t="shared" si="67"/>
        <v>800</v>
      </c>
      <c r="U216" s="200"/>
      <c r="V216" s="200"/>
      <c r="W216" s="200"/>
      <c r="X216" s="200"/>
      <c r="Y216" s="200"/>
      <c r="Z216" s="200"/>
      <c r="AA216" s="200"/>
      <c r="AB216" s="200"/>
      <c r="AC216" s="200"/>
      <c r="AD216" s="200"/>
      <c r="AE216" s="200"/>
      <c r="AF216" s="200"/>
      <c r="AG216" s="339" t="s">
        <v>84</v>
      </c>
      <c r="AH216" s="173">
        <f t="shared" si="68"/>
        <v>0</v>
      </c>
    </row>
    <row r="217" spans="1:34" ht="82.5" hidden="1" x14ac:dyDescent="0.25">
      <c r="A217" s="188">
        <v>78</v>
      </c>
      <c r="B217" s="237" t="s">
        <v>1434</v>
      </c>
      <c r="C217" s="230" t="s">
        <v>1379</v>
      </c>
      <c r="D217" s="182" t="s">
        <v>1433</v>
      </c>
      <c r="E217" s="230" t="s">
        <v>461</v>
      </c>
      <c r="F217" s="230" t="s">
        <v>1432</v>
      </c>
      <c r="G217" s="231">
        <v>189</v>
      </c>
      <c r="H217" s="396">
        <f t="shared" si="69"/>
        <v>189</v>
      </c>
      <c r="I217" s="200"/>
      <c r="J217" s="200"/>
      <c r="K217" s="200"/>
      <c r="L217" s="200"/>
      <c r="M217" s="374"/>
      <c r="N217" s="385"/>
      <c r="O217" s="345">
        <v>150</v>
      </c>
      <c r="P217" s="345">
        <f t="shared" si="66"/>
        <v>150</v>
      </c>
      <c r="Q217" s="176"/>
      <c r="R217" s="176"/>
      <c r="S217" s="478">
        <v>150</v>
      </c>
      <c r="T217" s="478">
        <f t="shared" si="67"/>
        <v>150</v>
      </c>
      <c r="U217" s="200"/>
      <c r="V217" s="200"/>
      <c r="W217" s="200"/>
      <c r="X217" s="200"/>
      <c r="Y217" s="200"/>
      <c r="Z217" s="200"/>
      <c r="AA217" s="200"/>
      <c r="AB217" s="200"/>
      <c r="AC217" s="200"/>
      <c r="AD217" s="200"/>
      <c r="AE217" s="200"/>
      <c r="AF217" s="200"/>
      <c r="AG217" s="339" t="s">
        <v>84</v>
      </c>
      <c r="AH217" s="173">
        <f t="shared" si="68"/>
        <v>0</v>
      </c>
    </row>
    <row r="218" spans="1:34" ht="82.5" hidden="1" x14ac:dyDescent="0.25">
      <c r="A218" s="188">
        <v>79</v>
      </c>
      <c r="B218" s="237" t="s">
        <v>1431</v>
      </c>
      <c r="C218" s="230" t="s">
        <v>1379</v>
      </c>
      <c r="D218" s="182" t="s">
        <v>1430</v>
      </c>
      <c r="E218" s="230" t="s">
        <v>461</v>
      </c>
      <c r="F218" s="230" t="s">
        <v>1429</v>
      </c>
      <c r="G218" s="231">
        <v>400</v>
      </c>
      <c r="H218" s="396">
        <f t="shared" si="69"/>
        <v>400</v>
      </c>
      <c r="I218" s="200"/>
      <c r="J218" s="200"/>
      <c r="K218" s="200"/>
      <c r="L218" s="200"/>
      <c r="M218" s="374"/>
      <c r="N218" s="385"/>
      <c r="O218" s="345">
        <v>320</v>
      </c>
      <c r="P218" s="345">
        <f t="shared" si="66"/>
        <v>320</v>
      </c>
      <c r="Q218" s="176"/>
      <c r="R218" s="176"/>
      <c r="S218" s="478">
        <v>320</v>
      </c>
      <c r="T218" s="478">
        <f t="shared" si="67"/>
        <v>320</v>
      </c>
      <c r="U218" s="200"/>
      <c r="V218" s="200"/>
      <c r="W218" s="200"/>
      <c r="X218" s="200"/>
      <c r="Y218" s="200"/>
      <c r="Z218" s="200"/>
      <c r="AA218" s="200"/>
      <c r="AB218" s="200"/>
      <c r="AC218" s="200"/>
      <c r="AD218" s="200"/>
      <c r="AE218" s="200"/>
      <c r="AF218" s="200"/>
      <c r="AG218" s="339" t="s">
        <v>84</v>
      </c>
      <c r="AH218" s="173">
        <f t="shared" si="68"/>
        <v>0</v>
      </c>
    </row>
    <row r="219" spans="1:34" ht="82.5" hidden="1" x14ac:dyDescent="0.25">
      <c r="A219" s="188">
        <v>80</v>
      </c>
      <c r="B219" s="237" t="s">
        <v>1428</v>
      </c>
      <c r="C219" s="230" t="s">
        <v>1379</v>
      </c>
      <c r="D219" s="182" t="s">
        <v>1427</v>
      </c>
      <c r="E219" s="230" t="s">
        <v>461</v>
      </c>
      <c r="F219" s="230" t="s">
        <v>1426</v>
      </c>
      <c r="G219" s="231">
        <v>251</v>
      </c>
      <c r="H219" s="396">
        <f t="shared" si="69"/>
        <v>251</v>
      </c>
      <c r="I219" s="200"/>
      <c r="J219" s="200"/>
      <c r="K219" s="200"/>
      <c r="L219" s="200"/>
      <c r="M219" s="374"/>
      <c r="N219" s="385"/>
      <c r="O219" s="345">
        <v>200</v>
      </c>
      <c r="P219" s="345">
        <f t="shared" si="66"/>
        <v>200</v>
      </c>
      <c r="Q219" s="176"/>
      <c r="R219" s="176"/>
      <c r="S219" s="478">
        <v>200</v>
      </c>
      <c r="T219" s="478">
        <f t="shared" si="67"/>
        <v>200</v>
      </c>
      <c r="U219" s="200"/>
      <c r="V219" s="200"/>
      <c r="W219" s="200"/>
      <c r="X219" s="200"/>
      <c r="Y219" s="200"/>
      <c r="Z219" s="200"/>
      <c r="AA219" s="200"/>
      <c r="AB219" s="200"/>
      <c r="AC219" s="200"/>
      <c r="AD219" s="200"/>
      <c r="AE219" s="200"/>
      <c r="AF219" s="200"/>
      <c r="AG219" s="339" t="s">
        <v>84</v>
      </c>
      <c r="AH219" s="173">
        <f t="shared" si="68"/>
        <v>0</v>
      </c>
    </row>
    <row r="220" spans="1:34" ht="82.5" hidden="1" x14ac:dyDescent="0.25">
      <c r="A220" s="188">
        <v>81</v>
      </c>
      <c r="B220" s="237" t="s">
        <v>1425</v>
      </c>
      <c r="C220" s="230" t="s">
        <v>1379</v>
      </c>
      <c r="D220" s="182" t="s">
        <v>1424</v>
      </c>
      <c r="E220" s="230" t="s">
        <v>461</v>
      </c>
      <c r="F220" s="230" t="s">
        <v>1423</v>
      </c>
      <c r="G220" s="231">
        <v>209</v>
      </c>
      <c r="H220" s="396">
        <f t="shared" si="69"/>
        <v>209</v>
      </c>
      <c r="I220" s="200"/>
      <c r="J220" s="200"/>
      <c r="K220" s="200"/>
      <c r="L220" s="200"/>
      <c r="M220" s="374"/>
      <c r="N220" s="385"/>
      <c r="O220" s="345">
        <v>170</v>
      </c>
      <c r="P220" s="345">
        <f t="shared" si="66"/>
        <v>170</v>
      </c>
      <c r="Q220" s="176"/>
      <c r="R220" s="176"/>
      <c r="S220" s="478">
        <v>170</v>
      </c>
      <c r="T220" s="478">
        <f t="shared" si="67"/>
        <v>170</v>
      </c>
      <c r="U220" s="200"/>
      <c r="V220" s="200"/>
      <c r="W220" s="200"/>
      <c r="X220" s="200"/>
      <c r="Y220" s="200"/>
      <c r="Z220" s="200"/>
      <c r="AA220" s="200"/>
      <c r="AB220" s="200"/>
      <c r="AC220" s="200"/>
      <c r="AD220" s="200"/>
      <c r="AE220" s="200"/>
      <c r="AF220" s="200"/>
      <c r="AG220" s="339" t="s">
        <v>84</v>
      </c>
      <c r="AH220" s="173">
        <f t="shared" si="68"/>
        <v>0</v>
      </c>
    </row>
    <row r="221" spans="1:34" ht="82.5" hidden="1" x14ac:dyDescent="0.25">
      <c r="A221" s="188">
        <v>82</v>
      </c>
      <c r="B221" s="237" t="s">
        <v>1422</v>
      </c>
      <c r="C221" s="230" t="s">
        <v>1379</v>
      </c>
      <c r="D221" s="182" t="s">
        <v>1421</v>
      </c>
      <c r="E221" s="230" t="s">
        <v>461</v>
      </c>
      <c r="F221" s="230" t="s">
        <v>1420</v>
      </c>
      <c r="G221" s="231">
        <v>434</v>
      </c>
      <c r="H221" s="396">
        <f t="shared" si="69"/>
        <v>434</v>
      </c>
      <c r="I221" s="200"/>
      <c r="J221" s="200"/>
      <c r="K221" s="200"/>
      <c r="L221" s="200"/>
      <c r="M221" s="374"/>
      <c r="N221" s="385"/>
      <c r="O221" s="345">
        <v>350</v>
      </c>
      <c r="P221" s="345">
        <f t="shared" si="66"/>
        <v>350</v>
      </c>
      <c r="Q221" s="176"/>
      <c r="R221" s="176"/>
      <c r="S221" s="478">
        <v>350</v>
      </c>
      <c r="T221" s="478">
        <f t="shared" si="67"/>
        <v>350</v>
      </c>
      <c r="U221" s="200"/>
      <c r="V221" s="200"/>
      <c r="W221" s="200"/>
      <c r="X221" s="200"/>
      <c r="Y221" s="200"/>
      <c r="Z221" s="200"/>
      <c r="AA221" s="200"/>
      <c r="AB221" s="200"/>
      <c r="AC221" s="200"/>
      <c r="AD221" s="200"/>
      <c r="AE221" s="200"/>
      <c r="AF221" s="200"/>
      <c r="AG221" s="339" t="s">
        <v>84</v>
      </c>
      <c r="AH221" s="173">
        <f t="shared" si="68"/>
        <v>0</v>
      </c>
    </row>
    <row r="222" spans="1:34" ht="82.5" hidden="1" x14ac:dyDescent="0.25">
      <c r="A222" s="188">
        <v>83</v>
      </c>
      <c r="B222" s="237" t="s">
        <v>1419</v>
      </c>
      <c r="C222" s="230" t="s">
        <v>1379</v>
      </c>
      <c r="D222" s="182" t="s">
        <v>1418</v>
      </c>
      <c r="E222" s="230" t="s">
        <v>461</v>
      </c>
      <c r="F222" s="230" t="s">
        <v>1417</v>
      </c>
      <c r="G222" s="231">
        <v>662</v>
      </c>
      <c r="H222" s="396">
        <f t="shared" si="69"/>
        <v>662</v>
      </c>
      <c r="I222" s="200"/>
      <c r="J222" s="200"/>
      <c r="K222" s="200"/>
      <c r="L222" s="200"/>
      <c r="M222" s="374"/>
      <c r="N222" s="385"/>
      <c r="O222" s="345">
        <v>530</v>
      </c>
      <c r="P222" s="345">
        <f t="shared" si="66"/>
        <v>530</v>
      </c>
      <c r="Q222" s="176"/>
      <c r="R222" s="176"/>
      <c r="S222" s="478">
        <v>530</v>
      </c>
      <c r="T222" s="478">
        <f t="shared" si="67"/>
        <v>530</v>
      </c>
      <c r="U222" s="200"/>
      <c r="V222" s="200"/>
      <c r="W222" s="200"/>
      <c r="X222" s="200"/>
      <c r="Y222" s="200"/>
      <c r="Z222" s="200"/>
      <c r="AA222" s="200"/>
      <c r="AB222" s="200"/>
      <c r="AC222" s="200"/>
      <c r="AD222" s="200"/>
      <c r="AE222" s="200"/>
      <c r="AF222" s="200"/>
      <c r="AG222" s="339" t="s">
        <v>84</v>
      </c>
      <c r="AH222" s="173">
        <f t="shared" si="68"/>
        <v>0</v>
      </c>
    </row>
    <row r="223" spans="1:34" ht="82.5" hidden="1" x14ac:dyDescent="0.25">
      <c r="A223" s="188">
        <v>84</v>
      </c>
      <c r="B223" s="237" t="s">
        <v>1416</v>
      </c>
      <c r="C223" s="230" t="s">
        <v>1379</v>
      </c>
      <c r="D223" s="182" t="s">
        <v>1415</v>
      </c>
      <c r="E223" s="230" t="s">
        <v>461</v>
      </c>
      <c r="F223" s="230" t="s">
        <v>1414</v>
      </c>
      <c r="G223" s="231">
        <v>1580.249</v>
      </c>
      <c r="H223" s="396">
        <f t="shared" si="69"/>
        <v>1580.249</v>
      </c>
      <c r="I223" s="200"/>
      <c r="J223" s="200"/>
      <c r="K223" s="200"/>
      <c r="L223" s="200"/>
      <c r="M223" s="374"/>
      <c r="N223" s="385"/>
      <c r="O223" s="345">
        <v>1350</v>
      </c>
      <c r="P223" s="345">
        <f t="shared" si="66"/>
        <v>1350</v>
      </c>
      <c r="Q223" s="176"/>
      <c r="R223" s="176"/>
      <c r="S223" s="478">
        <v>1350</v>
      </c>
      <c r="T223" s="478">
        <f t="shared" si="67"/>
        <v>1350</v>
      </c>
      <c r="U223" s="200"/>
      <c r="V223" s="200"/>
      <c r="W223" s="200"/>
      <c r="X223" s="200"/>
      <c r="Y223" s="200"/>
      <c r="Z223" s="200"/>
      <c r="AA223" s="200"/>
      <c r="AB223" s="200"/>
      <c r="AC223" s="200"/>
      <c r="AD223" s="200"/>
      <c r="AE223" s="200"/>
      <c r="AF223" s="200"/>
      <c r="AG223" s="339" t="s">
        <v>84</v>
      </c>
      <c r="AH223" s="173">
        <f t="shared" si="68"/>
        <v>0</v>
      </c>
    </row>
    <row r="224" spans="1:34" ht="82.5" hidden="1" x14ac:dyDescent="0.25">
      <c r="A224" s="188">
        <v>85</v>
      </c>
      <c r="B224" s="237" t="s">
        <v>1413</v>
      </c>
      <c r="C224" s="230" t="s">
        <v>1379</v>
      </c>
      <c r="D224" s="182" t="s">
        <v>1412</v>
      </c>
      <c r="E224" s="230" t="s">
        <v>461</v>
      </c>
      <c r="F224" s="230" t="s">
        <v>1411</v>
      </c>
      <c r="G224" s="231">
        <v>1634</v>
      </c>
      <c r="H224" s="396">
        <f t="shared" si="69"/>
        <v>1634</v>
      </c>
      <c r="I224" s="200"/>
      <c r="J224" s="200"/>
      <c r="K224" s="200"/>
      <c r="L224" s="200"/>
      <c r="M224" s="374"/>
      <c r="N224" s="385"/>
      <c r="O224" s="345">
        <v>1390</v>
      </c>
      <c r="P224" s="345">
        <f t="shared" si="66"/>
        <v>1390</v>
      </c>
      <c r="Q224" s="176"/>
      <c r="R224" s="176"/>
      <c r="S224" s="478">
        <v>1390</v>
      </c>
      <c r="T224" s="478">
        <f t="shared" si="67"/>
        <v>1390</v>
      </c>
      <c r="U224" s="200"/>
      <c r="V224" s="200"/>
      <c r="W224" s="200"/>
      <c r="X224" s="200"/>
      <c r="Y224" s="200"/>
      <c r="Z224" s="200"/>
      <c r="AA224" s="200"/>
      <c r="AB224" s="200"/>
      <c r="AC224" s="200"/>
      <c r="AD224" s="200"/>
      <c r="AE224" s="200"/>
      <c r="AF224" s="200"/>
      <c r="AG224" s="339" t="s">
        <v>84</v>
      </c>
      <c r="AH224" s="173">
        <f t="shared" si="68"/>
        <v>0</v>
      </c>
    </row>
    <row r="225" spans="1:34" ht="82.5" hidden="1" x14ac:dyDescent="0.25">
      <c r="A225" s="188">
        <v>86</v>
      </c>
      <c r="B225" s="237" t="s">
        <v>1410</v>
      </c>
      <c r="C225" s="230" t="s">
        <v>1379</v>
      </c>
      <c r="D225" s="182" t="s">
        <v>1409</v>
      </c>
      <c r="E225" s="230" t="s">
        <v>461</v>
      </c>
      <c r="F225" s="230" t="s">
        <v>1408</v>
      </c>
      <c r="G225" s="231">
        <v>593</v>
      </c>
      <c r="H225" s="396">
        <f t="shared" si="69"/>
        <v>593</v>
      </c>
      <c r="I225" s="200"/>
      <c r="J225" s="200"/>
      <c r="K225" s="200"/>
      <c r="L225" s="200"/>
      <c r="M225" s="374"/>
      <c r="N225" s="385"/>
      <c r="O225" s="345">
        <v>500</v>
      </c>
      <c r="P225" s="345">
        <f t="shared" si="66"/>
        <v>500</v>
      </c>
      <c r="Q225" s="176"/>
      <c r="R225" s="176"/>
      <c r="S225" s="478">
        <v>500</v>
      </c>
      <c r="T225" s="478">
        <f t="shared" si="67"/>
        <v>500</v>
      </c>
      <c r="U225" s="200"/>
      <c r="V225" s="200"/>
      <c r="W225" s="200"/>
      <c r="X225" s="200"/>
      <c r="Y225" s="200"/>
      <c r="Z225" s="200"/>
      <c r="AA225" s="200"/>
      <c r="AB225" s="200"/>
      <c r="AC225" s="200"/>
      <c r="AD225" s="200"/>
      <c r="AE225" s="200"/>
      <c r="AF225" s="200"/>
      <c r="AG225" s="339" t="s">
        <v>84</v>
      </c>
      <c r="AH225" s="173">
        <f t="shared" si="68"/>
        <v>0</v>
      </c>
    </row>
    <row r="226" spans="1:34" ht="82.5" hidden="1" x14ac:dyDescent="0.25">
      <c r="A226" s="188">
        <v>87</v>
      </c>
      <c r="B226" s="237" t="s">
        <v>1407</v>
      </c>
      <c r="C226" s="230" t="s">
        <v>1379</v>
      </c>
      <c r="D226" s="182" t="s">
        <v>1406</v>
      </c>
      <c r="E226" s="230" t="s">
        <v>461</v>
      </c>
      <c r="F226" s="230" t="s">
        <v>1405</v>
      </c>
      <c r="G226" s="231">
        <v>1138</v>
      </c>
      <c r="H226" s="396">
        <f t="shared" si="69"/>
        <v>1138</v>
      </c>
      <c r="I226" s="200"/>
      <c r="J226" s="200"/>
      <c r="K226" s="200"/>
      <c r="L226" s="200"/>
      <c r="M226" s="374"/>
      <c r="N226" s="385"/>
      <c r="O226" s="345">
        <v>940</v>
      </c>
      <c r="P226" s="345">
        <f t="shared" si="66"/>
        <v>940</v>
      </c>
      <c r="Q226" s="176"/>
      <c r="R226" s="176"/>
      <c r="S226" s="478">
        <v>940</v>
      </c>
      <c r="T226" s="478">
        <f t="shared" si="67"/>
        <v>940</v>
      </c>
      <c r="U226" s="200"/>
      <c r="V226" s="200"/>
      <c r="W226" s="200"/>
      <c r="X226" s="200"/>
      <c r="Y226" s="200"/>
      <c r="Z226" s="200"/>
      <c r="AA226" s="200"/>
      <c r="AB226" s="200"/>
      <c r="AC226" s="200"/>
      <c r="AD226" s="200"/>
      <c r="AE226" s="200"/>
      <c r="AF226" s="200"/>
      <c r="AG226" s="339" t="s">
        <v>84</v>
      </c>
      <c r="AH226" s="173">
        <f t="shared" si="68"/>
        <v>0</v>
      </c>
    </row>
    <row r="227" spans="1:34" ht="82.5" hidden="1" x14ac:dyDescent="0.25">
      <c r="A227" s="188">
        <v>88</v>
      </c>
      <c r="B227" s="237" t="s">
        <v>1404</v>
      </c>
      <c r="C227" s="230" t="s">
        <v>1379</v>
      </c>
      <c r="D227" s="182" t="s">
        <v>1403</v>
      </c>
      <c r="E227" s="230" t="s">
        <v>461</v>
      </c>
      <c r="F227" s="230" t="s">
        <v>1402</v>
      </c>
      <c r="G227" s="231">
        <v>662</v>
      </c>
      <c r="H227" s="396">
        <f t="shared" si="69"/>
        <v>662</v>
      </c>
      <c r="I227" s="200"/>
      <c r="J227" s="200"/>
      <c r="K227" s="200"/>
      <c r="L227" s="200"/>
      <c r="M227" s="374"/>
      <c r="N227" s="385"/>
      <c r="O227" s="345">
        <v>550</v>
      </c>
      <c r="P227" s="345">
        <f t="shared" si="66"/>
        <v>550</v>
      </c>
      <c r="Q227" s="176"/>
      <c r="R227" s="176"/>
      <c r="S227" s="478">
        <v>550</v>
      </c>
      <c r="T227" s="478">
        <f t="shared" si="67"/>
        <v>550</v>
      </c>
      <c r="U227" s="200"/>
      <c r="V227" s="200"/>
      <c r="W227" s="200"/>
      <c r="X227" s="200"/>
      <c r="Y227" s="200"/>
      <c r="Z227" s="200"/>
      <c r="AA227" s="200"/>
      <c r="AB227" s="200"/>
      <c r="AC227" s="200"/>
      <c r="AD227" s="200"/>
      <c r="AE227" s="200"/>
      <c r="AF227" s="200"/>
      <c r="AG227" s="339" t="s">
        <v>84</v>
      </c>
      <c r="AH227" s="173">
        <f t="shared" si="68"/>
        <v>0</v>
      </c>
    </row>
    <row r="228" spans="1:34" ht="82.5" hidden="1" x14ac:dyDescent="0.25">
      <c r="A228" s="188">
        <v>89</v>
      </c>
      <c r="B228" s="237" t="s">
        <v>1401</v>
      </c>
      <c r="C228" s="230" t="s">
        <v>1379</v>
      </c>
      <c r="D228" s="182" t="s">
        <v>1400</v>
      </c>
      <c r="E228" s="230" t="s">
        <v>461</v>
      </c>
      <c r="F228" s="230" t="s">
        <v>1399</v>
      </c>
      <c r="G228" s="231">
        <v>894</v>
      </c>
      <c r="H228" s="396">
        <f t="shared" si="69"/>
        <v>894</v>
      </c>
      <c r="I228" s="200"/>
      <c r="J228" s="200"/>
      <c r="K228" s="200"/>
      <c r="L228" s="200"/>
      <c r="M228" s="374"/>
      <c r="N228" s="385"/>
      <c r="O228" s="345">
        <v>740</v>
      </c>
      <c r="P228" s="345">
        <f t="shared" si="66"/>
        <v>740</v>
      </c>
      <c r="Q228" s="176"/>
      <c r="R228" s="176"/>
      <c r="S228" s="478">
        <v>740</v>
      </c>
      <c r="T228" s="478">
        <f t="shared" si="67"/>
        <v>740</v>
      </c>
      <c r="U228" s="200"/>
      <c r="V228" s="200"/>
      <c r="W228" s="200"/>
      <c r="X228" s="200"/>
      <c r="Y228" s="200"/>
      <c r="Z228" s="200"/>
      <c r="AA228" s="200"/>
      <c r="AB228" s="200"/>
      <c r="AC228" s="200"/>
      <c r="AD228" s="200"/>
      <c r="AE228" s="200"/>
      <c r="AF228" s="200"/>
      <c r="AG228" s="339" t="s">
        <v>84</v>
      </c>
      <c r="AH228" s="173">
        <f t="shared" si="68"/>
        <v>0</v>
      </c>
    </row>
    <row r="229" spans="1:34" ht="82.5" hidden="1" x14ac:dyDescent="0.25">
      <c r="A229" s="188">
        <v>90</v>
      </c>
      <c r="B229" s="237" t="s">
        <v>1398</v>
      </c>
      <c r="C229" s="230" t="s">
        <v>1379</v>
      </c>
      <c r="D229" s="182" t="s">
        <v>1397</v>
      </c>
      <c r="E229" s="230" t="s">
        <v>461</v>
      </c>
      <c r="F229" s="230" t="s">
        <v>1396</v>
      </c>
      <c r="G229" s="231">
        <v>258</v>
      </c>
      <c r="H229" s="396">
        <f t="shared" si="69"/>
        <v>258</v>
      </c>
      <c r="I229" s="200"/>
      <c r="J229" s="200"/>
      <c r="K229" s="200"/>
      <c r="L229" s="200"/>
      <c r="M229" s="374"/>
      <c r="N229" s="385"/>
      <c r="O229" s="345">
        <v>210</v>
      </c>
      <c r="P229" s="345">
        <f t="shared" si="66"/>
        <v>210</v>
      </c>
      <c r="Q229" s="176"/>
      <c r="R229" s="176"/>
      <c r="S229" s="478">
        <v>210</v>
      </c>
      <c r="T229" s="478">
        <f t="shared" si="67"/>
        <v>210</v>
      </c>
      <c r="U229" s="200"/>
      <c r="V229" s="200"/>
      <c r="W229" s="200"/>
      <c r="X229" s="200"/>
      <c r="Y229" s="200"/>
      <c r="Z229" s="200"/>
      <c r="AA229" s="200"/>
      <c r="AB229" s="200"/>
      <c r="AC229" s="200"/>
      <c r="AD229" s="200"/>
      <c r="AE229" s="200"/>
      <c r="AF229" s="200"/>
      <c r="AG229" s="339" t="s">
        <v>84</v>
      </c>
      <c r="AH229" s="173">
        <f t="shared" si="68"/>
        <v>0</v>
      </c>
    </row>
    <row r="230" spans="1:34" ht="82.5" hidden="1" x14ac:dyDescent="0.25">
      <c r="A230" s="188">
        <v>91</v>
      </c>
      <c r="B230" s="237" t="s">
        <v>1395</v>
      </c>
      <c r="C230" s="230" t="s">
        <v>1379</v>
      </c>
      <c r="D230" s="182" t="s">
        <v>1394</v>
      </c>
      <c r="E230" s="230" t="s">
        <v>461</v>
      </c>
      <c r="F230" s="230" t="s">
        <v>1393</v>
      </c>
      <c r="G230" s="231">
        <v>549</v>
      </c>
      <c r="H230" s="396">
        <f t="shared" si="69"/>
        <v>549</v>
      </c>
      <c r="I230" s="200"/>
      <c r="J230" s="200"/>
      <c r="K230" s="200"/>
      <c r="L230" s="200"/>
      <c r="M230" s="374"/>
      <c r="N230" s="385"/>
      <c r="O230" s="345">
        <v>450</v>
      </c>
      <c r="P230" s="345">
        <f t="shared" si="66"/>
        <v>450</v>
      </c>
      <c r="Q230" s="176"/>
      <c r="R230" s="176"/>
      <c r="S230" s="478">
        <v>450</v>
      </c>
      <c r="T230" s="478">
        <f t="shared" si="67"/>
        <v>450</v>
      </c>
      <c r="U230" s="200"/>
      <c r="V230" s="200"/>
      <c r="W230" s="200"/>
      <c r="X230" s="200"/>
      <c r="Y230" s="200"/>
      <c r="Z230" s="200"/>
      <c r="AA230" s="200"/>
      <c r="AB230" s="200"/>
      <c r="AC230" s="200"/>
      <c r="AD230" s="200"/>
      <c r="AE230" s="200"/>
      <c r="AF230" s="200"/>
      <c r="AG230" s="339" t="s">
        <v>84</v>
      </c>
      <c r="AH230" s="173">
        <f t="shared" si="68"/>
        <v>0</v>
      </c>
    </row>
    <row r="231" spans="1:34" ht="82.5" hidden="1" x14ac:dyDescent="0.25">
      <c r="A231" s="188">
        <v>92</v>
      </c>
      <c r="B231" s="237" t="s">
        <v>1392</v>
      </c>
      <c r="C231" s="230" t="s">
        <v>1379</v>
      </c>
      <c r="D231" s="182" t="s">
        <v>1391</v>
      </c>
      <c r="E231" s="230" t="s">
        <v>461</v>
      </c>
      <c r="F231" s="230" t="s">
        <v>1390</v>
      </c>
      <c r="G231" s="231">
        <v>351</v>
      </c>
      <c r="H231" s="396">
        <f t="shared" si="69"/>
        <v>351</v>
      </c>
      <c r="I231" s="200"/>
      <c r="J231" s="200"/>
      <c r="K231" s="200"/>
      <c r="L231" s="200"/>
      <c r="M231" s="374"/>
      <c r="N231" s="385"/>
      <c r="O231" s="345">
        <v>290</v>
      </c>
      <c r="P231" s="345">
        <f t="shared" si="66"/>
        <v>290</v>
      </c>
      <c r="Q231" s="176"/>
      <c r="R231" s="176"/>
      <c r="S231" s="478">
        <v>290</v>
      </c>
      <c r="T231" s="478">
        <f t="shared" si="67"/>
        <v>290</v>
      </c>
      <c r="U231" s="200"/>
      <c r="V231" s="200"/>
      <c r="W231" s="200"/>
      <c r="X231" s="200"/>
      <c r="Y231" s="200"/>
      <c r="Z231" s="200"/>
      <c r="AA231" s="200"/>
      <c r="AB231" s="200"/>
      <c r="AC231" s="200"/>
      <c r="AD231" s="200"/>
      <c r="AE231" s="200"/>
      <c r="AF231" s="200"/>
      <c r="AG231" s="339" t="s">
        <v>84</v>
      </c>
      <c r="AH231" s="173">
        <f t="shared" si="68"/>
        <v>0</v>
      </c>
    </row>
    <row r="232" spans="1:34" ht="82.5" hidden="1" x14ac:dyDescent="0.25">
      <c r="A232" s="188">
        <v>93</v>
      </c>
      <c r="B232" s="237" t="s">
        <v>1389</v>
      </c>
      <c r="C232" s="230" t="s">
        <v>1379</v>
      </c>
      <c r="D232" s="182" t="s">
        <v>1388</v>
      </c>
      <c r="E232" s="230" t="s">
        <v>461</v>
      </c>
      <c r="F232" s="230" t="s">
        <v>1387</v>
      </c>
      <c r="G232" s="231">
        <v>398</v>
      </c>
      <c r="H232" s="396">
        <f t="shared" si="69"/>
        <v>398</v>
      </c>
      <c r="I232" s="200"/>
      <c r="J232" s="200"/>
      <c r="K232" s="200"/>
      <c r="L232" s="200"/>
      <c r="M232" s="374"/>
      <c r="N232" s="385"/>
      <c r="O232" s="345">
        <v>330</v>
      </c>
      <c r="P232" s="345">
        <f t="shared" si="66"/>
        <v>330</v>
      </c>
      <c r="Q232" s="176"/>
      <c r="R232" s="176"/>
      <c r="S232" s="478">
        <v>330</v>
      </c>
      <c r="T232" s="478">
        <f t="shared" si="67"/>
        <v>330</v>
      </c>
      <c r="U232" s="200"/>
      <c r="V232" s="200"/>
      <c r="W232" s="200"/>
      <c r="X232" s="200"/>
      <c r="Y232" s="200"/>
      <c r="Z232" s="200"/>
      <c r="AA232" s="200"/>
      <c r="AB232" s="200"/>
      <c r="AC232" s="200"/>
      <c r="AD232" s="200"/>
      <c r="AE232" s="200"/>
      <c r="AF232" s="200"/>
      <c r="AG232" s="339" t="s">
        <v>84</v>
      </c>
      <c r="AH232" s="173">
        <f t="shared" si="68"/>
        <v>0</v>
      </c>
    </row>
    <row r="233" spans="1:34" ht="82.5" hidden="1" x14ac:dyDescent="0.25">
      <c r="A233" s="188">
        <v>94</v>
      </c>
      <c r="B233" s="237" t="s">
        <v>1386</v>
      </c>
      <c r="C233" s="230" t="s">
        <v>1379</v>
      </c>
      <c r="D233" s="182" t="s">
        <v>1385</v>
      </c>
      <c r="E233" s="230" t="s">
        <v>461</v>
      </c>
      <c r="F233" s="230" t="s">
        <v>1384</v>
      </c>
      <c r="G233" s="231">
        <v>324</v>
      </c>
      <c r="H233" s="396">
        <f t="shared" si="69"/>
        <v>324</v>
      </c>
      <c r="I233" s="200"/>
      <c r="J233" s="200"/>
      <c r="K233" s="200"/>
      <c r="L233" s="200"/>
      <c r="M233" s="374"/>
      <c r="N233" s="385"/>
      <c r="O233" s="345">
        <v>270</v>
      </c>
      <c r="P233" s="345">
        <f t="shared" si="66"/>
        <v>270</v>
      </c>
      <c r="Q233" s="176"/>
      <c r="R233" s="176"/>
      <c r="S233" s="478">
        <v>270</v>
      </c>
      <c r="T233" s="478">
        <f t="shared" si="67"/>
        <v>270</v>
      </c>
      <c r="U233" s="200"/>
      <c r="V233" s="200"/>
      <c r="W233" s="200"/>
      <c r="X233" s="200"/>
      <c r="Y233" s="200"/>
      <c r="Z233" s="200"/>
      <c r="AA233" s="200"/>
      <c r="AB233" s="200"/>
      <c r="AC233" s="200"/>
      <c r="AD233" s="200"/>
      <c r="AE233" s="200"/>
      <c r="AF233" s="200"/>
      <c r="AG233" s="339" t="s">
        <v>84</v>
      </c>
      <c r="AH233" s="173">
        <f t="shared" si="68"/>
        <v>0</v>
      </c>
    </row>
    <row r="234" spans="1:34" ht="82.5" hidden="1" x14ac:dyDescent="0.25">
      <c r="A234" s="188">
        <v>95</v>
      </c>
      <c r="B234" s="237" t="s">
        <v>1383</v>
      </c>
      <c r="C234" s="230" t="s">
        <v>1379</v>
      </c>
      <c r="D234" s="182" t="s">
        <v>1382</v>
      </c>
      <c r="E234" s="230" t="s">
        <v>461</v>
      </c>
      <c r="F234" s="230" t="s">
        <v>1381</v>
      </c>
      <c r="G234" s="231">
        <v>161</v>
      </c>
      <c r="H234" s="396">
        <f t="shared" si="69"/>
        <v>161</v>
      </c>
      <c r="I234" s="200"/>
      <c r="J234" s="200"/>
      <c r="K234" s="200"/>
      <c r="L234" s="200"/>
      <c r="M234" s="374"/>
      <c r="N234" s="385"/>
      <c r="O234" s="345">
        <v>130</v>
      </c>
      <c r="P234" s="345">
        <f t="shared" si="66"/>
        <v>130</v>
      </c>
      <c r="Q234" s="176"/>
      <c r="R234" s="176"/>
      <c r="S234" s="478">
        <v>130</v>
      </c>
      <c r="T234" s="478">
        <f t="shared" si="67"/>
        <v>130</v>
      </c>
      <c r="U234" s="200"/>
      <c r="V234" s="200"/>
      <c r="W234" s="200"/>
      <c r="X234" s="200"/>
      <c r="Y234" s="200"/>
      <c r="Z234" s="200"/>
      <c r="AA234" s="200"/>
      <c r="AB234" s="200"/>
      <c r="AC234" s="200"/>
      <c r="AD234" s="200"/>
      <c r="AE234" s="200"/>
      <c r="AF234" s="200"/>
      <c r="AG234" s="339" t="s">
        <v>84</v>
      </c>
      <c r="AH234" s="173">
        <f t="shared" si="68"/>
        <v>0</v>
      </c>
    </row>
    <row r="235" spans="1:34" ht="82.5" hidden="1" x14ac:dyDescent="0.25">
      <c r="A235" s="188">
        <v>96</v>
      </c>
      <c r="B235" s="237" t="s">
        <v>1380</v>
      </c>
      <c r="C235" s="230" t="s">
        <v>1379</v>
      </c>
      <c r="D235" s="182" t="s">
        <v>1378</v>
      </c>
      <c r="E235" s="230" t="s">
        <v>461</v>
      </c>
      <c r="F235" s="230" t="s">
        <v>1377</v>
      </c>
      <c r="G235" s="231">
        <v>162</v>
      </c>
      <c r="H235" s="396">
        <f t="shared" si="69"/>
        <v>162</v>
      </c>
      <c r="I235" s="200"/>
      <c r="J235" s="200"/>
      <c r="K235" s="200"/>
      <c r="L235" s="200"/>
      <c r="M235" s="374"/>
      <c r="N235" s="385"/>
      <c r="O235" s="345">
        <v>130</v>
      </c>
      <c r="P235" s="345">
        <f t="shared" si="66"/>
        <v>130</v>
      </c>
      <c r="Q235" s="176"/>
      <c r="R235" s="176"/>
      <c r="S235" s="478">
        <v>130</v>
      </c>
      <c r="T235" s="478">
        <f t="shared" si="67"/>
        <v>130</v>
      </c>
      <c r="U235" s="200"/>
      <c r="V235" s="200"/>
      <c r="W235" s="200"/>
      <c r="X235" s="200"/>
      <c r="Y235" s="200"/>
      <c r="Z235" s="200"/>
      <c r="AA235" s="200"/>
      <c r="AB235" s="200"/>
      <c r="AC235" s="200"/>
      <c r="AD235" s="200"/>
      <c r="AE235" s="200"/>
      <c r="AF235" s="200"/>
      <c r="AG235" s="339" t="s">
        <v>84</v>
      </c>
      <c r="AH235" s="173">
        <f t="shared" si="68"/>
        <v>0</v>
      </c>
    </row>
    <row r="236" spans="1:34" ht="82.5" hidden="1" x14ac:dyDescent="0.25">
      <c r="A236" s="188">
        <v>97</v>
      </c>
      <c r="B236" s="237" t="s">
        <v>1376</v>
      </c>
      <c r="C236" s="230" t="s">
        <v>1355</v>
      </c>
      <c r="D236" s="182" t="s">
        <v>1375</v>
      </c>
      <c r="E236" s="230" t="s">
        <v>461</v>
      </c>
      <c r="F236" s="230" t="s">
        <v>1374</v>
      </c>
      <c r="G236" s="231">
        <v>427</v>
      </c>
      <c r="H236" s="396">
        <f t="shared" si="69"/>
        <v>427</v>
      </c>
      <c r="I236" s="200"/>
      <c r="J236" s="200"/>
      <c r="K236" s="200"/>
      <c r="L236" s="200"/>
      <c r="M236" s="374"/>
      <c r="N236" s="385"/>
      <c r="O236" s="345">
        <v>340</v>
      </c>
      <c r="P236" s="345">
        <f t="shared" si="66"/>
        <v>340</v>
      </c>
      <c r="Q236" s="176"/>
      <c r="R236" s="176"/>
      <c r="S236" s="478">
        <v>340</v>
      </c>
      <c r="T236" s="478">
        <f t="shared" si="67"/>
        <v>340</v>
      </c>
      <c r="U236" s="200"/>
      <c r="V236" s="200"/>
      <c r="W236" s="200"/>
      <c r="X236" s="200"/>
      <c r="Y236" s="200"/>
      <c r="Z236" s="200"/>
      <c r="AA236" s="200"/>
      <c r="AB236" s="200"/>
      <c r="AC236" s="200"/>
      <c r="AD236" s="200"/>
      <c r="AE236" s="200"/>
      <c r="AF236" s="200"/>
      <c r="AG236" s="339" t="s">
        <v>84</v>
      </c>
      <c r="AH236" s="173">
        <f t="shared" si="68"/>
        <v>0</v>
      </c>
    </row>
    <row r="237" spans="1:34" ht="82.5" hidden="1" x14ac:dyDescent="0.25">
      <c r="A237" s="188">
        <v>98</v>
      </c>
      <c r="B237" s="237" t="s">
        <v>1373</v>
      </c>
      <c r="C237" s="230" t="s">
        <v>1372</v>
      </c>
      <c r="D237" s="182"/>
      <c r="E237" s="230" t="s">
        <v>461</v>
      </c>
      <c r="F237" s="230" t="s">
        <v>1371</v>
      </c>
      <c r="G237" s="231">
        <v>2715</v>
      </c>
      <c r="H237" s="396">
        <f t="shared" si="69"/>
        <v>2715</v>
      </c>
      <c r="I237" s="200"/>
      <c r="J237" s="200"/>
      <c r="K237" s="200"/>
      <c r="L237" s="200"/>
      <c r="M237" s="374"/>
      <c r="N237" s="385"/>
      <c r="O237" s="345">
        <v>2200</v>
      </c>
      <c r="P237" s="345">
        <f t="shared" si="66"/>
        <v>2200</v>
      </c>
      <c r="Q237" s="176"/>
      <c r="R237" s="176"/>
      <c r="S237" s="478">
        <v>2200</v>
      </c>
      <c r="T237" s="478">
        <f t="shared" si="67"/>
        <v>2200</v>
      </c>
      <c r="U237" s="200"/>
      <c r="V237" s="200"/>
      <c r="W237" s="200"/>
      <c r="X237" s="200"/>
      <c r="Y237" s="200"/>
      <c r="Z237" s="200"/>
      <c r="AA237" s="200"/>
      <c r="AB237" s="200"/>
      <c r="AC237" s="200"/>
      <c r="AD237" s="200"/>
      <c r="AE237" s="200"/>
      <c r="AF237" s="200"/>
      <c r="AG237" s="339" t="s">
        <v>84</v>
      </c>
      <c r="AH237" s="173">
        <f t="shared" si="68"/>
        <v>0</v>
      </c>
    </row>
    <row r="238" spans="1:34" ht="82.5" hidden="1" x14ac:dyDescent="0.25">
      <c r="A238" s="188">
        <v>99</v>
      </c>
      <c r="B238" s="237" t="s">
        <v>1370</v>
      </c>
      <c r="C238" s="230" t="s">
        <v>1369</v>
      </c>
      <c r="D238" s="182"/>
      <c r="E238" s="230" t="s">
        <v>461</v>
      </c>
      <c r="F238" s="230" t="s">
        <v>1368</v>
      </c>
      <c r="G238" s="231">
        <v>2307</v>
      </c>
      <c r="H238" s="396">
        <f t="shared" si="69"/>
        <v>2307</v>
      </c>
      <c r="I238" s="200"/>
      <c r="J238" s="200"/>
      <c r="K238" s="200"/>
      <c r="L238" s="200"/>
      <c r="M238" s="374"/>
      <c r="N238" s="385"/>
      <c r="O238" s="345">
        <v>1870</v>
      </c>
      <c r="P238" s="345">
        <f t="shared" si="66"/>
        <v>1870</v>
      </c>
      <c r="Q238" s="176"/>
      <c r="R238" s="176"/>
      <c r="S238" s="478">
        <v>1870</v>
      </c>
      <c r="T238" s="478">
        <f t="shared" si="67"/>
        <v>1870</v>
      </c>
      <c r="U238" s="200"/>
      <c r="V238" s="200"/>
      <c r="W238" s="200"/>
      <c r="X238" s="200"/>
      <c r="Y238" s="200"/>
      <c r="Z238" s="200"/>
      <c r="AA238" s="200"/>
      <c r="AB238" s="200"/>
      <c r="AC238" s="200"/>
      <c r="AD238" s="200"/>
      <c r="AE238" s="200"/>
      <c r="AF238" s="200"/>
      <c r="AG238" s="339" t="s">
        <v>84</v>
      </c>
      <c r="AH238" s="173">
        <f t="shared" si="68"/>
        <v>0</v>
      </c>
    </row>
    <row r="239" spans="1:34" ht="66" hidden="1" x14ac:dyDescent="0.25">
      <c r="A239" s="188">
        <v>100</v>
      </c>
      <c r="B239" s="237" t="s">
        <v>1367</v>
      </c>
      <c r="C239" s="230" t="s">
        <v>1366</v>
      </c>
      <c r="D239" s="182"/>
      <c r="E239" s="230" t="s">
        <v>290</v>
      </c>
      <c r="F239" s="230"/>
      <c r="G239" s="231">
        <v>34000</v>
      </c>
      <c r="H239" s="396">
        <f t="shared" si="69"/>
        <v>34000</v>
      </c>
      <c r="I239" s="200"/>
      <c r="J239" s="200"/>
      <c r="K239" s="200"/>
      <c r="L239" s="200"/>
      <c r="M239" s="374"/>
      <c r="N239" s="385"/>
      <c r="O239" s="397">
        <v>14900</v>
      </c>
      <c r="P239" s="397">
        <f t="shared" si="66"/>
        <v>14900</v>
      </c>
      <c r="Q239" s="176"/>
      <c r="R239" s="176"/>
      <c r="S239" s="480">
        <v>14900</v>
      </c>
      <c r="T239" s="480">
        <f t="shared" si="67"/>
        <v>14900</v>
      </c>
      <c r="U239" s="200"/>
      <c r="V239" s="200"/>
      <c r="W239" s="200"/>
      <c r="X239" s="200"/>
      <c r="Y239" s="200"/>
      <c r="Z239" s="200"/>
      <c r="AA239" s="200"/>
      <c r="AB239" s="200"/>
      <c r="AC239" s="200"/>
      <c r="AD239" s="200"/>
      <c r="AE239" s="200"/>
      <c r="AF239" s="200"/>
      <c r="AG239" s="339" t="s">
        <v>84</v>
      </c>
      <c r="AH239" s="173">
        <f t="shared" si="68"/>
        <v>0</v>
      </c>
    </row>
    <row r="240" spans="1:34" ht="49.5" hidden="1" x14ac:dyDescent="0.25">
      <c r="A240" s="188">
        <v>101</v>
      </c>
      <c r="B240" s="237" t="s">
        <v>1365</v>
      </c>
      <c r="C240" s="230" t="s">
        <v>1364</v>
      </c>
      <c r="D240" s="182"/>
      <c r="E240" s="230" t="s">
        <v>290</v>
      </c>
      <c r="F240" s="230"/>
      <c r="G240" s="231">
        <v>3000</v>
      </c>
      <c r="H240" s="396">
        <f t="shared" si="69"/>
        <v>3000</v>
      </c>
      <c r="I240" s="200"/>
      <c r="J240" s="200"/>
      <c r="K240" s="200"/>
      <c r="L240" s="200"/>
      <c r="M240" s="374"/>
      <c r="N240" s="385"/>
      <c r="O240" s="345">
        <v>1790</v>
      </c>
      <c r="P240" s="345">
        <f t="shared" si="66"/>
        <v>1790</v>
      </c>
      <c r="Q240" s="176"/>
      <c r="R240" s="176"/>
      <c r="S240" s="478">
        <v>1790</v>
      </c>
      <c r="T240" s="478">
        <f t="shared" si="67"/>
        <v>1790</v>
      </c>
      <c r="U240" s="200"/>
      <c r="V240" s="200"/>
      <c r="W240" s="200"/>
      <c r="X240" s="200"/>
      <c r="Y240" s="200"/>
      <c r="Z240" s="200"/>
      <c r="AA240" s="200"/>
      <c r="AB240" s="200"/>
      <c r="AC240" s="200"/>
      <c r="AD240" s="200"/>
      <c r="AE240" s="200"/>
      <c r="AF240" s="200"/>
      <c r="AG240" s="339" t="s">
        <v>84</v>
      </c>
      <c r="AH240" s="173">
        <f t="shared" si="68"/>
        <v>0</v>
      </c>
    </row>
    <row r="241" spans="1:34" ht="66" hidden="1" x14ac:dyDescent="0.25">
      <c r="A241" s="188">
        <v>102</v>
      </c>
      <c r="B241" s="237" t="s">
        <v>1363</v>
      </c>
      <c r="C241" s="230" t="s">
        <v>1359</v>
      </c>
      <c r="D241" s="182"/>
      <c r="E241" s="230" t="s">
        <v>290</v>
      </c>
      <c r="F241" s="230"/>
      <c r="G241" s="231">
        <v>5696.4329192546584</v>
      </c>
      <c r="H241" s="396">
        <f t="shared" si="69"/>
        <v>5696.4329192546584</v>
      </c>
      <c r="I241" s="200"/>
      <c r="J241" s="200"/>
      <c r="K241" s="200"/>
      <c r="L241" s="200"/>
      <c r="M241" s="374"/>
      <c r="N241" s="385"/>
      <c r="O241" s="397">
        <v>3390</v>
      </c>
      <c r="P241" s="397">
        <f t="shared" si="66"/>
        <v>3390</v>
      </c>
      <c r="Q241" s="176"/>
      <c r="R241" s="176"/>
      <c r="S241" s="480">
        <v>3390</v>
      </c>
      <c r="T241" s="480">
        <f t="shared" si="67"/>
        <v>3390</v>
      </c>
      <c r="U241" s="200"/>
      <c r="V241" s="200"/>
      <c r="W241" s="200"/>
      <c r="X241" s="200"/>
      <c r="Y241" s="200"/>
      <c r="Z241" s="200"/>
      <c r="AA241" s="200"/>
      <c r="AB241" s="200"/>
      <c r="AC241" s="200"/>
      <c r="AD241" s="200"/>
      <c r="AE241" s="200"/>
      <c r="AF241" s="200"/>
      <c r="AG241" s="339" t="s">
        <v>84</v>
      </c>
      <c r="AH241" s="173">
        <f t="shared" si="68"/>
        <v>0</v>
      </c>
    </row>
    <row r="242" spans="1:34" ht="49.5" hidden="1" x14ac:dyDescent="0.25">
      <c r="A242" s="188">
        <v>103</v>
      </c>
      <c r="B242" s="237" t="s">
        <v>1362</v>
      </c>
      <c r="C242" s="230" t="s">
        <v>1361</v>
      </c>
      <c r="D242" s="182"/>
      <c r="E242" s="230" t="s">
        <v>290</v>
      </c>
      <c r="F242" s="230"/>
      <c r="G242" s="231">
        <v>8510</v>
      </c>
      <c r="H242" s="396">
        <f t="shared" si="69"/>
        <v>8510</v>
      </c>
      <c r="I242" s="200"/>
      <c r="J242" s="200"/>
      <c r="K242" s="200"/>
      <c r="L242" s="200"/>
      <c r="M242" s="374"/>
      <c r="N242" s="385"/>
      <c r="O242" s="345">
        <v>5200</v>
      </c>
      <c r="P242" s="345">
        <f t="shared" si="66"/>
        <v>5200</v>
      </c>
      <c r="Q242" s="176"/>
      <c r="R242" s="176"/>
      <c r="S242" s="478">
        <v>5200</v>
      </c>
      <c r="T242" s="478">
        <f t="shared" si="67"/>
        <v>5200</v>
      </c>
      <c r="U242" s="200"/>
      <c r="V242" s="200"/>
      <c r="W242" s="200"/>
      <c r="X242" s="200"/>
      <c r="Y242" s="200"/>
      <c r="Z242" s="200"/>
      <c r="AA242" s="200"/>
      <c r="AB242" s="200"/>
      <c r="AC242" s="200"/>
      <c r="AD242" s="200"/>
      <c r="AE242" s="200"/>
      <c r="AF242" s="200"/>
      <c r="AG242" s="339" t="s">
        <v>84</v>
      </c>
      <c r="AH242" s="173">
        <f t="shared" si="68"/>
        <v>0</v>
      </c>
    </row>
    <row r="243" spans="1:34" ht="49.5" hidden="1" x14ac:dyDescent="0.25">
      <c r="A243" s="188">
        <v>104</v>
      </c>
      <c r="B243" s="237" t="s">
        <v>1360</v>
      </c>
      <c r="C243" s="230" t="s">
        <v>1359</v>
      </c>
      <c r="D243" s="182"/>
      <c r="E243" s="230" t="s">
        <v>1354</v>
      </c>
      <c r="F243" s="230"/>
      <c r="G243" s="231">
        <v>35000</v>
      </c>
      <c r="H243" s="396">
        <f t="shared" si="69"/>
        <v>35000</v>
      </c>
      <c r="I243" s="200"/>
      <c r="J243" s="200"/>
      <c r="K243" s="200"/>
      <c r="L243" s="200"/>
      <c r="M243" s="374"/>
      <c r="N243" s="385"/>
      <c r="O243" s="397">
        <v>13130</v>
      </c>
      <c r="P243" s="397">
        <f t="shared" si="66"/>
        <v>13130</v>
      </c>
      <c r="Q243" s="176"/>
      <c r="R243" s="176"/>
      <c r="S243" s="480">
        <v>13130</v>
      </c>
      <c r="T243" s="480">
        <f t="shared" si="67"/>
        <v>13130</v>
      </c>
      <c r="U243" s="200"/>
      <c r="V243" s="200"/>
      <c r="W243" s="200"/>
      <c r="X243" s="200"/>
      <c r="Y243" s="200"/>
      <c r="Z243" s="200"/>
      <c r="AA243" s="200"/>
      <c r="AB243" s="200"/>
      <c r="AC243" s="200"/>
      <c r="AD243" s="200"/>
      <c r="AE243" s="200"/>
      <c r="AF243" s="200"/>
      <c r="AG243" s="339" t="s">
        <v>84</v>
      </c>
      <c r="AH243" s="173">
        <f t="shared" si="68"/>
        <v>0</v>
      </c>
    </row>
    <row r="244" spans="1:34" ht="51" hidden="1" customHeight="1" x14ac:dyDescent="0.25">
      <c r="A244" s="188">
        <v>105</v>
      </c>
      <c r="B244" s="237" t="s">
        <v>1358</v>
      </c>
      <c r="C244" s="230" t="s">
        <v>1357</v>
      </c>
      <c r="D244" s="182"/>
      <c r="E244" s="230" t="s">
        <v>1354</v>
      </c>
      <c r="F244" s="230"/>
      <c r="G244" s="231">
        <v>736</v>
      </c>
      <c r="H244" s="396">
        <f t="shared" si="69"/>
        <v>736</v>
      </c>
      <c r="I244" s="200"/>
      <c r="J244" s="200"/>
      <c r="K244" s="200"/>
      <c r="L244" s="200"/>
      <c r="M244" s="374"/>
      <c r="N244" s="385"/>
      <c r="O244" s="345">
        <v>380</v>
      </c>
      <c r="P244" s="345">
        <f t="shared" si="66"/>
        <v>380</v>
      </c>
      <c r="Q244" s="176"/>
      <c r="R244" s="176"/>
      <c r="S244" s="478">
        <v>380</v>
      </c>
      <c r="T244" s="478">
        <f t="shared" si="67"/>
        <v>380</v>
      </c>
      <c r="U244" s="200"/>
      <c r="V244" s="200"/>
      <c r="W244" s="200"/>
      <c r="X244" s="200"/>
      <c r="Y244" s="200"/>
      <c r="Z244" s="200"/>
      <c r="AA244" s="200"/>
      <c r="AB244" s="200"/>
      <c r="AC244" s="200"/>
      <c r="AD244" s="200"/>
      <c r="AE244" s="200"/>
      <c r="AF244" s="200"/>
      <c r="AG244" s="339" t="s">
        <v>84</v>
      </c>
      <c r="AH244" s="173">
        <f t="shared" si="68"/>
        <v>0</v>
      </c>
    </row>
    <row r="245" spans="1:34" ht="33" hidden="1" x14ac:dyDescent="0.25">
      <c r="A245" s="308">
        <v>106</v>
      </c>
      <c r="B245" s="506" t="s">
        <v>1356</v>
      </c>
      <c r="C245" s="507" t="s">
        <v>1355</v>
      </c>
      <c r="D245" s="508"/>
      <c r="E245" s="507" t="s">
        <v>1354</v>
      </c>
      <c r="F245" s="507"/>
      <c r="G245" s="509">
        <v>1783</v>
      </c>
      <c r="H245" s="510">
        <f t="shared" ref="H245" si="70">G245</f>
        <v>1783</v>
      </c>
      <c r="I245" s="511"/>
      <c r="J245" s="511"/>
      <c r="K245" s="511"/>
      <c r="L245" s="511"/>
      <c r="M245" s="512"/>
      <c r="N245" s="513"/>
      <c r="O245" s="514">
        <v>760</v>
      </c>
      <c r="P245" s="514">
        <f t="shared" si="66"/>
        <v>760</v>
      </c>
      <c r="Q245" s="446"/>
      <c r="R245" s="446"/>
      <c r="S245" s="515">
        <v>760</v>
      </c>
      <c r="T245" s="515">
        <f t="shared" si="67"/>
        <v>760</v>
      </c>
      <c r="U245" s="511"/>
      <c r="V245" s="511"/>
      <c r="W245" s="511"/>
      <c r="X245" s="511"/>
      <c r="Y245" s="200"/>
      <c r="Z245" s="200"/>
      <c r="AA245" s="200"/>
      <c r="AB245" s="200"/>
      <c r="AC245" s="200"/>
      <c r="AD245" s="200"/>
      <c r="AE245" s="200"/>
      <c r="AF245" s="200"/>
      <c r="AG245" s="516" t="s">
        <v>84</v>
      </c>
      <c r="AH245" s="173">
        <f t="shared" si="68"/>
        <v>0</v>
      </c>
    </row>
    <row r="246" spans="1:34" s="203" customFormat="1" ht="27" customHeight="1" x14ac:dyDescent="0.25">
      <c r="A246" s="641" t="s">
        <v>399</v>
      </c>
      <c r="B246" s="665" t="s">
        <v>1086</v>
      </c>
      <c r="C246" s="666"/>
      <c r="D246" s="666"/>
      <c r="E246" s="666"/>
      <c r="F246" s="667"/>
      <c r="G246" s="668">
        <f>G247</f>
        <v>70891</v>
      </c>
      <c r="H246" s="668">
        <f>H247</f>
        <v>70891</v>
      </c>
      <c r="I246" s="669"/>
      <c r="J246" s="669"/>
      <c r="K246" s="669"/>
      <c r="L246" s="669"/>
      <c r="M246" s="871">
        <f t="shared" ref="M246:P247" si="71">M247</f>
        <v>26690</v>
      </c>
      <c r="N246" s="871">
        <f t="shared" si="71"/>
        <v>26690</v>
      </c>
      <c r="O246" s="668">
        <f t="shared" si="71"/>
        <v>45000</v>
      </c>
      <c r="P246" s="668">
        <f t="shared" si="71"/>
        <v>45000</v>
      </c>
      <c r="Q246" s="668">
        <f t="shared" ref="Q246:T247" si="72">Q247</f>
        <v>18700</v>
      </c>
      <c r="R246" s="668">
        <f t="shared" si="72"/>
        <v>18700</v>
      </c>
      <c r="S246" s="668">
        <f t="shared" si="72"/>
        <v>45000</v>
      </c>
      <c r="T246" s="668">
        <f t="shared" si="72"/>
        <v>45000</v>
      </c>
      <c r="U246" s="670"/>
      <c r="V246" s="670"/>
      <c r="W246" s="670">
        <f t="shared" ref="W246:AF247" si="73">W247</f>
        <v>16000</v>
      </c>
      <c r="X246" s="670">
        <f t="shared" si="73"/>
        <v>16000</v>
      </c>
      <c r="Y246" s="390">
        <f t="shared" si="73"/>
        <v>0</v>
      </c>
      <c r="Z246" s="390">
        <f t="shared" si="73"/>
        <v>0</v>
      </c>
      <c r="AA246" s="390">
        <f t="shared" si="73"/>
        <v>0</v>
      </c>
      <c r="AB246" s="390">
        <f t="shared" si="73"/>
        <v>0</v>
      </c>
      <c r="AC246" s="390">
        <f t="shared" si="73"/>
        <v>0</v>
      </c>
      <c r="AD246" s="390">
        <f t="shared" si="73"/>
        <v>0</v>
      </c>
      <c r="AE246" s="390">
        <f t="shared" si="73"/>
        <v>0</v>
      </c>
      <c r="AF246" s="390">
        <f t="shared" si="73"/>
        <v>0</v>
      </c>
      <c r="AG246" s="673"/>
      <c r="AH246" s="173">
        <v>1</v>
      </c>
    </row>
    <row r="247" spans="1:34" ht="34.5" x14ac:dyDescent="0.25">
      <c r="A247" s="671" t="s">
        <v>85</v>
      </c>
      <c r="B247" s="646" t="s">
        <v>86</v>
      </c>
      <c r="C247" s="647"/>
      <c r="D247" s="647"/>
      <c r="E247" s="647"/>
      <c r="F247" s="647"/>
      <c r="G247" s="648">
        <f>G248</f>
        <v>70891</v>
      </c>
      <c r="H247" s="648">
        <f>H248</f>
        <v>70891</v>
      </c>
      <c r="I247" s="648"/>
      <c r="J247" s="648"/>
      <c r="K247" s="648"/>
      <c r="L247" s="648"/>
      <c r="M247" s="191">
        <f t="shared" si="71"/>
        <v>26690</v>
      </c>
      <c r="N247" s="191">
        <f t="shared" si="71"/>
        <v>26690</v>
      </c>
      <c r="O247" s="648">
        <f t="shared" si="71"/>
        <v>45000</v>
      </c>
      <c r="P247" s="648">
        <f t="shared" si="71"/>
        <v>45000</v>
      </c>
      <c r="Q247" s="648">
        <f t="shared" si="72"/>
        <v>18700</v>
      </c>
      <c r="R247" s="648">
        <f t="shared" si="72"/>
        <v>18700</v>
      </c>
      <c r="S247" s="648">
        <f t="shared" si="72"/>
        <v>45000</v>
      </c>
      <c r="T247" s="648">
        <f t="shared" si="72"/>
        <v>45000</v>
      </c>
      <c r="U247" s="648">
        <f>U248</f>
        <v>0</v>
      </c>
      <c r="V247" s="648">
        <f>V248</f>
        <v>0</v>
      </c>
      <c r="W247" s="672">
        <f t="shared" si="73"/>
        <v>16000</v>
      </c>
      <c r="X247" s="672">
        <f t="shared" si="73"/>
        <v>16000</v>
      </c>
      <c r="Y247" s="190">
        <f t="shared" si="73"/>
        <v>0</v>
      </c>
      <c r="Z247" s="190">
        <f t="shared" si="73"/>
        <v>0</v>
      </c>
      <c r="AA247" s="190">
        <f t="shared" si="73"/>
        <v>0</v>
      </c>
      <c r="AB247" s="190">
        <f t="shared" si="73"/>
        <v>0</v>
      </c>
      <c r="AC247" s="190">
        <f t="shared" si="73"/>
        <v>0</v>
      </c>
      <c r="AD247" s="190">
        <f t="shared" si="73"/>
        <v>0</v>
      </c>
      <c r="AE247" s="190">
        <f t="shared" si="73"/>
        <v>0</v>
      </c>
      <c r="AF247" s="190">
        <f t="shared" si="73"/>
        <v>0</v>
      </c>
      <c r="AG247" s="649"/>
      <c r="AH247" s="173">
        <v>1</v>
      </c>
    </row>
    <row r="248" spans="1:34" ht="51.75" x14ac:dyDescent="0.25">
      <c r="A248" s="645" t="s">
        <v>87</v>
      </c>
      <c r="B248" s="646" t="s">
        <v>88</v>
      </c>
      <c r="C248" s="647"/>
      <c r="D248" s="647"/>
      <c r="E248" s="647"/>
      <c r="F248" s="647"/>
      <c r="G248" s="648">
        <f>SUM(G250:G255)+G257+G263+SUM(G269:G277)+SUM(G279:G301)</f>
        <v>70891</v>
      </c>
      <c r="H248" s="648">
        <f>SUM(H250:H255)+H257+H263+SUM(H269:H277)+SUM(H279:H301)</f>
        <v>70891</v>
      </c>
      <c r="I248" s="648"/>
      <c r="J248" s="648"/>
      <c r="K248" s="648"/>
      <c r="L248" s="648"/>
      <c r="M248" s="856">
        <f t="shared" ref="M248:T248" si="74">SUM(M250:M255)+M257+M263+SUM(M269:M277)+SUM(M279:M301)</f>
        <v>26690</v>
      </c>
      <c r="N248" s="856">
        <f t="shared" si="74"/>
        <v>26690</v>
      </c>
      <c r="O248" s="648">
        <f t="shared" si="74"/>
        <v>45000</v>
      </c>
      <c r="P248" s="648">
        <f t="shared" si="74"/>
        <v>45000</v>
      </c>
      <c r="Q248" s="648">
        <f t="shared" si="74"/>
        <v>18700</v>
      </c>
      <c r="R248" s="648">
        <f t="shared" si="74"/>
        <v>18700</v>
      </c>
      <c r="S248" s="648">
        <f t="shared" si="74"/>
        <v>45000</v>
      </c>
      <c r="T248" s="648">
        <f t="shared" si="74"/>
        <v>45000</v>
      </c>
      <c r="U248" s="648">
        <f>U250+U251+U252+U253+U254+U255+U257+U263+U269+U270+U271+U272+U273+U274+U275+U276+U277+SUM(U279:U301)</f>
        <v>0</v>
      </c>
      <c r="V248" s="648">
        <f>V250+V251+V252+V253+V254+V255+V257+V263+V269+V270+V271+V272+V273+V274+V275+V276+V277+SUM(V279:V301)</f>
        <v>0</v>
      </c>
      <c r="W248" s="648">
        <f>W250+W251+W252+W253+W254+W255+W257+W263+W269+W270+W271+W272+W273+W274+W275+W276+W277+SUM(W279:W301)</f>
        <v>16000</v>
      </c>
      <c r="X248" s="648">
        <f>X250+X251+X252+X253+X254+X255+X257+X263+X269+X270+X271+X272+X273+X274+X275+X276+X277+SUM(X279:X301)</f>
        <v>16000</v>
      </c>
      <c r="Y248" s="190">
        <f t="shared" ref="Y248:AF248" si="75">SUM(Y249:Y278)</f>
        <v>0</v>
      </c>
      <c r="Z248" s="190">
        <f t="shared" si="75"/>
        <v>0</v>
      </c>
      <c r="AA248" s="190">
        <f t="shared" si="75"/>
        <v>0</v>
      </c>
      <c r="AB248" s="190">
        <f t="shared" si="75"/>
        <v>0</v>
      </c>
      <c r="AC248" s="190">
        <f t="shared" si="75"/>
        <v>0</v>
      </c>
      <c r="AD248" s="190">
        <f t="shared" si="75"/>
        <v>0</v>
      </c>
      <c r="AE248" s="190">
        <f t="shared" si="75"/>
        <v>0</v>
      </c>
      <c r="AF248" s="190">
        <f t="shared" si="75"/>
        <v>0</v>
      </c>
      <c r="AG248" s="649"/>
      <c r="AH248" s="173">
        <v>1</v>
      </c>
    </row>
    <row r="249" spans="1:34" ht="49.5" hidden="1" x14ac:dyDescent="0.25">
      <c r="A249" s="552" t="s">
        <v>1142</v>
      </c>
      <c r="B249" s="553" t="s">
        <v>1067</v>
      </c>
      <c r="C249" s="554" t="s">
        <v>1066</v>
      </c>
      <c r="D249" s="554" t="s">
        <v>1065</v>
      </c>
      <c r="E249" s="554" t="s">
        <v>109</v>
      </c>
      <c r="F249" s="555" t="s">
        <v>1064</v>
      </c>
      <c r="G249" s="556">
        <f t="shared" ref="G249:G255" si="76">H249</f>
        <v>29974</v>
      </c>
      <c r="H249" s="557">
        <v>29974</v>
      </c>
      <c r="I249" s="558"/>
      <c r="J249" s="558"/>
      <c r="K249" s="558"/>
      <c r="L249" s="558"/>
      <c r="M249" s="575">
        <f t="shared" ref="M249:M268" si="77">N249</f>
        <v>15000</v>
      </c>
      <c r="N249" s="604">
        <v>15000</v>
      </c>
      <c r="O249" s="559">
        <v>15000</v>
      </c>
      <c r="P249" s="559">
        <v>15000</v>
      </c>
      <c r="Q249" s="560"/>
      <c r="R249" s="560"/>
      <c r="S249" s="561">
        <v>15000</v>
      </c>
      <c r="T249" s="561">
        <v>15000</v>
      </c>
      <c r="U249" s="562"/>
      <c r="V249" s="562"/>
      <c r="W249" s="562">
        <f t="shared" ref="W249:W255" si="78">X249</f>
        <v>5000</v>
      </c>
      <c r="X249" s="562">
        <v>5000</v>
      </c>
      <c r="Y249" s="217"/>
      <c r="Z249" s="217"/>
      <c r="AA249" s="217"/>
      <c r="AB249" s="217"/>
      <c r="AC249" s="217"/>
      <c r="AD249" s="217"/>
      <c r="AE249" s="217"/>
      <c r="AF249" s="217"/>
      <c r="AG249" s="563" t="s">
        <v>1353</v>
      </c>
      <c r="AH249" s="173">
        <f t="shared" ref="AH249:AH280" si="79">IF(T249-P249=0,0,1)</f>
        <v>0</v>
      </c>
    </row>
    <row r="250" spans="1:34" ht="49.5" x14ac:dyDescent="0.25">
      <c r="A250" s="626" t="s">
        <v>56</v>
      </c>
      <c r="B250" s="674" t="s">
        <v>1352</v>
      </c>
      <c r="C250" s="628" t="s">
        <v>1066</v>
      </c>
      <c r="D250" s="675" t="s">
        <v>1351</v>
      </c>
      <c r="E250" s="626" t="s">
        <v>938</v>
      </c>
      <c r="F250" s="628" t="s">
        <v>1350</v>
      </c>
      <c r="G250" s="676">
        <f t="shared" si="76"/>
        <v>674</v>
      </c>
      <c r="H250" s="631">
        <v>674</v>
      </c>
      <c r="I250" s="677"/>
      <c r="J250" s="677"/>
      <c r="K250" s="677"/>
      <c r="L250" s="677"/>
      <c r="M250" s="857">
        <f t="shared" si="77"/>
        <v>640</v>
      </c>
      <c r="N250" s="861">
        <v>640</v>
      </c>
      <c r="O250" s="679">
        <v>640</v>
      </c>
      <c r="P250" s="679">
        <v>640</v>
      </c>
      <c r="Q250" s="636"/>
      <c r="R250" s="636">
        <f>P250-T250</f>
        <v>110</v>
      </c>
      <c r="S250" s="872">
        <f>T250</f>
        <v>530</v>
      </c>
      <c r="T250" s="872">
        <v>530</v>
      </c>
      <c r="U250" s="682"/>
      <c r="V250" s="682"/>
      <c r="W250" s="682">
        <f t="shared" si="78"/>
        <v>510</v>
      </c>
      <c r="X250" s="682">
        <v>510</v>
      </c>
      <c r="Y250" s="217"/>
      <c r="Z250" s="217"/>
      <c r="AA250" s="217"/>
      <c r="AB250" s="217"/>
      <c r="AC250" s="217"/>
      <c r="AD250" s="217"/>
      <c r="AE250" s="217"/>
      <c r="AF250" s="217"/>
      <c r="AG250" s="637" t="s">
        <v>404</v>
      </c>
      <c r="AH250" s="173">
        <f t="shared" si="79"/>
        <v>1</v>
      </c>
    </row>
    <row r="251" spans="1:34" ht="66" x14ac:dyDescent="0.25">
      <c r="A251" s="626" t="s">
        <v>1196</v>
      </c>
      <c r="B251" s="674" t="s">
        <v>1349</v>
      </c>
      <c r="C251" s="628" t="s">
        <v>1066</v>
      </c>
      <c r="D251" s="675" t="s">
        <v>1348</v>
      </c>
      <c r="E251" s="626" t="s">
        <v>938</v>
      </c>
      <c r="F251" s="628" t="s">
        <v>1347</v>
      </c>
      <c r="G251" s="676">
        <f t="shared" si="76"/>
        <v>2240</v>
      </c>
      <c r="H251" s="631">
        <v>2240</v>
      </c>
      <c r="I251" s="648"/>
      <c r="J251" s="648"/>
      <c r="K251" s="648"/>
      <c r="L251" s="648"/>
      <c r="M251" s="374">
        <f t="shared" si="77"/>
        <v>2060</v>
      </c>
      <c r="N251" s="385">
        <v>2060</v>
      </c>
      <c r="O251" s="679">
        <v>2060</v>
      </c>
      <c r="P251" s="679">
        <v>2060</v>
      </c>
      <c r="Q251" s="636"/>
      <c r="R251" s="636">
        <f>P251-T251</f>
        <v>150</v>
      </c>
      <c r="S251" s="872">
        <f t="shared" ref="S251:S301" si="80">T251</f>
        <v>1910</v>
      </c>
      <c r="T251" s="872">
        <v>1910</v>
      </c>
      <c r="U251" s="678"/>
      <c r="V251" s="678"/>
      <c r="W251" s="682">
        <f t="shared" si="78"/>
        <v>1700</v>
      </c>
      <c r="X251" s="678">
        <v>1700</v>
      </c>
      <c r="Y251" s="385"/>
      <c r="Z251" s="385"/>
      <c r="AA251" s="385"/>
      <c r="AB251" s="385"/>
      <c r="AC251" s="385"/>
      <c r="AD251" s="385"/>
      <c r="AE251" s="385"/>
      <c r="AF251" s="385"/>
      <c r="AG251" s="637" t="s">
        <v>404</v>
      </c>
      <c r="AH251" s="173">
        <f t="shared" si="79"/>
        <v>1</v>
      </c>
    </row>
    <row r="252" spans="1:34" ht="82.5" x14ac:dyDescent="0.25">
      <c r="A252" s="626" t="s">
        <v>1254</v>
      </c>
      <c r="B252" s="674" t="s">
        <v>1346</v>
      </c>
      <c r="C252" s="628" t="s">
        <v>1066</v>
      </c>
      <c r="D252" s="675" t="s">
        <v>1345</v>
      </c>
      <c r="E252" s="626" t="s">
        <v>938</v>
      </c>
      <c r="F252" s="628" t="s">
        <v>1344</v>
      </c>
      <c r="G252" s="676">
        <f t="shared" si="76"/>
        <v>3211</v>
      </c>
      <c r="H252" s="631">
        <v>3211</v>
      </c>
      <c r="I252" s="632"/>
      <c r="J252" s="680"/>
      <c r="K252" s="632"/>
      <c r="L252" s="632"/>
      <c r="M252" s="374">
        <f t="shared" si="77"/>
        <v>2960</v>
      </c>
      <c r="N252" s="385">
        <v>2960</v>
      </c>
      <c r="O252" s="634">
        <f>P252</f>
        <v>3060</v>
      </c>
      <c r="P252" s="634">
        <v>3060</v>
      </c>
      <c r="Q252" s="636"/>
      <c r="R252" s="636">
        <f t="shared" ref="R252:R255" si="81">P252-T252</f>
        <v>320</v>
      </c>
      <c r="S252" s="872">
        <f t="shared" si="80"/>
        <v>2740</v>
      </c>
      <c r="T252" s="872">
        <v>2740</v>
      </c>
      <c r="U252" s="632"/>
      <c r="V252" s="632"/>
      <c r="W252" s="682">
        <f t="shared" si="78"/>
        <v>2500</v>
      </c>
      <c r="X252" s="632">
        <v>2500</v>
      </c>
      <c r="Y252" s="177"/>
      <c r="Z252" s="177"/>
      <c r="AA252" s="177"/>
      <c r="AB252" s="177"/>
      <c r="AC252" s="177"/>
      <c r="AD252" s="177"/>
      <c r="AE252" s="177"/>
      <c r="AF252" s="177"/>
      <c r="AG252" s="637" t="s">
        <v>404</v>
      </c>
      <c r="AH252" s="173">
        <f t="shared" si="79"/>
        <v>1</v>
      </c>
    </row>
    <row r="253" spans="1:34" ht="49.5" x14ac:dyDescent="0.25">
      <c r="A253" s="626" t="s">
        <v>414</v>
      </c>
      <c r="B253" s="674" t="s">
        <v>1343</v>
      </c>
      <c r="C253" s="628" t="s">
        <v>1066</v>
      </c>
      <c r="D253" s="675" t="s">
        <v>1342</v>
      </c>
      <c r="E253" s="626" t="s">
        <v>938</v>
      </c>
      <c r="F253" s="628" t="s">
        <v>1341</v>
      </c>
      <c r="G253" s="676">
        <f t="shared" si="76"/>
        <v>986</v>
      </c>
      <c r="H253" s="631">
        <v>986</v>
      </c>
      <c r="I253" s="632"/>
      <c r="J253" s="680"/>
      <c r="K253" s="632"/>
      <c r="L253" s="632"/>
      <c r="M253" s="374">
        <f t="shared" si="77"/>
        <v>990</v>
      </c>
      <c r="N253" s="385">
        <v>990</v>
      </c>
      <c r="O253" s="634">
        <f>P253</f>
        <v>900</v>
      </c>
      <c r="P253" s="634">
        <v>900</v>
      </c>
      <c r="Q253" s="636"/>
      <c r="R253" s="636">
        <f t="shared" si="81"/>
        <v>70</v>
      </c>
      <c r="S253" s="872">
        <f t="shared" si="80"/>
        <v>830</v>
      </c>
      <c r="T253" s="872">
        <v>830</v>
      </c>
      <c r="U253" s="632"/>
      <c r="V253" s="632"/>
      <c r="W253" s="682">
        <f t="shared" si="78"/>
        <v>800</v>
      </c>
      <c r="X253" s="632">
        <v>800</v>
      </c>
      <c r="Y253" s="177"/>
      <c r="Z253" s="177"/>
      <c r="AA253" s="177"/>
      <c r="AB253" s="177"/>
      <c r="AC253" s="177"/>
      <c r="AD253" s="177"/>
      <c r="AE253" s="177"/>
      <c r="AF253" s="177"/>
      <c r="AG253" s="637" t="s">
        <v>404</v>
      </c>
      <c r="AH253" s="173">
        <f t="shared" si="79"/>
        <v>1</v>
      </c>
    </row>
    <row r="254" spans="1:34" ht="85.5" x14ac:dyDescent="0.25">
      <c r="A254" s="626" t="s">
        <v>419</v>
      </c>
      <c r="B254" s="674" t="s">
        <v>1340</v>
      </c>
      <c r="C254" s="628" t="s">
        <v>1066</v>
      </c>
      <c r="D254" s="675" t="s">
        <v>1339</v>
      </c>
      <c r="E254" s="626" t="s">
        <v>938</v>
      </c>
      <c r="F254" s="628" t="s">
        <v>1338</v>
      </c>
      <c r="G254" s="676">
        <f t="shared" si="76"/>
        <v>549</v>
      </c>
      <c r="H254" s="631">
        <v>549</v>
      </c>
      <c r="I254" s="648"/>
      <c r="J254" s="648"/>
      <c r="K254" s="648"/>
      <c r="L254" s="648"/>
      <c r="M254" s="374">
        <f t="shared" si="77"/>
        <v>640</v>
      </c>
      <c r="N254" s="385">
        <v>640</v>
      </c>
      <c r="O254" s="679">
        <f>P254</f>
        <v>540</v>
      </c>
      <c r="P254" s="679">
        <v>540</v>
      </c>
      <c r="Q254" s="636"/>
      <c r="R254" s="636">
        <f t="shared" si="81"/>
        <v>50</v>
      </c>
      <c r="S254" s="872">
        <f t="shared" si="80"/>
        <v>490</v>
      </c>
      <c r="T254" s="872">
        <v>490</v>
      </c>
      <c r="U254" s="632"/>
      <c r="V254" s="632"/>
      <c r="W254" s="682">
        <f t="shared" si="78"/>
        <v>490</v>
      </c>
      <c r="X254" s="632">
        <v>490</v>
      </c>
      <c r="Y254" s="177"/>
      <c r="Z254" s="177"/>
      <c r="AA254" s="177"/>
      <c r="AB254" s="177"/>
      <c r="AC254" s="177"/>
      <c r="AD254" s="177"/>
      <c r="AE254" s="177"/>
      <c r="AF254" s="177"/>
      <c r="AG254" s="637" t="s">
        <v>404</v>
      </c>
      <c r="AH254" s="173">
        <f t="shared" si="79"/>
        <v>1</v>
      </c>
    </row>
    <row r="255" spans="1:34" ht="69" x14ac:dyDescent="0.25">
      <c r="A255" s="626" t="s">
        <v>423</v>
      </c>
      <c r="B255" s="674" t="s">
        <v>1337</v>
      </c>
      <c r="C255" s="628" t="s">
        <v>1066</v>
      </c>
      <c r="D255" s="675" t="s">
        <v>1336</v>
      </c>
      <c r="E255" s="628" t="s">
        <v>116</v>
      </c>
      <c r="F255" s="628" t="s">
        <v>1335</v>
      </c>
      <c r="G255" s="631">
        <f t="shared" si="76"/>
        <v>13812</v>
      </c>
      <c r="H255" s="631">
        <v>13812</v>
      </c>
      <c r="I255" s="681"/>
      <c r="J255" s="681"/>
      <c r="K255" s="681"/>
      <c r="L255" s="681"/>
      <c r="M255" s="859">
        <f t="shared" si="77"/>
        <v>13800</v>
      </c>
      <c r="N255" s="862">
        <v>13800</v>
      </c>
      <c r="O255" s="679">
        <f>P255</f>
        <v>13000</v>
      </c>
      <c r="P255" s="679">
        <v>13000</v>
      </c>
      <c r="Q255" s="636"/>
      <c r="R255" s="636">
        <f t="shared" si="81"/>
        <v>680</v>
      </c>
      <c r="S255" s="872">
        <f t="shared" si="80"/>
        <v>12320</v>
      </c>
      <c r="T255" s="872">
        <v>12320</v>
      </c>
      <c r="U255" s="632"/>
      <c r="V255" s="632"/>
      <c r="W255" s="682">
        <f t="shared" si="78"/>
        <v>10000</v>
      </c>
      <c r="X255" s="632">
        <v>10000</v>
      </c>
      <c r="Y255" s="177"/>
      <c r="Z255" s="177"/>
      <c r="AA255" s="177"/>
      <c r="AB255" s="177"/>
      <c r="AC255" s="177"/>
      <c r="AD255" s="177"/>
      <c r="AE255" s="177"/>
      <c r="AF255" s="177"/>
      <c r="AG255" s="637" t="s">
        <v>404</v>
      </c>
      <c r="AH255" s="173">
        <f t="shared" si="79"/>
        <v>1</v>
      </c>
    </row>
    <row r="256" spans="1:34" ht="49.5" hidden="1" x14ac:dyDescent="0.25">
      <c r="A256" s="552" t="s">
        <v>427</v>
      </c>
      <c r="B256" s="939" t="s">
        <v>1334</v>
      </c>
      <c r="C256" s="554" t="s">
        <v>1066</v>
      </c>
      <c r="D256" s="940" t="s">
        <v>1333</v>
      </c>
      <c r="E256" s="554" t="s">
        <v>116</v>
      </c>
      <c r="F256" s="554"/>
      <c r="G256" s="941">
        <v>8000</v>
      </c>
      <c r="H256" s="557">
        <f t="shared" ref="H256:H268" si="82">G256</f>
        <v>8000</v>
      </c>
      <c r="I256" s="564"/>
      <c r="J256" s="564"/>
      <c r="K256" s="564"/>
      <c r="L256" s="564"/>
      <c r="M256" s="575">
        <f t="shared" si="77"/>
        <v>8000</v>
      </c>
      <c r="N256" s="572">
        <v>8000</v>
      </c>
      <c r="O256" s="565"/>
      <c r="P256" s="566"/>
      <c r="Q256" s="560"/>
      <c r="R256" s="560"/>
      <c r="S256" s="561"/>
      <c r="T256" s="561"/>
      <c r="U256" s="564"/>
      <c r="V256" s="564"/>
      <c r="W256" s="564"/>
      <c r="X256" s="564"/>
      <c r="Y256" s="177"/>
      <c r="Z256" s="177"/>
      <c r="AA256" s="177"/>
      <c r="AB256" s="177"/>
      <c r="AC256" s="177"/>
      <c r="AD256" s="177"/>
      <c r="AE256" s="177"/>
      <c r="AF256" s="177"/>
      <c r="AG256" s="567"/>
      <c r="AH256" s="173">
        <f t="shared" si="79"/>
        <v>0</v>
      </c>
    </row>
    <row r="257" spans="1:34" ht="33" x14ac:dyDescent="0.25">
      <c r="A257" s="626" t="s">
        <v>431</v>
      </c>
      <c r="B257" s="627" t="s">
        <v>1332</v>
      </c>
      <c r="C257" s="628" t="s">
        <v>1066</v>
      </c>
      <c r="D257" s="629" t="s">
        <v>1331</v>
      </c>
      <c r="E257" s="628" t="s">
        <v>116</v>
      </c>
      <c r="F257" s="628"/>
      <c r="G257" s="630">
        <v>3000</v>
      </c>
      <c r="H257" s="631">
        <f t="shared" si="82"/>
        <v>3000</v>
      </c>
      <c r="I257" s="632"/>
      <c r="J257" s="632"/>
      <c r="K257" s="632"/>
      <c r="L257" s="632"/>
      <c r="M257" s="633">
        <f t="shared" si="77"/>
        <v>3000</v>
      </c>
      <c r="N257" s="630">
        <v>3000</v>
      </c>
      <c r="O257" s="634">
        <v>3000</v>
      </c>
      <c r="P257" s="635">
        <v>3000</v>
      </c>
      <c r="Q257" s="636"/>
      <c r="R257" s="636">
        <f>P257-T257</f>
        <v>3000</v>
      </c>
      <c r="S257" s="872">
        <f t="shared" si="80"/>
        <v>0</v>
      </c>
      <c r="T257" s="872">
        <v>0</v>
      </c>
      <c r="U257" s="632"/>
      <c r="V257" s="632"/>
      <c r="W257" s="632"/>
      <c r="X257" s="632"/>
      <c r="Y257" s="177"/>
      <c r="Z257" s="177"/>
      <c r="AA257" s="177"/>
      <c r="AB257" s="177"/>
      <c r="AC257" s="177"/>
      <c r="AD257" s="177"/>
      <c r="AE257" s="177"/>
      <c r="AF257" s="177"/>
      <c r="AG257" s="637" t="s">
        <v>284</v>
      </c>
      <c r="AH257" s="173">
        <f t="shared" si="79"/>
        <v>1</v>
      </c>
    </row>
    <row r="258" spans="1:34" ht="33" hidden="1" x14ac:dyDescent="0.25">
      <c r="A258" s="568" t="s">
        <v>435</v>
      </c>
      <c r="B258" s="569" t="s">
        <v>1330</v>
      </c>
      <c r="C258" s="570" t="s">
        <v>1066</v>
      </c>
      <c r="D258" s="571" t="s">
        <v>1329</v>
      </c>
      <c r="E258" s="570" t="s">
        <v>116</v>
      </c>
      <c r="F258" s="570"/>
      <c r="G258" s="572">
        <v>1200</v>
      </c>
      <c r="H258" s="573">
        <f t="shared" si="82"/>
        <v>1200</v>
      </c>
      <c r="I258" s="574"/>
      <c r="J258" s="574"/>
      <c r="K258" s="574"/>
      <c r="L258" s="574"/>
      <c r="M258" s="575">
        <f t="shared" si="77"/>
        <v>1200</v>
      </c>
      <c r="N258" s="572">
        <v>1200</v>
      </c>
      <c r="O258" s="576"/>
      <c r="P258" s="577"/>
      <c r="Q258" s="445"/>
      <c r="R258" s="445"/>
      <c r="S258" s="578">
        <f t="shared" si="80"/>
        <v>0</v>
      </c>
      <c r="T258" s="578">
        <v>0</v>
      </c>
      <c r="U258" s="574"/>
      <c r="V258" s="574"/>
      <c r="W258" s="574"/>
      <c r="X258" s="574"/>
      <c r="Y258" s="177"/>
      <c r="Z258" s="177"/>
      <c r="AA258" s="177"/>
      <c r="AB258" s="177"/>
      <c r="AC258" s="177"/>
      <c r="AD258" s="177"/>
      <c r="AE258" s="177"/>
      <c r="AF258" s="177"/>
      <c r="AG258" s="579"/>
      <c r="AH258" s="173">
        <f t="shared" si="79"/>
        <v>0</v>
      </c>
    </row>
    <row r="259" spans="1:34" ht="49.5" hidden="1" x14ac:dyDescent="0.25">
      <c r="A259" s="380" t="s">
        <v>440</v>
      </c>
      <c r="B259" s="379" t="s">
        <v>1328</v>
      </c>
      <c r="C259" s="230" t="s">
        <v>1066</v>
      </c>
      <c r="D259" s="382" t="s">
        <v>1327</v>
      </c>
      <c r="E259" s="230" t="s">
        <v>116</v>
      </c>
      <c r="F259" s="230"/>
      <c r="G259" s="377">
        <v>2000</v>
      </c>
      <c r="H259" s="229">
        <f t="shared" si="82"/>
        <v>2000</v>
      </c>
      <c r="I259" s="177"/>
      <c r="J259" s="177"/>
      <c r="K259" s="177"/>
      <c r="L259" s="177"/>
      <c r="M259" s="374">
        <f t="shared" si="77"/>
        <v>2000</v>
      </c>
      <c r="N259" s="377">
        <v>2000</v>
      </c>
      <c r="O259" s="340"/>
      <c r="P259" s="383"/>
      <c r="Q259" s="176"/>
      <c r="R259" s="176"/>
      <c r="S259" s="478">
        <f t="shared" si="80"/>
        <v>0</v>
      </c>
      <c r="T259" s="478">
        <v>0</v>
      </c>
      <c r="U259" s="177"/>
      <c r="V259" s="177"/>
      <c r="W259" s="177"/>
      <c r="X259" s="177"/>
      <c r="Y259" s="177"/>
      <c r="Z259" s="177"/>
      <c r="AA259" s="177"/>
      <c r="AB259" s="177"/>
      <c r="AC259" s="177"/>
      <c r="AD259" s="177"/>
      <c r="AE259" s="177"/>
      <c r="AF259" s="177"/>
      <c r="AG259" s="198"/>
      <c r="AH259" s="173">
        <f t="shared" si="79"/>
        <v>0</v>
      </c>
    </row>
    <row r="260" spans="1:34" ht="33" hidden="1" x14ac:dyDescent="0.25">
      <c r="A260" s="380" t="s">
        <v>445</v>
      </c>
      <c r="B260" s="379" t="s">
        <v>1326</v>
      </c>
      <c r="C260" s="230" t="s">
        <v>1066</v>
      </c>
      <c r="D260" s="382" t="s">
        <v>1325</v>
      </c>
      <c r="E260" s="230" t="s">
        <v>116</v>
      </c>
      <c r="F260" s="230"/>
      <c r="G260" s="377">
        <v>1400</v>
      </c>
      <c r="H260" s="229">
        <f t="shared" si="82"/>
        <v>1400</v>
      </c>
      <c r="I260" s="177"/>
      <c r="J260" s="177"/>
      <c r="K260" s="177"/>
      <c r="L260" s="177"/>
      <c r="M260" s="374">
        <f t="shared" si="77"/>
        <v>1400</v>
      </c>
      <c r="N260" s="377">
        <v>1400</v>
      </c>
      <c r="O260" s="340"/>
      <c r="P260" s="340"/>
      <c r="Q260" s="176"/>
      <c r="R260" s="176"/>
      <c r="S260" s="478">
        <f t="shared" si="80"/>
        <v>0</v>
      </c>
      <c r="T260" s="478">
        <v>0</v>
      </c>
      <c r="U260" s="177"/>
      <c r="V260" s="177"/>
      <c r="W260" s="177"/>
      <c r="X260" s="177"/>
      <c r="Y260" s="177"/>
      <c r="Z260" s="177"/>
      <c r="AA260" s="177"/>
      <c r="AB260" s="177"/>
      <c r="AC260" s="177"/>
      <c r="AD260" s="177"/>
      <c r="AE260" s="177"/>
      <c r="AF260" s="177"/>
      <c r="AG260" s="198"/>
      <c r="AH260" s="173">
        <f t="shared" si="79"/>
        <v>0</v>
      </c>
    </row>
    <row r="261" spans="1:34" ht="33" hidden="1" x14ac:dyDescent="0.25">
      <c r="A261" s="380" t="s">
        <v>450</v>
      </c>
      <c r="B261" s="379" t="s">
        <v>1324</v>
      </c>
      <c r="C261" s="230" t="s">
        <v>1066</v>
      </c>
      <c r="D261" s="382" t="s">
        <v>1323</v>
      </c>
      <c r="E261" s="230" t="s">
        <v>290</v>
      </c>
      <c r="F261" s="230"/>
      <c r="G261" s="377">
        <v>800</v>
      </c>
      <c r="H261" s="229">
        <f t="shared" si="82"/>
        <v>800</v>
      </c>
      <c r="I261" s="177"/>
      <c r="J261" s="177"/>
      <c r="K261" s="177"/>
      <c r="L261" s="177"/>
      <c r="M261" s="374">
        <f t="shared" si="77"/>
        <v>800</v>
      </c>
      <c r="N261" s="377">
        <v>800</v>
      </c>
      <c r="O261" s="340"/>
      <c r="P261" s="340"/>
      <c r="Q261" s="176"/>
      <c r="R261" s="176"/>
      <c r="S261" s="478">
        <f t="shared" si="80"/>
        <v>0</v>
      </c>
      <c r="T261" s="478">
        <v>0</v>
      </c>
      <c r="U261" s="177"/>
      <c r="V261" s="177"/>
      <c r="W261" s="177"/>
      <c r="X261" s="177"/>
      <c r="Y261" s="177"/>
      <c r="Z261" s="177"/>
      <c r="AA261" s="177"/>
      <c r="AB261" s="177"/>
      <c r="AC261" s="177"/>
      <c r="AD261" s="177"/>
      <c r="AE261" s="177"/>
      <c r="AF261" s="177"/>
      <c r="AG261" s="198"/>
      <c r="AH261" s="173">
        <f t="shared" si="79"/>
        <v>0</v>
      </c>
    </row>
    <row r="262" spans="1:34" ht="49.5" hidden="1" x14ac:dyDescent="0.25">
      <c r="A262" s="942" t="s">
        <v>454</v>
      </c>
      <c r="B262" s="943" t="s">
        <v>1322</v>
      </c>
      <c r="C262" s="507" t="s">
        <v>1066</v>
      </c>
      <c r="D262" s="944" t="s">
        <v>1321</v>
      </c>
      <c r="E262" s="507" t="s">
        <v>290</v>
      </c>
      <c r="F262" s="507"/>
      <c r="G262" s="945">
        <v>700</v>
      </c>
      <c r="H262" s="519">
        <f t="shared" si="82"/>
        <v>700</v>
      </c>
      <c r="I262" s="277"/>
      <c r="J262" s="277"/>
      <c r="K262" s="277"/>
      <c r="L262" s="277"/>
      <c r="M262" s="374">
        <f t="shared" si="77"/>
        <v>700</v>
      </c>
      <c r="N262" s="377">
        <v>700</v>
      </c>
      <c r="O262" s="521"/>
      <c r="P262" s="521"/>
      <c r="Q262" s="446"/>
      <c r="R262" s="446"/>
      <c r="S262" s="515">
        <f t="shared" si="80"/>
        <v>0</v>
      </c>
      <c r="T262" s="515">
        <v>0</v>
      </c>
      <c r="U262" s="277"/>
      <c r="V262" s="277"/>
      <c r="W262" s="277"/>
      <c r="X262" s="277"/>
      <c r="Y262" s="177"/>
      <c r="Z262" s="177"/>
      <c r="AA262" s="177"/>
      <c r="AB262" s="177"/>
      <c r="AC262" s="177"/>
      <c r="AD262" s="177"/>
      <c r="AE262" s="177"/>
      <c r="AF262" s="177"/>
      <c r="AG262" s="302"/>
      <c r="AH262" s="173">
        <f t="shared" si="79"/>
        <v>0</v>
      </c>
    </row>
    <row r="263" spans="1:34" ht="33" x14ac:dyDescent="0.25">
      <c r="A263" s="626" t="s">
        <v>458</v>
      </c>
      <c r="B263" s="627" t="s">
        <v>1320</v>
      </c>
      <c r="C263" s="628" t="s">
        <v>1066</v>
      </c>
      <c r="D263" s="629" t="s">
        <v>1319</v>
      </c>
      <c r="E263" s="628" t="s">
        <v>290</v>
      </c>
      <c r="F263" s="628"/>
      <c r="G263" s="630">
        <v>2600</v>
      </c>
      <c r="H263" s="631">
        <f t="shared" si="82"/>
        <v>2600</v>
      </c>
      <c r="I263" s="632"/>
      <c r="J263" s="632"/>
      <c r="K263" s="632"/>
      <c r="L263" s="632"/>
      <c r="M263" s="633">
        <f t="shared" si="77"/>
        <v>2600</v>
      </c>
      <c r="N263" s="630">
        <v>2600</v>
      </c>
      <c r="O263" s="634">
        <f>P263</f>
        <v>3200</v>
      </c>
      <c r="P263" s="634">
        <v>3200</v>
      </c>
      <c r="Q263" s="636"/>
      <c r="R263" s="636">
        <f>P263-T263</f>
        <v>2200</v>
      </c>
      <c r="S263" s="872">
        <f t="shared" si="80"/>
        <v>1000</v>
      </c>
      <c r="T263" s="872">
        <v>1000</v>
      </c>
      <c r="U263" s="632"/>
      <c r="V263" s="632"/>
      <c r="W263" s="632"/>
      <c r="X263" s="632"/>
      <c r="Y263" s="177"/>
      <c r="Z263" s="177"/>
      <c r="AA263" s="177"/>
      <c r="AB263" s="177"/>
      <c r="AC263" s="177"/>
      <c r="AD263" s="177"/>
      <c r="AE263" s="177"/>
      <c r="AF263" s="177"/>
      <c r="AG263" s="638"/>
      <c r="AH263" s="173">
        <f t="shared" si="79"/>
        <v>1</v>
      </c>
    </row>
    <row r="264" spans="1:34" ht="33" hidden="1" x14ac:dyDescent="0.25">
      <c r="A264" s="568" t="s">
        <v>463</v>
      </c>
      <c r="B264" s="569" t="s">
        <v>1318</v>
      </c>
      <c r="C264" s="570" t="s">
        <v>1066</v>
      </c>
      <c r="D264" s="571" t="s">
        <v>1317</v>
      </c>
      <c r="E264" s="570" t="s">
        <v>290</v>
      </c>
      <c r="F264" s="570"/>
      <c r="G264" s="572">
        <v>1500</v>
      </c>
      <c r="H264" s="573">
        <f t="shared" si="82"/>
        <v>1500</v>
      </c>
      <c r="I264" s="574"/>
      <c r="J264" s="574"/>
      <c r="K264" s="574"/>
      <c r="L264" s="574"/>
      <c r="M264" s="575">
        <f t="shared" si="77"/>
        <v>1500</v>
      </c>
      <c r="N264" s="572">
        <v>1500</v>
      </c>
      <c r="O264" s="576"/>
      <c r="P264" s="576"/>
      <c r="Q264" s="445"/>
      <c r="R264" s="445"/>
      <c r="S264" s="578">
        <f t="shared" si="80"/>
        <v>0</v>
      </c>
      <c r="T264" s="578">
        <v>0</v>
      </c>
      <c r="U264" s="574"/>
      <c r="V264" s="574"/>
      <c r="W264" s="574"/>
      <c r="X264" s="574"/>
      <c r="Y264" s="177"/>
      <c r="Z264" s="177"/>
      <c r="AA264" s="177"/>
      <c r="AB264" s="177"/>
      <c r="AC264" s="177"/>
      <c r="AD264" s="177"/>
      <c r="AE264" s="177"/>
      <c r="AF264" s="177"/>
      <c r="AG264" s="580"/>
      <c r="AH264" s="173">
        <f t="shared" si="79"/>
        <v>0</v>
      </c>
    </row>
    <row r="265" spans="1:34" ht="33" hidden="1" x14ac:dyDescent="0.25">
      <c r="A265" s="380" t="s">
        <v>468</v>
      </c>
      <c r="B265" s="379" t="s">
        <v>1316</v>
      </c>
      <c r="C265" s="230" t="s">
        <v>1066</v>
      </c>
      <c r="D265" s="382" t="s">
        <v>1315</v>
      </c>
      <c r="E265" s="230" t="s">
        <v>290</v>
      </c>
      <c r="F265" s="230"/>
      <c r="G265" s="377">
        <v>1000</v>
      </c>
      <c r="H265" s="229">
        <f t="shared" si="82"/>
        <v>1000</v>
      </c>
      <c r="I265" s="177"/>
      <c r="J265" s="177"/>
      <c r="K265" s="177"/>
      <c r="L265" s="177"/>
      <c r="M265" s="374">
        <f t="shared" si="77"/>
        <v>1000</v>
      </c>
      <c r="N265" s="377">
        <v>1000</v>
      </c>
      <c r="O265" s="340"/>
      <c r="P265" s="340"/>
      <c r="Q265" s="176"/>
      <c r="R265" s="176"/>
      <c r="S265" s="478">
        <f t="shared" si="80"/>
        <v>0</v>
      </c>
      <c r="T265" s="478">
        <v>0</v>
      </c>
      <c r="U265" s="177"/>
      <c r="V265" s="177"/>
      <c r="W265" s="177"/>
      <c r="X265" s="177"/>
      <c r="Y265" s="177"/>
      <c r="Z265" s="177"/>
      <c r="AA265" s="177"/>
      <c r="AB265" s="177"/>
      <c r="AC265" s="177"/>
      <c r="AD265" s="177"/>
      <c r="AE265" s="177"/>
      <c r="AF265" s="177"/>
      <c r="AG265" s="198"/>
      <c r="AH265" s="173">
        <f t="shared" si="79"/>
        <v>0</v>
      </c>
    </row>
    <row r="266" spans="1:34" ht="33" hidden="1" x14ac:dyDescent="0.25">
      <c r="A266" s="380" t="s">
        <v>472</v>
      </c>
      <c r="B266" s="379" t="s">
        <v>1314</v>
      </c>
      <c r="C266" s="230" t="s">
        <v>1066</v>
      </c>
      <c r="D266" s="381" t="s">
        <v>1313</v>
      </c>
      <c r="E266" s="230" t="s">
        <v>290</v>
      </c>
      <c r="F266" s="230"/>
      <c r="G266" s="377">
        <v>360</v>
      </c>
      <c r="H266" s="229">
        <f t="shared" si="82"/>
        <v>360</v>
      </c>
      <c r="I266" s="177"/>
      <c r="J266" s="177"/>
      <c r="K266" s="177"/>
      <c r="L266" s="177"/>
      <c r="M266" s="374">
        <f t="shared" si="77"/>
        <v>360</v>
      </c>
      <c r="N266" s="377">
        <v>360</v>
      </c>
      <c r="O266" s="340"/>
      <c r="P266" s="340"/>
      <c r="Q266" s="176"/>
      <c r="R266" s="176"/>
      <c r="S266" s="478">
        <f t="shared" si="80"/>
        <v>0</v>
      </c>
      <c r="T266" s="478">
        <v>0</v>
      </c>
      <c r="U266" s="177"/>
      <c r="V266" s="177"/>
      <c r="W266" s="177"/>
      <c r="X266" s="177"/>
      <c r="Y266" s="177"/>
      <c r="Z266" s="177"/>
      <c r="AA266" s="177"/>
      <c r="AB266" s="177"/>
      <c r="AC266" s="177"/>
      <c r="AD266" s="177"/>
      <c r="AE266" s="177"/>
      <c r="AF266" s="177"/>
      <c r="AG266" s="198"/>
      <c r="AH266" s="173">
        <f t="shared" si="79"/>
        <v>0</v>
      </c>
    </row>
    <row r="267" spans="1:34" ht="49.5" hidden="1" x14ac:dyDescent="0.25">
      <c r="A267" s="380" t="s">
        <v>476</v>
      </c>
      <c r="B267" s="379" t="s">
        <v>1312</v>
      </c>
      <c r="C267" s="230" t="s">
        <v>1066</v>
      </c>
      <c r="D267" s="378" t="s">
        <v>1311</v>
      </c>
      <c r="E267" s="230" t="s">
        <v>290</v>
      </c>
      <c r="F267" s="230"/>
      <c r="G267" s="377">
        <v>250</v>
      </c>
      <c r="H267" s="229">
        <f t="shared" si="82"/>
        <v>250</v>
      </c>
      <c r="I267" s="177"/>
      <c r="J267" s="177"/>
      <c r="K267" s="177"/>
      <c r="L267" s="177"/>
      <c r="M267" s="374">
        <f t="shared" si="77"/>
        <v>250</v>
      </c>
      <c r="N267" s="377">
        <v>250</v>
      </c>
      <c r="O267" s="340"/>
      <c r="P267" s="340"/>
      <c r="Q267" s="176"/>
      <c r="R267" s="176"/>
      <c r="S267" s="478">
        <f t="shared" si="80"/>
        <v>0</v>
      </c>
      <c r="T267" s="478">
        <v>0</v>
      </c>
      <c r="U267" s="177"/>
      <c r="V267" s="177"/>
      <c r="W267" s="177"/>
      <c r="X267" s="177"/>
      <c r="Y267" s="177"/>
      <c r="Z267" s="177"/>
      <c r="AA267" s="177"/>
      <c r="AB267" s="177"/>
      <c r="AC267" s="177"/>
      <c r="AD267" s="177"/>
      <c r="AE267" s="177"/>
      <c r="AF267" s="177"/>
      <c r="AG267" s="198"/>
      <c r="AH267" s="173">
        <f t="shared" si="79"/>
        <v>0</v>
      </c>
    </row>
    <row r="268" spans="1:34" ht="33" hidden="1" x14ac:dyDescent="0.25">
      <c r="A268" s="942" t="s">
        <v>481</v>
      </c>
      <c r="B268" s="943" t="s">
        <v>1310</v>
      </c>
      <c r="C268" s="507" t="s">
        <v>1066</v>
      </c>
      <c r="D268" s="946"/>
      <c r="E268" s="507" t="s">
        <v>290</v>
      </c>
      <c r="F268" s="507"/>
      <c r="G268" s="945">
        <v>1100</v>
      </c>
      <c r="H268" s="519">
        <f t="shared" si="82"/>
        <v>1100</v>
      </c>
      <c r="I268" s="277"/>
      <c r="J268" s="277"/>
      <c r="K268" s="277"/>
      <c r="L268" s="277"/>
      <c r="M268" s="374">
        <f t="shared" si="77"/>
        <v>1100</v>
      </c>
      <c r="N268" s="377">
        <v>1100</v>
      </c>
      <c r="O268" s="521"/>
      <c r="P268" s="521"/>
      <c r="Q268" s="446"/>
      <c r="R268" s="446"/>
      <c r="S268" s="515">
        <f t="shared" si="80"/>
        <v>0</v>
      </c>
      <c r="T268" s="515">
        <v>0</v>
      </c>
      <c r="U268" s="277"/>
      <c r="V268" s="277"/>
      <c r="W268" s="277"/>
      <c r="X268" s="277"/>
      <c r="Y268" s="177"/>
      <c r="Z268" s="177"/>
      <c r="AA268" s="177"/>
      <c r="AB268" s="177"/>
      <c r="AC268" s="177"/>
      <c r="AD268" s="177"/>
      <c r="AE268" s="177"/>
      <c r="AF268" s="177"/>
      <c r="AG268" s="302"/>
      <c r="AH268" s="173">
        <f t="shared" si="79"/>
        <v>0</v>
      </c>
    </row>
    <row r="269" spans="1:34" s="811" customFormat="1" ht="33" x14ac:dyDescent="0.25">
      <c r="A269" s="626" t="s">
        <v>484</v>
      </c>
      <c r="B269" s="627" t="s">
        <v>2095</v>
      </c>
      <c r="C269" s="628" t="s">
        <v>1066</v>
      </c>
      <c r="D269" s="683"/>
      <c r="E269" s="628" t="s">
        <v>290</v>
      </c>
      <c r="F269" s="628"/>
      <c r="G269" s="630">
        <f t="shared" ref="G269:G301" si="83">H269</f>
        <v>3490</v>
      </c>
      <c r="H269" s="631">
        <v>3490</v>
      </c>
      <c r="I269" s="632"/>
      <c r="J269" s="632"/>
      <c r="K269" s="632"/>
      <c r="L269" s="632"/>
      <c r="M269" s="874"/>
      <c r="N269" s="873"/>
      <c r="O269" s="634">
        <f t="shared" ref="O269:O278" si="84">P269</f>
        <v>5000</v>
      </c>
      <c r="P269" s="634">
        <v>5000</v>
      </c>
      <c r="Q269" s="636"/>
      <c r="R269" s="636">
        <f>P269-T269</f>
        <v>2700</v>
      </c>
      <c r="S269" s="872">
        <f t="shared" si="80"/>
        <v>2300</v>
      </c>
      <c r="T269" s="872">
        <v>2300</v>
      </c>
      <c r="U269" s="632"/>
      <c r="V269" s="632"/>
      <c r="W269" s="632"/>
      <c r="X269" s="632"/>
      <c r="Y269" s="177"/>
      <c r="Z269" s="177"/>
      <c r="AA269" s="177"/>
      <c r="AB269" s="177"/>
      <c r="AC269" s="177"/>
      <c r="AD269" s="177"/>
      <c r="AE269" s="177"/>
      <c r="AF269" s="177"/>
      <c r="AG269" s="637" t="s">
        <v>1171</v>
      </c>
      <c r="AH269" s="173">
        <f t="shared" si="79"/>
        <v>1</v>
      </c>
    </row>
    <row r="270" spans="1:34" ht="49.5" x14ac:dyDescent="0.25">
      <c r="A270" s="626" t="s">
        <v>1309</v>
      </c>
      <c r="B270" s="627" t="s">
        <v>1308</v>
      </c>
      <c r="C270" s="628" t="s">
        <v>1066</v>
      </c>
      <c r="D270" s="683"/>
      <c r="E270" s="628" t="s">
        <v>461</v>
      </c>
      <c r="F270" s="628" t="s">
        <v>1307</v>
      </c>
      <c r="G270" s="630">
        <f t="shared" si="83"/>
        <v>1094</v>
      </c>
      <c r="H270" s="631">
        <v>1094</v>
      </c>
      <c r="I270" s="632"/>
      <c r="J270" s="632"/>
      <c r="K270" s="632"/>
      <c r="L270" s="632"/>
      <c r="M270" s="374"/>
      <c r="N270" s="377"/>
      <c r="O270" s="634">
        <f t="shared" si="84"/>
        <v>1000</v>
      </c>
      <c r="P270" s="634">
        <v>1000</v>
      </c>
      <c r="Q270" s="636"/>
      <c r="R270" s="636">
        <v>50</v>
      </c>
      <c r="S270" s="872">
        <f t="shared" si="80"/>
        <v>950</v>
      </c>
      <c r="T270" s="872">
        <v>950</v>
      </c>
      <c r="U270" s="632"/>
      <c r="V270" s="632"/>
      <c r="W270" s="632"/>
      <c r="X270" s="632"/>
      <c r="Y270" s="177"/>
      <c r="Z270" s="177"/>
      <c r="AA270" s="177"/>
      <c r="AB270" s="177"/>
      <c r="AC270" s="177"/>
      <c r="AD270" s="177"/>
      <c r="AE270" s="177"/>
      <c r="AF270" s="177"/>
      <c r="AG270" s="637" t="s">
        <v>404</v>
      </c>
      <c r="AH270" s="173">
        <f t="shared" si="79"/>
        <v>1</v>
      </c>
    </row>
    <row r="271" spans="1:34" ht="49.5" x14ac:dyDescent="0.25">
      <c r="A271" s="626" t="s">
        <v>490</v>
      </c>
      <c r="B271" s="627" t="s">
        <v>1306</v>
      </c>
      <c r="C271" s="628" t="s">
        <v>1066</v>
      </c>
      <c r="D271" s="683"/>
      <c r="E271" s="628" t="s">
        <v>461</v>
      </c>
      <c r="F271" s="628" t="s">
        <v>1305</v>
      </c>
      <c r="G271" s="630">
        <f t="shared" si="83"/>
        <v>1296</v>
      </c>
      <c r="H271" s="631">
        <v>1296</v>
      </c>
      <c r="I271" s="632"/>
      <c r="J271" s="632"/>
      <c r="K271" s="632"/>
      <c r="L271" s="632"/>
      <c r="M271" s="374"/>
      <c r="N271" s="377"/>
      <c r="O271" s="634">
        <f t="shared" si="84"/>
        <v>1200</v>
      </c>
      <c r="P271" s="634">
        <v>1200</v>
      </c>
      <c r="Q271" s="636"/>
      <c r="R271" s="636">
        <v>60</v>
      </c>
      <c r="S271" s="872">
        <f t="shared" si="80"/>
        <v>1140</v>
      </c>
      <c r="T271" s="872">
        <v>1140</v>
      </c>
      <c r="U271" s="632"/>
      <c r="V271" s="632"/>
      <c r="W271" s="632"/>
      <c r="X271" s="632"/>
      <c r="Y271" s="177"/>
      <c r="Z271" s="177"/>
      <c r="AA271" s="177"/>
      <c r="AB271" s="177"/>
      <c r="AC271" s="177"/>
      <c r="AD271" s="177"/>
      <c r="AE271" s="177"/>
      <c r="AF271" s="177"/>
      <c r="AG271" s="637" t="s">
        <v>404</v>
      </c>
      <c r="AH271" s="173">
        <f t="shared" si="79"/>
        <v>1</v>
      </c>
    </row>
    <row r="272" spans="1:34" ht="49.5" x14ac:dyDescent="0.25">
      <c r="A272" s="626" t="s">
        <v>492</v>
      </c>
      <c r="B272" s="627" t="s">
        <v>1304</v>
      </c>
      <c r="C272" s="628" t="s">
        <v>1066</v>
      </c>
      <c r="D272" s="683"/>
      <c r="E272" s="628" t="s">
        <v>461</v>
      </c>
      <c r="F272" s="628" t="s">
        <v>1303</v>
      </c>
      <c r="G272" s="630">
        <f t="shared" si="83"/>
        <v>1710</v>
      </c>
      <c r="H272" s="631">
        <v>1710</v>
      </c>
      <c r="I272" s="632"/>
      <c r="J272" s="632"/>
      <c r="K272" s="632"/>
      <c r="L272" s="632"/>
      <c r="M272" s="374"/>
      <c r="N272" s="377"/>
      <c r="O272" s="634">
        <f t="shared" si="84"/>
        <v>1550</v>
      </c>
      <c r="P272" s="634">
        <v>1550</v>
      </c>
      <c r="Q272" s="636"/>
      <c r="R272" s="636">
        <f t="shared" ref="R272:R277" si="85">P272-T272</f>
        <v>80</v>
      </c>
      <c r="S272" s="872">
        <f t="shared" si="80"/>
        <v>1470</v>
      </c>
      <c r="T272" s="872">
        <v>1470</v>
      </c>
      <c r="U272" s="632"/>
      <c r="V272" s="632"/>
      <c r="W272" s="632"/>
      <c r="X272" s="632"/>
      <c r="Y272" s="177"/>
      <c r="Z272" s="177"/>
      <c r="AA272" s="177"/>
      <c r="AB272" s="177"/>
      <c r="AC272" s="177"/>
      <c r="AD272" s="177"/>
      <c r="AE272" s="177"/>
      <c r="AF272" s="177"/>
      <c r="AG272" s="637" t="s">
        <v>404</v>
      </c>
      <c r="AH272" s="173">
        <f t="shared" si="79"/>
        <v>1</v>
      </c>
    </row>
    <row r="273" spans="1:34" ht="49.5" x14ac:dyDescent="0.25">
      <c r="A273" s="626" t="s">
        <v>495</v>
      </c>
      <c r="B273" s="627" t="s">
        <v>1302</v>
      </c>
      <c r="C273" s="628" t="s">
        <v>1066</v>
      </c>
      <c r="D273" s="683"/>
      <c r="E273" s="628" t="s">
        <v>461</v>
      </c>
      <c r="F273" s="628" t="s">
        <v>1301</v>
      </c>
      <c r="G273" s="630">
        <f t="shared" si="83"/>
        <v>713</v>
      </c>
      <c r="H273" s="631">
        <v>713</v>
      </c>
      <c r="I273" s="632"/>
      <c r="J273" s="632"/>
      <c r="K273" s="632"/>
      <c r="L273" s="632"/>
      <c r="M273" s="374"/>
      <c r="N273" s="377"/>
      <c r="O273" s="634">
        <f t="shared" si="84"/>
        <v>650</v>
      </c>
      <c r="P273" s="634">
        <v>650</v>
      </c>
      <c r="Q273" s="636"/>
      <c r="R273" s="636">
        <f t="shared" si="85"/>
        <v>30</v>
      </c>
      <c r="S273" s="872">
        <f t="shared" si="80"/>
        <v>620</v>
      </c>
      <c r="T273" s="872">
        <v>620</v>
      </c>
      <c r="U273" s="632"/>
      <c r="V273" s="632"/>
      <c r="W273" s="632"/>
      <c r="X273" s="632"/>
      <c r="Y273" s="177"/>
      <c r="Z273" s="177"/>
      <c r="AA273" s="177"/>
      <c r="AB273" s="177"/>
      <c r="AC273" s="177"/>
      <c r="AD273" s="177"/>
      <c r="AE273" s="177"/>
      <c r="AF273" s="177"/>
      <c r="AG273" s="637" t="s">
        <v>404</v>
      </c>
      <c r="AH273" s="173">
        <f t="shared" si="79"/>
        <v>1</v>
      </c>
    </row>
    <row r="274" spans="1:34" s="811" customFormat="1" ht="33" x14ac:dyDescent="0.25">
      <c r="A274" s="626" t="s">
        <v>497</v>
      </c>
      <c r="B274" s="627" t="s">
        <v>1300</v>
      </c>
      <c r="C274" s="628" t="s">
        <v>1066</v>
      </c>
      <c r="D274" s="683"/>
      <c r="E274" s="628" t="s">
        <v>116</v>
      </c>
      <c r="F274" s="628"/>
      <c r="G274" s="630">
        <f t="shared" si="83"/>
        <v>3740.0000000000005</v>
      </c>
      <c r="H274" s="631">
        <f>P274*1.1</f>
        <v>3740.0000000000005</v>
      </c>
      <c r="I274" s="632"/>
      <c r="J274" s="632"/>
      <c r="K274" s="632"/>
      <c r="L274" s="632"/>
      <c r="M274" s="757"/>
      <c r="N274" s="754"/>
      <c r="O274" s="634">
        <f t="shared" si="84"/>
        <v>3400</v>
      </c>
      <c r="P274" s="634">
        <v>3400</v>
      </c>
      <c r="Q274" s="636"/>
      <c r="R274" s="636">
        <f t="shared" si="85"/>
        <v>3400</v>
      </c>
      <c r="S274" s="872">
        <f t="shared" si="80"/>
        <v>0</v>
      </c>
      <c r="T274" s="872">
        <v>0</v>
      </c>
      <c r="U274" s="632"/>
      <c r="V274" s="632"/>
      <c r="W274" s="632"/>
      <c r="X274" s="632"/>
      <c r="Y274" s="177"/>
      <c r="Z274" s="177"/>
      <c r="AA274" s="177"/>
      <c r="AB274" s="177"/>
      <c r="AC274" s="177"/>
      <c r="AD274" s="177"/>
      <c r="AE274" s="177"/>
      <c r="AF274" s="177"/>
      <c r="AG274" s="637" t="s">
        <v>284</v>
      </c>
      <c r="AH274" s="173">
        <f t="shared" si="79"/>
        <v>1</v>
      </c>
    </row>
    <row r="275" spans="1:34" s="811" customFormat="1" ht="33" x14ac:dyDescent="0.25">
      <c r="A275" s="626" t="s">
        <v>498</v>
      </c>
      <c r="B275" s="627" t="s">
        <v>1299</v>
      </c>
      <c r="C275" s="628" t="s">
        <v>1066</v>
      </c>
      <c r="D275" s="683"/>
      <c r="E275" s="628" t="s">
        <v>116</v>
      </c>
      <c r="F275" s="628"/>
      <c r="G275" s="630">
        <f t="shared" si="83"/>
        <v>1320</v>
      </c>
      <c r="H275" s="631">
        <f>P275*1.1</f>
        <v>1320</v>
      </c>
      <c r="I275" s="632"/>
      <c r="J275" s="632"/>
      <c r="K275" s="632"/>
      <c r="L275" s="632"/>
      <c r="M275" s="757"/>
      <c r="N275" s="754"/>
      <c r="O275" s="634">
        <f t="shared" si="84"/>
        <v>1200</v>
      </c>
      <c r="P275" s="634">
        <v>1200</v>
      </c>
      <c r="Q275" s="636"/>
      <c r="R275" s="636">
        <f t="shared" si="85"/>
        <v>1200</v>
      </c>
      <c r="S275" s="872">
        <f t="shared" si="80"/>
        <v>0</v>
      </c>
      <c r="T275" s="872">
        <v>0</v>
      </c>
      <c r="U275" s="632"/>
      <c r="V275" s="632"/>
      <c r="W275" s="632"/>
      <c r="X275" s="632"/>
      <c r="Y275" s="177"/>
      <c r="Z275" s="177"/>
      <c r="AA275" s="177"/>
      <c r="AB275" s="177"/>
      <c r="AC275" s="177"/>
      <c r="AD275" s="177"/>
      <c r="AE275" s="177"/>
      <c r="AF275" s="177"/>
      <c r="AG275" s="637" t="s">
        <v>284</v>
      </c>
      <c r="AH275" s="173">
        <f t="shared" si="79"/>
        <v>1</v>
      </c>
    </row>
    <row r="276" spans="1:34" s="811" customFormat="1" ht="33" x14ac:dyDescent="0.25">
      <c r="A276" s="626" t="s">
        <v>1298</v>
      </c>
      <c r="B276" s="627" t="s">
        <v>1297</v>
      </c>
      <c r="C276" s="628" t="s">
        <v>1066</v>
      </c>
      <c r="D276" s="683"/>
      <c r="E276" s="628" t="s">
        <v>116</v>
      </c>
      <c r="F276" s="628"/>
      <c r="G276" s="630">
        <f t="shared" si="83"/>
        <v>1760.0000000000002</v>
      </c>
      <c r="H276" s="631">
        <f>P276*1.1</f>
        <v>1760.0000000000002</v>
      </c>
      <c r="I276" s="632"/>
      <c r="J276" s="632"/>
      <c r="K276" s="632"/>
      <c r="L276" s="632"/>
      <c r="M276" s="757"/>
      <c r="N276" s="754"/>
      <c r="O276" s="634">
        <f t="shared" si="84"/>
        <v>1600</v>
      </c>
      <c r="P276" s="634">
        <v>1600</v>
      </c>
      <c r="Q276" s="636"/>
      <c r="R276" s="636">
        <f t="shared" si="85"/>
        <v>1600</v>
      </c>
      <c r="S276" s="872">
        <f t="shared" si="80"/>
        <v>0</v>
      </c>
      <c r="T276" s="872">
        <v>0</v>
      </c>
      <c r="U276" s="632"/>
      <c r="V276" s="632"/>
      <c r="W276" s="632"/>
      <c r="X276" s="632"/>
      <c r="Y276" s="177"/>
      <c r="Z276" s="177"/>
      <c r="AA276" s="177"/>
      <c r="AB276" s="177"/>
      <c r="AC276" s="177"/>
      <c r="AD276" s="177"/>
      <c r="AE276" s="177"/>
      <c r="AF276" s="177"/>
      <c r="AG276" s="637" t="s">
        <v>284</v>
      </c>
      <c r="AH276" s="173">
        <f t="shared" si="79"/>
        <v>1</v>
      </c>
    </row>
    <row r="277" spans="1:34" s="811" customFormat="1" ht="47.25" customHeight="1" x14ac:dyDescent="0.25">
      <c r="A277" s="626" t="s">
        <v>1296</v>
      </c>
      <c r="B277" s="627" t="s">
        <v>1295</v>
      </c>
      <c r="C277" s="628" t="s">
        <v>1066</v>
      </c>
      <c r="D277" s="683"/>
      <c r="E277" s="628" t="s">
        <v>116</v>
      </c>
      <c r="F277" s="628"/>
      <c r="G277" s="630">
        <f t="shared" si="83"/>
        <v>3300.0000000000005</v>
      </c>
      <c r="H277" s="631">
        <f>P277*1.1</f>
        <v>3300.0000000000005</v>
      </c>
      <c r="I277" s="632"/>
      <c r="J277" s="632"/>
      <c r="K277" s="632"/>
      <c r="L277" s="632"/>
      <c r="M277" s="876"/>
      <c r="N277" s="875"/>
      <c r="O277" s="634">
        <f t="shared" si="84"/>
        <v>3000</v>
      </c>
      <c r="P277" s="634">
        <v>3000</v>
      </c>
      <c r="Q277" s="636"/>
      <c r="R277" s="636">
        <f t="shared" si="85"/>
        <v>3000</v>
      </c>
      <c r="S277" s="872">
        <f t="shared" si="80"/>
        <v>0</v>
      </c>
      <c r="T277" s="872">
        <v>0</v>
      </c>
      <c r="U277" s="632"/>
      <c r="V277" s="632"/>
      <c r="W277" s="632"/>
      <c r="X277" s="632"/>
      <c r="Y277" s="177"/>
      <c r="Z277" s="177"/>
      <c r="AA277" s="177"/>
      <c r="AB277" s="177"/>
      <c r="AC277" s="177"/>
      <c r="AD277" s="177"/>
      <c r="AE277" s="177"/>
      <c r="AF277" s="177"/>
      <c r="AG277" s="637" t="s">
        <v>284</v>
      </c>
      <c r="AH277" s="173">
        <f t="shared" si="79"/>
        <v>1</v>
      </c>
    </row>
    <row r="278" spans="1:34" ht="33" hidden="1" x14ac:dyDescent="0.25">
      <c r="A278" s="552" t="s">
        <v>1294</v>
      </c>
      <c r="B278" s="939" t="s">
        <v>1293</v>
      </c>
      <c r="C278" s="554" t="s">
        <v>1066</v>
      </c>
      <c r="D278" s="947"/>
      <c r="E278" s="554" t="s">
        <v>290</v>
      </c>
      <c r="F278" s="554"/>
      <c r="G278" s="941">
        <f t="shared" si="83"/>
        <v>43224</v>
      </c>
      <c r="H278" s="557">
        <v>43224</v>
      </c>
      <c r="I278" s="564"/>
      <c r="J278" s="564"/>
      <c r="K278" s="564"/>
      <c r="L278" s="564"/>
      <c r="M278" s="575"/>
      <c r="N278" s="572"/>
      <c r="O278" s="565">
        <f t="shared" si="84"/>
        <v>25000</v>
      </c>
      <c r="P278" s="565">
        <v>25000</v>
      </c>
      <c r="Q278" s="560"/>
      <c r="R278" s="560">
        <f>P278-T278</f>
        <v>0</v>
      </c>
      <c r="S278" s="561">
        <f t="shared" si="80"/>
        <v>25000</v>
      </c>
      <c r="T278" s="561">
        <v>25000</v>
      </c>
      <c r="U278" s="564"/>
      <c r="V278" s="564"/>
      <c r="W278" s="564"/>
      <c r="X278" s="564"/>
      <c r="Y278" s="177"/>
      <c r="Z278" s="177"/>
      <c r="AA278" s="177"/>
      <c r="AB278" s="177"/>
      <c r="AC278" s="177"/>
      <c r="AD278" s="177"/>
      <c r="AE278" s="177"/>
      <c r="AF278" s="177"/>
      <c r="AG278" s="563" t="s">
        <v>84</v>
      </c>
      <c r="AH278" s="173">
        <f t="shared" si="79"/>
        <v>0</v>
      </c>
    </row>
    <row r="279" spans="1:34" ht="37.5" x14ac:dyDescent="0.25">
      <c r="A279" s="626" t="s">
        <v>1903</v>
      </c>
      <c r="B279" s="494" t="s">
        <v>1881</v>
      </c>
      <c r="C279" s="628" t="s">
        <v>1066</v>
      </c>
      <c r="D279" s="683"/>
      <c r="E279" s="628" t="s">
        <v>116</v>
      </c>
      <c r="F279" s="628"/>
      <c r="G279" s="630">
        <f t="shared" si="83"/>
        <v>198</v>
      </c>
      <c r="H279" s="631">
        <v>198</v>
      </c>
      <c r="I279" s="632"/>
      <c r="J279" s="632"/>
      <c r="K279" s="632"/>
      <c r="L279" s="632"/>
      <c r="M279" s="857"/>
      <c r="N279" s="864"/>
      <c r="O279" s="634"/>
      <c r="P279" s="634"/>
      <c r="Q279" s="498">
        <f>T279-P279</f>
        <v>150</v>
      </c>
      <c r="R279" s="636"/>
      <c r="S279" s="872">
        <f t="shared" si="80"/>
        <v>150</v>
      </c>
      <c r="T279" s="872">
        <v>150</v>
      </c>
      <c r="U279" s="632"/>
      <c r="V279" s="632"/>
      <c r="W279" s="632"/>
      <c r="X279" s="632"/>
      <c r="Y279" s="177"/>
      <c r="Z279" s="177"/>
      <c r="AA279" s="177"/>
      <c r="AB279" s="177"/>
      <c r="AC279" s="177"/>
      <c r="AD279" s="177"/>
      <c r="AE279" s="177"/>
      <c r="AF279" s="177"/>
      <c r="AG279" s="637" t="s">
        <v>84</v>
      </c>
      <c r="AH279" s="173">
        <f t="shared" si="79"/>
        <v>1</v>
      </c>
    </row>
    <row r="280" spans="1:34" ht="56.25" x14ac:dyDescent="0.25">
      <c r="A280" s="626" t="s">
        <v>1904</v>
      </c>
      <c r="B280" s="494" t="s">
        <v>1882</v>
      </c>
      <c r="C280" s="628" t="s">
        <v>1066</v>
      </c>
      <c r="D280" s="683"/>
      <c r="E280" s="628" t="s">
        <v>116</v>
      </c>
      <c r="F280" s="628"/>
      <c r="G280" s="630">
        <f t="shared" si="83"/>
        <v>279</v>
      </c>
      <c r="H280" s="631">
        <v>279</v>
      </c>
      <c r="I280" s="632"/>
      <c r="J280" s="632"/>
      <c r="K280" s="632"/>
      <c r="L280" s="632"/>
      <c r="M280" s="374"/>
      <c r="N280" s="377"/>
      <c r="O280" s="634"/>
      <c r="P280" s="634"/>
      <c r="Q280" s="498">
        <f t="shared" ref="Q280:Q301" si="86">T280-P280</f>
        <v>200</v>
      </c>
      <c r="R280" s="636"/>
      <c r="S280" s="872">
        <f t="shared" si="80"/>
        <v>200</v>
      </c>
      <c r="T280" s="872">
        <v>200</v>
      </c>
      <c r="U280" s="632"/>
      <c r="V280" s="632"/>
      <c r="W280" s="632"/>
      <c r="X280" s="632"/>
      <c r="Y280" s="177"/>
      <c r="Z280" s="177"/>
      <c r="AA280" s="177"/>
      <c r="AB280" s="177"/>
      <c r="AC280" s="177"/>
      <c r="AD280" s="177"/>
      <c r="AE280" s="177"/>
      <c r="AF280" s="177"/>
      <c r="AG280" s="637" t="s">
        <v>84</v>
      </c>
      <c r="AH280" s="173">
        <f t="shared" si="79"/>
        <v>1</v>
      </c>
    </row>
    <row r="281" spans="1:34" ht="37.5" x14ac:dyDescent="0.25">
      <c r="A281" s="626" t="s">
        <v>1905</v>
      </c>
      <c r="B281" s="494" t="s">
        <v>1883</v>
      </c>
      <c r="C281" s="628" t="s">
        <v>1066</v>
      </c>
      <c r="D281" s="683"/>
      <c r="E281" s="628" t="s">
        <v>116</v>
      </c>
      <c r="F281" s="628"/>
      <c r="G281" s="630">
        <f t="shared" si="83"/>
        <v>1676</v>
      </c>
      <c r="H281" s="631">
        <v>1676</v>
      </c>
      <c r="I281" s="632"/>
      <c r="J281" s="632"/>
      <c r="K281" s="632"/>
      <c r="L281" s="632"/>
      <c r="M281" s="374"/>
      <c r="N281" s="377"/>
      <c r="O281" s="634"/>
      <c r="P281" s="634"/>
      <c r="Q281" s="498">
        <f t="shared" si="86"/>
        <v>1300</v>
      </c>
      <c r="R281" s="636"/>
      <c r="S281" s="872">
        <f t="shared" si="80"/>
        <v>1300</v>
      </c>
      <c r="T281" s="872">
        <v>1300</v>
      </c>
      <c r="U281" s="632"/>
      <c r="V281" s="632"/>
      <c r="W281" s="632"/>
      <c r="X281" s="632"/>
      <c r="Y281" s="177"/>
      <c r="Z281" s="177"/>
      <c r="AA281" s="177"/>
      <c r="AB281" s="177"/>
      <c r="AC281" s="177"/>
      <c r="AD281" s="177"/>
      <c r="AE281" s="177"/>
      <c r="AF281" s="177"/>
      <c r="AG281" s="637" t="s">
        <v>84</v>
      </c>
      <c r="AH281" s="173">
        <f t="shared" ref="AH281:AH315" si="87">IF(T281-P281=0,0,1)</f>
        <v>1</v>
      </c>
    </row>
    <row r="282" spans="1:34" ht="56.25" x14ac:dyDescent="0.25">
      <c r="A282" s="626" t="s">
        <v>1906</v>
      </c>
      <c r="B282" s="495" t="s">
        <v>1884</v>
      </c>
      <c r="C282" s="628" t="s">
        <v>1066</v>
      </c>
      <c r="D282" s="683"/>
      <c r="E282" s="628" t="s">
        <v>116</v>
      </c>
      <c r="F282" s="628"/>
      <c r="G282" s="630">
        <f t="shared" si="83"/>
        <v>968</v>
      </c>
      <c r="H282" s="631">
        <v>968</v>
      </c>
      <c r="I282" s="632"/>
      <c r="J282" s="632"/>
      <c r="K282" s="632"/>
      <c r="L282" s="632"/>
      <c r="M282" s="374"/>
      <c r="N282" s="377"/>
      <c r="O282" s="634"/>
      <c r="P282" s="634"/>
      <c r="Q282" s="498">
        <f t="shared" si="86"/>
        <v>650</v>
      </c>
      <c r="R282" s="636"/>
      <c r="S282" s="872">
        <f t="shared" si="80"/>
        <v>650</v>
      </c>
      <c r="T282" s="872">
        <v>650</v>
      </c>
      <c r="U282" s="632"/>
      <c r="V282" s="632"/>
      <c r="W282" s="632"/>
      <c r="X282" s="632"/>
      <c r="Y282" s="177"/>
      <c r="Z282" s="177"/>
      <c r="AA282" s="177"/>
      <c r="AB282" s="177"/>
      <c r="AC282" s="177"/>
      <c r="AD282" s="177"/>
      <c r="AE282" s="177"/>
      <c r="AF282" s="177"/>
      <c r="AG282" s="637" t="s">
        <v>84</v>
      </c>
      <c r="AH282" s="173">
        <f t="shared" si="87"/>
        <v>1</v>
      </c>
    </row>
    <row r="283" spans="1:34" ht="93.75" x14ac:dyDescent="0.25">
      <c r="A283" s="626" t="s">
        <v>1907</v>
      </c>
      <c r="B283" s="495" t="s">
        <v>1885</v>
      </c>
      <c r="C283" s="628" t="s">
        <v>1066</v>
      </c>
      <c r="D283" s="683"/>
      <c r="E283" s="628" t="s">
        <v>116</v>
      </c>
      <c r="F283" s="628"/>
      <c r="G283" s="630">
        <f t="shared" si="83"/>
        <v>855</v>
      </c>
      <c r="H283" s="631">
        <v>855</v>
      </c>
      <c r="I283" s="632"/>
      <c r="J283" s="632"/>
      <c r="K283" s="632"/>
      <c r="L283" s="632"/>
      <c r="M283" s="374"/>
      <c r="N283" s="377"/>
      <c r="O283" s="634"/>
      <c r="P283" s="634"/>
      <c r="Q283" s="498">
        <f t="shared" si="86"/>
        <v>600</v>
      </c>
      <c r="R283" s="636"/>
      <c r="S283" s="872">
        <f t="shared" si="80"/>
        <v>600</v>
      </c>
      <c r="T283" s="872">
        <v>600</v>
      </c>
      <c r="U283" s="632"/>
      <c r="V283" s="632"/>
      <c r="W283" s="632"/>
      <c r="X283" s="632"/>
      <c r="Y283" s="177"/>
      <c r="Z283" s="177"/>
      <c r="AA283" s="177"/>
      <c r="AB283" s="177"/>
      <c r="AC283" s="177"/>
      <c r="AD283" s="177"/>
      <c r="AE283" s="177"/>
      <c r="AF283" s="177"/>
      <c r="AG283" s="637" t="s">
        <v>84</v>
      </c>
      <c r="AH283" s="173">
        <f t="shared" si="87"/>
        <v>1</v>
      </c>
    </row>
    <row r="284" spans="1:34" ht="37.5" x14ac:dyDescent="0.25">
      <c r="A284" s="626" t="s">
        <v>1908</v>
      </c>
      <c r="B284" s="495" t="s">
        <v>1886</v>
      </c>
      <c r="C284" s="628" t="s">
        <v>1066</v>
      </c>
      <c r="D284" s="683"/>
      <c r="E284" s="628" t="s">
        <v>116</v>
      </c>
      <c r="F284" s="628"/>
      <c r="G284" s="630">
        <f t="shared" si="83"/>
        <v>700</v>
      </c>
      <c r="H284" s="631">
        <v>700</v>
      </c>
      <c r="I284" s="632"/>
      <c r="J284" s="632"/>
      <c r="K284" s="632"/>
      <c r="L284" s="632"/>
      <c r="M284" s="374"/>
      <c r="N284" s="377"/>
      <c r="O284" s="634"/>
      <c r="P284" s="634"/>
      <c r="Q284" s="498">
        <f t="shared" si="86"/>
        <v>500</v>
      </c>
      <c r="R284" s="636"/>
      <c r="S284" s="872">
        <f t="shared" si="80"/>
        <v>500</v>
      </c>
      <c r="T284" s="872">
        <v>500</v>
      </c>
      <c r="U284" s="632"/>
      <c r="V284" s="632"/>
      <c r="W284" s="632"/>
      <c r="X284" s="632"/>
      <c r="Y284" s="177"/>
      <c r="Z284" s="177"/>
      <c r="AA284" s="177"/>
      <c r="AB284" s="177"/>
      <c r="AC284" s="177"/>
      <c r="AD284" s="177"/>
      <c r="AE284" s="177"/>
      <c r="AF284" s="177"/>
      <c r="AG284" s="637" t="s">
        <v>84</v>
      </c>
      <c r="AH284" s="173">
        <f t="shared" si="87"/>
        <v>1</v>
      </c>
    </row>
    <row r="285" spans="1:34" ht="37.5" x14ac:dyDescent="0.25">
      <c r="A285" s="626" t="s">
        <v>1909</v>
      </c>
      <c r="B285" s="495" t="s">
        <v>1887</v>
      </c>
      <c r="C285" s="628" t="s">
        <v>1066</v>
      </c>
      <c r="D285" s="683"/>
      <c r="E285" s="628" t="s">
        <v>116</v>
      </c>
      <c r="F285" s="628"/>
      <c r="G285" s="630">
        <f t="shared" si="83"/>
        <v>776</v>
      </c>
      <c r="H285" s="631">
        <v>776</v>
      </c>
      <c r="I285" s="632"/>
      <c r="J285" s="632"/>
      <c r="K285" s="632"/>
      <c r="L285" s="632"/>
      <c r="M285" s="374"/>
      <c r="N285" s="377"/>
      <c r="O285" s="634"/>
      <c r="P285" s="634"/>
      <c r="Q285" s="498">
        <f t="shared" si="86"/>
        <v>550</v>
      </c>
      <c r="R285" s="636"/>
      <c r="S285" s="872">
        <f t="shared" si="80"/>
        <v>550</v>
      </c>
      <c r="T285" s="872">
        <v>550</v>
      </c>
      <c r="U285" s="632"/>
      <c r="V285" s="632"/>
      <c r="W285" s="632"/>
      <c r="X285" s="632"/>
      <c r="Y285" s="177"/>
      <c r="Z285" s="177"/>
      <c r="AA285" s="177"/>
      <c r="AB285" s="177"/>
      <c r="AC285" s="177"/>
      <c r="AD285" s="177"/>
      <c r="AE285" s="177"/>
      <c r="AF285" s="177"/>
      <c r="AG285" s="637" t="s">
        <v>84</v>
      </c>
      <c r="AH285" s="173">
        <f t="shared" si="87"/>
        <v>1</v>
      </c>
    </row>
    <row r="286" spans="1:34" ht="56.25" x14ac:dyDescent="0.25">
      <c r="A286" s="626" t="s">
        <v>1910</v>
      </c>
      <c r="B286" s="495" t="s">
        <v>1888</v>
      </c>
      <c r="C286" s="628" t="s">
        <v>1066</v>
      </c>
      <c r="D286" s="683"/>
      <c r="E286" s="628" t="s">
        <v>116</v>
      </c>
      <c r="F286" s="628"/>
      <c r="G286" s="630">
        <f t="shared" si="83"/>
        <v>783</v>
      </c>
      <c r="H286" s="631">
        <v>783</v>
      </c>
      <c r="I286" s="632"/>
      <c r="J286" s="632"/>
      <c r="K286" s="632"/>
      <c r="L286" s="632"/>
      <c r="M286" s="374"/>
      <c r="N286" s="377"/>
      <c r="O286" s="634"/>
      <c r="P286" s="634"/>
      <c r="Q286" s="498">
        <f t="shared" si="86"/>
        <v>550</v>
      </c>
      <c r="R286" s="636"/>
      <c r="S286" s="872">
        <f t="shared" si="80"/>
        <v>550</v>
      </c>
      <c r="T286" s="872">
        <v>550</v>
      </c>
      <c r="U286" s="632"/>
      <c r="V286" s="632"/>
      <c r="W286" s="632"/>
      <c r="X286" s="632"/>
      <c r="Y286" s="177"/>
      <c r="Z286" s="177"/>
      <c r="AA286" s="177"/>
      <c r="AB286" s="177"/>
      <c r="AC286" s="177"/>
      <c r="AD286" s="177"/>
      <c r="AE286" s="177"/>
      <c r="AF286" s="177"/>
      <c r="AG286" s="637" t="s">
        <v>84</v>
      </c>
      <c r="AH286" s="173">
        <f t="shared" si="87"/>
        <v>1</v>
      </c>
    </row>
    <row r="287" spans="1:34" ht="112.5" x14ac:dyDescent="0.25">
      <c r="A287" s="626" t="s">
        <v>1911</v>
      </c>
      <c r="B287" s="495" t="s">
        <v>1889</v>
      </c>
      <c r="C287" s="628" t="s">
        <v>1066</v>
      </c>
      <c r="D287" s="683"/>
      <c r="E287" s="628" t="s">
        <v>116</v>
      </c>
      <c r="F287" s="628"/>
      <c r="G287" s="630">
        <f t="shared" si="83"/>
        <v>1239</v>
      </c>
      <c r="H287" s="631">
        <v>1239</v>
      </c>
      <c r="I287" s="632"/>
      <c r="J287" s="632"/>
      <c r="K287" s="632"/>
      <c r="L287" s="632"/>
      <c r="M287" s="374"/>
      <c r="N287" s="377"/>
      <c r="O287" s="634"/>
      <c r="P287" s="634"/>
      <c r="Q287" s="498">
        <f t="shared" si="86"/>
        <v>900</v>
      </c>
      <c r="R287" s="636"/>
      <c r="S287" s="872">
        <f t="shared" si="80"/>
        <v>900</v>
      </c>
      <c r="T287" s="872">
        <v>900</v>
      </c>
      <c r="U287" s="632"/>
      <c r="V287" s="632"/>
      <c r="W287" s="632"/>
      <c r="X287" s="632"/>
      <c r="Y287" s="177"/>
      <c r="Z287" s="177"/>
      <c r="AA287" s="177"/>
      <c r="AB287" s="177"/>
      <c r="AC287" s="177"/>
      <c r="AD287" s="177"/>
      <c r="AE287" s="177"/>
      <c r="AF287" s="177"/>
      <c r="AG287" s="637" t="s">
        <v>84</v>
      </c>
      <c r="AH287" s="173">
        <f t="shared" si="87"/>
        <v>1</v>
      </c>
    </row>
    <row r="288" spans="1:34" ht="112.5" x14ac:dyDescent="0.25">
      <c r="A288" s="626" t="s">
        <v>1912</v>
      </c>
      <c r="B288" s="494" t="s">
        <v>1890</v>
      </c>
      <c r="C288" s="628" t="s">
        <v>1066</v>
      </c>
      <c r="D288" s="683"/>
      <c r="E288" s="628" t="s">
        <v>116</v>
      </c>
      <c r="F288" s="628"/>
      <c r="G288" s="630">
        <f t="shared" si="83"/>
        <v>1264</v>
      </c>
      <c r="H288" s="631">
        <v>1264</v>
      </c>
      <c r="I288" s="632"/>
      <c r="J288" s="632"/>
      <c r="K288" s="632"/>
      <c r="L288" s="632"/>
      <c r="M288" s="374"/>
      <c r="N288" s="377"/>
      <c r="O288" s="634"/>
      <c r="P288" s="634"/>
      <c r="Q288" s="498">
        <f t="shared" si="86"/>
        <v>950</v>
      </c>
      <c r="R288" s="636"/>
      <c r="S288" s="872">
        <f t="shared" si="80"/>
        <v>950</v>
      </c>
      <c r="T288" s="872">
        <v>950</v>
      </c>
      <c r="U288" s="632"/>
      <c r="V288" s="632"/>
      <c r="W288" s="632"/>
      <c r="X288" s="632"/>
      <c r="Y288" s="177"/>
      <c r="Z288" s="177"/>
      <c r="AA288" s="177"/>
      <c r="AB288" s="177"/>
      <c r="AC288" s="177"/>
      <c r="AD288" s="177"/>
      <c r="AE288" s="177"/>
      <c r="AF288" s="177"/>
      <c r="AG288" s="637" t="s">
        <v>84</v>
      </c>
      <c r="AH288" s="173">
        <f t="shared" si="87"/>
        <v>1</v>
      </c>
    </row>
    <row r="289" spans="1:34" ht="56.25" x14ac:dyDescent="0.25">
      <c r="A289" s="626" t="s">
        <v>1913</v>
      </c>
      <c r="B289" s="495" t="s">
        <v>1891</v>
      </c>
      <c r="C289" s="628" t="s">
        <v>1066</v>
      </c>
      <c r="D289" s="683"/>
      <c r="E289" s="628" t="s">
        <v>116</v>
      </c>
      <c r="F289" s="628"/>
      <c r="G289" s="630">
        <f t="shared" si="83"/>
        <v>1238</v>
      </c>
      <c r="H289" s="631">
        <v>1238</v>
      </c>
      <c r="I289" s="632"/>
      <c r="J289" s="632"/>
      <c r="K289" s="632"/>
      <c r="L289" s="632"/>
      <c r="M289" s="374"/>
      <c r="N289" s="377"/>
      <c r="O289" s="634"/>
      <c r="P289" s="634"/>
      <c r="Q289" s="498">
        <f t="shared" si="86"/>
        <v>900</v>
      </c>
      <c r="R289" s="636"/>
      <c r="S289" s="872">
        <f t="shared" si="80"/>
        <v>900</v>
      </c>
      <c r="T289" s="872">
        <v>900</v>
      </c>
      <c r="U289" s="632"/>
      <c r="V289" s="632"/>
      <c r="W289" s="632"/>
      <c r="X289" s="632"/>
      <c r="Y289" s="177"/>
      <c r="Z289" s="177"/>
      <c r="AA289" s="177"/>
      <c r="AB289" s="177"/>
      <c r="AC289" s="177"/>
      <c r="AD289" s="177"/>
      <c r="AE289" s="177"/>
      <c r="AF289" s="177"/>
      <c r="AG289" s="637" t="s">
        <v>84</v>
      </c>
      <c r="AH289" s="173">
        <f t="shared" si="87"/>
        <v>1</v>
      </c>
    </row>
    <row r="290" spans="1:34" ht="75" x14ac:dyDescent="0.25">
      <c r="A290" s="626" t="s">
        <v>1914</v>
      </c>
      <c r="B290" s="495" t="s">
        <v>1892</v>
      </c>
      <c r="C290" s="628" t="s">
        <v>1066</v>
      </c>
      <c r="D290" s="683"/>
      <c r="E290" s="628" t="s">
        <v>116</v>
      </c>
      <c r="F290" s="628"/>
      <c r="G290" s="630">
        <f t="shared" si="83"/>
        <v>1262</v>
      </c>
      <c r="H290" s="631">
        <v>1262</v>
      </c>
      <c r="I290" s="632"/>
      <c r="J290" s="632"/>
      <c r="K290" s="632"/>
      <c r="L290" s="632"/>
      <c r="M290" s="374"/>
      <c r="N290" s="377"/>
      <c r="O290" s="634"/>
      <c r="P290" s="634"/>
      <c r="Q290" s="498">
        <f t="shared" si="86"/>
        <v>950</v>
      </c>
      <c r="R290" s="636"/>
      <c r="S290" s="872">
        <f t="shared" si="80"/>
        <v>950</v>
      </c>
      <c r="T290" s="872">
        <v>950</v>
      </c>
      <c r="U290" s="632"/>
      <c r="V290" s="632"/>
      <c r="W290" s="632"/>
      <c r="X290" s="632"/>
      <c r="Y290" s="177"/>
      <c r="Z290" s="177"/>
      <c r="AA290" s="177"/>
      <c r="AB290" s="177"/>
      <c r="AC290" s="177"/>
      <c r="AD290" s="177"/>
      <c r="AE290" s="177"/>
      <c r="AF290" s="177"/>
      <c r="AG290" s="637" t="s">
        <v>84</v>
      </c>
      <c r="AH290" s="173">
        <f t="shared" si="87"/>
        <v>1</v>
      </c>
    </row>
    <row r="291" spans="1:34" ht="93.75" x14ac:dyDescent="0.25">
      <c r="A291" s="626" t="s">
        <v>1915</v>
      </c>
      <c r="B291" s="494" t="s">
        <v>1893</v>
      </c>
      <c r="C291" s="628" t="s">
        <v>1066</v>
      </c>
      <c r="D291" s="683"/>
      <c r="E291" s="628" t="s">
        <v>116</v>
      </c>
      <c r="F291" s="628"/>
      <c r="G291" s="630">
        <f t="shared" si="83"/>
        <v>1221</v>
      </c>
      <c r="H291" s="631">
        <v>1221</v>
      </c>
      <c r="I291" s="632"/>
      <c r="J291" s="632"/>
      <c r="K291" s="632"/>
      <c r="L291" s="632"/>
      <c r="M291" s="374"/>
      <c r="N291" s="377"/>
      <c r="O291" s="634"/>
      <c r="P291" s="634"/>
      <c r="Q291" s="498">
        <f t="shared" si="86"/>
        <v>800</v>
      </c>
      <c r="R291" s="636"/>
      <c r="S291" s="872">
        <f t="shared" si="80"/>
        <v>800</v>
      </c>
      <c r="T291" s="872">
        <v>800</v>
      </c>
      <c r="U291" s="632"/>
      <c r="V291" s="632"/>
      <c r="W291" s="632"/>
      <c r="X291" s="632"/>
      <c r="Y291" s="177"/>
      <c r="Z291" s="177"/>
      <c r="AA291" s="177"/>
      <c r="AB291" s="177"/>
      <c r="AC291" s="177"/>
      <c r="AD291" s="177"/>
      <c r="AE291" s="177"/>
      <c r="AF291" s="177"/>
      <c r="AG291" s="637" t="s">
        <v>84</v>
      </c>
      <c r="AH291" s="173">
        <f t="shared" si="87"/>
        <v>1</v>
      </c>
    </row>
    <row r="292" spans="1:34" ht="112.5" x14ac:dyDescent="0.25">
      <c r="A292" s="626" t="s">
        <v>1916</v>
      </c>
      <c r="B292" s="496" t="s">
        <v>2096</v>
      </c>
      <c r="C292" s="628" t="s">
        <v>1066</v>
      </c>
      <c r="D292" s="683"/>
      <c r="E292" s="628" t="s">
        <v>116</v>
      </c>
      <c r="F292" s="628"/>
      <c r="G292" s="630">
        <f t="shared" si="83"/>
        <v>1226</v>
      </c>
      <c r="H292" s="631">
        <v>1226</v>
      </c>
      <c r="I292" s="632"/>
      <c r="J292" s="632"/>
      <c r="K292" s="632"/>
      <c r="L292" s="632"/>
      <c r="M292" s="374"/>
      <c r="N292" s="377"/>
      <c r="O292" s="634"/>
      <c r="P292" s="634"/>
      <c r="Q292" s="498">
        <f t="shared" si="86"/>
        <v>900</v>
      </c>
      <c r="R292" s="636"/>
      <c r="S292" s="872">
        <f t="shared" si="80"/>
        <v>900</v>
      </c>
      <c r="T292" s="872">
        <v>900</v>
      </c>
      <c r="U292" s="632"/>
      <c r="V292" s="632"/>
      <c r="W292" s="632"/>
      <c r="X292" s="632"/>
      <c r="Y292" s="177"/>
      <c r="Z292" s="177"/>
      <c r="AA292" s="177"/>
      <c r="AB292" s="177"/>
      <c r="AC292" s="177"/>
      <c r="AD292" s="177"/>
      <c r="AE292" s="177"/>
      <c r="AF292" s="177"/>
      <c r="AG292" s="637" t="s">
        <v>84</v>
      </c>
      <c r="AH292" s="173">
        <f t="shared" si="87"/>
        <v>1</v>
      </c>
    </row>
    <row r="293" spans="1:34" ht="93.75" x14ac:dyDescent="0.25">
      <c r="A293" s="626" t="s">
        <v>1917</v>
      </c>
      <c r="B293" s="495" t="s">
        <v>1894</v>
      </c>
      <c r="C293" s="628" t="s">
        <v>1066</v>
      </c>
      <c r="D293" s="683"/>
      <c r="E293" s="628" t="s">
        <v>116</v>
      </c>
      <c r="F293" s="628"/>
      <c r="G293" s="630">
        <f t="shared" si="83"/>
        <v>921</v>
      </c>
      <c r="H293" s="631">
        <v>921</v>
      </c>
      <c r="I293" s="632"/>
      <c r="J293" s="632"/>
      <c r="K293" s="632"/>
      <c r="L293" s="632"/>
      <c r="M293" s="374"/>
      <c r="N293" s="377"/>
      <c r="O293" s="634"/>
      <c r="P293" s="634"/>
      <c r="Q293" s="498">
        <f t="shared" si="86"/>
        <v>700</v>
      </c>
      <c r="R293" s="636"/>
      <c r="S293" s="872">
        <f t="shared" si="80"/>
        <v>700</v>
      </c>
      <c r="T293" s="872">
        <v>700</v>
      </c>
      <c r="U293" s="632"/>
      <c r="V293" s="632"/>
      <c r="W293" s="632"/>
      <c r="X293" s="632"/>
      <c r="Y293" s="177"/>
      <c r="Z293" s="177"/>
      <c r="AA293" s="177"/>
      <c r="AB293" s="177"/>
      <c r="AC293" s="177"/>
      <c r="AD293" s="177"/>
      <c r="AE293" s="177"/>
      <c r="AF293" s="177"/>
      <c r="AG293" s="637" t="s">
        <v>84</v>
      </c>
      <c r="AH293" s="173">
        <f t="shared" si="87"/>
        <v>1</v>
      </c>
    </row>
    <row r="294" spans="1:34" ht="56.25" x14ac:dyDescent="0.25">
      <c r="A294" s="626" t="s">
        <v>1918</v>
      </c>
      <c r="B294" s="495" t="s">
        <v>1895</v>
      </c>
      <c r="C294" s="628" t="s">
        <v>1066</v>
      </c>
      <c r="D294" s="683"/>
      <c r="E294" s="628" t="s">
        <v>116</v>
      </c>
      <c r="F294" s="628"/>
      <c r="G294" s="630">
        <f t="shared" si="83"/>
        <v>1750</v>
      </c>
      <c r="H294" s="631">
        <v>1750</v>
      </c>
      <c r="I294" s="632"/>
      <c r="J294" s="632"/>
      <c r="K294" s="632"/>
      <c r="L294" s="632"/>
      <c r="M294" s="374"/>
      <c r="N294" s="377"/>
      <c r="O294" s="634"/>
      <c r="P294" s="634"/>
      <c r="Q294" s="498">
        <f t="shared" si="86"/>
        <v>1200</v>
      </c>
      <c r="R294" s="636"/>
      <c r="S294" s="872">
        <f t="shared" si="80"/>
        <v>1200</v>
      </c>
      <c r="T294" s="872">
        <v>1200</v>
      </c>
      <c r="U294" s="632"/>
      <c r="V294" s="632"/>
      <c r="W294" s="632"/>
      <c r="X294" s="632"/>
      <c r="Y294" s="177"/>
      <c r="Z294" s="177"/>
      <c r="AA294" s="177"/>
      <c r="AB294" s="177"/>
      <c r="AC294" s="177"/>
      <c r="AD294" s="177"/>
      <c r="AE294" s="177"/>
      <c r="AF294" s="177"/>
      <c r="AG294" s="637" t="s">
        <v>84</v>
      </c>
      <c r="AH294" s="173">
        <f t="shared" si="87"/>
        <v>1</v>
      </c>
    </row>
    <row r="295" spans="1:34" ht="93.75" x14ac:dyDescent="0.25">
      <c r="A295" s="626" t="s">
        <v>1919</v>
      </c>
      <c r="B295" s="497" t="s">
        <v>1896</v>
      </c>
      <c r="C295" s="628" t="s">
        <v>1066</v>
      </c>
      <c r="D295" s="683"/>
      <c r="E295" s="628" t="s">
        <v>116</v>
      </c>
      <c r="F295" s="628"/>
      <c r="G295" s="630">
        <f t="shared" si="83"/>
        <v>716</v>
      </c>
      <c r="H295" s="631">
        <v>716</v>
      </c>
      <c r="I295" s="632"/>
      <c r="J295" s="632"/>
      <c r="K295" s="632"/>
      <c r="L295" s="632"/>
      <c r="M295" s="374"/>
      <c r="N295" s="377"/>
      <c r="O295" s="634"/>
      <c r="P295" s="634"/>
      <c r="Q295" s="498">
        <f t="shared" si="86"/>
        <v>550</v>
      </c>
      <c r="R295" s="636"/>
      <c r="S295" s="872">
        <f t="shared" si="80"/>
        <v>550</v>
      </c>
      <c r="T295" s="872">
        <v>550</v>
      </c>
      <c r="U295" s="632"/>
      <c r="V295" s="632"/>
      <c r="W295" s="632"/>
      <c r="X295" s="632"/>
      <c r="Y295" s="177"/>
      <c r="Z295" s="177"/>
      <c r="AA295" s="177"/>
      <c r="AB295" s="177"/>
      <c r="AC295" s="177"/>
      <c r="AD295" s="177"/>
      <c r="AE295" s="177"/>
      <c r="AF295" s="177"/>
      <c r="AG295" s="637" t="s">
        <v>84</v>
      </c>
      <c r="AH295" s="173">
        <f t="shared" si="87"/>
        <v>1</v>
      </c>
    </row>
    <row r="296" spans="1:34" ht="37.5" x14ac:dyDescent="0.25">
      <c r="A296" s="626" t="s">
        <v>1920</v>
      </c>
      <c r="B296" s="495" t="s">
        <v>1897</v>
      </c>
      <c r="C296" s="628" t="s">
        <v>1066</v>
      </c>
      <c r="D296" s="683"/>
      <c r="E296" s="628" t="s">
        <v>116</v>
      </c>
      <c r="F296" s="628"/>
      <c r="G296" s="630">
        <f t="shared" si="83"/>
        <v>2858</v>
      </c>
      <c r="H296" s="631">
        <v>2858</v>
      </c>
      <c r="I296" s="632"/>
      <c r="J296" s="632"/>
      <c r="K296" s="632"/>
      <c r="L296" s="632"/>
      <c r="M296" s="374"/>
      <c r="N296" s="377"/>
      <c r="O296" s="634"/>
      <c r="P296" s="634"/>
      <c r="Q296" s="498">
        <f t="shared" si="86"/>
        <v>2200</v>
      </c>
      <c r="R296" s="636"/>
      <c r="S296" s="872">
        <f t="shared" si="80"/>
        <v>2200</v>
      </c>
      <c r="T296" s="872">
        <v>2200</v>
      </c>
      <c r="U296" s="632"/>
      <c r="V296" s="632"/>
      <c r="W296" s="632"/>
      <c r="X296" s="632"/>
      <c r="Y296" s="177"/>
      <c r="Z296" s="177"/>
      <c r="AA296" s="177"/>
      <c r="AB296" s="177"/>
      <c r="AC296" s="177"/>
      <c r="AD296" s="177"/>
      <c r="AE296" s="177"/>
      <c r="AF296" s="177"/>
      <c r="AG296" s="637" t="s">
        <v>84</v>
      </c>
      <c r="AH296" s="173">
        <f t="shared" si="87"/>
        <v>1</v>
      </c>
    </row>
    <row r="297" spans="1:34" ht="37.5" x14ac:dyDescent="0.25">
      <c r="A297" s="626" t="s">
        <v>1921</v>
      </c>
      <c r="B297" s="495" t="s">
        <v>1898</v>
      </c>
      <c r="C297" s="628" t="s">
        <v>1066</v>
      </c>
      <c r="D297" s="683"/>
      <c r="E297" s="628" t="s">
        <v>116</v>
      </c>
      <c r="F297" s="628"/>
      <c r="G297" s="630">
        <f t="shared" si="83"/>
        <v>1923</v>
      </c>
      <c r="H297" s="631">
        <v>1923</v>
      </c>
      <c r="I297" s="632"/>
      <c r="J297" s="632"/>
      <c r="K297" s="632"/>
      <c r="L297" s="632"/>
      <c r="M297" s="374"/>
      <c r="N297" s="377"/>
      <c r="O297" s="634"/>
      <c r="P297" s="634"/>
      <c r="Q297" s="498">
        <f t="shared" si="86"/>
        <v>1500</v>
      </c>
      <c r="R297" s="636"/>
      <c r="S297" s="872">
        <f t="shared" si="80"/>
        <v>1500</v>
      </c>
      <c r="T297" s="872">
        <v>1500</v>
      </c>
      <c r="U297" s="632"/>
      <c r="V297" s="632"/>
      <c r="W297" s="632"/>
      <c r="X297" s="632"/>
      <c r="Y297" s="177"/>
      <c r="Z297" s="177"/>
      <c r="AA297" s="177"/>
      <c r="AB297" s="177"/>
      <c r="AC297" s="177"/>
      <c r="AD297" s="177"/>
      <c r="AE297" s="177"/>
      <c r="AF297" s="177"/>
      <c r="AG297" s="637" t="s">
        <v>84</v>
      </c>
      <c r="AH297" s="173">
        <f t="shared" si="87"/>
        <v>1</v>
      </c>
    </row>
    <row r="298" spans="1:34" ht="75" x14ac:dyDescent="0.25">
      <c r="A298" s="626" t="s">
        <v>1922</v>
      </c>
      <c r="B298" s="495" t="s">
        <v>1899</v>
      </c>
      <c r="C298" s="628" t="s">
        <v>1066</v>
      </c>
      <c r="D298" s="683"/>
      <c r="E298" s="628" t="s">
        <v>116</v>
      </c>
      <c r="F298" s="628"/>
      <c r="G298" s="630">
        <f t="shared" si="83"/>
        <v>1248</v>
      </c>
      <c r="H298" s="631">
        <v>1248</v>
      </c>
      <c r="I298" s="632"/>
      <c r="J298" s="632"/>
      <c r="K298" s="632"/>
      <c r="L298" s="632"/>
      <c r="M298" s="374"/>
      <c r="N298" s="377"/>
      <c r="O298" s="634"/>
      <c r="P298" s="634"/>
      <c r="Q298" s="498">
        <f t="shared" si="86"/>
        <v>950</v>
      </c>
      <c r="R298" s="636"/>
      <c r="S298" s="872">
        <f t="shared" si="80"/>
        <v>950</v>
      </c>
      <c r="T298" s="872">
        <v>950</v>
      </c>
      <c r="U298" s="632"/>
      <c r="V298" s="632"/>
      <c r="W298" s="632"/>
      <c r="X298" s="632"/>
      <c r="Y298" s="177"/>
      <c r="Z298" s="177"/>
      <c r="AA298" s="177"/>
      <c r="AB298" s="177"/>
      <c r="AC298" s="177"/>
      <c r="AD298" s="177"/>
      <c r="AE298" s="177"/>
      <c r="AF298" s="177"/>
      <c r="AG298" s="637" t="s">
        <v>84</v>
      </c>
      <c r="AH298" s="173">
        <f t="shared" si="87"/>
        <v>1</v>
      </c>
    </row>
    <row r="299" spans="1:34" ht="56.25" x14ac:dyDescent="0.25">
      <c r="A299" s="626" t="s">
        <v>1923</v>
      </c>
      <c r="B299" s="495" t="s">
        <v>1900</v>
      </c>
      <c r="C299" s="628" t="s">
        <v>1066</v>
      </c>
      <c r="D299" s="683"/>
      <c r="E299" s="628" t="s">
        <v>116</v>
      </c>
      <c r="F299" s="628"/>
      <c r="G299" s="630">
        <f t="shared" si="83"/>
        <v>866</v>
      </c>
      <c r="H299" s="631">
        <v>866</v>
      </c>
      <c r="I299" s="632"/>
      <c r="J299" s="632"/>
      <c r="K299" s="632"/>
      <c r="L299" s="632"/>
      <c r="M299" s="374"/>
      <c r="N299" s="377"/>
      <c r="O299" s="634"/>
      <c r="P299" s="634"/>
      <c r="Q299" s="498">
        <f t="shared" si="86"/>
        <v>550</v>
      </c>
      <c r="R299" s="636"/>
      <c r="S299" s="872">
        <f t="shared" si="80"/>
        <v>550</v>
      </c>
      <c r="T299" s="872">
        <v>550</v>
      </c>
      <c r="U299" s="632"/>
      <c r="V299" s="632"/>
      <c r="W299" s="632"/>
      <c r="X299" s="632"/>
      <c r="Y299" s="177"/>
      <c r="Z299" s="177"/>
      <c r="AA299" s="177"/>
      <c r="AB299" s="177"/>
      <c r="AC299" s="177"/>
      <c r="AD299" s="177"/>
      <c r="AE299" s="177"/>
      <c r="AF299" s="177"/>
      <c r="AG299" s="637" t="s">
        <v>84</v>
      </c>
      <c r="AH299" s="173">
        <f t="shared" si="87"/>
        <v>1</v>
      </c>
    </row>
    <row r="300" spans="1:34" ht="37.5" x14ac:dyDescent="0.25">
      <c r="A300" s="626" t="s">
        <v>1924</v>
      </c>
      <c r="B300" s="495" t="s">
        <v>1901</v>
      </c>
      <c r="C300" s="628" t="s">
        <v>1066</v>
      </c>
      <c r="D300" s="683"/>
      <c r="E300" s="628" t="s">
        <v>116</v>
      </c>
      <c r="F300" s="628"/>
      <c r="G300" s="630">
        <f t="shared" si="83"/>
        <v>1000</v>
      </c>
      <c r="H300" s="631">
        <v>1000</v>
      </c>
      <c r="I300" s="632"/>
      <c r="J300" s="632"/>
      <c r="K300" s="632"/>
      <c r="L300" s="632"/>
      <c r="M300" s="374"/>
      <c r="N300" s="377"/>
      <c r="O300" s="634"/>
      <c r="P300" s="634"/>
      <c r="Q300" s="498">
        <f t="shared" si="86"/>
        <v>800</v>
      </c>
      <c r="R300" s="636"/>
      <c r="S300" s="872">
        <f t="shared" si="80"/>
        <v>800</v>
      </c>
      <c r="T300" s="872">
        <v>800</v>
      </c>
      <c r="U300" s="632"/>
      <c r="V300" s="632"/>
      <c r="W300" s="632"/>
      <c r="X300" s="632"/>
      <c r="Y300" s="177"/>
      <c r="Z300" s="177"/>
      <c r="AA300" s="177"/>
      <c r="AB300" s="177"/>
      <c r="AC300" s="177"/>
      <c r="AD300" s="177"/>
      <c r="AE300" s="177"/>
      <c r="AF300" s="177"/>
      <c r="AG300" s="637" t="s">
        <v>84</v>
      </c>
      <c r="AH300" s="173">
        <f t="shared" si="87"/>
        <v>1</v>
      </c>
    </row>
    <row r="301" spans="1:34" ht="37.5" x14ac:dyDescent="0.25">
      <c r="A301" s="626" t="s">
        <v>1925</v>
      </c>
      <c r="B301" s="495" t="s">
        <v>1902</v>
      </c>
      <c r="C301" s="628" t="s">
        <v>1066</v>
      </c>
      <c r="D301" s="683"/>
      <c r="E301" s="628" t="s">
        <v>116</v>
      </c>
      <c r="F301" s="628"/>
      <c r="G301" s="630">
        <f t="shared" si="83"/>
        <v>429</v>
      </c>
      <c r="H301" s="631">
        <v>429</v>
      </c>
      <c r="I301" s="632"/>
      <c r="J301" s="632"/>
      <c r="K301" s="632"/>
      <c r="L301" s="632"/>
      <c r="M301" s="859"/>
      <c r="N301" s="863"/>
      <c r="O301" s="634"/>
      <c r="P301" s="634"/>
      <c r="Q301" s="498">
        <f t="shared" si="86"/>
        <v>350</v>
      </c>
      <c r="R301" s="636"/>
      <c r="S301" s="872">
        <f t="shared" si="80"/>
        <v>350</v>
      </c>
      <c r="T301" s="872">
        <v>350</v>
      </c>
      <c r="U301" s="632"/>
      <c r="V301" s="632"/>
      <c r="W301" s="632"/>
      <c r="X301" s="632"/>
      <c r="Y301" s="177"/>
      <c r="Z301" s="177"/>
      <c r="AA301" s="177"/>
      <c r="AB301" s="177"/>
      <c r="AC301" s="177"/>
      <c r="AD301" s="177"/>
      <c r="AE301" s="177"/>
      <c r="AF301" s="177"/>
      <c r="AG301" s="637" t="s">
        <v>84</v>
      </c>
      <c r="AH301" s="173">
        <f t="shared" si="87"/>
        <v>1</v>
      </c>
    </row>
    <row r="302" spans="1:34" s="362" customFormat="1" ht="49.5" hidden="1" x14ac:dyDescent="0.25">
      <c r="A302" s="581" t="s">
        <v>879</v>
      </c>
      <c r="B302" s="582" t="s">
        <v>1292</v>
      </c>
      <c r="C302" s="583"/>
      <c r="D302" s="584"/>
      <c r="E302" s="585" t="s">
        <v>101</v>
      </c>
      <c r="F302" s="583"/>
      <c r="G302" s="586">
        <f>SUM(G303:G313)</f>
        <v>146540</v>
      </c>
      <c r="H302" s="586">
        <f>SUM(H303:H313)</f>
        <v>146540</v>
      </c>
      <c r="I302" s="587"/>
      <c r="J302" s="587"/>
      <c r="K302" s="587"/>
      <c r="L302" s="587"/>
      <c r="M302" s="586">
        <f t="shared" ref="M302:AF302" si="88">SUM(M303:M313)</f>
        <v>124500</v>
      </c>
      <c r="N302" s="586">
        <f t="shared" si="88"/>
        <v>124500</v>
      </c>
      <c r="O302" s="588">
        <f t="shared" si="88"/>
        <v>124500</v>
      </c>
      <c r="P302" s="588">
        <f t="shared" si="88"/>
        <v>124500</v>
      </c>
      <c r="Q302" s="586">
        <f t="shared" si="88"/>
        <v>0</v>
      </c>
      <c r="R302" s="586">
        <f t="shared" si="88"/>
        <v>0</v>
      </c>
      <c r="S302" s="589">
        <f t="shared" si="88"/>
        <v>124500</v>
      </c>
      <c r="T302" s="589">
        <f t="shared" si="88"/>
        <v>124500</v>
      </c>
      <c r="U302" s="588">
        <f t="shared" si="88"/>
        <v>0</v>
      </c>
      <c r="V302" s="588">
        <f t="shared" si="88"/>
        <v>0</v>
      </c>
      <c r="W302" s="588">
        <f t="shared" si="88"/>
        <v>9030</v>
      </c>
      <c r="X302" s="588">
        <f t="shared" si="88"/>
        <v>9030</v>
      </c>
      <c r="Y302" s="376">
        <f t="shared" si="88"/>
        <v>0</v>
      </c>
      <c r="Z302" s="376">
        <f t="shared" si="88"/>
        <v>0</v>
      </c>
      <c r="AA302" s="376">
        <f t="shared" si="88"/>
        <v>0</v>
      </c>
      <c r="AB302" s="376">
        <f t="shared" si="88"/>
        <v>0</v>
      </c>
      <c r="AC302" s="376">
        <f t="shared" si="88"/>
        <v>0</v>
      </c>
      <c r="AD302" s="376">
        <f t="shared" si="88"/>
        <v>0</v>
      </c>
      <c r="AE302" s="376">
        <f t="shared" si="88"/>
        <v>0</v>
      </c>
      <c r="AF302" s="376">
        <f t="shared" si="88"/>
        <v>0</v>
      </c>
      <c r="AG302" s="590"/>
      <c r="AH302" s="173">
        <f t="shared" si="87"/>
        <v>0</v>
      </c>
    </row>
    <row r="303" spans="1:34" ht="33" hidden="1" x14ac:dyDescent="0.25">
      <c r="A303" s="184">
        <v>1</v>
      </c>
      <c r="B303" s="375" t="s">
        <v>1291</v>
      </c>
      <c r="C303" s="188" t="s">
        <v>194</v>
      </c>
      <c r="D303" s="182" t="s">
        <v>1290</v>
      </c>
      <c r="E303" s="188" t="s">
        <v>248</v>
      </c>
      <c r="F303" s="180"/>
      <c r="G303" s="374">
        <v>7313</v>
      </c>
      <c r="H303" s="374">
        <v>7313</v>
      </c>
      <c r="I303" s="175"/>
      <c r="J303" s="175"/>
      <c r="K303" s="175"/>
      <c r="L303" s="175"/>
      <c r="M303" s="179">
        <f>N303</f>
        <v>6000</v>
      </c>
      <c r="N303" s="179">
        <v>6000</v>
      </c>
      <c r="O303" s="178">
        <f>P303</f>
        <v>6000</v>
      </c>
      <c r="P303" s="178">
        <v>6000</v>
      </c>
      <c r="Q303" s="176"/>
      <c r="R303" s="176"/>
      <c r="S303" s="456">
        <f>T303</f>
        <v>6000</v>
      </c>
      <c r="T303" s="456">
        <v>6000</v>
      </c>
      <c r="U303" s="175"/>
      <c r="V303" s="175"/>
      <c r="W303" s="175">
        <f>X303</f>
        <v>5950</v>
      </c>
      <c r="X303" s="175">
        <v>5950</v>
      </c>
      <c r="Y303" s="175"/>
      <c r="Z303" s="175"/>
      <c r="AA303" s="175"/>
      <c r="AB303" s="175"/>
      <c r="AC303" s="175"/>
      <c r="AD303" s="175"/>
      <c r="AE303" s="175"/>
      <c r="AF303" s="175"/>
      <c r="AG303" s="174"/>
      <c r="AH303" s="173">
        <f t="shared" si="87"/>
        <v>0</v>
      </c>
    </row>
    <row r="304" spans="1:34" ht="16.5" hidden="1" x14ac:dyDescent="0.25">
      <c r="A304" s="184">
        <v>2</v>
      </c>
      <c r="B304" s="375" t="s">
        <v>1289</v>
      </c>
      <c r="C304" s="188" t="s">
        <v>194</v>
      </c>
      <c r="D304" s="182" t="s">
        <v>1288</v>
      </c>
      <c r="E304" s="188" t="s">
        <v>248</v>
      </c>
      <c r="F304" s="180"/>
      <c r="G304" s="374">
        <v>3734</v>
      </c>
      <c r="H304" s="374">
        <v>3734</v>
      </c>
      <c r="I304" s="175"/>
      <c r="J304" s="175"/>
      <c r="K304" s="175"/>
      <c r="L304" s="175"/>
      <c r="M304" s="179">
        <f>N304</f>
        <v>3200</v>
      </c>
      <c r="N304" s="179">
        <v>3200</v>
      </c>
      <c r="O304" s="178">
        <f>P304</f>
        <v>3200</v>
      </c>
      <c r="P304" s="178">
        <v>3200</v>
      </c>
      <c r="Q304" s="176"/>
      <c r="R304" s="176"/>
      <c r="S304" s="456">
        <f>T304</f>
        <v>3200</v>
      </c>
      <c r="T304" s="456">
        <v>3200</v>
      </c>
      <c r="U304" s="175"/>
      <c r="V304" s="175"/>
      <c r="W304" s="175">
        <f>X304</f>
        <v>3080</v>
      </c>
      <c r="X304" s="175">
        <v>3080</v>
      </c>
      <c r="Y304" s="175"/>
      <c r="Z304" s="175"/>
      <c r="AA304" s="175"/>
      <c r="AB304" s="175"/>
      <c r="AC304" s="175"/>
      <c r="AD304" s="175"/>
      <c r="AE304" s="175"/>
      <c r="AF304" s="175"/>
      <c r="AG304" s="174"/>
      <c r="AH304" s="173">
        <f t="shared" si="87"/>
        <v>0</v>
      </c>
    </row>
    <row r="305" spans="1:34" ht="33" hidden="1" x14ac:dyDescent="0.25">
      <c r="A305" s="184">
        <v>3</v>
      </c>
      <c r="B305" s="375" t="s">
        <v>1287</v>
      </c>
      <c r="C305" s="188" t="s">
        <v>194</v>
      </c>
      <c r="D305" s="182" t="s">
        <v>1286</v>
      </c>
      <c r="E305" s="188" t="s">
        <v>248</v>
      </c>
      <c r="F305" s="180"/>
      <c r="G305" s="374">
        <v>6342</v>
      </c>
      <c r="H305" s="374">
        <v>6342</v>
      </c>
      <c r="I305" s="175"/>
      <c r="J305" s="175"/>
      <c r="K305" s="175"/>
      <c r="L305" s="175"/>
      <c r="M305" s="179">
        <f>N305</f>
        <v>4800</v>
      </c>
      <c r="N305" s="179">
        <v>4800</v>
      </c>
      <c r="O305" s="178">
        <f>P305</f>
        <v>4800</v>
      </c>
      <c r="P305" s="178">
        <v>4800</v>
      </c>
      <c r="Q305" s="176"/>
      <c r="R305" s="176"/>
      <c r="S305" s="456">
        <f>T305</f>
        <v>4800</v>
      </c>
      <c r="T305" s="456">
        <v>4800</v>
      </c>
      <c r="U305" s="175"/>
      <c r="V305" s="175"/>
      <c r="W305" s="175"/>
      <c r="X305" s="175"/>
      <c r="Y305" s="175"/>
      <c r="Z305" s="175"/>
      <c r="AA305" s="175"/>
      <c r="AB305" s="175"/>
      <c r="AC305" s="175"/>
      <c r="AD305" s="175"/>
      <c r="AE305" s="175"/>
      <c r="AF305" s="175"/>
      <c r="AG305" s="174"/>
      <c r="AH305" s="173">
        <f t="shared" si="87"/>
        <v>0</v>
      </c>
    </row>
    <row r="306" spans="1:34" ht="66" hidden="1" x14ac:dyDescent="0.25">
      <c r="A306" s="184">
        <v>4</v>
      </c>
      <c r="B306" s="375" t="s">
        <v>1285</v>
      </c>
      <c r="C306" s="188" t="s">
        <v>1284</v>
      </c>
      <c r="D306" s="182"/>
      <c r="E306" s="188" t="s">
        <v>116</v>
      </c>
      <c r="F306" s="180"/>
      <c r="G306" s="341">
        <v>15500</v>
      </c>
      <c r="H306" s="341">
        <v>15500</v>
      </c>
      <c r="I306" s="175"/>
      <c r="J306" s="175"/>
      <c r="K306" s="175"/>
      <c r="L306" s="175"/>
      <c r="M306" s="179">
        <v>15000</v>
      </c>
      <c r="N306" s="179">
        <v>15000</v>
      </c>
      <c r="O306" s="178">
        <v>15000</v>
      </c>
      <c r="P306" s="178">
        <v>15000</v>
      </c>
      <c r="Q306" s="176"/>
      <c r="R306" s="176"/>
      <c r="S306" s="456">
        <v>15000</v>
      </c>
      <c r="T306" s="456">
        <v>15000</v>
      </c>
      <c r="U306" s="175"/>
      <c r="V306" s="175"/>
      <c r="W306" s="175"/>
      <c r="X306" s="175"/>
      <c r="Y306" s="175"/>
      <c r="Z306" s="175"/>
      <c r="AA306" s="175"/>
      <c r="AB306" s="175"/>
      <c r="AC306" s="175"/>
      <c r="AD306" s="175"/>
      <c r="AE306" s="175"/>
      <c r="AF306" s="175"/>
      <c r="AG306" s="174"/>
      <c r="AH306" s="173">
        <f t="shared" si="87"/>
        <v>0</v>
      </c>
    </row>
    <row r="307" spans="1:34" ht="33" hidden="1" x14ac:dyDescent="0.25">
      <c r="A307" s="184">
        <v>5</v>
      </c>
      <c r="B307" s="375" t="s">
        <v>1283</v>
      </c>
      <c r="C307" s="188" t="s">
        <v>1282</v>
      </c>
      <c r="D307" s="182"/>
      <c r="E307" s="188" t="s">
        <v>116</v>
      </c>
      <c r="F307" s="180"/>
      <c r="G307" s="341">
        <v>15000</v>
      </c>
      <c r="H307" s="341">
        <v>15000</v>
      </c>
      <c r="I307" s="175"/>
      <c r="J307" s="175"/>
      <c r="K307" s="175"/>
      <c r="L307" s="175"/>
      <c r="M307" s="179">
        <v>15000</v>
      </c>
      <c r="N307" s="179">
        <v>15000</v>
      </c>
      <c r="O307" s="178">
        <v>15000</v>
      </c>
      <c r="P307" s="178">
        <v>15000</v>
      </c>
      <c r="Q307" s="176"/>
      <c r="R307" s="176"/>
      <c r="S307" s="456">
        <v>15000</v>
      </c>
      <c r="T307" s="456">
        <v>15000</v>
      </c>
      <c r="U307" s="175"/>
      <c r="V307" s="175"/>
      <c r="W307" s="175"/>
      <c r="X307" s="175"/>
      <c r="Y307" s="175"/>
      <c r="Z307" s="175"/>
      <c r="AA307" s="175"/>
      <c r="AB307" s="175"/>
      <c r="AC307" s="175"/>
      <c r="AD307" s="175"/>
      <c r="AE307" s="175"/>
      <c r="AF307" s="175"/>
      <c r="AG307" s="174"/>
      <c r="AH307" s="173">
        <f t="shared" si="87"/>
        <v>0</v>
      </c>
    </row>
    <row r="308" spans="1:34" ht="49.5" hidden="1" x14ac:dyDescent="0.25">
      <c r="A308" s="184">
        <v>6</v>
      </c>
      <c r="B308" s="375" t="s">
        <v>1281</v>
      </c>
      <c r="C308" s="188" t="s">
        <v>1280</v>
      </c>
      <c r="D308" s="182"/>
      <c r="E308" s="188" t="s">
        <v>116</v>
      </c>
      <c r="F308" s="180"/>
      <c r="G308" s="341">
        <v>15000</v>
      </c>
      <c r="H308" s="341">
        <v>15000</v>
      </c>
      <c r="I308" s="175"/>
      <c r="J308" s="175"/>
      <c r="K308" s="175"/>
      <c r="L308" s="175"/>
      <c r="M308" s="179">
        <v>15000</v>
      </c>
      <c r="N308" s="179">
        <v>15000</v>
      </c>
      <c r="O308" s="178">
        <v>15000</v>
      </c>
      <c r="P308" s="178">
        <v>15000</v>
      </c>
      <c r="Q308" s="176"/>
      <c r="R308" s="176"/>
      <c r="S308" s="456">
        <v>15000</v>
      </c>
      <c r="T308" s="456">
        <v>15000</v>
      </c>
      <c r="U308" s="175"/>
      <c r="V308" s="175"/>
      <c r="W308" s="175"/>
      <c r="X308" s="175"/>
      <c r="Y308" s="175"/>
      <c r="Z308" s="175"/>
      <c r="AA308" s="175"/>
      <c r="AB308" s="175"/>
      <c r="AC308" s="175"/>
      <c r="AD308" s="175"/>
      <c r="AE308" s="175"/>
      <c r="AF308" s="175"/>
      <c r="AG308" s="174"/>
      <c r="AH308" s="173">
        <f t="shared" si="87"/>
        <v>0</v>
      </c>
    </row>
    <row r="309" spans="1:34" ht="49.5" hidden="1" x14ac:dyDescent="0.25">
      <c r="A309" s="184">
        <v>7</v>
      </c>
      <c r="B309" s="375" t="s">
        <v>1279</v>
      </c>
      <c r="C309" s="188" t="s">
        <v>1278</v>
      </c>
      <c r="D309" s="182"/>
      <c r="E309" s="188" t="s">
        <v>116</v>
      </c>
      <c r="F309" s="188" t="s">
        <v>1277</v>
      </c>
      <c r="G309" s="341">
        <v>13747</v>
      </c>
      <c r="H309" s="341">
        <v>13747</v>
      </c>
      <c r="I309" s="175"/>
      <c r="J309" s="175"/>
      <c r="K309" s="175"/>
      <c r="L309" s="175"/>
      <c r="M309" s="179">
        <v>12500</v>
      </c>
      <c r="N309" s="179">
        <v>12500</v>
      </c>
      <c r="O309" s="178">
        <v>12500</v>
      </c>
      <c r="P309" s="178">
        <v>12500</v>
      </c>
      <c r="Q309" s="176"/>
      <c r="R309" s="176"/>
      <c r="S309" s="456">
        <v>12500</v>
      </c>
      <c r="T309" s="456">
        <v>12500</v>
      </c>
      <c r="U309" s="175"/>
      <c r="V309" s="175"/>
      <c r="W309" s="175"/>
      <c r="X309" s="175"/>
      <c r="Y309" s="175"/>
      <c r="Z309" s="175"/>
      <c r="AA309" s="175"/>
      <c r="AB309" s="175"/>
      <c r="AC309" s="175"/>
      <c r="AD309" s="175"/>
      <c r="AE309" s="175"/>
      <c r="AF309" s="175"/>
      <c r="AG309" s="174"/>
      <c r="AH309" s="173">
        <f t="shared" si="87"/>
        <v>0</v>
      </c>
    </row>
    <row r="310" spans="1:34" ht="49.5" hidden="1" x14ac:dyDescent="0.25">
      <c r="A310" s="184">
        <v>8</v>
      </c>
      <c r="B310" s="375" t="s">
        <v>1276</v>
      </c>
      <c r="C310" s="188" t="s">
        <v>1275</v>
      </c>
      <c r="D310" s="182"/>
      <c r="E310" s="188" t="s">
        <v>116</v>
      </c>
      <c r="F310" s="180"/>
      <c r="G310" s="341">
        <v>15000</v>
      </c>
      <c r="H310" s="341">
        <v>15000</v>
      </c>
      <c r="I310" s="175"/>
      <c r="J310" s="175"/>
      <c r="K310" s="175"/>
      <c r="L310" s="175"/>
      <c r="M310" s="179">
        <v>15000</v>
      </c>
      <c r="N310" s="179">
        <v>15000</v>
      </c>
      <c r="O310" s="178">
        <v>15000</v>
      </c>
      <c r="P310" s="178">
        <v>15000</v>
      </c>
      <c r="Q310" s="176"/>
      <c r="R310" s="176"/>
      <c r="S310" s="456">
        <v>15000</v>
      </c>
      <c r="T310" s="456">
        <v>15000</v>
      </c>
      <c r="U310" s="175"/>
      <c r="V310" s="175"/>
      <c r="W310" s="175"/>
      <c r="X310" s="175"/>
      <c r="Y310" s="175"/>
      <c r="Z310" s="175"/>
      <c r="AA310" s="175"/>
      <c r="AB310" s="175"/>
      <c r="AC310" s="175"/>
      <c r="AD310" s="175"/>
      <c r="AE310" s="175"/>
      <c r="AF310" s="175"/>
      <c r="AG310" s="174"/>
      <c r="AH310" s="173">
        <f t="shared" si="87"/>
        <v>0</v>
      </c>
    </row>
    <row r="311" spans="1:34" ht="33" hidden="1" x14ac:dyDescent="0.25">
      <c r="A311" s="184">
        <v>9</v>
      </c>
      <c r="B311" s="375" t="s">
        <v>1274</v>
      </c>
      <c r="C311" s="188" t="s">
        <v>1273</v>
      </c>
      <c r="D311" s="182"/>
      <c r="E311" s="188" t="s">
        <v>116</v>
      </c>
      <c r="F311" s="180"/>
      <c r="G311" s="341">
        <v>12000</v>
      </c>
      <c r="H311" s="341">
        <v>12000</v>
      </c>
      <c r="I311" s="175"/>
      <c r="J311" s="175"/>
      <c r="K311" s="175"/>
      <c r="L311" s="175"/>
      <c r="M311" s="179">
        <v>12000</v>
      </c>
      <c r="N311" s="179">
        <v>12000</v>
      </c>
      <c r="O311" s="178">
        <v>12000</v>
      </c>
      <c r="P311" s="178">
        <v>12000</v>
      </c>
      <c r="Q311" s="176"/>
      <c r="R311" s="176"/>
      <c r="S311" s="456">
        <v>12000</v>
      </c>
      <c r="T311" s="456">
        <v>12000</v>
      </c>
      <c r="U311" s="175"/>
      <c r="V311" s="175"/>
      <c r="W311" s="175"/>
      <c r="X311" s="175"/>
      <c r="Y311" s="175"/>
      <c r="Z311" s="175"/>
      <c r="AA311" s="175"/>
      <c r="AB311" s="175"/>
      <c r="AC311" s="175"/>
      <c r="AD311" s="175"/>
      <c r="AE311" s="175"/>
      <c r="AF311" s="175"/>
      <c r="AG311" s="174"/>
      <c r="AH311" s="173">
        <f t="shared" si="87"/>
        <v>0</v>
      </c>
    </row>
    <row r="312" spans="1:34" ht="49.5" hidden="1" x14ac:dyDescent="0.25">
      <c r="A312" s="184">
        <v>10</v>
      </c>
      <c r="B312" s="375" t="s">
        <v>1272</v>
      </c>
      <c r="C312" s="188" t="s">
        <v>1271</v>
      </c>
      <c r="D312" s="182"/>
      <c r="E312" s="188" t="s">
        <v>116</v>
      </c>
      <c r="F312" s="180"/>
      <c r="G312" s="341">
        <v>11000</v>
      </c>
      <c r="H312" s="341">
        <v>11000</v>
      </c>
      <c r="I312" s="175"/>
      <c r="J312" s="175"/>
      <c r="K312" s="175"/>
      <c r="L312" s="175"/>
      <c r="M312" s="179">
        <v>11000</v>
      </c>
      <c r="N312" s="179">
        <v>11000</v>
      </c>
      <c r="O312" s="178">
        <v>11000</v>
      </c>
      <c r="P312" s="178">
        <v>11000</v>
      </c>
      <c r="Q312" s="176"/>
      <c r="R312" s="176"/>
      <c r="S312" s="456">
        <v>11000</v>
      </c>
      <c r="T312" s="456">
        <v>11000</v>
      </c>
      <c r="U312" s="175"/>
      <c r="V312" s="175"/>
      <c r="W312" s="175"/>
      <c r="X312" s="175"/>
      <c r="Y312" s="175"/>
      <c r="Z312" s="175"/>
      <c r="AA312" s="175"/>
      <c r="AB312" s="175"/>
      <c r="AC312" s="175"/>
      <c r="AD312" s="175"/>
      <c r="AE312" s="175"/>
      <c r="AF312" s="175"/>
      <c r="AG312" s="174"/>
      <c r="AH312" s="173">
        <f t="shared" si="87"/>
        <v>0</v>
      </c>
    </row>
    <row r="313" spans="1:34" ht="16.5" hidden="1" x14ac:dyDescent="0.25">
      <c r="A313" s="184">
        <v>11</v>
      </c>
      <c r="B313" s="375" t="s">
        <v>1270</v>
      </c>
      <c r="C313" s="188" t="s">
        <v>58</v>
      </c>
      <c r="D313" s="182"/>
      <c r="E313" s="188" t="s">
        <v>116</v>
      </c>
      <c r="F313" s="180"/>
      <c r="G313" s="374">
        <v>31904</v>
      </c>
      <c r="H313" s="374">
        <v>31904</v>
      </c>
      <c r="I313" s="175"/>
      <c r="J313" s="175"/>
      <c r="K313" s="175"/>
      <c r="L313" s="175"/>
      <c r="M313" s="179">
        <v>15000</v>
      </c>
      <c r="N313" s="179">
        <v>15000</v>
      </c>
      <c r="O313" s="178">
        <v>15000</v>
      </c>
      <c r="P313" s="178">
        <v>15000</v>
      </c>
      <c r="Q313" s="176"/>
      <c r="R313" s="176"/>
      <c r="S313" s="456">
        <v>15000</v>
      </c>
      <c r="T313" s="456">
        <v>15000</v>
      </c>
      <c r="U313" s="175"/>
      <c r="V313" s="175"/>
      <c r="W313" s="175"/>
      <c r="X313" s="175"/>
      <c r="Y313" s="175"/>
      <c r="Z313" s="175"/>
      <c r="AA313" s="175"/>
      <c r="AB313" s="175"/>
      <c r="AC313" s="175"/>
      <c r="AD313" s="175"/>
      <c r="AE313" s="175"/>
      <c r="AF313" s="175"/>
      <c r="AG313" s="174"/>
      <c r="AH313" s="173">
        <f t="shared" si="87"/>
        <v>0</v>
      </c>
    </row>
    <row r="314" spans="1:34" s="362" customFormat="1" ht="49.5" hidden="1" x14ac:dyDescent="0.25">
      <c r="A314" s="368" t="s">
        <v>881</v>
      </c>
      <c r="B314" s="367" t="s">
        <v>1269</v>
      </c>
      <c r="C314" s="366"/>
      <c r="D314" s="373" t="s">
        <v>488</v>
      </c>
      <c r="E314" s="372" t="s">
        <v>101</v>
      </c>
      <c r="F314" s="366"/>
      <c r="G314" s="371">
        <v>75560</v>
      </c>
      <c r="H314" s="371">
        <v>20000</v>
      </c>
      <c r="I314" s="365"/>
      <c r="J314" s="365"/>
      <c r="K314" s="365"/>
      <c r="L314" s="365"/>
      <c r="M314" s="371">
        <f>48000+N314</f>
        <v>68000</v>
      </c>
      <c r="N314" s="371">
        <v>20000</v>
      </c>
      <c r="O314" s="364"/>
      <c r="P314" s="364"/>
      <c r="Q314" s="369"/>
      <c r="R314" s="371"/>
      <c r="S314" s="472"/>
      <c r="T314" s="472"/>
      <c r="U314" s="365"/>
      <c r="V314" s="365"/>
      <c r="W314" s="365"/>
      <c r="X314" s="365"/>
      <c r="Y314" s="365"/>
      <c r="Z314" s="365"/>
      <c r="AA314" s="365"/>
      <c r="AB314" s="365"/>
      <c r="AC314" s="365"/>
      <c r="AD314" s="365"/>
      <c r="AE314" s="365"/>
      <c r="AF314" s="365"/>
      <c r="AG314" s="366" t="s">
        <v>1268</v>
      </c>
      <c r="AH314" s="173">
        <f t="shared" si="87"/>
        <v>0</v>
      </c>
    </row>
    <row r="315" spans="1:34" s="362" customFormat="1" ht="108.75" hidden="1" customHeight="1" x14ac:dyDescent="0.25">
      <c r="A315" s="499" t="s">
        <v>1267</v>
      </c>
      <c r="B315" s="500" t="s">
        <v>1266</v>
      </c>
      <c r="C315" s="501"/>
      <c r="D315" s="522"/>
      <c r="E315" s="523"/>
      <c r="F315" s="501"/>
      <c r="G315" s="524"/>
      <c r="H315" s="524"/>
      <c r="I315" s="502"/>
      <c r="J315" s="502"/>
      <c r="K315" s="502"/>
      <c r="L315" s="502"/>
      <c r="M315" s="524">
        <v>98000</v>
      </c>
      <c r="N315" s="524">
        <f>M315</f>
        <v>98000</v>
      </c>
      <c r="O315" s="503">
        <f>P315</f>
        <v>98000</v>
      </c>
      <c r="P315" s="503">
        <v>98000</v>
      </c>
      <c r="Q315" s="525"/>
      <c r="R315" s="525"/>
      <c r="S315" s="504">
        <f>T315</f>
        <v>98000</v>
      </c>
      <c r="T315" s="504">
        <v>98000</v>
      </c>
      <c r="U315" s="502"/>
      <c r="V315" s="502"/>
      <c r="W315" s="502"/>
      <c r="X315" s="502">
        <v>25000</v>
      </c>
      <c r="Y315" s="365"/>
      <c r="Z315" s="365"/>
      <c r="AA315" s="365"/>
      <c r="AB315" s="365"/>
      <c r="AC315" s="365"/>
      <c r="AD315" s="365"/>
      <c r="AE315" s="365"/>
      <c r="AF315" s="365"/>
      <c r="AG315" s="505"/>
      <c r="AH315" s="173">
        <f t="shared" si="87"/>
        <v>0</v>
      </c>
    </row>
    <row r="316" spans="1:34" s="362" customFormat="1" ht="27" customHeight="1" x14ac:dyDescent="0.25">
      <c r="A316" s="621" t="s">
        <v>1265</v>
      </c>
      <c r="B316" s="622" t="s">
        <v>1264</v>
      </c>
      <c r="C316" s="623"/>
      <c r="D316" s="623"/>
      <c r="E316" s="623"/>
      <c r="F316" s="623"/>
      <c r="G316" s="624">
        <f t="shared" ref="G316:L316" si="89">G317+G378+G411</f>
        <v>145569</v>
      </c>
      <c r="H316" s="624">
        <f t="shared" si="89"/>
        <v>141188</v>
      </c>
      <c r="I316" s="624">
        <f t="shared" si="89"/>
        <v>53200</v>
      </c>
      <c r="J316" s="624">
        <f t="shared" si="89"/>
        <v>53200</v>
      </c>
      <c r="K316" s="624">
        <f t="shared" si="89"/>
        <v>53200</v>
      </c>
      <c r="L316" s="624">
        <f t="shared" si="89"/>
        <v>53200</v>
      </c>
      <c r="M316" s="624">
        <f t="shared" ref="M316:N316" si="90">M378+M411</f>
        <v>68250</v>
      </c>
      <c r="N316" s="624">
        <f t="shared" si="90"/>
        <v>68250</v>
      </c>
      <c r="O316" s="624">
        <f t="shared" ref="O316:S316" si="91">O317+O378+O411</f>
        <v>110005</v>
      </c>
      <c r="P316" s="624">
        <f t="shared" si="91"/>
        <v>110005</v>
      </c>
      <c r="Q316" s="624">
        <f t="shared" si="91"/>
        <v>9225</v>
      </c>
      <c r="R316" s="624">
        <f t="shared" si="91"/>
        <v>9225</v>
      </c>
      <c r="S316" s="624">
        <f t="shared" si="91"/>
        <v>113455</v>
      </c>
      <c r="T316" s="624">
        <f>T317+T378+T411</f>
        <v>113455</v>
      </c>
      <c r="U316" s="624">
        <f t="shared" ref="U316:X316" si="92">U411</f>
        <v>0</v>
      </c>
      <c r="V316" s="624">
        <f t="shared" si="92"/>
        <v>0</v>
      </c>
      <c r="W316" s="624">
        <f t="shared" si="92"/>
        <v>6470</v>
      </c>
      <c r="X316" s="624">
        <f t="shared" si="92"/>
        <v>6470</v>
      </c>
      <c r="Y316" s="364">
        <f t="shared" ref="Y316:AF316" si="93">Y317+Y333+Y349+Y378+Y398+Y411+Y431+Y458+Y478</f>
        <v>289890</v>
      </c>
      <c r="Z316" s="364">
        <f t="shared" si="93"/>
        <v>289890</v>
      </c>
      <c r="AA316" s="364">
        <f t="shared" si="93"/>
        <v>273890</v>
      </c>
      <c r="AB316" s="364">
        <f t="shared" si="93"/>
        <v>273890</v>
      </c>
      <c r="AC316" s="364">
        <f t="shared" si="93"/>
        <v>273890</v>
      </c>
      <c r="AD316" s="364">
        <f t="shared" si="93"/>
        <v>273890</v>
      </c>
      <c r="AE316" s="364">
        <f t="shared" si="93"/>
        <v>273890</v>
      </c>
      <c r="AF316" s="364">
        <f t="shared" si="93"/>
        <v>273890</v>
      </c>
      <c r="AG316" s="625"/>
      <c r="AH316" s="173">
        <v>1</v>
      </c>
    </row>
    <row r="317" spans="1:34" s="203" customFormat="1" ht="28.5" customHeight="1" x14ac:dyDescent="0.25">
      <c r="A317" s="639" t="s">
        <v>43</v>
      </c>
      <c r="B317" s="986" t="s">
        <v>1263</v>
      </c>
      <c r="C317" s="641"/>
      <c r="D317" s="642"/>
      <c r="E317" s="642"/>
      <c r="F317" s="642"/>
      <c r="G317" s="877">
        <f>G324</f>
        <v>42869</v>
      </c>
      <c r="H317" s="877">
        <f>H324</f>
        <v>42869</v>
      </c>
      <c r="I317" s="877">
        <f>I318+I324</f>
        <v>31200</v>
      </c>
      <c r="J317" s="877">
        <f>J318+J324</f>
        <v>31200</v>
      </c>
      <c r="K317" s="877">
        <f>K318+K324</f>
        <v>31200</v>
      </c>
      <c r="L317" s="877">
        <f>L318+L324</f>
        <v>31200</v>
      </c>
      <c r="M317" s="272">
        <f>M324</f>
        <v>64120</v>
      </c>
      <c r="N317" s="272">
        <f>N324</f>
        <v>64120</v>
      </c>
      <c r="O317" s="877">
        <f>O324</f>
        <v>27070</v>
      </c>
      <c r="P317" s="877">
        <f>P324</f>
        <v>27070</v>
      </c>
      <c r="Q317" s="877">
        <f t="shared" ref="Q317:V317" si="94">Q324</f>
        <v>3700</v>
      </c>
      <c r="R317" s="877">
        <f t="shared" si="94"/>
        <v>3700</v>
      </c>
      <c r="S317" s="987">
        <f t="shared" si="94"/>
        <v>27070</v>
      </c>
      <c r="T317" s="987">
        <f t="shared" si="94"/>
        <v>27070</v>
      </c>
      <c r="U317" s="272">
        <f t="shared" si="94"/>
        <v>0</v>
      </c>
      <c r="V317" s="272">
        <f t="shared" si="94"/>
        <v>0</v>
      </c>
      <c r="W317" s="270">
        <f t="shared" ref="W317:AF317" si="95">W318+W324</f>
        <v>16000</v>
      </c>
      <c r="X317" s="270">
        <f t="shared" si="95"/>
        <v>16000</v>
      </c>
      <c r="Y317" s="269">
        <f t="shared" si="95"/>
        <v>11880</v>
      </c>
      <c r="Z317" s="269">
        <f t="shared" si="95"/>
        <v>11880</v>
      </c>
      <c r="AA317" s="269">
        <f t="shared" si="95"/>
        <v>11880</v>
      </c>
      <c r="AB317" s="269">
        <f t="shared" si="95"/>
        <v>11880</v>
      </c>
      <c r="AC317" s="269">
        <f t="shared" si="95"/>
        <v>11880</v>
      </c>
      <c r="AD317" s="269">
        <f t="shared" si="95"/>
        <v>11880</v>
      </c>
      <c r="AE317" s="269">
        <f t="shared" si="95"/>
        <v>11880</v>
      </c>
      <c r="AF317" s="269">
        <f t="shared" si="95"/>
        <v>11880</v>
      </c>
      <c r="AG317" s="988"/>
      <c r="AH317" s="173">
        <v>1</v>
      </c>
    </row>
    <row r="318" spans="1:34" ht="51.75" hidden="1" x14ac:dyDescent="0.25">
      <c r="A318" s="592" t="s">
        <v>45</v>
      </c>
      <c r="B318" s="315" t="s">
        <v>46</v>
      </c>
      <c r="C318" s="593"/>
      <c r="D318" s="593"/>
      <c r="E318" s="593"/>
      <c r="F318" s="593"/>
      <c r="G318" s="594">
        <f t="shared" ref="G318:V318" si="96">G319</f>
        <v>53470</v>
      </c>
      <c r="H318" s="594">
        <f t="shared" si="96"/>
        <v>53470</v>
      </c>
      <c r="I318" s="594">
        <f t="shared" si="96"/>
        <v>31200</v>
      </c>
      <c r="J318" s="594">
        <f t="shared" si="96"/>
        <v>31200</v>
      </c>
      <c r="K318" s="594">
        <f t="shared" si="96"/>
        <v>31200</v>
      </c>
      <c r="L318" s="594">
        <f t="shared" si="96"/>
        <v>31200</v>
      </c>
      <c r="M318" s="191">
        <f t="shared" si="96"/>
        <v>11880</v>
      </c>
      <c r="N318" s="191">
        <f t="shared" si="96"/>
        <v>11880</v>
      </c>
      <c r="O318" s="594">
        <f t="shared" si="96"/>
        <v>11880</v>
      </c>
      <c r="P318" s="594">
        <f t="shared" si="96"/>
        <v>11880</v>
      </c>
      <c r="Q318" s="594">
        <f t="shared" si="96"/>
        <v>0</v>
      </c>
      <c r="R318" s="594">
        <f t="shared" si="96"/>
        <v>0</v>
      </c>
      <c r="S318" s="595">
        <f t="shared" si="96"/>
        <v>11880</v>
      </c>
      <c r="T318" s="595">
        <f t="shared" si="96"/>
        <v>11880</v>
      </c>
      <c r="U318" s="190">
        <f t="shared" si="96"/>
        <v>10000</v>
      </c>
      <c r="V318" s="190">
        <f t="shared" si="96"/>
        <v>10000</v>
      </c>
      <c r="W318" s="190"/>
      <c r="X318" s="190"/>
      <c r="Y318" s="190">
        <v>11880</v>
      </c>
      <c r="Z318" s="190">
        <v>11880</v>
      </c>
      <c r="AA318" s="190">
        <v>11880</v>
      </c>
      <c r="AB318" s="190">
        <v>11880</v>
      </c>
      <c r="AC318" s="190">
        <v>11880</v>
      </c>
      <c r="AD318" s="190">
        <v>11880</v>
      </c>
      <c r="AE318" s="190">
        <v>11880</v>
      </c>
      <c r="AF318" s="190">
        <v>11880</v>
      </c>
      <c r="AG318" s="824"/>
      <c r="AH318" s="173">
        <f t="shared" ref="AH318:AH348" si="97">IF(T318-P318=0,0,1)</f>
        <v>0</v>
      </c>
    </row>
    <row r="319" spans="1:34" ht="34.5" hidden="1" x14ac:dyDescent="0.25">
      <c r="A319" s="194" t="s">
        <v>47</v>
      </c>
      <c r="B319" s="193" t="s">
        <v>48</v>
      </c>
      <c r="C319" s="192"/>
      <c r="D319" s="192"/>
      <c r="E319" s="192"/>
      <c r="F319" s="192"/>
      <c r="G319" s="191">
        <f t="shared" ref="G319:T319" si="98">SUM(G322:G323)</f>
        <v>53470</v>
      </c>
      <c r="H319" s="191">
        <f t="shared" si="98"/>
        <v>53470</v>
      </c>
      <c r="I319" s="191">
        <f t="shared" si="98"/>
        <v>31200</v>
      </c>
      <c r="J319" s="191">
        <f t="shared" si="98"/>
        <v>31200</v>
      </c>
      <c r="K319" s="191">
        <f t="shared" si="98"/>
        <v>31200</v>
      </c>
      <c r="L319" s="191">
        <f t="shared" si="98"/>
        <v>31200</v>
      </c>
      <c r="M319" s="191">
        <f t="shared" si="98"/>
        <v>11880</v>
      </c>
      <c r="N319" s="191">
        <f t="shared" si="98"/>
        <v>11880</v>
      </c>
      <c r="O319" s="191">
        <f t="shared" si="98"/>
        <v>11880</v>
      </c>
      <c r="P319" s="191">
        <f t="shared" si="98"/>
        <v>11880</v>
      </c>
      <c r="Q319" s="191">
        <f t="shared" si="98"/>
        <v>0</v>
      </c>
      <c r="R319" s="191">
        <f t="shared" si="98"/>
        <v>0</v>
      </c>
      <c r="S319" s="474">
        <f t="shared" si="98"/>
        <v>11880</v>
      </c>
      <c r="T319" s="474">
        <f t="shared" si="98"/>
        <v>11880</v>
      </c>
      <c r="U319" s="190">
        <f>U322+U323</f>
        <v>10000</v>
      </c>
      <c r="V319" s="190">
        <f>V322+V323</f>
        <v>10000</v>
      </c>
      <c r="W319" s="190"/>
      <c r="X319" s="190"/>
      <c r="Y319" s="190">
        <v>11880</v>
      </c>
      <c r="Z319" s="190">
        <v>11880</v>
      </c>
      <c r="AA319" s="190">
        <v>11880</v>
      </c>
      <c r="AB319" s="190">
        <v>11880</v>
      </c>
      <c r="AC319" s="190">
        <v>11880</v>
      </c>
      <c r="AD319" s="190">
        <v>11880</v>
      </c>
      <c r="AE319" s="190">
        <v>11880</v>
      </c>
      <c r="AF319" s="190">
        <v>11880</v>
      </c>
      <c r="AG319" s="189"/>
      <c r="AH319" s="173">
        <f t="shared" si="97"/>
        <v>0</v>
      </c>
    </row>
    <row r="320" spans="1:34" ht="17.25" hidden="1" x14ac:dyDescent="0.25">
      <c r="A320" s="194"/>
      <c r="B320" s="193" t="s">
        <v>49</v>
      </c>
      <c r="C320" s="202"/>
      <c r="D320" s="202"/>
      <c r="E320" s="202"/>
      <c r="F320" s="202"/>
      <c r="G320" s="200"/>
      <c r="H320" s="200"/>
      <c r="I320" s="200"/>
      <c r="J320" s="200"/>
      <c r="K320" s="200"/>
      <c r="L320" s="200"/>
      <c r="M320" s="200"/>
      <c r="N320" s="200"/>
      <c r="O320" s="201"/>
      <c r="P320" s="201"/>
      <c r="Q320" s="176"/>
      <c r="R320" s="176"/>
      <c r="S320" s="475"/>
      <c r="T320" s="475"/>
      <c r="U320" s="200"/>
      <c r="V320" s="200"/>
      <c r="W320" s="200"/>
      <c r="X320" s="200"/>
      <c r="Y320" s="200"/>
      <c r="Z320" s="200"/>
      <c r="AA320" s="200"/>
      <c r="AB320" s="200"/>
      <c r="AC320" s="200"/>
      <c r="AD320" s="200"/>
      <c r="AE320" s="200"/>
      <c r="AF320" s="200"/>
      <c r="AG320" s="264"/>
      <c r="AH320" s="173">
        <f t="shared" si="97"/>
        <v>0</v>
      </c>
    </row>
    <row r="321" spans="1:34" ht="51.75" hidden="1" x14ac:dyDescent="0.25">
      <c r="A321" s="194"/>
      <c r="B321" s="199" t="s">
        <v>50</v>
      </c>
      <c r="C321" s="192"/>
      <c r="D321" s="192"/>
      <c r="E321" s="192"/>
      <c r="F321" s="192"/>
      <c r="G321" s="191"/>
      <c r="H321" s="191"/>
      <c r="I321" s="191"/>
      <c r="J321" s="191"/>
      <c r="K321" s="191"/>
      <c r="L321" s="191"/>
      <c r="M321" s="191"/>
      <c r="N321" s="191"/>
      <c r="O321" s="190"/>
      <c r="P321" s="190"/>
      <c r="Q321" s="176"/>
      <c r="R321" s="176"/>
      <c r="S321" s="474"/>
      <c r="T321" s="474"/>
      <c r="U321" s="191"/>
      <c r="V321" s="191"/>
      <c r="W321" s="191"/>
      <c r="X321" s="191"/>
      <c r="Y321" s="191"/>
      <c r="Z321" s="191"/>
      <c r="AA321" s="191"/>
      <c r="AB321" s="191"/>
      <c r="AC321" s="191"/>
      <c r="AD321" s="191"/>
      <c r="AE321" s="191"/>
      <c r="AF321" s="191"/>
      <c r="AG321" s="189"/>
      <c r="AH321" s="173">
        <f t="shared" si="97"/>
        <v>0</v>
      </c>
    </row>
    <row r="322" spans="1:34" ht="49.5" hidden="1" x14ac:dyDescent="0.25">
      <c r="A322" s="221">
        <v>1</v>
      </c>
      <c r="B322" s="183" t="s">
        <v>1262</v>
      </c>
      <c r="C322" s="188" t="s">
        <v>1249</v>
      </c>
      <c r="D322" s="188"/>
      <c r="E322" s="197" t="s">
        <v>97</v>
      </c>
      <c r="F322" s="188" t="s">
        <v>1261</v>
      </c>
      <c r="G322" s="356">
        <v>47970</v>
      </c>
      <c r="H322" s="239">
        <f>G322</f>
        <v>47970</v>
      </c>
      <c r="I322" s="177">
        <f>J322</f>
        <v>30000</v>
      </c>
      <c r="J322" s="177">
        <v>30000</v>
      </c>
      <c r="K322" s="177">
        <f>L322</f>
        <v>30000</v>
      </c>
      <c r="L322" s="177">
        <v>30000</v>
      </c>
      <c r="M322" s="341">
        <v>8400</v>
      </c>
      <c r="N322" s="341">
        <f>M322</f>
        <v>8400</v>
      </c>
      <c r="O322" s="220">
        <v>8400</v>
      </c>
      <c r="P322" s="220">
        <v>8400</v>
      </c>
      <c r="Q322" s="176"/>
      <c r="R322" s="176"/>
      <c r="S322" s="454">
        <v>8400</v>
      </c>
      <c r="T322" s="454">
        <v>8400</v>
      </c>
      <c r="U322" s="177">
        <f>V322</f>
        <v>8400</v>
      </c>
      <c r="V322" s="177">
        <v>8400</v>
      </c>
      <c r="W322" s="177"/>
      <c r="X322" s="177"/>
      <c r="Y322" s="177"/>
      <c r="Z322" s="177"/>
      <c r="AA322" s="177"/>
      <c r="AB322" s="177"/>
      <c r="AC322" s="177"/>
      <c r="AD322" s="177"/>
      <c r="AE322" s="177"/>
      <c r="AF322" s="177"/>
      <c r="AG322" s="198"/>
      <c r="AH322" s="173">
        <f t="shared" si="97"/>
        <v>0</v>
      </c>
    </row>
    <row r="323" spans="1:34" ht="49.5" hidden="1" x14ac:dyDescent="0.25">
      <c r="A323" s="526">
        <v>2</v>
      </c>
      <c r="B323" s="309" t="s">
        <v>1260</v>
      </c>
      <c r="C323" s="308" t="s">
        <v>1259</v>
      </c>
      <c r="D323" s="308" t="s">
        <v>1258</v>
      </c>
      <c r="E323" s="307" t="s">
        <v>248</v>
      </c>
      <c r="F323" s="308"/>
      <c r="G323" s="821">
        <v>5500</v>
      </c>
      <c r="H323" s="819">
        <f>G323</f>
        <v>5500</v>
      </c>
      <c r="I323" s="277">
        <v>1200</v>
      </c>
      <c r="J323" s="277">
        <f>I323</f>
        <v>1200</v>
      </c>
      <c r="K323" s="277">
        <v>1200</v>
      </c>
      <c r="L323" s="277">
        <f>K323</f>
        <v>1200</v>
      </c>
      <c r="M323" s="341">
        <f>N323</f>
        <v>3480</v>
      </c>
      <c r="N323" s="341">
        <v>3480</v>
      </c>
      <c r="O323" s="534">
        <v>3480</v>
      </c>
      <c r="P323" s="534">
        <v>3480</v>
      </c>
      <c r="Q323" s="446"/>
      <c r="R323" s="446"/>
      <c r="S323" s="535">
        <v>3480</v>
      </c>
      <c r="T323" s="535">
        <v>3480</v>
      </c>
      <c r="U323" s="177">
        <f>V323</f>
        <v>1600</v>
      </c>
      <c r="V323" s="177">
        <v>1600</v>
      </c>
      <c r="W323" s="177"/>
      <c r="X323" s="177"/>
      <c r="Y323" s="177"/>
      <c r="Z323" s="177"/>
      <c r="AA323" s="177"/>
      <c r="AB323" s="177"/>
      <c r="AC323" s="177"/>
      <c r="AD323" s="177"/>
      <c r="AE323" s="177"/>
      <c r="AF323" s="177"/>
      <c r="AG323" s="302"/>
      <c r="AH323" s="173">
        <f t="shared" si="97"/>
        <v>0</v>
      </c>
    </row>
    <row r="324" spans="1:34" ht="34.5" x14ac:dyDescent="0.25">
      <c r="A324" s="671" t="s">
        <v>85</v>
      </c>
      <c r="B324" s="646" t="s">
        <v>86</v>
      </c>
      <c r="C324" s="647"/>
      <c r="D324" s="647"/>
      <c r="E324" s="647"/>
      <c r="F324" s="647"/>
      <c r="G324" s="648">
        <f>G325</f>
        <v>42869</v>
      </c>
      <c r="H324" s="648">
        <f>H325</f>
        <v>42869</v>
      </c>
      <c r="I324" s="648"/>
      <c r="J324" s="648"/>
      <c r="K324" s="648"/>
      <c r="L324" s="648"/>
      <c r="M324" s="191">
        <f t="shared" ref="M324:AF324" si="99">M325</f>
        <v>64120</v>
      </c>
      <c r="N324" s="191">
        <f t="shared" si="99"/>
        <v>64120</v>
      </c>
      <c r="O324" s="672">
        <f t="shared" si="99"/>
        <v>27070</v>
      </c>
      <c r="P324" s="672">
        <f t="shared" si="99"/>
        <v>27070</v>
      </c>
      <c r="Q324" s="648">
        <f t="shared" si="99"/>
        <v>3700</v>
      </c>
      <c r="R324" s="648">
        <f t="shared" si="99"/>
        <v>3700</v>
      </c>
      <c r="S324" s="648">
        <f t="shared" si="99"/>
        <v>27070</v>
      </c>
      <c r="T324" s="648">
        <f t="shared" si="99"/>
        <v>27070</v>
      </c>
      <c r="U324" s="176">
        <f t="shared" si="99"/>
        <v>0</v>
      </c>
      <c r="V324" s="176">
        <f t="shared" si="99"/>
        <v>0</v>
      </c>
      <c r="W324" s="190">
        <f t="shared" si="99"/>
        <v>16000</v>
      </c>
      <c r="X324" s="190">
        <f t="shared" si="99"/>
        <v>16000</v>
      </c>
      <c r="Y324" s="190">
        <f t="shared" si="99"/>
        <v>0</v>
      </c>
      <c r="Z324" s="190">
        <f t="shared" si="99"/>
        <v>0</v>
      </c>
      <c r="AA324" s="190">
        <f t="shared" si="99"/>
        <v>0</v>
      </c>
      <c r="AB324" s="190">
        <f t="shared" si="99"/>
        <v>0</v>
      </c>
      <c r="AC324" s="190">
        <f t="shared" si="99"/>
        <v>0</v>
      </c>
      <c r="AD324" s="190">
        <f t="shared" si="99"/>
        <v>0</v>
      </c>
      <c r="AE324" s="190">
        <f t="shared" si="99"/>
        <v>0</v>
      </c>
      <c r="AF324" s="190">
        <f t="shared" si="99"/>
        <v>0</v>
      </c>
      <c r="AG324" s="649"/>
      <c r="AH324" s="173">
        <v>1</v>
      </c>
    </row>
    <row r="325" spans="1:34" ht="51.75" x14ac:dyDescent="0.25">
      <c r="A325" s="645" t="s">
        <v>87</v>
      </c>
      <c r="B325" s="646" t="s">
        <v>88</v>
      </c>
      <c r="C325" s="647"/>
      <c r="D325" s="647"/>
      <c r="E325" s="647"/>
      <c r="F325" s="647"/>
      <c r="G325" s="648">
        <f t="shared" ref="G325:H325" si="100">G327+G330+G332</f>
        <v>42869</v>
      </c>
      <c r="H325" s="648">
        <f t="shared" si="100"/>
        <v>42869</v>
      </c>
      <c r="I325" s="648"/>
      <c r="J325" s="648"/>
      <c r="K325" s="648"/>
      <c r="L325" s="648"/>
      <c r="M325" s="191">
        <f t="shared" ref="M325:R325" si="101">M327+M328+M329+M330+M331+M332</f>
        <v>64120</v>
      </c>
      <c r="N325" s="191">
        <f t="shared" si="101"/>
        <v>64120</v>
      </c>
      <c r="O325" s="648">
        <f t="shared" ref="O325:P325" si="102">O327+O330+O332</f>
        <v>27070</v>
      </c>
      <c r="P325" s="648">
        <f t="shared" si="102"/>
        <v>27070</v>
      </c>
      <c r="Q325" s="648">
        <f t="shared" si="101"/>
        <v>3700</v>
      </c>
      <c r="R325" s="648">
        <f t="shared" si="101"/>
        <v>3700</v>
      </c>
      <c r="S325" s="648">
        <f>S327+S330+S332</f>
        <v>27070</v>
      </c>
      <c r="T325" s="648">
        <f>T327+T330+T332</f>
        <v>27070</v>
      </c>
      <c r="U325" s="176">
        <f t="shared" ref="U325:AF325" si="103">SUM(U326:U332)</f>
        <v>0</v>
      </c>
      <c r="V325" s="176">
        <f t="shared" si="103"/>
        <v>0</v>
      </c>
      <c r="W325" s="190">
        <f t="shared" si="103"/>
        <v>16000</v>
      </c>
      <c r="X325" s="190">
        <f t="shared" si="103"/>
        <v>16000</v>
      </c>
      <c r="Y325" s="190">
        <f t="shared" si="103"/>
        <v>0</v>
      </c>
      <c r="Z325" s="190">
        <f t="shared" si="103"/>
        <v>0</v>
      </c>
      <c r="AA325" s="190">
        <f t="shared" si="103"/>
        <v>0</v>
      </c>
      <c r="AB325" s="190">
        <f t="shared" si="103"/>
        <v>0</v>
      </c>
      <c r="AC325" s="190">
        <f t="shared" si="103"/>
        <v>0</v>
      </c>
      <c r="AD325" s="190">
        <f t="shared" si="103"/>
        <v>0</v>
      </c>
      <c r="AE325" s="190">
        <f t="shared" si="103"/>
        <v>0</v>
      </c>
      <c r="AF325" s="190">
        <f t="shared" si="103"/>
        <v>0</v>
      </c>
      <c r="AG325" s="649"/>
      <c r="AH325" s="173">
        <v>1</v>
      </c>
    </row>
    <row r="326" spans="1:34" ht="69" hidden="1" x14ac:dyDescent="0.25">
      <c r="A326" s="838" t="s">
        <v>1196</v>
      </c>
      <c r="B326" s="839" t="s">
        <v>1257</v>
      </c>
      <c r="C326" s="611" t="s">
        <v>1256</v>
      </c>
      <c r="D326" s="826" t="s">
        <v>1255</v>
      </c>
      <c r="E326" s="612" t="s">
        <v>116</v>
      </c>
      <c r="F326" s="611"/>
      <c r="G326" s="840">
        <v>4591</v>
      </c>
      <c r="H326" s="840">
        <v>4591</v>
      </c>
      <c r="I326" s="836"/>
      <c r="J326" s="836"/>
      <c r="K326" s="836"/>
      <c r="L326" s="836"/>
      <c r="M326" s="179">
        <v>4000</v>
      </c>
      <c r="N326" s="196">
        <f>M326</f>
        <v>4000</v>
      </c>
      <c r="O326" s="565">
        <v>4000</v>
      </c>
      <c r="P326" s="565">
        <v>4000</v>
      </c>
      <c r="Q326" s="560"/>
      <c r="R326" s="560"/>
      <c r="S326" s="835">
        <v>4000</v>
      </c>
      <c r="T326" s="835">
        <v>4000</v>
      </c>
      <c r="U326" s="196"/>
      <c r="V326" s="196"/>
      <c r="W326" s="196">
        <f>X326</f>
        <v>4000</v>
      </c>
      <c r="X326" s="196">
        <v>4000</v>
      </c>
      <c r="Y326" s="196"/>
      <c r="Z326" s="196"/>
      <c r="AA326" s="196"/>
      <c r="AB326" s="196"/>
      <c r="AC326" s="196"/>
      <c r="AD326" s="196"/>
      <c r="AE326" s="196"/>
      <c r="AF326" s="196"/>
      <c r="AG326" s="837"/>
      <c r="AH326" s="173">
        <f t="shared" si="97"/>
        <v>0</v>
      </c>
    </row>
    <row r="327" spans="1:34" ht="66" x14ac:dyDescent="0.25">
      <c r="A327" s="989" t="s">
        <v>1254</v>
      </c>
      <c r="B327" s="972" t="s">
        <v>1253</v>
      </c>
      <c r="C327" s="652" t="s">
        <v>1252</v>
      </c>
      <c r="D327" s="684" t="s">
        <v>1251</v>
      </c>
      <c r="E327" s="653" t="s">
        <v>248</v>
      </c>
      <c r="F327" s="652"/>
      <c r="G327" s="990">
        <v>24000</v>
      </c>
      <c r="H327" s="990">
        <v>24000</v>
      </c>
      <c r="I327" s="632"/>
      <c r="J327" s="632"/>
      <c r="K327" s="632"/>
      <c r="L327" s="632"/>
      <c r="M327" s="179">
        <v>20000</v>
      </c>
      <c r="N327" s="196">
        <f>M327</f>
        <v>20000</v>
      </c>
      <c r="O327" s="657">
        <f>20000-1830</f>
        <v>18170</v>
      </c>
      <c r="P327" s="657">
        <f>20000-1830</f>
        <v>18170</v>
      </c>
      <c r="Q327" s="636"/>
      <c r="R327" s="636">
        <f>P327-T327</f>
        <v>3338</v>
      </c>
      <c r="S327" s="854">
        <f t="shared" ref="S327:S332" si="104">T327</f>
        <v>14832</v>
      </c>
      <c r="T327" s="854">
        <v>14832</v>
      </c>
      <c r="U327" s="196"/>
      <c r="V327" s="196"/>
      <c r="W327" s="196">
        <f>X327</f>
        <v>6700</v>
      </c>
      <c r="X327" s="196">
        <v>6700</v>
      </c>
      <c r="Y327" s="196"/>
      <c r="Z327" s="196"/>
      <c r="AA327" s="196"/>
      <c r="AB327" s="196"/>
      <c r="AC327" s="196"/>
      <c r="AD327" s="196"/>
      <c r="AE327" s="196"/>
      <c r="AF327" s="196"/>
      <c r="AG327" s="638"/>
      <c r="AH327" s="173">
        <f t="shared" si="97"/>
        <v>1</v>
      </c>
    </row>
    <row r="328" spans="1:34" ht="49.5" hidden="1" x14ac:dyDescent="0.25">
      <c r="A328" s="963" t="s">
        <v>414</v>
      </c>
      <c r="B328" s="964" t="s">
        <v>1250</v>
      </c>
      <c r="C328" s="599" t="s">
        <v>1249</v>
      </c>
      <c r="D328" s="965" t="s">
        <v>1248</v>
      </c>
      <c r="E328" s="844" t="s">
        <v>248</v>
      </c>
      <c r="F328" s="599"/>
      <c r="G328" s="966">
        <v>13874</v>
      </c>
      <c r="H328" s="966">
        <v>13874</v>
      </c>
      <c r="I328" s="574"/>
      <c r="J328" s="574"/>
      <c r="K328" s="574"/>
      <c r="L328" s="574"/>
      <c r="M328" s="179">
        <v>11600</v>
      </c>
      <c r="N328" s="196">
        <f>M328</f>
        <v>11600</v>
      </c>
      <c r="O328" s="606">
        <f>P328</f>
        <v>11000</v>
      </c>
      <c r="P328" s="606">
        <v>11000</v>
      </c>
      <c r="Q328" s="445"/>
      <c r="R328" s="445"/>
      <c r="S328" s="608">
        <f t="shared" si="104"/>
        <v>11000</v>
      </c>
      <c r="T328" s="608">
        <v>11000</v>
      </c>
      <c r="U328" s="196"/>
      <c r="V328" s="196"/>
      <c r="W328" s="196">
        <f>X328</f>
        <v>5300</v>
      </c>
      <c r="X328" s="196">
        <v>5300</v>
      </c>
      <c r="Y328" s="196"/>
      <c r="Z328" s="196"/>
      <c r="AA328" s="196"/>
      <c r="AB328" s="196"/>
      <c r="AC328" s="196"/>
      <c r="AD328" s="196"/>
      <c r="AE328" s="196"/>
      <c r="AF328" s="196"/>
      <c r="AG328" s="580"/>
      <c r="AH328" s="173">
        <f t="shared" si="97"/>
        <v>0</v>
      </c>
    </row>
    <row r="329" spans="1:34" ht="49.5" hidden="1" x14ac:dyDescent="0.25">
      <c r="A329" s="310" t="s">
        <v>419</v>
      </c>
      <c r="B329" s="937" t="s">
        <v>1247</v>
      </c>
      <c r="C329" s="308" t="s">
        <v>1246</v>
      </c>
      <c r="D329" s="508" t="s">
        <v>1245</v>
      </c>
      <c r="E329" s="307" t="s">
        <v>248</v>
      </c>
      <c r="F329" s="308"/>
      <c r="G329" s="948">
        <v>32000</v>
      </c>
      <c r="H329" s="948">
        <v>32000</v>
      </c>
      <c r="I329" s="277"/>
      <c r="J329" s="277"/>
      <c r="K329" s="277"/>
      <c r="L329" s="277"/>
      <c r="M329" s="179">
        <v>23000</v>
      </c>
      <c r="N329" s="196">
        <f>M329</f>
        <v>23000</v>
      </c>
      <c r="O329" s="534">
        <f>P329</f>
        <v>20200</v>
      </c>
      <c r="P329" s="534">
        <v>20200</v>
      </c>
      <c r="Q329" s="446"/>
      <c r="R329" s="446"/>
      <c r="S329" s="535">
        <f t="shared" si="104"/>
        <v>20200</v>
      </c>
      <c r="T329" s="535">
        <v>20200</v>
      </c>
      <c r="U329" s="196"/>
      <c r="V329" s="196"/>
      <c r="W329" s="196"/>
      <c r="X329" s="196"/>
      <c r="Y329" s="196"/>
      <c r="Z329" s="196"/>
      <c r="AA329" s="196"/>
      <c r="AB329" s="196"/>
      <c r="AC329" s="196"/>
      <c r="AD329" s="196"/>
      <c r="AE329" s="196"/>
      <c r="AF329" s="196"/>
      <c r="AG329" s="302"/>
      <c r="AH329" s="173">
        <f t="shared" si="97"/>
        <v>0</v>
      </c>
    </row>
    <row r="330" spans="1:34" ht="24.75" customHeight="1" x14ac:dyDescent="0.25">
      <c r="A330" s="989" t="s">
        <v>423</v>
      </c>
      <c r="B330" s="865" t="s">
        <v>1244</v>
      </c>
      <c r="C330" s="652" t="s">
        <v>1241</v>
      </c>
      <c r="D330" s="653" t="s">
        <v>1240</v>
      </c>
      <c r="E330" s="653" t="s">
        <v>116</v>
      </c>
      <c r="F330" s="652"/>
      <c r="G330" s="991">
        <v>14869</v>
      </c>
      <c r="H330" s="991">
        <v>14869</v>
      </c>
      <c r="I330" s="632"/>
      <c r="J330" s="632"/>
      <c r="K330" s="632"/>
      <c r="L330" s="632"/>
      <c r="M330" s="179">
        <v>9520</v>
      </c>
      <c r="N330" s="196">
        <f>M330</f>
        <v>9520</v>
      </c>
      <c r="O330" s="657">
        <f>P330</f>
        <v>5300</v>
      </c>
      <c r="P330" s="657">
        <v>5300</v>
      </c>
      <c r="Q330" s="636">
        <f>T330-P330</f>
        <v>3700</v>
      </c>
      <c r="R330" s="636"/>
      <c r="S330" s="854">
        <f t="shared" si="104"/>
        <v>9000</v>
      </c>
      <c r="T330" s="854">
        <v>9000</v>
      </c>
      <c r="U330" s="196"/>
      <c r="V330" s="196"/>
      <c r="W330" s="196"/>
      <c r="X330" s="196"/>
      <c r="Y330" s="196"/>
      <c r="Z330" s="196"/>
      <c r="AA330" s="196"/>
      <c r="AB330" s="196"/>
      <c r="AC330" s="196"/>
      <c r="AD330" s="196"/>
      <c r="AE330" s="196"/>
      <c r="AF330" s="196"/>
      <c r="AG330" s="638"/>
      <c r="AH330" s="173">
        <f t="shared" si="97"/>
        <v>1</v>
      </c>
    </row>
    <row r="331" spans="1:34" ht="19.5" hidden="1" customHeight="1" x14ac:dyDescent="0.25">
      <c r="A331" s="838" t="s">
        <v>427</v>
      </c>
      <c r="B331" s="839" t="s">
        <v>1243</v>
      </c>
      <c r="C331" s="611" t="s">
        <v>1241</v>
      </c>
      <c r="D331" s="612" t="s">
        <v>1240</v>
      </c>
      <c r="E331" s="612" t="s">
        <v>116</v>
      </c>
      <c r="F331" s="611"/>
      <c r="G331" s="840">
        <f>H331</f>
        <v>6500</v>
      </c>
      <c r="H331" s="840">
        <v>6500</v>
      </c>
      <c r="I331" s="564"/>
      <c r="J331" s="564"/>
      <c r="K331" s="564"/>
      <c r="L331" s="564"/>
      <c r="M331" s="179"/>
      <c r="N331" s="196"/>
      <c r="O331" s="615">
        <f>P331</f>
        <v>5850</v>
      </c>
      <c r="P331" s="615">
        <f>H331*0.9</f>
        <v>5850</v>
      </c>
      <c r="Q331" s="560"/>
      <c r="R331" s="560"/>
      <c r="S331" s="616">
        <f t="shared" si="104"/>
        <v>5850</v>
      </c>
      <c r="T331" s="616">
        <f>P331</f>
        <v>5850</v>
      </c>
      <c r="U331" s="196"/>
      <c r="V331" s="196"/>
      <c r="W331" s="196"/>
      <c r="X331" s="196"/>
      <c r="Y331" s="196"/>
      <c r="Z331" s="196"/>
      <c r="AA331" s="196"/>
      <c r="AB331" s="196"/>
      <c r="AC331" s="196"/>
      <c r="AD331" s="196"/>
      <c r="AE331" s="196"/>
      <c r="AF331" s="196"/>
      <c r="AG331" s="567"/>
      <c r="AH331" s="173">
        <f t="shared" si="97"/>
        <v>0</v>
      </c>
    </row>
    <row r="332" spans="1:34" ht="24.75" customHeight="1" x14ac:dyDescent="0.25">
      <c r="A332" s="989" t="s">
        <v>431</v>
      </c>
      <c r="B332" s="865" t="s">
        <v>1242</v>
      </c>
      <c r="C332" s="652" t="s">
        <v>1241</v>
      </c>
      <c r="D332" s="653" t="s">
        <v>1240</v>
      </c>
      <c r="E332" s="653" t="s">
        <v>116</v>
      </c>
      <c r="F332" s="652"/>
      <c r="G332" s="991">
        <f>H332</f>
        <v>4000</v>
      </c>
      <c r="H332" s="991">
        <v>4000</v>
      </c>
      <c r="I332" s="632"/>
      <c r="J332" s="632"/>
      <c r="K332" s="632"/>
      <c r="L332" s="632"/>
      <c r="M332" s="179"/>
      <c r="N332" s="196"/>
      <c r="O332" s="657">
        <f>P332</f>
        <v>3600</v>
      </c>
      <c r="P332" s="657">
        <f>H332*0.9</f>
        <v>3600</v>
      </c>
      <c r="Q332" s="636"/>
      <c r="R332" s="636">
        <f>P332-T332</f>
        <v>362</v>
      </c>
      <c r="S332" s="854">
        <f t="shared" si="104"/>
        <v>3238</v>
      </c>
      <c r="T332" s="854">
        <v>3238</v>
      </c>
      <c r="U332" s="196"/>
      <c r="V332" s="196"/>
      <c r="W332" s="196"/>
      <c r="X332" s="196"/>
      <c r="Y332" s="196"/>
      <c r="Z332" s="196"/>
      <c r="AA332" s="196"/>
      <c r="AB332" s="196"/>
      <c r="AC332" s="196"/>
      <c r="AD332" s="196"/>
      <c r="AE332" s="196"/>
      <c r="AF332" s="196"/>
      <c r="AG332" s="638"/>
      <c r="AH332" s="173">
        <f t="shared" si="97"/>
        <v>1</v>
      </c>
    </row>
    <row r="333" spans="1:34" s="203" customFormat="1" ht="16.5" hidden="1" x14ac:dyDescent="0.25">
      <c r="A333" s="276" t="s">
        <v>173</v>
      </c>
      <c r="B333" s="275" t="s">
        <v>1239</v>
      </c>
      <c r="C333" s="274"/>
      <c r="D333" s="273"/>
      <c r="E333" s="273"/>
      <c r="F333" s="273"/>
      <c r="G333" s="967">
        <f t="shared" ref="G333:AF333" si="105">G334</f>
        <v>111318</v>
      </c>
      <c r="H333" s="967">
        <f t="shared" si="105"/>
        <v>111318</v>
      </c>
      <c r="I333" s="967">
        <f t="shared" si="105"/>
        <v>0</v>
      </c>
      <c r="J333" s="967">
        <f t="shared" si="105"/>
        <v>0</v>
      </c>
      <c r="K333" s="967">
        <f t="shared" si="105"/>
        <v>0</v>
      </c>
      <c r="L333" s="967">
        <f t="shared" si="105"/>
        <v>0</v>
      </c>
      <c r="M333" s="355">
        <f t="shared" si="105"/>
        <v>80000</v>
      </c>
      <c r="N333" s="355">
        <f t="shared" si="105"/>
        <v>80000</v>
      </c>
      <c r="O333" s="967">
        <f t="shared" si="105"/>
        <v>80000</v>
      </c>
      <c r="P333" s="967">
        <f t="shared" si="105"/>
        <v>80000</v>
      </c>
      <c r="Q333" s="967">
        <f t="shared" si="105"/>
        <v>0</v>
      </c>
      <c r="R333" s="967">
        <f t="shared" si="105"/>
        <v>0</v>
      </c>
      <c r="S333" s="618">
        <f t="shared" si="105"/>
        <v>80000</v>
      </c>
      <c r="T333" s="618">
        <f t="shared" si="105"/>
        <v>80000</v>
      </c>
      <c r="U333" s="355">
        <f t="shared" si="105"/>
        <v>13700</v>
      </c>
      <c r="V333" s="355">
        <f t="shared" si="105"/>
        <v>13700</v>
      </c>
      <c r="W333" s="355">
        <f t="shared" si="105"/>
        <v>16337</v>
      </c>
      <c r="X333" s="355">
        <f t="shared" si="105"/>
        <v>16337</v>
      </c>
      <c r="Y333" s="355">
        <f t="shared" si="105"/>
        <v>80000</v>
      </c>
      <c r="Z333" s="355">
        <f t="shared" si="105"/>
        <v>80000</v>
      </c>
      <c r="AA333" s="355">
        <f t="shared" si="105"/>
        <v>80000</v>
      </c>
      <c r="AB333" s="355">
        <f t="shared" si="105"/>
        <v>80000</v>
      </c>
      <c r="AC333" s="355">
        <f t="shared" si="105"/>
        <v>80000</v>
      </c>
      <c r="AD333" s="355">
        <f t="shared" si="105"/>
        <v>80000</v>
      </c>
      <c r="AE333" s="355">
        <f t="shared" si="105"/>
        <v>80000</v>
      </c>
      <c r="AF333" s="355">
        <f t="shared" si="105"/>
        <v>80000</v>
      </c>
      <c r="AG333" s="591"/>
      <c r="AH333" s="173">
        <f t="shared" si="97"/>
        <v>0</v>
      </c>
    </row>
    <row r="334" spans="1:34" ht="34.5" hidden="1" x14ac:dyDescent="0.25">
      <c r="A334" s="195" t="s">
        <v>85</v>
      </c>
      <c r="B334" s="193" t="s">
        <v>86</v>
      </c>
      <c r="C334" s="192"/>
      <c r="D334" s="192"/>
      <c r="E334" s="192"/>
      <c r="F334" s="192"/>
      <c r="G334" s="191">
        <f t="shared" ref="G334:X334" si="106">G335</f>
        <v>111318</v>
      </c>
      <c r="H334" s="191">
        <f t="shared" si="106"/>
        <v>111318</v>
      </c>
      <c r="I334" s="191">
        <f t="shared" si="106"/>
        <v>0</v>
      </c>
      <c r="J334" s="191">
        <f t="shared" si="106"/>
        <v>0</v>
      </c>
      <c r="K334" s="191">
        <f t="shared" si="106"/>
        <v>0</v>
      </c>
      <c r="L334" s="191">
        <f t="shared" si="106"/>
        <v>0</v>
      </c>
      <c r="M334" s="191">
        <f t="shared" si="106"/>
        <v>80000</v>
      </c>
      <c r="N334" s="191">
        <f t="shared" si="106"/>
        <v>80000</v>
      </c>
      <c r="O334" s="191">
        <f t="shared" si="106"/>
        <v>80000</v>
      </c>
      <c r="P334" s="191">
        <f t="shared" si="106"/>
        <v>80000</v>
      </c>
      <c r="Q334" s="191">
        <f t="shared" si="106"/>
        <v>0</v>
      </c>
      <c r="R334" s="191">
        <f t="shared" si="106"/>
        <v>0</v>
      </c>
      <c r="S334" s="474">
        <f t="shared" si="106"/>
        <v>80000</v>
      </c>
      <c r="T334" s="474">
        <f t="shared" si="106"/>
        <v>80000</v>
      </c>
      <c r="U334" s="191">
        <f t="shared" si="106"/>
        <v>13700</v>
      </c>
      <c r="V334" s="191">
        <f t="shared" si="106"/>
        <v>13700</v>
      </c>
      <c r="W334" s="191">
        <f t="shared" si="106"/>
        <v>16337</v>
      </c>
      <c r="X334" s="191">
        <f t="shared" si="106"/>
        <v>16337</v>
      </c>
      <c r="Y334" s="190">
        <v>80000</v>
      </c>
      <c r="Z334" s="190">
        <v>80000</v>
      </c>
      <c r="AA334" s="190">
        <v>80000</v>
      </c>
      <c r="AB334" s="190">
        <v>80000</v>
      </c>
      <c r="AC334" s="190">
        <v>80000</v>
      </c>
      <c r="AD334" s="190">
        <v>80000</v>
      </c>
      <c r="AE334" s="190">
        <v>80000</v>
      </c>
      <c r="AF334" s="190">
        <v>80000</v>
      </c>
      <c r="AG334" s="189"/>
      <c r="AH334" s="173">
        <f t="shared" si="97"/>
        <v>0</v>
      </c>
    </row>
    <row r="335" spans="1:34" ht="51.75" hidden="1" x14ac:dyDescent="0.25">
      <c r="A335" s="194" t="s">
        <v>87</v>
      </c>
      <c r="B335" s="193" t="s">
        <v>88</v>
      </c>
      <c r="C335" s="192"/>
      <c r="D335" s="192"/>
      <c r="E335" s="192"/>
      <c r="F335" s="192"/>
      <c r="G335" s="191">
        <f t="shared" ref="G335:X335" si="107">SUM(G336:G348)</f>
        <v>111318</v>
      </c>
      <c r="H335" s="191">
        <f t="shared" si="107"/>
        <v>111318</v>
      </c>
      <c r="I335" s="191">
        <f t="shared" si="107"/>
        <v>0</v>
      </c>
      <c r="J335" s="191">
        <f t="shared" si="107"/>
        <v>0</v>
      </c>
      <c r="K335" s="191">
        <f t="shared" si="107"/>
        <v>0</v>
      </c>
      <c r="L335" s="191">
        <f t="shared" si="107"/>
        <v>0</v>
      </c>
      <c r="M335" s="191">
        <f t="shared" si="107"/>
        <v>80000</v>
      </c>
      <c r="N335" s="191">
        <f t="shared" si="107"/>
        <v>80000</v>
      </c>
      <c r="O335" s="191">
        <f t="shared" si="107"/>
        <v>80000</v>
      </c>
      <c r="P335" s="191">
        <f t="shared" si="107"/>
        <v>80000</v>
      </c>
      <c r="Q335" s="191">
        <f t="shared" si="107"/>
        <v>0</v>
      </c>
      <c r="R335" s="191">
        <f t="shared" si="107"/>
        <v>0</v>
      </c>
      <c r="S335" s="474">
        <f t="shared" si="107"/>
        <v>80000</v>
      </c>
      <c r="T335" s="474">
        <f t="shared" si="107"/>
        <v>80000</v>
      </c>
      <c r="U335" s="191">
        <f t="shared" si="107"/>
        <v>13700</v>
      </c>
      <c r="V335" s="191">
        <f t="shared" si="107"/>
        <v>13700</v>
      </c>
      <c r="W335" s="191">
        <f t="shared" si="107"/>
        <v>16337</v>
      </c>
      <c r="X335" s="191">
        <f t="shared" si="107"/>
        <v>16337</v>
      </c>
      <c r="Y335" s="190">
        <v>80000</v>
      </c>
      <c r="Z335" s="190">
        <v>80000</v>
      </c>
      <c r="AA335" s="190">
        <v>80000</v>
      </c>
      <c r="AB335" s="190">
        <v>80000</v>
      </c>
      <c r="AC335" s="190">
        <v>80000</v>
      </c>
      <c r="AD335" s="190">
        <v>80000</v>
      </c>
      <c r="AE335" s="190">
        <v>80000</v>
      </c>
      <c r="AF335" s="190">
        <v>80000</v>
      </c>
      <c r="AG335" s="189"/>
      <c r="AH335" s="173">
        <f t="shared" si="97"/>
        <v>0</v>
      </c>
    </row>
    <row r="336" spans="1:34" ht="49.5" hidden="1" x14ac:dyDescent="0.25">
      <c r="A336" s="221">
        <v>1</v>
      </c>
      <c r="B336" s="183" t="s">
        <v>1238</v>
      </c>
      <c r="C336" s="180" t="s">
        <v>1237</v>
      </c>
      <c r="D336" s="188" t="s">
        <v>1236</v>
      </c>
      <c r="E336" s="181" t="s">
        <v>97</v>
      </c>
      <c r="F336" s="180" t="s">
        <v>1235</v>
      </c>
      <c r="G336" s="196">
        <v>13296</v>
      </c>
      <c r="H336" s="196">
        <v>13296</v>
      </c>
      <c r="I336" s="177"/>
      <c r="J336" s="177"/>
      <c r="K336" s="177"/>
      <c r="L336" s="177"/>
      <c r="M336" s="179">
        <v>12000</v>
      </c>
      <c r="N336" s="212">
        <f t="shared" ref="N336:N346" si="108">M336</f>
        <v>12000</v>
      </c>
      <c r="O336" s="178">
        <f>P336</f>
        <v>11040</v>
      </c>
      <c r="P336" s="220">
        <v>11040</v>
      </c>
      <c r="Q336" s="176"/>
      <c r="R336" s="176"/>
      <c r="S336" s="456">
        <f>T336</f>
        <v>11040</v>
      </c>
      <c r="T336" s="454">
        <v>11040</v>
      </c>
      <c r="U336" s="177">
        <f>V336</f>
        <v>6400</v>
      </c>
      <c r="V336" s="177">
        <v>6400</v>
      </c>
      <c r="W336" s="177">
        <f>X336</f>
        <v>3437</v>
      </c>
      <c r="X336" s="177">
        <v>3437</v>
      </c>
      <c r="Y336" s="177"/>
      <c r="Z336" s="177"/>
      <c r="AA336" s="177"/>
      <c r="AB336" s="177"/>
      <c r="AC336" s="177"/>
      <c r="AD336" s="177"/>
      <c r="AE336" s="177"/>
      <c r="AF336" s="177"/>
      <c r="AG336" s="198"/>
      <c r="AH336" s="173">
        <f t="shared" si="97"/>
        <v>0</v>
      </c>
    </row>
    <row r="337" spans="1:36" ht="66" hidden="1" x14ac:dyDescent="0.25">
      <c r="A337" s="221">
        <v>2</v>
      </c>
      <c r="B337" s="183" t="s">
        <v>1234</v>
      </c>
      <c r="C337" s="180" t="s">
        <v>1233</v>
      </c>
      <c r="D337" s="182" t="s">
        <v>1232</v>
      </c>
      <c r="E337" s="181" t="s">
        <v>97</v>
      </c>
      <c r="F337" s="180" t="s">
        <v>1231</v>
      </c>
      <c r="G337" s="196">
        <v>8514</v>
      </c>
      <c r="H337" s="196">
        <v>8514</v>
      </c>
      <c r="I337" s="177"/>
      <c r="J337" s="177"/>
      <c r="K337" s="177"/>
      <c r="L337" s="177"/>
      <c r="M337" s="179">
        <v>6470</v>
      </c>
      <c r="N337" s="212">
        <f t="shared" si="108"/>
        <v>6470</v>
      </c>
      <c r="O337" s="178">
        <f>P337</f>
        <v>7160</v>
      </c>
      <c r="P337" s="220">
        <v>7160</v>
      </c>
      <c r="Q337" s="176"/>
      <c r="R337" s="176"/>
      <c r="S337" s="456">
        <f>T337</f>
        <v>7160</v>
      </c>
      <c r="T337" s="454">
        <v>7160</v>
      </c>
      <c r="U337" s="177">
        <f>V337</f>
        <v>5300</v>
      </c>
      <c r="V337" s="177">
        <v>5300</v>
      </c>
      <c r="W337" s="177">
        <f>X337</f>
        <v>1100</v>
      </c>
      <c r="X337" s="177">
        <v>1100</v>
      </c>
      <c r="Y337" s="177"/>
      <c r="Z337" s="177"/>
      <c r="AA337" s="177"/>
      <c r="AB337" s="177"/>
      <c r="AC337" s="177"/>
      <c r="AD337" s="177"/>
      <c r="AE337" s="177"/>
      <c r="AF337" s="177"/>
      <c r="AG337" s="198"/>
      <c r="AH337" s="173">
        <f t="shared" si="97"/>
        <v>0</v>
      </c>
    </row>
    <row r="338" spans="1:36" ht="49.5" hidden="1" x14ac:dyDescent="0.25">
      <c r="A338" s="221">
        <v>3</v>
      </c>
      <c r="B338" s="233" t="s">
        <v>1230</v>
      </c>
      <c r="C338" s="180" t="s">
        <v>1202</v>
      </c>
      <c r="D338" s="181" t="s">
        <v>1229</v>
      </c>
      <c r="E338" s="187" t="s">
        <v>1073</v>
      </c>
      <c r="F338" s="180" t="s">
        <v>1228</v>
      </c>
      <c r="G338" s="179">
        <v>3137</v>
      </c>
      <c r="H338" s="179">
        <v>3137</v>
      </c>
      <c r="I338" s="177"/>
      <c r="J338" s="177"/>
      <c r="K338" s="177"/>
      <c r="L338" s="177"/>
      <c r="M338" s="179">
        <v>2860</v>
      </c>
      <c r="N338" s="212">
        <f t="shared" si="108"/>
        <v>2860</v>
      </c>
      <c r="O338" s="178">
        <f>P338</f>
        <v>2700</v>
      </c>
      <c r="P338" s="220">
        <v>2700</v>
      </c>
      <c r="Q338" s="176"/>
      <c r="R338" s="176"/>
      <c r="S338" s="456">
        <f>T338</f>
        <v>2700</v>
      </c>
      <c r="T338" s="454">
        <v>2700</v>
      </c>
      <c r="U338" s="177">
        <f>V338</f>
        <v>2000</v>
      </c>
      <c r="V338" s="177">
        <v>2000</v>
      </c>
      <c r="W338" s="177">
        <f>X338</f>
        <v>630</v>
      </c>
      <c r="X338" s="177">
        <v>630</v>
      </c>
      <c r="Y338" s="177"/>
      <c r="Z338" s="177"/>
      <c r="AA338" s="177"/>
      <c r="AB338" s="177"/>
      <c r="AC338" s="177"/>
      <c r="AD338" s="177"/>
      <c r="AE338" s="177"/>
      <c r="AF338" s="177"/>
      <c r="AG338" s="198"/>
      <c r="AH338" s="173">
        <f t="shared" si="97"/>
        <v>0</v>
      </c>
    </row>
    <row r="339" spans="1:36" s="157" customFormat="1" ht="23.25" hidden="1" customHeight="1" x14ac:dyDescent="0.25">
      <c r="A339" s="152">
        <v>4</v>
      </c>
      <c r="B339" s="351" t="s">
        <v>1227</v>
      </c>
      <c r="C339" s="1" t="s">
        <v>1226</v>
      </c>
      <c r="D339" s="335" t="s">
        <v>1225</v>
      </c>
      <c r="E339" s="246">
        <v>2017</v>
      </c>
      <c r="F339" s="336"/>
      <c r="G339" s="349">
        <v>639</v>
      </c>
      <c r="H339" s="349">
        <v>639</v>
      </c>
      <c r="I339" s="244"/>
      <c r="J339" s="244"/>
      <c r="K339" s="244"/>
      <c r="L339" s="244"/>
      <c r="M339" s="4">
        <v>570</v>
      </c>
      <c r="N339" s="3">
        <f t="shared" si="108"/>
        <v>570</v>
      </c>
      <c r="O339" s="354"/>
      <c r="P339" s="354"/>
      <c r="Q339" s="8"/>
      <c r="R339" s="8"/>
      <c r="S339" s="476"/>
      <c r="T339" s="476"/>
      <c r="U339" s="244"/>
      <c r="V339" s="244"/>
      <c r="W339" s="244"/>
      <c r="X339" s="244"/>
      <c r="Y339" s="244"/>
      <c r="Z339" s="244"/>
      <c r="AA339" s="244"/>
      <c r="AB339" s="244"/>
      <c r="AC339" s="244"/>
      <c r="AD339" s="244"/>
      <c r="AE339" s="244"/>
      <c r="AF339" s="244"/>
      <c r="AG339" s="242"/>
      <c r="AH339" s="173">
        <f t="shared" si="97"/>
        <v>0</v>
      </c>
    </row>
    <row r="340" spans="1:36" s="157" customFormat="1" ht="33" hidden="1" x14ac:dyDescent="0.25">
      <c r="A340" s="152">
        <v>5</v>
      </c>
      <c r="B340" s="351" t="s">
        <v>1224</v>
      </c>
      <c r="C340" s="1"/>
      <c r="D340" s="335" t="s">
        <v>1223</v>
      </c>
      <c r="E340" s="246">
        <v>2017</v>
      </c>
      <c r="F340" s="336"/>
      <c r="G340" s="349">
        <v>14979</v>
      </c>
      <c r="H340" s="349">
        <v>14979</v>
      </c>
      <c r="I340" s="353"/>
      <c r="J340" s="353"/>
      <c r="K340" s="353"/>
      <c r="L340" s="353"/>
      <c r="M340" s="4">
        <v>14260</v>
      </c>
      <c r="N340" s="3">
        <f t="shared" si="108"/>
        <v>14260</v>
      </c>
      <c r="O340" s="347">
        <f>P340</f>
        <v>12750</v>
      </c>
      <c r="P340" s="347">
        <v>12750</v>
      </c>
      <c r="Q340" s="8"/>
      <c r="R340" s="8"/>
      <c r="S340" s="482">
        <f>T340</f>
        <v>12750</v>
      </c>
      <c r="T340" s="482">
        <v>12750</v>
      </c>
      <c r="U340" s="332"/>
      <c r="V340" s="332"/>
      <c r="W340" s="332"/>
      <c r="X340" s="332"/>
      <c r="Y340" s="332"/>
      <c r="Z340" s="332"/>
      <c r="AA340" s="332"/>
      <c r="AB340" s="332"/>
      <c r="AC340" s="332"/>
      <c r="AD340" s="332"/>
      <c r="AE340" s="332"/>
      <c r="AF340" s="332"/>
      <c r="AG340" s="352"/>
      <c r="AH340" s="173">
        <f t="shared" si="97"/>
        <v>0</v>
      </c>
    </row>
    <row r="341" spans="1:36" s="157" customFormat="1" ht="33" hidden="1" x14ac:dyDescent="0.25">
      <c r="A341" s="152">
        <v>6</v>
      </c>
      <c r="B341" s="351" t="s">
        <v>1222</v>
      </c>
      <c r="C341" s="350" t="s">
        <v>1202</v>
      </c>
      <c r="D341" s="335" t="s">
        <v>1221</v>
      </c>
      <c r="E341" s="246">
        <v>2017</v>
      </c>
      <c r="F341" s="336"/>
      <c r="G341" s="349">
        <v>5808</v>
      </c>
      <c r="H341" s="349">
        <v>5808</v>
      </c>
      <c r="I341" s="348"/>
      <c r="J341" s="348"/>
      <c r="K341" s="348"/>
      <c r="L341" s="348"/>
      <c r="M341" s="4">
        <v>4930</v>
      </c>
      <c r="N341" s="3">
        <f t="shared" si="108"/>
        <v>4930</v>
      </c>
      <c r="O341" s="347"/>
      <c r="P341" s="347"/>
      <c r="Q341" s="8"/>
      <c r="R341" s="8"/>
      <c r="S341" s="482"/>
      <c r="T341" s="482"/>
      <c r="U341" s="332"/>
      <c r="V341" s="332"/>
      <c r="W341" s="332"/>
      <c r="X341" s="332"/>
      <c r="Y341" s="332"/>
      <c r="Z341" s="332"/>
      <c r="AA341" s="332"/>
      <c r="AB341" s="332"/>
      <c r="AC341" s="332"/>
      <c r="AD341" s="332"/>
      <c r="AE341" s="332"/>
      <c r="AF341" s="332"/>
      <c r="AG341" s="346"/>
      <c r="AH341" s="173">
        <f t="shared" si="97"/>
        <v>0</v>
      </c>
    </row>
    <row r="342" spans="1:36" ht="33" hidden="1" x14ac:dyDescent="0.25">
      <c r="A342" s="221">
        <v>7</v>
      </c>
      <c r="B342" s="237" t="s">
        <v>1220</v>
      </c>
      <c r="C342" s="344"/>
      <c r="D342" s="182" t="s">
        <v>1219</v>
      </c>
      <c r="E342" s="197" t="s">
        <v>116</v>
      </c>
      <c r="F342" s="344"/>
      <c r="G342" s="343">
        <v>6229</v>
      </c>
      <c r="H342" s="343">
        <v>6229</v>
      </c>
      <c r="I342" s="191"/>
      <c r="J342" s="191"/>
      <c r="K342" s="191"/>
      <c r="L342" s="191"/>
      <c r="M342" s="179">
        <v>5340</v>
      </c>
      <c r="N342" s="212">
        <f t="shared" si="108"/>
        <v>5340</v>
      </c>
      <c r="O342" s="345">
        <f>P342</f>
        <v>5300</v>
      </c>
      <c r="P342" s="345">
        <v>5300</v>
      </c>
      <c r="Q342" s="176"/>
      <c r="R342" s="176"/>
      <c r="S342" s="478">
        <f>T342</f>
        <v>5300</v>
      </c>
      <c r="T342" s="478">
        <v>5300</v>
      </c>
      <c r="U342" s="191"/>
      <c r="V342" s="191"/>
      <c r="W342" s="176">
        <f>X342</f>
        <v>3325</v>
      </c>
      <c r="X342" s="176">
        <v>3325</v>
      </c>
      <c r="Y342" s="191"/>
      <c r="Z342" s="191"/>
      <c r="AA342" s="191"/>
      <c r="AB342" s="191"/>
      <c r="AC342" s="191"/>
      <c r="AD342" s="191"/>
      <c r="AE342" s="191"/>
      <c r="AF342" s="191"/>
      <c r="AG342" s="189"/>
      <c r="AH342" s="173">
        <f t="shared" si="97"/>
        <v>0</v>
      </c>
    </row>
    <row r="343" spans="1:36" ht="49.5" hidden="1" x14ac:dyDescent="0.25">
      <c r="A343" s="221">
        <v>8</v>
      </c>
      <c r="B343" s="237" t="s">
        <v>1218</v>
      </c>
      <c r="C343" s="180" t="s">
        <v>1202</v>
      </c>
      <c r="D343" s="182" t="s">
        <v>1217</v>
      </c>
      <c r="E343" s="197" t="s">
        <v>116</v>
      </c>
      <c r="F343" s="344"/>
      <c r="G343" s="343">
        <v>14989</v>
      </c>
      <c r="H343" s="343">
        <v>14989</v>
      </c>
      <c r="I343" s="200"/>
      <c r="J343" s="200"/>
      <c r="K343" s="200"/>
      <c r="L343" s="200"/>
      <c r="M343" s="179">
        <v>14120</v>
      </c>
      <c r="N343" s="212">
        <f t="shared" si="108"/>
        <v>14120</v>
      </c>
      <c r="O343" s="340">
        <f>P343</f>
        <v>13200</v>
      </c>
      <c r="P343" s="340">
        <v>13200</v>
      </c>
      <c r="Q343" s="176"/>
      <c r="R343" s="176"/>
      <c r="S343" s="459">
        <f>T343</f>
        <v>13200</v>
      </c>
      <c r="T343" s="459">
        <v>13200</v>
      </c>
      <c r="U343" s="200"/>
      <c r="V343" s="200"/>
      <c r="W343" s="176">
        <f>X343</f>
        <v>7845</v>
      </c>
      <c r="X343" s="176">
        <v>7845</v>
      </c>
      <c r="Y343" s="200"/>
      <c r="Z343" s="200"/>
      <c r="AA343" s="200"/>
      <c r="AB343" s="200"/>
      <c r="AC343" s="200"/>
      <c r="AD343" s="200"/>
      <c r="AE343" s="200"/>
      <c r="AF343" s="200"/>
      <c r="AG343" s="264"/>
      <c r="AH343" s="173">
        <f t="shared" si="97"/>
        <v>0</v>
      </c>
    </row>
    <row r="344" spans="1:36" ht="49.5" hidden="1" x14ac:dyDescent="0.25">
      <c r="A344" s="221">
        <v>9</v>
      </c>
      <c r="B344" s="233" t="s">
        <v>1216</v>
      </c>
      <c r="C344" s="188" t="s">
        <v>1215</v>
      </c>
      <c r="D344" s="188" t="s">
        <v>1214</v>
      </c>
      <c r="E344" s="185" t="s">
        <v>290</v>
      </c>
      <c r="F344" s="342" t="s">
        <v>1213</v>
      </c>
      <c r="G344" s="341">
        <f>H344</f>
        <v>14034</v>
      </c>
      <c r="H344" s="341">
        <v>14034</v>
      </c>
      <c r="I344" s="191"/>
      <c r="J344" s="191"/>
      <c r="K344" s="191"/>
      <c r="L344" s="191"/>
      <c r="M344" s="179">
        <v>9000</v>
      </c>
      <c r="N344" s="212">
        <f t="shared" si="108"/>
        <v>9000</v>
      </c>
      <c r="O344" s="340">
        <f>P344</f>
        <v>11700</v>
      </c>
      <c r="P344" s="340">
        <v>11700</v>
      </c>
      <c r="Q344" s="176"/>
      <c r="R344" s="176"/>
      <c r="S344" s="459">
        <f>T344</f>
        <v>11700</v>
      </c>
      <c r="T344" s="459">
        <v>11700</v>
      </c>
      <c r="U344" s="191"/>
      <c r="V344" s="191"/>
      <c r="W344" s="191"/>
      <c r="X344" s="191"/>
      <c r="Y344" s="191"/>
      <c r="Z344" s="191"/>
      <c r="AA344" s="191"/>
      <c r="AB344" s="191"/>
      <c r="AC344" s="191"/>
      <c r="AD344" s="191"/>
      <c r="AE344" s="191"/>
      <c r="AF344" s="191"/>
      <c r="AG344" s="339" t="s">
        <v>1212</v>
      </c>
      <c r="AH344" s="173">
        <f t="shared" si="97"/>
        <v>0</v>
      </c>
    </row>
    <row r="345" spans="1:36" s="157" customFormat="1" ht="33" hidden="1" x14ac:dyDescent="0.25">
      <c r="A345" s="152">
        <v>10</v>
      </c>
      <c r="B345" s="337" t="s">
        <v>1211</v>
      </c>
      <c r="C345" s="1"/>
      <c r="D345" s="335" t="s">
        <v>1210</v>
      </c>
      <c r="E345" s="334" t="s">
        <v>290</v>
      </c>
      <c r="F345" s="336"/>
      <c r="G345" s="332">
        <v>10000</v>
      </c>
      <c r="H345" s="332">
        <v>10000</v>
      </c>
      <c r="I345" s="244"/>
      <c r="J345" s="338"/>
      <c r="K345" s="244"/>
      <c r="L345" s="338"/>
      <c r="M345" s="4">
        <v>9500</v>
      </c>
      <c r="N345" s="3">
        <f t="shared" si="108"/>
        <v>9500</v>
      </c>
      <c r="O345" s="330"/>
      <c r="P345" s="330"/>
      <c r="Q345" s="8"/>
      <c r="R345" s="8"/>
      <c r="S345" s="483"/>
      <c r="T345" s="483"/>
      <c r="U345" s="244"/>
      <c r="V345" s="244"/>
      <c r="W345" s="244"/>
      <c r="X345" s="244"/>
      <c r="Y345" s="244"/>
      <c r="Z345" s="244"/>
      <c r="AA345" s="244"/>
      <c r="AB345" s="244"/>
      <c r="AC345" s="244"/>
      <c r="AD345" s="244"/>
      <c r="AE345" s="244"/>
      <c r="AF345" s="244"/>
      <c r="AG345" s="242"/>
      <c r="AH345" s="173">
        <f t="shared" si="97"/>
        <v>0</v>
      </c>
    </row>
    <row r="346" spans="1:36" s="157" customFormat="1" ht="33" hidden="1" x14ac:dyDescent="0.25">
      <c r="A346" s="152">
        <v>11</v>
      </c>
      <c r="B346" s="337" t="s">
        <v>1209</v>
      </c>
      <c r="C346" s="1"/>
      <c r="D346" s="335" t="s">
        <v>1208</v>
      </c>
      <c r="E346" s="334">
        <v>2020</v>
      </c>
      <c r="F346" s="336"/>
      <c r="G346" s="332">
        <v>1000</v>
      </c>
      <c r="H346" s="332">
        <v>1000</v>
      </c>
      <c r="I346" s="244"/>
      <c r="J346" s="331"/>
      <c r="K346" s="244"/>
      <c r="L346" s="331"/>
      <c r="M346" s="4">
        <v>950</v>
      </c>
      <c r="N346" s="3">
        <f t="shared" si="108"/>
        <v>950</v>
      </c>
      <c r="O346" s="330"/>
      <c r="P346" s="330"/>
      <c r="Q346" s="8"/>
      <c r="R346" s="8"/>
      <c r="S346" s="483"/>
      <c r="T346" s="483"/>
      <c r="U346" s="244"/>
      <c r="V346" s="244"/>
      <c r="W346" s="244"/>
      <c r="X346" s="244"/>
      <c r="Y346" s="244"/>
      <c r="Z346" s="244"/>
      <c r="AA346" s="244"/>
      <c r="AB346" s="244"/>
      <c r="AC346" s="244"/>
      <c r="AD346" s="244"/>
      <c r="AE346" s="244"/>
      <c r="AF346" s="244"/>
      <c r="AG346" s="242"/>
      <c r="AH346" s="173">
        <f t="shared" si="97"/>
        <v>0</v>
      </c>
    </row>
    <row r="347" spans="1:36" s="157" customFormat="1" ht="49.5" hidden="1" x14ac:dyDescent="0.25">
      <c r="A347" s="152">
        <v>12</v>
      </c>
      <c r="B347" s="153" t="s">
        <v>1207</v>
      </c>
      <c r="C347" s="1" t="s">
        <v>1206</v>
      </c>
      <c r="D347" s="335" t="s">
        <v>1205</v>
      </c>
      <c r="E347" s="334" t="s">
        <v>116</v>
      </c>
      <c r="F347" s="333" t="s">
        <v>1204</v>
      </c>
      <c r="G347" s="332">
        <f>H347</f>
        <v>3944</v>
      </c>
      <c r="H347" s="332">
        <v>3944</v>
      </c>
      <c r="I347" s="244"/>
      <c r="J347" s="331"/>
      <c r="K347" s="244"/>
      <c r="L347" s="331"/>
      <c r="M347" s="4"/>
      <c r="N347" s="3"/>
      <c r="O347" s="330">
        <f>P347</f>
        <v>3550</v>
      </c>
      <c r="P347" s="330">
        <v>3550</v>
      </c>
      <c r="Q347" s="8"/>
      <c r="R347" s="8"/>
      <c r="S347" s="483">
        <f>T347</f>
        <v>3550</v>
      </c>
      <c r="T347" s="483">
        <v>3550</v>
      </c>
      <c r="U347" s="244"/>
      <c r="V347" s="244"/>
      <c r="W347" s="244"/>
      <c r="X347" s="244"/>
      <c r="Y347" s="244"/>
      <c r="Z347" s="244"/>
      <c r="AA347" s="244"/>
      <c r="AB347" s="244"/>
      <c r="AC347" s="244"/>
      <c r="AD347" s="244"/>
      <c r="AE347" s="244"/>
      <c r="AF347" s="244"/>
      <c r="AG347" s="242"/>
      <c r="AH347" s="173">
        <f t="shared" si="97"/>
        <v>0</v>
      </c>
    </row>
    <row r="348" spans="1:36" s="157" customFormat="1" ht="49.5" hidden="1" x14ac:dyDescent="0.25">
      <c r="A348" s="329">
        <v>13</v>
      </c>
      <c r="B348" s="328" t="s">
        <v>1203</v>
      </c>
      <c r="C348" s="327" t="s">
        <v>1202</v>
      </c>
      <c r="D348" s="326" t="s">
        <v>1201</v>
      </c>
      <c r="E348" s="325" t="s">
        <v>290</v>
      </c>
      <c r="F348" s="324"/>
      <c r="G348" s="323">
        <v>14749</v>
      </c>
      <c r="H348" s="323">
        <v>14749</v>
      </c>
      <c r="I348" s="320"/>
      <c r="J348" s="322"/>
      <c r="K348" s="320"/>
      <c r="L348" s="322"/>
      <c r="M348" s="4"/>
      <c r="N348" s="3"/>
      <c r="O348" s="321">
        <f>P348</f>
        <v>12600</v>
      </c>
      <c r="P348" s="321">
        <v>12600</v>
      </c>
      <c r="Q348" s="8"/>
      <c r="R348" s="8"/>
      <c r="S348" s="484">
        <f>T348</f>
        <v>12600</v>
      </c>
      <c r="T348" s="484">
        <v>12600</v>
      </c>
      <c r="U348" s="320"/>
      <c r="V348" s="320"/>
      <c r="W348" s="320"/>
      <c r="X348" s="320"/>
      <c r="Y348" s="244"/>
      <c r="Z348" s="244"/>
      <c r="AA348" s="244"/>
      <c r="AB348" s="244"/>
      <c r="AC348" s="244"/>
      <c r="AD348" s="244"/>
      <c r="AE348" s="244"/>
      <c r="AF348" s="244"/>
      <c r="AG348" s="319"/>
      <c r="AH348" s="173">
        <f t="shared" si="97"/>
        <v>0</v>
      </c>
    </row>
    <row r="349" spans="1:36" s="203" customFormat="1" ht="16.5" hidden="1" x14ac:dyDescent="0.25">
      <c r="A349" s="210" t="s">
        <v>333</v>
      </c>
      <c r="B349" s="209" t="s">
        <v>1200</v>
      </c>
      <c r="C349" s="208"/>
      <c r="D349" s="207"/>
      <c r="E349" s="207"/>
      <c r="F349" s="207"/>
      <c r="G349" s="271">
        <f>G357</f>
        <v>113218</v>
      </c>
      <c r="H349" s="271">
        <f>H357</f>
        <v>113120</v>
      </c>
      <c r="I349" s="271">
        <f t="shared" ref="I349:AF349" si="109">I350+I357</f>
        <v>32000</v>
      </c>
      <c r="J349" s="271">
        <f t="shared" si="109"/>
        <v>32000</v>
      </c>
      <c r="K349" s="271">
        <f t="shared" si="109"/>
        <v>32000</v>
      </c>
      <c r="L349" s="271">
        <f t="shared" si="109"/>
        <v>32000</v>
      </c>
      <c r="M349" s="271">
        <f t="shared" si="109"/>
        <v>78900</v>
      </c>
      <c r="N349" s="271">
        <f t="shared" si="109"/>
        <v>78900</v>
      </c>
      <c r="O349" s="271">
        <f t="shared" si="109"/>
        <v>78900</v>
      </c>
      <c r="P349" s="271">
        <f t="shared" si="109"/>
        <v>78900</v>
      </c>
      <c r="Q349" s="271">
        <f t="shared" si="109"/>
        <v>0</v>
      </c>
      <c r="R349" s="271">
        <f t="shared" si="109"/>
        <v>0</v>
      </c>
      <c r="S349" s="458">
        <f t="shared" si="109"/>
        <v>78900</v>
      </c>
      <c r="T349" s="458">
        <f t="shared" si="109"/>
        <v>78900</v>
      </c>
      <c r="U349" s="271">
        <f t="shared" si="109"/>
        <v>44451</v>
      </c>
      <c r="V349" s="271">
        <f t="shared" si="109"/>
        <v>44451</v>
      </c>
      <c r="W349" s="271">
        <f t="shared" si="109"/>
        <v>5203</v>
      </c>
      <c r="X349" s="271">
        <f t="shared" si="109"/>
        <v>5203</v>
      </c>
      <c r="Y349" s="269">
        <f t="shared" si="109"/>
        <v>0</v>
      </c>
      <c r="Z349" s="269">
        <f t="shared" si="109"/>
        <v>0</v>
      </c>
      <c r="AA349" s="269">
        <f t="shared" si="109"/>
        <v>0</v>
      </c>
      <c r="AB349" s="269">
        <f t="shared" si="109"/>
        <v>0</v>
      </c>
      <c r="AC349" s="269">
        <f t="shared" si="109"/>
        <v>0</v>
      </c>
      <c r="AD349" s="269">
        <f t="shared" si="109"/>
        <v>0</v>
      </c>
      <c r="AE349" s="269">
        <f t="shared" si="109"/>
        <v>0</v>
      </c>
      <c r="AF349" s="269">
        <f t="shared" si="109"/>
        <v>0</v>
      </c>
      <c r="AG349" s="318"/>
      <c r="AH349" s="173">
        <f t="shared" ref="AH349:AH397" si="110">IF(T349-P349=0,0,1)</f>
        <v>0</v>
      </c>
      <c r="AJ349" s="317">
        <f>Q349-R349</f>
        <v>0</v>
      </c>
    </row>
    <row r="350" spans="1:36" ht="51.75" hidden="1" x14ac:dyDescent="0.25">
      <c r="A350" s="195" t="s">
        <v>45</v>
      </c>
      <c r="B350" s="193" t="s">
        <v>46</v>
      </c>
      <c r="C350" s="192"/>
      <c r="D350" s="192"/>
      <c r="E350" s="192"/>
      <c r="F350" s="192"/>
      <c r="G350" s="191">
        <f t="shared" ref="G350:AF350" si="111">G351</f>
        <v>50564</v>
      </c>
      <c r="H350" s="191">
        <f t="shared" si="111"/>
        <v>50564</v>
      </c>
      <c r="I350" s="191">
        <f t="shared" si="111"/>
        <v>32000</v>
      </c>
      <c r="J350" s="191">
        <f t="shared" si="111"/>
        <v>32000</v>
      </c>
      <c r="K350" s="191">
        <f t="shared" si="111"/>
        <v>32000</v>
      </c>
      <c r="L350" s="191">
        <f t="shared" si="111"/>
        <v>32000</v>
      </c>
      <c r="M350" s="191">
        <f t="shared" si="111"/>
        <v>25820</v>
      </c>
      <c r="N350" s="191">
        <f t="shared" si="111"/>
        <v>25820</v>
      </c>
      <c r="O350" s="190">
        <f t="shared" si="111"/>
        <v>14200</v>
      </c>
      <c r="P350" s="190">
        <f t="shared" si="111"/>
        <v>14200</v>
      </c>
      <c r="Q350" s="190">
        <f t="shared" si="111"/>
        <v>0</v>
      </c>
      <c r="R350" s="190">
        <f t="shared" si="111"/>
        <v>0</v>
      </c>
      <c r="S350" s="474">
        <f t="shared" si="111"/>
        <v>14200</v>
      </c>
      <c r="T350" s="474">
        <f t="shared" si="111"/>
        <v>14200</v>
      </c>
      <c r="U350" s="190">
        <f t="shared" si="111"/>
        <v>13903</v>
      </c>
      <c r="V350" s="190">
        <f t="shared" si="111"/>
        <v>13903</v>
      </c>
      <c r="W350" s="191">
        <f t="shared" si="111"/>
        <v>0</v>
      </c>
      <c r="X350" s="191">
        <f t="shared" si="111"/>
        <v>0</v>
      </c>
      <c r="Y350" s="190">
        <f t="shared" si="111"/>
        <v>0</v>
      </c>
      <c r="Z350" s="190">
        <f t="shared" si="111"/>
        <v>0</v>
      </c>
      <c r="AA350" s="190">
        <f t="shared" si="111"/>
        <v>0</v>
      </c>
      <c r="AB350" s="190">
        <f t="shared" si="111"/>
        <v>0</v>
      </c>
      <c r="AC350" s="190">
        <f t="shared" si="111"/>
        <v>0</v>
      </c>
      <c r="AD350" s="190">
        <f t="shared" si="111"/>
        <v>0</v>
      </c>
      <c r="AE350" s="190">
        <f t="shared" si="111"/>
        <v>0</v>
      </c>
      <c r="AF350" s="190">
        <f t="shared" si="111"/>
        <v>0</v>
      </c>
      <c r="AG350" s="189"/>
      <c r="AH350" s="173">
        <f t="shared" si="110"/>
        <v>0</v>
      </c>
    </row>
    <row r="351" spans="1:36" ht="34.5" hidden="1" x14ac:dyDescent="0.25">
      <c r="A351" s="194" t="s">
        <v>47</v>
      </c>
      <c r="B351" s="193" t="s">
        <v>48</v>
      </c>
      <c r="C351" s="192"/>
      <c r="D351" s="192"/>
      <c r="E351" s="192"/>
      <c r="F351" s="192"/>
      <c r="G351" s="191">
        <f t="shared" ref="G351:X351" si="112">G355+G356</f>
        <v>50564</v>
      </c>
      <c r="H351" s="191">
        <f t="shared" si="112"/>
        <v>50564</v>
      </c>
      <c r="I351" s="191">
        <f t="shared" si="112"/>
        <v>32000</v>
      </c>
      <c r="J351" s="191">
        <f t="shared" si="112"/>
        <v>32000</v>
      </c>
      <c r="K351" s="191">
        <f t="shared" si="112"/>
        <v>32000</v>
      </c>
      <c r="L351" s="191">
        <f t="shared" si="112"/>
        <v>32000</v>
      </c>
      <c r="M351" s="191">
        <f t="shared" si="112"/>
        <v>25820</v>
      </c>
      <c r="N351" s="191">
        <f t="shared" si="112"/>
        <v>25820</v>
      </c>
      <c r="O351" s="191">
        <f t="shared" si="112"/>
        <v>14200</v>
      </c>
      <c r="P351" s="191">
        <f t="shared" si="112"/>
        <v>14200</v>
      </c>
      <c r="Q351" s="191">
        <f t="shared" si="112"/>
        <v>0</v>
      </c>
      <c r="R351" s="191">
        <f t="shared" si="112"/>
        <v>0</v>
      </c>
      <c r="S351" s="474">
        <f t="shared" si="112"/>
        <v>14200</v>
      </c>
      <c r="T351" s="474">
        <f t="shared" si="112"/>
        <v>14200</v>
      </c>
      <c r="U351" s="191">
        <f t="shared" si="112"/>
        <v>13903</v>
      </c>
      <c r="V351" s="191">
        <f t="shared" si="112"/>
        <v>13903</v>
      </c>
      <c r="W351" s="191">
        <f t="shared" si="112"/>
        <v>0</v>
      </c>
      <c r="X351" s="191">
        <f t="shared" si="112"/>
        <v>0</v>
      </c>
      <c r="Y351" s="190">
        <f t="shared" ref="Y351:AF351" si="113">SUM(Y354:Y356)</f>
        <v>0</v>
      </c>
      <c r="Z351" s="190">
        <f t="shared" si="113"/>
        <v>0</v>
      </c>
      <c r="AA351" s="190">
        <f t="shared" si="113"/>
        <v>0</v>
      </c>
      <c r="AB351" s="190">
        <f t="shared" si="113"/>
        <v>0</v>
      </c>
      <c r="AC351" s="190">
        <f t="shared" si="113"/>
        <v>0</v>
      </c>
      <c r="AD351" s="190">
        <f t="shared" si="113"/>
        <v>0</v>
      </c>
      <c r="AE351" s="190">
        <f t="shared" si="113"/>
        <v>0</v>
      </c>
      <c r="AF351" s="190">
        <f t="shared" si="113"/>
        <v>0</v>
      </c>
      <c r="AG351" s="189"/>
      <c r="AH351" s="173">
        <f t="shared" si="110"/>
        <v>0</v>
      </c>
    </row>
    <row r="352" spans="1:36" ht="17.25" hidden="1" x14ac:dyDescent="0.25">
      <c r="A352" s="316"/>
      <c r="B352" s="315" t="s">
        <v>49</v>
      </c>
      <c r="C352" s="314"/>
      <c r="D352" s="314"/>
      <c r="E352" s="314"/>
      <c r="F352" s="314"/>
      <c r="G352" s="312"/>
      <c r="H352" s="312"/>
      <c r="I352" s="312"/>
      <c r="J352" s="312"/>
      <c r="K352" s="312"/>
      <c r="L352" s="312"/>
      <c r="M352" s="200"/>
      <c r="N352" s="200"/>
      <c r="O352" s="313"/>
      <c r="P352" s="313"/>
      <c r="Q352" s="176" t="e">
        <f>IF(#REF!&gt;0,#REF!,0)</f>
        <v>#REF!</v>
      </c>
      <c r="R352" s="176" t="e">
        <f>IF(#REF!&lt;0,-#REF!,0)</f>
        <v>#REF!</v>
      </c>
      <c r="S352" s="485"/>
      <c r="T352" s="485"/>
      <c r="U352" s="312"/>
      <c r="V352" s="312"/>
      <c r="W352" s="312"/>
      <c r="X352" s="312"/>
      <c r="Y352" s="200"/>
      <c r="Z352" s="200"/>
      <c r="AA352" s="200"/>
      <c r="AB352" s="200"/>
      <c r="AC352" s="200"/>
      <c r="AD352" s="200"/>
      <c r="AE352" s="200"/>
      <c r="AF352" s="200"/>
      <c r="AG352" s="311"/>
      <c r="AH352" s="173">
        <f t="shared" si="110"/>
        <v>0</v>
      </c>
    </row>
    <row r="353" spans="1:34" ht="51.75" hidden="1" x14ac:dyDescent="0.25">
      <c r="A353" s="194"/>
      <c r="B353" s="199" t="s">
        <v>50</v>
      </c>
      <c r="C353" s="192"/>
      <c r="D353" s="192"/>
      <c r="E353" s="192"/>
      <c r="F353" s="192"/>
      <c r="G353" s="191"/>
      <c r="H353" s="191"/>
      <c r="I353" s="191"/>
      <c r="J353" s="191"/>
      <c r="K353" s="191"/>
      <c r="L353" s="191"/>
      <c r="M353" s="191"/>
      <c r="N353" s="191"/>
      <c r="O353" s="190"/>
      <c r="P353" s="190"/>
      <c r="Q353" s="176" t="e">
        <f>IF(#REF!&gt;0,#REF!,0)</f>
        <v>#REF!</v>
      </c>
      <c r="R353" s="176" t="e">
        <f>IF(#REF!&lt;0,-#REF!,0)</f>
        <v>#REF!</v>
      </c>
      <c r="S353" s="474"/>
      <c r="T353" s="474"/>
      <c r="U353" s="191"/>
      <c r="V353" s="191"/>
      <c r="W353" s="191"/>
      <c r="X353" s="191"/>
      <c r="Y353" s="191"/>
      <c r="Z353" s="191"/>
      <c r="AA353" s="191"/>
      <c r="AB353" s="191"/>
      <c r="AC353" s="191"/>
      <c r="AD353" s="191"/>
      <c r="AE353" s="191"/>
      <c r="AF353" s="191"/>
      <c r="AG353" s="189"/>
      <c r="AH353" s="173">
        <f t="shared" si="110"/>
        <v>0</v>
      </c>
    </row>
    <row r="354" spans="1:34" ht="33" hidden="1" x14ac:dyDescent="0.25">
      <c r="A354" s="310" t="s">
        <v>1142</v>
      </c>
      <c r="B354" s="309" t="s">
        <v>1008</v>
      </c>
      <c r="C354" s="308"/>
      <c r="D354" s="307"/>
      <c r="E354" s="307"/>
      <c r="F354" s="307"/>
      <c r="G354" s="306"/>
      <c r="H354" s="303"/>
      <c r="I354" s="303"/>
      <c r="J354" s="303"/>
      <c r="K354" s="303"/>
      <c r="L354" s="303"/>
      <c r="M354" s="179">
        <v>1550</v>
      </c>
      <c r="N354" s="217">
        <f>M354</f>
        <v>1550</v>
      </c>
      <c r="O354" s="305">
        <f>P354</f>
        <v>1550</v>
      </c>
      <c r="P354" s="304">
        <v>1550</v>
      </c>
      <c r="Q354" s="176"/>
      <c r="R354" s="176"/>
      <c r="S354" s="486">
        <f>T354</f>
        <v>1550</v>
      </c>
      <c r="T354" s="461">
        <v>1550</v>
      </c>
      <c r="U354" s="305">
        <f>V354</f>
        <v>1545</v>
      </c>
      <c r="V354" s="304">
        <v>1545</v>
      </c>
      <c r="W354" s="303"/>
      <c r="X354" s="303"/>
      <c r="Y354" s="191"/>
      <c r="Z354" s="191"/>
      <c r="AA354" s="191"/>
      <c r="AB354" s="191"/>
      <c r="AC354" s="191"/>
      <c r="AD354" s="191"/>
      <c r="AE354" s="191"/>
      <c r="AF354" s="191"/>
      <c r="AG354" s="302"/>
      <c r="AH354" s="173">
        <f t="shared" si="110"/>
        <v>0</v>
      </c>
    </row>
    <row r="355" spans="1:34" ht="132" hidden="1" x14ac:dyDescent="0.25">
      <c r="A355" s="267" t="s">
        <v>56</v>
      </c>
      <c r="B355" s="183" t="s">
        <v>1199</v>
      </c>
      <c r="C355" s="188" t="s">
        <v>1198</v>
      </c>
      <c r="D355" s="180"/>
      <c r="E355" s="181" t="s">
        <v>738</v>
      </c>
      <c r="F355" s="180" t="s">
        <v>1197</v>
      </c>
      <c r="G355" s="212">
        <f>H355</f>
        <v>38069</v>
      </c>
      <c r="H355" s="212">
        <v>38069</v>
      </c>
      <c r="I355" s="196">
        <f>J355</f>
        <v>26000</v>
      </c>
      <c r="J355" s="196">
        <f>25000+1000</f>
        <v>26000</v>
      </c>
      <c r="K355" s="196">
        <f>L355</f>
        <v>26000</v>
      </c>
      <c r="L355" s="196">
        <f>25000+1000</f>
        <v>26000</v>
      </c>
      <c r="M355" s="179">
        <f>N355</f>
        <v>19070</v>
      </c>
      <c r="N355" s="217">
        <v>19070</v>
      </c>
      <c r="O355" s="218">
        <f>P355</f>
        <v>8300</v>
      </c>
      <c r="P355" s="178">
        <v>8300</v>
      </c>
      <c r="Q355" s="176"/>
      <c r="R355" s="176"/>
      <c r="S355" s="467">
        <f>T355</f>
        <v>8300</v>
      </c>
      <c r="T355" s="456">
        <v>8300</v>
      </c>
      <c r="U355" s="266">
        <f>V355</f>
        <v>8000</v>
      </c>
      <c r="V355" s="243">
        <v>8000</v>
      </c>
      <c r="W355" s="217"/>
      <c r="X355" s="217"/>
      <c r="Y355" s="217"/>
      <c r="Z355" s="217"/>
      <c r="AA355" s="217"/>
      <c r="AB355" s="217"/>
      <c r="AC355" s="217"/>
      <c r="AD355" s="217"/>
      <c r="AE355" s="217"/>
      <c r="AF355" s="217"/>
      <c r="AG355" s="184" t="s">
        <v>1171</v>
      </c>
      <c r="AH355" s="173">
        <f t="shared" si="110"/>
        <v>0</v>
      </c>
    </row>
    <row r="356" spans="1:34" ht="132" hidden="1" x14ac:dyDescent="0.25">
      <c r="A356" s="267" t="s">
        <v>1196</v>
      </c>
      <c r="B356" s="183" t="s">
        <v>1195</v>
      </c>
      <c r="C356" s="188"/>
      <c r="D356" s="197"/>
      <c r="E356" s="181" t="s">
        <v>72</v>
      </c>
      <c r="F356" s="180" t="s">
        <v>1194</v>
      </c>
      <c r="G356" s="213">
        <f>H356</f>
        <v>12495</v>
      </c>
      <c r="H356" s="213">
        <v>12495</v>
      </c>
      <c r="I356" s="177">
        <f>J356</f>
        <v>6000</v>
      </c>
      <c r="J356" s="196">
        <v>6000</v>
      </c>
      <c r="K356" s="177">
        <f>L356</f>
        <v>6000</v>
      </c>
      <c r="L356" s="196">
        <v>6000</v>
      </c>
      <c r="M356" s="179">
        <f>N356</f>
        <v>6750</v>
      </c>
      <c r="N356" s="217">
        <v>6750</v>
      </c>
      <c r="O356" s="218">
        <f>P356</f>
        <v>5900</v>
      </c>
      <c r="P356" s="178">
        <v>5900</v>
      </c>
      <c r="Q356" s="176"/>
      <c r="R356" s="176"/>
      <c r="S356" s="467">
        <f>T356</f>
        <v>5900</v>
      </c>
      <c r="T356" s="456">
        <v>5900</v>
      </c>
      <c r="U356" s="283">
        <f>V356</f>
        <v>5903</v>
      </c>
      <c r="V356" s="299">
        <v>5903</v>
      </c>
      <c r="W356" s="217"/>
      <c r="X356" s="217"/>
      <c r="Y356" s="217"/>
      <c r="Z356" s="217"/>
      <c r="AA356" s="217"/>
      <c r="AB356" s="217"/>
      <c r="AC356" s="217"/>
      <c r="AD356" s="217"/>
      <c r="AE356" s="217"/>
      <c r="AF356" s="217"/>
      <c r="AG356" s="184" t="s">
        <v>1171</v>
      </c>
      <c r="AH356" s="173">
        <f t="shared" si="110"/>
        <v>0</v>
      </c>
    </row>
    <row r="357" spans="1:34" ht="34.5" hidden="1" x14ac:dyDescent="0.25">
      <c r="A357" s="195" t="s">
        <v>85</v>
      </c>
      <c r="B357" s="193" t="s">
        <v>86</v>
      </c>
      <c r="C357" s="192"/>
      <c r="D357" s="192"/>
      <c r="E357" s="192"/>
      <c r="F357" s="192"/>
      <c r="G357" s="191">
        <f t="shared" ref="G357:AF357" si="114">G358+G376</f>
        <v>113218</v>
      </c>
      <c r="H357" s="191">
        <f t="shared" si="114"/>
        <v>113120</v>
      </c>
      <c r="I357" s="191">
        <f t="shared" si="114"/>
        <v>0</v>
      </c>
      <c r="J357" s="191">
        <f t="shared" si="114"/>
        <v>0</v>
      </c>
      <c r="K357" s="191">
        <f t="shared" si="114"/>
        <v>0</v>
      </c>
      <c r="L357" s="191">
        <f t="shared" si="114"/>
        <v>0</v>
      </c>
      <c r="M357" s="191">
        <f t="shared" si="114"/>
        <v>53080</v>
      </c>
      <c r="N357" s="191">
        <f t="shared" si="114"/>
        <v>53080</v>
      </c>
      <c r="O357" s="191">
        <f t="shared" si="114"/>
        <v>64700</v>
      </c>
      <c r="P357" s="191">
        <f t="shared" si="114"/>
        <v>64700</v>
      </c>
      <c r="Q357" s="191">
        <f t="shared" si="114"/>
        <v>0</v>
      </c>
      <c r="R357" s="191">
        <f t="shared" si="114"/>
        <v>0</v>
      </c>
      <c r="S357" s="474">
        <f t="shared" si="114"/>
        <v>64700</v>
      </c>
      <c r="T357" s="474">
        <f t="shared" si="114"/>
        <v>64700</v>
      </c>
      <c r="U357" s="191">
        <f t="shared" si="114"/>
        <v>30548</v>
      </c>
      <c r="V357" s="191">
        <f t="shared" si="114"/>
        <v>30548</v>
      </c>
      <c r="W357" s="191">
        <f t="shared" si="114"/>
        <v>5203</v>
      </c>
      <c r="X357" s="191">
        <f t="shared" si="114"/>
        <v>5203</v>
      </c>
      <c r="Y357" s="190">
        <f t="shared" si="114"/>
        <v>0</v>
      </c>
      <c r="Z357" s="190">
        <f t="shared" si="114"/>
        <v>0</v>
      </c>
      <c r="AA357" s="190">
        <f t="shared" si="114"/>
        <v>0</v>
      </c>
      <c r="AB357" s="190">
        <f t="shared" si="114"/>
        <v>0</v>
      </c>
      <c r="AC357" s="190">
        <f t="shared" si="114"/>
        <v>0</v>
      </c>
      <c r="AD357" s="190">
        <f t="shared" si="114"/>
        <v>0</v>
      </c>
      <c r="AE357" s="190">
        <f t="shared" si="114"/>
        <v>0</v>
      </c>
      <c r="AF357" s="190">
        <f t="shared" si="114"/>
        <v>0</v>
      </c>
      <c r="AG357" s="189"/>
      <c r="AH357" s="173">
        <f t="shared" si="110"/>
        <v>0</v>
      </c>
    </row>
    <row r="358" spans="1:34" ht="51.75" hidden="1" x14ac:dyDescent="0.25">
      <c r="A358" s="194" t="s">
        <v>87</v>
      </c>
      <c r="B358" s="193" t="s">
        <v>88</v>
      </c>
      <c r="C358" s="192"/>
      <c r="D358" s="192"/>
      <c r="E358" s="192"/>
      <c r="F358" s="192"/>
      <c r="G358" s="191">
        <f t="shared" ref="G358:X358" si="115">SUM(G359:G365)+SUM(G367:G375)</f>
        <v>72329</v>
      </c>
      <c r="H358" s="191">
        <f t="shared" si="115"/>
        <v>72231</v>
      </c>
      <c r="I358" s="191">
        <f t="shared" si="115"/>
        <v>0</v>
      </c>
      <c r="J358" s="191">
        <f t="shared" si="115"/>
        <v>0</v>
      </c>
      <c r="K358" s="191">
        <f t="shared" si="115"/>
        <v>0</v>
      </c>
      <c r="L358" s="191">
        <f t="shared" si="115"/>
        <v>0</v>
      </c>
      <c r="M358" s="191">
        <f t="shared" si="115"/>
        <v>42760</v>
      </c>
      <c r="N358" s="191">
        <f t="shared" si="115"/>
        <v>42760</v>
      </c>
      <c r="O358" s="191">
        <f t="shared" si="115"/>
        <v>64700</v>
      </c>
      <c r="P358" s="191">
        <f t="shared" si="115"/>
        <v>64700</v>
      </c>
      <c r="Q358" s="191">
        <f t="shared" si="115"/>
        <v>0</v>
      </c>
      <c r="R358" s="191">
        <f t="shared" si="115"/>
        <v>0</v>
      </c>
      <c r="S358" s="474">
        <f t="shared" si="115"/>
        <v>64700</v>
      </c>
      <c r="T358" s="474">
        <f t="shared" si="115"/>
        <v>64700</v>
      </c>
      <c r="U358" s="191">
        <f t="shared" si="115"/>
        <v>30548</v>
      </c>
      <c r="V358" s="191">
        <f t="shared" si="115"/>
        <v>30548</v>
      </c>
      <c r="W358" s="191">
        <f t="shared" si="115"/>
        <v>5203</v>
      </c>
      <c r="X358" s="191">
        <f t="shared" si="115"/>
        <v>5203</v>
      </c>
      <c r="Y358" s="190">
        <f t="shared" ref="Y358:AF358" si="116">SUM(Y359:Y373)</f>
        <v>0</v>
      </c>
      <c r="Z358" s="190">
        <f t="shared" si="116"/>
        <v>0</v>
      </c>
      <c r="AA358" s="190">
        <f t="shared" si="116"/>
        <v>0</v>
      </c>
      <c r="AB358" s="190">
        <f t="shared" si="116"/>
        <v>0</v>
      </c>
      <c r="AC358" s="190">
        <f t="shared" si="116"/>
        <v>0</v>
      </c>
      <c r="AD358" s="190">
        <f t="shared" si="116"/>
        <v>0</v>
      </c>
      <c r="AE358" s="190">
        <f t="shared" si="116"/>
        <v>0</v>
      </c>
      <c r="AF358" s="190">
        <f t="shared" si="116"/>
        <v>0</v>
      </c>
      <c r="AG358" s="189"/>
      <c r="AH358" s="173">
        <f t="shared" si="110"/>
        <v>0</v>
      </c>
    </row>
    <row r="359" spans="1:34" s="13" customFormat="1" ht="115.5" hidden="1" x14ac:dyDescent="0.25">
      <c r="A359" s="60">
        <v>4</v>
      </c>
      <c r="B359" s="290" t="s">
        <v>1193</v>
      </c>
      <c r="C359" s="61"/>
      <c r="D359" s="118" t="s">
        <v>1192</v>
      </c>
      <c r="E359" s="126" t="s">
        <v>72</v>
      </c>
      <c r="F359" s="118" t="s">
        <v>1191</v>
      </c>
      <c r="G359" s="130">
        <f>H359</f>
        <v>5466</v>
      </c>
      <c r="H359" s="130">
        <v>5466</v>
      </c>
      <c r="I359" s="282"/>
      <c r="J359" s="282"/>
      <c r="K359" s="282"/>
      <c r="L359" s="282"/>
      <c r="M359" s="68">
        <f t="shared" ref="M359:M367" si="117">N359</f>
        <v>6200</v>
      </c>
      <c r="N359" s="288">
        <v>6200</v>
      </c>
      <c r="O359" s="300">
        <f t="shared" ref="O359:O375" si="118">P359</f>
        <v>5410</v>
      </c>
      <c r="P359" s="283">
        <v>5410</v>
      </c>
      <c r="Q359" s="54"/>
      <c r="R359" s="54"/>
      <c r="S359" s="462">
        <f t="shared" ref="S359:S375" si="119">T359</f>
        <v>5410</v>
      </c>
      <c r="T359" s="487">
        <v>5410</v>
      </c>
      <c r="U359" s="283">
        <f t="shared" ref="U359:U365" si="120">V359</f>
        <v>4917</v>
      </c>
      <c r="V359" s="299">
        <v>4917</v>
      </c>
      <c r="W359" s="283">
        <v>490</v>
      </c>
      <c r="X359" s="283">
        <v>490</v>
      </c>
      <c r="Y359" s="288"/>
      <c r="Z359" s="288"/>
      <c r="AA359" s="288"/>
      <c r="AB359" s="288"/>
      <c r="AC359" s="288"/>
      <c r="AD359" s="288"/>
      <c r="AE359" s="288"/>
      <c r="AF359" s="288"/>
      <c r="AG359" s="25" t="s">
        <v>1171</v>
      </c>
      <c r="AH359" s="173">
        <f t="shared" si="110"/>
        <v>0</v>
      </c>
    </row>
    <row r="360" spans="1:34" s="13" customFormat="1" ht="198" hidden="1" x14ac:dyDescent="0.25">
      <c r="A360" s="60">
        <v>5</v>
      </c>
      <c r="B360" s="290" t="s">
        <v>1190</v>
      </c>
      <c r="C360" s="61"/>
      <c r="D360" s="118" t="s">
        <v>1189</v>
      </c>
      <c r="E360" s="126" t="s">
        <v>252</v>
      </c>
      <c r="F360" s="118" t="s">
        <v>1188</v>
      </c>
      <c r="G360" s="130">
        <f>H360</f>
        <v>8337</v>
      </c>
      <c r="H360" s="130">
        <v>8337</v>
      </c>
      <c r="I360" s="282"/>
      <c r="J360" s="282"/>
      <c r="K360" s="282"/>
      <c r="L360" s="282"/>
      <c r="M360" s="68">
        <f t="shared" si="117"/>
        <v>9100</v>
      </c>
      <c r="N360" s="288">
        <v>9100</v>
      </c>
      <c r="O360" s="300">
        <f t="shared" si="118"/>
        <v>8000</v>
      </c>
      <c r="P360" s="283">
        <v>8000</v>
      </c>
      <c r="Q360" s="54"/>
      <c r="R360" s="54"/>
      <c r="S360" s="462">
        <f t="shared" si="119"/>
        <v>8000</v>
      </c>
      <c r="T360" s="487">
        <v>8000</v>
      </c>
      <c r="U360" s="283">
        <f t="shared" si="120"/>
        <v>7000</v>
      </c>
      <c r="V360" s="299">
        <v>7000</v>
      </c>
      <c r="W360" s="283">
        <v>997</v>
      </c>
      <c r="X360" s="283">
        <v>997</v>
      </c>
      <c r="Y360" s="288"/>
      <c r="Z360" s="288"/>
      <c r="AA360" s="288"/>
      <c r="AB360" s="288"/>
      <c r="AC360" s="288"/>
      <c r="AD360" s="288"/>
      <c r="AE360" s="288"/>
      <c r="AF360" s="288"/>
      <c r="AG360" s="25" t="s">
        <v>1171</v>
      </c>
      <c r="AH360" s="173">
        <f t="shared" si="110"/>
        <v>0</v>
      </c>
    </row>
    <row r="361" spans="1:34" s="13" customFormat="1" ht="115.5" hidden="1" x14ac:dyDescent="0.25">
      <c r="A361" s="60">
        <v>6</v>
      </c>
      <c r="B361" s="290" t="s">
        <v>1187</v>
      </c>
      <c r="C361" s="61"/>
      <c r="D361" s="70"/>
      <c r="E361" s="126">
        <v>2016</v>
      </c>
      <c r="F361" s="118" t="s">
        <v>1186</v>
      </c>
      <c r="G361" s="130">
        <f>H361</f>
        <v>3762</v>
      </c>
      <c r="H361" s="130">
        <v>3762</v>
      </c>
      <c r="I361" s="282"/>
      <c r="J361" s="282"/>
      <c r="K361" s="282"/>
      <c r="L361" s="282"/>
      <c r="M361" s="68">
        <f t="shared" si="117"/>
        <v>4100</v>
      </c>
      <c r="N361" s="288">
        <v>4100</v>
      </c>
      <c r="O361" s="300">
        <f t="shared" si="118"/>
        <v>3700</v>
      </c>
      <c r="P361" s="283">
        <v>3700</v>
      </c>
      <c r="Q361" s="54"/>
      <c r="R361" s="54"/>
      <c r="S361" s="462">
        <f t="shared" si="119"/>
        <v>3700</v>
      </c>
      <c r="T361" s="487">
        <v>3700</v>
      </c>
      <c r="U361" s="283">
        <f t="shared" si="120"/>
        <v>3000</v>
      </c>
      <c r="V361" s="299">
        <v>3000</v>
      </c>
      <c r="W361" s="283">
        <v>700</v>
      </c>
      <c r="X361" s="283">
        <v>700</v>
      </c>
      <c r="Y361" s="288"/>
      <c r="Z361" s="288"/>
      <c r="AA361" s="288"/>
      <c r="AB361" s="288"/>
      <c r="AC361" s="288"/>
      <c r="AD361" s="288"/>
      <c r="AE361" s="288"/>
      <c r="AF361" s="288"/>
      <c r="AG361" s="25" t="s">
        <v>1171</v>
      </c>
      <c r="AH361" s="173">
        <f t="shared" si="110"/>
        <v>0</v>
      </c>
    </row>
    <row r="362" spans="1:34" s="13" customFormat="1" ht="115.5" hidden="1" x14ac:dyDescent="0.25">
      <c r="A362" s="60">
        <v>7</v>
      </c>
      <c r="B362" s="290" t="s">
        <v>1185</v>
      </c>
      <c r="C362" s="61"/>
      <c r="D362" s="70"/>
      <c r="E362" s="126">
        <v>2016</v>
      </c>
      <c r="F362" s="118" t="s">
        <v>1184</v>
      </c>
      <c r="G362" s="130">
        <f>H362</f>
        <v>4451</v>
      </c>
      <c r="H362" s="130">
        <v>4451</v>
      </c>
      <c r="I362" s="282"/>
      <c r="J362" s="282"/>
      <c r="K362" s="282"/>
      <c r="L362" s="282"/>
      <c r="M362" s="68">
        <f t="shared" si="117"/>
        <v>4530</v>
      </c>
      <c r="N362" s="288">
        <v>4530</v>
      </c>
      <c r="O362" s="300">
        <f t="shared" si="118"/>
        <v>4300</v>
      </c>
      <c r="P362" s="283">
        <v>4300</v>
      </c>
      <c r="Q362" s="54"/>
      <c r="R362" s="54"/>
      <c r="S362" s="462">
        <f t="shared" si="119"/>
        <v>4300</v>
      </c>
      <c r="T362" s="487">
        <v>4300</v>
      </c>
      <c r="U362" s="283">
        <f t="shared" si="120"/>
        <v>3750</v>
      </c>
      <c r="V362" s="299">
        <v>3750</v>
      </c>
      <c r="W362" s="283">
        <f>X362</f>
        <v>420</v>
      </c>
      <c r="X362" s="283">
        <v>420</v>
      </c>
      <c r="Y362" s="288"/>
      <c r="Z362" s="288"/>
      <c r="AA362" s="288"/>
      <c r="AB362" s="288"/>
      <c r="AC362" s="288"/>
      <c r="AD362" s="288"/>
      <c r="AE362" s="288"/>
      <c r="AF362" s="288"/>
      <c r="AG362" s="25" t="s">
        <v>1171</v>
      </c>
      <c r="AH362" s="173">
        <f t="shared" si="110"/>
        <v>0</v>
      </c>
    </row>
    <row r="363" spans="1:34" s="13" customFormat="1" ht="115.5" hidden="1" x14ac:dyDescent="0.25">
      <c r="A363" s="60">
        <v>8</v>
      </c>
      <c r="B363" s="290" t="s">
        <v>1183</v>
      </c>
      <c r="C363" s="61"/>
      <c r="D363" s="70"/>
      <c r="E363" s="301">
        <v>2016</v>
      </c>
      <c r="F363" s="118" t="s">
        <v>1182</v>
      </c>
      <c r="G363" s="130">
        <f>H363</f>
        <v>2744</v>
      </c>
      <c r="H363" s="130">
        <v>2744</v>
      </c>
      <c r="I363" s="282"/>
      <c r="J363" s="282"/>
      <c r="K363" s="282"/>
      <c r="L363" s="282"/>
      <c r="M363" s="68">
        <f t="shared" si="117"/>
        <v>2810</v>
      </c>
      <c r="N363" s="288">
        <v>2810</v>
      </c>
      <c r="O363" s="300">
        <f t="shared" si="118"/>
        <v>2730</v>
      </c>
      <c r="P363" s="283">
        <v>2730</v>
      </c>
      <c r="Q363" s="54"/>
      <c r="R363" s="54"/>
      <c r="S363" s="462">
        <f t="shared" si="119"/>
        <v>2730</v>
      </c>
      <c r="T363" s="487">
        <v>2730</v>
      </c>
      <c r="U363" s="283">
        <f t="shared" si="120"/>
        <v>2733</v>
      </c>
      <c r="V363" s="299">
        <v>2733</v>
      </c>
      <c r="W363" s="283"/>
      <c r="X363" s="283"/>
      <c r="Y363" s="288"/>
      <c r="Z363" s="288"/>
      <c r="AA363" s="288"/>
      <c r="AB363" s="288"/>
      <c r="AC363" s="288"/>
      <c r="AD363" s="288"/>
      <c r="AE363" s="288"/>
      <c r="AF363" s="288"/>
      <c r="AG363" s="25" t="s">
        <v>1171</v>
      </c>
      <c r="AH363" s="173">
        <f t="shared" si="110"/>
        <v>0</v>
      </c>
    </row>
    <row r="364" spans="1:34" s="13" customFormat="1" ht="181.5" hidden="1" x14ac:dyDescent="0.25">
      <c r="A364" s="60">
        <v>9</v>
      </c>
      <c r="B364" s="290" t="s">
        <v>1181</v>
      </c>
      <c r="C364" s="61"/>
      <c r="D364" s="70"/>
      <c r="E364" s="126" t="s">
        <v>199</v>
      </c>
      <c r="F364" s="118" t="s">
        <v>1180</v>
      </c>
      <c r="G364" s="130">
        <v>6692</v>
      </c>
      <c r="H364" s="130">
        <v>6594</v>
      </c>
      <c r="I364" s="282"/>
      <c r="J364" s="282"/>
      <c r="K364" s="282"/>
      <c r="L364" s="282"/>
      <c r="M364" s="68">
        <f t="shared" si="117"/>
        <v>6370</v>
      </c>
      <c r="N364" s="288">
        <v>6370</v>
      </c>
      <c r="O364" s="283">
        <f t="shared" si="118"/>
        <v>6400</v>
      </c>
      <c r="P364" s="299">
        <v>6400</v>
      </c>
      <c r="Q364" s="54"/>
      <c r="R364" s="54"/>
      <c r="S364" s="487">
        <f t="shared" si="119"/>
        <v>6400</v>
      </c>
      <c r="T364" s="462">
        <v>6400</v>
      </c>
      <c r="U364" s="283">
        <f t="shared" si="120"/>
        <v>5800</v>
      </c>
      <c r="V364" s="299">
        <v>5800</v>
      </c>
      <c r="W364" s="283">
        <v>596</v>
      </c>
      <c r="X364" s="283">
        <v>596</v>
      </c>
      <c r="Y364" s="288"/>
      <c r="Z364" s="288"/>
      <c r="AA364" s="288"/>
      <c r="AB364" s="288"/>
      <c r="AC364" s="288"/>
      <c r="AD364" s="288"/>
      <c r="AE364" s="288"/>
      <c r="AF364" s="288"/>
      <c r="AG364" s="25" t="s">
        <v>1171</v>
      </c>
      <c r="AH364" s="173">
        <f t="shared" si="110"/>
        <v>0</v>
      </c>
    </row>
    <row r="365" spans="1:34" s="13" customFormat="1" ht="247.5" hidden="1" x14ac:dyDescent="0.25">
      <c r="A365" s="60">
        <v>10</v>
      </c>
      <c r="B365" s="290" t="s">
        <v>1179</v>
      </c>
      <c r="C365" s="61"/>
      <c r="D365" s="70"/>
      <c r="E365" s="126" t="s">
        <v>97</v>
      </c>
      <c r="F365" s="118" t="s">
        <v>1178</v>
      </c>
      <c r="G365" s="75">
        <f>H365</f>
        <v>3939</v>
      </c>
      <c r="H365" s="75">
        <v>3939</v>
      </c>
      <c r="I365" s="282"/>
      <c r="J365" s="282"/>
      <c r="K365" s="282"/>
      <c r="L365" s="282"/>
      <c r="M365" s="68">
        <f t="shared" si="117"/>
        <v>5150</v>
      </c>
      <c r="N365" s="288">
        <v>5150</v>
      </c>
      <c r="O365" s="283">
        <f t="shared" si="118"/>
        <v>3550</v>
      </c>
      <c r="P365" s="284">
        <v>3550</v>
      </c>
      <c r="Q365" s="54"/>
      <c r="R365" s="54"/>
      <c r="S365" s="487">
        <f t="shared" si="119"/>
        <v>3550</v>
      </c>
      <c r="T365" s="488">
        <v>3550</v>
      </c>
      <c r="U365" s="283">
        <f t="shared" si="120"/>
        <v>3348</v>
      </c>
      <c r="V365" s="129">
        <v>3348</v>
      </c>
      <c r="W365" s="283"/>
      <c r="X365" s="283"/>
      <c r="Y365" s="288"/>
      <c r="Z365" s="288"/>
      <c r="AA365" s="288"/>
      <c r="AB365" s="288"/>
      <c r="AC365" s="288"/>
      <c r="AD365" s="288"/>
      <c r="AE365" s="288"/>
      <c r="AF365" s="288"/>
      <c r="AG365" s="25" t="s">
        <v>1171</v>
      </c>
      <c r="AH365" s="173">
        <f t="shared" si="110"/>
        <v>0</v>
      </c>
    </row>
    <row r="366" spans="1:34" s="13" customFormat="1" ht="115.5" hidden="1" x14ac:dyDescent="0.25">
      <c r="A366" s="298">
        <v>11</v>
      </c>
      <c r="B366" s="297" t="s">
        <v>1177</v>
      </c>
      <c r="C366" s="164" t="s">
        <v>578</v>
      </c>
      <c r="D366" s="164" t="s">
        <v>1176</v>
      </c>
      <c r="E366" s="296" t="s">
        <v>248</v>
      </c>
      <c r="F366" s="295" t="s">
        <v>1175</v>
      </c>
      <c r="G366" s="294">
        <v>5026</v>
      </c>
      <c r="H366" s="294">
        <v>5026</v>
      </c>
      <c r="I366" s="293"/>
      <c r="J366" s="293"/>
      <c r="K366" s="293"/>
      <c r="L366" s="293"/>
      <c r="M366" s="68">
        <f t="shared" si="117"/>
        <v>4550</v>
      </c>
      <c r="N366" s="288">
        <v>4550</v>
      </c>
      <c r="O366" s="292">
        <f t="shared" si="118"/>
        <v>4550</v>
      </c>
      <c r="P366" s="292">
        <f>N366</f>
        <v>4550</v>
      </c>
      <c r="Q366" s="54"/>
      <c r="R366" s="54"/>
      <c r="S366" s="489">
        <f t="shared" si="119"/>
        <v>4550</v>
      </c>
      <c r="T366" s="489">
        <f>P366</f>
        <v>4550</v>
      </c>
      <c r="U366" s="291"/>
      <c r="V366" s="291"/>
      <c r="W366" s="291">
        <v>4000</v>
      </c>
      <c r="X366" s="291">
        <v>4000</v>
      </c>
      <c r="Y366" s="282"/>
      <c r="Z366" s="282"/>
      <c r="AA366" s="282"/>
      <c r="AB366" s="282"/>
      <c r="AC366" s="282"/>
      <c r="AD366" s="282"/>
      <c r="AE366" s="282"/>
      <c r="AF366" s="282"/>
      <c r="AG366" s="164" t="s">
        <v>1171</v>
      </c>
      <c r="AH366" s="173">
        <f t="shared" si="110"/>
        <v>0</v>
      </c>
    </row>
    <row r="367" spans="1:34" s="13" customFormat="1" ht="49.5" hidden="1" x14ac:dyDescent="0.25">
      <c r="A367" s="60">
        <v>12</v>
      </c>
      <c r="B367" s="290" t="s">
        <v>1174</v>
      </c>
      <c r="C367" s="61" t="s">
        <v>578</v>
      </c>
      <c r="D367" s="70" t="s">
        <v>1173</v>
      </c>
      <c r="E367" s="126" t="s">
        <v>290</v>
      </c>
      <c r="F367" s="118" t="s">
        <v>1172</v>
      </c>
      <c r="G367" s="75">
        <f>H367</f>
        <v>2564</v>
      </c>
      <c r="H367" s="75">
        <v>2564</v>
      </c>
      <c r="I367" s="282"/>
      <c r="J367" s="282"/>
      <c r="K367" s="282"/>
      <c r="L367" s="282"/>
      <c r="M367" s="68">
        <f t="shared" si="117"/>
        <v>4500</v>
      </c>
      <c r="N367" s="288">
        <v>4500</v>
      </c>
      <c r="O367" s="283">
        <f t="shared" si="118"/>
        <v>2300</v>
      </c>
      <c r="P367" s="284">
        <v>2300</v>
      </c>
      <c r="Q367" s="54"/>
      <c r="R367" s="54"/>
      <c r="S367" s="487">
        <f t="shared" si="119"/>
        <v>2300</v>
      </c>
      <c r="T367" s="488">
        <v>2300</v>
      </c>
      <c r="U367" s="283"/>
      <c r="V367" s="129"/>
      <c r="W367" s="129">
        <v>2000</v>
      </c>
      <c r="X367" s="129">
        <v>2000</v>
      </c>
      <c r="Y367" s="288"/>
      <c r="Z367" s="288"/>
      <c r="AA367" s="288"/>
      <c r="AB367" s="288"/>
      <c r="AC367" s="288"/>
      <c r="AD367" s="288"/>
      <c r="AE367" s="288"/>
      <c r="AF367" s="288"/>
      <c r="AG367" s="25" t="s">
        <v>1171</v>
      </c>
      <c r="AH367" s="173">
        <f t="shared" si="110"/>
        <v>0</v>
      </c>
    </row>
    <row r="368" spans="1:34" s="13" customFormat="1" ht="47.25" hidden="1" x14ac:dyDescent="0.25">
      <c r="A368" s="60">
        <v>13</v>
      </c>
      <c r="B368" s="9" t="s">
        <v>1170</v>
      </c>
      <c r="C368" s="25" t="s">
        <v>1157</v>
      </c>
      <c r="D368" s="25"/>
      <c r="E368" s="286" t="s">
        <v>116</v>
      </c>
      <c r="F368" s="289" t="s">
        <v>1169</v>
      </c>
      <c r="G368" s="288">
        <v>2500</v>
      </c>
      <c r="H368" s="288">
        <v>2500</v>
      </c>
      <c r="I368" s="282"/>
      <c r="J368" s="282"/>
      <c r="K368" s="282"/>
      <c r="L368" s="282"/>
      <c r="M368" s="68"/>
      <c r="N368" s="288"/>
      <c r="O368" s="284">
        <f t="shared" si="118"/>
        <v>2000</v>
      </c>
      <c r="P368" s="284">
        <v>2000</v>
      </c>
      <c r="Q368" s="54"/>
      <c r="R368" s="54"/>
      <c r="S368" s="488">
        <f t="shared" si="119"/>
        <v>2000</v>
      </c>
      <c r="T368" s="488">
        <v>2000</v>
      </c>
      <c r="U368" s="282"/>
      <c r="V368" s="282"/>
      <c r="W368" s="282"/>
      <c r="X368" s="282"/>
      <c r="Y368" s="281"/>
      <c r="Z368" s="281"/>
      <c r="AA368" s="281"/>
      <c r="AB368" s="281"/>
      <c r="AC368" s="281"/>
      <c r="AD368" s="281"/>
      <c r="AE368" s="281"/>
      <c r="AF368" s="281"/>
      <c r="AG368" s="25" t="s">
        <v>84</v>
      </c>
      <c r="AH368" s="173">
        <f t="shared" si="110"/>
        <v>0</v>
      </c>
    </row>
    <row r="369" spans="1:36" s="13" customFormat="1" ht="49.5" hidden="1" x14ac:dyDescent="0.25">
      <c r="A369" s="60">
        <v>14</v>
      </c>
      <c r="B369" s="9" t="s">
        <v>1168</v>
      </c>
      <c r="C369" s="25" t="s">
        <v>1164</v>
      </c>
      <c r="D369" s="25" t="s">
        <v>1167</v>
      </c>
      <c r="E369" s="286" t="s">
        <v>116</v>
      </c>
      <c r="F369" s="289" t="s">
        <v>1166</v>
      </c>
      <c r="G369" s="288">
        <f>H369</f>
        <v>4128</v>
      </c>
      <c r="H369" s="288">
        <v>4128</v>
      </c>
      <c r="I369" s="282"/>
      <c r="J369" s="282"/>
      <c r="K369" s="282"/>
      <c r="L369" s="282"/>
      <c r="M369" s="68"/>
      <c r="N369" s="288"/>
      <c r="O369" s="284">
        <f t="shared" si="118"/>
        <v>3300</v>
      </c>
      <c r="P369" s="284">
        <v>3300</v>
      </c>
      <c r="Q369" s="54"/>
      <c r="R369" s="54"/>
      <c r="S369" s="488">
        <f t="shared" si="119"/>
        <v>3300</v>
      </c>
      <c r="T369" s="488">
        <v>3300</v>
      </c>
      <c r="U369" s="282"/>
      <c r="V369" s="282"/>
      <c r="W369" s="282"/>
      <c r="X369" s="282"/>
      <c r="Y369" s="281"/>
      <c r="Z369" s="281"/>
      <c r="AA369" s="281"/>
      <c r="AB369" s="281"/>
      <c r="AC369" s="281"/>
      <c r="AD369" s="281"/>
      <c r="AE369" s="281"/>
      <c r="AF369" s="281"/>
      <c r="AG369" s="25" t="s">
        <v>84</v>
      </c>
      <c r="AH369" s="173">
        <f t="shared" si="110"/>
        <v>0</v>
      </c>
    </row>
    <row r="370" spans="1:36" s="13" customFormat="1" ht="56.25" hidden="1" x14ac:dyDescent="0.25">
      <c r="A370" s="60">
        <v>15</v>
      </c>
      <c r="B370" s="9" t="s">
        <v>1165</v>
      </c>
      <c r="C370" s="25" t="s">
        <v>1164</v>
      </c>
      <c r="D370" s="25" t="s">
        <v>1163</v>
      </c>
      <c r="E370" s="286" t="s">
        <v>116</v>
      </c>
      <c r="F370" s="285" t="s">
        <v>1162</v>
      </c>
      <c r="G370" s="288">
        <f>H370</f>
        <v>4354</v>
      </c>
      <c r="H370" s="288">
        <v>4354</v>
      </c>
      <c r="I370" s="282"/>
      <c r="J370" s="282"/>
      <c r="K370" s="282"/>
      <c r="L370" s="282"/>
      <c r="M370" s="68"/>
      <c r="N370" s="288"/>
      <c r="O370" s="284">
        <f t="shared" si="118"/>
        <v>3700</v>
      </c>
      <c r="P370" s="284">
        <v>3700</v>
      </c>
      <c r="Q370" s="54"/>
      <c r="R370" s="54"/>
      <c r="S370" s="488">
        <f t="shared" si="119"/>
        <v>3700</v>
      </c>
      <c r="T370" s="488">
        <v>3700</v>
      </c>
      <c r="U370" s="282"/>
      <c r="V370" s="282"/>
      <c r="W370" s="282"/>
      <c r="X370" s="282"/>
      <c r="Y370" s="281"/>
      <c r="Z370" s="281"/>
      <c r="AA370" s="281"/>
      <c r="AB370" s="281"/>
      <c r="AC370" s="281"/>
      <c r="AD370" s="281"/>
      <c r="AE370" s="281"/>
      <c r="AF370" s="281"/>
      <c r="AG370" s="25" t="s">
        <v>84</v>
      </c>
      <c r="AH370" s="173">
        <f t="shared" si="110"/>
        <v>0</v>
      </c>
    </row>
    <row r="371" spans="1:36" s="13" customFormat="1" ht="56.25" hidden="1" x14ac:dyDescent="0.25">
      <c r="A371" s="60">
        <v>16</v>
      </c>
      <c r="B371" s="9" t="s">
        <v>1161</v>
      </c>
      <c r="C371" s="25" t="s">
        <v>1157</v>
      </c>
      <c r="D371" s="25" t="s">
        <v>1160</v>
      </c>
      <c r="E371" s="286" t="s">
        <v>116</v>
      </c>
      <c r="F371" s="285" t="s">
        <v>1159</v>
      </c>
      <c r="G371" s="288">
        <f>H371</f>
        <v>1437</v>
      </c>
      <c r="H371" s="288">
        <v>1437</v>
      </c>
      <c r="I371" s="282"/>
      <c r="J371" s="282"/>
      <c r="K371" s="282"/>
      <c r="L371" s="282"/>
      <c r="M371" s="68"/>
      <c r="N371" s="288"/>
      <c r="O371" s="284">
        <f t="shared" si="118"/>
        <v>1150</v>
      </c>
      <c r="P371" s="284">
        <v>1150</v>
      </c>
      <c r="Q371" s="54"/>
      <c r="R371" s="54"/>
      <c r="S371" s="488">
        <f t="shared" si="119"/>
        <v>1150</v>
      </c>
      <c r="T371" s="488">
        <v>1150</v>
      </c>
      <c r="U371" s="282"/>
      <c r="V371" s="282"/>
      <c r="W371" s="282"/>
      <c r="X371" s="282"/>
      <c r="Y371" s="281"/>
      <c r="Z371" s="281"/>
      <c r="AA371" s="281"/>
      <c r="AB371" s="281"/>
      <c r="AC371" s="281"/>
      <c r="AD371" s="281"/>
      <c r="AE371" s="281"/>
      <c r="AF371" s="281"/>
      <c r="AG371" s="25" t="s">
        <v>84</v>
      </c>
      <c r="AH371" s="173">
        <f t="shared" si="110"/>
        <v>0</v>
      </c>
    </row>
    <row r="372" spans="1:36" s="13" customFormat="1" ht="56.25" hidden="1" x14ac:dyDescent="0.25">
      <c r="A372" s="60">
        <v>17</v>
      </c>
      <c r="B372" s="9" t="s">
        <v>1158</v>
      </c>
      <c r="C372" s="25" t="s">
        <v>1157</v>
      </c>
      <c r="D372" s="25"/>
      <c r="E372" s="286" t="s">
        <v>116</v>
      </c>
      <c r="F372" s="285" t="s">
        <v>1156</v>
      </c>
      <c r="G372" s="288">
        <f>H372</f>
        <v>1900</v>
      </c>
      <c r="H372" s="288">
        <v>1900</v>
      </c>
      <c r="I372" s="282"/>
      <c r="J372" s="282"/>
      <c r="K372" s="282"/>
      <c r="L372" s="282"/>
      <c r="M372" s="68"/>
      <c r="N372" s="288"/>
      <c r="O372" s="284">
        <f t="shared" si="118"/>
        <v>1450</v>
      </c>
      <c r="P372" s="284">
        <v>1450</v>
      </c>
      <c r="Q372" s="54"/>
      <c r="R372" s="54"/>
      <c r="S372" s="488">
        <f t="shared" si="119"/>
        <v>1450</v>
      </c>
      <c r="T372" s="488">
        <v>1450</v>
      </c>
      <c r="U372" s="282"/>
      <c r="V372" s="282"/>
      <c r="W372" s="282"/>
      <c r="X372" s="282"/>
      <c r="Y372" s="281"/>
      <c r="Z372" s="281"/>
      <c r="AA372" s="281"/>
      <c r="AB372" s="281"/>
      <c r="AC372" s="281"/>
      <c r="AD372" s="281"/>
      <c r="AE372" s="281"/>
      <c r="AF372" s="281"/>
      <c r="AG372" s="25" t="s">
        <v>84</v>
      </c>
      <c r="AH372" s="173">
        <f t="shared" si="110"/>
        <v>0</v>
      </c>
    </row>
    <row r="373" spans="1:36" s="13" customFormat="1" ht="148.5" hidden="1" x14ac:dyDescent="0.25">
      <c r="A373" s="60">
        <v>18</v>
      </c>
      <c r="B373" s="9" t="s">
        <v>1155</v>
      </c>
      <c r="C373" s="25" t="s">
        <v>1147</v>
      </c>
      <c r="D373" s="25" t="s">
        <v>1154</v>
      </c>
      <c r="E373" s="286" t="s">
        <v>116</v>
      </c>
      <c r="F373" s="285" t="s">
        <v>1153</v>
      </c>
      <c r="G373" s="288">
        <f>H373</f>
        <v>5000</v>
      </c>
      <c r="H373" s="288">
        <v>5000</v>
      </c>
      <c r="I373" s="282"/>
      <c r="J373" s="282"/>
      <c r="K373" s="282"/>
      <c r="L373" s="282"/>
      <c r="M373" s="68"/>
      <c r="N373" s="288"/>
      <c r="O373" s="284">
        <f t="shared" si="118"/>
        <v>3500</v>
      </c>
      <c r="P373" s="284">
        <f>H373*0.7</f>
        <v>3500</v>
      </c>
      <c r="Q373" s="54"/>
      <c r="R373" s="54"/>
      <c r="S373" s="488">
        <f t="shared" si="119"/>
        <v>3500</v>
      </c>
      <c r="T373" s="488">
        <f>P373</f>
        <v>3500</v>
      </c>
      <c r="U373" s="282"/>
      <c r="V373" s="282"/>
      <c r="W373" s="282"/>
      <c r="X373" s="282"/>
      <c r="Y373" s="281"/>
      <c r="Z373" s="281"/>
      <c r="AA373" s="281"/>
      <c r="AB373" s="281"/>
      <c r="AC373" s="281"/>
      <c r="AD373" s="281"/>
      <c r="AE373" s="281"/>
      <c r="AF373" s="281"/>
      <c r="AG373" s="25" t="s">
        <v>1152</v>
      </c>
      <c r="AH373" s="173">
        <f t="shared" si="110"/>
        <v>0</v>
      </c>
    </row>
    <row r="374" spans="1:36" s="13" customFormat="1" ht="56.25" hidden="1" x14ac:dyDescent="0.25">
      <c r="A374" s="60">
        <v>19</v>
      </c>
      <c r="B374" s="287" t="s">
        <v>1151</v>
      </c>
      <c r="C374" s="285" t="s">
        <v>1147</v>
      </c>
      <c r="D374" s="285" t="s">
        <v>1150</v>
      </c>
      <c r="E374" s="286" t="s">
        <v>116</v>
      </c>
      <c r="F374" s="285" t="s">
        <v>1149</v>
      </c>
      <c r="G374" s="285">
        <v>1131</v>
      </c>
      <c r="H374" s="285">
        <f>G374</f>
        <v>1131</v>
      </c>
      <c r="I374" s="284"/>
      <c r="J374" s="284"/>
      <c r="K374" s="284"/>
      <c r="L374" s="284"/>
      <c r="M374" s="283"/>
      <c r="N374" s="283"/>
      <c r="O374" s="283">
        <f t="shared" si="118"/>
        <v>1000</v>
      </c>
      <c r="P374" s="129">
        <v>1000</v>
      </c>
      <c r="Q374" s="54"/>
      <c r="R374" s="54"/>
      <c r="S374" s="487">
        <f t="shared" si="119"/>
        <v>1000</v>
      </c>
      <c r="T374" s="488">
        <v>1000</v>
      </c>
      <c r="U374" s="282"/>
      <c r="V374" s="282"/>
      <c r="W374" s="282"/>
      <c r="X374" s="282"/>
      <c r="Y374" s="281"/>
      <c r="Z374" s="281"/>
      <c r="AA374" s="281"/>
      <c r="AB374" s="281"/>
      <c r="AC374" s="281"/>
      <c r="AD374" s="281"/>
      <c r="AE374" s="281"/>
      <c r="AF374" s="281"/>
      <c r="AG374" s="25" t="s">
        <v>84</v>
      </c>
      <c r="AH374" s="173">
        <f t="shared" si="110"/>
        <v>0</v>
      </c>
    </row>
    <row r="375" spans="1:36" ht="57.75" hidden="1" customHeight="1" x14ac:dyDescent="0.25">
      <c r="A375" s="221">
        <v>20</v>
      </c>
      <c r="B375" s="211" t="s">
        <v>1148</v>
      </c>
      <c r="C375" s="185" t="s">
        <v>1147</v>
      </c>
      <c r="D375" s="185"/>
      <c r="E375" s="185" t="s">
        <v>116</v>
      </c>
      <c r="F375" s="185" t="s">
        <v>1146</v>
      </c>
      <c r="G375" s="217">
        <f>H375</f>
        <v>13924</v>
      </c>
      <c r="H375" s="217">
        <v>13924</v>
      </c>
      <c r="I375" s="177"/>
      <c r="J375" s="177"/>
      <c r="K375" s="177"/>
      <c r="L375" s="177"/>
      <c r="M375" s="179"/>
      <c r="N375" s="217"/>
      <c r="O375" s="220">
        <f t="shared" si="118"/>
        <v>12210</v>
      </c>
      <c r="P375" s="220">
        <v>12210</v>
      </c>
      <c r="Q375" s="176"/>
      <c r="R375" s="176"/>
      <c r="S375" s="454">
        <f t="shared" si="119"/>
        <v>12210</v>
      </c>
      <c r="T375" s="454">
        <v>12210</v>
      </c>
      <c r="U375" s="177"/>
      <c r="V375" s="177"/>
      <c r="W375" s="177"/>
      <c r="X375" s="177"/>
      <c r="Y375" s="277"/>
      <c r="Z375" s="277"/>
      <c r="AA375" s="277"/>
      <c r="AB375" s="277"/>
      <c r="AC375" s="277"/>
      <c r="AD375" s="277"/>
      <c r="AE375" s="277"/>
      <c r="AF375" s="277"/>
      <c r="AG375" s="185" t="s">
        <v>84</v>
      </c>
      <c r="AH375" s="173">
        <f t="shared" si="110"/>
        <v>0</v>
      </c>
    </row>
    <row r="376" spans="1:36" ht="34.5" hidden="1" x14ac:dyDescent="0.25">
      <c r="A376" s="194" t="s">
        <v>47</v>
      </c>
      <c r="B376" s="193" t="s">
        <v>1011</v>
      </c>
      <c r="C376" s="188"/>
      <c r="D376" s="197"/>
      <c r="E376" s="197"/>
      <c r="F376" s="188"/>
      <c r="G376" s="279">
        <f>SUM(G377:G377)</f>
        <v>40889</v>
      </c>
      <c r="H376" s="279">
        <f>SUM(H377:H377)</f>
        <v>40889</v>
      </c>
      <c r="I376" s="212"/>
      <c r="J376" s="177"/>
      <c r="K376" s="212"/>
      <c r="L376" s="177"/>
      <c r="M376" s="279">
        <f t="shared" ref="M376:T376" si="121">SUM(M377:M377)</f>
        <v>10320</v>
      </c>
      <c r="N376" s="279">
        <f t="shared" si="121"/>
        <v>10320</v>
      </c>
      <c r="O376" s="279">
        <f t="shared" si="121"/>
        <v>0</v>
      </c>
      <c r="P376" s="279">
        <f t="shared" si="121"/>
        <v>0</v>
      </c>
      <c r="Q376" s="279">
        <f t="shared" si="121"/>
        <v>0</v>
      </c>
      <c r="R376" s="279">
        <f t="shared" si="121"/>
        <v>0</v>
      </c>
      <c r="S376" s="463">
        <f t="shared" si="121"/>
        <v>0</v>
      </c>
      <c r="T376" s="463">
        <f t="shared" si="121"/>
        <v>0</v>
      </c>
      <c r="U376" s="278">
        <f t="shared" ref="U376:AF376" si="122">U377+U375</f>
        <v>0</v>
      </c>
      <c r="V376" s="278">
        <f t="shared" si="122"/>
        <v>0</v>
      </c>
      <c r="W376" s="278">
        <f t="shared" si="122"/>
        <v>0</v>
      </c>
      <c r="X376" s="278">
        <f t="shared" si="122"/>
        <v>0</v>
      </c>
      <c r="Y376" s="278">
        <f t="shared" si="122"/>
        <v>0</v>
      </c>
      <c r="Z376" s="278">
        <f t="shared" si="122"/>
        <v>0</v>
      </c>
      <c r="AA376" s="278">
        <f t="shared" si="122"/>
        <v>0</v>
      </c>
      <c r="AB376" s="278">
        <f t="shared" si="122"/>
        <v>0</v>
      </c>
      <c r="AC376" s="278">
        <f t="shared" si="122"/>
        <v>0</v>
      </c>
      <c r="AD376" s="278">
        <f t="shared" si="122"/>
        <v>0</v>
      </c>
      <c r="AE376" s="278">
        <f t="shared" si="122"/>
        <v>0</v>
      </c>
      <c r="AF376" s="278">
        <f t="shared" si="122"/>
        <v>0</v>
      </c>
      <c r="AG376" s="198"/>
      <c r="AH376" s="173">
        <f t="shared" si="110"/>
        <v>0</v>
      </c>
    </row>
    <row r="377" spans="1:36" ht="99" hidden="1" x14ac:dyDescent="0.25">
      <c r="A377" s="526">
        <v>21</v>
      </c>
      <c r="B377" s="820" t="s">
        <v>1145</v>
      </c>
      <c r="C377" s="520" t="s">
        <v>576</v>
      </c>
      <c r="D377" s="520"/>
      <c r="E377" s="520" t="s">
        <v>155</v>
      </c>
      <c r="F377" s="307"/>
      <c r="G377" s="813">
        <f>H377</f>
        <v>40889</v>
      </c>
      <c r="H377" s="813">
        <v>40889</v>
      </c>
      <c r="I377" s="277"/>
      <c r="J377" s="277"/>
      <c r="K377" s="277"/>
      <c r="L377" s="277"/>
      <c r="M377" s="179">
        <f>N377</f>
        <v>10320</v>
      </c>
      <c r="N377" s="217">
        <v>10320</v>
      </c>
      <c r="O377" s="534"/>
      <c r="P377" s="534"/>
      <c r="Q377" s="446"/>
      <c r="R377" s="446"/>
      <c r="S377" s="535"/>
      <c r="T377" s="535"/>
      <c r="U377" s="177"/>
      <c r="V377" s="177"/>
      <c r="W377" s="177"/>
      <c r="X377" s="177"/>
      <c r="Y377" s="277"/>
      <c r="Z377" s="277"/>
      <c r="AA377" s="277"/>
      <c r="AB377" s="277"/>
      <c r="AC377" s="277"/>
      <c r="AD377" s="277"/>
      <c r="AE377" s="277"/>
      <c r="AF377" s="277"/>
      <c r="AG377" s="520" t="s">
        <v>1144</v>
      </c>
      <c r="AH377" s="173">
        <f t="shared" si="110"/>
        <v>0</v>
      </c>
    </row>
    <row r="378" spans="1:36" s="203" customFormat="1" ht="33" x14ac:dyDescent="0.25">
      <c r="A378" s="639" t="s">
        <v>399</v>
      </c>
      <c r="B378" s="640" t="s">
        <v>1143</v>
      </c>
      <c r="C378" s="641"/>
      <c r="D378" s="642"/>
      <c r="E378" s="642"/>
      <c r="F378" s="642"/>
      <c r="G378" s="877">
        <f>G385</f>
        <v>72740</v>
      </c>
      <c r="H378" s="877">
        <f>H385</f>
        <v>68359</v>
      </c>
      <c r="I378" s="877">
        <f t="shared" ref="I378:AG378" si="123">I379+I385</f>
        <v>22000</v>
      </c>
      <c r="J378" s="877">
        <f t="shared" si="123"/>
        <v>22000</v>
      </c>
      <c r="K378" s="877">
        <f t="shared" si="123"/>
        <v>22000</v>
      </c>
      <c r="L378" s="877">
        <f t="shared" si="123"/>
        <v>22000</v>
      </c>
      <c r="M378" s="877">
        <f t="shared" ref="M378:T378" si="124">M385</f>
        <v>54750</v>
      </c>
      <c r="N378" s="877">
        <f t="shared" si="124"/>
        <v>54750</v>
      </c>
      <c r="O378" s="877">
        <f t="shared" si="124"/>
        <v>62765</v>
      </c>
      <c r="P378" s="877">
        <f t="shared" si="124"/>
        <v>62765</v>
      </c>
      <c r="Q378" s="877">
        <f t="shared" si="124"/>
        <v>1910</v>
      </c>
      <c r="R378" s="877">
        <f t="shared" si="124"/>
        <v>1910</v>
      </c>
      <c r="S378" s="877">
        <f t="shared" si="124"/>
        <v>62765</v>
      </c>
      <c r="T378" s="877">
        <f t="shared" si="124"/>
        <v>62765</v>
      </c>
      <c r="U378" s="271">
        <f t="shared" si="123"/>
        <v>80090</v>
      </c>
      <c r="V378" s="271">
        <f t="shared" si="123"/>
        <v>80000</v>
      </c>
      <c r="W378" s="271">
        <f t="shared" si="123"/>
        <v>23600</v>
      </c>
      <c r="X378" s="271">
        <f t="shared" si="123"/>
        <v>23600</v>
      </c>
      <c r="Y378" s="271">
        <f t="shared" si="123"/>
        <v>16000</v>
      </c>
      <c r="Z378" s="270">
        <f t="shared" si="123"/>
        <v>16000</v>
      </c>
      <c r="AA378" s="269">
        <f t="shared" si="123"/>
        <v>0</v>
      </c>
      <c r="AB378" s="269">
        <f t="shared" si="123"/>
        <v>0</v>
      </c>
      <c r="AC378" s="269">
        <f t="shared" si="123"/>
        <v>0</v>
      </c>
      <c r="AD378" s="269">
        <f t="shared" si="123"/>
        <v>0</v>
      </c>
      <c r="AE378" s="269">
        <f t="shared" si="123"/>
        <v>0</v>
      </c>
      <c r="AF378" s="269">
        <f t="shared" si="123"/>
        <v>0</v>
      </c>
      <c r="AG378" s="878">
        <f t="shared" si="123"/>
        <v>0</v>
      </c>
      <c r="AH378" s="173">
        <v>1</v>
      </c>
      <c r="AI378" s="268"/>
      <c r="AJ378" s="173">
        <f t="shared" ref="AJ378:AJ397" si="125">IF(N378-V378=0,0,1)</f>
        <v>1</v>
      </c>
    </row>
    <row r="379" spans="1:36" ht="51.75" hidden="1" x14ac:dyDescent="0.25">
      <c r="A379" s="592" t="s">
        <v>45</v>
      </c>
      <c r="B379" s="315" t="s">
        <v>46</v>
      </c>
      <c r="C379" s="593"/>
      <c r="D379" s="593"/>
      <c r="E379" s="593"/>
      <c r="F379" s="593"/>
      <c r="G379" s="594">
        <f t="shared" ref="G379:AG379" si="126">G380</f>
        <v>39506</v>
      </c>
      <c r="H379" s="594">
        <f t="shared" si="126"/>
        <v>39506</v>
      </c>
      <c r="I379" s="594">
        <f t="shared" si="126"/>
        <v>22000</v>
      </c>
      <c r="J379" s="594">
        <f t="shared" si="126"/>
        <v>22000</v>
      </c>
      <c r="K379" s="594">
        <f t="shared" si="126"/>
        <v>22000</v>
      </c>
      <c r="L379" s="594">
        <f t="shared" si="126"/>
        <v>22000</v>
      </c>
      <c r="M379" s="594">
        <f t="shared" si="126"/>
        <v>25250</v>
      </c>
      <c r="N379" s="594">
        <f t="shared" si="126"/>
        <v>25250</v>
      </c>
      <c r="O379" s="594">
        <f t="shared" si="126"/>
        <v>17235</v>
      </c>
      <c r="P379" s="594">
        <f t="shared" si="126"/>
        <v>17235</v>
      </c>
      <c r="Q379" s="594">
        <f t="shared" si="126"/>
        <v>0</v>
      </c>
      <c r="R379" s="594">
        <f t="shared" si="126"/>
        <v>0</v>
      </c>
      <c r="S379" s="594">
        <f t="shared" si="126"/>
        <v>17235</v>
      </c>
      <c r="T379" s="594">
        <f t="shared" si="126"/>
        <v>17235</v>
      </c>
      <c r="U379" s="191">
        <f t="shared" si="126"/>
        <v>17235</v>
      </c>
      <c r="V379" s="191">
        <f t="shared" si="126"/>
        <v>17235</v>
      </c>
      <c r="W379" s="191">
        <f t="shared" si="126"/>
        <v>16600</v>
      </c>
      <c r="X379" s="191">
        <f t="shared" si="126"/>
        <v>16600</v>
      </c>
      <c r="Y379" s="191">
        <f t="shared" si="126"/>
        <v>631</v>
      </c>
      <c r="Z379" s="191">
        <f t="shared" si="126"/>
        <v>631</v>
      </c>
      <c r="AA379" s="190">
        <f t="shared" si="126"/>
        <v>0</v>
      </c>
      <c r="AB379" s="190">
        <f t="shared" si="126"/>
        <v>0</v>
      </c>
      <c r="AC379" s="190">
        <f t="shared" si="126"/>
        <v>0</v>
      </c>
      <c r="AD379" s="190">
        <f t="shared" si="126"/>
        <v>0</v>
      </c>
      <c r="AE379" s="190">
        <f t="shared" si="126"/>
        <v>0</v>
      </c>
      <c r="AF379" s="190">
        <f t="shared" si="126"/>
        <v>0</v>
      </c>
      <c r="AG379" s="596">
        <f t="shared" si="126"/>
        <v>0</v>
      </c>
      <c r="AH379" s="173">
        <f t="shared" si="110"/>
        <v>0</v>
      </c>
      <c r="AI379" s="185"/>
      <c r="AJ379" s="173">
        <f t="shared" si="125"/>
        <v>1</v>
      </c>
    </row>
    <row r="380" spans="1:36" ht="34.5" hidden="1" x14ac:dyDescent="0.25">
      <c r="A380" s="194" t="s">
        <v>47</v>
      </c>
      <c r="B380" s="193" t="s">
        <v>48</v>
      </c>
      <c r="C380" s="192"/>
      <c r="D380" s="192"/>
      <c r="E380" s="192"/>
      <c r="F380" s="192"/>
      <c r="G380" s="191">
        <f t="shared" ref="G380:J380" si="127">G384+G383</f>
        <v>39506</v>
      </c>
      <c r="H380" s="191">
        <f t="shared" si="127"/>
        <v>39506</v>
      </c>
      <c r="I380" s="191">
        <f t="shared" si="127"/>
        <v>22000</v>
      </c>
      <c r="J380" s="191">
        <f t="shared" si="127"/>
        <v>22000</v>
      </c>
      <c r="K380" s="191">
        <f t="shared" ref="K380:L380" si="128">SUM(K383:K384)</f>
        <v>22000</v>
      </c>
      <c r="L380" s="191">
        <f t="shared" si="128"/>
        <v>22000</v>
      </c>
      <c r="M380" s="191">
        <f>SUM(M383:M384)</f>
        <v>25250</v>
      </c>
      <c r="N380" s="191">
        <f t="shared" ref="N380:Z380" si="129">SUM(N383:N384)</f>
        <v>25250</v>
      </c>
      <c r="O380" s="191">
        <f t="shared" si="129"/>
        <v>17235</v>
      </c>
      <c r="P380" s="191">
        <f t="shared" si="129"/>
        <v>17235</v>
      </c>
      <c r="Q380" s="191">
        <f t="shared" si="129"/>
        <v>0</v>
      </c>
      <c r="R380" s="191">
        <f t="shared" si="129"/>
        <v>0</v>
      </c>
      <c r="S380" s="191">
        <f t="shared" si="129"/>
        <v>17235</v>
      </c>
      <c r="T380" s="191">
        <f t="shared" si="129"/>
        <v>17235</v>
      </c>
      <c r="U380" s="191">
        <f t="shared" si="129"/>
        <v>17235</v>
      </c>
      <c r="V380" s="191">
        <f t="shared" si="129"/>
        <v>17235</v>
      </c>
      <c r="W380" s="191">
        <f t="shared" si="129"/>
        <v>16600</v>
      </c>
      <c r="X380" s="191">
        <f t="shared" si="129"/>
        <v>16600</v>
      </c>
      <c r="Y380" s="191">
        <f t="shared" si="129"/>
        <v>631</v>
      </c>
      <c r="Z380" s="191">
        <f t="shared" si="129"/>
        <v>631</v>
      </c>
      <c r="AA380" s="191">
        <f t="shared" ref="AA380:AF380" si="130">AA384</f>
        <v>0</v>
      </c>
      <c r="AB380" s="191">
        <f t="shared" si="130"/>
        <v>0</v>
      </c>
      <c r="AC380" s="191">
        <f t="shared" si="130"/>
        <v>0</v>
      </c>
      <c r="AD380" s="191">
        <f t="shared" si="130"/>
        <v>0</v>
      </c>
      <c r="AE380" s="191">
        <f t="shared" si="130"/>
        <v>0</v>
      </c>
      <c r="AF380" s="191">
        <f t="shared" si="130"/>
        <v>0</v>
      </c>
      <c r="AG380" s="191"/>
      <c r="AH380" s="173">
        <f t="shared" si="110"/>
        <v>0</v>
      </c>
      <c r="AI380" s="185"/>
      <c r="AJ380" s="173">
        <f t="shared" si="125"/>
        <v>1</v>
      </c>
    </row>
    <row r="381" spans="1:36" ht="17.25" hidden="1" x14ac:dyDescent="0.25">
      <c r="A381" s="194"/>
      <c r="B381" s="193" t="s">
        <v>49</v>
      </c>
      <c r="C381" s="202"/>
      <c r="D381" s="202"/>
      <c r="E381" s="202"/>
      <c r="F381" s="202"/>
      <c r="G381" s="200"/>
      <c r="H381" s="200"/>
      <c r="I381" s="200"/>
      <c r="J381" s="200"/>
      <c r="K381" s="200"/>
      <c r="L381" s="200"/>
      <c r="M381" s="200"/>
      <c r="N381" s="200"/>
      <c r="O381" s="201"/>
      <c r="P381" s="201"/>
      <c r="Q381" s="177">
        <f t="shared" ref="Q381:R382" si="131">O381-M381</f>
        <v>0</v>
      </c>
      <c r="R381" s="177">
        <f t="shared" si="131"/>
        <v>0</v>
      </c>
      <c r="S381" s="176">
        <f>IF(R381&gt;0,R381,0)</f>
        <v>0</v>
      </c>
      <c r="T381" s="176">
        <f>IF(R381&lt;0,-R381,0)</f>
        <v>0</v>
      </c>
      <c r="U381" s="475"/>
      <c r="V381" s="475"/>
      <c r="W381" s="200"/>
      <c r="X381" s="200"/>
      <c r="Y381" s="200"/>
      <c r="Z381" s="200"/>
      <c r="AA381" s="200"/>
      <c r="AB381" s="200"/>
      <c r="AC381" s="200"/>
      <c r="AD381" s="200"/>
      <c r="AE381" s="200"/>
      <c r="AF381" s="200"/>
      <c r="AG381" s="200"/>
      <c r="AH381" s="173">
        <f t="shared" si="110"/>
        <v>0</v>
      </c>
      <c r="AI381" s="185"/>
      <c r="AJ381" s="173">
        <f t="shared" si="125"/>
        <v>0</v>
      </c>
    </row>
    <row r="382" spans="1:36" ht="51.75" hidden="1" x14ac:dyDescent="0.25">
      <c r="A382" s="194"/>
      <c r="B382" s="199" t="s">
        <v>50</v>
      </c>
      <c r="C382" s="192"/>
      <c r="D382" s="192"/>
      <c r="E382" s="192"/>
      <c r="F382" s="192"/>
      <c r="G382" s="191"/>
      <c r="H382" s="191"/>
      <c r="I382" s="191"/>
      <c r="J382" s="191"/>
      <c r="K382" s="191"/>
      <c r="L382" s="191"/>
      <c r="M382" s="191"/>
      <c r="N382" s="191"/>
      <c r="O382" s="190"/>
      <c r="P382" s="190"/>
      <c r="Q382" s="177">
        <f t="shared" si="131"/>
        <v>0</v>
      </c>
      <c r="R382" s="177">
        <f t="shared" si="131"/>
        <v>0</v>
      </c>
      <c r="S382" s="176">
        <f>IF(R382&gt;0,R382,0)</f>
        <v>0</v>
      </c>
      <c r="T382" s="176">
        <f>IF(R382&lt;0,-R382,0)</f>
        <v>0</v>
      </c>
      <c r="U382" s="474"/>
      <c r="V382" s="474"/>
      <c r="W382" s="191"/>
      <c r="X382" s="191"/>
      <c r="Y382" s="191"/>
      <c r="Z382" s="191"/>
      <c r="AA382" s="191"/>
      <c r="AB382" s="191"/>
      <c r="AC382" s="191"/>
      <c r="AD382" s="191"/>
      <c r="AE382" s="191"/>
      <c r="AF382" s="191"/>
      <c r="AG382" s="191"/>
      <c r="AH382" s="173">
        <f t="shared" si="110"/>
        <v>0</v>
      </c>
      <c r="AI382" s="185"/>
      <c r="AJ382" s="173">
        <f t="shared" si="125"/>
        <v>0</v>
      </c>
    </row>
    <row r="383" spans="1:36" ht="66" hidden="1" x14ac:dyDescent="0.25">
      <c r="A383" s="267" t="s">
        <v>1142</v>
      </c>
      <c r="B383" s="263" t="s">
        <v>1141</v>
      </c>
      <c r="C383" s="188"/>
      <c r="D383" s="197"/>
      <c r="E383" s="181" t="s">
        <v>738</v>
      </c>
      <c r="F383" s="180" t="s">
        <v>1140</v>
      </c>
      <c r="G383" s="213">
        <f>H383</f>
        <v>12371</v>
      </c>
      <c r="H383" s="213">
        <v>12371</v>
      </c>
      <c r="I383" s="196">
        <v>7000</v>
      </c>
      <c r="J383" s="196">
        <v>7000</v>
      </c>
      <c r="K383" s="196">
        <v>7000</v>
      </c>
      <c r="L383" s="196">
        <v>7000</v>
      </c>
      <c r="M383" s="179">
        <v>5000</v>
      </c>
      <c r="N383" s="217">
        <f>M383</f>
        <v>5000</v>
      </c>
      <c r="O383" s="243">
        <f>P383</f>
        <v>5140</v>
      </c>
      <c r="P383" s="266">
        <v>5140</v>
      </c>
      <c r="Q383" s="177"/>
      <c r="R383" s="177"/>
      <c r="S383" s="176">
        <f>T383</f>
        <v>5140</v>
      </c>
      <c r="T383" s="176">
        <f>P383+Q383</f>
        <v>5140</v>
      </c>
      <c r="U383" s="457">
        <f>V383</f>
        <v>5140</v>
      </c>
      <c r="V383" s="490">
        <v>5140</v>
      </c>
      <c r="W383" s="217">
        <f>X383</f>
        <v>4600</v>
      </c>
      <c r="X383" s="217">
        <v>4600</v>
      </c>
      <c r="Y383" s="217">
        <f>Z383</f>
        <v>536</v>
      </c>
      <c r="Z383" s="217">
        <v>536</v>
      </c>
      <c r="AA383" s="217"/>
      <c r="AB383" s="217"/>
      <c r="AC383" s="217"/>
      <c r="AD383" s="217"/>
      <c r="AE383" s="217"/>
      <c r="AF383" s="217"/>
      <c r="AG383" s="810" t="s">
        <v>404</v>
      </c>
      <c r="AH383" s="173">
        <f t="shared" si="110"/>
        <v>0</v>
      </c>
      <c r="AI383" s="185" t="s">
        <v>404</v>
      </c>
      <c r="AJ383" s="173">
        <f t="shared" si="125"/>
        <v>1</v>
      </c>
    </row>
    <row r="384" spans="1:36" ht="49.5" hidden="1" x14ac:dyDescent="0.25">
      <c r="A384" s="526">
        <v>2</v>
      </c>
      <c r="B384" s="949" t="s">
        <v>1139</v>
      </c>
      <c r="C384" s="308"/>
      <c r="D384" s="307"/>
      <c r="E384" s="538" t="s">
        <v>199</v>
      </c>
      <c r="F384" s="537" t="s">
        <v>1138</v>
      </c>
      <c r="G384" s="823">
        <v>27135</v>
      </c>
      <c r="H384" s="823">
        <f>G384</f>
        <v>27135</v>
      </c>
      <c r="I384" s="822">
        <v>15000</v>
      </c>
      <c r="J384" s="822">
        <v>15000</v>
      </c>
      <c r="K384" s="822">
        <v>15000</v>
      </c>
      <c r="L384" s="822">
        <v>15000</v>
      </c>
      <c r="M384" s="179">
        <v>20250</v>
      </c>
      <c r="N384" s="177">
        <f>M384</f>
        <v>20250</v>
      </c>
      <c r="O384" s="304">
        <v>12095</v>
      </c>
      <c r="P384" s="534">
        <f>O384</f>
        <v>12095</v>
      </c>
      <c r="Q384" s="277"/>
      <c r="R384" s="277"/>
      <c r="S384" s="446">
        <f>T384</f>
        <v>12095</v>
      </c>
      <c r="T384" s="446">
        <f>P384+Q384</f>
        <v>12095</v>
      </c>
      <c r="U384" s="456">
        <v>12095</v>
      </c>
      <c r="V384" s="454">
        <v>12095</v>
      </c>
      <c r="W384" s="217">
        <f>X384</f>
        <v>12000</v>
      </c>
      <c r="X384" s="217">
        <v>12000</v>
      </c>
      <c r="Y384" s="217">
        <f>Z384</f>
        <v>95</v>
      </c>
      <c r="Z384" s="217">
        <v>95</v>
      </c>
      <c r="AA384" s="217"/>
      <c r="AB384" s="217"/>
      <c r="AC384" s="217"/>
      <c r="AD384" s="217"/>
      <c r="AE384" s="217"/>
      <c r="AF384" s="217"/>
      <c r="AG384" s="950" t="s">
        <v>404</v>
      </c>
      <c r="AH384" s="173">
        <f t="shared" si="110"/>
        <v>0</v>
      </c>
      <c r="AI384" s="185" t="s">
        <v>404</v>
      </c>
      <c r="AJ384" s="173">
        <f t="shared" si="125"/>
        <v>1</v>
      </c>
    </row>
    <row r="385" spans="1:36" ht="34.5" x14ac:dyDescent="0.25">
      <c r="A385" s="671" t="s">
        <v>85</v>
      </c>
      <c r="B385" s="646" t="s">
        <v>86</v>
      </c>
      <c r="C385" s="647"/>
      <c r="D385" s="647"/>
      <c r="E385" s="647"/>
      <c r="F385" s="647"/>
      <c r="G385" s="648">
        <f>G386+G396</f>
        <v>72740</v>
      </c>
      <c r="H385" s="648">
        <f>H386+H396</f>
        <v>68359</v>
      </c>
      <c r="I385" s="648"/>
      <c r="J385" s="648"/>
      <c r="K385" s="648"/>
      <c r="L385" s="648"/>
      <c r="M385" s="847">
        <f t="shared" ref="M385:AF385" si="132">M386+M396</f>
        <v>54750</v>
      </c>
      <c r="N385" s="847">
        <f t="shared" si="132"/>
        <v>54750</v>
      </c>
      <c r="O385" s="648">
        <f t="shared" si="132"/>
        <v>62765</v>
      </c>
      <c r="P385" s="648">
        <f t="shared" si="132"/>
        <v>62765</v>
      </c>
      <c r="Q385" s="648">
        <f t="shared" si="132"/>
        <v>1910</v>
      </c>
      <c r="R385" s="648">
        <f t="shared" si="132"/>
        <v>1910</v>
      </c>
      <c r="S385" s="648">
        <f t="shared" si="132"/>
        <v>62765</v>
      </c>
      <c r="T385" s="648">
        <f t="shared" si="132"/>
        <v>62765</v>
      </c>
      <c r="U385" s="474">
        <f t="shared" si="132"/>
        <v>62855</v>
      </c>
      <c r="V385" s="474">
        <f t="shared" si="132"/>
        <v>62765</v>
      </c>
      <c r="W385" s="474">
        <f t="shared" si="132"/>
        <v>7000</v>
      </c>
      <c r="X385" s="474">
        <f t="shared" si="132"/>
        <v>7000</v>
      </c>
      <c r="Y385" s="474">
        <f t="shared" si="132"/>
        <v>15369</v>
      </c>
      <c r="Z385" s="474">
        <f t="shared" si="132"/>
        <v>15369</v>
      </c>
      <c r="AA385" s="190">
        <f t="shared" si="132"/>
        <v>0</v>
      </c>
      <c r="AB385" s="190">
        <f t="shared" si="132"/>
        <v>0</v>
      </c>
      <c r="AC385" s="190">
        <f t="shared" si="132"/>
        <v>0</v>
      </c>
      <c r="AD385" s="190">
        <f t="shared" si="132"/>
        <v>0</v>
      </c>
      <c r="AE385" s="190">
        <f t="shared" si="132"/>
        <v>0</v>
      </c>
      <c r="AF385" s="190">
        <f t="shared" si="132"/>
        <v>0</v>
      </c>
      <c r="AG385" s="672"/>
      <c r="AH385" s="173">
        <v>1</v>
      </c>
      <c r="AI385" s="189"/>
      <c r="AJ385" s="173">
        <f t="shared" si="125"/>
        <v>1</v>
      </c>
    </row>
    <row r="386" spans="1:36" ht="51.75" x14ac:dyDescent="0.25">
      <c r="A386" s="645" t="s">
        <v>87</v>
      </c>
      <c r="B386" s="646" t="s">
        <v>88</v>
      </c>
      <c r="C386" s="647"/>
      <c r="D386" s="647"/>
      <c r="E386" s="647"/>
      <c r="F386" s="647"/>
      <c r="G386" s="648">
        <f>G387+G388+G390+G392+G395</f>
        <v>54372</v>
      </c>
      <c r="H386" s="648">
        <f>H387+H388+H390+H392+H395</f>
        <v>49991</v>
      </c>
      <c r="I386" s="648"/>
      <c r="J386" s="648"/>
      <c r="K386" s="648"/>
      <c r="L386" s="648"/>
      <c r="M386" s="191">
        <f>SUM(M387:M392)+SUM(M395)</f>
        <v>44970</v>
      </c>
      <c r="N386" s="191">
        <f t="shared" ref="N386:Z386" si="133">SUM(N387:N392)+SUM(N395)</f>
        <v>44970</v>
      </c>
      <c r="O386" s="648">
        <f t="shared" si="133"/>
        <v>51205</v>
      </c>
      <c r="P386" s="648">
        <f t="shared" si="133"/>
        <v>51205</v>
      </c>
      <c r="Q386" s="648">
        <f t="shared" si="133"/>
        <v>0</v>
      </c>
      <c r="R386" s="648">
        <f t="shared" si="133"/>
        <v>1910</v>
      </c>
      <c r="S386" s="648">
        <f t="shared" si="133"/>
        <v>49295</v>
      </c>
      <c r="T386" s="648">
        <f t="shared" si="133"/>
        <v>49295</v>
      </c>
      <c r="U386" s="191">
        <f t="shared" si="133"/>
        <v>49376</v>
      </c>
      <c r="V386" s="191">
        <f t="shared" si="133"/>
        <v>49286</v>
      </c>
      <c r="W386" s="191">
        <f t="shared" si="133"/>
        <v>7000</v>
      </c>
      <c r="X386" s="191">
        <f t="shared" si="133"/>
        <v>7000</v>
      </c>
      <c r="Y386" s="191">
        <f t="shared" si="133"/>
        <v>15369</v>
      </c>
      <c r="Z386" s="191">
        <f t="shared" si="133"/>
        <v>15369</v>
      </c>
      <c r="AA386" s="190">
        <f t="shared" ref="AA386:AF386" si="134">SUM(AA387:AA395)</f>
        <v>0</v>
      </c>
      <c r="AB386" s="190">
        <f t="shared" si="134"/>
        <v>0</v>
      </c>
      <c r="AC386" s="190">
        <f t="shared" si="134"/>
        <v>0</v>
      </c>
      <c r="AD386" s="190">
        <f t="shared" si="134"/>
        <v>0</v>
      </c>
      <c r="AE386" s="190">
        <f t="shared" si="134"/>
        <v>0</v>
      </c>
      <c r="AF386" s="190">
        <f t="shared" si="134"/>
        <v>0</v>
      </c>
      <c r="AG386" s="672"/>
      <c r="AH386" s="173">
        <f t="shared" si="110"/>
        <v>1</v>
      </c>
      <c r="AI386" s="189"/>
      <c r="AJ386" s="173">
        <f t="shared" si="125"/>
        <v>1</v>
      </c>
    </row>
    <row r="387" spans="1:36" ht="49.5" x14ac:dyDescent="0.25">
      <c r="A387" s="658">
        <v>3</v>
      </c>
      <c r="B387" s="880" t="s">
        <v>1137</v>
      </c>
      <c r="C387" s="652"/>
      <c r="D387" s="866" t="s">
        <v>1136</v>
      </c>
      <c r="E387" s="866" t="s">
        <v>97</v>
      </c>
      <c r="F387" s="867" t="s">
        <v>1135</v>
      </c>
      <c r="G387" s="881">
        <f>H387</f>
        <v>3738</v>
      </c>
      <c r="H387" s="881">
        <v>3738</v>
      </c>
      <c r="I387" s="681"/>
      <c r="J387" s="681"/>
      <c r="K387" s="681"/>
      <c r="L387" s="681"/>
      <c r="M387" s="848">
        <v>4360</v>
      </c>
      <c r="N387" s="848">
        <v>4360</v>
      </c>
      <c r="O387" s="852">
        <f>P387</f>
        <v>3850</v>
      </c>
      <c r="P387" s="852">
        <v>3850</v>
      </c>
      <c r="Q387" s="632"/>
      <c r="R387" s="632">
        <v>123</v>
      </c>
      <c r="S387" s="636">
        <f>T387</f>
        <v>3727</v>
      </c>
      <c r="T387" s="636">
        <f>P387-R387</f>
        <v>3727</v>
      </c>
      <c r="U387" s="456">
        <f>V387</f>
        <v>3727</v>
      </c>
      <c r="V387" s="456">
        <v>3727</v>
      </c>
      <c r="W387" s="217">
        <f>X387</f>
        <v>3200</v>
      </c>
      <c r="X387" s="217">
        <v>3200</v>
      </c>
      <c r="Y387" s="217">
        <f t="shared" ref="Y387:Y392" si="135">Z387</f>
        <v>650</v>
      </c>
      <c r="Z387" s="217">
        <v>650</v>
      </c>
      <c r="AA387" s="217"/>
      <c r="AB387" s="217"/>
      <c r="AC387" s="217"/>
      <c r="AD387" s="217"/>
      <c r="AE387" s="217"/>
      <c r="AF387" s="217"/>
      <c r="AG387" s="882" t="s">
        <v>404</v>
      </c>
      <c r="AH387" s="173">
        <f t="shared" si="110"/>
        <v>1</v>
      </c>
      <c r="AI387" s="184"/>
      <c r="AJ387" s="173">
        <f t="shared" si="125"/>
        <v>1</v>
      </c>
    </row>
    <row r="388" spans="1:36" ht="49.5" hidden="1" x14ac:dyDescent="0.25">
      <c r="A388" s="845">
        <v>4</v>
      </c>
      <c r="B388" s="951" t="s">
        <v>1134</v>
      </c>
      <c r="C388" s="611"/>
      <c r="D388" s="841" t="s">
        <v>1133</v>
      </c>
      <c r="E388" s="841" t="s">
        <v>199</v>
      </c>
      <c r="F388" s="842" t="s">
        <v>1132</v>
      </c>
      <c r="G388" s="952">
        <f>H388</f>
        <v>3877</v>
      </c>
      <c r="H388" s="952">
        <v>3877</v>
      </c>
      <c r="I388" s="558"/>
      <c r="J388" s="558"/>
      <c r="K388" s="558"/>
      <c r="L388" s="558"/>
      <c r="M388" s="603">
        <v>4710</v>
      </c>
      <c r="N388" s="603">
        <v>4710</v>
      </c>
      <c r="O388" s="827">
        <f>P388</f>
        <v>3875</v>
      </c>
      <c r="P388" s="827">
        <v>3875</v>
      </c>
      <c r="Q388" s="564"/>
      <c r="R388" s="564"/>
      <c r="S388" s="560">
        <f t="shared" ref="S388:S391" si="136">T388</f>
        <v>3875</v>
      </c>
      <c r="T388" s="560">
        <f>P388-R388</f>
        <v>3875</v>
      </c>
      <c r="U388" s="456">
        <f>V388</f>
        <v>3875</v>
      </c>
      <c r="V388" s="456">
        <v>3875</v>
      </c>
      <c r="W388" s="217">
        <f>X388</f>
        <v>3800</v>
      </c>
      <c r="X388" s="217">
        <v>3800</v>
      </c>
      <c r="Y388" s="217">
        <f t="shared" si="135"/>
        <v>75</v>
      </c>
      <c r="Z388" s="217">
        <v>75</v>
      </c>
      <c r="AA388" s="217"/>
      <c r="AB388" s="217"/>
      <c r="AC388" s="217"/>
      <c r="AD388" s="217"/>
      <c r="AE388" s="217"/>
      <c r="AF388" s="217"/>
      <c r="AG388" s="953" t="s">
        <v>404</v>
      </c>
      <c r="AH388" s="173">
        <f t="shared" si="110"/>
        <v>0</v>
      </c>
      <c r="AI388" s="184"/>
      <c r="AJ388" s="173">
        <f t="shared" si="125"/>
        <v>1</v>
      </c>
    </row>
    <row r="389" spans="1:36" ht="49.5" x14ac:dyDescent="0.25">
      <c r="A389" s="658">
        <v>5</v>
      </c>
      <c r="B389" s="860" t="s">
        <v>1131</v>
      </c>
      <c r="C389" s="652"/>
      <c r="D389" s="653"/>
      <c r="E389" s="653" t="s">
        <v>109</v>
      </c>
      <c r="F389" s="652" t="s">
        <v>1130</v>
      </c>
      <c r="G389" s="883">
        <v>995</v>
      </c>
      <c r="H389" s="883">
        <v>995</v>
      </c>
      <c r="I389" s="677"/>
      <c r="J389" s="677"/>
      <c r="K389" s="677"/>
      <c r="L389" s="677"/>
      <c r="M389" s="849">
        <v>900</v>
      </c>
      <c r="N389" s="849">
        <v>900</v>
      </c>
      <c r="O389" s="852">
        <v>900</v>
      </c>
      <c r="P389" s="852">
        <v>900</v>
      </c>
      <c r="Q389" s="632"/>
      <c r="R389" s="632">
        <v>58</v>
      </c>
      <c r="S389" s="636">
        <f t="shared" si="136"/>
        <v>842</v>
      </c>
      <c r="T389" s="636">
        <f>P389-R389</f>
        <v>842</v>
      </c>
      <c r="U389" s="456">
        <v>900</v>
      </c>
      <c r="V389" s="456">
        <v>842</v>
      </c>
      <c r="W389" s="217"/>
      <c r="X389" s="217"/>
      <c r="Y389" s="217">
        <f t="shared" si="135"/>
        <v>830</v>
      </c>
      <c r="Z389" s="217">
        <v>830</v>
      </c>
      <c r="AA389" s="217"/>
      <c r="AB389" s="217"/>
      <c r="AC389" s="217"/>
      <c r="AD389" s="217"/>
      <c r="AE389" s="217"/>
      <c r="AF389" s="217"/>
      <c r="AG389" s="882" t="s">
        <v>404</v>
      </c>
      <c r="AH389" s="173">
        <f t="shared" si="110"/>
        <v>1</v>
      </c>
      <c r="AI389" s="264"/>
      <c r="AJ389" s="173">
        <f t="shared" si="125"/>
        <v>1</v>
      </c>
    </row>
    <row r="390" spans="1:36" ht="49.5" x14ac:dyDescent="0.25">
      <c r="A390" s="658">
        <v>6</v>
      </c>
      <c r="B390" s="860" t="s">
        <v>1129</v>
      </c>
      <c r="C390" s="652"/>
      <c r="D390" s="653"/>
      <c r="E390" s="653" t="s">
        <v>248</v>
      </c>
      <c r="F390" s="652" t="s">
        <v>1128</v>
      </c>
      <c r="G390" s="883">
        <v>20735</v>
      </c>
      <c r="H390" s="883">
        <v>16354</v>
      </c>
      <c r="I390" s="648"/>
      <c r="J390" s="648"/>
      <c r="K390" s="648"/>
      <c r="L390" s="648"/>
      <c r="M390" s="179">
        <v>18000</v>
      </c>
      <c r="N390" s="179">
        <v>18000</v>
      </c>
      <c r="O390" s="852">
        <f>P390</f>
        <v>13980</v>
      </c>
      <c r="P390" s="852">
        <f>7980+6000</f>
        <v>13980</v>
      </c>
      <c r="Q390" s="632"/>
      <c r="R390" s="632">
        <v>356</v>
      </c>
      <c r="S390" s="636">
        <f t="shared" si="136"/>
        <v>13624</v>
      </c>
      <c r="T390" s="636">
        <f>P390-R390</f>
        <v>13624</v>
      </c>
      <c r="U390" s="456">
        <f>V390</f>
        <v>13624</v>
      </c>
      <c r="V390" s="456">
        <v>13624</v>
      </c>
      <c r="W390" s="217"/>
      <c r="X390" s="217"/>
      <c r="Y390" s="217">
        <f t="shared" si="135"/>
        <v>6000</v>
      </c>
      <c r="Z390" s="217">
        <v>6000</v>
      </c>
      <c r="AA390" s="217"/>
      <c r="AB390" s="217"/>
      <c r="AC390" s="217"/>
      <c r="AD390" s="217"/>
      <c r="AE390" s="217"/>
      <c r="AF390" s="217"/>
      <c r="AG390" s="682"/>
      <c r="AH390" s="173">
        <f t="shared" si="110"/>
        <v>1</v>
      </c>
      <c r="AI390" s="189"/>
      <c r="AJ390" s="173">
        <f t="shared" si="125"/>
        <v>1</v>
      </c>
    </row>
    <row r="391" spans="1:36" ht="49.5" x14ac:dyDescent="0.25">
      <c r="A391" s="658">
        <v>7</v>
      </c>
      <c r="B391" s="880" t="s">
        <v>1127</v>
      </c>
      <c r="C391" s="652"/>
      <c r="D391" s="653" t="s">
        <v>1126</v>
      </c>
      <c r="E391" s="653" t="s">
        <v>116</v>
      </c>
      <c r="F391" s="652" t="s">
        <v>1125</v>
      </c>
      <c r="G391" s="883">
        <v>5132</v>
      </c>
      <c r="H391" s="883">
        <v>5132</v>
      </c>
      <c r="I391" s="858"/>
      <c r="J391" s="632"/>
      <c r="K391" s="858"/>
      <c r="L391" s="632"/>
      <c r="M391" s="179">
        <v>4500</v>
      </c>
      <c r="N391" s="179">
        <v>4500</v>
      </c>
      <c r="O391" s="852">
        <v>4500</v>
      </c>
      <c r="P391" s="852">
        <v>4500</v>
      </c>
      <c r="Q391" s="632"/>
      <c r="R391" s="632">
        <v>32</v>
      </c>
      <c r="S391" s="636">
        <f t="shared" si="136"/>
        <v>4468</v>
      </c>
      <c r="T391" s="636">
        <f>P391-R391</f>
        <v>4468</v>
      </c>
      <c r="U391" s="456">
        <v>4500</v>
      </c>
      <c r="V391" s="456">
        <v>4468</v>
      </c>
      <c r="W391" s="217"/>
      <c r="X391" s="217"/>
      <c r="Y391" s="217">
        <f t="shared" si="135"/>
        <v>4000</v>
      </c>
      <c r="Z391" s="217">
        <v>4000</v>
      </c>
      <c r="AA391" s="217"/>
      <c r="AB391" s="217"/>
      <c r="AC391" s="217"/>
      <c r="AD391" s="217"/>
      <c r="AE391" s="217"/>
      <c r="AF391" s="217"/>
      <c r="AG391" s="682"/>
      <c r="AH391" s="173">
        <f t="shared" si="110"/>
        <v>1</v>
      </c>
      <c r="AI391" s="198"/>
      <c r="AJ391" s="173">
        <f t="shared" si="125"/>
        <v>1</v>
      </c>
    </row>
    <row r="392" spans="1:36" ht="49.5" x14ac:dyDescent="0.25">
      <c r="A392" s="658">
        <v>8</v>
      </c>
      <c r="B392" s="860" t="s">
        <v>1124</v>
      </c>
      <c r="C392" s="652"/>
      <c r="D392" s="653"/>
      <c r="E392" s="653" t="s">
        <v>116</v>
      </c>
      <c r="F392" s="652"/>
      <c r="G392" s="883">
        <f>G393+G394</f>
        <v>18648</v>
      </c>
      <c r="H392" s="883">
        <f>H393+H394</f>
        <v>18648</v>
      </c>
      <c r="I392" s="858"/>
      <c r="J392" s="632"/>
      <c r="K392" s="858"/>
      <c r="L392" s="632"/>
      <c r="M392" s="250">
        <f t="shared" ref="M392:R392" si="137">M393+M394</f>
        <v>12500</v>
      </c>
      <c r="N392" s="250">
        <f t="shared" si="137"/>
        <v>12500</v>
      </c>
      <c r="O392" s="899">
        <f t="shared" si="137"/>
        <v>17400</v>
      </c>
      <c r="P392" s="899">
        <f t="shared" si="137"/>
        <v>17400</v>
      </c>
      <c r="Q392" s="883"/>
      <c r="R392" s="883">
        <f t="shared" si="137"/>
        <v>624</v>
      </c>
      <c r="S392" s="636">
        <f>S393+S394</f>
        <v>16776</v>
      </c>
      <c r="T392" s="636">
        <f>T393+T394</f>
        <v>16776</v>
      </c>
      <c r="U392" s="491">
        <f>U393+U394</f>
        <v>16767</v>
      </c>
      <c r="V392" s="491">
        <f>V393+V394</f>
        <v>16767</v>
      </c>
      <c r="W392" s="217"/>
      <c r="X392" s="217"/>
      <c r="Y392" s="217">
        <f t="shared" si="135"/>
        <v>3814</v>
      </c>
      <c r="Z392" s="217">
        <v>3814</v>
      </c>
      <c r="AA392" s="217"/>
      <c r="AB392" s="217"/>
      <c r="AC392" s="217"/>
      <c r="AD392" s="217"/>
      <c r="AE392" s="217"/>
      <c r="AF392" s="217"/>
      <c r="AG392" s="682"/>
      <c r="AH392" s="173">
        <f t="shared" si="110"/>
        <v>1</v>
      </c>
      <c r="AI392" s="185" t="s">
        <v>926</v>
      </c>
      <c r="AJ392" s="173">
        <f t="shared" si="125"/>
        <v>1</v>
      </c>
    </row>
    <row r="393" spans="1:36" s="252" customFormat="1" ht="66" x14ac:dyDescent="0.25">
      <c r="A393" s="884" t="s">
        <v>1123</v>
      </c>
      <c r="B393" s="885" t="s">
        <v>1122</v>
      </c>
      <c r="C393" s="886"/>
      <c r="D393" s="887"/>
      <c r="E393" s="887" t="s">
        <v>116</v>
      </c>
      <c r="F393" s="886"/>
      <c r="G393" s="888">
        <f>H393</f>
        <v>6503</v>
      </c>
      <c r="H393" s="888">
        <v>6503</v>
      </c>
      <c r="I393" s="889"/>
      <c r="J393" s="890"/>
      <c r="K393" s="889"/>
      <c r="L393" s="890"/>
      <c r="M393" s="256">
        <f>N393</f>
        <v>6500</v>
      </c>
      <c r="N393" s="256">
        <v>6500</v>
      </c>
      <c r="O393" s="900">
        <f>M393</f>
        <v>6500</v>
      </c>
      <c r="P393" s="900">
        <f>N393</f>
        <v>6500</v>
      </c>
      <c r="Q393" s="890"/>
      <c r="R393" s="890">
        <v>624</v>
      </c>
      <c r="S393" s="901">
        <f>T393</f>
        <v>5876</v>
      </c>
      <c r="T393" s="636">
        <f>P393-R393</f>
        <v>5876</v>
      </c>
      <c r="U393" s="464">
        <f>V393</f>
        <v>5867</v>
      </c>
      <c r="V393" s="464">
        <v>5867</v>
      </c>
      <c r="W393" s="200"/>
      <c r="X393" s="200"/>
      <c r="Y393" s="200"/>
      <c r="Z393" s="200"/>
      <c r="AA393" s="200"/>
      <c r="AB393" s="200"/>
      <c r="AC393" s="200"/>
      <c r="AD393" s="200"/>
      <c r="AE393" s="200"/>
      <c r="AF393" s="200"/>
      <c r="AG393" s="677"/>
      <c r="AH393" s="173">
        <f t="shared" si="110"/>
        <v>1</v>
      </c>
      <c r="AI393" s="253"/>
      <c r="AJ393" s="173">
        <f t="shared" si="125"/>
        <v>1</v>
      </c>
    </row>
    <row r="394" spans="1:36" s="252" customFormat="1" ht="66" x14ac:dyDescent="0.25">
      <c r="A394" s="884" t="s">
        <v>1121</v>
      </c>
      <c r="B394" s="885" t="s">
        <v>1120</v>
      </c>
      <c r="C394" s="886"/>
      <c r="D394" s="887"/>
      <c r="E394" s="887" t="s">
        <v>116</v>
      </c>
      <c r="F394" s="886"/>
      <c r="G394" s="888">
        <f>H394</f>
        <v>12145</v>
      </c>
      <c r="H394" s="888">
        <v>12145</v>
      </c>
      <c r="I394" s="889"/>
      <c r="J394" s="890"/>
      <c r="K394" s="889"/>
      <c r="L394" s="890"/>
      <c r="M394" s="256">
        <v>6000</v>
      </c>
      <c r="N394" s="256">
        <f>M394</f>
        <v>6000</v>
      </c>
      <c r="O394" s="900">
        <f>P394</f>
        <v>10900</v>
      </c>
      <c r="P394" s="900">
        <v>10900</v>
      </c>
      <c r="Q394" s="890"/>
      <c r="R394" s="890"/>
      <c r="S394" s="900">
        <f>T394</f>
        <v>10900</v>
      </c>
      <c r="T394" s="636">
        <f>P394-R394</f>
        <v>10900</v>
      </c>
      <c r="U394" s="464">
        <f>V394</f>
        <v>10900</v>
      </c>
      <c r="V394" s="464">
        <v>10900</v>
      </c>
      <c r="W394" s="200"/>
      <c r="X394" s="200"/>
      <c r="Y394" s="200"/>
      <c r="Z394" s="200"/>
      <c r="AA394" s="200"/>
      <c r="AB394" s="200"/>
      <c r="AC394" s="200"/>
      <c r="AD394" s="200"/>
      <c r="AE394" s="200"/>
      <c r="AF394" s="200"/>
      <c r="AG394" s="677"/>
      <c r="AH394" s="173">
        <v>1</v>
      </c>
      <c r="AI394" s="253"/>
      <c r="AJ394" s="173">
        <f t="shared" si="125"/>
        <v>1</v>
      </c>
    </row>
    <row r="395" spans="1:36" ht="33" x14ac:dyDescent="0.25">
      <c r="A395" s="650">
        <v>9</v>
      </c>
      <c r="B395" s="860" t="s">
        <v>1119</v>
      </c>
      <c r="C395" s="652"/>
      <c r="D395" s="653" t="s">
        <v>1118</v>
      </c>
      <c r="E395" s="653" t="s">
        <v>248</v>
      </c>
      <c r="F395" s="652"/>
      <c r="G395" s="883">
        <f>H395</f>
        <v>7374</v>
      </c>
      <c r="H395" s="883">
        <v>7374</v>
      </c>
      <c r="I395" s="858"/>
      <c r="J395" s="632"/>
      <c r="K395" s="858"/>
      <c r="L395" s="632"/>
      <c r="M395" s="179"/>
      <c r="N395" s="179"/>
      <c r="O395" s="852">
        <f>P395</f>
        <v>6700</v>
      </c>
      <c r="P395" s="852">
        <v>6700</v>
      </c>
      <c r="Q395" s="632"/>
      <c r="R395" s="632">
        <v>717</v>
      </c>
      <c r="S395" s="636">
        <f>V395-N395</f>
        <v>5983</v>
      </c>
      <c r="T395" s="636">
        <f>P395-R395</f>
        <v>5983</v>
      </c>
      <c r="U395" s="456">
        <f>V395</f>
        <v>5983</v>
      </c>
      <c r="V395" s="456">
        <v>5983</v>
      </c>
      <c r="W395" s="217"/>
      <c r="X395" s="217"/>
      <c r="Y395" s="217"/>
      <c r="Z395" s="217"/>
      <c r="AA395" s="217"/>
      <c r="AB395" s="217"/>
      <c r="AC395" s="217"/>
      <c r="AD395" s="217"/>
      <c r="AE395" s="217"/>
      <c r="AF395" s="217"/>
      <c r="AG395" s="682"/>
      <c r="AH395" s="173">
        <f t="shared" si="110"/>
        <v>1</v>
      </c>
      <c r="AI395" s="185" t="s">
        <v>1117</v>
      </c>
      <c r="AJ395" s="173">
        <f t="shared" si="125"/>
        <v>1</v>
      </c>
    </row>
    <row r="396" spans="1:36" ht="34.5" x14ac:dyDescent="0.25">
      <c r="A396" s="645" t="s">
        <v>47</v>
      </c>
      <c r="B396" s="646" t="s">
        <v>1011</v>
      </c>
      <c r="C396" s="652"/>
      <c r="D396" s="653"/>
      <c r="E396" s="653"/>
      <c r="F396" s="652"/>
      <c r="G396" s="891">
        <f>G397</f>
        <v>18368</v>
      </c>
      <c r="H396" s="891">
        <f>H397</f>
        <v>18368</v>
      </c>
      <c r="I396" s="858"/>
      <c r="J396" s="632"/>
      <c r="K396" s="858"/>
      <c r="L396" s="632"/>
      <c r="M396" s="249">
        <f>M397</f>
        <v>9780</v>
      </c>
      <c r="N396" s="249">
        <f>N397</f>
        <v>9780</v>
      </c>
      <c r="O396" s="891">
        <f>O397</f>
        <v>11560</v>
      </c>
      <c r="P396" s="891">
        <f>P397</f>
        <v>11560</v>
      </c>
      <c r="Q396" s="891">
        <f>Q397</f>
        <v>1910</v>
      </c>
      <c r="R396" s="891"/>
      <c r="S396" s="891">
        <f>S397</f>
        <v>13470</v>
      </c>
      <c r="T396" s="891">
        <f>T397</f>
        <v>13470</v>
      </c>
      <c r="U396" s="492">
        <f>U397</f>
        <v>13479</v>
      </c>
      <c r="V396" s="492">
        <f>V397</f>
        <v>13479</v>
      </c>
      <c r="W396" s="248"/>
      <c r="X396" s="248"/>
      <c r="Y396" s="248"/>
      <c r="Z396" s="248"/>
      <c r="AA396" s="248"/>
      <c r="AB396" s="248"/>
      <c r="AC396" s="248"/>
      <c r="AD396" s="248"/>
      <c r="AE396" s="248"/>
      <c r="AF396" s="248"/>
      <c r="AG396" s="903"/>
      <c r="AH396" s="173">
        <f t="shared" si="110"/>
        <v>1</v>
      </c>
      <c r="AI396" s="198"/>
      <c r="AJ396" s="173">
        <f t="shared" si="125"/>
        <v>1</v>
      </c>
    </row>
    <row r="397" spans="1:36" s="157" customFormat="1" ht="49.5" x14ac:dyDescent="0.25">
      <c r="A397" s="892">
        <v>10</v>
      </c>
      <c r="B397" s="893" t="s">
        <v>1116</v>
      </c>
      <c r="C397" s="894"/>
      <c r="D397" s="895" t="s">
        <v>1115</v>
      </c>
      <c r="E397" s="895" t="s">
        <v>168</v>
      </c>
      <c r="F397" s="894"/>
      <c r="G397" s="896">
        <v>18368</v>
      </c>
      <c r="H397" s="896">
        <v>18368</v>
      </c>
      <c r="I397" s="897"/>
      <c r="J397" s="898"/>
      <c r="K397" s="897"/>
      <c r="L397" s="898"/>
      <c r="M397" s="848">
        <v>9780</v>
      </c>
      <c r="N397" s="848">
        <v>9780</v>
      </c>
      <c r="O397" s="902">
        <f>P397</f>
        <v>11560</v>
      </c>
      <c r="P397" s="902">
        <f>11700-140</f>
        <v>11560</v>
      </c>
      <c r="Q397" s="632">
        <v>1910</v>
      </c>
      <c r="R397" s="632"/>
      <c r="S397" s="636">
        <f>T397</f>
        <v>13470</v>
      </c>
      <c r="T397" s="636">
        <f>Q397+P397</f>
        <v>13470</v>
      </c>
      <c r="U397" s="457">
        <f>V397</f>
        <v>13479</v>
      </c>
      <c r="V397" s="457">
        <f>11560+1919</f>
        <v>13479</v>
      </c>
      <c r="W397" s="217"/>
      <c r="X397" s="217"/>
      <c r="Y397" s="217"/>
      <c r="Z397" s="217"/>
      <c r="AA397" s="217"/>
      <c r="AB397" s="217"/>
      <c r="AC397" s="217"/>
      <c r="AD397" s="217"/>
      <c r="AE397" s="217"/>
      <c r="AF397" s="217"/>
      <c r="AG397" s="682"/>
      <c r="AH397" s="173">
        <f t="shared" si="110"/>
        <v>1</v>
      </c>
      <c r="AI397" s="242"/>
      <c r="AJ397" s="173">
        <f t="shared" si="125"/>
        <v>1</v>
      </c>
    </row>
    <row r="398" spans="1:36" s="203" customFormat="1" ht="16.5" hidden="1" x14ac:dyDescent="0.25">
      <c r="A398" s="276" t="s">
        <v>500</v>
      </c>
      <c r="B398" s="275" t="s">
        <v>1114</v>
      </c>
      <c r="C398" s="274"/>
      <c r="D398" s="273"/>
      <c r="E398" s="273"/>
      <c r="F398" s="273"/>
      <c r="G398" s="617">
        <f>G399</f>
        <v>93413</v>
      </c>
      <c r="H398" s="617">
        <f>H399</f>
        <v>93413</v>
      </c>
      <c r="I398" s="868"/>
      <c r="J398" s="869"/>
      <c r="K398" s="868"/>
      <c r="L398" s="869"/>
      <c r="M398" s="617">
        <f t="shared" ref="M398:T399" si="138">M399</f>
        <v>58200</v>
      </c>
      <c r="N398" s="617">
        <f t="shared" si="138"/>
        <v>58200</v>
      </c>
      <c r="O398" s="617">
        <f t="shared" si="138"/>
        <v>56700</v>
      </c>
      <c r="P398" s="617">
        <f t="shared" si="138"/>
        <v>56700</v>
      </c>
      <c r="Q398" s="617">
        <f t="shared" si="138"/>
        <v>0</v>
      </c>
      <c r="R398" s="617">
        <f t="shared" si="138"/>
        <v>0</v>
      </c>
      <c r="S398" s="618">
        <f t="shared" si="138"/>
        <v>56700</v>
      </c>
      <c r="T398" s="618">
        <f t="shared" si="138"/>
        <v>56700</v>
      </c>
      <c r="U398" s="205">
        <f t="shared" ref="U398:AD399" si="139">U399</f>
        <v>12500</v>
      </c>
      <c r="V398" s="205">
        <f t="shared" si="139"/>
        <v>12500</v>
      </c>
      <c r="W398" s="205">
        <f t="shared" si="139"/>
        <v>2985</v>
      </c>
      <c r="X398" s="205">
        <f t="shared" si="139"/>
        <v>2985</v>
      </c>
      <c r="Y398" s="205">
        <f t="shared" si="139"/>
        <v>0</v>
      </c>
      <c r="Z398" s="205">
        <f t="shared" si="139"/>
        <v>0</v>
      </c>
      <c r="AA398" s="205">
        <f t="shared" si="139"/>
        <v>0</v>
      </c>
      <c r="AB398" s="205">
        <f t="shared" si="139"/>
        <v>0</v>
      </c>
      <c r="AC398" s="205">
        <f t="shared" si="139"/>
        <v>0</v>
      </c>
      <c r="AD398" s="205">
        <f t="shared" si="139"/>
        <v>0</v>
      </c>
      <c r="AE398" s="205">
        <f t="shared" ref="AE398:AF399" si="140">AE399</f>
        <v>0</v>
      </c>
      <c r="AF398" s="205">
        <f t="shared" si="140"/>
        <v>0</v>
      </c>
      <c r="AG398" s="870"/>
      <c r="AH398" s="173">
        <f t="shared" ref="AH398:AH410" si="141">IF(T398-P398=0,0,1)</f>
        <v>0</v>
      </c>
    </row>
    <row r="399" spans="1:36" ht="34.5" hidden="1" x14ac:dyDescent="0.25">
      <c r="A399" s="195" t="s">
        <v>85</v>
      </c>
      <c r="B399" s="193" t="s">
        <v>86</v>
      </c>
      <c r="C399" s="192"/>
      <c r="D399" s="192"/>
      <c r="E399" s="192"/>
      <c r="F399" s="192"/>
      <c r="G399" s="191">
        <f>G400</f>
        <v>93413</v>
      </c>
      <c r="H399" s="191">
        <f>H400</f>
        <v>93413</v>
      </c>
      <c r="I399" s="191"/>
      <c r="J399" s="191"/>
      <c r="K399" s="191"/>
      <c r="L399" s="191"/>
      <c r="M399" s="191">
        <f t="shared" si="138"/>
        <v>58200</v>
      </c>
      <c r="N399" s="191">
        <f t="shared" si="138"/>
        <v>58200</v>
      </c>
      <c r="O399" s="191">
        <f t="shared" si="138"/>
        <v>56700</v>
      </c>
      <c r="P399" s="191">
        <f t="shared" si="138"/>
        <v>56700</v>
      </c>
      <c r="Q399" s="191">
        <f t="shared" si="138"/>
        <v>0</v>
      </c>
      <c r="R399" s="191">
        <f t="shared" si="138"/>
        <v>0</v>
      </c>
      <c r="S399" s="474">
        <f t="shared" si="138"/>
        <v>56700</v>
      </c>
      <c r="T399" s="474">
        <f t="shared" si="138"/>
        <v>56700</v>
      </c>
      <c r="U399" s="190">
        <f t="shared" si="139"/>
        <v>12500</v>
      </c>
      <c r="V399" s="190">
        <f t="shared" si="139"/>
        <v>12500</v>
      </c>
      <c r="W399" s="190">
        <f t="shared" si="139"/>
        <v>2985</v>
      </c>
      <c r="X399" s="190">
        <f t="shared" si="139"/>
        <v>2985</v>
      </c>
      <c r="Y399" s="190">
        <f t="shared" si="139"/>
        <v>0</v>
      </c>
      <c r="Z399" s="190">
        <f t="shared" si="139"/>
        <v>0</v>
      </c>
      <c r="AA399" s="190">
        <f t="shared" si="139"/>
        <v>0</v>
      </c>
      <c r="AB399" s="190">
        <f t="shared" si="139"/>
        <v>0</v>
      </c>
      <c r="AC399" s="190">
        <f t="shared" si="139"/>
        <v>0</v>
      </c>
      <c r="AD399" s="190">
        <f t="shared" si="139"/>
        <v>0</v>
      </c>
      <c r="AE399" s="190">
        <f t="shared" si="140"/>
        <v>0</v>
      </c>
      <c r="AF399" s="190">
        <f t="shared" si="140"/>
        <v>0</v>
      </c>
      <c r="AG399" s="189"/>
      <c r="AH399" s="173">
        <f t="shared" si="141"/>
        <v>0</v>
      </c>
    </row>
    <row r="400" spans="1:36" ht="51.75" hidden="1" x14ac:dyDescent="0.25">
      <c r="A400" s="194" t="s">
        <v>87</v>
      </c>
      <c r="B400" s="193" t="s">
        <v>88</v>
      </c>
      <c r="C400" s="192"/>
      <c r="D400" s="192"/>
      <c r="E400" s="192"/>
      <c r="F400" s="192"/>
      <c r="G400" s="191">
        <f>G402+G404+G405+G406+G407+G408+G409+G410</f>
        <v>93413</v>
      </c>
      <c r="H400" s="191">
        <f>H402+H404+H405+H406+H407+H408+H409+H410</f>
        <v>93413</v>
      </c>
      <c r="I400" s="191"/>
      <c r="J400" s="191"/>
      <c r="K400" s="191"/>
      <c r="L400" s="191"/>
      <c r="M400" s="191">
        <f>M402+M404+M405+M406+M407+M408+M409+M410</f>
        <v>58200</v>
      </c>
      <c r="N400" s="191">
        <f>N402+N404+N405+N406+N407+N408+N409+N410</f>
        <v>58200</v>
      </c>
      <c r="O400" s="191">
        <f>O402+O404+O405+O406+O407+O408+O409+O410</f>
        <v>56700</v>
      </c>
      <c r="P400" s="191">
        <f>P402+P404+P405+P406+P407+P408+P409+P410</f>
        <v>56700</v>
      </c>
      <c r="Q400" s="191">
        <f>SUM(Q401:Q410)</f>
        <v>0</v>
      </c>
      <c r="R400" s="191">
        <f t="shared" ref="R400:X400" si="142">R402+R404+R405+R406+R407+R408+R409+R410</f>
        <v>0</v>
      </c>
      <c r="S400" s="474">
        <f t="shared" si="142"/>
        <v>56700</v>
      </c>
      <c r="T400" s="474">
        <f t="shared" si="142"/>
        <v>56700</v>
      </c>
      <c r="U400" s="191">
        <f t="shared" si="142"/>
        <v>12500</v>
      </c>
      <c r="V400" s="191">
        <f t="shared" si="142"/>
        <v>12500</v>
      </c>
      <c r="W400" s="191">
        <f t="shared" si="142"/>
        <v>2985</v>
      </c>
      <c r="X400" s="191">
        <f t="shared" si="142"/>
        <v>2985</v>
      </c>
      <c r="Y400" s="190">
        <f t="shared" ref="Y400:AF400" si="143">SUM(Y401:Y410)</f>
        <v>0</v>
      </c>
      <c r="Z400" s="190">
        <f t="shared" si="143"/>
        <v>0</v>
      </c>
      <c r="AA400" s="190">
        <f t="shared" si="143"/>
        <v>0</v>
      </c>
      <c r="AB400" s="190">
        <f t="shared" si="143"/>
        <v>0</v>
      </c>
      <c r="AC400" s="190">
        <f t="shared" si="143"/>
        <v>0</v>
      </c>
      <c r="AD400" s="190">
        <f t="shared" si="143"/>
        <v>0</v>
      </c>
      <c r="AE400" s="190">
        <f t="shared" si="143"/>
        <v>0</v>
      </c>
      <c r="AF400" s="190">
        <f t="shared" si="143"/>
        <v>0</v>
      </c>
      <c r="AG400" s="189"/>
      <c r="AH400" s="173">
        <f t="shared" si="141"/>
        <v>0</v>
      </c>
    </row>
    <row r="401" spans="1:34" ht="33" hidden="1" x14ac:dyDescent="0.25">
      <c r="A401" s="221">
        <v>1</v>
      </c>
      <c r="B401" s="183" t="s">
        <v>1008</v>
      </c>
      <c r="C401" s="188"/>
      <c r="D401" s="197"/>
      <c r="E401" s="197"/>
      <c r="F401" s="197"/>
      <c r="G401" s="179"/>
      <c r="H401" s="239"/>
      <c r="I401" s="212"/>
      <c r="J401" s="177"/>
      <c r="K401" s="212"/>
      <c r="L401" s="177"/>
      <c r="M401" s="212">
        <f>N401</f>
        <v>800</v>
      </c>
      <c r="N401" s="179">
        <v>800</v>
      </c>
      <c r="O401" s="178">
        <v>800</v>
      </c>
      <c r="P401" s="220">
        <v>800</v>
      </c>
      <c r="Q401" s="176"/>
      <c r="R401" s="176"/>
      <c r="S401" s="456">
        <v>800</v>
      </c>
      <c r="T401" s="454">
        <v>800</v>
      </c>
      <c r="U401" s="220">
        <v>800</v>
      </c>
      <c r="V401" s="220">
        <v>800</v>
      </c>
      <c r="W401" s="177"/>
      <c r="X401" s="177"/>
      <c r="Y401" s="177"/>
      <c r="Z401" s="177"/>
      <c r="AA401" s="177"/>
      <c r="AB401" s="177"/>
      <c r="AC401" s="177"/>
      <c r="AD401" s="177"/>
      <c r="AE401" s="177"/>
      <c r="AF401" s="177"/>
      <c r="AG401" s="198"/>
      <c r="AH401" s="173">
        <f t="shared" si="141"/>
        <v>0</v>
      </c>
    </row>
    <row r="402" spans="1:34" ht="66" hidden="1" x14ac:dyDescent="0.25">
      <c r="A402" s="221">
        <v>2</v>
      </c>
      <c r="B402" s="183" t="s">
        <v>1113</v>
      </c>
      <c r="C402" s="188" t="s">
        <v>1112</v>
      </c>
      <c r="D402" s="182" t="s">
        <v>1111</v>
      </c>
      <c r="E402" s="181" t="s">
        <v>97</v>
      </c>
      <c r="F402" s="180" t="s">
        <v>1110</v>
      </c>
      <c r="G402" s="196">
        <v>7116</v>
      </c>
      <c r="H402" s="196">
        <v>7116</v>
      </c>
      <c r="I402" s="212"/>
      <c r="J402" s="177"/>
      <c r="K402" s="212"/>
      <c r="L402" s="177"/>
      <c r="M402" s="212">
        <f>N402</f>
        <v>6300</v>
      </c>
      <c r="N402" s="179">
        <v>6300</v>
      </c>
      <c r="O402" s="178">
        <f>P402</f>
        <v>6085</v>
      </c>
      <c r="P402" s="220">
        <v>6085</v>
      </c>
      <c r="Q402" s="176"/>
      <c r="R402" s="176"/>
      <c r="S402" s="456">
        <f>T402</f>
        <v>6085</v>
      </c>
      <c r="T402" s="454">
        <v>6085</v>
      </c>
      <c r="U402" s="220">
        <v>5000</v>
      </c>
      <c r="V402" s="220">
        <v>5000</v>
      </c>
      <c r="W402" s="177">
        <f>X402</f>
        <v>1085</v>
      </c>
      <c r="X402" s="177">
        <v>1085</v>
      </c>
      <c r="Y402" s="177"/>
      <c r="Z402" s="177"/>
      <c r="AA402" s="177"/>
      <c r="AB402" s="177"/>
      <c r="AC402" s="177"/>
      <c r="AD402" s="177"/>
      <c r="AE402" s="177"/>
      <c r="AF402" s="177"/>
      <c r="AG402" s="185" t="s">
        <v>404</v>
      </c>
      <c r="AH402" s="173">
        <f t="shared" si="141"/>
        <v>0</v>
      </c>
    </row>
    <row r="403" spans="1:34" ht="49.5" hidden="1" x14ac:dyDescent="0.25">
      <c r="A403" s="221">
        <v>3</v>
      </c>
      <c r="B403" s="183" t="s">
        <v>1109</v>
      </c>
      <c r="C403" s="188" t="s">
        <v>1108</v>
      </c>
      <c r="D403" s="238" t="s">
        <v>1107</v>
      </c>
      <c r="E403" s="181" t="s">
        <v>97</v>
      </c>
      <c r="F403" s="180" t="s">
        <v>1106</v>
      </c>
      <c r="G403" s="196">
        <v>23231</v>
      </c>
      <c r="H403" s="196">
        <v>23231</v>
      </c>
      <c r="I403" s="212"/>
      <c r="J403" s="177"/>
      <c r="K403" s="212"/>
      <c r="L403" s="177"/>
      <c r="M403" s="212">
        <f>N403</f>
        <v>21000</v>
      </c>
      <c r="N403" s="179">
        <v>21000</v>
      </c>
      <c r="O403" s="178">
        <v>21000</v>
      </c>
      <c r="P403" s="220">
        <v>21000</v>
      </c>
      <c r="Q403" s="176"/>
      <c r="R403" s="176"/>
      <c r="S403" s="456">
        <v>21000</v>
      </c>
      <c r="T403" s="454">
        <v>21000</v>
      </c>
      <c r="U403" s="220">
        <v>6000</v>
      </c>
      <c r="V403" s="220">
        <v>6000</v>
      </c>
      <c r="W403" s="177">
        <f>X403</f>
        <v>10400</v>
      </c>
      <c r="X403" s="177">
        <v>10400</v>
      </c>
      <c r="Y403" s="177"/>
      <c r="Z403" s="177"/>
      <c r="AA403" s="177"/>
      <c r="AB403" s="177"/>
      <c r="AC403" s="177"/>
      <c r="AD403" s="177"/>
      <c r="AE403" s="177"/>
      <c r="AF403" s="177"/>
      <c r="AG403" s="198"/>
      <c r="AH403" s="173">
        <f t="shared" si="141"/>
        <v>0</v>
      </c>
    </row>
    <row r="404" spans="1:34" ht="49.5" hidden="1" x14ac:dyDescent="0.25">
      <c r="A404" s="221">
        <v>4</v>
      </c>
      <c r="B404" s="183" t="s">
        <v>1105</v>
      </c>
      <c r="C404" s="188"/>
      <c r="D404" s="182" t="s">
        <v>1104</v>
      </c>
      <c r="E404" s="181" t="s">
        <v>97</v>
      </c>
      <c r="F404" s="180" t="s">
        <v>1103</v>
      </c>
      <c r="G404" s="196">
        <f>H404</f>
        <v>9802</v>
      </c>
      <c r="H404" s="196">
        <v>9802</v>
      </c>
      <c r="I404" s="212"/>
      <c r="J404" s="177"/>
      <c r="K404" s="212"/>
      <c r="L404" s="177"/>
      <c r="M404" s="212">
        <f>N404</f>
        <v>12400</v>
      </c>
      <c r="N404" s="179">
        <v>12400</v>
      </c>
      <c r="O404" s="178">
        <f>P404</f>
        <v>9802</v>
      </c>
      <c r="P404" s="220">
        <f>H404</f>
        <v>9802</v>
      </c>
      <c r="Q404" s="176"/>
      <c r="R404" s="176"/>
      <c r="S404" s="456">
        <f>T404</f>
        <v>9802</v>
      </c>
      <c r="T404" s="454">
        <f>P404</f>
        <v>9802</v>
      </c>
      <c r="U404" s="220">
        <v>7500</v>
      </c>
      <c r="V404" s="220">
        <v>7500</v>
      </c>
      <c r="W404" s="177">
        <f>X404</f>
        <v>1900</v>
      </c>
      <c r="X404" s="177">
        <v>1900</v>
      </c>
      <c r="Y404" s="177"/>
      <c r="Z404" s="177"/>
      <c r="AA404" s="177"/>
      <c r="AB404" s="177"/>
      <c r="AC404" s="177"/>
      <c r="AD404" s="177"/>
      <c r="AE404" s="177"/>
      <c r="AF404" s="177"/>
      <c r="AG404" s="185" t="s">
        <v>404</v>
      </c>
      <c r="AH404" s="173">
        <f t="shared" si="141"/>
        <v>0</v>
      </c>
    </row>
    <row r="405" spans="1:34" ht="82.5" hidden="1" x14ac:dyDescent="0.25">
      <c r="A405" s="221">
        <v>5</v>
      </c>
      <c r="B405" s="237" t="s">
        <v>1102</v>
      </c>
      <c r="C405" s="188"/>
      <c r="D405" s="182" t="s">
        <v>1101</v>
      </c>
      <c r="E405" s="197" t="s">
        <v>461</v>
      </c>
      <c r="F405" s="180" t="s">
        <v>1100</v>
      </c>
      <c r="G405" s="179">
        <f>H405</f>
        <v>7358</v>
      </c>
      <c r="H405" s="179">
        <v>7358</v>
      </c>
      <c r="I405" s="212"/>
      <c r="J405" s="177"/>
      <c r="K405" s="212"/>
      <c r="L405" s="177"/>
      <c r="M405" s="179">
        <v>9700</v>
      </c>
      <c r="N405" s="179">
        <v>9700</v>
      </c>
      <c r="O405" s="178">
        <f>P405</f>
        <v>6880</v>
      </c>
      <c r="P405" s="178">
        <v>6880</v>
      </c>
      <c r="Q405" s="176"/>
      <c r="R405" s="176"/>
      <c r="S405" s="456">
        <f>T405</f>
        <v>6880</v>
      </c>
      <c r="T405" s="456">
        <v>6880</v>
      </c>
      <c r="U405" s="178"/>
      <c r="V405" s="178"/>
      <c r="W405" s="177"/>
      <c r="X405" s="177"/>
      <c r="Y405" s="177"/>
      <c r="Z405" s="177"/>
      <c r="AA405" s="177"/>
      <c r="AB405" s="177"/>
      <c r="AC405" s="177"/>
      <c r="AD405" s="177"/>
      <c r="AE405" s="177"/>
      <c r="AF405" s="177"/>
      <c r="AG405" s="198"/>
      <c r="AH405" s="173">
        <f t="shared" si="141"/>
        <v>0</v>
      </c>
    </row>
    <row r="406" spans="1:34" ht="66" hidden="1" x14ac:dyDescent="0.25">
      <c r="A406" s="221">
        <v>6</v>
      </c>
      <c r="B406" s="237" t="s">
        <v>1099</v>
      </c>
      <c r="C406" s="188"/>
      <c r="D406" s="182" t="s">
        <v>1098</v>
      </c>
      <c r="E406" s="197" t="s">
        <v>461</v>
      </c>
      <c r="F406" s="180" t="s">
        <v>1097</v>
      </c>
      <c r="G406" s="179">
        <v>9377</v>
      </c>
      <c r="H406" s="179">
        <v>9377</v>
      </c>
      <c r="I406" s="212"/>
      <c r="J406" s="177"/>
      <c r="K406" s="212"/>
      <c r="L406" s="177"/>
      <c r="M406" s="179">
        <f>N406</f>
        <v>8000</v>
      </c>
      <c r="N406" s="179">
        <v>8000</v>
      </c>
      <c r="O406" s="178">
        <f>P406</f>
        <v>6500</v>
      </c>
      <c r="P406" s="178">
        <v>6500</v>
      </c>
      <c r="Q406" s="176"/>
      <c r="R406" s="176"/>
      <c r="S406" s="456">
        <f>T406</f>
        <v>6500</v>
      </c>
      <c r="T406" s="456">
        <v>6500</v>
      </c>
      <c r="U406" s="177"/>
      <c r="V406" s="177"/>
      <c r="W406" s="177"/>
      <c r="X406" s="177"/>
      <c r="Y406" s="177"/>
      <c r="Z406" s="177"/>
      <c r="AA406" s="177"/>
      <c r="AB406" s="177"/>
      <c r="AC406" s="177"/>
      <c r="AD406" s="177"/>
      <c r="AE406" s="177"/>
      <c r="AF406" s="177"/>
      <c r="AG406" s="198"/>
      <c r="AH406" s="173">
        <f t="shared" si="141"/>
        <v>0</v>
      </c>
    </row>
    <row r="407" spans="1:34" ht="33" hidden="1" x14ac:dyDescent="0.25">
      <c r="A407" s="221">
        <v>7</v>
      </c>
      <c r="B407" s="237" t="s">
        <v>1095</v>
      </c>
      <c r="C407" s="188"/>
      <c r="D407" s="182" t="s">
        <v>1094</v>
      </c>
      <c r="E407" s="197" t="s">
        <v>290</v>
      </c>
      <c r="F407" s="197"/>
      <c r="G407" s="236">
        <v>12760</v>
      </c>
      <c r="H407" s="236">
        <v>12760</v>
      </c>
      <c r="I407" s="212"/>
      <c r="J407" s="177"/>
      <c r="K407" s="212"/>
      <c r="L407" s="177"/>
      <c r="M407" s="179">
        <v>9200</v>
      </c>
      <c r="N407" s="179">
        <v>9200</v>
      </c>
      <c r="O407" s="178"/>
      <c r="P407" s="178"/>
      <c r="Q407" s="176"/>
      <c r="R407" s="176"/>
      <c r="S407" s="456"/>
      <c r="T407" s="456"/>
      <c r="U407" s="177"/>
      <c r="V407" s="177"/>
      <c r="W407" s="177"/>
      <c r="X407" s="177"/>
      <c r="Y407" s="177"/>
      <c r="Z407" s="177"/>
      <c r="AA407" s="177"/>
      <c r="AB407" s="177"/>
      <c r="AC407" s="177"/>
      <c r="AD407" s="177"/>
      <c r="AE407" s="177"/>
      <c r="AF407" s="177"/>
      <c r="AG407" s="185" t="s">
        <v>284</v>
      </c>
      <c r="AH407" s="173">
        <f t="shared" si="141"/>
        <v>0</v>
      </c>
    </row>
    <row r="408" spans="1:34" ht="33" hidden="1" x14ac:dyDescent="0.25">
      <c r="A408" s="221">
        <v>8</v>
      </c>
      <c r="B408" s="237" t="s">
        <v>1093</v>
      </c>
      <c r="C408" s="188"/>
      <c r="D408" s="182" t="s">
        <v>1092</v>
      </c>
      <c r="E408" s="197" t="s">
        <v>290</v>
      </c>
      <c r="F408" s="197"/>
      <c r="G408" s="236">
        <v>10000</v>
      </c>
      <c r="H408" s="236">
        <v>10000</v>
      </c>
      <c r="I408" s="212"/>
      <c r="J408" s="177"/>
      <c r="K408" s="212"/>
      <c r="L408" s="177"/>
      <c r="M408" s="179">
        <v>9000</v>
      </c>
      <c r="N408" s="179">
        <v>9000</v>
      </c>
      <c r="O408" s="178"/>
      <c r="P408" s="178"/>
      <c r="Q408" s="176"/>
      <c r="R408" s="176"/>
      <c r="S408" s="456"/>
      <c r="T408" s="456"/>
      <c r="U408" s="177"/>
      <c r="V408" s="177"/>
      <c r="W408" s="177"/>
      <c r="X408" s="177"/>
      <c r="Y408" s="177"/>
      <c r="Z408" s="177"/>
      <c r="AA408" s="177"/>
      <c r="AB408" s="177"/>
      <c r="AC408" s="177"/>
      <c r="AD408" s="177"/>
      <c r="AE408" s="177"/>
      <c r="AF408" s="177"/>
      <c r="AG408" s="185" t="s">
        <v>284</v>
      </c>
      <c r="AH408" s="173">
        <f t="shared" si="141"/>
        <v>0</v>
      </c>
    </row>
    <row r="409" spans="1:34" ht="33" hidden="1" x14ac:dyDescent="0.25">
      <c r="A409" s="221">
        <v>9</v>
      </c>
      <c r="B409" s="237" t="s">
        <v>1091</v>
      </c>
      <c r="C409" s="188"/>
      <c r="D409" s="182" t="s">
        <v>1090</v>
      </c>
      <c r="E409" s="197" t="s">
        <v>290</v>
      </c>
      <c r="F409" s="197"/>
      <c r="G409" s="236">
        <v>4000</v>
      </c>
      <c r="H409" s="236">
        <v>4000</v>
      </c>
      <c r="I409" s="212"/>
      <c r="J409" s="177"/>
      <c r="K409" s="212"/>
      <c r="L409" s="177"/>
      <c r="M409" s="179">
        <v>3600</v>
      </c>
      <c r="N409" s="179">
        <v>3600</v>
      </c>
      <c r="O409" s="178"/>
      <c r="P409" s="178"/>
      <c r="Q409" s="176"/>
      <c r="R409" s="176"/>
      <c r="S409" s="456"/>
      <c r="T409" s="456"/>
      <c r="U409" s="177"/>
      <c r="V409" s="177"/>
      <c r="W409" s="177"/>
      <c r="X409" s="177"/>
      <c r="Y409" s="177"/>
      <c r="Z409" s="177"/>
      <c r="AA409" s="177"/>
      <c r="AB409" s="177"/>
      <c r="AC409" s="177"/>
      <c r="AD409" s="177"/>
      <c r="AE409" s="177"/>
      <c r="AF409" s="177"/>
      <c r="AG409" s="185" t="s">
        <v>284</v>
      </c>
      <c r="AH409" s="173">
        <f t="shared" si="141"/>
        <v>0</v>
      </c>
    </row>
    <row r="410" spans="1:34" ht="33" hidden="1" x14ac:dyDescent="0.25">
      <c r="A410" s="526">
        <v>10</v>
      </c>
      <c r="B410" s="506" t="s">
        <v>1089</v>
      </c>
      <c r="C410" s="308" t="s">
        <v>1088</v>
      </c>
      <c r="D410" s="508" t="s">
        <v>1087</v>
      </c>
      <c r="E410" s="307" t="s">
        <v>116</v>
      </c>
      <c r="F410" s="307"/>
      <c r="G410" s="527">
        <f>H410</f>
        <v>33000</v>
      </c>
      <c r="H410" s="527">
        <v>33000</v>
      </c>
      <c r="I410" s="518"/>
      <c r="J410" s="277"/>
      <c r="K410" s="518"/>
      <c r="L410" s="277"/>
      <c r="M410" s="306"/>
      <c r="N410" s="306"/>
      <c r="O410" s="304">
        <f>P410</f>
        <v>27433</v>
      </c>
      <c r="P410" s="304">
        <v>27433</v>
      </c>
      <c r="Q410" s="446"/>
      <c r="R410" s="446"/>
      <c r="S410" s="461">
        <f>T410</f>
        <v>27433</v>
      </c>
      <c r="T410" s="461">
        <v>27433</v>
      </c>
      <c r="U410" s="277"/>
      <c r="V410" s="277"/>
      <c r="W410" s="277"/>
      <c r="X410" s="277"/>
      <c r="Y410" s="177"/>
      <c r="Z410" s="177"/>
      <c r="AA410" s="177"/>
      <c r="AB410" s="177"/>
      <c r="AC410" s="177"/>
      <c r="AD410" s="177"/>
      <c r="AE410" s="177"/>
      <c r="AF410" s="177"/>
      <c r="AG410" s="520" t="s">
        <v>84</v>
      </c>
      <c r="AH410" s="173">
        <f t="shared" si="141"/>
        <v>0</v>
      </c>
    </row>
    <row r="411" spans="1:34" s="203" customFormat="1" ht="26.25" customHeight="1" x14ac:dyDescent="0.25">
      <c r="A411" s="639" t="s">
        <v>554</v>
      </c>
      <c r="B411" s="640" t="s">
        <v>1086</v>
      </c>
      <c r="C411" s="641"/>
      <c r="D411" s="642"/>
      <c r="E411" s="642"/>
      <c r="F411" s="642"/>
      <c r="G411" s="643">
        <f t="shared" ref="G411:L411" si="144">G420+G428</f>
        <v>29960</v>
      </c>
      <c r="H411" s="643">
        <f t="shared" si="144"/>
        <v>29960</v>
      </c>
      <c r="I411" s="643">
        <f t="shared" si="144"/>
        <v>0</v>
      </c>
      <c r="J411" s="643">
        <f t="shared" si="144"/>
        <v>0</v>
      </c>
      <c r="K411" s="643">
        <f t="shared" si="144"/>
        <v>0</v>
      </c>
      <c r="L411" s="643">
        <f t="shared" si="144"/>
        <v>0</v>
      </c>
      <c r="M411" s="643">
        <f>M420+M428</f>
        <v>13500</v>
      </c>
      <c r="N411" s="643">
        <f t="shared" ref="N411:P411" si="145">N420+N428</f>
        <v>13500</v>
      </c>
      <c r="O411" s="643">
        <f t="shared" si="145"/>
        <v>20170</v>
      </c>
      <c r="P411" s="643">
        <f t="shared" si="145"/>
        <v>20170</v>
      </c>
      <c r="Q411" s="643">
        <f t="shared" ref="Q411:X411" si="146">Q420+Q428</f>
        <v>3615</v>
      </c>
      <c r="R411" s="643">
        <f t="shared" si="146"/>
        <v>3615</v>
      </c>
      <c r="S411" s="687">
        <f t="shared" si="146"/>
        <v>23620</v>
      </c>
      <c r="T411" s="687">
        <f t="shared" si="146"/>
        <v>23620</v>
      </c>
      <c r="U411" s="643">
        <f t="shared" si="146"/>
        <v>0</v>
      </c>
      <c r="V411" s="643">
        <f t="shared" si="146"/>
        <v>0</v>
      </c>
      <c r="W411" s="643">
        <f t="shared" si="146"/>
        <v>6470</v>
      </c>
      <c r="X411" s="643">
        <f t="shared" si="146"/>
        <v>6470</v>
      </c>
      <c r="Y411" s="205">
        <f t="shared" ref="Y411:AF411" si="147">Y412+Y419</f>
        <v>17010</v>
      </c>
      <c r="Z411" s="205">
        <f t="shared" si="147"/>
        <v>17010</v>
      </c>
      <c r="AA411" s="205">
        <f t="shared" si="147"/>
        <v>17010</v>
      </c>
      <c r="AB411" s="205">
        <f t="shared" si="147"/>
        <v>17010</v>
      </c>
      <c r="AC411" s="205">
        <f t="shared" si="147"/>
        <v>17010</v>
      </c>
      <c r="AD411" s="205">
        <f t="shared" si="147"/>
        <v>17010</v>
      </c>
      <c r="AE411" s="205">
        <f t="shared" si="147"/>
        <v>17010</v>
      </c>
      <c r="AF411" s="205">
        <f t="shared" si="147"/>
        <v>17010</v>
      </c>
      <c r="AG411" s="644"/>
      <c r="AH411" s="173">
        <v>1</v>
      </c>
    </row>
    <row r="412" spans="1:34" ht="51.75" hidden="1" x14ac:dyDescent="0.25">
      <c r="A412" s="592" t="s">
        <v>45</v>
      </c>
      <c r="B412" s="315" t="s">
        <v>46</v>
      </c>
      <c r="C412" s="593"/>
      <c r="D412" s="593"/>
      <c r="E412" s="593"/>
      <c r="F412" s="593"/>
      <c r="G412" s="594">
        <f t="shared" ref="G412:X412" si="148">G413</f>
        <v>20032</v>
      </c>
      <c r="H412" s="594">
        <f t="shared" si="148"/>
        <v>20032</v>
      </c>
      <c r="I412" s="594">
        <f t="shared" si="148"/>
        <v>7500</v>
      </c>
      <c r="J412" s="594">
        <f t="shared" si="148"/>
        <v>7500</v>
      </c>
      <c r="K412" s="594">
        <f t="shared" si="148"/>
        <v>7500</v>
      </c>
      <c r="L412" s="594">
        <f t="shared" si="148"/>
        <v>7500</v>
      </c>
      <c r="M412" s="594">
        <f t="shared" si="148"/>
        <v>9200</v>
      </c>
      <c r="N412" s="594">
        <f t="shared" si="148"/>
        <v>9200</v>
      </c>
      <c r="O412" s="594">
        <f t="shared" si="148"/>
        <v>9100</v>
      </c>
      <c r="P412" s="594">
        <f t="shared" si="148"/>
        <v>9100</v>
      </c>
      <c r="Q412" s="594">
        <f t="shared" si="148"/>
        <v>0</v>
      </c>
      <c r="R412" s="594">
        <f t="shared" si="148"/>
        <v>0</v>
      </c>
      <c r="S412" s="595">
        <f t="shared" si="148"/>
        <v>9100</v>
      </c>
      <c r="T412" s="595">
        <f t="shared" si="148"/>
        <v>9100</v>
      </c>
      <c r="U412" s="596">
        <f t="shared" si="148"/>
        <v>6100</v>
      </c>
      <c r="V412" s="596">
        <f t="shared" si="148"/>
        <v>6100</v>
      </c>
      <c r="W412" s="596">
        <f t="shared" si="148"/>
        <v>3000</v>
      </c>
      <c r="X412" s="596">
        <f t="shared" si="148"/>
        <v>3000</v>
      </c>
      <c r="Y412" s="190">
        <v>17010</v>
      </c>
      <c r="Z412" s="190">
        <v>17010</v>
      </c>
      <c r="AA412" s="190">
        <v>17010</v>
      </c>
      <c r="AB412" s="190">
        <v>17010</v>
      </c>
      <c r="AC412" s="190">
        <v>17010</v>
      </c>
      <c r="AD412" s="190">
        <v>17010</v>
      </c>
      <c r="AE412" s="190">
        <v>17010</v>
      </c>
      <c r="AF412" s="190">
        <v>17010</v>
      </c>
      <c r="AG412" s="580"/>
      <c r="AH412" s="173">
        <f t="shared" ref="AH412:AH443" si="149">IF(T412-P412=0,0,1)</f>
        <v>0</v>
      </c>
    </row>
    <row r="413" spans="1:34" ht="34.5" hidden="1" x14ac:dyDescent="0.25">
      <c r="A413" s="194" t="s">
        <v>47</v>
      </c>
      <c r="B413" s="193" t="s">
        <v>48</v>
      </c>
      <c r="C413" s="192"/>
      <c r="D413" s="192"/>
      <c r="E413" s="192"/>
      <c r="F413" s="192"/>
      <c r="G413" s="191">
        <f t="shared" ref="G413:X413" si="150">G417</f>
        <v>20032</v>
      </c>
      <c r="H413" s="191">
        <f t="shared" si="150"/>
        <v>20032</v>
      </c>
      <c r="I413" s="191">
        <f t="shared" si="150"/>
        <v>7500</v>
      </c>
      <c r="J413" s="191">
        <f t="shared" si="150"/>
        <v>7500</v>
      </c>
      <c r="K413" s="191">
        <f t="shared" si="150"/>
        <v>7500</v>
      </c>
      <c r="L413" s="191">
        <f t="shared" si="150"/>
        <v>7500</v>
      </c>
      <c r="M413" s="191">
        <f t="shared" si="150"/>
        <v>9200</v>
      </c>
      <c r="N413" s="191">
        <f t="shared" si="150"/>
        <v>9200</v>
      </c>
      <c r="O413" s="191">
        <f t="shared" si="150"/>
        <v>9100</v>
      </c>
      <c r="P413" s="191">
        <f t="shared" si="150"/>
        <v>9100</v>
      </c>
      <c r="Q413" s="191">
        <f t="shared" si="150"/>
        <v>0</v>
      </c>
      <c r="R413" s="191">
        <f t="shared" si="150"/>
        <v>0</v>
      </c>
      <c r="S413" s="474">
        <f t="shared" si="150"/>
        <v>9100</v>
      </c>
      <c r="T413" s="474">
        <f t="shared" si="150"/>
        <v>9100</v>
      </c>
      <c r="U413" s="191">
        <f t="shared" si="150"/>
        <v>6100</v>
      </c>
      <c r="V413" s="191">
        <f t="shared" si="150"/>
        <v>6100</v>
      </c>
      <c r="W413" s="191">
        <f t="shared" si="150"/>
        <v>3000</v>
      </c>
      <c r="X413" s="191">
        <f t="shared" si="150"/>
        <v>3000</v>
      </c>
      <c r="Y413" s="190">
        <f t="shared" ref="Y413:AF413" si="151">SUM(Y416:Y418)</f>
        <v>0</v>
      </c>
      <c r="Z413" s="190">
        <f t="shared" si="151"/>
        <v>0</v>
      </c>
      <c r="AA413" s="190">
        <f t="shared" si="151"/>
        <v>0</v>
      </c>
      <c r="AB413" s="190">
        <f t="shared" si="151"/>
        <v>0</v>
      </c>
      <c r="AC413" s="190">
        <f t="shared" si="151"/>
        <v>0</v>
      </c>
      <c r="AD413" s="190">
        <f t="shared" si="151"/>
        <v>0</v>
      </c>
      <c r="AE413" s="190">
        <f t="shared" si="151"/>
        <v>0</v>
      </c>
      <c r="AF413" s="190">
        <f t="shared" si="151"/>
        <v>0</v>
      </c>
      <c r="AG413" s="198"/>
      <c r="AH413" s="173">
        <f t="shared" si="149"/>
        <v>0</v>
      </c>
    </row>
    <row r="414" spans="1:34" ht="17.25" hidden="1" x14ac:dyDescent="0.25">
      <c r="A414" s="194"/>
      <c r="B414" s="193" t="s">
        <v>49</v>
      </c>
      <c r="C414" s="202"/>
      <c r="D414" s="202"/>
      <c r="E414" s="202"/>
      <c r="F414" s="202"/>
      <c r="G414" s="200"/>
      <c r="H414" s="200"/>
      <c r="I414" s="200"/>
      <c r="J414" s="200"/>
      <c r="K414" s="200"/>
      <c r="L414" s="200"/>
      <c r="M414" s="200"/>
      <c r="N414" s="200"/>
      <c r="O414" s="201"/>
      <c r="P414" s="201"/>
      <c r="Q414" s="176"/>
      <c r="R414" s="176"/>
      <c r="S414" s="475"/>
      <c r="T414" s="475"/>
      <c r="U414" s="200"/>
      <c r="V414" s="200"/>
      <c r="W414" s="200"/>
      <c r="X414" s="200"/>
      <c r="Y414" s="200"/>
      <c r="Z414" s="200"/>
      <c r="AA414" s="200"/>
      <c r="AB414" s="200"/>
      <c r="AC414" s="200"/>
      <c r="AD414" s="200"/>
      <c r="AE414" s="200"/>
      <c r="AF414" s="200"/>
      <c r="AG414" s="198"/>
      <c r="AH414" s="173">
        <f t="shared" si="149"/>
        <v>0</v>
      </c>
    </row>
    <row r="415" spans="1:34" ht="51.75" hidden="1" x14ac:dyDescent="0.25">
      <c r="A415" s="194"/>
      <c r="B415" s="199" t="s">
        <v>50</v>
      </c>
      <c r="C415" s="192"/>
      <c r="D415" s="192"/>
      <c r="E415" s="192"/>
      <c r="F415" s="192"/>
      <c r="G415" s="191"/>
      <c r="H415" s="191"/>
      <c r="I415" s="191"/>
      <c r="J415" s="191"/>
      <c r="K415" s="191"/>
      <c r="L415" s="191"/>
      <c r="M415" s="191"/>
      <c r="N415" s="191"/>
      <c r="O415" s="190"/>
      <c r="P415" s="190"/>
      <c r="Q415" s="176"/>
      <c r="R415" s="176"/>
      <c r="S415" s="474"/>
      <c r="T415" s="474"/>
      <c r="U415" s="191"/>
      <c r="V415" s="191"/>
      <c r="W415" s="191"/>
      <c r="X415" s="191"/>
      <c r="Y415" s="191"/>
      <c r="Z415" s="191"/>
      <c r="AA415" s="191"/>
      <c r="AB415" s="191"/>
      <c r="AC415" s="191"/>
      <c r="AD415" s="191"/>
      <c r="AE415" s="191"/>
      <c r="AF415" s="191"/>
      <c r="AG415" s="198"/>
      <c r="AH415" s="173">
        <f t="shared" si="149"/>
        <v>0</v>
      </c>
    </row>
    <row r="416" spans="1:34" ht="33" hidden="1" x14ac:dyDescent="0.25">
      <c r="A416" s="221">
        <v>1</v>
      </c>
      <c r="B416" s="183" t="s">
        <v>1008</v>
      </c>
      <c r="C416" s="188"/>
      <c r="D416" s="197"/>
      <c r="E416" s="197"/>
      <c r="F416" s="197"/>
      <c r="G416" s="179"/>
      <c r="H416" s="179"/>
      <c r="I416" s="212"/>
      <c r="J416" s="177"/>
      <c r="K416" s="212"/>
      <c r="L416" s="177"/>
      <c r="M416" s="179">
        <v>810</v>
      </c>
      <c r="N416" s="179">
        <v>810</v>
      </c>
      <c r="O416" s="220">
        <v>810</v>
      </c>
      <c r="P416" s="220">
        <v>810</v>
      </c>
      <c r="Q416" s="176"/>
      <c r="R416" s="176"/>
      <c r="S416" s="454">
        <v>810</v>
      </c>
      <c r="T416" s="454">
        <v>810</v>
      </c>
      <c r="U416" s="177">
        <f>V416</f>
        <v>810</v>
      </c>
      <c r="V416" s="177">
        <v>810</v>
      </c>
      <c r="W416" s="177"/>
      <c r="X416" s="177"/>
      <c r="Y416" s="177"/>
      <c r="Z416" s="177"/>
      <c r="AA416" s="177"/>
      <c r="AB416" s="177"/>
      <c r="AC416" s="177"/>
      <c r="AD416" s="177"/>
      <c r="AE416" s="177"/>
      <c r="AF416" s="177"/>
      <c r="AG416" s="234"/>
      <c r="AH416" s="173">
        <f t="shared" si="149"/>
        <v>0</v>
      </c>
    </row>
    <row r="417" spans="1:34" ht="49.5" hidden="1" x14ac:dyDescent="0.25">
      <c r="A417" s="221">
        <v>2</v>
      </c>
      <c r="B417" s="233" t="s">
        <v>1085</v>
      </c>
      <c r="C417" s="188" t="s">
        <v>1066</v>
      </c>
      <c r="D417" s="197"/>
      <c r="E417" s="181" t="s">
        <v>72</v>
      </c>
      <c r="F417" s="180" t="s">
        <v>1084</v>
      </c>
      <c r="G417" s="179">
        <v>20032</v>
      </c>
      <c r="H417" s="179">
        <v>20032</v>
      </c>
      <c r="I417" s="196">
        <v>7500</v>
      </c>
      <c r="J417" s="177">
        <f>I417</f>
        <v>7500</v>
      </c>
      <c r="K417" s="196">
        <v>7500</v>
      </c>
      <c r="L417" s="177">
        <f>K417</f>
        <v>7500</v>
      </c>
      <c r="M417" s="179">
        <v>9200</v>
      </c>
      <c r="N417" s="179">
        <v>9200</v>
      </c>
      <c r="O417" s="178">
        <f>P417</f>
        <v>9100</v>
      </c>
      <c r="P417" s="220">
        <v>9100</v>
      </c>
      <c r="Q417" s="176"/>
      <c r="R417" s="176"/>
      <c r="S417" s="456">
        <f>T417</f>
        <v>9100</v>
      </c>
      <c r="T417" s="454">
        <v>9100</v>
      </c>
      <c r="U417" s="177">
        <f>V417</f>
        <v>6100</v>
      </c>
      <c r="V417" s="177">
        <v>6100</v>
      </c>
      <c r="W417" s="177">
        <f>X417</f>
        <v>3000</v>
      </c>
      <c r="X417" s="177">
        <v>3000</v>
      </c>
      <c r="Y417" s="177"/>
      <c r="Z417" s="177"/>
      <c r="AA417" s="177"/>
      <c r="AB417" s="177"/>
      <c r="AC417" s="177"/>
      <c r="AD417" s="177"/>
      <c r="AE417" s="177"/>
      <c r="AF417" s="177"/>
      <c r="AG417" s="234"/>
      <c r="AH417" s="173">
        <f t="shared" si="149"/>
        <v>0</v>
      </c>
    </row>
    <row r="418" spans="1:34" ht="49.5" hidden="1" x14ac:dyDescent="0.25">
      <c r="A418" s="221">
        <v>3</v>
      </c>
      <c r="B418" s="211" t="s">
        <v>1083</v>
      </c>
      <c r="C418" s="188" t="s">
        <v>1082</v>
      </c>
      <c r="D418" s="197"/>
      <c r="E418" s="181" t="s">
        <v>199</v>
      </c>
      <c r="F418" s="180" t="s">
        <v>1081</v>
      </c>
      <c r="G418" s="179">
        <v>31137</v>
      </c>
      <c r="H418" s="179">
        <v>31137</v>
      </c>
      <c r="I418" s="196">
        <f>10000+1000</f>
        <v>11000</v>
      </c>
      <c r="J418" s="177">
        <f>I418</f>
        <v>11000</v>
      </c>
      <c r="K418" s="196">
        <f>10000+1000</f>
        <v>11000</v>
      </c>
      <c r="L418" s="177">
        <f>K418</f>
        <v>11000</v>
      </c>
      <c r="M418" s="179">
        <v>7000</v>
      </c>
      <c r="N418" s="179">
        <v>7000</v>
      </c>
      <c r="O418" s="178">
        <v>7000</v>
      </c>
      <c r="P418" s="220">
        <v>7000</v>
      </c>
      <c r="Q418" s="176"/>
      <c r="R418" s="176"/>
      <c r="S418" s="456">
        <v>7000</v>
      </c>
      <c r="T418" s="454">
        <v>7000</v>
      </c>
      <c r="U418" s="177">
        <f>V418</f>
        <v>7000</v>
      </c>
      <c r="V418" s="177">
        <v>7000</v>
      </c>
      <c r="W418" s="177">
        <f>X418</f>
        <v>230</v>
      </c>
      <c r="X418" s="177">
        <v>230</v>
      </c>
      <c r="Y418" s="177"/>
      <c r="Z418" s="177"/>
      <c r="AA418" s="177"/>
      <c r="AB418" s="177"/>
      <c r="AC418" s="177"/>
      <c r="AD418" s="177"/>
      <c r="AE418" s="177"/>
      <c r="AF418" s="177"/>
      <c r="AG418" s="198"/>
      <c r="AH418" s="173">
        <f t="shared" si="149"/>
        <v>0</v>
      </c>
    </row>
    <row r="419" spans="1:34" ht="34.5" x14ac:dyDescent="0.25">
      <c r="A419" s="528" t="s">
        <v>85</v>
      </c>
      <c r="B419" s="529" t="s">
        <v>86</v>
      </c>
      <c r="C419" s="530"/>
      <c r="D419" s="530"/>
      <c r="E419" s="530"/>
      <c r="F419" s="530"/>
      <c r="G419" s="303">
        <f t="shared" ref="G419:AF419" si="152">G420+G428</f>
        <v>29960</v>
      </c>
      <c r="H419" s="303">
        <f t="shared" si="152"/>
        <v>29960</v>
      </c>
      <c r="I419" s="303">
        <f t="shared" si="152"/>
        <v>0</v>
      </c>
      <c r="J419" s="303">
        <f t="shared" si="152"/>
        <v>0</v>
      </c>
      <c r="K419" s="303">
        <f t="shared" si="152"/>
        <v>0</v>
      </c>
      <c r="L419" s="303">
        <f t="shared" si="152"/>
        <v>0</v>
      </c>
      <c r="M419" s="303">
        <f t="shared" si="152"/>
        <v>13500</v>
      </c>
      <c r="N419" s="303">
        <f t="shared" si="152"/>
        <v>13500</v>
      </c>
      <c r="O419" s="303">
        <f t="shared" si="152"/>
        <v>20170</v>
      </c>
      <c r="P419" s="303">
        <f t="shared" si="152"/>
        <v>20170</v>
      </c>
      <c r="Q419" s="303">
        <f t="shared" si="152"/>
        <v>3615</v>
      </c>
      <c r="R419" s="303">
        <f t="shared" si="152"/>
        <v>3615</v>
      </c>
      <c r="S419" s="531">
        <f t="shared" si="152"/>
        <v>23620</v>
      </c>
      <c r="T419" s="531">
        <f t="shared" si="152"/>
        <v>23620</v>
      </c>
      <c r="U419" s="532">
        <f t="shared" si="152"/>
        <v>0</v>
      </c>
      <c r="V419" s="532">
        <f t="shared" si="152"/>
        <v>0</v>
      </c>
      <c r="W419" s="532">
        <f t="shared" si="152"/>
        <v>6470</v>
      </c>
      <c r="X419" s="532">
        <f t="shared" si="152"/>
        <v>6470</v>
      </c>
      <c r="Y419" s="190">
        <f t="shared" si="152"/>
        <v>0</v>
      </c>
      <c r="Z419" s="190">
        <f t="shared" si="152"/>
        <v>0</v>
      </c>
      <c r="AA419" s="190">
        <f t="shared" si="152"/>
        <v>0</v>
      </c>
      <c r="AB419" s="190">
        <f t="shared" si="152"/>
        <v>0</v>
      </c>
      <c r="AC419" s="190">
        <f t="shared" si="152"/>
        <v>0</v>
      </c>
      <c r="AD419" s="190">
        <f t="shared" si="152"/>
        <v>0</v>
      </c>
      <c r="AE419" s="190">
        <f t="shared" si="152"/>
        <v>0</v>
      </c>
      <c r="AF419" s="190">
        <f t="shared" si="152"/>
        <v>0</v>
      </c>
      <c r="AG419" s="533"/>
      <c r="AH419" s="173">
        <f t="shared" si="149"/>
        <v>1</v>
      </c>
    </row>
    <row r="420" spans="1:34" ht="51.75" x14ac:dyDescent="0.25">
      <c r="A420" s="645" t="s">
        <v>87</v>
      </c>
      <c r="B420" s="646" t="s">
        <v>88</v>
      </c>
      <c r="C420" s="647"/>
      <c r="D420" s="647"/>
      <c r="E420" s="647"/>
      <c r="F420" s="647"/>
      <c r="G420" s="648">
        <f t="shared" ref="G420:H420" si="153">G425+G427</f>
        <v>17585</v>
      </c>
      <c r="H420" s="648">
        <f t="shared" si="153"/>
        <v>17585</v>
      </c>
      <c r="I420" s="648"/>
      <c r="J420" s="648"/>
      <c r="K420" s="648"/>
      <c r="L420" s="648"/>
      <c r="M420" s="648">
        <f>M425+M427</f>
        <v>13500</v>
      </c>
      <c r="N420" s="648">
        <f t="shared" ref="N420:X420" si="154">N425+N427</f>
        <v>13500</v>
      </c>
      <c r="O420" s="648">
        <f t="shared" si="154"/>
        <v>15970</v>
      </c>
      <c r="P420" s="648">
        <f t="shared" si="154"/>
        <v>15970</v>
      </c>
      <c r="Q420" s="648">
        <f t="shared" si="154"/>
        <v>0</v>
      </c>
      <c r="R420" s="648">
        <f>R424+R425+R427+R426</f>
        <v>2285</v>
      </c>
      <c r="S420" s="648">
        <f t="shared" si="154"/>
        <v>15805</v>
      </c>
      <c r="T420" s="648">
        <f t="shared" si="154"/>
        <v>15805</v>
      </c>
      <c r="U420" s="648">
        <f t="shared" si="154"/>
        <v>0</v>
      </c>
      <c r="V420" s="648">
        <f t="shared" si="154"/>
        <v>0</v>
      </c>
      <c r="W420" s="648">
        <f t="shared" si="154"/>
        <v>6470</v>
      </c>
      <c r="X420" s="648">
        <f t="shared" si="154"/>
        <v>6470</v>
      </c>
      <c r="Y420" s="190">
        <f t="shared" ref="Y420:AF420" si="155">SUM(Y421:Y430)</f>
        <v>0</v>
      </c>
      <c r="Z420" s="190">
        <f t="shared" si="155"/>
        <v>0</v>
      </c>
      <c r="AA420" s="190">
        <f t="shared" si="155"/>
        <v>0</v>
      </c>
      <c r="AB420" s="190">
        <f t="shared" si="155"/>
        <v>0</v>
      </c>
      <c r="AC420" s="190">
        <f t="shared" si="155"/>
        <v>0</v>
      </c>
      <c r="AD420" s="190">
        <f t="shared" si="155"/>
        <v>0</v>
      </c>
      <c r="AE420" s="190">
        <f t="shared" si="155"/>
        <v>0</v>
      </c>
      <c r="AF420" s="190">
        <f t="shared" si="155"/>
        <v>0</v>
      </c>
      <c r="AG420" s="649"/>
      <c r="AH420" s="173">
        <f t="shared" si="149"/>
        <v>1</v>
      </c>
    </row>
    <row r="421" spans="1:34" ht="66" hidden="1" x14ac:dyDescent="0.25">
      <c r="A421" s="597">
        <v>4</v>
      </c>
      <c r="B421" s="598" t="s">
        <v>1080</v>
      </c>
      <c r="C421" s="599" t="s">
        <v>1079</v>
      </c>
      <c r="D421" s="600" t="s">
        <v>1078</v>
      </c>
      <c r="E421" s="601" t="s">
        <v>1073</v>
      </c>
      <c r="F421" s="602" t="s">
        <v>1077</v>
      </c>
      <c r="G421" s="603">
        <v>12899</v>
      </c>
      <c r="H421" s="603">
        <v>12899</v>
      </c>
      <c r="I421" s="604"/>
      <c r="J421" s="574"/>
      <c r="K421" s="604"/>
      <c r="L421" s="574"/>
      <c r="M421" s="603">
        <v>11500</v>
      </c>
      <c r="N421" s="603">
        <v>11500</v>
      </c>
      <c r="O421" s="605">
        <f>P421</f>
        <v>11230</v>
      </c>
      <c r="P421" s="606">
        <v>11230</v>
      </c>
      <c r="Q421" s="445"/>
      <c r="R421" s="445"/>
      <c r="S421" s="607">
        <f>T421</f>
        <v>11230</v>
      </c>
      <c r="T421" s="608">
        <v>11230</v>
      </c>
      <c r="U421" s="574">
        <f>V421</f>
        <v>11000</v>
      </c>
      <c r="V421" s="574">
        <v>11000</v>
      </c>
      <c r="W421" s="574"/>
      <c r="X421" s="574"/>
      <c r="Y421" s="177"/>
      <c r="Z421" s="177"/>
      <c r="AA421" s="177"/>
      <c r="AB421" s="177"/>
      <c r="AC421" s="177"/>
      <c r="AD421" s="177"/>
      <c r="AE421" s="177"/>
      <c r="AF421" s="177"/>
      <c r="AG421" s="580"/>
      <c r="AH421" s="173">
        <f t="shared" si="149"/>
        <v>0</v>
      </c>
    </row>
    <row r="422" spans="1:34" ht="49.5" hidden="1" x14ac:dyDescent="0.25">
      <c r="A422" s="221">
        <v>5</v>
      </c>
      <c r="B422" s="183" t="s">
        <v>1076</v>
      </c>
      <c r="C422" s="188" t="s">
        <v>1075</v>
      </c>
      <c r="D422" s="180" t="s">
        <v>1074</v>
      </c>
      <c r="E422" s="187" t="s">
        <v>1073</v>
      </c>
      <c r="F422" s="180" t="s">
        <v>1072</v>
      </c>
      <c r="G422" s="179">
        <v>5784</v>
      </c>
      <c r="H422" s="179">
        <v>5784</v>
      </c>
      <c r="I422" s="212"/>
      <c r="J422" s="177"/>
      <c r="K422" s="212"/>
      <c r="L422" s="177"/>
      <c r="M422" s="179">
        <v>5060</v>
      </c>
      <c r="N422" s="179">
        <v>5060</v>
      </c>
      <c r="O422" s="178">
        <v>5060</v>
      </c>
      <c r="P422" s="220">
        <v>5060</v>
      </c>
      <c r="Q422" s="176"/>
      <c r="R422" s="176"/>
      <c r="S422" s="456">
        <v>5060</v>
      </c>
      <c r="T422" s="454">
        <v>5060</v>
      </c>
      <c r="U422" s="177">
        <f>V422</f>
        <v>5062</v>
      </c>
      <c r="V422" s="177">
        <v>5062</v>
      </c>
      <c r="W422" s="177"/>
      <c r="X422" s="177"/>
      <c r="Y422" s="177"/>
      <c r="Z422" s="177"/>
      <c r="AA422" s="177"/>
      <c r="AB422" s="177"/>
      <c r="AC422" s="177"/>
      <c r="AD422" s="177"/>
      <c r="AE422" s="177"/>
      <c r="AF422" s="177"/>
      <c r="AG422" s="198"/>
      <c r="AH422" s="173">
        <f t="shared" si="149"/>
        <v>0</v>
      </c>
    </row>
    <row r="423" spans="1:34" ht="49.5" hidden="1" x14ac:dyDescent="0.25">
      <c r="A423" s="221">
        <v>6</v>
      </c>
      <c r="B423" s="183" t="s">
        <v>1071</v>
      </c>
      <c r="C423" s="180" t="s">
        <v>1070</v>
      </c>
      <c r="D423" s="180" t="s">
        <v>1069</v>
      </c>
      <c r="E423" s="181" t="s">
        <v>97</v>
      </c>
      <c r="F423" s="180" t="s">
        <v>1068</v>
      </c>
      <c r="G423" s="196">
        <v>12349</v>
      </c>
      <c r="H423" s="196">
        <v>12349</v>
      </c>
      <c r="I423" s="177"/>
      <c r="J423" s="177"/>
      <c r="K423" s="177"/>
      <c r="L423" s="177"/>
      <c r="M423" s="179">
        <v>10740</v>
      </c>
      <c r="N423" s="179">
        <v>10740</v>
      </c>
      <c r="O423" s="178">
        <f>P423</f>
        <v>10600</v>
      </c>
      <c r="P423" s="220">
        <v>10600</v>
      </c>
      <c r="Q423" s="176"/>
      <c r="R423" s="176"/>
      <c r="S423" s="456">
        <f>T423</f>
        <v>10600</v>
      </c>
      <c r="T423" s="454">
        <v>10600</v>
      </c>
      <c r="U423" s="177">
        <f>V423</f>
        <v>10300</v>
      </c>
      <c r="V423" s="177">
        <v>10300</v>
      </c>
      <c r="W423" s="177">
        <f>X423</f>
        <v>300</v>
      </c>
      <c r="X423" s="177">
        <v>300</v>
      </c>
      <c r="Y423" s="177"/>
      <c r="Z423" s="177"/>
      <c r="AA423" s="177"/>
      <c r="AB423" s="177"/>
      <c r="AC423" s="177"/>
      <c r="AD423" s="177"/>
      <c r="AE423" s="177"/>
      <c r="AF423" s="177"/>
      <c r="AG423" s="198"/>
      <c r="AH423" s="173">
        <f t="shared" si="149"/>
        <v>0</v>
      </c>
    </row>
    <row r="424" spans="1:34" ht="66" x14ac:dyDescent="0.25">
      <c r="A424" s="526">
        <v>7</v>
      </c>
      <c r="B424" s="509" t="s">
        <v>1067</v>
      </c>
      <c r="C424" s="507" t="s">
        <v>1066</v>
      </c>
      <c r="D424" s="507" t="s">
        <v>1065</v>
      </c>
      <c r="E424" s="507" t="s">
        <v>109</v>
      </c>
      <c r="F424" s="517" t="s">
        <v>1064</v>
      </c>
      <c r="G424" s="518">
        <f>H424</f>
        <v>29974</v>
      </c>
      <c r="H424" s="519">
        <v>29974</v>
      </c>
      <c r="I424" s="277"/>
      <c r="J424" s="277"/>
      <c r="K424" s="277"/>
      <c r="L424" s="277"/>
      <c r="M424" s="306">
        <f>N424</f>
        <v>12200</v>
      </c>
      <c r="N424" s="306">
        <v>12200</v>
      </c>
      <c r="O424" s="304">
        <v>12200</v>
      </c>
      <c r="P424" s="534">
        <v>12200</v>
      </c>
      <c r="Q424" s="446"/>
      <c r="R424" s="446">
        <v>2000</v>
      </c>
      <c r="S424" s="461">
        <v>12200</v>
      </c>
      <c r="T424" s="535">
        <f>P424-R424</f>
        <v>10200</v>
      </c>
      <c r="U424" s="277"/>
      <c r="V424" s="277"/>
      <c r="W424" s="277">
        <f>X424</f>
        <v>6000</v>
      </c>
      <c r="X424" s="277">
        <v>6000</v>
      </c>
      <c r="Y424" s="177"/>
      <c r="Z424" s="177"/>
      <c r="AA424" s="177"/>
      <c r="AB424" s="177"/>
      <c r="AC424" s="177"/>
      <c r="AD424" s="177"/>
      <c r="AE424" s="177"/>
      <c r="AF424" s="177"/>
      <c r="AG424" s="520" t="s">
        <v>1063</v>
      </c>
      <c r="AH424" s="173">
        <f t="shared" si="149"/>
        <v>1</v>
      </c>
    </row>
    <row r="425" spans="1:34" ht="66" x14ac:dyDescent="0.25">
      <c r="A425" s="650">
        <v>8</v>
      </c>
      <c r="B425" s="651" t="s">
        <v>1062</v>
      </c>
      <c r="C425" s="652"/>
      <c r="D425" s="653"/>
      <c r="E425" s="653" t="s">
        <v>248</v>
      </c>
      <c r="F425" s="654" t="s">
        <v>1061</v>
      </c>
      <c r="G425" s="655">
        <f>H425</f>
        <v>14698</v>
      </c>
      <c r="H425" s="655">
        <v>14698</v>
      </c>
      <c r="I425" s="632"/>
      <c r="J425" s="632"/>
      <c r="K425" s="632"/>
      <c r="L425" s="632"/>
      <c r="M425" s="656">
        <v>13500</v>
      </c>
      <c r="N425" s="656">
        <v>13500</v>
      </c>
      <c r="O425" s="657">
        <f>P425</f>
        <v>13470</v>
      </c>
      <c r="P425" s="657">
        <v>13470</v>
      </c>
      <c r="Q425" s="636"/>
      <c r="R425" s="636">
        <v>45</v>
      </c>
      <c r="S425" s="688">
        <f>T425</f>
        <v>13425</v>
      </c>
      <c r="T425" s="688">
        <f>P425-R425</f>
        <v>13425</v>
      </c>
      <c r="U425" s="632"/>
      <c r="V425" s="632"/>
      <c r="W425" s="632">
        <f>X425</f>
        <v>6470</v>
      </c>
      <c r="X425" s="632">
        <v>6470</v>
      </c>
      <c r="Y425" s="177"/>
      <c r="Z425" s="177"/>
      <c r="AA425" s="177"/>
      <c r="AB425" s="177"/>
      <c r="AC425" s="177"/>
      <c r="AD425" s="177"/>
      <c r="AE425" s="177"/>
      <c r="AF425" s="177"/>
      <c r="AG425" s="637" t="s">
        <v>404</v>
      </c>
      <c r="AH425" s="173">
        <f t="shared" si="149"/>
        <v>1</v>
      </c>
    </row>
    <row r="426" spans="1:34" ht="49.5" x14ac:dyDescent="0.25">
      <c r="A426" s="609">
        <v>9</v>
      </c>
      <c r="B426" s="610" t="s">
        <v>1060</v>
      </c>
      <c r="C426" s="611"/>
      <c r="D426" s="612"/>
      <c r="E426" s="612">
        <v>2018</v>
      </c>
      <c r="F426" s="555" t="s">
        <v>1059</v>
      </c>
      <c r="G426" s="613">
        <f>H426</f>
        <v>2881</v>
      </c>
      <c r="H426" s="613">
        <v>2881</v>
      </c>
      <c r="I426" s="564"/>
      <c r="J426" s="564"/>
      <c r="K426" s="564"/>
      <c r="L426" s="564"/>
      <c r="M426" s="614"/>
      <c r="N426" s="614"/>
      <c r="O426" s="615">
        <f>P426</f>
        <v>2500</v>
      </c>
      <c r="P426" s="615">
        <v>2500</v>
      </c>
      <c r="Q426" s="560"/>
      <c r="R426" s="560">
        <v>120</v>
      </c>
      <c r="S426" s="616">
        <f>T426</f>
        <v>2380</v>
      </c>
      <c r="T426" s="616">
        <f>P426-R426</f>
        <v>2380</v>
      </c>
      <c r="U426" s="564"/>
      <c r="V426" s="564"/>
      <c r="W426" s="564"/>
      <c r="X426" s="564"/>
      <c r="Y426" s="177"/>
      <c r="Z426" s="177"/>
      <c r="AA426" s="177"/>
      <c r="AB426" s="177"/>
      <c r="AC426" s="177"/>
      <c r="AD426" s="177"/>
      <c r="AE426" s="177"/>
      <c r="AF426" s="177"/>
      <c r="AG426" s="563" t="s">
        <v>84</v>
      </c>
      <c r="AH426" s="173">
        <f t="shared" si="149"/>
        <v>1</v>
      </c>
    </row>
    <row r="427" spans="1:34" ht="49.5" x14ac:dyDescent="0.25">
      <c r="A427" s="650">
        <v>10</v>
      </c>
      <c r="B427" s="651" t="s">
        <v>1058</v>
      </c>
      <c r="C427" s="652"/>
      <c r="D427" s="653"/>
      <c r="E427" s="653">
        <v>2018</v>
      </c>
      <c r="F427" s="654" t="s">
        <v>1057</v>
      </c>
      <c r="G427" s="655">
        <f>H427</f>
        <v>2887</v>
      </c>
      <c r="H427" s="655">
        <v>2887</v>
      </c>
      <c r="I427" s="632"/>
      <c r="J427" s="632"/>
      <c r="K427" s="632"/>
      <c r="L427" s="632"/>
      <c r="M427" s="849"/>
      <c r="N427" s="849"/>
      <c r="O427" s="657">
        <f>P427</f>
        <v>2500</v>
      </c>
      <c r="P427" s="657">
        <v>2500</v>
      </c>
      <c r="Q427" s="636"/>
      <c r="R427" s="636">
        <v>120</v>
      </c>
      <c r="S427" s="688">
        <f>T427</f>
        <v>2380</v>
      </c>
      <c r="T427" s="688">
        <f>P427-R427</f>
        <v>2380</v>
      </c>
      <c r="U427" s="632"/>
      <c r="V427" s="632"/>
      <c r="W427" s="632"/>
      <c r="X427" s="632"/>
      <c r="Y427" s="177"/>
      <c r="Z427" s="177"/>
      <c r="AA427" s="177"/>
      <c r="AB427" s="177"/>
      <c r="AC427" s="177"/>
      <c r="AD427" s="177"/>
      <c r="AE427" s="177"/>
      <c r="AF427" s="177"/>
      <c r="AG427" s="637" t="s">
        <v>404</v>
      </c>
      <c r="AH427" s="173">
        <f t="shared" si="149"/>
        <v>1</v>
      </c>
    </row>
    <row r="428" spans="1:34" ht="34.5" x14ac:dyDescent="0.25">
      <c r="A428" s="645" t="s">
        <v>47</v>
      </c>
      <c r="B428" s="646" t="s">
        <v>1011</v>
      </c>
      <c r="C428" s="652"/>
      <c r="D428" s="684"/>
      <c r="E428" s="653"/>
      <c r="F428" s="653"/>
      <c r="G428" s="685">
        <f t="shared" ref="G428:H428" si="156">G430</f>
        <v>12375</v>
      </c>
      <c r="H428" s="685">
        <f t="shared" si="156"/>
        <v>12375</v>
      </c>
      <c r="I428" s="685">
        <f>I430+I429</f>
        <v>0</v>
      </c>
      <c r="J428" s="685">
        <f>J430+J429</f>
        <v>0</v>
      </c>
      <c r="K428" s="685">
        <f>K430+K429</f>
        <v>0</v>
      </c>
      <c r="L428" s="685">
        <f>L430+L429</f>
        <v>0</v>
      </c>
      <c r="M428" s="879">
        <f>M430</f>
        <v>0</v>
      </c>
      <c r="N428" s="879">
        <f t="shared" ref="N428:T428" si="157">N430</f>
        <v>0</v>
      </c>
      <c r="O428" s="685">
        <f t="shared" si="157"/>
        <v>4200</v>
      </c>
      <c r="P428" s="685">
        <f t="shared" si="157"/>
        <v>4200</v>
      </c>
      <c r="Q428" s="685">
        <f>Q429+Q430</f>
        <v>3615</v>
      </c>
      <c r="R428" s="685">
        <f>R429+R430</f>
        <v>1330</v>
      </c>
      <c r="S428" s="689">
        <f t="shared" si="157"/>
        <v>7815</v>
      </c>
      <c r="T428" s="689">
        <f t="shared" si="157"/>
        <v>7815</v>
      </c>
      <c r="U428" s="686"/>
      <c r="V428" s="686"/>
      <c r="W428" s="686"/>
      <c r="X428" s="686"/>
      <c r="Y428" s="228"/>
      <c r="Z428" s="228"/>
      <c r="AA428" s="228"/>
      <c r="AB428" s="228"/>
      <c r="AC428" s="228"/>
      <c r="AD428" s="228"/>
      <c r="AE428" s="228"/>
      <c r="AF428" s="228"/>
      <c r="AG428" s="638"/>
      <c r="AH428" s="173">
        <f t="shared" si="149"/>
        <v>1</v>
      </c>
    </row>
    <row r="429" spans="1:34" ht="66" x14ac:dyDescent="0.25">
      <c r="A429" s="609">
        <v>11</v>
      </c>
      <c r="B429" s="610" t="s">
        <v>1056</v>
      </c>
      <c r="C429" s="611"/>
      <c r="D429" s="612" t="s">
        <v>1055</v>
      </c>
      <c r="E429" s="612" t="s">
        <v>141</v>
      </c>
      <c r="F429" s="612"/>
      <c r="G429" s="613">
        <f>H429</f>
        <v>49892</v>
      </c>
      <c r="H429" s="613">
        <v>49892</v>
      </c>
      <c r="I429" s="564"/>
      <c r="J429" s="564"/>
      <c r="K429" s="564"/>
      <c r="L429" s="564"/>
      <c r="M429" s="614">
        <f>N429</f>
        <v>9990</v>
      </c>
      <c r="N429" s="614">
        <f>22190-12200</f>
        <v>9990</v>
      </c>
      <c r="O429" s="615">
        <f>P429</f>
        <v>1330</v>
      </c>
      <c r="P429" s="615">
        <v>1330</v>
      </c>
      <c r="Q429" s="560"/>
      <c r="R429" s="560">
        <v>1330</v>
      </c>
      <c r="S429" s="616"/>
      <c r="T429" s="616"/>
      <c r="U429" s="564"/>
      <c r="V429" s="564"/>
      <c r="W429" s="564"/>
      <c r="X429" s="564"/>
      <c r="Y429" s="177"/>
      <c r="Z429" s="177"/>
      <c r="AA429" s="177"/>
      <c r="AB429" s="177"/>
      <c r="AC429" s="177"/>
      <c r="AD429" s="177"/>
      <c r="AE429" s="177"/>
      <c r="AF429" s="177"/>
      <c r="AG429" s="563"/>
      <c r="AH429" s="173">
        <f t="shared" si="149"/>
        <v>1</v>
      </c>
    </row>
    <row r="430" spans="1:34" ht="49.5" x14ac:dyDescent="0.25">
      <c r="A430" s="650">
        <v>12</v>
      </c>
      <c r="B430" s="651" t="s">
        <v>1054</v>
      </c>
      <c r="C430" s="652"/>
      <c r="D430" s="653"/>
      <c r="E430" s="653">
        <v>2018</v>
      </c>
      <c r="F430" s="654" t="s">
        <v>1053</v>
      </c>
      <c r="G430" s="655">
        <f>H430</f>
        <v>12375</v>
      </c>
      <c r="H430" s="655">
        <v>12375</v>
      </c>
      <c r="I430" s="632"/>
      <c r="J430" s="632"/>
      <c r="K430" s="632"/>
      <c r="L430" s="632"/>
      <c r="M430" s="656"/>
      <c r="N430" s="656"/>
      <c r="O430" s="657">
        <f>P430</f>
        <v>4200</v>
      </c>
      <c r="P430" s="657">
        <v>4200</v>
      </c>
      <c r="Q430" s="636">
        <v>3615</v>
      </c>
      <c r="R430" s="636"/>
      <c r="S430" s="688">
        <f>T430</f>
        <v>7815</v>
      </c>
      <c r="T430" s="688">
        <f>P430+Q430</f>
        <v>7815</v>
      </c>
      <c r="U430" s="632"/>
      <c r="V430" s="632"/>
      <c r="W430" s="632"/>
      <c r="X430" s="632"/>
      <c r="Y430" s="177"/>
      <c r="Z430" s="177"/>
      <c r="AA430" s="177"/>
      <c r="AB430" s="177"/>
      <c r="AC430" s="177"/>
      <c r="AD430" s="177"/>
      <c r="AE430" s="177"/>
      <c r="AF430" s="177"/>
      <c r="AG430" s="637" t="s">
        <v>1926</v>
      </c>
      <c r="AH430" s="173">
        <f t="shared" si="149"/>
        <v>1</v>
      </c>
    </row>
    <row r="431" spans="1:34" s="203" customFormat="1" ht="16.5" hidden="1" x14ac:dyDescent="0.25">
      <c r="A431" s="276" t="s">
        <v>582</v>
      </c>
      <c r="B431" s="275" t="s">
        <v>1052</v>
      </c>
      <c r="C431" s="274"/>
      <c r="D431" s="273"/>
      <c r="E431" s="273"/>
      <c r="F431" s="273"/>
      <c r="G431" s="617">
        <f t="shared" ref="G431:X431" si="158">G432+G439</f>
        <v>108990</v>
      </c>
      <c r="H431" s="617">
        <f t="shared" si="158"/>
        <v>108990</v>
      </c>
      <c r="I431" s="617">
        <f t="shared" si="158"/>
        <v>5700</v>
      </c>
      <c r="J431" s="617">
        <f t="shared" si="158"/>
        <v>5700</v>
      </c>
      <c r="K431" s="617">
        <f t="shared" si="158"/>
        <v>5700</v>
      </c>
      <c r="L431" s="617">
        <f t="shared" si="158"/>
        <v>5700</v>
      </c>
      <c r="M431" s="617">
        <f t="shared" si="158"/>
        <v>85000</v>
      </c>
      <c r="N431" s="617">
        <f t="shared" si="158"/>
        <v>85000</v>
      </c>
      <c r="O431" s="617">
        <f t="shared" si="158"/>
        <v>85000</v>
      </c>
      <c r="P431" s="617">
        <f t="shared" si="158"/>
        <v>85000</v>
      </c>
      <c r="Q431" s="617">
        <f t="shared" si="158"/>
        <v>0</v>
      </c>
      <c r="R431" s="617">
        <f t="shared" si="158"/>
        <v>0</v>
      </c>
      <c r="S431" s="618">
        <f t="shared" si="158"/>
        <v>85000</v>
      </c>
      <c r="T431" s="618">
        <f t="shared" si="158"/>
        <v>85000</v>
      </c>
      <c r="U431" s="619">
        <f t="shared" si="158"/>
        <v>11550</v>
      </c>
      <c r="V431" s="619">
        <f t="shared" si="158"/>
        <v>11550</v>
      </c>
      <c r="W431" s="619">
        <f t="shared" si="158"/>
        <v>16200</v>
      </c>
      <c r="X431" s="619">
        <f t="shared" si="158"/>
        <v>16200</v>
      </c>
      <c r="Y431" s="205">
        <v>85000</v>
      </c>
      <c r="Z431" s="205">
        <v>85000</v>
      </c>
      <c r="AA431" s="205">
        <v>85000</v>
      </c>
      <c r="AB431" s="205">
        <v>85000</v>
      </c>
      <c r="AC431" s="205">
        <v>85000</v>
      </c>
      <c r="AD431" s="205">
        <v>85000</v>
      </c>
      <c r="AE431" s="205">
        <v>85000</v>
      </c>
      <c r="AF431" s="205">
        <v>85000</v>
      </c>
      <c r="AG431" s="620"/>
      <c r="AH431" s="173">
        <f t="shared" si="149"/>
        <v>0</v>
      </c>
    </row>
    <row r="432" spans="1:34" ht="51.75" hidden="1" x14ac:dyDescent="0.25">
      <c r="A432" s="195" t="s">
        <v>45</v>
      </c>
      <c r="B432" s="193" t="s">
        <v>46</v>
      </c>
      <c r="C432" s="192"/>
      <c r="D432" s="192"/>
      <c r="E432" s="192"/>
      <c r="F432" s="192"/>
      <c r="G432" s="191">
        <f t="shared" ref="G432:X432" si="159">G433</f>
        <v>12297</v>
      </c>
      <c r="H432" s="191">
        <f t="shared" si="159"/>
        <v>12297</v>
      </c>
      <c r="I432" s="191">
        <f t="shared" si="159"/>
        <v>5700</v>
      </c>
      <c r="J432" s="191">
        <f t="shared" si="159"/>
        <v>5700</v>
      </c>
      <c r="K432" s="191">
        <f t="shared" si="159"/>
        <v>5700</v>
      </c>
      <c r="L432" s="191">
        <f t="shared" si="159"/>
        <v>5700</v>
      </c>
      <c r="M432" s="191">
        <f t="shared" si="159"/>
        <v>6720</v>
      </c>
      <c r="N432" s="191">
        <f t="shared" si="159"/>
        <v>6720</v>
      </c>
      <c r="O432" s="191">
        <f t="shared" si="159"/>
        <v>6720</v>
      </c>
      <c r="P432" s="191">
        <f t="shared" si="159"/>
        <v>6720</v>
      </c>
      <c r="Q432" s="191">
        <f t="shared" si="159"/>
        <v>0</v>
      </c>
      <c r="R432" s="191">
        <f t="shared" si="159"/>
        <v>0</v>
      </c>
      <c r="S432" s="474">
        <f t="shared" si="159"/>
        <v>6720</v>
      </c>
      <c r="T432" s="474">
        <f t="shared" si="159"/>
        <v>6720</v>
      </c>
      <c r="U432" s="190">
        <f t="shared" si="159"/>
        <v>6650</v>
      </c>
      <c r="V432" s="190">
        <f t="shared" si="159"/>
        <v>6650</v>
      </c>
      <c r="W432" s="190">
        <f t="shared" si="159"/>
        <v>0</v>
      </c>
      <c r="X432" s="190">
        <f t="shared" si="159"/>
        <v>0</v>
      </c>
      <c r="Y432" s="190">
        <v>6720</v>
      </c>
      <c r="Z432" s="190">
        <v>6720</v>
      </c>
      <c r="AA432" s="190">
        <v>6720</v>
      </c>
      <c r="AB432" s="190">
        <v>6720</v>
      </c>
      <c r="AC432" s="190">
        <v>6720</v>
      </c>
      <c r="AD432" s="190">
        <v>6720</v>
      </c>
      <c r="AE432" s="190">
        <v>6720</v>
      </c>
      <c r="AF432" s="190">
        <v>6720</v>
      </c>
      <c r="AG432" s="198"/>
      <c r="AH432" s="173">
        <f t="shared" si="149"/>
        <v>0</v>
      </c>
    </row>
    <row r="433" spans="1:34" ht="34.5" hidden="1" x14ac:dyDescent="0.25">
      <c r="A433" s="194" t="s">
        <v>47</v>
      </c>
      <c r="B433" s="193" t="s">
        <v>48</v>
      </c>
      <c r="C433" s="192"/>
      <c r="D433" s="192"/>
      <c r="E433" s="192"/>
      <c r="F433" s="192"/>
      <c r="G433" s="191">
        <f t="shared" ref="G433:X433" si="160">SUM(G436:G438)</f>
        <v>12297</v>
      </c>
      <c r="H433" s="191">
        <f t="shared" si="160"/>
        <v>12297</v>
      </c>
      <c r="I433" s="191">
        <f t="shared" si="160"/>
        <v>5700</v>
      </c>
      <c r="J433" s="191">
        <f t="shared" si="160"/>
        <v>5700</v>
      </c>
      <c r="K433" s="191">
        <f t="shared" si="160"/>
        <v>5700</v>
      </c>
      <c r="L433" s="191">
        <f t="shared" si="160"/>
        <v>5700</v>
      </c>
      <c r="M433" s="191">
        <f t="shared" si="160"/>
        <v>6720</v>
      </c>
      <c r="N433" s="191">
        <f t="shared" si="160"/>
        <v>6720</v>
      </c>
      <c r="O433" s="191">
        <f t="shared" si="160"/>
        <v>6720</v>
      </c>
      <c r="P433" s="191">
        <f t="shared" si="160"/>
        <v>6720</v>
      </c>
      <c r="Q433" s="191">
        <f t="shared" si="160"/>
        <v>0</v>
      </c>
      <c r="R433" s="191">
        <f t="shared" si="160"/>
        <v>0</v>
      </c>
      <c r="S433" s="474">
        <f t="shared" si="160"/>
        <v>6720</v>
      </c>
      <c r="T433" s="474">
        <f t="shared" si="160"/>
        <v>6720</v>
      </c>
      <c r="U433" s="190">
        <f t="shared" si="160"/>
        <v>6650</v>
      </c>
      <c r="V433" s="190">
        <f t="shared" si="160"/>
        <v>6650</v>
      </c>
      <c r="W433" s="190">
        <f t="shared" si="160"/>
        <v>0</v>
      </c>
      <c r="X433" s="190">
        <f t="shared" si="160"/>
        <v>0</v>
      </c>
      <c r="Y433" s="190">
        <v>6720</v>
      </c>
      <c r="Z433" s="190">
        <v>6720</v>
      </c>
      <c r="AA433" s="190">
        <v>6720</v>
      </c>
      <c r="AB433" s="190">
        <v>6720</v>
      </c>
      <c r="AC433" s="190">
        <v>6720</v>
      </c>
      <c r="AD433" s="190">
        <v>6720</v>
      </c>
      <c r="AE433" s="190">
        <v>6720</v>
      </c>
      <c r="AF433" s="190">
        <v>6720</v>
      </c>
      <c r="AG433" s="198"/>
      <c r="AH433" s="173">
        <f t="shared" si="149"/>
        <v>0</v>
      </c>
    </row>
    <row r="434" spans="1:34" ht="17.25" hidden="1" x14ac:dyDescent="0.25">
      <c r="A434" s="194"/>
      <c r="B434" s="193" t="s">
        <v>49</v>
      </c>
      <c r="C434" s="202"/>
      <c r="D434" s="202"/>
      <c r="E434" s="202"/>
      <c r="F434" s="202"/>
      <c r="G434" s="200"/>
      <c r="H434" s="200"/>
      <c r="I434" s="200"/>
      <c r="J434" s="200"/>
      <c r="K434" s="200"/>
      <c r="L434" s="200"/>
      <c r="M434" s="200"/>
      <c r="N434" s="200"/>
      <c r="O434" s="201"/>
      <c r="P434" s="201"/>
      <c r="Q434" s="176"/>
      <c r="R434" s="176"/>
      <c r="S434" s="475"/>
      <c r="T434" s="475"/>
      <c r="U434" s="200"/>
      <c r="V434" s="200"/>
      <c r="W434" s="200"/>
      <c r="X434" s="200"/>
      <c r="Y434" s="200"/>
      <c r="Z434" s="200"/>
      <c r="AA434" s="200"/>
      <c r="AB434" s="200"/>
      <c r="AC434" s="200"/>
      <c r="AD434" s="200"/>
      <c r="AE434" s="200"/>
      <c r="AF434" s="200"/>
      <c r="AG434" s="198"/>
      <c r="AH434" s="173">
        <f t="shared" si="149"/>
        <v>0</v>
      </c>
    </row>
    <row r="435" spans="1:34" ht="51.75" hidden="1" x14ac:dyDescent="0.25">
      <c r="A435" s="194"/>
      <c r="B435" s="199" t="s">
        <v>50</v>
      </c>
      <c r="C435" s="192"/>
      <c r="D435" s="192"/>
      <c r="E435" s="192"/>
      <c r="F435" s="192"/>
      <c r="G435" s="191"/>
      <c r="H435" s="191"/>
      <c r="I435" s="191"/>
      <c r="J435" s="191"/>
      <c r="K435" s="191"/>
      <c r="L435" s="191"/>
      <c r="M435" s="191"/>
      <c r="N435" s="191"/>
      <c r="O435" s="190"/>
      <c r="P435" s="190"/>
      <c r="Q435" s="176"/>
      <c r="R435" s="176"/>
      <c r="S435" s="474"/>
      <c r="T435" s="474"/>
      <c r="U435" s="191"/>
      <c r="V435" s="191"/>
      <c r="W435" s="191"/>
      <c r="X435" s="191"/>
      <c r="Y435" s="191"/>
      <c r="Z435" s="191"/>
      <c r="AA435" s="191"/>
      <c r="AB435" s="191"/>
      <c r="AC435" s="191"/>
      <c r="AD435" s="191"/>
      <c r="AE435" s="191"/>
      <c r="AF435" s="191"/>
      <c r="AG435" s="198"/>
      <c r="AH435" s="173">
        <f t="shared" si="149"/>
        <v>0</v>
      </c>
    </row>
    <row r="436" spans="1:34" ht="33" hidden="1" x14ac:dyDescent="0.25">
      <c r="A436" s="221">
        <v>1</v>
      </c>
      <c r="B436" s="183" t="s">
        <v>1008</v>
      </c>
      <c r="C436" s="188"/>
      <c r="D436" s="197"/>
      <c r="E436" s="197"/>
      <c r="F436" s="197"/>
      <c r="G436" s="179"/>
      <c r="H436" s="224"/>
      <c r="I436" s="177"/>
      <c r="J436" s="177"/>
      <c r="K436" s="177"/>
      <c r="L436" s="177"/>
      <c r="M436" s="179">
        <v>1650</v>
      </c>
      <c r="N436" s="179">
        <v>1650</v>
      </c>
      <c r="O436" s="220">
        <v>1650</v>
      </c>
      <c r="P436" s="220">
        <v>1650</v>
      </c>
      <c r="Q436" s="176"/>
      <c r="R436" s="176"/>
      <c r="S436" s="454">
        <v>1650</v>
      </c>
      <c r="T436" s="454">
        <v>1650</v>
      </c>
      <c r="U436" s="177">
        <f>V436</f>
        <v>1650</v>
      </c>
      <c r="V436" s="177">
        <v>1650</v>
      </c>
      <c r="W436" s="177"/>
      <c r="X436" s="177"/>
      <c r="Y436" s="177"/>
      <c r="Z436" s="177"/>
      <c r="AA436" s="177"/>
      <c r="AB436" s="177"/>
      <c r="AC436" s="177"/>
      <c r="AD436" s="177"/>
      <c r="AE436" s="177"/>
      <c r="AF436" s="177"/>
      <c r="AG436" s="198"/>
      <c r="AH436" s="173">
        <f t="shared" si="149"/>
        <v>0</v>
      </c>
    </row>
    <row r="437" spans="1:34" ht="49.5" hidden="1" x14ac:dyDescent="0.25">
      <c r="A437" s="221">
        <v>2</v>
      </c>
      <c r="B437" s="183" t="s">
        <v>1051</v>
      </c>
      <c r="C437" s="180" t="s">
        <v>1040</v>
      </c>
      <c r="D437" s="181"/>
      <c r="E437" s="181" t="s">
        <v>199</v>
      </c>
      <c r="F437" s="180" t="s">
        <v>1050</v>
      </c>
      <c r="G437" s="179">
        <v>2986</v>
      </c>
      <c r="H437" s="179">
        <v>2986</v>
      </c>
      <c r="I437" s="177">
        <v>1500</v>
      </c>
      <c r="J437" s="177">
        <f>I437</f>
        <v>1500</v>
      </c>
      <c r="K437" s="177">
        <v>1500</v>
      </c>
      <c r="L437" s="177">
        <f>K437</f>
        <v>1500</v>
      </c>
      <c r="M437" s="179">
        <v>570</v>
      </c>
      <c r="N437" s="179">
        <v>570</v>
      </c>
      <c r="O437" s="220">
        <v>570</v>
      </c>
      <c r="P437" s="220">
        <v>570</v>
      </c>
      <c r="Q437" s="176"/>
      <c r="R437" s="176"/>
      <c r="S437" s="454">
        <v>570</v>
      </c>
      <c r="T437" s="454">
        <v>570</v>
      </c>
      <c r="U437" s="177">
        <f>V437</f>
        <v>500</v>
      </c>
      <c r="V437" s="177">
        <v>500</v>
      </c>
      <c r="W437" s="177"/>
      <c r="X437" s="177"/>
      <c r="Y437" s="177"/>
      <c r="Z437" s="177"/>
      <c r="AA437" s="177"/>
      <c r="AB437" s="177"/>
      <c r="AC437" s="177"/>
      <c r="AD437" s="177"/>
      <c r="AE437" s="177"/>
      <c r="AF437" s="177"/>
      <c r="AG437" s="198"/>
      <c r="AH437" s="173">
        <f t="shared" si="149"/>
        <v>0</v>
      </c>
    </row>
    <row r="438" spans="1:34" ht="49.5" hidden="1" x14ac:dyDescent="0.25">
      <c r="A438" s="221">
        <v>3</v>
      </c>
      <c r="B438" s="183" t="s">
        <v>1049</v>
      </c>
      <c r="C438" s="180" t="s">
        <v>1048</v>
      </c>
      <c r="D438" s="181" t="s">
        <v>1047</v>
      </c>
      <c r="E438" s="181" t="s">
        <v>738</v>
      </c>
      <c r="F438" s="180" t="s">
        <v>1046</v>
      </c>
      <c r="G438" s="213">
        <v>9311</v>
      </c>
      <c r="H438" s="213">
        <v>9311</v>
      </c>
      <c r="I438" s="177">
        <v>4200</v>
      </c>
      <c r="J438" s="177">
        <v>4200</v>
      </c>
      <c r="K438" s="177">
        <v>4200</v>
      </c>
      <c r="L438" s="177">
        <v>4200</v>
      </c>
      <c r="M438" s="179">
        <f>N438</f>
        <v>4500</v>
      </c>
      <c r="N438" s="179">
        <v>4500</v>
      </c>
      <c r="O438" s="220">
        <v>4500</v>
      </c>
      <c r="P438" s="220">
        <v>4500</v>
      </c>
      <c r="Q438" s="176"/>
      <c r="R438" s="176"/>
      <c r="S438" s="454">
        <v>4500</v>
      </c>
      <c r="T438" s="454">
        <v>4500</v>
      </c>
      <c r="U438" s="177">
        <f>V438</f>
        <v>4500</v>
      </c>
      <c r="V438" s="177">
        <v>4500</v>
      </c>
      <c r="W438" s="177"/>
      <c r="X438" s="177"/>
      <c r="Y438" s="177"/>
      <c r="Z438" s="177"/>
      <c r="AA438" s="177"/>
      <c r="AB438" s="177"/>
      <c r="AC438" s="177"/>
      <c r="AD438" s="177"/>
      <c r="AE438" s="177"/>
      <c r="AF438" s="177"/>
      <c r="AG438" s="188"/>
      <c r="AH438" s="173">
        <f t="shared" si="149"/>
        <v>0</v>
      </c>
    </row>
    <row r="439" spans="1:34" ht="34.5" hidden="1" x14ac:dyDescent="0.25">
      <c r="A439" s="195" t="s">
        <v>85</v>
      </c>
      <c r="B439" s="193" t="s">
        <v>86</v>
      </c>
      <c r="C439" s="192"/>
      <c r="D439" s="192"/>
      <c r="E439" s="192"/>
      <c r="F439" s="192"/>
      <c r="G439" s="191">
        <f>G440+G456</f>
        <v>96693</v>
      </c>
      <c r="H439" s="191">
        <f>H440+H456</f>
        <v>96693</v>
      </c>
      <c r="I439" s="191"/>
      <c r="J439" s="191"/>
      <c r="K439" s="191"/>
      <c r="L439" s="191"/>
      <c r="M439" s="191">
        <f t="shared" ref="M439:X439" si="161">M440+M456</f>
        <v>78280</v>
      </c>
      <c r="N439" s="191">
        <f t="shared" si="161"/>
        <v>78280</v>
      </c>
      <c r="O439" s="191">
        <f t="shared" si="161"/>
        <v>78280</v>
      </c>
      <c r="P439" s="191">
        <f t="shared" si="161"/>
        <v>78280</v>
      </c>
      <c r="Q439" s="191">
        <f t="shared" si="161"/>
        <v>0</v>
      </c>
      <c r="R439" s="191">
        <f t="shared" si="161"/>
        <v>0</v>
      </c>
      <c r="S439" s="474">
        <f t="shared" si="161"/>
        <v>78280</v>
      </c>
      <c r="T439" s="474">
        <f t="shared" si="161"/>
        <v>78280</v>
      </c>
      <c r="U439" s="190">
        <f t="shared" si="161"/>
        <v>4900</v>
      </c>
      <c r="V439" s="190">
        <f t="shared" si="161"/>
        <v>4900</v>
      </c>
      <c r="W439" s="190">
        <f t="shared" si="161"/>
        <v>16200</v>
      </c>
      <c r="X439" s="190">
        <f t="shared" si="161"/>
        <v>16200</v>
      </c>
      <c r="Y439" s="190">
        <v>78280</v>
      </c>
      <c r="Z439" s="190">
        <v>78280</v>
      </c>
      <c r="AA439" s="190">
        <v>78280</v>
      </c>
      <c r="AB439" s="190">
        <v>78280</v>
      </c>
      <c r="AC439" s="190">
        <v>78280</v>
      </c>
      <c r="AD439" s="190">
        <v>78280</v>
      </c>
      <c r="AE439" s="190">
        <v>78280</v>
      </c>
      <c r="AF439" s="190">
        <v>78280</v>
      </c>
      <c r="AG439" s="189"/>
      <c r="AH439" s="173">
        <f t="shared" si="149"/>
        <v>0</v>
      </c>
    </row>
    <row r="440" spans="1:34" ht="51.75" hidden="1" x14ac:dyDescent="0.25">
      <c r="A440" s="194" t="s">
        <v>87</v>
      </c>
      <c r="B440" s="193" t="s">
        <v>88</v>
      </c>
      <c r="C440" s="192"/>
      <c r="D440" s="192"/>
      <c r="E440" s="192"/>
      <c r="F440" s="192"/>
      <c r="G440" s="191">
        <f>SUM(G441:G455)</f>
        <v>56693</v>
      </c>
      <c r="H440" s="191">
        <f>SUM(H441:H455)</f>
        <v>56693</v>
      </c>
      <c r="I440" s="191"/>
      <c r="J440" s="191"/>
      <c r="K440" s="191"/>
      <c r="L440" s="191"/>
      <c r="M440" s="191">
        <f t="shared" ref="M440:X440" si="162">SUM(M441:M455)</f>
        <v>50710</v>
      </c>
      <c r="N440" s="191">
        <f t="shared" si="162"/>
        <v>50710</v>
      </c>
      <c r="O440" s="191">
        <f t="shared" si="162"/>
        <v>50710</v>
      </c>
      <c r="P440" s="191">
        <f t="shared" si="162"/>
        <v>50710</v>
      </c>
      <c r="Q440" s="191">
        <f t="shared" si="162"/>
        <v>0</v>
      </c>
      <c r="R440" s="191">
        <f t="shared" si="162"/>
        <v>0</v>
      </c>
      <c r="S440" s="474">
        <f t="shared" si="162"/>
        <v>50710</v>
      </c>
      <c r="T440" s="474">
        <f t="shared" si="162"/>
        <v>50710</v>
      </c>
      <c r="U440" s="190">
        <f t="shared" si="162"/>
        <v>4900</v>
      </c>
      <c r="V440" s="190">
        <f t="shared" si="162"/>
        <v>4900</v>
      </c>
      <c r="W440" s="190">
        <f t="shared" si="162"/>
        <v>16200</v>
      </c>
      <c r="X440" s="190">
        <f t="shared" si="162"/>
        <v>16200</v>
      </c>
      <c r="Y440" s="190">
        <v>50710</v>
      </c>
      <c r="Z440" s="190">
        <v>50710</v>
      </c>
      <c r="AA440" s="190">
        <v>50710</v>
      </c>
      <c r="AB440" s="190">
        <v>50710</v>
      </c>
      <c r="AC440" s="190">
        <v>50710</v>
      </c>
      <c r="AD440" s="190">
        <v>50710</v>
      </c>
      <c r="AE440" s="190">
        <v>50710</v>
      </c>
      <c r="AF440" s="190">
        <v>50710</v>
      </c>
      <c r="AG440" s="189"/>
      <c r="AH440" s="173">
        <f t="shared" si="149"/>
        <v>0</v>
      </c>
    </row>
    <row r="441" spans="1:34" ht="49.5" hidden="1" x14ac:dyDescent="0.25">
      <c r="A441" s="221">
        <v>4</v>
      </c>
      <c r="B441" s="223" t="s">
        <v>1045</v>
      </c>
      <c r="C441" s="180" t="s">
        <v>1044</v>
      </c>
      <c r="D441" s="181" t="s">
        <v>1043</v>
      </c>
      <c r="E441" s="181" t="s">
        <v>183</v>
      </c>
      <c r="F441" s="180" t="s">
        <v>1042</v>
      </c>
      <c r="G441" s="213">
        <v>2976</v>
      </c>
      <c r="H441" s="213">
        <v>2976</v>
      </c>
      <c r="I441" s="177"/>
      <c r="J441" s="177"/>
      <c r="K441" s="177"/>
      <c r="L441" s="177"/>
      <c r="M441" s="179">
        <v>2500</v>
      </c>
      <c r="N441" s="179">
        <v>2500</v>
      </c>
      <c r="O441" s="220">
        <v>2500</v>
      </c>
      <c r="P441" s="220">
        <v>2500</v>
      </c>
      <c r="Q441" s="176"/>
      <c r="R441" s="176"/>
      <c r="S441" s="454">
        <v>2500</v>
      </c>
      <c r="T441" s="454">
        <v>2500</v>
      </c>
      <c r="U441" s="177">
        <f>V441</f>
        <v>1900</v>
      </c>
      <c r="V441" s="177">
        <v>1900</v>
      </c>
      <c r="W441" s="177">
        <f>X441</f>
        <v>680</v>
      </c>
      <c r="X441" s="177">
        <v>680</v>
      </c>
      <c r="Y441" s="177"/>
      <c r="Z441" s="177"/>
      <c r="AA441" s="177"/>
      <c r="AB441" s="177"/>
      <c r="AC441" s="177"/>
      <c r="AD441" s="177"/>
      <c r="AE441" s="177"/>
      <c r="AF441" s="177"/>
      <c r="AG441" s="198"/>
      <c r="AH441" s="173">
        <f t="shared" si="149"/>
        <v>0</v>
      </c>
    </row>
    <row r="442" spans="1:34" ht="49.5" hidden="1" x14ac:dyDescent="0.25">
      <c r="A442" s="221">
        <v>5</v>
      </c>
      <c r="B442" s="183" t="s">
        <v>1041</v>
      </c>
      <c r="C442" s="180" t="s">
        <v>1040</v>
      </c>
      <c r="D442" s="181" t="s">
        <v>1039</v>
      </c>
      <c r="E442" s="181" t="s">
        <v>183</v>
      </c>
      <c r="F442" s="180" t="s">
        <v>1038</v>
      </c>
      <c r="G442" s="213">
        <v>4610</v>
      </c>
      <c r="H442" s="213">
        <v>4610</v>
      </c>
      <c r="I442" s="177"/>
      <c r="J442" s="177"/>
      <c r="K442" s="177"/>
      <c r="L442" s="177"/>
      <c r="M442" s="179">
        <v>4200</v>
      </c>
      <c r="N442" s="179">
        <v>4200</v>
      </c>
      <c r="O442" s="220">
        <v>4200</v>
      </c>
      <c r="P442" s="220">
        <v>4200</v>
      </c>
      <c r="Q442" s="176"/>
      <c r="R442" s="176"/>
      <c r="S442" s="454">
        <v>4200</v>
      </c>
      <c r="T442" s="454">
        <v>4200</v>
      </c>
      <c r="U442" s="177">
        <f>V442</f>
        <v>3000</v>
      </c>
      <c r="V442" s="177">
        <v>3000</v>
      </c>
      <c r="W442" s="177"/>
      <c r="X442" s="177"/>
      <c r="Y442" s="177"/>
      <c r="Z442" s="177"/>
      <c r="AA442" s="177"/>
      <c r="AB442" s="177"/>
      <c r="AC442" s="177"/>
      <c r="AD442" s="177"/>
      <c r="AE442" s="177"/>
      <c r="AF442" s="177"/>
      <c r="AG442" s="198"/>
      <c r="AH442" s="173">
        <f t="shared" si="149"/>
        <v>0</v>
      </c>
    </row>
    <row r="443" spans="1:34" ht="49.5" hidden="1" x14ac:dyDescent="0.25">
      <c r="A443" s="221">
        <v>6</v>
      </c>
      <c r="B443" s="183" t="s">
        <v>1037</v>
      </c>
      <c r="C443" s="180"/>
      <c r="D443" s="180" t="s">
        <v>1036</v>
      </c>
      <c r="E443" s="181" t="s">
        <v>109</v>
      </c>
      <c r="F443" s="180"/>
      <c r="G443" s="213">
        <v>1426</v>
      </c>
      <c r="H443" s="213">
        <v>1426</v>
      </c>
      <c r="I443" s="177"/>
      <c r="J443" s="177"/>
      <c r="K443" s="177"/>
      <c r="L443" s="177"/>
      <c r="M443" s="179">
        <v>1200</v>
      </c>
      <c r="N443" s="212">
        <v>1200</v>
      </c>
      <c r="O443" s="220">
        <v>1200</v>
      </c>
      <c r="P443" s="220">
        <v>1200</v>
      </c>
      <c r="Q443" s="176"/>
      <c r="R443" s="176"/>
      <c r="S443" s="454">
        <v>1200</v>
      </c>
      <c r="T443" s="454">
        <v>1200</v>
      </c>
      <c r="U443" s="177"/>
      <c r="V443" s="177"/>
      <c r="W443" s="177">
        <f>X443</f>
        <v>1100</v>
      </c>
      <c r="X443" s="177">
        <v>1100</v>
      </c>
      <c r="Y443" s="177"/>
      <c r="Z443" s="177"/>
      <c r="AA443" s="177"/>
      <c r="AB443" s="177"/>
      <c r="AC443" s="177"/>
      <c r="AD443" s="177"/>
      <c r="AE443" s="177"/>
      <c r="AF443" s="177"/>
      <c r="AG443" s="198"/>
      <c r="AH443" s="173">
        <f t="shared" si="149"/>
        <v>0</v>
      </c>
    </row>
    <row r="444" spans="1:34" ht="66" hidden="1" x14ac:dyDescent="0.25">
      <c r="A444" s="221">
        <v>7</v>
      </c>
      <c r="B444" s="183" t="s">
        <v>1035</v>
      </c>
      <c r="C444" s="180"/>
      <c r="D444" s="180" t="s">
        <v>1034</v>
      </c>
      <c r="E444" s="181" t="s">
        <v>109</v>
      </c>
      <c r="F444" s="180"/>
      <c r="G444" s="213">
        <v>2356</v>
      </c>
      <c r="H444" s="213">
        <v>2356</v>
      </c>
      <c r="I444" s="177"/>
      <c r="J444" s="177"/>
      <c r="K444" s="177"/>
      <c r="L444" s="177"/>
      <c r="M444" s="179">
        <v>2000</v>
      </c>
      <c r="N444" s="212">
        <f>M444</f>
        <v>2000</v>
      </c>
      <c r="O444" s="220">
        <v>2000</v>
      </c>
      <c r="P444" s="220">
        <v>2000</v>
      </c>
      <c r="Q444" s="176"/>
      <c r="R444" s="176"/>
      <c r="S444" s="454">
        <v>2000</v>
      </c>
      <c r="T444" s="454">
        <v>2000</v>
      </c>
      <c r="U444" s="177"/>
      <c r="V444" s="177"/>
      <c r="W444" s="177">
        <f>X444</f>
        <v>1830</v>
      </c>
      <c r="X444" s="177">
        <v>1830</v>
      </c>
      <c r="Y444" s="177"/>
      <c r="Z444" s="177"/>
      <c r="AA444" s="177"/>
      <c r="AB444" s="177"/>
      <c r="AC444" s="177"/>
      <c r="AD444" s="177"/>
      <c r="AE444" s="177"/>
      <c r="AF444" s="177"/>
      <c r="AG444" s="198"/>
      <c r="AH444" s="173">
        <f t="shared" ref="AH444:AH475" si="163">IF(T444-P444=0,0,1)</f>
        <v>0</v>
      </c>
    </row>
    <row r="445" spans="1:34" ht="49.5" hidden="1" x14ac:dyDescent="0.25">
      <c r="A445" s="221">
        <v>8</v>
      </c>
      <c r="B445" s="183" t="s">
        <v>1033</v>
      </c>
      <c r="C445" s="180"/>
      <c r="D445" s="180" t="s">
        <v>1032</v>
      </c>
      <c r="E445" s="181" t="s">
        <v>109</v>
      </c>
      <c r="F445" s="180"/>
      <c r="G445" s="213">
        <v>2007</v>
      </c>
      <c r="H445" s="213">
        <v>2007</v>
      </c>
      <c r="I445" s="177"/>
      <c r="J445" s="177"/>
      <c r="K445" s="177"/>
      <c r="L445" s="177"/>
      <c r="M445" s="179">
        <v>1800</v>
      </c>
      <c r="N445" s="212">
        <f>M445</f>
        <v>1800</v>
      </c>
      <c r="O445" s="220">
        <v>1800</v>
      </c>
      <c r="P445" s="220">
        <v>1800</v>
      </c>
      <c r="Q445" s="176"/>
      <c r="R445" s="176"/>
      <c r="S445" s="454">
        <v>1800</v>
      </c>
      <c r="T445" s="454">
        <v>1800</v>
      </c>
      <c r="U445" s="177"/>
      <c r="V445" s="177"/>
      <c r="W445" s="177"/>
      <c r="X445" s="177"/>
      <c r="Y445" s="177"/>
      <c r="Z445" s="177"/>
      <c r="AA445" s="177"/>
      <c r="AB445" s="177"/>
      <c r="AC445" s="177"/>
      <c r="AD445" s="177"/>
      <c r="AE445" s="177"/>
      <c r="AF445" s="177"/>
      <c r="AG445" s="198"/>
      <c r="AH445" s="173">
        <f t="shared" si="163"/>
        <v>0</v>
      </c>
    </row>
    <row r="446" spans="1:34" ht="16.5" hidden="1" x14ac:dyDescent="0.25">
      <c r="A446" s="221">
        <v>9</v>
      </c>
      <c r="B446" s="183" t="s">
        <v>1031</v>
      </c>
      <c r="C446" s="180"/>
      <c r="D446" s="180" t="s">
        <v>1030</v>
      </c>
      <c r="E446" s="181" t="s">
        <v>109</v>
      </c>
      <c r="F446" s="180"/>
      <c r="G446" s="213">
        <v>1511</v>
      </c>
      <c r="H446" s="213">
        <v>1511</v>
      </c>
      <c r="I446" s="177"/>
      <c r="J446" s="177"/>
      <c r="K446" s="177"/>
      <c r="L446" s="177"/>
      <c r="M446" s="179">
        <f>N446</f>
        <v>1300</v>
      </c>
      <c r="N446" s="212">
        <v>1300</v>
      </c>
      <c r="O446" s="220">
        <v>1300</v>
      </c>
      <c r="P446" s="220">
        <v>1300</v>
      </c>
      <c r="Q446" s="176"/>
      <c r="R446" s="176"/>
      <c r="S446" s="454">
        <v>1300</v>
      </c>
      <c r="T446" s="454">
        <v>1300</v>
      </c>
      <c r="U446" s="177"/>
      <c r="V446" s="177"/>
      <c r="W446" s="177"/>
      <c r="X446" s="177"/>
      <c r="Y446" s="177"/>
      <c r="Z446" s="177"/>
      <c r="AA446" s="177"/>
      <c r="AB446" s="177"/>
      <c r="AC446" s="177"/>
      <c r="AD446" s="177"/>
      <c r="AE446" s="177"/>
      <c r="AF446" s="177"/>
      <c r="AG446" s="198"/>
      <c r="AH446" s="173">
        <f t="shared" si="163"/>
        <v>0</v>
      </c>
    </row>
    <row r="447" spans="1:34" ht="49.5" hidden="1" x14ac:dyDescent="0.25">
      <c r="A447" s="221">
        <v>10</v>
      </c>
      <c r="B447" s="183" t="s">
        <v>1029</v>
      </c>
      <c r="C447" s="180"/>
      <c r="D447" s="180" t="s">
        <v>1028</v>
      </c>
      <c r="E447" s="181" t="s">
        <v>109</v>
      </c>
      <c r="F447" s="180"/>
      <c r="G447" s="213">
        <v>1063</v>
      </c>
      <c r="H447" s="213">
        <v>1063</v>
      </c>
      <c r="I447" s="177"/>
      <c r="J447" s="177"/>
      <c r="K447" s="177"/>
      <c r="L447" s="177"/>
      <c r="M447" s="179">
        <v>960</v>
      </c>
      <c r="N447" s="212">
        <f t="shared" ref="N447:N455" si="164">M447</f>
        <v>960</v>
      </c>
      <c r="O447" s="220">
        <v>960</v>
      </c>
      <c r="P447" s="220">
        <v>960</v>
      </c>
      <c r="Q447" s="176"/>
      <c r="R447" s="176"/>
      <c r="S447" s="454">
        <v>960</v>
      </c>
      <c r="T447" s="454">
        <v>960</v>
      </c>
      <c r="U447" s="177"/>
      <c r="V447" s="177"/>
      <c r="W447" s="177"/>
      <c r="X447" s="177"/>
      <c r="Y447" s="177"/>
      <c r="Z447" s="177"/>
      <c r="AA447" s="177"/>
      <c r="AB447" s="177"/>
      <c r="AC447" s="177"/>
      <c r="AD447" s="177"/>
      <c r="AE447" s="177"/>
      <c r="AF447" s="177"/>
      <c r="AG447" s="198"/>
      <c r="AH447" s="173">
        <f t="shared" si="163"/>
        <v>0</v>
      </c>
    </row>
    <row r="448" spans="1:34" ht="49.5" hidden="1" x14ac:dyDescent="0.25">
      <c r="A448" s="221">
        <v>11</v>
      </c>
      <c r="B448" s="183" t="s">
        <v>1027</v>
      </c>
      <c r="C448" s="180"/>
      <c r="D448" s="180" t="s">
        <v>1026</v>
      </c>
      <c r="E448" s="181" t="s">
        <v>116</v>
      </c>
      <c r="F448" s="180"/>
      <c r="G448" s="213">
        <v>1444</v>
      </c>
      <c r="H448" s="213">
        <v>1444</v>
      </c>
      <c r="I448" s="177"/>
      <c r="J448" s="177"/>
      <c r="K448" s="177"/>
      <c r="L448" s="177"/>
      <c r="M448" s="179">
        <v>1280</v>
      </c>
      <c r="N448" s="212">
        <f t="shared" si="164"/>
        <v>1280</v>
      </c>
      <c r="O448" s="220">
        <v>1280</v>
      </c>
      <c r="P448" s="220">
        <v>1280</v>
      </c>
      <c r="Q448" s="176"/>
      <c r="R448" s="176"/>
      <c r="S448" s="454">
        <v>1280</v>
      </c>
      <c r="T448" s="454">
        <v>1280</v>
      </c>
      <c r="U448" s="177"/>
      <c r="V448" s="177"/>
      <c r="W448" s="177"/>
      <c r="X448" s="177"/>
      <c r="Y448" s="177"/>
      <c r="Z448" s="177"/>
      <c r="AA448" s="177"/>
      <c r="AB448" s="177"/>
      <c r="AC448" s="177"/>
      <c r="AD448" s="177"/>
      <c r="AE448" s="177"/>
      <c r="AF448" s="177"/>
      <c r="AG448" s="198"/>
      <c r="AH448" s="173">
        <f t="shared" si="163"/>
        <v>0</v>
      </c>
    </row>
    <row r="449" spans="1:34" ht="82.5" hidden="1" x14ac:dyDescent="0.25">
      <c r="A449" s="221">
        <v>12</v>
      </c>
      <c r="B449" s="183" t="s">
        <v>1025</v>
      </c>
      <c r="C449" s="180"/>
      <c r="D449" s="222" t="s">
        <v>1024</v>
      </c>
      <c r="E449" s="181" t="s">
        <v>116</v>
      </c>
      <c r="F449" s="180"/>
      <c r="G449" s="213">
        <v>3858</v>
      </c>
      <c r="H449" s="213">
        <v>3858</v>
      </c>
      <c r="I449" s="177"/>
      <c r="J449" s="177"/>
      <c r="K449" s="177"/>
      <c r="L449" s="177"/>
      <c r="M449" s="179">
        <v>3500</v>
      </c>
      <c r="N449" s="212">
        <f t="shared" si="164"/>
        <v>3500</v>
      </c>
      <c r="O449" s="220">
        <v>3500</v>
      </c>
      <c r="P449" s="220">
        <v>3500</v>
      </c>
      <c r="Q449" s="176"/>
      <c r="R449" s="176"/>
      <c r="S449" s="454">
        <v>3500</v>
      </c>
      <c r="T449" s="454">
        <v>3500</v>
      </c>
      <c r="U449" s="177"/>
      <c r="V449" s="177"/>
      <c r="W449" s="177"/>
      <c r="X449" s="177"/>
      <c r="Y449" s="177"/>
      <c r="Z449" s="177"/>
      <c r="AA449" s="177"/>
      <c r="AB449" s="177"/>
      <c r="AC449" s="177"/>
      <c r="AD449" s="177"/>
      <c r="AE449" s="177"/>
      <c r="AF449" s="177"/>
      <c r="AG449" s="198"/>
      <c r="AH449" s="173">
        <f t="shared" si="163"/>
        <v>0</v>
      </c>
    </row>
    <row r="450" spans="1:34" ht="49.5" hidden="1" x14ac:dyDescent="0.25">
      <c r="A450" s="221">
        <v>13</v>
      </c>
      <c r="B450" s="183" t="s">
        <v>1023</v>
      </c>
      <c r="C450" s="180"/>
      <c r="D450" s="180" t="s">
        <v>1022</v>
      </c>
      <c r="E450" s="181" t="s">
        <v>116</v>
      </c>
      <c r="F450" s="180"/>
      <c r="G450" s="213">
        <v>6016</v>
      </c>
      <c r="H450" s="213">
        <v>6016</v>
      </c>
      <c r="I450" s="177"/>
      <c r="J450" s="177"/>
      <c r="K450" s="177"/>
      <c r="L450" s="177"/>
      <c r="M450" s="179">
        <v>5400</v>
      </c>
      <c r="N450" s="212">
        <f t="shared" si="164"/>
        <v>5400</v>
      </c>
      <c r="O450" s="220">
        <v>5400</v>
      </c>
      <c r="P450" s="220">
        <v>5400</v>
      </c>
      <c r="Q450" s="176"/>
      <c r="R450" s="176"/>
      <c r="S450" s="454">
        <v>5400</v>
      </c>
      <c r="T450" s="454">
        <v>5400</v>
      </c>
      <c r="U450" s="177"/>
      <c r="V450" s="177"/>
      <c r="W450" s="177">
        <f>X450</f>
        <v>4700</v>
      </c>
      <c r="X450" s="177">
        <v>4700</v>
      </c>
      <c r="Y450" s="177"/>
      <c r="Z450" s="177"/>
      <c r="AA450" s="177"/>
      <c r="AB450" s="177"/>
      <c r="AC450" s="177"/>
      <c r="AD450" s="177"/>
      <c r="AE450" s="177"/>
      <c r="AF450" s="177"/>
      <c r="AG450" s="198"/>
      <c r="AH450" s="173">
        <f t="shared" si="163"/>
        <v>0</v>
      </c>
    </row>
    <row r="451" spans="1:34" ht="49.5" hidden="1" x14ac:dyDescent="0.25">
      <c r="A451" s="221">
        <v>14</v>
      </c>
      <c r="B451" s="183" t="s">
        <v>1021</v>
      </c>
      <c r="C451" s="180"/>
      <c r="D451" s="180" t="s">
        <v>1020</v>
      </c>
      <c r="E451" s="181" t="s">
        <v>116</v>
      </c>
      <c r="F451" s="180"/>
      <c r="G451" s="213">
        <v>5604</v>
      </c>
      <c r="H451" s="213">
        <v>5604</v>
      </c>
      <c r="I451" s="177"/>
      <c r="J451" s="177"/>
      <c r="K451" s="177"/>
      <c r="L451" s="177"/>
      <c r="M451" s="179">
        <v>5000</v>
      </c>
      <c r="N451" s="212">
        <f t="shared" si="164"/>
        <v>5000</v>
      </c>
      <c r="O451" s="220">
        <v>5000</v>
      </c>
      <c r="P451" s="220">
        <v>5000</v>
      </c>
      <c r="Q451" s="176"/>
      <c r="R451" s="176"/>
      <c r="S451" s="454">
        <v>5000</v>
      </c>
      <c r="T451" s="454">
        <v>5000</v>
      </c>
      <c r="U451" s="177"/>
      <c r="V451" s="177"/>
      <c r="W451" s="177">
        <f>X451</f>
        <v>4400</v>
      </c>
      <c r="X451" s="177">
        <v>4400</v>
      </c>
      <c r="Y451" s="177"/>
      <c r="Z451" s="177"/>
      <c r="AA451" s="177"/>
      <c r="AB451" s="177"/>
      <c r="AC451" s="177"/>
      <c r="AD451" s="177"/>
      <c r="AE451" s="177"/>
      <c r="AF451" s="177"/>
      <c r="AG451" s="198"/>
      <c r="AH451" s="173">
        <f t="shared" si="163"/>
        <v>0</v>
      </c>
    </row>
    <row r="452" spans="1:34" ht="33" hidden="1" x14ac:dyDescent="0.25">
      <c r="A452" s="184">
        <v>15</v>
      </c>
      <c r="B452" s="183" t="s">
        <v>1019</v>
      </c>
      <c r="C452" s="180"/>
      <c r="D452" s="180" t="s">
        <v>1018</v>
      </c>
      <c r="E452" s="181" t="s">
        <v>116</v>
      </c>
      <c r="F452" s="180"/>
      <c r="G452" s="213">
        <v>1823</v>
      </c>
      <c r="H452" s="213">
        <v>1823</v>
      </c>
      <c r="I452" s="200"/>
      <c r="J452" s="200"/>
      <c r="K452" s="200"/>
      <c r="L452" s="200"/>
      <c r="M452" s="179">
        <v>1670</v>
      </c>
      <c r="N452" s="212">
        <f t="shared" si="164"/>
        <v>1670</v>
      </c>
      <c r="O452" s="201">
        <v>1670</v>
      </c>
      <c r="P452" s="201">
        <v>1670</v>
      </c>
      <c r="Q452" s="176"/>
      <c r="R452" s="176"/>
      <c r="S452" s="475">
        <v>1670</v>
      </c>
      <c r="T452" s="475">
        <v>1670</v>
      </c>
      <c r="U452" s="200"/>
      <c r="V452" s="200"/>
      <c r="W452" s="177">
        <f>X452</f>
        <v>1400</v>
      </c>
      <c r="X452" s="177">
        <v>1400</v>
      </c>
      <c r="Y452" s="200"/>
      <c r="Z452" s="200"/>
      <c r="AA452" s="200"/>
      <c r="AB452" s="200"/>
      <c r="AC452" s="200"/>
      <c r="AD452" s="200"/>
      <c r="AE452" s="200"/>
      <c r="AF452" s="200"/>
      <c r="AG452" s="219"/>
      <c r="AH452" s="173">
        <f t="shared" si="163"/>
        <v>0</v>
      </c>
    </row>
    <row r="453" spans="1:34" ht="33" hidden="1" x14ac:dyDescent="0.25">
      <c r="A453" s="184">
        <v>16</v>
      </c>
      <c r="B453" s="183" t="s">
        <v>1017</v>
      </c>
      <c r="C453" s="180"/>
      <c r="D453" s="180" t="s">
        <v>1016</v>
      </c>
      <c r="E453" s="181" t="s">
        <v>116</v>
      </c>
      <c r="F453" s="180"/>
      <c r="G453" s="213">
        <v>2261</v>
      </c>
      <c r="H453" s="213">
        <v>2261</v>
      </c>
      <c r="I453" s="217"/>
      <c r="J453" s="217"/>
      <c r="K453" s="217"/>
      <c r="L453" s="217"/>
      <c r="M453" s="179">
        <v>2000</v>
      </c>
      <c r="N453" s="212">
        <f t="shared" si="164"/>
        <v>2000</v>
      </c>
      <c r="O453" s="218">
        <v>2000</v>
      </c>
      <c r="P453" s="218">
        <v>2000</v>
      </c>
      <c r="Q453" s="176"/>
      <c r="R453" s="176"/>
      <c r="S453" s="467">
        <v>2000</v>
      </c>
      <c r="T453" s="467">
        <v>2000</v>
      </c>
      <c r="U453" s="217"/>
      <c r="V453" s="217"/>
      <c r="W453" s="177">
        <f>X453</f>
        <v>990</v>
      </c>
      <c r="X453" s="217">
        <v>990</v>
      </c>
      <c r="Y453" s="217"/>
      <c r="Z453" s="217"/>
      <c r="AA453" s="217"/>
      <c r="AB453" s="217"/>
      <c r="AC453" s="217"/>
      <c r="AD453" s="217"/>
      <c r="AE453" s="217"/>
      <c r="AF453" s="217"/>
      <c r="AG453" s="174"/>
      <c r="AH453" s="173">
        <f t="shared" si="163"/>
        <v>0</v>
      </c>
    </row>
    <row r="454" spans="1:34" ht="49.5" hidden="1" x14ac:dyDescent="0.25">
      <c r="A454" s="184">
        <v>17</v>
      </c>
      <c r="B454" s="183" t="s">
        <v>1015</v>
      </c>
      <c r="C454" s="180"/>
      <c r="D454" s="180" t="s">
        <v>1014</v>
      </c>
      <c r="E454" s="181" t="s">
        <v>116</v>
      </c>
      <c r="F454" s="180"/>
      <c r="G454" s="213">
        <v>9913</v>
      </c>
      <c r="H454" s="213">
        <v>9913</v>
      </c>
      <c r="I454" s="217"/>
      <c r="J454" s="217"/>
      <c r="K454" s="217"/>
      <c r="L454" s="217"/>
      <c r="M454" s="179">
        <v>9000</v>
      </c>
      <c r="N454" s="212">
        <f t="shared" si="164"/>
        <v>9000</v>
      </c>
      <c r="O454" s="218">
        <v>9000</v>
      </c>
      <c r="P454" s="218">
        <v>9000</v>
      </c>
      <c r="Q454" s="176"/>
      <c r="R454" s="176"/>
      <c r="S454" s="467">
        <v>9000</v>
      </c>
      <c r="T454" s="467">
        <v>9000</v>
      </c>
      <c r="U454" s="217"/>
      <c r="V454" s="217"/>
      <c r="W454" s="177">
        <f>X454</f>
        <v>1100</v>
      </c>
      <c r="X454" s="217">
        <v>1100</v>
      </c>
      <c r="Y454" s="217"/>
      <c r="Z454" s="217"/>
      <c r="AA454" s="217"/>
      <c r="AB454" s="217"/>
      <c r="AC454" s="217"/>
      <c r="AD454" s="217"/>
      <c r="AE454" s="217"/>
      <c r="AF454" s="217"/>
      <c r="AG454" s="174"/>
      <c r="AH454" s="173">
        <f t="shared" si="163"/>
        <v>0</v>
      </c>
    </row>
    <row r="455" spans="1:34" ht="33" hidden="1" x14ac:dyDescent="0.25">
      <c r="A455" s="184">
        <v>18</v>
      </c>
      <c r="B455" s="183" t="s">
        <v>1013</v>
      </c>
      <c r="C455" s="180"/>
      <c r="D455" s="180" t="s">
        <v>1012</v>
      </c>
      <c r="E455" s="181" t="s">
        <v>116</v>
      </c>
      <c r="F455" s="180"/>
      <c r="G455" s="213">
        <v>9825</v>
      </c>
      <c r="H455" s="213">
        <v>9825</v>
      </c>
      <c r="I455" s="175"/>
      <c r="J455" s="175"/>
      <c r="K455" s="175"/>
      <c r="L455" s="175"/>
      <c r="M455" s="179">
        <v>8900</v>
      </c>
      <c r="N455" s="212">
        <f t="shared" si="164"/>
        <v>8900</v>
      </c>
      <c r="O455" s="186">
        <v>8900</v>
      </c>
      <c r="P455" s="186">
        <v>8900</v>
      </c>
      <c r="Q455" s="176"/>
      <c r="R455" s="176"/>
      <c r="S455" s="467">
        <v>8900</v>
      </c>
      <c r="T455" s="467">
        <v>8900</v>
      </c>
      <c r="U455" s="175"/>
      <c r="V455" s="175"/>
      <c r="W455" s="175"/>
      <c r="X455" s="175"/>
      <c r="Y455" s="175"/>
      <c r="Z455" s="175"/>
      <c r="AA455" s="175"/>
      <c r="AB455" s="175"/>
      <c r="AC455" s="175"/>
      <c r="AD455" s="175"/>
      <c r="AE455" s="175"/>
      <c r="AF455" s="175"/>
      <c r="AG455" s="174"/>
      <c r="AH455" s="173">
        <f t="shared" si="163"/>
        <v>0</v>
      </c>
    </row>
    <row r="456" spans="1:34" s="453" customFormat="1" ht="34.5" hidden="1" x14ac:dyDescent="0.25">
      <c r="A456" s="194" t="s">
        <v>47</v>
      </c>
      <c r="B456" s="193" t="s">
        <v>1011</v>
      </c>
      <c r="C456" s="447"/>
      <c r="D456" s="448"/>
      <c r="E456" s="449"/>
      <c r="F456" s="449"/>
      <c r="G456" s="214">
        <f>G457</f>
        <v>40000</v>
      </c>
      <c r="H456" s="214">
        <f>H457</f>
        <v>40000</v>
      </c>
      <c r="I456" s="450"/>
      <c r="J456" s="360"/>
      <c r="K456" s="450"/>
      <c r="L456" s="360"/>
      <c r="M456" s="214">
        <f>M457</f>
        <v>27570</v>
      </c>
      <c r="N456" s="214">
        <f>N457</f>
        <v>27570</v>
      </c>
      <c r="O456" s="451">
        <v>27570</v>
      </c>
      <c r="P456" s="451">
        <v>27570</v>
      </c>
      <c r="Q456" s="452"/>
      <c r="R456" s="452"/>
      <c r="S456" s="466">
        <v>27570</v>
      </c>
      <c r="T456" s="466">
        <v>27570</v>
      </c>
      <c r="U456" s="360"/>
      <c r="V456" s="360"/>
      <c r="W456" s="360"/>
      <c r="X456" s="360"/>
      <c r="Y456" s="360"/>
      <c r="Z456" s="360"/>
      <c r="AA456" s="360"/>
      <c r="AB456" s="360"/>
      <c r="AC456" s="360"/>
      <c r="AD456" s="360"/>
      <c r="AE456" s="360"/>
      <c r="AF456" s="360"/>
      <c r="AG456" s="359"/>
      <c r="AH456" s="173">
        <f t="shared" si="163"/>
        <v>0</v>
      </c>
    </row>
    <row r="457" spans="1:34" ht="66" hidden="1" x14ac:dyDescent="0.25">
      <c r="A457" s="184">
        <v>19</v>
      </c>
      <c r="B457" s="183" t="s">
        <v>1010</v>
      </c>
      <c r="C457" s="180"/>
      <c r="D457" s="180"/>
      <c r="E457" s="181" t="s">
        <v>116</v>
      </c>
      <c r="F457" s="180"/>
      <c r="G457" s="213">
        <v>40000</v>
      </c>
      <c r="H457" s="213">
        <v>40000</v>
      </c>
      <c r="I457" s="175"/>
      <c r="J457" s="175"/>
      <c r="K457" s="175"/>
      <c r="L457" s="175"/>
      <c r="M457" s="179">
        <v>27570</v>
      </c>
      <c r="N457" s="212">
        <f>M457</f>
        <v>27570</v>
      </c>
      <c r="O457" s="186">
        <v>27570</v>
      </c>
      <c r="P457" s="186">
        <v>27570</v>
      </c>
      <c r="Q457" s="176"/>
      <c r="R457" s="176"/>
      <c r="S457" s="467">
        <v>27570</v>
      </c>
      <c r="T457" s="467">
        <v>27570</v>
      </c>
      <c r="U457" s="175"/>
      <c r="V457" s="175"/>
      <c r="W457" s="175"/>
      <c r="X457" s="175"/>
      <c r="Y457" s="175"/>
      <c r="Z457" s="175"/>
      <c r="AA457" s="175"/>
      <c r="AB457" s="175"/>
      <c r="AC457" s="175"/>
      <c r="AD457" s="175"/>
      <c r="AE457" s="175"/>
      <c r="AF457" s="175"/>
      <c r="AG457" s="174"/>
      <c r="AH457" s="173">
        <f t="shared" si="163"/>
        <v>0</v>
      </c>
    </row>
    <row r="458" spans="1:34" s="203" customFormat="1" ht="16.5" hidden="1" x14ac:dyDescent="0.25">
      <c r="A458" s="210" t="s">
        <v>658</v>
      </c>
      <c r="B458" s="209" t="s">
        <v>1009</v>
      </c>
      <c r="C458" s="208"/>
      <c r="D458" s="207"/>
      <c r="E458" s="207"/>
      <c r="F458" s="207"/>
      <c r="G458" s="206">
        <f>G465</f>
        <v>13999</v>
      </c>
      <c r="H458" s="206">
        <f>H465</f>
        <v>13999</v>
      </c>
      <c r="I458" s="206">
        <f>I459+I465</f>
        <v>8000</v>
      </c>
      <c r="J458" s="206">
        <f>J459+J465</f>
        <v>8000</v>
      </c>
      <c r="K458" s="206">
        <f>K459+K465</f>
        <v>8000</v>
      </c>
      <c r="L458" s="206">
        <f>L459+L465</f>
        <v>8000</v>
      </c>
      <c r="M458" s="206">
        <f t="shared" ref="M458:X458" si="165">M465</f>
        <v>5700</v>
      </c>
      <c r="N458" s="206">
        <f t="shared" si="165"/>
        <v>5700</v>
      </c>
      <c r="O458" s="206">
        <f t="shared" si="165"/>
        <v>5700</v>
      </c>
      <c r="P458" s="206">
        <f t="shared" si="165"/>
        <v>5700</v>
      </c>
      <c r="Q458" s="206">
        <f t="shared" si="165"/>
        <v>0</v>
      </c>
      <c r="R458" s="206">
        <f t="shared" si="165"/>
        <v>0</v>
      </c>
      <c r="S458" s="465">
        <f t="shared" si="165"/>
        <v>5700</v>
      </c>
      <c r="T458" s="465">
        <f t="shared" si="165"/>
        <v>5700</v>
      </c>
      <c r="U458" s="206">
        <f t="shared" si="165"/>
        <v>0</v>
      </c>
      <c r="V458" s="206">
        <f t="shared" si="165"/>
        <v>0</v>
      </c>
      <c r="W458" s="206">
        <f t="shared" si="165"/>
        <v>0</v>
      </c>
      <c r="X458" s="206">
        <f t="shared" si="165"/>
        <v>0</v>
      </c>
      <c r="Y458" s="205">
        <v>80000</v>
      </c>
      <c r="Z458" s="205">
        <v>80000</v>
      </c>
      <c r="AA458" s="205">
        <v>80000</v>
      </c>
      <c r="AB458" s="205">
        <v>80000</v>
      </c>
      <c r="AC458" s="205">
        <v>80000</v>
      </c>
      <c r="AD458" s="205">
        <v>80000</v>
      </c>
      <c r="AE458" s="205">
        <v>80000</v>
      </c>
      <c r="AF458" s="205">
        <v>80000</v>
      </c>
      <c r="AG458" s="205"/>
      <c r="AH458" s="173">
        <f t="shared" si="163"/>
        <v>0</v>
      </c>
    </row>
    <row r="459" spans="1:34" ht="51.75" hidden="1" x14ac:dyDescent="0.25">
      <c r="A459" s="195" t="s">
        <v>45</v>
      </c>
      <c r="B459" s="193" t="s">
        <v>46</v>
      </c>
      <c r="C459" s="192"/>
      <c r="D459" s="192"/>
      <c r="E459" s="192"/>
      <c r="F459" s="192"/>
      <c r="G459" s="191">
        <f t="shared" ref="G459:X459" si="166">G460</f>
        <v>14997</v>
      </c>
      <c r="H459" s="191">
        <f t="shared" si="166"/>
        <v>14997</v>
      </c>
      <c r="I459" s="191">
        <f t="shared" si="166"/>
        <v>8000</v>
      </c>
      <c r="J459" s="191">
        <f t="shared" si="166"/>
        <v>8000</v>
      </c>
      <c r="K459" s="191">
        <f t="shared" si="166"/>
        <v>8000</v>
      </c>
      <c r="L459" s="191">
        <f t="shared" si="166"/>
        <v>8000</v>
      </c>
      <c r="M459" s="191">
        <f t="shared" si="166"/>
        <v>5500</v>
      </c>
      <c r="N459" s="191">
        <f t="shared" si="166"/>
        <v>5500</v>
      </c>
      <c r="O459" s="191">
        <f t="shared" si="166"/>
        <v>5500</v>
      </c>
      <c r="P459" s="191">
        <f t="shared" si="166"/>
        <v>5500</v>
      </c>
      <c r="Q459" s="191">
        <f t="shared" si="166"/>
        <v>0</v>
      </c>
      <c r="R459" s="191">
        <f t="shared" si="166"/>
        <v>0</v>
      </c>
      <c r="S459" s="474">
        <f t="shared" si="166"/>
        <v>5500</v>
      </c>
      <c r="T459" s="474">
        <f t="shared" si="166"/>
        <v>5500</v>
      </c>
      <c r="U459" s="191">
        <f t="shared" si="166"/>
        <v>5500</v>
      </c>
      <c r="V459" s="191">
        <f t="shared" si="166"/>
        <v>5500</v>
      </c>
      <c r="W459" s="191">
        <f t="shared" si="166"/>
        <v>0</v>
      </c>
      <c r="X459" s="191">
        <f t="shared" si="166"/>
        <v>0</v>
      </c>
      <c r="Y459" s="190">
        <v>5500</v>
      </c>
      <c r="Z459" s="190">
        <v>5500</v>
      </c>
      <c r="AA459" s="190">
        <v>5500</v>
      </c>
      <c r="AB459" s="190">
        <v>5500</v>
      </c>
      <c r="AC459" s="190">
        <v>5500</v>
      </c>
      <c r="AD459" s="190">
        <v>5500</v>
      </c>
      <c r="AE459" s="190">
        <v>5500</v>
      </c>
      <c r="AF459" s="190">
        <v>5500</v>
      </c>
      <c r="AG459" s="190"/>
      <c r="AH459" s="173">
        <f t="shared" si="163"/>
        <v>0</v>
      </c>
    </row>
    <row r="460" spans="1:34" ht="34.5" hidden="1" x14ac:dyDescent="0.25">
      <c r="A460" s="194" t="s">
        <v>47</v>
      </c>
      <c r="B460" s="193" t="s">
        <v>48</v>
      </c>
      <c r="C460" s="192"/>
      <c r="D460" s="192"/>
      <c r="E460" s="192"/>
      <c r="F460" s="192"/>
      <c r="G460" s="191">
        <f t="shared" ref="G460:X460" si="167">SUM(G463:G464)</f>
        <v>14997</v>
      </c>
      <c r="H460" s="191">
        <f t="shared" si="167"/>
        <v>14997</v>
      </c>
      <c r="I460" s="191">
        <f t="shared" si="167"/>
        <v>8000</v>
      </c>
      <c r="J460" s="191">
        <f t="shared" si="167"/>
        <v>8000</v>
      </c>
      <c r="K460" s="191">
        <f t="shared" si="167"/>
        <v>8000</v>
      </c>
      <c r="L460" s="191">
        <f t="shared" si="167"/>
        <v>8000</v>
      </c>
      <c r="M460" s="191">
        <f t="shared" si="167"/>
        <v>5500</v>
      </c>
      <c r="N460" s="191">
        <f t="shared" si="167"/>
        <v>5500</v>
      </c>
      <c r="O460" s="191">
        <f t="shared" si="167"/>
        <v>5500</v>
      </c>
      <c r="P460" s="191">
        <f t="shared" si="167"/>
        <v>5500</v>
      </c>
      <c r="Q460" s="191">
        <f t="shared" si="167"/>
        <v>0</v>
      </c>
      <c r="R460" s="191">
        <f t="shared" si="167"/>
        <v>0</v>
      </c>
      <c r="S460" s="474">
        <f t="shared" si="167"/>
        <v>5500</v>
      </c>
      <c r="T460" s="474">
        <f t="shared" si="167"/>
        <v>5500</v>
      </c>
      <c r="U460" s="191">
        <f t="shared" si="167"/>
        <v>5500</v>
      </c>
      <c r="V460" s="191">
        <f t="shared" si="167"/>
        <v>5500</v>
      </c>
      <c r="W460" s="191">
        <f t="shared" si="167"/>
        <v>0</v>
      </c>
      <c r="X460" s="191">
        <f t="shared" si="167"/>
        <v>0</v>
      </c>
      <c r="Y460" s="190">
        <v>5500</v>
      </c>
      <c r="Z460" s="190">
        <v>5500</v>
      </c>
      <c r="AA460" s="190">
        <v>5500</v>
      </c>
      <c r="AB460" s="190">
        <v>5500</v>
      </c>
      <c r="AC460" s="190">
        <v>5500</v>
      </c>
      <c r="AD460" s="190">
        <v>5500</v>
      </c>
      <c r="AE460" s="190">
        <v>5500</v>
      </c>
      <c r="AF460" s="190">
        <v>5500</v>
      </c>
      <c r="AG460" s="190"/>
      <c r="AH460" s="173">
        <f t="shared" si="163"/>
        <v>0</v>
      </c>
    </row>
    <row r="461" spans="1:34" ht="17.25" hidden="1" x14ac:dyDescent="0.25">
      <c r="A461" s="194"/>
      <c r="B461" s="193" t="s">
        <v>49</v>
      </c>
      <c r="C461" s="202"/>
      <c r="D461" s="202"/>
      <c r="E461" s="202"/>
      <c r="F461" s="202"/>
      <c r="G461" s="200"/>
      <c r="H461" s="200"/>
      <c r="I461" s="200"/>
      <c r="J461" s="200"/>
      <c r="K461" s="200"/>
      <c r="L461" s="200"/>
      <c r="M461" s="200"/>
      <c r="N461" s="200"/>
      <c r="O461" s="201"/>
      <c r="P461" s="201"/>
      <c r="Q461" s="176" t="e">
        <f>IF(#REF!&gt;0,#REF!,0)</f>
        <v>#REF!</v>
      </c>
      <c r="R461" s="176" t="e">
        <f>IF(#REF!&lt;0,-#REF!,0)</f>
        <v>#REF!</v>
      </c>
      <c r="S461" s="475"/>
      <c r="T461" s="475"/>
      <c r="U461" s="200"/>
      <c r="V461" s="200"/>
      <c r="W461" s="200"/>
      <c r="X461" s="200"/>
      <c r="Y461" s="200"/>
      <c r="Z461" s="200"/>
      <c r="AA461" s="200"/>
      <c r="AB461" s="200"/>
      <c r="AC461" s="200"/>
      <c r="AD461" s="200"/>
      <c r="AE461" s="200"/>
      <c r="AF461" s="200"/>
      <c r="AG461" s="198"/>
      <c r="AH461" s="173">
        <f t="shared" si="163"/>
        <v>0</v>
      </c>
    </row>
    <row r="462" spans="1:34" ht="51.75" hidden="1" x14ac:dyDescent="0.25">
      <c r="A462" s="194"/>
      <c r="B462" s="199" t="s">
        <v>50</v>
      </c>
      <c r="C462" s="192"/>
      <c r="D462" s="192"/>
      <c r="E462" s="192"/>
      <c r="F462" s="192"/>
      <c r="G462" s="191"/>
      <c r="H462" s="191"/>
      <c r="I462" s="191"/>
      <c r="J462" s="191"/>
      <c r="K462" s="191"/>
      <c r="L462" s="191"/>
      <c r="M462" s="191"/>
      <c r="N462" s="191"/>
      <c r="O462" s="190"/>
      <c r="P462" s="190"/>
      <c r="Q462" s="176" t="e">
        <f>IF(#REF!&gt;0,#REF!,0)</f>
        <v>#REF!</v>
      </c>
      <c r="R462" s="176" t="e">
        <f>IF(#REF!&lt;0,-#REF!,0)</f>
        <v>#REF!</v>
      </c>
      <c r="S462" s="474"/>
      <c r="T462" s="474"/>
      <c r="U462" s="191"/>
      <c r="V462" s="191"/>
      <c r="W462" s="191"/>
      <c r="X462" s="191"/>
      <c r="Y462" s="191"/>
      <c r="Z462" s="191"/>
      <c r="AA462" s="191"/>
      <c r="AB462" s="191"/>
      <c r="AC462" s="191"/>
      <c r="AD462" s="191"/>
      <c r="AE462" s="191"/>
      <c r="AF462" s="191"/>
      <c r="AG462" s="198"/>
      <c r="AH462" s="173">
        <f t="shared" si="163"/>
        <v>0</v>
      </c>
    </row>
    <row r="463" spans="1:34" ht="33" hidden="1" x14ac:dyDescent="0.25">
      <c r="A463" s="184">
        <v>1</v>
      </c>
      <c r="B463" s="183" t="s">
        <v>1008</v>
      </c>
      <c r="C463" s="188"/>
      <c r="D463" s="197"/>
      <c r="E463" s="197"/>
      <c r="F463" s="197"/>
      <c r="G463" s="179"/>
      <c r="H463" s="175"/>
      <c r="I463" s="175"/>
      <c r="J463" s="175"/>
      <c r="K463" s="175"/>
      <c r="L463" s="175"/>
      <c r="M463" s="179">
        <v>2000</v>
      </c>
      <c r="N463" s="179">
        <v>2000</v>
      </c>
      <c r="O463" s="178">
        <v>2000</v>
      </c>
      <c r="P463" s="178">
        <v>2000</v>
      </c>
      <c r="Q463" s="176"/>
      <c r="R463" s="176"/>
      <c r="S463" s="456">
        <v>2000</v>
      </c>
      <c r="T463" s="456">
        <v>2000</v>
      </c>
      <c r="U463" s="175">
        <f>V463</f>
        <v>2000</v>
      </c>
      <c r="V463" s="175">
        <v>2000</v>
      </c>
      <c r="W463" s="175"/>
      <c r="X463" s="175"/>
      <c r="Y463" s="175"/>
      <c r="Z463" s="175"/>
      <c r="AA463" s="175"/>
      <c r="AB463" s="175"/>
      <c r="AC463" s="175"/>
      <c r="AD463" s="175"/>
      <c r="AE463" s="175"/>
      <c r="AF463" s="175"/>
      <c r="AG463" s="174"/>
      <c r="AH463" s="173">
        <f t="shared" si="163"/>
        <v>0</v>
      </c>
    </row>
    <row r="464" spans="1:34" ht="49.5" hidden="1" x14ac:dyDescent="0.25">
      <c r="A464" s="184">
        <v>2</v>
      </c>
      <c r="B464" s="211" t="s">
        <v>1007</v>
      </c>
      <c r="C464" s="188"/>
      <c r="D464" s="197"/>
      <c r="E464" s="181" t="s">
        <v>199</v>
      </c>
      <c r="F464" s="180" t="s">
        <v>1006</v>
      </c>
      <c r="G464" s="179">
        <v>14997</v>
      </c>
      <c r="H464" s="179">
        <f>G464</f>
        <v>14997</v>
      </c>
      <c r="I464" s="179">
        <f>J464</f>
        <v>8000</v>
      </c>
      <c r="J464" s="179">
        <v>8000</v>
      </c>
      <c r="K464" s="179">
        <f>L464</f>
        <v>8000</v>
      </c>
      <c r="L464" s="179">
        <v>8000</v>
      </c>
      <c r="M464" s="179">
        <f>N464</f>
        <v>3500</v>
      </c>
      <c r="N464" s="179">
        <v>3500</v>
      </c>
      <c r="O464" s="178">
        <v>3500</v>
      </c>
      <c r="P464" s="178">
        <v>3500</v>
      </c>
      <c r="Q464" s="176"/>
      <c r="R464" s="176"/>
      <c r="S464" s="456">
        <v>3500</v>
      </c>
      <c r="T464" s="456">
        <v>3500</v>
      </c>
      <c r="U464" s="175">
        <f>V464</f>
        <v>3500</v>
      </c>
      <c r="V464" s="175">
        <v>3500</v>
      </c>
      <c r="W464" s="175"/>
      <c r="X464" s="175"/>
      <c r="Y464" s="175"/>
      <c r="Z464" s="175"/>
      <c r="AA464" s="175"/>
      <c r="AB464" s="175"/>
      <c r="AC464" s="175"/>
      <c r="AD464" s="175"/>
      <c r="AE464" s="175"/>
      <c r="AF464" s="175"/>
      <c r="AG464" s="174"/>
      <c r="AH464" s="173">
        <f t="shared" si="163"/>
        <v>0</v>
      </c>
    </row>
    <row r="465" spans="1:34" ht="34.5" hidden="1" x14ac:dyDescent="0.25">
      <c r="A465" s="195" t="s">
        <v>85</v>
      </c>
      <c r="B465" s="193" t="s">
        <v>86</v>
      </c>
      <c r="C465" s="192"/>
      <c r="D465" s="192"/>
      <c r="E465" s="192"/>
      <c r="F465" s="192"/>
      <c r="G465" s="191">
        <f t="shared" ref="G465:X465" si="168">G466</f>
        <v>13999</v>
      </c>
      <c r="H465" s="191">
        <f t="shared" si="168"/>
        <v>13999</v>
      </c>
      <c r="I465" s="191">
        <f t="shared" si="168"/>
        <v>0</v>
      </c>
      <c r="J465" s="191">
        <f t="shared" si="168"/>
        <v>0</v>
      </c>
      <c r="K465" s="191">
        <f t="shared" si="168"/>
        <v>0</v>
      </c>
      <c r="L465" s="191">
        <f t="shared" si="168"/>
        <v>0</v>
      </c>
      <c r="M465" s="191">
        <f t="shared" si="168"/>
        <v>5700</v>
      </c>
      <c r="N465" s="191">
        <f t="shared" si="168"/>
        <v>5700</v>
      </c>
      <c r="O465" s="191">
        <f t="shared" si="168"/>
        <v>5700</v>
      </c>
      <c r="P465" s="191">
        <f t="shared" si="168"/>
        <v>5700</v>
      </c>
      <c r="Q465" s="190">
        <f t="shared" si="168"/>
        <v>0</v>
      </c>
      <c r="R465" s="190">
        <f t="shared" si="168"/>
        <v>0</v>
      </c>
      <c r="S465" s="474">
        <f t="shared" si="168"/>
        <v>5700</v>
      </c>
      <c r="T465" s="474">
        <f t="shared" si="168"/>
        <v>5700</v>
      </c>
      <c r="U465" s="191">
        <f t="shared" si="168"/>
        <v>0</v>
      </c>
      <c r="V465" s="191">
        <f t="shared" si="168"/>
        <v>0</v>
      </c>
      <c r="W465" s="191">
        <f t="shared" si="168"/>
        <v>0</v>
      </c>
      <c r="X465" s="191">
        <f t="shared" si="168"/>
        <v>0</v>
      </c>
      <c r="Y465" s="190">
        <v>74500</v>
      </c>
      <c r="Z465" s="190">
        <v>74500</v>
      </c>
      <c r="AA465" s="190">
        <v>74500</v>
      </c>
      <c r="AB465" s="190">
        <v>74500</v>
      </c>
      <c r="AC465" s="190">
        <v>74500</v>
      </c>
      <c r="AD465" s="190">
        <v>74500</v>
      </c>
      <c r="AE465" s="190">
        <v>74500</v>
      </c>
      <c r="AF465" s="190">
        <v>74500</v>
      </c>
      <c r="AG465" s="190"/>
      <c r="AH465" s="173">
        <f t="shared" si="163"/>
        <v>0</v>
      </c>
    </row>
    <row r="466" spans="1:34" ht="51.75" hidden="1" x14ac:dyDescent="0.25">
      <c r="A466" s="194" t="s">
        <v>87</v>
      </c>
      <c r="B466" s="193" t="s">
        <v>88</v>
      </c>
      <c r="C466" s="192"/>
      <c r="D466" s="192"/>
      <c r="E466" s="192"/>
      <c r="F466" s="192"/>
      <c r="G466" s="191">
        <f>G473+G477</f>
        <v>13999</v>
      </c>
      <c r="H466" s="191">
        <f>H473+H477</f>
        <v>13999</v>
      </c>
      <c r="I466" s="191"/>
      <c r="J466" s="191"/>
      <c r="K466" s="191"/>
      <c r="L466" s="191"/>
      <c r="M466" s="191">
        <f>M473+M477</f>
        <v>5700</v>
      </c>
      <c r="N466" s="191">
        <f>N473+N477</f>
        <v>5700</v>
      </c>
      <c r="O466" s="191">
        <f>O473+O477</f>
        <v>5700</v>
      </c>
      <c r="P466" s="191">
        <f>P473+P477</f>
        <v>5700</v>
      </c>
      <c r="Q466" s="190">
        <f>SUM(Q467:Q477)</f>
        <v>0</v>
      </c>
      <c r="R466" s="190">
        <f>SUM(R467:R477)</f>
        <v>0</v>
      </c>
      <c r="S466" s="474">
        <f t="shared" ref="S466:X466" si="169">S473+S477</f>
        <v>5700</v>
      </c>
      <c r="T466" s="474">
        <f t="shared" si="169"/>
        <v>5700</v>
      </c>
      <c r="U466" s="191">
        <f t="shared" si="169"/>
        <v>0</v>
      </c>
      <c r="V466" s="191">
        <f t="shared" si="169"/>
        <v>0</v>
      </c>
      <c r="W466" s="191">
        <f t="shared" si="169"/>
        <v>0</v>
      </c>
      <c r="X466" s="191">
        <f t="shared" si="169"/>
        <v>0</v>
      </c>
      <c r="Y466" s="190">
        <f t="shared" ref="Y466:AF466" si="170">SUM(Y467:Y477)</f>
        <v>0</v>
      </c>
      <c r="Z466" s="190">
        <f t="shared" si="170"/>
        <v>0</v>
      </c>
      <c r="AA466" s="190">
        <f t="shared" si="170"/>
        <v>0</v>
      </c>
      <c r="AB466" s="190">
        <f t="shared" si="170"/>
        <v>0</v>
      </c>
      <c r="AC466" s="190">
        <f t="shared" si="170"/>
        <v>0</v>
      </c>
      <c r="AD466" s="190">
        <f t="shared" si="170"/>
        <v>0</v>
      </c>
      <c r="AE466" s="190">
        <f t="shared" si="170"/>
        <v>0</v>
      </c>
      <c r="AF466" s="190">
        <f t="shared" si="170"/>
        <v>0</v>
      </c>
      <c r="AG466" s="190"/>
      <c r="AH466" s="173">
        <f t="shared" si="163"/>
        <v>0</v>
      </c>
    </row>
    <row r="467" spans="1:34" ht="49.5" hidden="1" x14ac:dyDescent="0.25">
      <c r="A467" s="184">
        <v>3</v>
      </c>
      <c r="B467" s="183" t="s">
        <v>1005</v>
      </c>
      <c r="C467" s="188"/>
      <c r="D467" s="180" t="s">
        <v>1004</v>
      </c>
      <c r="E467" s="181" t="s">
        <v>97</v>
      </c>
      <c r="F467" s="180" t="s">
        <v>1003</v>
      </c>
      <c r="G467" s="179">
        <v>14763</v>
      </c>
      <c r="H467" s="179">
        <f t="shared" ref="H467:H477" si="171">G467</f>
        <v>14763</v>
      </c>
      <c r="I467" s="175"/>
      <c r="J467" s="175"/>
      <c r="K467" s="175"/>
      <c r="L467" s="175"/>
      <c r="M467" s="179">
        <f t="shared" ref="M467:M476" si="172">N467</f>
        <v>12500</v>
      </c>
      <c r="N467" s="179">
        <v>12500</v>
      </c>
      <c r="O467" s="178">
        <v>12500</v>
      </c>
      <c r="P467" s="178">
        <v>12500</v>
      </c>
      <c r="Q467" s="176"/>
      <c r="R467" s="176"/>
      <c r="S467" s="456">
        <v>12500</v>
      </c>
      <c r="T467" s="456">
        <v>12500</v>
      </c>
      <c r="U467" s="179">
        <f>V467</f>
        <v>9100</v>
      </c>
      <c r="V467" s="179">
        <v>9100</v>
      </c>
      <c r="W467" s="179"/>
      <c r="X467" s="179"/>
      <c r="Y467" s="179"/>
      <c r="Z467" s="179"/>
      <c r="AA467" s="179"/>
      <c r="AB467" s="179"/>
      <c r="AC467" s="179"/>
      <c r="AD467" s="179"/>
      <c r="AE467" s="179"/>
      <c r="AF467" s="179"/>
      <c r="AG467" s="174"/>
      <c r="AH467" s="173">
        <f t="shared" si="163"/>
        <v>0</v>
      </c>
    </row>
    <row r="468" spans="1:34" ht="49.5" hidden="1" x14ac:dyDescent="0.25">
      <c r="A468" s="184">
        <v>4</v>
      </c>
      <c r="B468" s="183" t="s">
        <v>1002</v>
      </c>
      <c r="C468" s="188" t="s">
        <v>1001</v>
      </c>
      <c r="D468" s="188" t="s">
        <v>1000</v>
      </c>
      <c r="E468" s="197" t="s">
        <v>109</v>
      </c>
      <c r="F468" s="188" t="s">
        <v>999</v>
      </c>
      <c r="G468" s="196">
        <v>10991</v>
      </c>
      <c r="H468" s="179">
        <f t="shared" si="171"/>
        <v>10991</v>
      </c>
      <c r="I468" s="175"/>
      <c r="J468" s="175"/>
      <c r="K468" s="175"/>
      <c r="L468" s="175"/>
      <c r="M468" s="179">
        <f t="shared" si="172"/>
        <v>9980</v>
      </c>
      <c r="N468" s="179">
        <v>9980</v>
      </c>
      <c r="O468" s="178">
        <v>9980</v>
      </c>
      <c r="P468" s="178">
        <v>9980</v>
      </c>
      <c r="Q468" s="176"/>
      <c r="R468" s="176"/>
      <c r="S468" s="456">
        <v>9980</v>
      </c>
      <c r="T468" s="456">
        <v>9980</v>
      </c>
      <c r="U468" s="179"/>
      <c r="V468" s="179"/>
      <c r="W468" s="179">
        <f>X468</f>
        <v>7000</v>
      </c>
      <c r="X468" s="179">
        <v>7000</v>
      </c>
      <c r="Y468" s="179"/>
      <c r="Z468" s="179"/>
      <c r="AA468" s="179"/>
      <c r="AB468" s="179"/>
      <c r="AC468" s="179"/>
      <c r="AD468" s="179"/>
      <c r="AE468" s="179"/>
      <c r="AF468" s="179"/>
      <c r="AG468" s="174"/>
      <c r="AH468" s="173">
        <f t="shared" si="163"/>
        <v>0</v>
      </c>
    </row>
    <row r="469" spans="1:34" ht="49.5" hidden="1" x14ac:dyDescent="0.25">
      <c r="A469" s="184">
        <v>5</v>
      </c>
      <c r="B469" s="183" t="s">
        <v>998</v>
      </c>
      <c r="C469" s="188" t="s">
        <v>994</v>
      </c>
      <c r="D469" s="188" t="s">
        <v>997</v>
      </c>
      <c r="E469" s="197" t="s">
        <v>109</v>
      </c>
      <c r="F469" s="188" t="s">
        <v>996</v>
      </c>
      <c r="G469" s="196">
        <v>13008</v>
      </c>
      <c r="H469" s="179">
        <f t="shared" si="171"/>
        <v>13008</v>
      </c>
      <c r="I469" s="175"/>
      <c r="J469" s="175"/>
      <c r="K469" s="175"/>
      <c r="L469" s="175"/>
      <c r="M469" s="179">
        <f t="shared" si="172"/>
        <v>11500</v>
      </c>
      <c r="N469" s="179">
        <v>11500</v>
      </c>
      <c r="O469" s="178">
        <v>11500</v>
      </c>
      <c r="P469" s="178">
        <v>11500</v>
      </c>
      <c r="Q469" s="176"/>
      <c r="R469" s="176"/>
      <c r="S469" s="456">
        <v>11500</v>
      </c>
      <c r="T469" s="456">
        <v>11500</v>
      </c>
      <c r="U469" s="179"/>
      <c r="V469" s="179"/>
      <c r="W469" s="179">
        <f>X469</f>
        <v>9000</v>
      </c>
      <c r="X469" s="179">
        <v>9000</v>
      </c>
      <c r="Y469" s="179"/>
      <c r="Z469" s="179"/>
      <c r="AA469" s="179"/>
      <c r="AB469" s="179"/>
      <c r="AC469" s="179"/>
      <c r="AD469" s="179"/>
      <c r="AE469" s="179"/>
      <c r="AF469" s="179"/>
      <c r="AG469" s="174"/>
      <c r="AH469" s="173">
        <f t="shared" si="163"/>
        <v>0</v>
      </c>
    </row>
    <row r="470" spans="1:34" ht="49.5" hidden="1" x14ac:dyDescent="0.25">
      <c r="A470" s="184">
        <v>6</v>
      </c>
      <c r="B470" s="183" t="s">
        <v>995</v>
      </c>
      <c r="C470" s="188" t="s">
        <v>994</v>
      </c>
      <c r="D470" s="188" t="s">
        <v>993</v>
      </c>
      <c r="E470" s="197"/>
      <c r="F470" s="197"/>
      <c r="G470" s="196">
        <v>8798</v>
      </c>
      <c r="H470" s="179">
        <f t="shared" si="171"/>
        <v>8798</v>
      </c>
      <c r="I470" s="175"/>
      <c r="J470" s="175"/>
      <c r="K470" s="175"/>
      <c r="L470" s="175"/>
      <c r="M470" s="179">
        <f t="shared" si="172"/>
        <v>8400</v>
      </c>
      <c r="N470" s="179">
        <v>8400</v>
      </c>
      <c r="O470" s="178">
        <v>8400</v>
      </c>
      <c r="P470" s="178">
        <v>8400</v>
      </c>
      <c r="Q470" s="176"/>
      <c r="R470" s="176"/>
      <c r="S470" s="456">
        <v>8400</v>
      </c>
      <c r="T470" s="456">
        <v>8400</v>
      </c>
      <c r="U470" s="179"/>
      <c r="V470" s="179"/>
      <c r="W470" s="179"/>
      <c r="X470" s="179"/>
      <c r="Y470" s="179"/>
      <c r="Z470" s="179"/>
      <c r="AA470" s="179"/>
      <c r="AB470" s="179"/>
      <c r="AC470" s="179"/>
      <c r="AD470" s="179"/>
      <c r="AE470" s="179"/>
      <c r="AF470" s="179"/>
      <c r="AG470" s="174"/>
      <c r="AH470" s="173">
        <f t="shared" si="163"/>
        <v>0</v>
      </c>
    </row>
    <row r="471" spans="1:34" ht="49.5" hidden="1" x14ac:dyDescent="0.25">
      <c r="A471" s="184">
        <v>7</v>
      </c>
      <c r="B471" s="183" t="s">
        <v>992</v>
      </c>
      <c r="C471" s="188" t="s">
        <v>991</v>
      </c>
      <c r="D471" s="188" t="s">
        <v>990</v>
      </c>
      <c r="E471" s="197"/>
      <c r="F471" s="197"/>
      <c r="G471" s="196">
        <v>8000</v>
      </c>
      <c r="H471" s="179">
        <f t="shared" si="171"/>
        <v>8000</v>
      </c>
      <c r="I471" s="175"/>
      <c r="J471" s="175"/>
      <c r="K471" s="175"/>
      <c r="L471" s="175"/>
      <c r="M471" s="179">
        <f t="shared" si="172"/>
        <v>7500</v>
      </c>
      <c r="N471" s="179">
        <v>7500</v>
      </c>
      <c r="O471" s="178">
        <v>7500</v>
      </c>
      <c r="P471" s="178">
        <v>7500</v>
      </c>
      <c r="Q471" s="176"/>
      <c r="R471" s="176"/>
      <c r="S471" s="456">
        <v>7500</v>
      </c>
      <c r="T471" s="456">
        <v>7500</v>
      </c>
      <c r="U471" s="179"/>
      <c r="V471" s="179"/>
      <c r="W471" s="179"/>
      <c r="X471" s="179"/>
      <c r="Y471" s="179"/>
      <c r="Z471" s="179"/>
      <c r="AA471" s="179"/>
      <c r="AB471" s="179"/>
      <c r="AC471" s="179"/>
      <c r="AD471" s="179"/>
      <c r="AE471" s="179"/>
      <c r="AF471" s="179"/>
      <c r="AG471" s="174"/>
      <c r="AH471" s="173">
        <f t="shared" si="163"/>
        <v>0</v>
      </c>
    </row>
    <row r="472" spans="1:34" ht="16.5" hidden="1" x14ac:dyDescent="0.25">
      <c r="A472" s="184">
        <v>8</v>
      </c>
      <c r="B472" s="183" t="s">
        <v>989</v>
      </c>
      <c r="C472" s="188" t="s">
        <v>982</v>
      </c>
      <c r="D472" s="197"/>
      <c r="E472" s="197"/>
      <c r="F472" s="197"/>
      <c r="G472" s="196">
        <v>8000</v>
      </c>
      <c r="H472" s="179">
        <f t="shared" si="171"/>
        <v>8000</v>
      </c>
      <c r="I472" s="175"/>
      <c r="J472" s="175"/>
      <c r="K472" s="175"/>
      <c r="L472" s="175"/>
      <c r="M472" s="179">
        <f t="shared" si="172"/>
        <v>7500</v>
      </c>
      <c r="N472" s="179">
        <v>7500</v>
      </c>
      <c r="O472" s="178">
        <v>7500</v>
      </c>
      <c r="P472" s="178">
        <v>7500</v>
      </c>
      <c r="Q472" s="176"/>
      <c r="R472" s="176"/>
      <c r="S472" s="456">
        <v>7500</v>
      </c>
      <c r="T472" s="456">
        <v>7500</v>
      </c>
      <c r="U472" s="179"/>
      <c r="V472" s="179"/>
      <c r="W472" s="179"/>
      <c r="X472" s="179"/>
      <c r="Y472" s="179"/>
      <c r="Z472" s="179"/>
      <c r="AA472" s="179"/>
      <c r="AB472" s="179"/>
      <c r="AC472" s="179"/>
      <c r="AD472" s="179"/>
      <c r="AE472" s="179"/>
      <c r="AF472" s="179"/>
      <c r="AG472" s="174"/>
      <c r="AH472" s="173">
        <f t="shared" si="163"/>
        <v>0</v>
      </c>
    </row>
    <row r="473" spans="1:34" ht="33" hidden="1" x14ac:dyDescent="0.25">
      <c r="A473" s="184">
        <v>9</v>
      </c>
      <c r="B473" s="183" t="s">
        <v>988</v>
      </c>
      <c r="C473" s="188" t="s">
        <v>987</v>
      </c>
      <c r="D473" s="197"/>
      <c r="E473" s="197"/>
      <c r="F473" s="197"/>
      <c r="G473" s="196">
        <v>6000</v>
      </c>
      <c r="H473" s="179">
        <f t="shared" si="171"/>
        <v>6000</v>
      </c>
      <c r="I473" s="175"/>
      <c r="J473" s="175"/>
      <c r="K473" s="175"/>
      <c r="L473" s="175"/>
      <c r="M473" s="179">
        <f t="shared" si="172"/>
        <v>5700</v>
      </c>
      <c r="N473" s="179">
        <v>5700</v>
      </c>
      <c r="O473" s="178"/>
      <c r="P473" s="178"/>
      <c r="Q473" s="176"/>
      <c r="R473" s="176"/>
      <c r="S473" s="456"/>
      <c r="T473" s="456"/>
      <c r="U473" s="179"/>
      <c r="V473" s="179"/>
      <c r="W473" s="179"/>
      <c r="X473" s="179"/>
      <c r="Y473" s="179"/>
      <c r="Z473" s="179"/>
      <c r="AA473" s="179"/>
      <c r="AB473" s="179"/>
      <c r="AC473" s="179"/>
      <c r="AD473" s="179"/>
      <c r="AE473" s="179"/>
      <c r="AF473" s="179"/>
      <c r="AG473" s="185" t="s">
        <v>284</v>
      </c>
      <c r="AH473" s="173">
        <f t="shared" si="163"/>
        <v>0</v>
      </c>
    </row>
    <row r="474" spans="1:34" ht="33" hidden="1" x14ac:dyDescent="0.25">
      <c r="A474" s="184">
        <v>10</v>
      </c>
      <c r="B474" s="183" t="s">
        <v>986</v>
      </c>
      <c r="C474" s="188" t="s">
        <v>985</v>
      </c>
      <c r="D474" s="197"/>
      <c r="E474" s="197"/>
      <c r="F474" s="197"/>
      <c r="G474" s="196">
        <v>3000</v>
      </c>
      <c r="H474" s="179">
        <f t="shared" si="171"/>
        <v>3000</v>
      </c>
      <c r="I474" s="175"/>
      <c r="J474" s="175"/>
      <c r="K474" s="175"/>
      <c r="L474" s="175"/>
      <c r="M474" s="179">
        <f t="shared" si="172"/>
        <v>2850</v>
      </c>
      <c r="N474" s="179">
        <v>2850</v>
      </c>
      <c r="O474" s="178">
        <v>2850</v>
      </c>
      <c r="P474" s="178">
        <v>2850</v>
      </c>
      <c r="Q474" s="176"/>
      <c r="R474" s="176"/>
      <c r="S474" s="456">
        <v>2850</v>
      </c>
      <c r="T474" s="456">
        <v>2850</v>
      </c>
      <c r="U474" s="179"/>
      <c r="V474" s="179"/>
      <c r="W474" s="179"/>
      <c r="X474" s="179"/>
      <c r="Y474" s="179"/>
      <c r="Z474" s="179"/>
      <c r="AA474" s="179"/>
      <c r="AB474" s="179"/>
      <c r="AC474" s="179"/>
      <c r="AD474" s="179"/>
      <c r="AE474" s="179"/>
      <c r="AF474" s="179"/>
      <c r="AG474" s="174"/>
      <c r="AH474" s="173">
        <f t="shared" si="163"/>
        <v>0</v>
      </c>
    </row>
    <row r="475" spans="1:34" ht="16.5" hidden="1" x14ac:dyDescent="0.25">
      <c r="A475" s="184">
        <v>11</v>
      </c>
      <c r="B475" s="183" t="s">
        <v>984</v>
      </c>
      <c r="C475" s="188" t="s">
        <v>982</v>
      </c>
      <c r="D475" s="197"/>
      <c r="E475" s="197"/>
      <c r="F475" s="197"/>
      <c r="G475" s="196">
        <v>4000</v>
      </c>
      <c r="H475" s="179">
        <f t="shared" si="171"/>
        <v>4000</v>
      </c>
      <c r="I475" s="175"/>
      <c r="J475" s="175"/>
      <c r="K475" s="175"/>
      <c r="L475" s="175"/>
      <c r="M475" s="179">
        <f t="shared" si="172"/>
        <v>3810</v>
      </c>
      <c r="N475" s="179">
        <v>3810</v>
      </c>
      <c r="O475" s="178">
        <v>3810</v>
      </c>
      <c r="P475" s="178">
        <v>3810</v>
      </c>
      <c r="Q475" s="176"/>
      <c r="R475" s="176"/>
      <c r="S475" s="456">
        <v>3810</v>
      </c>
      <c r="T475" s="456">
        <v>3810</v>
      </c>
      <c r="U475" s="179"/>
      <c r="V475" s="179"/>
      <c r="W475" s="179"/>
      <c r="X475" s="179"/>
      <c r="Y475" s="179"/>
      <c r="Z475" s="179"/>
      <c r="AA475" s="179"/>
      <c r="AB475" s="179"/>
      <c r="AC475" s="179"/>
      <c r="AD475" s="179"/>
      <c r="AE475" s="179"/>
      <c r="AF475" s="179"/>
      <c r="AG475" s="174"/>
      <c r="AH475" s="173">
        <f t="shared" si="163"/>
        <v>0</v>
      </c>
    </row>
    <row r="476" spans="1:34" ht="16.5" hidden="1" x14ac:dyDescent="0.25">
      <c r="A476" s="184">
        <v>12</v>
      </c>
      <c r="B476" s="183" t="s">
        <v>983</v>
      </c>
      <c r="C476" s="188" t="s">
        <v>982</v>
      </c>
      <c r="D476" s="197"/>
      <c r="E476" s="197"/>
      <c r="F476" s="197"/>
      <c r="G476" s="196">
        <v>5000</v>
      </c>
      <c r="H476" s="179">
        <f t="shared" si="171"/>
        <v>5000</v>
      </c>
      <c r="I476" s="175"/>
      <c r="J476" s="175"/>
      <c r="K476" s="175"/>
      <c r="L476" s="175"/>
      <c r="M476" s="179">
        <f t="shared" si="172"/>
        <v>4760</v>
      </c>
      <c r="N476" s="179">
        <v>4760</v>
      </c>
      <c r="O476" s="178">
        <v>4760</v>
      </c>
      <c r="P476" s="178">
        <v>4760</v>
      </c>
      <c r="Q476" s="176"/>
      <c r="R476" s="176"/>
      <c r="S476" s="456">
        <v>4760</v>
      </c>
      <c r="T476" s="456">
        <v>4760</v>
      </c>
      <c r="U476" s="179"/>
      <c r="V476" s="179"/>
      <c r="W476" s="179"/>
      <c r="X476" s="179"/>
      <c r="Y476" s="179"/>
      <c r="Z476" s="179"/>
      <c r="AA476" s="179"/>
      <c r="AB476" s="179"/>
      <c r="AC476" s="179"/>
      <c r="AD476" s="179"/>
      <c r="AE476" s="179"/>
      <c r="AF476" s="179"/>
      <c r="AG476" s="174"/>
      <c r="AH476" s="173">
        <f t="shared" ref="AH476:AH502" si="173">IF(T476-P476=0,0,1)</f>
        <v>0</v>
      </c>
    </row>
    <row r="477" spans="1:34" ht="49.5" hidden="1" x14ac:dyDescent="0.25">
      <c r="A477" s="184">
        <v>13</v>
      </c>
      <c r="B477" s="183" t="s">
        <v>981</v>
      </c>
      <c r="C477" s="188"/>
      <c r="D477" s="180"/>
      <c r="E477" s="181" t="s">
        <v>116</v>
      </c>
      <c r="F477" s="180"/>
      <c r="G477" s="179">
        <v>7999</v>
      </c>
      <c r="H477" s="179">
        <f t="shared" si="171"/>
        <v>7999</v>
      </c>
      <c r="I477" s="175"/>
      <c r="J477" s="175"/>
      <c r="K477" s="175"/>
      <c r="L477" s="175"/>
      <c r="M477" s="179"/>
      <c r="N477" s="179"/>
      <c r="O477" s="178">
        <f>P477</f>
        <v>5700</v>
      </c>
      <c r="P477" s="178">
        <v>5700</v>
      </c>
      <c r="Q477" s="176"/>
      <c r="R477" s="176"/>
      <c r="S477" s="456">
        <f>T477</f>
        <v>5700</v>
      </c>
      <c r="T477" s="456">
        <v>5700</v>
      </c>
      <c r="U477" s="179"/>
      <c r="V477" s="179"/>
      <c r="W477" s="179"/>
      <c r="X477" s="179"/>
      <c r="Y477" s="179"/>
      <c r="Z477" s="179"/>
      <c r="AA477" s="179"/>
      <c r="AB477" s="179"/>
      <c r="AC477" s="179"/>
      <c r="AD477" s="179"/>
      <c r="AE477" s="179"/>
      <c r="AF477" s="179"/>
      <c r="AG477" s="185" t="s">
        <v>980</v>
      </c>
      <c r="AH477" s="173">
        <f t="shared" si="173"/>
        <v>0</v>
      </c>
    </row>
    <row r="478" spans="1:34" s="203" customFormat="1" ht="16.5" hidden="1" x14ac:dyDescent="0.25">
      <c r="A478" s="210" t="s">
        <v>730</v>
      </c>
      <c r="B478" s="209" t="s">
        <v>979</v>
      </c>
      <c r="C478" s="208"/>
      <c r="D478" s="207"/>
      <c r="E478" s="207"/>
      <c r="F478" s="207"/>
      <c r="G478" s="206">
        <f t="shared" ref="G478:AF478" si="174">G479+G488</f>
        <v>75562</v>
      </c>
      <c r="H478" s="206">
        <f t="shared" si="174"/>
        <v>56000</v>
      </c>
      <c r="I478" s="206">
        <f t="shared" si="174"/>
        <v>14800</v>
      </c>
      <c r="J478" s="206">
        <f t="shared" si="174"/>
        <v>14800</v>
      </c>
      <c r="K478" s="206">
        <f t="shared" si="174"/>
        <v>14800</v>
      </c>
      <c r="L478" s="206">
        <f t="shared" si="174"/>
        <v>14800</v>
      </c>
      <c r="M478" s="206">
        <f t="shared" si="174"/>
        <v>43420</v>
      </c>
      <c r="N478" s="206">
        <f t="shared" si="174"/>
        <v>43420</v>
      </c>
      <c r="O478" s="206">
        <f t="shared" si="174"/>
        <v>43420</v>
      </c>
      <c r="P478" s="206">
        <f t="shared" si="174"/>
        <v>43420</v>
      </c>
      <c r="Q478" s="206">
        <f t="shared" si="174"/>
        <v>0</v>
      </c>
      <c r="R478" s="206">
        <f t="shared" si="174"/>
        <v>0</v>
      </c>
      <c r="S478" s="465">
        <f t="shared" si="174"/>
        <v>43420</v>
      </c>
      <c r="T478" s="465">
        <f t="shared" si="174"/>
        <v>43420</v>
      </c>
      <c r="U478" s="206">
        <f t="shared" si="174"/>
        <v>15700</v>
      </c>
      <c r="V478" s="206">
        <f t="shared" si="174"/>
        <v>15700</v>
      </c>
      <c r="W478" s="206">
        <f t="shared" si="174"/>
        <v>16000</v>
      </c>
      <c r="X478" s="206">
        <f t="shared" si="174"/>
        <v>16000</v>
      </c>
      <c r="Y478" s="205">
        <f t="shared" si="174"/>
        <v>0</v>
      </c>
      <c r="Z478" s="205">
        <f t="shared" si="174"/>
        <v>0</v>
      </c>
      <c r="AA478" s="205">
        <f t="shared" si="174"/>
        <v>0</v>
      </c>
      <c r="AB478" s="205">
        <f t="shared" si="174"/>
        <v>0</v>
      </c>
      <c r="AC478" s="205">
        <f t="shared" si="174"/>
        <v>0</v>
      </c>
      <c r="AD478" s="205">
        <f t="shared" si="174"/>
        <v>0</v>
      </c>
      <c r="AE478" s="205">
        <f t="shared" si="174"/>
        <v>0</v>
      </c>
      <c r="AF478" s="205">
        <f t="shared" si="174"/>
        <v>0</v>
      </c>
      <c r="AG478" s="204"/>
      <c r="AH478" s="173">
        <f t="shared" si="173"/>
        <v>0</v>
      </c>
    </row>
    <row r="479" spans="1:34" ht="51.75" hidden="1" x14ac:dyDescent="0.25">
      <c r="A479" s="195" t="s">
        <v>45</v>
      </c>
      <c r="B479" s="193" t="s">
        <v>46</v>
      </c>
      <c r="C479" s="192"/>
      <c r="D479" s="192"/>
      <c r="E479" s="192"/>
      <c r="F479" s="192"/>
      <c r="G479" s="191">
        <f t="shared" ref="G479:AF479" si="175">G480</f>
        <v>6632</v>
      </c>
      <c r="H479" s="191">
        <f t="shared" si="175"/>
        <v>6632</v>
      </c>
      <c r="I479" s="191">
        <f t="shared" si="175"/>
        <v>14800</v>
      </c>
      <c r="J479" s="191">
        <f t="shared" si="175"/>
        <v>14800</v>
      </c>
      <c r="K479" s="191">
        <f t="shared" si="175"/>
        <v>14800</v>
      </c>
      <c r="L479" s="191">
        <f t="shared" si="175"/>
        <v>14800</v>
      </c>
      <c r="M479" s="191">
        <f t="shared" si="175"/>
        <v>2910</v>
      </c>
      <c r="N479" s="191">
        <f t="shared" si="175"/>
        <v>2910</v>
      </c>
      <c r="O479" s="190">
        <f t="shared" si="175"/>
        <v>2700</v>
      </c>
      <c r="P479" s="190">
        <f t="shared" si="175"/>
        <v>2700</v>
      </c>
      <c r="Q479" s="191">
        <f t="shared" si="175"/>
        <v>0</v>
      </c>
      <c r="R479" s="191">
        <f t="shared" si="175"/>
        <v>0</v>
      </c>
      <c r="S479" s="474">
        <f t="shared" si="175"/>
        <v>2700</v>
      </c>
      <c r="T479" s="474">
        <f t="shared" si="175"/>
        <v>2700</v>
      </c>
      <c r="U479" s="190">
        <f t="shared" si="175"/>
        <v>300</v>
      </c>
      <c r="V479" s="190">
        <f t="shared" si="175"/>
        <v>300</v>
      </c>
      <c r="W479" s="190">
        <f t="shared" si="175"/>
        <v>37</v>
      </c>
      <c r="X479" s="190">
        <f t="shared" si="175"/>
        <v>37</v>
      </c>
      <c r="Y479" s="190">
        <f t="shared" si="175"/>
        <v>0</v>
      </c>
      <c r="Z479" s="190">
        <f t="shared" si="175"/>
        <v>0</v>
      </c>
      <c r="AA479" s="190">
        <f t="shared" si="175"/>
        <v>0</v>
      </c>
      <c r="AB479" s="190">
        <f t="shared" si="175"/>
        <v>0</v>
      </c>
      <c r="AC479" s="190">
        <f t="shared" si="175"/>
        <v>0</v>
      </c>
      <c r="AD479" s="190">
        <f t="shared" si="175"/>
        <v>0</v>
      </c>
      <c r="AE479" s="190">
        <f t="shared" si="175"/>
        <v>0</v>
      </c>
      <c r="AF479" s="190">
        <f t="shared" si="175"/>
        <v>0</v>
      </c>
      <c r="AG479" s="198"/>
      <c r="AH479" s="173">
        <f t="shared" si="173"/>
        <v>0</v>
      </c>
    </row>
    <row r="480" spans="1:34" ht="34.5" hidden="1" x14ac:dyDescent="0.25">
      <c r="A480" s="194" t="s">
        <v>47</v>
      </c>
      <c r="B480" s="193" t="s">
        <v>48</v>
      </c>
      <c r="C480" s="192"/>
      <c r="D480" s="192"/>
      <c r="E480" s="192"/>
      <c r="F480" s="192"/>
      <c r="G480" s="191">
        <f>G483+G486</f>
        <v>6632</v>
      </c>
      <c r="H480" s="191">
        <f>H483+H486</f>
        <v>6632</v>
      </c>
      <c r="I480" s="191">
        <f>SUM(I483:I487)</f>
        <v>14800</v>
      </c>
      <c r="J480" s="191">
        <f>SUM(J483:J487)</f>
        <v>14800</v>
      </c>
      <c r="K480" s="191">
        <f>SUM(K483:K487)</f>
        <v>14800</v>
      </c>
      <c r="L480" s="191">
        <f>SUM(L483:L487)</f>
        <v>14800</v>
      </c>
      <c r="M480" s="191">
        <f>M483+M486</f>
        <v>2910</v>
      </c>
      <c r="N480" s="191">
        <f>N483+N486</f>
        <v>2910</v>
      </c>
      <c r="O480" s="191">
        <f>O483+O486</f>
        <v>2700</v>
      </c>
      <c r="P480" s="191">
        <f>P483+P486</f>
        <v>2700</v>
      </c>
      <c r="Q480" s="191">
        <f t="shared" ref="Q480:X480" si="176">Q483+Q486</f>
        <v>0</v>
      </c>
      <c r="R480" s="191">
        <f t="shared" si="176"/>
        <v>0</v>
      </c>
      <c r="S480" s="474">
        <f t="shared" si="176"/>
        <v>2700</v>
      </c>
      <c r="T480" s="474">
        <f t="shared" si="176"/>
        <v>2700</v>
      </c>
      <c r="U480" s="191">
        <f t="shared" si="176"/>
        <v>300</v>
      </c>
      <c r="V480" s="191">
        <f t="shared" si="176"/>
        <v>300</v>
      </c>
      <c r="W480" s="191">
        <f t="shared" si="176"/>
        <v>37</v>
      </c>
      <c r="X480" s="191">
        <f t="shared" si="176"/>
        <v>37</v>
      </c>
      <c r="Y480" s="190">
        <f t="shared" ref="Y480:AF480" si="177">SUM(Y483:Y487)</f>
        <v>0</v>
      </c>
      <c r="Z480" s="190">
        <f t="shared" si="177"/>
        <v>0</v>
      </c>
      <c r="AA480" s="190">
        <f t="shared" si="177"/>
        <v>0</v>
      </c>
      <c r="AB480" s="190">
        <f t="shared" si="177"/>
        <v>0</v>
      </c>
      <c r="AC480" s="190">
        <f t="shared" si="177"/>
        <v>0</v>
      </c>
      <c r="AD480" s="190">
        <f t="shared" si="177"/>
        <v>0</v>
      </c>
      <c r="AE480" s="190">
        <f t="shared" si="177"/>
        <v>0</v>
      </c>
      <c r="AF480" s="190">
        <f t="shared" si="177"/>
        <v>0</v>
      </c>
      <c r="AG480" s="198"/>
      <c r="AH480" s="173">
        <f t="shared" si="173"/>
        <v>0</v>
      </c>
    </row>
    <row r="481" spans="1:34" ht="17.25" hidden="1" x14ac:dyDescent="0.25">
      <c r="A481" s="194"/>
      <c r="B481" s="193" t="s">
        <v>49</v>
      </c>
      <c r="C481" s="202"/>
      <c r="D481" s="202"/>
      <c r="E481" s="202"/>
      <c r="F481" s="202"/>
      <c r="G481" s="200"/>
      <c r="H481" s="200"/>
      <c r="I481" s="200"/>
      <c r="J481" s="200"/>
      <c r="K481" s="200"/>
      <c r="L481" s="200"/>
      <c r="M481" s="200"/>
      <c r="N481" s="200"/>
      <c r="O481" s="201"/>
      <c r="P481" s="201"/>
      <c r="Q481" s="176" t="e">
        <f>IF(#REF!&gt;0,#REF!,0)</f>
        <v>#REF!</v>
      </c>
      <c r="R481" s="176" t="e">
        <f>IF(#REF!&lt;0,-#REF!,0)</f>
        <v>#REF!</v>
      </c>
      <c r="S481" s="475"/>
      <c r="T481" s="475"/>
      <c r="U481" s="200"/>
      <c r="V481" s="200"/>
      <c r="W481" s="200"/>
      <c r="X481" s="200"/>
      <c r="Y481" s="200"/>
      <c r="Z481" s="200"/>
      <c r="AA481" s="200"/>
      <c r="AB481" s="200"/>
      <c r="AC481" s="200"/>
      <c r="AD481" s="200"/>
      <c r="AE481" s="200"/>
      <c r="AF481" s="200"/>
      <c r="AG481" s="198"/>
      <c r="AH481" s="173">
        <f t="shared" si="173"/>
        <v>0</v>
      </c>
    </row>
    <row r="482" spans="1:34" ht="51.75" hidden="1" x14ac:dyDescent="0.25">
      <c r="A482" s="194"/>
      <c r="B482" s="199" t="s">
        <v>50</v>
      </c>
      <c r="C482" s="192"/>
      <c r="D482" s="192"/>
      <c r="E482" s="192"/>
      <c r="F482" s="192"/>
      <c r="G482" s="191"/>
      <c r="H482" s="191"/>
      <c r="I482" s="191"/>
      <c r="J482" s="191"/>
      <c r="K482" s="191"/>
      <c r="L482" s="191"/>
      <c r="M482" s="191"/>
      <c r="N482" s="191"/>
      <c r="O482" s="190"/>
      <c r="P482" s="190"/>
      <c r="Q482" s="176" t="e">
        <f>IF(#REF!&gt;0,#REF!,0)</f>
        <v>#REF!</v>
      </c>
      <c r="R482" s="176" t="e">
        <f>IF(#REF!&lt;0,-#REF!,0)</f>
        <v>#REF!</v>
      </c>
      <c r="S482" s="474"/>
      <c r="T482" s="474"/>
      <c r="U482" s="191"/>
      <c r="V482" s="191"/>
      <c r="W482" s="191"/>
      <c r="X482" s="191"/>
      <c r="Y482" s="191"/>
      <c r="Z482" s="191"/>
      <c r="AA482" s="191"/>
      <c r="AB482" s="191"/>
      <c r="AC482" s="191"/>
      <c r="AD482" s="191"/>
      <c r="AE482" s="191"/>
      <c r="AF482" s="191"/>
      <c r="AG482" s="198"/>
      <c r="AH482" s="173">
        <f t="shared" si="173"/>
        <v>0</v>
      </c>
    </row>
    <row r="483" spans="1:34" ht="49.5" hidden="1" x14ac:dyDescent="0.25">
      <c r="A483" s="184">
        <v>1</v>
      </c>
      <c r="B483" s="183" t="s">
        <v>978</v>
      </c>
      <c r="C483" s="188" t="s">
        <v>977</v>
      </c>
      <c r="D483" s="197" t="s">
        <v>976</v>
      </c>
      <c r="E483" s="197">
        <v>2015</v>
      </c>
      <c r="F483" s="180" t="s">
        <v>975</v>
      </c>
      <c r="G483" s="179">
        <v>5730</v>
      </c>
      <c r="H483" s="179">
        <f>G483</f>
        <v>5730</v>
      </c>
      <c r="I483" s="179">
        <f>J483</f>
        <v>2100</v>
      </c>
      <c r="J483" s="196">
        <v>2100</v>
      </c>
      <c r="K483" s="179">
        <f>L483</f>
        <v>2100</v>
      </c>
      <c r="L483" s="196">
        <v>2100</v>
      </c>
      <c r="M483" s="179">
        <f>N483</f>
        <v>2580</v>
      </c>
      <c r="N483" s="179">
        <v>2580</v>
      </c>
      <c r="O483" s="178">
        <f>P483</f>
        <v>2400</v>
      </c>
      <c r="P483" s="178">
        <v>2400</v>
      </c>
      <c r="Q483" s="176"/>
      <c r="R483" s="176"/>
      <c r="S483" s="456">
        <f>T483</f>
        <v>2400</v>
      </c>
      <c r="T483" s="456">
        <v>2400</v>
      </c>
      <c r="U483" s="175"/>
      <c r="V483" s="175"/>
      <c r="W483" s="175">
        <f>X483</f>
        <v>22</v>
      </c>
      <c r="X483" s="175">
        <v>22</v>
      </c>
      <c r="Y483" s="175"/>
      <c r="Z483" s="175"/>
      <c r="AA483" s="175"/>
      <c r="AB483" s="175"/>
      <c r="AC483" s="175"/>
      <c r="AD483" s="175"/>
      <c r="AE483" s="175"/>
      <c r="AF483" s="175"/>
      <c r="AG483" s="174" t="s">
        <v>404</v>
      </c>
      <c r="AH483" s="173">
        <f t="shared" si="173"/>
        <v>0</v>
      </c>
    </row>
    <row r="484" spans="1:34" ht="49.5" hidden="1" x14ac:dyDescent="0.25">
      <c r="A484" s="184">
        <v>2</v>
      </c>
      <c r="B484" s="183" t="s">
        <v>974</v>
      </c>
      <c r="C484" s="188" t="s">
        <v>973</v>
      </c>
      <c r="D484" s="197" t="s">
        <v>972</v>
      </c>
      <c r="E484" s="197">
        <v>2015</v>
      </c>
      <c r="F484" s="180" t="s">
        <v>971</v>
      </c>
      <c r="G484" s="179">
        <v>14679</v>
      </c>
      <c r="H484" s="179">
        <f>G484</f>
        <v>14679</v>
      </c>
      <c r="I484" s="179">
        <f>J484</f>
        <v>5200</v>
      </c>
      <c r="J484" s="196">
        <v>5200</v>
      </c>
      <c r="K484" s="179">
        <f>L484</f>
        <v>5200</v>
      </c>
      <c r="L484" s="196">
        <v>5200</v>
      </c>
      <c r="M484" s="179">
        <v>7800</v>
      </c>
      <c r="N484" s="179">
        <v>7800</v>
      </c>
      <c r="O484" s="178">
        <v>7800</v>
      </c>
      <c r="P484" s="178">
        <v>7800</v>
      </c>
      <c r="Q484" s="176"/>
      <c r="R484" s="176"/>
      <c r="S484" s="456">
        <v>7800</v>
      </c>
      <c r="T484" s="456">
        <v>7800</v>
      </c>
      <c r="U484" s="175"/>
      <c r="V484" s="175"/>
      <c r="W484" s="175"/>
      <c r="X484" s="175"/>
      <c r="Y484" s="175"/>
      <c r="Z484" s="175"/>
      <c r="AA484" s="175"/>
      <c r="AB484" s="175"/>
      <c r="AC484" s="175"/>
      <c r="AD484" s="175"/>
      <c r="AE484" s="175"/>
      <c r="AF484" s="175"/>
      <c r="AG484" s="174"/>
      <c r="AH484" s="173">
        <f t="shared" si="173"/>
        <v>0</v>
      </c>
    </row>
    <row r="485" spans="1:34" ht="49.5" hidden="1" x14ac:dyDescent="0.25">
      <c r="A485" s="184">
        <v>3</v>
      </c>
      <c r="B485" s="183" t="s">
        <v>970</v>
      </c>
      <c r="C485" s="180" t="s">
        <v>969</v>
      </c>
      <c r="D485" s="180"/>
      <c r="E485" s="181" t="s">
        <v>963</v>
      </c>
      <c r="F485" s="180" t="s">
        <v>968</v>
      </c>
      <c r="G485" s="179">
        <v>9092</v>
      </c>
      <c r="H485" s="179">
        <f>G485</f>
        <v>9092</v>
      </c>
      <c r="I485" s="179">
        <f>J485</f>
        <v>3500</v>
      </c>
      <c r="J485" s="179">
        <v>3500</v>
      </c>
      <c r="K485" s="179">
        <f>L485</f>
        <v>3500</v>
      </c>
      <c r="L485" s="179">
        <v>3500</v>
      </c>
      <c r="M485" s="179">
        <v>3850</v>
      </c>
      <c r="N485" s="179">
        <v>3850</v>
      </c>
      <c r="O485" s="178">
        <v>3850</v>
      </c>
      <c r="P485" s="178">
        <v>3850</v>
      </c>
      <c r="Q485" s="176"/>
      <c r="R485" s="176"/>
      <c r="S485" s="456">
        <v>3850</v>
      </c>
      <c r="T485" s="456">
        <v>3850</v>
      </c>
      <c r="U485" s="175">
        <f>V485</f>
        <v>6850</v>
      </c>
      <c r="V485" s="175">
        <v>6850</v>
      </c>
      <c r="W485" s="175"/>
      <c r="X485" s="175"/>
      <c r="Y485" s="175"/>
      <c r="Z485" s="175"/>
      <c r="AA485" s="175"/>
      <c r="AB485" s="175"/>
      <c r="AC485" s="175"/>
      <c r="AD485" s="175"/>
      <c r="AE485" s="175"/>
      <c r="AF485" s="175"/>
      <c r="AG485" s="174"/>
      <c r="AH485" s="173">
        <f t="shared" si="173"/>
        <v>0</v>
      </c>
    </row>
    <row r="486" spans="1:34" ht="49.5" hidden="1" x14ac:dyDescent="0.25">
      <c r="A486" s="184">
        <v>4</v>
      </c>
      <c r="B486" s="183" t="s">
        <v>967</v>
      </c>
      <c r="C486" s="180" t="s">
        <v>960</v>
      </c>
      <c r="D486" s="180"/>
      <c r="E486" s="181" t="s">
        <v>963</v>
      </c>
      <c r="F486" s="180" t="s">
        <v>966</v>
      </c>
      <c r="G486" s="179">
        <v>902</v>
      </c>
      <c r="H486" s="179">
        <f>G486</f>
        <v>902</v>
      </c>
      <c r="I486" s="175">
        <v>500</v>
      </c>
      <c r="J486" s="175">
        <v>500</v>
      </c>
      <c r="K486" s="175">
        <v>500</v>
      </c>
      <c r="L486" s="175">
        <v>500</v>
      </c>
      <c r="M486" s="179">
        <f>N486</f>
        <v>330</v>
      </c>
      <c r="N486" s="179">
        <v>330</v>
      </c>
      <c r="O486" s="178">
        <f>P486</f>
        <v>300</v>
      </c>
      <c r="P486" s="178">
        <v>300</v>
      </c>
      <c r="Q486" s="176"/>
      <c r="R486" s="176"/>
      <c r="S486" s="456">
        <f>T486</f>
        <v>300</v>
      </c>
      <c r="T486" s="456">
        <v>300</v>
      </c>
      <c r="U486" s="175">
        <f>V486</f>
        <v>300</v>
      </c>
      <c r="V486" s="175">
        <v>300</v>
      </c>
      <c r="W486" s="175">
        <f>X486</f>
        <v>15</v>
      </c>
      <c r="X486" s="175">
        <v>15</v>
      </c>
      <c r="Y486" s="175"/>
      <c r="Z486" s="175"/>
      <c r="AA486" s="175"/>
      <c r="AB486" s="175"/>
      <c r="AC486" s="175"/>
      <c r="AD486" s="175"/>
      <c r="AE486" s="175"/>
      <c r="AF486" s="175"/>
      <c r="AG486" s="174" t="s">
        <v>404</v>
      </c>
      <c r="AH486" s="173">
        <f t="shared" si="173"/>
        <v>0</v>
      </c>
    </row>
    <row r="487" spans="1:34" ht="66" hidden="1" x14ac:dyDescent="0.25">
      <c r="A487" s="184">
        <v>5</v>
      </c>
      <c r="B487" s="183" t="s">
        <v>965</v>
      </c>
      <c r="C487" s="180" t="s">
        <v>964</v>
      </c>
      <c r="D487" s="180"/>
      <c r="E487" s="181" t="s">
        <v>963</v>
      </c>
      <c r="F487" s="180" t="s">
        <v>962</v>
      </c>
      <c r="G487" s="179">
        <v>4471</v>
      </c>
      <c r="H487" s="179">
        <f>G487</f>
        <v>4471</v>
      </c>
      <c r="I487" s="179">
        <v>3500</v>
      </c>
      <c r="J487" s="179">
        <f>I487</f>
        <v>3500</v>
      </c>
      <c r="K487" s="179">
        <v>3500</v>
      </c>
      <c r="L487" s="179">
        <f>K487</f>
        <v>3500</v>
      </c>
      <c r="M487" s="179">
        <v>350</v>
      </c>
      <c r="N487" s="179">
        <v>350</v>
      </c>
      <c r="O487" s="178">
        <v>350</v>
      </c>
      <c r="P487" s="178">
        <v>350</v>
      </c>
      <c r="Q487" s="176"/>
      <c r="R487" s="176"/>
      <c r="S487" s="456">
        <v>350</v>
      </c>
      <c r="T487" s="456">
        <v>350</v>
      </c>
      <c r="U487" s="175">
        <f>V487</f>
        <v>350</v>
      </c>
      <c r="V487" s="175">
        <v>350</v>
      </c>
      <c r="W487" s="175"/>
      <c r="X487" s="175"/>
      <c r="Y487" s="175"/>
      <c r="Z487" s="175"/>
      <c r="AA487" s="175"/>
      <c r="AB487" s="175"/>
      <c r="AC487" s="175"/>
      <c r="AD487" s="175"/>
      <c r="AE487" s="175"/>
      <c r="AF487" s="175"/>
      <c r="AG487" s="174"/>
      <c r="AH487" s="173">
        <f t="shared" si="173"/>
        <v>0</v>
      </c>
    </row>
    <row r="488" spans="1:34" ht="34.5" hidden="1" x14ac:dyDescent="0.25">
      <c r="A488" s="195" t="s">
        <v>85</v>
      </c>
      <c r="B488" s="193" t="s">
        <v>86</v>
      </c>
      <c r="C488" s="192"/>
      <c r="D488" s="192"/>
      <c r="E488" s="192"/>
      <c r="F488" s="192"/>
      <c r="G488" s="191">
        <f>G489</f>
        <v>68930</v>
      </c>
      <c r="H488" s="191">
        <f>H489</f>
        <v>49368</v>
      </c>
      <c r="I488" s="191"/>
      <c r="J488" s="191"/>
      <c r="K488" s="191"/>
      <c r="L488" s="191"/>
      <c r="M488" s="191">
        <f t="shared" ref="M488:AF488" si="178">M489</f>
        <v>40510</v>
      </c>
      <c r="N488" s="191">
        <f t="shared" si="178"/>
        <v>40510</v>
      </c>
      <c r="O488" s="191">
        <f t="shared" si="178"/>
        <v>40720</v>
      </c>
      <c r="P488" s="191">
        <f t="shared" si="178"/>
        <v>40720</v>
      </c>
      <c r="Q488" s="191">
        <f t="shared" si="178"/>
        <v>0</v>
      </c>
      <c r="R488" s="191">
        <f t="shared" si="178"/>
        <v>0</v>
      </c>
      <c r="S488" s="474">
        <f t="shared" si="178"/>
        <v>40720</v>
      </c>
      <c r="T488" s="474">
        <f t="shared" si="178"/>
        <v>40720</v>
      </c>
      <c r="U488" s="190">
        <f t="shared" si="178"/>
        <v>15400</v>
      </c>
      <c r="V488" s="190">
        <f t="shared" si="178"/>
        <v>15400</v>
      </c>
      <c r="W488" s="190">
        <f t="shared" si="178"/>
        <v>15963</v>
      </c>
      <c r="X488" s="190">
        <f t="shared" si="178"/>
        <v>15963</v>
      </c>
      <c r="Y488" s="190">
        <f t="shared" si="178"/>
        <v>0</v>
      </c>
      <c r="Z488" s="190">
        <f t="shared" si="178"/>
        <v>0</v>
      </c>
      <c r="AA488" s="190">
        <f t="shared" si="178"/>
        <v>0</v>
      </c>
      <c r="AB488" s="190">
        <f t="shared" si="178"/>
        <v>0</v>
      </c>
      <c r="AC488" s="190">
        <f t="shared" si="178"/>
        <v>0</v>
      </c>
      <c r="AD488" s="190">
        <f t="shared" si="178"/>
        <v>0</v>
      </c>
      <c r="AE488" s="190">
        <f t="shared" si="178"/>
        <v>0</v>
      </c>
      <c r="AF488" s="190">
        <f t="shared" si="178"/>
        <v>0</v>
      </c>
      <c r="AG488" s="189"/>
      <c r="AH488" s="173">
        <f t="shared" si="173"/>
        <v>0</v>
      </c>
    </row>
    <row r="489" spans="1:34" ht="51.75" hidden="1" x14ac:dyDescent="0.25">
      <c r="A489" s="194" t="s">
        <v>87</v>
      </c>
      <c r="B489" s="193" t="s">
        <v>88</v>
      </c>
      <c r="C489" s="192"/>
      <c r="D489" s="192"/>
      <c r="E489" s="192"/>
      <c r="F489" s="192"/>
      <c r="G489" s="191">
        <f>G492+G493+G494+G496+G497+G498+G499+G500+G501+G502</f>
        <v>68930</v>
      </c>
      <c r="H489" s="191">
        <f>H492+H493+H494+H496+H497+H498+H499+H500+H501+H502</f>
        <v>49368</v>
      </c>
      <c r="I489" s="191"/>
      <c r="J489" s="191"/>
      <c r="K489" s="191"/>
      <c r="L489" s="191"/>
      <c r="M489" s="191">
        <f t="shared" ref="M489:T489" si="179">M492+M493+M494+M496+M497+M498+M499+M500+M501+M502</f>
        <v>40510</v>
      </c>
      <c r="N489" s="191">
        <f t="shared" si="179"/>
        <v>40510</v>
      </c>
      <c r="O489" s="191">
        <f t="shared" si="179"/>
        <v>40720</v>
      </c>
      <c r="P489" s="191">
        <f t="shared" si="179"/>
        <v>40720</v>
      </c>
      <c r="Q489" s="191">
        <f t="shared" si="179"/>
        <v>0</v>
      </c>
      <c r="R489" s="191">
        <f t="shared" si="179"/>
        <v>0</v>
      </c>
      <c r="S489" s="474">
        <f t="shared" si="179"/>
        <v>40720</v>
      </c>
      <c r="T489" s="474">
        <f t="shared" si="179"/>
        <v>40720</v>
      </c>
      <c r="U489" s="190">
        <f t="shared" ref="U489:AF489" si="180">SUM(U490:U502)</f>
        <v>15400</v>
      </c>
      <c r="V489" s="190">
        <f t="shared" si="180"/>
        <v>15400</v>
      </c>
      <c r="W489" s="190">
        <f t="shared" si="180"/>
        <v>15963</v>
      </c>
      <c r="X489" s="190">
        <f t="shared" si="180"/>
        <v>15963</v>
      </c>
      <c r="Y489" s="190">
        <f t="shared" si="180"/>
        <v>0</v>
      </c>
      <c r="Z489" s="190">
        <f t="shared" si="180"/>
        <v>0</v>
      </c>
      <c r="AA489" s="190">
        <f t="shared" si="180"/>
        <v>0</v>
      </c>
      <c r="AB489" s="190">
        <f t="shared" si="180"/>
        <v>0</v>
      </c>
      <c r="AC489" s="190">
        <f t="shared" si="180"/>
        <v>0</v>
      </c>
      <c r="AD489" s="190">
        <f t="shared" si="180"/>
        <v>0</v>
      </c>
      <c r="AE489" s="190">
        <f t="shared" si="180"/>
        <v>0</v>
      </c>
      <c r="AF489" s="190">
        <f t="shared" si="180"/>
        <v>0</v>
      </c>
      <c r="AG489" s="189"/>
      <c r="AH489" s="173">
        <f t="shared" si="173"/>
        <v>0</v>
      </c>
    </row>
    <row r="490" spans="1:34" ht="49.5" hidden="1" x14ac:dyDescent="0.25">
      <c r="A490" s="184">
        <v>1</v>
      </c>
      <c r="B490" s="183" t="s">
        <v>961</v>
      </c>
      <c r="C490" s="180" t="s">
        <v>960</v>
      </c>
      <c r="D490" s="188" t="s">
        <v>959</v>
      </c>
      <c r="E490" s="181" t="s">
        <v>199</v>
      </c>
      <c r="F490" s="180" t="s">
        <v>958</v>
      </c>
      <c r="G490" s="179">
        <v>14898</v>
      </c>
      <c r="H490" s="179">
        <f t="shared" ref="H490:H495" si="181">G490</f>
        <v>14898</v>
      </c>
      <c r="I490" s="175"/>
      <c r="J490" s="175"/>
      <c r="K490" s="175"/>
      <c r="L490" s="175"/>
      <c r="M490" s="179">
        <v>13400</v>
      </c>
      <c r="N490" s="179">
        <v>13400</v>
      </c>
      <c r="O490" s="178">
        <v>13400</v>
      </c>
      <c r="P490" s="178">
        <v>13400</v>
      </c>
      <c r="Q490" s="176"/>
      <c r="R490" s="176"/>
      <c r="S490" s="456">
        <v>13400</v>
      </c>
      <c r="T490" s="456">
        <v>13400</v>
      </c>
      <c r="U490" s="175">
        <f>V490</f>
        <v>7400</v>
      </c>
      <c r="V490" s="175">
        <v>7400</v>
      </c>
      <c r="W490" s="175">
        <f t="shared" ref="W490:W497" si="182">X490</f>
        <v>4400</v>
      </c>
      <c r="X490" s="175">
        <v>4400</v>
      </c>
      <c r="Y490" s="175"/>
      <c r="Z490" s="175"/>
      <c r="AA490" s="175"/>
      <c r="AB490" s="175"/>
      <c r="AC490" s="175"/>
      <c r="AD490" s="175"/>
      <c r="AE490" s="175"/>
      <c r="AF490" s="175"/>
      <c r="AG490" s="174"/>
      <c r="AH490" s="173">
        <f t="shared" si="173"/>
        <v>0</v>
      </c>
    </row>
    <row r="491" spans="1:34" ht="49.5" hidden="1" x14ac:dyDescent="0.25">
      <c r="A491" s="184">
        <v>2</v>
      </c>
      <c r="B491" s="183" t="s">
        <v>957</v>
      </c>
      <c r="C491" s="180" t="s">
        <v>956</v>
      </c>
      <c r="D491" s="188" t="s">
        <v>955</v>
      </c>
      <c r="E491" s="181" t="s">
        <v>199</v>
      </c>
      <c r="F491" s="180" t="s">
        <v>954</v>
      </c>
      <c r="G491" s="179">
        <v>14978</v>
      </c>
      <c r="H491" s="179">
        <f t="shared" si="181"/>
        <v>14978</v>
      </c>
      <c r="I491" s="175"/>
      <c r="J491" s="175"/>
      <c r="K491" s="175"/>
      <c r="L491" s="175"/>
      <c r="M491" s="179">
        <v>10790</v>
      </c>
      <c r="N491" s="179">
        <v>10790</v>
      </c>
      <c r="O491" s="178">
        <v>10790</v>
      </c>
      <c r="P491" s="178">
        <v>10790</v>
      </c>
      <c r="Q491" s="176"/>
      <c r="R491" s="176"/>
      <c r="S491" s="456">
        <v>10790</v>
      </c>
      <c r="T491" s="456">
        <v>10790</v>
      </c>
      <c r="U491" s="175">
        <f>V491</f>
        <v>8000</v>
      </c>
      <c r="V491" s="175">
        <v>8000</v>
      </c>
      <c r="W491" s="175">
        <f t="shared" si="182"/>
        <v>2290</v>
      </c>
      <c r="X491" s="175">
        <v>2290</v>
      </c>
      <c r="Y491" s="175"/>
      <c r="Z491" s="175"/>
      <c r="AA491" s="175"/>
      <c r="AB491" s="175"/>
      <c r="AC491" s="175"/>
      <c r="AD491" s="175"/>
      <c r="AE491" s="175"/>
      <c r="AF491" s="175"/>
      <c r="AG491" s="174"/>
      <c r="AH491" s="173">
        <f t="shared" si="173"/>
        <v>0</v>
      </c>
    </row>
    <row r="492" spans="1:34" ht="82.5" hidden="1" x14ac:dyDescent="0.25">
      <c r="A492" s="184">
        <v>3</v>
      </c>
      <c r="B492" s="183" t="s">
        <v>953</v>
      </c>
      <c r="C492" s="180" t="s">
        <v>952</v>
      </c>
      <c r="D492" s="182" t="s">
        <v>951</v>
      </c>
      <c r="E492" s="187" t="s">
        <v>938</v>
      </c>
      <c r="F492" s="180" t="s">
        <v>950</v>
      </c>
      <c r="G492" s="179">
        <v>559</v>
      </c>
      <c r="H492" s="179">
        <f t="shared" si="181"/>
        <v>559</v>
      </c>
      <c r="I492" s="175"/>
      <c r="J492" s="175"/>
      <c r="K492" s="175"/>
      <c r="L492" s="175"/>
      <c r="M492" s="179">
        <f>N492</f>
        <v>530</v>
      </c>
      <c r="N492" s="175">
        <v>530</v>
      </c>
      <c r="O492" s="178">
        <f t="shared" ref="O492:O502" si="183">P492</f>
        <v>510</v>
      </c>
      <c r="P492" s="186">
        <v>510</v>
      </c>
      <c r="Q492" s="176"/>
      <c r="R492" s="176"/>
      <c r="S492" s="456">
        <f t="shared" ref="S492:S502" si="184">T492</f>
        <v>510</v>
      </c>
      <c r="T492" s="467">
        <v>510</v>
      </c>
      <c r="U492" s="175"/>
      <c r="V492" s="175"/>
      <c r="W492" s="175">
        <f t="shared" si="182"/>
        <v>480</v>
      </c>
      <c r="X492" s="175">
        <v>480</v>
      </c>
      <c r="Y492" s="175"/>
      <c r="Z492" s="175"/>
      <c r="AA492" s="175"/>
      <c r="AB492" s="175"/>
      <c r="AC492" s="175"/>
      <c r="AD492" s="175"/>
      <c r="AE492" s="175"/>
      <c r="AF492" s="175"/>
      <c r="AG492" s="174"/>
      <c r="AH492" s="173">
        <f t="shared" si="173"/>
        <v>0</v>
      </c>
    </row>
    <row r="493" spans="1:34" ht="49.5" hidden="1" x14ac:dyDescent="0.25">
      <c r="A493" s="184">
        <v>4</v>
      </c>
      <c r="B493" s="183" t="s">
        <v>949</v>
      </c>
      <c r="C493" s="180" t="s">
        <v>948</v>
      </c>
      <c r="D493" s="182" t="s">
        <v>947</v>
      </c>
      <c r="E493" s="187" t="s">
        <v>938</v>
      </c>
      <c r="F493" s="180" t="s">
        <v>946</v>
      </c>
      <c r="G493" s="179">
        <v>896</v>
      </c>
      <c r="H493" s="179">
        <f t="shared" si="181"/>
        <v>896</v>
      </c>
      <c r="I493" s="175"/>
      <c r="J493" s="175"/>
      <c r="K493" s="175"/>
      <c r="L493" s="175"/>
      <c r="M493" s="179">
        <f>N493</f>
        <v>850</v>
      </c>
      <c r="N493" s="175">
        <v>850</v>
      </c>
      <c r="O493" s="178">
        <f t="shared" si="183"/>
        <v>780</v>
      </c>
      <c r="P493" s="186">
        <v>780</v>
      </c>
      <c r="Q493" s="176"/>
      <c r="R493" s="176"/>
      <c r="S493" s="456">
        <f t="shared" si="184"/>
        <v>780</v>
      </c>
      <c r="T493" s="467">
        <v>780</v>
      </c>
      <c r="U493" s="175"/>
      <c r="V493" s="175"/>
      <c r="W493" s="175">
        <f t="shared" si="182"/>
        <v>780</v>
      </c>
      <c r="X493" s="175">
        <v>780</v>
      </c>
      <c r="Y493" s="175"/>
      <c r="Z493" s="175"/>
      <c r="AA493" s="175"/>
      <c r="AB493" s="175"/>
      <c r="AC493" s="175"/>
      <c r="AD493" s="175"/>
      <c r="AE493" s="175"/>
      <c r="AF493" s="175"/>
      <c r="AG493" s="174"/>
      <c r="AH493" s="173">
        <f t="shared" si="173"/>
        <v>0</v>
      </c>
    </row>
    <row r="494" spans="1:34" ht="49.5" hidden="1" x14ac:dyDescent="0.25">
      <c r="A494" s="184">
        <v>5</v>
      </c>
      <c r="B494" s="183" t="s">
        <v>945</v>
      </c>
      <c r="C494" s="180" t="s">
        <v>944</v>
      </c>
      <c r="D494" s="182" t="s">
        <v>943</v>
      </c>
      <c r="E494" s="187" t="s">
        <v>938</v>
      </c>
      <c r="F494" s="180" t="s">
        <v>942</v>
      </c>
      <c r="G494" s="179">
        <v>1156</v>
      </c>
      <c r="H494" s="179">
        <f t="shared" si="181"/>
        <v>1156</v>
      </c>
      <c r="I494" s="175"/>
      <c r="J494" s="175"/>
      <c r="K494" s="175"/>
      <c r="L494" s="175"/>
      <c r="M494" s="179">
        <f>N494</f>
        <v>1050</v>
      </c>
      <c r="N494" s="179">
        <v>1050</v>
      </c>
      <c r="O494" s="178">
        <f t="shared" si="183"/>
        <v>1100</v>
      </c>
      <c r="P494" s="178">
        <v>1100</v>
      </c>
      <c r="Q494" s="176"/>
      <c r="R494" s="176"/>
      <c r="S494" s="456">
        <f t="shared" si="184"/>
        <v>1100</v>
      </c>
      <c r="T494" s="456">
        <v>1100</v>
      </c>
      <c r="U494" s="175"/>
      <c r="V494" s="175"/>
      <c r="W494" s="175">
        <f t="shared" si="182"/>
        <v>1100</v>
      </c>
      <c r="X494" s="175">
        <v>1100</v>
      </c>
      <c r="Y494" s="175"/>
      <c r="Z494" s="175"/>
      <c r="AA494" s="175"/>
      <c r="AB494" s="175"/>
      <c r="AC494" s="175"/>
      <c r="AD494" s="175"/>
      <c r="AE494" s="175"/>
      <c r="AF494" s="175"/>
      <c r="AG494" s="174"/>
      <c r="AH494" s="173">
        <f t="shared" si="173"/>
        <v>0</v>
      </c>
    </row>
    <row r="495" spans="1:34" ht="49.5" hidden="1" x14ac:dyDescent="0.25">
      <c r="A495" s="184">
        <v>6</v>
      </c>
      <c r="B495" s="183" t="s">
        <v>941</v>
      </c>
      <c r="C495" s="180" t="s">
        <v>940</v>
      </c>
      <c r="D495" s="182" t="s">
        <v>939</v>
      </c>
      <c r="E495" s="187" t="s">
        <v>938</v>
      </c>
      <c r="F495" s="180" t="s">
        <v>937</v>
      </c>
      <c r="G495" s="179">
        <v>409</v>
      </c>
      <c r="H495" s="179">
        <f t="shared" si="181"/>
        <v>409</v>
      </c>
      <c r="I495" s="175"/>
      <c r="J495" s="175"/>
      <c r="K495" s="175"/>
      <c r="L495" s="175"/>
      <c r="M495" s="179">
        <f>N495</f>
        <v>390</v>
      </c>
      <c r="N495" s="175">
        <v>390</v>
      </c>
      <c r="O495" s="178">
        <f t="shared" si="183"/>
        <v>390</v>
      </c>
      <c r="P495" s="186">
        <v>390</v>
      </c>
      <c r="Q495" s="176"/>
      <c r="R495" s="176"/>
      <c r="S495" s="456">
        <f t="shared" si="184"/>
        <v>390</v>
      </c>
      <c r="T495" s="467">
        <v>390</v>
      </c>
      <c r="U495" s="175"/>
      <c r="V495" s="175"/>
      <c r="W495" s="175">
        <f t="shared" si="182"/>
        <v>365</v>
      </c>
      <c r="X495" s="175">
        <v>365</v>
      </c>
      <c r="Y495" s="175"/>
      <c r="Z495" s="175"/>
      <c r="AA495" s="175"/>
      <c r="AB495" s="175"/>
      <c r="AC495" s="175"/>
      <c r="AD495" s="175"/>
      <c r="AE495" s="175"/>
      <c r="AF495" s="175"/>
      <c r="AG495" s="174"/>
      <c r="AH495" s="173">
        <f t="shared" si="173"/>
        <v>0</v>
      </c>
    </row>
    <row r="496" spans="1:34" ht="121.5" hidden="1" x14ac:dyDescent="0.25">
      <c r="A496" s="184">
        <v>7</v>
      </c>
      <c r="B496" s="183" t="s">
        <v>936</v>
      </c>
      <c r="C496" s="180" t="s">
        <v>935</v>
      </c>
      <c r="D496" s="182" t="s">
        <v>934</v>
      </c>
      <c r="E496" s="181" t="s">
        <v>109</v>
      </c>
      <c r="F496" s="180" t="s">
        <v>930</v>
      </c>
      <c r="G496" s="179">
        <v>8900</v>
      </c>
      <c r="H496" s="179">
        <v>7506</v>
      </c>
      <c r="I496" s="175"/>
      <c r="J496" s="175"/>
      <c r="K496" s="175"/>
      <c r="L496" s="175"/>
      <c r="M496" s="179">
        <v>8000</v>
      </c>
      <c r="N496" s="179">
        <f>M496</f>
        <v>8000</v>
      </c>
      <c r="O496" s="178">
        <f t="shared" si="183"/>
        <v>6800</v>
      </c>
      <c r="P496" s="178">
        <v>6800</v>
      </c>
      <c r="Q496" s="176"/>
      <c r="R496" s="176"/>
      <c r="S496" s="456">
        <f t="shared" si="184"/>
        <v>6800</v>
      </c>
      <c r="T496" s="456">
        <v>6800</v>
      </c>
      <c r="U496" s="179"/>
      <c r="V496" s="179"/>
      <c r="W496" s="175">
        <f t="shared" si="182"/>
        <v>3208</v>
      </c>
      <c r="X496" s="179">
        <v>3208</v>
      </c>
      <c r="Y496" s="179"/>
      <c r="Z496" s="179"/>
      <c r="AA496" s="179"/>
      <c r="AB496" s="179"/>
      <c r="AC496" s="179"/>
      <c r="AD496" s="179"/>
      <c r="AE496" s="179"/>
      <c r="AF496" s="179"/>
      <c r="AG496" s="185" t="s">
        <v>926</v>
      </c>
      <c r="AH496" s="173">
        <f t="shared" si="173"/>
        <v>0</v>
      </c>
    </row>
    <row r="497" spans="1:34" ht="121.5" hidden="1" x14ac:dyDescent="0.25">
      <c r="A497" s="184">
        <v>8</v>
      </c>
      <c r="B497" s="183" t="s">
        <v>933</v>
      </c>
      <c r="C497" s="180" t="s">
        <v>932</v>
      </c>
      <c r="D497" s="182" t="s">
        <v>931</v>
      </c>
      <c r="E497" s="181" t="s">
        <v>109</v>
      </c>
      <c r="F497" s="180" t="s">
        <v>930</v>
      </c>
      <c r="G497" s="179">
        <v>26100</v>
      </c>
      <c r="H497" s="179">
        <v>7932</v>
      </c>
      <c r="I497" s="175"/>
      <c r="J497" s="175"/>
      <c r="K497" s="175"/>
      <c r="L497" s="175"/>
      <c r="M497" s="179">
        <f>N497</f>
        <v>20080</v>
      </c>
      <c r="N497" s="179">
        <v>20080</v>
      </c>
      <c r="O497" s="178">
        <f t="shared" si="183"/>
        <v>7200</v>
      </c>
      <c r="P497" s="178">
        <v>7200</v>
      </c>
      <c r="Q497" s="176"/>
      <c r="R497" s="176"/>
      <c r="S497" s="456">
        <f t="shared" si="184"/>
        <v>7200</v>
      </c>
      <c r="T497" s="456">
        <v>7200</v>
      </c>
      <c r="U497" s="175"/>
      <c r="V497" s="175"/>
      <c r="W497" s="175">
        <f t="shared" si="182"/>
        <v>3340</v>
      </c>
      <c r="X497" s="175">
        <v>3340</v>
      </c>
      <c r="Y497" s="175"/>
      <c r="Z497" s="175"/>
      <c r="AA497" s="175"/>
      <c r="AB497" s="175"/>
      <c r="AC497" s="175"/>
      <c r="AD497" s="175"/>
      <c r="AE497" s="175"/>
      <c r="AF497" s="175"/>
      <c r="AG497" s="185" t="s">
        <v>926</v>
      </c>
      <c r="AH497" s="173">
        <f t="shared" si="173"/>
        <v>0</v>
      </c>
    </row>
    <row r="498" spans="1:34" ht="49.5" hidden="1" x14ac:dyDescent="0.25">
      <c r="A498" s="184">
        <v>9</v>
      </c>
      <c r="B498" s="183" t="s">
        <v>929</v>
      </c>
      <c r="C498" s="180" t="s">
        <v>928</v>
      </c>
      <c r="D498" s="182" t="s">
        <v>927</v>
      </c>
      <c r="E498" s="181" t="s">
        <v>116</v>
      </c>
      <c r="F498" s="180"/>
      <c r="G498" s="179">
        <f>H498</f>
        <v>28000</v>
      </c>
      <c r="H498" s="179">
        <v>28000</v>
      </c>
      <c r="I498" s="175"/>
      <c r="J498" s="175"/>
      <c r="K498" s="175"/>
      <c r="L498" s="175"/>
      <c r="M498" s="179">
        <v>10000</v>
      </c>
      <c r="N498" s="179">
        <f>M498</f>
        <v>10000</v>
      </c>
      <c r="O498" s="178">
        <f t="shared" si="183"/>
        <v>21340</v>
      </c>
      <c r="P498" s="178">
        <f>23600-2260</f>
        <v>21340</v>
      </c>
      <c r="Q498" s="176"/>
      <c r="R498" s="176"/>
      <c r="S498" s="456">
        <f t="shared" si="184"/>
        <v>21340</v>
      </c>
      <c r="T498" s="456">
        <f>23600-2260</f>
        <v>21340</v>
      </c>
      <c r="U498" s="175"/>
      <c r="V498" s="175"/>
      <c r="W498" s="175"/>
      <c r="X498" s="175"/>
      <c r="Y498" s="175"/>
      <c r="Z498" s="175"/>
      <c r="AA498" s="175"/>
      <c r="AB498" s="175"/>
      <c r="AC498" s="175"/>
      <c r="AD498" s="175"/>
      <c r="AE498" s="175"/>
      <c r="AF498" s="175"/>
      <c r="AG498" s="185" t="s">
        <v>926</v>
      </c>
      <c r="AH498" s="173">
        <f t="shared" si="173"/>
        <v>0</v>
      </c>
    </row>
    <row r="499" spans="1:34" ht="33" hidden="1" x14ac:dyDescent="0.25">
      <c r="A499" s="184">
        <v>10</v>
      </c>
      <c r="B499" s="183" t="s">
        <v>925</v>
      </c>
      <c r="C499" s="180" t="s">
        <v>924</v>
      </c>
      <c r="D499" s="182"/>
      <c r="E499" s="181"/>
      <c r="F499" s="180"/>
      <c r="G499" s="179">
        <f>H499</f>
        <v>1150</v>
      </c>
      <c r="H499" s="179">
        <v>1150</v>
      </c>
      <c r="I499" s="175"/>
      <c r="J499" s="175"/>
      <c r="K499" s="175"/>
      <c r="L499" s="175"/>
      <c r="M499" s="179"/>
      <c r="N499" s="179"/>
      <c r="O499" s="178">
        <f t="shared" si="183"/>
        <v>1030</v>
      </c>
      <c r="P499" s="178">
        <v>1030</v>
      </c>
      <c r="Q499" s="176"/>
      <c r="R499" s="176"/>
      <c r="S499" s="456">
        <f t="shared" si="184"/>
        <v>1030</v>
      </c>
      <c r="T499" s="456">
        <v>1030</v>
      </c>
      <c r="U499" s="175"/>
      <c r="V499" s="175"/>
      <c r="W499" s="175"/>
      <c r="X499" s="175"/>
      <c r="Y499" s="175"/>
      <c r="Z499" s="175"/>
      <c r="AA499" s="175"/>
      <c r="AB499" s="175"/>
      <c r="AC499" s="175"/>
      <c r="AD499" s="175"/>
      <c r="AE499" s="175"/>
      <c r="AF499" s="175"/>
      <c r="AG499" s="174"/>
      <c r="AH499" s="173">
        <f t="shared" si="173"/>
        <v>0</v>
      </c>
    </row>
    <row r="500" spans="1:34" ht="33" hidden="1" x14ac:dyDescent="0.25">
      <c r="A500" s="184">
        <v>11</v>
      </c>
      <c r="B500" s="183" t="s">
        <v>923</v>
      </c>
      <c r="C500" s="180" t="s">
        <v>922</v>
      </c>
      <c r="D500" s="182"/>
      <c r="E500" s="181"/>
      <c r="F500" s="180"/>
      <c r="G500" s="179">
        <f>H500</f>
        <v>830</v>
      </c>
      <c r="H500" s="179">
        <v>830</v>
      </c>
      <c r="I500" s="175"/>
      <c r="J500" s="175"/>
      <c r="K500" s="175"/>
      <c r="L500" s="175"/>
      <c r="M500" s="179"/>
      <c r="N500" s="179"/>
      <c r="O500" s="178">
        <f t="shared" si="183"/>
        <v>750</v>
      </c>
      <c r="P500" s="178">
        <v>750</v>
      </c>
      <c r="Q500" s="176"/>
      <c r="R500" s="176"/>
      <c r="S500" s="456">
        <f t="shared" si="184"/>
        <v>750</v>
      </c>
      <c r="T500" s="456">
        <v>750</v>
      </c>
      <c r="U500" s="175"/>
      <c r="V500" s="175"/>
      <c r="W500" s="175"/>
      <c r="X500" s="175"/>
      <c r="Y500" s="175"/>
      <c r="Z500" s="175"/>
      <c r="AA500" s="175"/>
      <c r="AB500" s="175"/>
      <c r="AC500" s="175"/>
      <c r="AD500" s="175"/>
      <c r="AE500" s="175"/>
      <c r="AF500" s="175"/>
      <c r="AG500" s="174"/>
      <c r="AH500" s="173">
        <f t="shared" si="173"/>
        <v>0</v>
      </c>
    </row>
    <row r="501" spans="1:34" ht="49.5" hidden="1" x14ac:dyDescent="0.25">
      <c r="A501" s="184">
        <v>12</v>
      </c>
      <c r="B501" s="183" t="s">
        <v>921</v>
      </c>
      <c r="C501" s="180" t="s">
        <v>920</v>
      </c>
      <c r="D501" s="182"/>
      <c r="E501" s="181"/>
      <c r="F501" s="180"/>
      <c r="G501" s="179">
        <f>H501</f>
        <v>819</v>
      </c>
      <c r="H501" s="179">
        <v>819</v>
      </c>
      <c r="I501" s="175"/>
      <c r="J501" s="175"/>
      <c r="K501" s="175"/>
      <c r="L501" s="175"/>
      <c r="M501" s="179"/>
      <c r="N501" s="179"/>
      <c r="O501" s="178">
        <f t="shared" si="183"/>
        <v>740</v>
      </c>
      <c r="P501" s="178">
        <v>740</v>
      </c>
      <c r="Q501" s="176"/>
      <c r="R501" s="176"/>
      <c r="S501" s="456">
        <f t="shared" si="184"/>
        <v>740</v>
      </c>
      <c r="T501" s="456">
        <v>740</v>
      </c>
      <c r="U501" s="175"/>
      <c r="V501" s="175"/>
      <c r="W501" s="175"/>
      <c r="X501" s="175"/>
      <c r="Y501" s="175"/>
      <c r="Z501" s="175"/>
      <c r="AA501" s="175"/>
      <c r="AB501" s="175"/>
      <c r="AC501" s="175"/>
      <c r="AD501" s="175"/>
      <c r="AE501" s="175"/>
      <c r="AF501" s="175"/>
      <c r="AG501" s="174"/>
      <c r="AH501" s="173">
        <f t="shared" si="173"/>
        <v>0</v>
      </c>
    </row>
    <row r="502" spans="1:34" ht="33" hidden="1" x14ac:dyDescent="0.25">
      <c r="A502" s="536">
        <v>13</v>
      </c>
      <c r="B502" s="309" t="s">
        <v>919</v>
      </c>
      <c r="C502" s="537" t="s">
        <v>918</v>
      </c>
      <c r="D502" s="508"/>
      <c r="E502" s="538"/>
      <c r="F502" s="537"/>
      <c r="G502" s="306">
        <f>H502</f>
        <v>520</v>
      </c>
      <c r="H502" s="306">
        <v>520</v>
      </c>
      <c r="I502" s="539"/>
      <c r="J502" s="539"/>
      <c r="K502" s="539"/>
      <c r="L502" s="539"/>
      <c r="M502" s="306"/>
      <c r="N502" s="306"/>
      <c r="O502" s="304">
        <f t="shared" si="183"/>
        <v>470</v>
      </c>
      <c r="P502" s="304">
        <v>470</v>
      </c>
      <c r="Q502" s="446"/>
      <c r="R502" s="446"/>
      <c r="S502" s="461">
        <f t="shared" si="184"/>
        <v>470</v>
      </c>
      <c r="T502" s="461">
        <v>470</v>
      </c>
      <c r="U502" s="539"/>
      <c r="V502" s="539"/>
      <c r="W502" s="539"/>
      <c r="X502" s="539"/>
      <c r="Y502" s="175"/>
      <c r="Z502" s="175"/>
      <c r="AA502" s="175"/>
      <c r="AB502" s="175"/>
      <c r="AC502" s="175"/>
      <c r="AD502" s="175"/>
      <c r="AE502" s="175"/>
      <c r="AF502" s="175"/>
      <c r="AG502" s="540"/>
      <c r="AH502" s="173">
        <f t="shared" si="173"/>
        <v>0</v>
      </c>
    </row>
    <row r="503" spans="1:34" ht="16.5" x14ac:dyDescent="0.25">
      <c r="A503" s="658"/>
      <c r="B503" s="659"/>
      <c r="C503" s="637"/>
      <c r="D503" s="659"/>
      <c r="E503" s="658"/>
      <c r="F503" s="659"/>
      <c r="G503" s="659"/>
      <c r="H503" s="659"/>
      <c r="I503" s="659"/>
      <c r="J503" s="659"/>
      <c r="K503" s="659"/>
      <c r="L503" s="659"/>
      <c r="M503" s="659"/>
      <c r="N503" s="659"/>
      <c r="O503" s="660"/>
      <c r="P503" s="660"/>
      <c r="Q503" s="661"/>
      <c r="R503" s="661"/>
      <c r="S503" s="690"/>
      <c r="T503" s="690"/>
      <c r="U503" s="661"/>
      <c r="V503" s="661"/>
      <c r="W503" s="661"/>
      <c r="X503" s="661"/>
      <c r="Y503" s="169"/>
      <c r="Z503" s="169"/>
      <c r="AA503" s="169"/>
      <c r="AB503" s="169"/>
      <c r="AC503" s="169"/>
      <c r="AD503" s="169"/>
      <c r="AE503" s="169"/>
      <c r="AF503" s="169"/>
      <c r="AG503" s="659"/>
      <c r="AH503" s="165">
        <v>1</v>
      </c>
    </row>
  </sheetData>
  <autoFilter ref="AH14:AH503">
    <filterColumn colId="0">
      <filters>
        <filter val="1"/>
      </filters>
    </filterColumn>
  </autoFilter>
  <mergeCells count="55">
    <mergeCell ref="AG10:AG14"/>
    <mergeCell ref="A6:AG6"/>
    <mergeCell ref="A1:AG1"/>
    <mergeCell ref="A2:AG2"/>
    <mergeCell ref="A3:AG3"/>
    <mergeCell ref="A4:AG4"/>
    <mergeCell ref="A5:AG5"/>
    <mergeCell ref="W10:X11"/>
    <mergeCell ref="Y10:Z11"/>
    <mergeCell ref="U10:V11"/>
    <mergeCell ref="A7:AG7"/>
    <mergeCell ref="A9:AG9"/>
    <mergeCell ref="A10:A14"/>
    <mergeCell ref="B10:B14"/>
    <mergeCell ref="C10:C14"/>
    <mergeCell ref="D10:D14"/>
    <mergeCell ref="E10:E14"/>
    <mergeCell ref="F10:H11"/>
    <mergeCell ref="I10:J11"/>
    <mergeCell ref="K10:L11"/>
    <mergeCell ref="F12:F14"/>
    <mergeCell ref="G12:H12"/>
    <mergeCell ref="I12:I14"/>
    <mergeCell ref="J12:J14"/>
    <mergeCell ref="K12:K14"/>
    <mergeCell ref="L12:L14"/>
    <mergeCell ref="G13:G14"/>
    <mergeCell ref="H13:H14"/>
    <mergeCell ref="M10:N11"/>
    <mergeCell ref="O10:P11"/>
    <mergeCell ref="Q10:R11"/>
    <mergeCell ref="AA10:AB11"/>
    <mergeCell ref="AC10:AD11"/>
    <mergeCell ref="S10:T11"/>
    <mergeCell ref="AE10:AF11"/>
    <mergeCell ref="AF12:AF14"/>
    <mergeCell ref="AE12:AE14"/>
    <mergeCell ref="AC12:AC14"/>
    <mergeCell ref="AD12:AD14"/>
    <mergeCell ref="M12:M14"/>
    <mergeCell ref="N12:N14"/>
    <mergeCell ref="O12:O14"/>
    <mergeCell ref="P12:P14"/>
    <mergeCell ref="Q12:Q14"/>
    <mergeCell ref="R12:R14"/>
    <mergeCell ref="S12:S14"/>
    <mergeCell ref="T12:T14"/>
    <mergeCell ref="U12:U14"/>
    <mergeCell ref="V12:V14"/>
    <mergeCell ref="AA12:AA14"/>
    <mergeCell ref="AB12:AB14"/>
    <mergeCell ref="W12:W14"/>
    <mergeCell ref="X12:X14"/>
    <mergeCell ref="Y12:Y14"/>
    <mergeCell ref="Z12:Z14"/>
  </mergeCells>
  <pageMargins left="0.45" right="0.45" top="0.5" bottom="0.5" header="0.3" footer="0.3"/>
  <pageSetup paperSize="9" scale="47" fitToHeight="0" orientation="landscape" r:id="rId1"/>
  <headerFooter>
    <oddFooter>&amp;R&amp;"Times New Roman,Regular"&amp;12Trang &amp;P/&amp;N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41"/>
  <sheetViews>
    <sheetView topLeftCell="A12" zoomScale="70" zoomScaleNormal="70" workbookViewId="0">
      <selection activeCell="L25" sqref="L25"/>
    </sheetView>
  </sheetViews>
  <sheetFormatPr defaultRowHeight="18.75" x14ac:dyDescent="0.3"/>
  <cols>
    <col min="1" max="1" width="8.85546875" style="692" customWidth="1"/>
    <col min="2" max="2" width="42.28515625" style="692" customWidth="1"/>
    <col min="3" max="3" width="18.5703125" style="695" hidden="1" customWidth="1"/>
    <col min="4" max="4" width="19.42578125" style="695" hidden="1" customWidth="1"/>
    <col min="5" max="5" width="20.140625" style="695" hidden="1" customWidth="1"/>
    <col min="6" max="6" width="16.85546875" style="695" hidden="1" customWidth="1"/>
    <col min="7" max="7" width="16.7109375" style="695" hidden="1" customWidth="1"/>
    <col min="8" max="8" width="16.85546875" style="695" hidden="1" customWidth="1"/>
    <col min="9" max="9" width="15.85546875" style="695" hidden="1" customWidth="1"/>
    <col min="10" max="10" width="20" style="695" customWidth="1"/>
    <col min="11" max="15" width="19.42578125" style="695" customWidth="1"/>
    <col min="16" max="16" width="20.140625" style="695" customWidth="1"/>
    <col min="17" max="17" width="20.85546875" style="695" hidden="1" customWidth="1"/>
    <col min="18" max="18" width="19.5703125" style="695" hidden="1" customWidth="1"/>
    <col min="19" max="19" width="13" style="692" customWidth="1"/>
    <col min="20" max="20" width="11.7109375" style="692" hidden="1" customWidth="1"/>
    <col min="21" max="21" width="13.7109375" style="692" hidden="1" customWidth="1"/>
    <col min="22" max="22" width="9.7109375" style="692" hidden="1" customWidth="1"/>
    <col min="23" max="24" width="14.5703125" style="692" hidden="1" customWidth="1"/>
    <col min="25" max="25" width="9.140625" style="692"/>
    <col min="26" max="29" width="18" style="692" customWidth="1"/>
    <col min="30" max="259" width="9.140625" style="692"/>
    <col min="260" max="260" width="37.28515625" style="692" customWidth="1"/>
    <col min="261" max="261" width="29.140625" style="692" customWidth="1"/>
    <col min="262" max="262" width="23.28515625" style="692" customWidth="1"/>
    <col min="263" max="263" width="15.140625" style="692" customWidth="1"/>
    <col min="264" max="264" width="16.28515625" style="692" customWidth="1"/>
    <col min="265" max="265" width="14.42578125" style="692" customWidth="1"/>
    <col min="266" max="266" width="21.7109375" style="692" customWidth="1"/>
    <col min="267" max="267" width="9.140625" style="692"/>
    <col min="268" max="268" width="10.28515625" style="692" bestFit="1" customWidth="1"/>
    <col min="269" max="515" width="9.140625" style="692"/>
    <col min="516" max="516" width="37.28515625" style="692" customWidth="1"/>
    <col min="517" max="517" width="29.140625" style="692" customWidth="1"/>
    <col min="518" max="518" width="23.28515625" style="692" customWidth="1"/>
    <col min="519" max="519" width="15.140625" style="692" customWidth="1"/>
    <col min="520" max="520" width="16.28515625" style="692" customWidth="1"/>
    <col min="521" max="521" width="14.42578125" style="692" customWidth="1"/>
    <col min="522" max="522" width="21.7109375" style="692" customWidth="1"/>
    <col min="523" max="523" width="9.140625" style="692"/>
    <col min="524" max="524" width="10.28515625" style="692" bestFit="1" customWidth="1"/>
    <col min="525" max="771" width="9.140625" style="692"/>
    <col min="772" max="772" width="37.28515625" style="692" customWidth="1"/>
    <col min="773" max="773" width="29.140625" style="692" customWidth="1"/>
    <col min="774" max="774" width="23.28515625" style="692" customWidth="1"/>
    <col min="775" max="775" width="15.140625" style="692" customWidth="1"/>
    <col min="776" max="776" width="16.28515625" style="692" customWidth="1"/>
    <col min="777" max="777" width="14.42578125" style="692" customWidth="1"/>
    <col min="778" max="778" width="21.7109375" style="692" customWidth="1"/>
    <col min="779" max="779" width="9.140625" style="692"/>
    <col min="780" max="780" width="10.28515625" style="692" bestFit="1" customWidth="1"/>
    <col min="781" max="1027" width="9.140625" style="692"/>
    <col min="1028" max="1028" width="37.28515625" style="692" customWidth="1"/>
    <col min="1029" max="1029" width="29.140625" style="692" customWidth="1"/>
    <col min="1030" max="1030" width="23.28515625" style="692" customWidth="1"/>
    <col min="1031" max="1031" width="15.140625" style="692" customWidth="1"/>
    <col min="1032" max="1032" width="16.28515625" style="692" customWidth="1"/>
    <col min="1033" max="1033" width="14.42578125" style="692" customWidth="1"/>
    <col min="1034" max="1034" width="21.7109375" style="692" customWidth="1"/>
    <col min="1035" max="1035" width="9.140625" style="692"/>
    <col min="1036" max="1036" width="10.28515625" style="692" bestFit="1" customWidth="1"/>
    <col min="1037" max="1283" width="9.140625" style="692"/>
    <col min="1284" max="1284" width="37.28515625" style="692" customWidth="1"/>
    <col min="1285" max="1285" width="29.140625" style="692" customWidth="1"/>
    <col min="1286" max="1286" width="23.28515625" style="692" customWidth="1"/>
    <col min="1287" max="1287" width="15.140625" style="692" customWidth="1"/>
    <col min="1288" max="1288" width="16.28515625" style="692" customWidth="1"/>
    <col min="1289" max="1289" width="14.42578125" style="692" customWidth="1"/>
    <col min="1290" max="1290" width="21.7109375" style="692" customWidth="1"/>
    <col min="1291" max="1291" width="9.140625" style="692"/>
    <col min="1292" max="1292" width="10.28515625" style="692" bestFit="1" customWidth="1"/>
    <col min="1293" max="1539" width="9.140625" style="692"/>
    <col min="1540" max="1540" width="37.28515625" style="692" customWidth="1"/>
    <col min="1541" max="1541" width="29.140625" style="692" customWidth="1"/>
    <col min="1542" max="1542" width="23.28515625" style="692" customWidth="1"/>
    <col min="1543" max="1543" width="15.140625" style="692" customWidth="1"/>
    <col min="1544" max="1544" width="16.28515625" style="692" customWidth="1"/>
    <col min="1545" max="1545" width="14.42578125" style="692" customWidth="1"/>
    <col min="1546" max="1546" width="21.7109375" style="692" customWidth="1"/>
    <col min="1547" max="1547" width="9.140625" style="692"/>
    <col min="1548" max="1548" width="10.28515625" style="692" bestFit="1" customWidth="1"/>
    <col min="1549" max="1795" width="9.140625" style="692"/>
    <col min="1796" max="1796" width="37.28515625" style="692" customWidth="1"/>
    <col min="1797" max="1797" width="29.140625" style="692" customWidth="1"/>
    <col min="1798" max="1798" width="23.28515625" style="692" customWidth="1"/>
    <col min="1799" max="1799" width="15.140625" style="692" customWidth="1"/>
    <col min="1800" max="1800" width="16.28515625" style="692" customWidth="1"/>
    <col min="1801" max="1801" width="14.42578125" style="692" customWidth="1"/>
    <col min="1802" max="1802" width="21.7109375" style="692" customWidth="1"/>
    <col min="1803" max="1803" width="9.140625" style="692"/>
    <col min="1804" max="1804" width="10.28515625" style="692" bestFit="1" customWidth="1"/>
    <col min="1805" max="2051" width="9.140625" style="692"/>
    <col min="2052" max="2052" width="37.28515625" style="692" customWidth="1"/>
    <col min="2053" max="2053" width="29.140625" style="692" customWidth="1"/>
    <col min="2054" max="2054" width="23.28515625" style="692" customWidth="1"/>
    <col min="2055" max="2055" width="15.140625" style="692" customWidth="1"/>
    <col min="2056" max="2056" width="16.28515625" style="692" customWidth="1"/>
    <col min="2057" max="2057" width="14.42578125" style="692" customWidth="1"/>
    <col min="2058" max="2058" width="21.7109375" style="692" customWidth="1"/>
    <col min="2059" max="2059" width="9.140625" style="692"/>
    <col min="2060" max="2060" width="10.28515625" style="692" bestFit="1" customWidth="1"/>
    <col min="2061" max="2307" width="9.140625" style="692"/>
    <col min="2308" max="2308" width="37.28515625" style="692" customWidth="1"/>
    <col min="2309" max="2309" width="29.140625" style="692" customWidth="1"/>
    <col min="2310" max="2310" width="23.28515625" style="692" customWidth="1"/>
    <col min="2311" max="2311" width="15.140625" style="692" customWidth="1"/>
    <col min="2312" max="2312" width="16.28515625" style="692" customWidth="1"/>
    <col min="2313" max="2313" width="14.42578125" style="692" customWidth="1"/>
    <col min="2314" max="2314" width="21.7109375" style="692" customWidth="1"/>
    <col min="2315" max="2315" width="9.140625" style="692"/>
    <col min="2316" max="2316" width="10.28515625" style="692" bestFit="1" customWidth="1"/>
    <col min="2317" max="2563" width="9.140625" style="692"/>
    <col min="2564" max="2564" width="37.28515625" style="692" customWidth="1"/>
    <col min="2565" max="2565" width="29.140625" style="692" customWidth="1"/>
    <col min="2566" max="2566" width="23.28515625" style="692" customWidth="1"/>
    <col min="2567" max="2567" width="15.140625" style="692" customWidth="1"/>
    <col min="2568" max="2568" width="16.28515625" style="692" customWidth="1"/>
    <col min="2569" max="2569" width="14.42578125" style="692" customWidth="1"/>
    <col min="2570" max="2570" width="21.7109375" style="692" customWidth="1"/>
    <col min="2571" max="2571" width="9.140625" style="692"/>
    <col min="2572" max="2572" width="10.28515625" style="692" bestFit="1" customWidth="1"/>
    <col min="2573" max="2819" width="9.140625" style="692"/>
    <col min="2820" max="2820" width="37.28515625" style="692" customWidth="1"/>
    <col min="2821" max="2821" width="29.140625" style="692" customWidth="1"/>
    <col min="2822" max="2822" width="23.28515625" style="692" customWidth="1"/>
    <col min="2823" max="2823" width="15.140625" style="692" customWidth="1"/>
    <col min="2824" max="2824" width="16.28515625" style="692" customWidth="1"/>
    <col min="2825" max="2825" width="14.42578125" style="692" customWidth="1"/>
    <col min="2826" max="2826" width="21.7109375" style="692" customWidth="1"/>
    <col min="2827" max="2827" width="9.140625" style="692"/>
    <col min="2828" max="2828" width="10.28515625" style="692" bestFit="1" customWidth="1"/>
    <col min="2829" max="3075" width="9.140625" style="692"/>
    <col min="3076" max="3076" width="37.28515625" style="692" customWidth="1"/>
    <col min="3077" max="3077" width="29.140625" style="692" customWidth="1"/>
    <col min="3078" max="3078" width="23.28515625" style="692" customWidth="1"/>
    <col min="3079" max="3079" width="15.140625" style="692" customWidth="1"/>
    <col min="3080" max="3080" width="16.28515625" style="692" customWidth="1"/>
    <col min="3081" max="3081" width="14.42578125" style="692" customWidth="1"/>
    <col min="3082" max="3082" width="21.7109375" style="692" customWidth="1"/>
    <col min="3083" max="3083" width="9.140625" style="692"/>
    <col min="3084" max="3084" width="10.28515625" style="692" bestFit="1" customWidth="1"/>
    <col min="3085" max="3331" width="9.140625" style="692"/>
    <col min="3332" max="3332" width="37.28515625" style="692" customWidth="1"/>
    <col min="3333" max="3333" width="29.140625" style="692" customWidth="1"/>
    <col min="3334" max="3334" width="23.28515625" style="692" customWidth="1"/>
    <col min="3335" max="3335" width="15.140625" style="692" customWidth="1"/>
    <col min="3336" max="3336" width="16.28515625" style="692" customWidth="1"/>
    <col min="3337" max="3337" width="14.42578125" style="692" customWidth="1"/>
    <col min="3338" max="3338" width="21.7109375" style="692" customWidth="1"/>
    <col min="3339" max="3339" width="9.140625" style="692"/>
    <col min="3340" max="3340" width="10.28515625" style="692" bestFit="1" customWidth="1"/>
    <col min="3341" max="3587" width="9.140625" style="692"/>
    <col min="3588" max="3588" width="37.28515625" style="692" customWidth="1"/>
    <col min="3589" max="3589" width="29.140625" style="692" customWidth="1"/>
    <col min="3590" max="3590" width="23.28515625" style="692" customWidth="1"/>
    <col min="3591" max="3591" width="15.140625" style="692" customWidth="1"/>
    <col min="3592" max="3592" width="16.28515625" style="692" customWidth="1"/>
    <col min="3593" max="3593" width="14.42578125" style="692" customWidth="1"/>
    <col min="3594" max="3594" width="21.7109375" style="692" customWidth="1"/>
    <col min="3595" max="3595" width="9.140625" style="692"/>
    <col min="3596" max="3596" width="10.28515625" style="692" bestFit="1" customWidth="1"/>
    <col min="3597" max="3843" width="9.140625" style="692"/>
    <col min="3844" max="3844" width="37.28515625" style="692" customWidth="1"/>
    <col min="3845" max="3845" width="29.140625" style="692" customWidth="1"/>
    <col min="3846" max="3846" width="23.28515625" style="692" customWidth="1"/>
    <col min="3847" max="3847" width="15.140625" style="692" customWidth="1"/>
    <col min="3848" max="3848" width="16.28515625" style="692" customWidth="1"/>
    <col min="3849" max="3849" width="14.42578125" style="692" customWidth="1"/>
    <col min="3850" max="3850" width="21.7109375" style="692" customWidth="1"/>
    <col min="3851" max="3851" width="9.140625" style="692"/>
    <col min="3852" max="3852" width="10.28515625" style="692" bestFit="1" customWidth="1"/>
    <col min="3853" max="4099" width="9.140625" style="692"/>
    <col min="4100" max="4100" width="37.28515625" style="692" customWidth="1"/>
    <col min="4101" max="4101" width="29.140625" style="692" customWidth="1"/>
    <col min="4102" max="4102" width="23.28515625" style="692" customWidth="1"/>
    <col min="4103" max="4103" width="15.140625" style="692" customWidth="1"/>
    <col min="4104" max="4104" width="16.28515625" style="692" customWidth="1"/>
    <col min="4105" max="4105" width="14.42578125" style="692" customWidth="1"/>
    <col min="4106" max="4106" width="21.7109375" style="692" customWidth="1"/>
    <col min="4107" max="4107" width="9.140625" style="692"/>
    <col min="4108" max="4108" width="10.28515625" style="692" bestFit="1" customWidth="1"/>
    <col min="4109" max="4355" width="9.140625" style="692"/>
    <col min="4356" max="4356" width="37.28515625" style="692" customWidth="1"/>
    <col min="4357" max="4357" width="29.140625" style="692" customWidth="1"/>
    <col min="4358" max="4358" width="23.28515625" style="692" customWidth="1"/>
    <col min="4359" max="4359" width="15.140625" style="692" customWidth="1"/>
    <col min="4360" max="4360" width="16.28515625" style="692" customWidth="1"/>
    <col min="4361" max="4361" width="14.42578125" style="692" customWidth="1"/>
    <col min="4362" max="4362" width="21.7109375" style="692" customWidth="1"/>
    <col min="4363" max="4363" width="9.140625" style="692"/>
    <col min="4364" max="4364" width="10.28515625" style="692" bestFit="1" customWidth="1"/>
    <col min="4365" max="4611" width="9.140625" style="692"/>
    <col min="4612" max="4612" width="37.28515625" style="692" customWidth="1"/>
    <col min="4613" max="4613" width="29.140625" style="692" customWidth="1"/>
    <col min="4614" max="4614" width="23.28515625" style="692" customWidth="1"/>
    <col min="4615" max="4615" width="15.140625" style="692" customWidth="1"/>
    <col min="4616" max="4616" width="16.28515625" style="692" customWidth="1"/>
    <col min="4617" max="4617" width="14.42578125" style="692" customWidth="1"/>
    <col min="4618" max="4618" width="21.7109375" style="692" customWidth="1"/>
    <col min="4619" max="4619" width="9.140625" style="692"/>
    <col min="4620" max="4620" width="10.28515625" style="692" bestFit="1" customWidth="1"/>
    <col min="4621" max="4867" width="9.140625" style="692"/>
    <col min="4868" max="4868" width="37.28515625" style="692" customWidth="1"/>
    <col min="4869" max="4869" width="29.140625" style="692" customWidth="1"/>
    <col min="4870" max="4870" width="23.28515625" style="692" customWidth="1"/>
    <col min="4871" max="4871" width="15.140625" style="692" customWidth="1"/>
    <col min="4872" max="4872" width="16.28515625" style="692" customWidth="1"/>
    <col min="4873" max="4873" width="14.42578125" style="692" customWidth="1"/>
    <col min="4874" max="4874" width="21.7109375" style="692" customWidth="1"/>
    <col min="4875" max="4875" width="9.140625" style="692"/>
    <col min="4876" max="4876" width="10.28515625" style="692" bestFit="1" customWidth="1"/>
    <col min="4877" max="5123" width="9.140625" style="692"/>
    <col min="5124" max="5124" width="37.28515625" style="692" customWidth="1"/>
    <col min="5125" max="5125" width="29.140625" style="692" customWidth="1"/>
    <col min="5126" max="5126" width="23.28515625" style="692" customWidth="1"/>
    <col min="5127" max="5127" width="15.140625" style="692" customWidth="1"/>
    <col min="5128" max="5128" width="16.28515625" style="692" customWidth="1"/>
    <col min="5129" max="5129" width="14.42578125" style="692" customWidth="1"/>
    <col min="5130" max="5130" width="21.7109375" style="692" customWidth="1"/>
    <col min="5131" max="5131" width="9.140625" style="692"/>
    <col min="5132" max="5132" width="10.28515625" style="692" bestFit="1" customWidth="1"/>
    <col min="5133" max="5379" width="9.140625" style="692"/>
    <col min="5380" max="5380" width="37.28515625" style="692" customWidth="1"/>
    <col min="5381" max="5381" width="29.140625" style="692" customWidth="1"/>
    <col min="5382" max="5382" width="23.28515625" style="692" customWidth="1"/>
    <col min="5383" max="5383" width="15.140625" style="692" customWidth="1"/>
    <col min="5384" max="5384" width="16.28515625" style="692" customWidth="1"/>
    <col min="5385" max="5385" width="14.42578125" style="692" customWidth="1"/>
    <col min="5386" max="5386" width="21.7109375" style="692" customWidth="1"/>
    <col min="5387" max="5387" width="9.140625" style="692"/>
    <col min="5388" max="5388" width="10.28515625" style="692" bestFit="1" customWidth="1"/>
    <col min="5389" max="5635" width="9.140625" style="692"/>
    <col min="5636" max="5636" width="37.28515625" style="692" customWidth="1"/>
    <col min="5637" max="5637" width="29.140625" style="692" customWidth="1"/>
    <col min="5638" max="5638" width="23.28515625" style="692" customWidth="1"/>
    <col min="5639" max="5639" width="15.140625" style="692" customWidth="1"/>
    <col min="5640" max="5640" width="16.28515625" style="692" customWidth="1"/>
    <col min="5641" max="5641" width="14.42578125" style="692" customWidth="1"/>
    <col min="5642" max="5642" width="21.7109375" style="692" customWidth="1"/>
    <col min="5643" max="5643" width="9.140625" style="692"/>
    <col min="5644" max="5644" width="10.28515625" style="692" bestFit="1" customWidth="1"/>
    <col min="5645" max="5891" width="9.140625" style="692"/>
    <col min="5892" max="5892" width="37.28515625" style="692" customWidth="1"/>
    <col min="5893" max="5893" width="29.140625" style="692" customWidth="1"/>
    <col min="5894" max="5894" width="23.28515625" style="692" customWidth="1"/>
    <col min="5895" max="5895" width="15.140625" style="692" customWidth="1"/>
    <col min="5896" max="5896" width="16.28515625" style="692" customWidth="1"/>
    <col min="5897" max="5897" width="14.42578125" style="692" customWidth="1"/>
    <col min="5898" max="5898" width="21.7109375" style="692" customWidth="1"/>
    <col min="5899" max="5899" width="9.140625" style="692"/>
    <col min="5900" max="5900" width="10.28515625" style="692" bestFit="1" customWidth="1"/>
    <col min="5901" max="6147" width="9.140625" style="692"/>
    <col min="6148" max="6148" width="37.28515625" style="692" customWidth="1"/>
    <col min="6149" max="6149" width="29.140625" style="692" customWidth="1"/>
    <col min="6150" max="6150" width="23.28515625" style="692" customWidth="1"/>
    <col min="6151" max="6151" width="15.140625" style="692" customWidth="1"/>
    <col min="6152" max="6152" width="16.28515625" style="692" customWidth="1"/>
    <col min="6153" max="6153" width="14.42578125" style="692" customWidth="1"/>
    <col min="6154" max="6154" width="21.7109375" style="692" customWidth="1"/>
    <col min="6155" max="6155" width="9.140625" style="692"/>
    <col min="6156" max="6156" width="10.28515625" style="692" bestFit="1" customWidth="1"/>
    <col min="6157" max="6403" width="9.140625" style="692"/>
    <col min="6404" max="6404" width="37.28515625" style="692" customWidth="1"/>
    <col min="6405" max="6405" width="29.140625" style="692" customWidth="1"/>
    <col min="6406" max="6406" width="23.28515625" style="692" customWidth="1"/>
    <col min="6407" max="6407" width="15.140625" style="692" customWidth="1"/>
    <col min="6408" max="6408" width="16.28515625" style="692" customWidth="1"/>
    <col min="6409" max="6409" width="14.42578125" style="692" customWidth="1"/>
    <col min="6410" max="6410" width="21.7109375" style="692" customWidth="1"/>
    <col min="6411" max="6411" width="9.140625" style="692"/>
    <col min="6412" max="6412" width="10.28515625" style="692" bestFit="1" customWidth="1"/>
    <col min="6413" max="6659" width="9.140625" style="692"/>
    <col min="6660" max="6660" width="37.28515625" style="692" customWidth="1"/>
    <col min="6661" max="6661" width="29.140625" style="692" customWidth="1"/>
    <col min="6662" max="6662" width="23.28515625" style="692" customWidth="1"/>
    <col min="6663" max="6663" width="15.140625" style="692" customWidth="1"/>
    <col min="6664" max="6664" width="16.28515625" style="692" customWidth="1"/>
    <col min="6665" max="6665" width="14.42578125" style="692" customWidth="1"/>
    <col min="6666" max="6666" width="21.7109375" style="692" customWidth="1"/>
    <col min="6667" max="6667" width="9.140625" style="692"/>
    <col min="6668" max="6668" width="10.28515625" style="692" bestFit="1" customWidth="1"/>
    <col min="6669" max="6915" width="9.140625" style="692"/>
    <col min="6916" max="6916" width="37.28515625" style="692" customWidth="1"/>
    <col min="6917" max="6917" width="29.140625" style="692" customWidth="1"/>
    <col min="6918" max="6918" width="23.28515625" style="692" customWidth="1"/>
    <col min="6919" max="6919" width="15.140625" style="692" customWidth="1"/>
    <col min="6920" max="6920" width="16.28515625" style="692" customWidth="1"/>
    <col min="6921" max="6921" width="14.42578125" style="692" customWidth="1"/>
    <col min="6922" max="6922" width="21.7109375" style="692" customWidth="1"/>
    <col min="6923" max="6923" width="9.140625" style="692"/>
    <col min="6924" max="6924" width="10.28515625" style="692" bestFit="1" customWidth="1"/>
    <col min="6925" max="7171" width="9.140625" style="692"/>
    <col min="7172" max="7172" width="37.28515625" style="692" customWidth="1"/>
    <col min="7173" max="7173" width="29.140625" style="692" customWidth="1"/>
    <col min="7174" max="7174" width="23.28515625" style="692" customWidth="1"/>
    <col min="7175" max="7175" width="15.140625" style="692" customWidth="1"/>
    <col min="7176" max="7176" width="16.28515625" style="692" customWidth="1"/>
    <col min="7177" max="7177" width="14.42578125" style="692" customWidth="1"/>
    <col min="7178" max="7178" width="21.7109375" style="692" customWidth="1"/>
    <col min="7179" max="7179" width="9.140625" style="692"/>
    <col min="7180" max="7180" width="10.28515625" style="692" bestFit="1" customWidth="1"/>
    <col min="7181" max="7427" width="9.140625" style="692"/>
    <col min="7428" max="7428" width="37.28515625" style="692" customWidth="1"/>
    <col min="7429" max="7429" width="29.140625" style="692" customWidth="1"/>
    <col min="7430" max="7430" width="23.28515625" style="692" customWidth="1"/>
    <col min="7431" max="7431" width="15.140625" style="692" customWidth="1"/>
    <col min="7432" max="7432" width="16.28515625" style="692" customWidth="1"/>
    <col min="7433" max="7433" width="14.42578125" style="692" customWidth="1"/>
    <col min="7434" max="7434" width="21.7109375" style="692" customWidth="1"/>
    <col min="7435" max="7435" width="9.140625" style="692"/>
    <col min="7436" max="7436" width="10.28515625" style="692" bestFit="1" customWidth="1"/>
    <col min="7437" max="7683" width="9.140625" style="692"/>
    <col min="7684" max="7684" width="37.28515625" style="692" customWidth="1"/>
    <col min="7685" max="7685" width="29.140625" style="692" customWidth="1"/>
    <col min="7686" max="7686" width="23.28515625" style="692" customWidth="1"/>
    <col min="7687" max="7687" width="15.140625" style="692" customWidth="1"/>
    <col min="7688" max="7688" width="16.28515625" style="692" customWidth="1"/>
    <col min="7689" max="7689" width="14.42578125" style="692" customWidth="1"/>
    <col min="7690" max="7690" width="21.7109375" style="692" customWidth="1"/>
    <col min="7691" max="7691" width="9.140625" style="692"/>
    <col min="7692" max="7692" width="10.28515625" style="692" bestFit="1" customWidth="1"/>
    <col min="7693" max="7939" width="9.140625" style="692"/>
    <col min="7940" max="7940" width="37.28515625" style="692" customWidth="1"/>
    <col min="7941" max="7941" width="29.140625" style="692" customWidth="1"/>
    <col min="7942" max="7942" width="23.28515625" style="692" customWidth="1"/>
    <col min="7943" max="7943" width="15.140625" style="692" customWidth="1"/>
    <col min="7944" max="7944" width="16.28515625" style="692" customWidth="1"/>
    <col min="7945" max="7945" width="14.42578125" style="692" customWidth="1"/>
    <col min="7946" max="7946" width="21.7109375" style="692" customWidth="1"/>
    <col min="7947" max="7947" width="9.140625" style="692"/>
    <col min="7948" max="7948" width="10.28515625" style="692" bestFit="1" customWidth="1"/>
    <col min="7949" max="8195" width="9.140625" style="692"/>
    <col min="8196" max="8196" width="37.28515625" style="692" customWidth="1"/>
    <col min="8197" max="8197" width="29.140625" style="692" customWidth="1"/>
    <col min="8198" max="8198" width="23.28515625" style="692" customWidth="1"/>
    <col min="8199" max="8199" width="15.140625" style="692" customWidth="1"/>
    <col min="8200" max="8200" width="16.28515625" style="692" customWidth="1"/>
    <col min="8201" max="8201" width="14.42578125" style="692" customWidth="1"/>
    <col min="8202" max="8202" width="21.7109375" style="692" customWidth="1"/>
    <col min="8203" max="8203" width="9.140625" style="692"/>
    <col min="8204" max="8204" width="10.28515625" style="692" bestFit="1" customWidth="1"/>
    <col min="8205" max="8451" width="9.140625" style="692"/>
    <col min="8452" max="8452" width="37.28515625" style="692" customWidth="1"/>
    <col min="8453" max="8453" width="29.140625" style="692" customWidth="1"/>
    <col min="8454" max="8454" width="23.28515625" style="692" customWidth="1"/>
    <col min="8455" max="8455" width="15.140625" style="692" customWidth="1"/>
    <col min="8456" max="8456" width="16.28515625" style="692" customWidth="1"/>
    <col min="8457" max="8457" width="14.42578125" style="692" customWidth="1"/>
    <col min="8458" max="8458" width="21.7109375" style="692" customWidth="1"/>
    <col min="8459" max="8459" width="9.140625" style="692"/>
    <col min="8460" max="8460" width="10.28515625" style="692" bestFit="1" customWidth="1"/>
    <col min="8461" max="8707" width="9.140625" style="692"/>
    <col min="8708" max="8708" width="37.28515625" style="692" customWidth="1"/>
    <col min="8709" max="8709" width="29.140625" style="692" customWidth="1"/>
    <col min="8710" max="8710" width="23.28515625" style="692" customWidth="1"/>
    <col min="8711" max="8711" width="15.140625" style="692" customWidth="1"/>
    <col min="8712" max="8712" width="16.28515625" style="692" customWidth="1"/>
    <col min="8713" max="8713" width="14.42578125" style="692" customWidth="1"/>
    <col min="8714" max="8714" width="21.7109375" style="692" customWidth="1"/>
    <col min="8715" max="8715" width="9.140625" style="692"/>
    <col min="8716" max="8716" width="10.28515625" style="692" bestFit="1" customWidth="1"/>
    <col min="8717" max="8963" width="9.140625" style="692"/>
    <col min="8964" max="8964" width="37.28515625" style="692" customWidth="1"/>
    <col min="8965" max="8965" width="29.140625" style="692" customWidth="1"/>
    <col min="8966" max="8966" width="23.28515625" style="692" customWidth="1"/>
    <col min="8967" max="8967" width="15.140625" style="692" customWidth="1"/>
    <col min="8968" max="8968" width="16.28515625" style="692" customWidth="1"/>
    <col min="8969" max="8969" width="14.42578125" style="692" customWidth="1"/>
    <col min="8970" max="8970" width="21.7109375" style="692" customWidth="1"/>
    <col min="8971" max="8971" width="9.140625" style="692"/>
    <col min="8972" max="8972" width="10.28515625" style="692" bestFit="1" customWidth="1"/>
    <col min="8973" max="9219" width="9.140625" style="692"/>
    <col min="9220" max="9220" width="37.28515625" style="692" customWidth="1"/>
    <col min="9221" max="9221" width="29.140625" style="692" customWidth="1"/>
    <col min="9222" max="9222" width="23.28515625" style="692" customWidth="1"/>
    <col min="9223" max="9223" width="15.140625" style="692" customWidth="1"/>
    <col min="9224" max="9224" width="16.28515625" style="692" customWidth="1"/>
    <col min="9225" max="9225" width="14.42578125" style="692" customWidth="1"/>
    <col min="9226" max="9226" width="21.7109375" style="692" customWidth="1"/>
    <col min="9227" max="9227" width="9.140625" style="692"/>
    <col min="9228" max="9228" width="10.28515625" style="692" bestFit="1" customWidth="1"/>
    <col min="9229" max="9475" width="9.140625" style="692"/>
    <col min="9476" max="9476" width="37.28515625" style="692" customWidth="1"/>
    <col min="9477" max="9477" width="29.140625" style="692" customWidth="1"/>
    <col min="9478" max="9478" width="23.28515625" style="692" customWidth="1"/>
    <col min="9479" max="9479" width="15.140625" style="692" customWidth="1"/>
    <col min="9480" max="9480" width="16.28515625" style="692" customWidth="1"/>
    <col min="9481" max="9481" width="14.42578125" style="692" customWidth="1"/>
    <col min="9482" max="9482" width="21.7109375" style="692" customWidth="1"/>
    <col min="9483" max="9483" width="9.140625" style="692"/>
    <col min="9484" max="9484" width="10.28515625" style="692" bestFit="1" customWidth="1"/>
    <col min="9485" max="9731" width="9.140625" style="692"/>
    <col min="9732" max="9732" width="37.28515625" style="692" customWidth="1"/>
    <col min="9733" max="9733" width="29.140625" style="692" customWidth="1"/>
    <col min="9734" max="9734" width="23.28515625" style="692" customWidth="1"/>
    <col min="9735" max="9735" width="15.140625" style="692" customWidth="1"/>
    <col min="9736" max="9736" width="16.28515625" style="692" customWidth="1"/>
    <col min="9737" max="9737" width="14.42578125" style="692" customWidth="1"/>
    <col min="9738" max="9738" width="21.7109375" style="692" customWidth="1"/>
    <col min="9739" max="9739" width="9.140625" style="692"/>
    <col min="9740" max="9740" width="10.28515625" style="692" bestFit="1" customWidth="1"/>
    <col min="9741" max="9987" width="9.140625" style="692"/>
    <col min="9988" max="9988" width="37.28515625" style="692" customWidth="1"/>
    <col min="9989" max="9989" width="29.140625" style="692" customWidth="1"/>
    <col min="9990" max="9990" width="23.28515625" style="692" customWidth="1"/>
    <col min="9991" max="9991" width="15.140625" style="692" customWidth="1"/>
    <col min="9992" max="9992" width="16.28515625" style="692" customWidth="1"/>
    <col min="9993" max="9993" width="14.42578125" style="692" customWidth="1"/>
    <col min="9994" max="9994" width="21.7109375" style="692" customWidth="1"/>
    <col min="9995" max="9995" width="9.140625" style="692"/>
    <col min="9996" max="9996" width="10.28515625" style="692" bestFit="1" customWidth="1"/>
    <col min="9997" max="10243" width="9.140625" style="692"/>
    <col min="10244" max="10244" width="37.28515625" style="692" customWidth="1"/>
    <col min="10245" max="10245" width="29.140625" style="692" customWidth="1"/>
    <col min="10246" max="10246" width="23.28515625" style="692" customWidth="1"/>
    <col min="10247" max="10247" width="15.140625" style="692" customWidth="1"/>
    <col min="10248" max="10248" width="16.28515625" style="692" customWidth="1"/>
    <col min="10249" max="10249" width="14.42578125" style="692" customWidth="1"/>
    <col min="10250" max="10250" width="21.7109375" style="692" customWidth="1"/>
    <col min="10251" max="10251" width="9.140625" style="692"/>
    <col min="10252" max="10252" width="10.28515625" style="692" bestFit="1" customWidth="1"/>
    <col min="10253" max="10499" width="9.140625" style="692"/>
    <col min="10500" max="10500" width="37.28515625" style="692" customWidth="1"/>
    <col min="10501" max="10501" width="29.140625" style="692" customWidth="1"/>
    <col min="10502" max="10502" width="23.28515625" style="692" customWidth="1"/>
    <col min="10503" max="10503" width="15.140625" style="692" customWidth="1"/>
    <col min="10504" max="10504" width="16.28515625" style="692" customWidth="1"/>
    <col min="10505" max="10505" width="14.42578125" style="692" customWidth="1"/>
    <col min="10506" max="10506" width="21.7109375" style="692" customWidth="1"/>
    <col min="10507" max="10507" width="9.140625" style="692"/>
    <col min="10508" max="10508" width="10.28515625" style="692" bestFit="1" customWidth="1"/>
    <col min="10509" max="10755" width="9.140625" style="692"/>
    <col min="10756" max="10756" width="37.28515625" style="692" customWidth="1"/>
    <col min="10757" max="10757" width="29.140625" style="692" customWidth="1"/>
    <col min="10758" max="10758" width="23.28515625" style="692" customWidth="1"/>
    <col min="10759" max="10759" width="15.140625" style="692" customWidth="1"/>
    <col min="10760" max="10760" width="16.28515625" style="692" customWidth="1"/>
    <col min="10761" max="10761" width="14.42578125" style="692" customWidth="1"/>
    <col min="10762" max="10762" width="21.7109375" style="692" customWidth="1"/>
    <col min="10763" max="10763" width="9.140625" style="692"/>
    <col min="10764" max="10764" width="10.28515625" style="692" bestFit="1" customWidth="1"/>
    <col min="10765" max="11011" width="9.140625" style="692"/>
    <col min="11012" max="11012" width="37.28515625" style="692" customWidth="1"/>
    <col min="11013" max="11013" width="29.140625" style="692" customWidth="1"/>
    <col min="11014" max="11014" width="23.28515625" style="692" customWidth="1"/>
    <col min="11015" max="11015" width="15.140625" style="692" customWidth="1"/>
    <col min="11016" max="11016" width="16.28515625" style="692" customWidth="1"/>
    <col min="11017" max="11017" width="14.42578125" style="692" customWidth="1"/>
    <col min="11018" max="11018" width="21.7109375" style="692" customWidth="1"/>
    <col min="11019" max="11019" width="9.140625" style="692"/>
    <col min="11020" max="11020" width="10.28515625" style="692" bestFit="1" customWidth="1"/>
    <col min="11021" max="11267" width="9.140625" style="692"/>
    <col min="11268" max="11268" width="37.28515625" style="692" customWidth="1"/>
    <col min="11269" max="11269" width="29.140625" style="692" customWidth="1"/>
    <col min="11270" max="11270" width="23.28515625" style="692" customWidth="1"/>
    <col min="11271" max="11271" width="15.140625" style="692" customWidth="1"/>
    <col min="11272" max="11272" width="16.28515625" style="692" customWidth="1"/>
    <col min="11273" max="11273" width="14.42578125" style="692" customWidth="1"/>
    <col min="11274" max="11274" width="21.7109375" style="692" customWidth="1"/>
    <col min="11275" max="11275" width="9.140625" style="692"/>
    <col min="11276" max="11276" width="10.28515625" style="692" bestFit="1" customWidth="1"/>
    <col min="11277" max="11523" width="9.140625" style="692"/>
    <col min="11524" max="11524" width="37.28515625" style="692" customWidth="1"/>
    <col min="11525" max="11525" width="29.140625" style="692" customWidth="1"/>
    <col min="11526" max="11526" width="23.28515625" style="692" customWidth="1"/>
    <col min="11527" max="11527" width="15.140625" style="692" customWidth="1"/>
    <col min="11528" max="11528" width="16.28515625" style="692" customWidth="1"/>
    <col min="11529" max="11529" width="14.42578125" style="692" customWidth="1"/>
    <col min="11530" max="11530" width="21.7109375" style="692" customWidth="1"/>
    <col min="11531" max="11531" width="9.140625" style="692"/>
    <col min="11532" max="11532" width="10.28515625" style="692" bestFit="1" customWidth="1"/>
    <col min="11533" max="11779" width="9.140625" style="692"/>
    <col min="11780" max="11780" width="37.28515625" style="692" customWidth="1"/>
    <col min="11781" max="11781" width="29.140625" style="692" customWidth="1"/>
    <col min="11782" max="11782" width="23.28515625" style="692" customWidth="1"/>
    <col min="11783" max="11783" width="15.140625" style="692" customWidth="1"/>
    <col min="11784" max="11784" width="16.28515625" style="692" customWidth="1"/>
    <col min="11785" max="11785" width="14.42578125" style="692" customWidth="1"/>
    <col min="11786" max="11786" width="21.7109375" style="692" customWidth="1"/>
    <col min="11787" max="11787" width="9.140625" style="692"/>
    <col min="11788" max="11788" width="10.28515625" style="692" bestFit="1" customWidth="1"/>
    <col min="11789" max="12035" width="9.140625" style="692"/>
    <col min="12036" max="12036" width="37.28515625" style="692" customWidth="1"/>
    <col min="12037" max="12037" width="29.140625" style="692" customWidth="1"/>
    <col min="12038" max="12038" width="23.28515625" style="692" customWidth="1"/>
    <col min="12039" max="12039" width="15.140625" style="692" customWidth="1"/>
    <col min="12040" max="12040" width="16.28515625" style="692" customWidth="1"/>
    <col min="12041" max="12041" width="14.42578125" style="692" customWidth="1"/>
    <col min="12042" max="12042" width="21.7109375" style="692" customWidth="1"/>
    <col min="12043" max="12043" width="9.140625" style="692"/>
    <col min="12044" max="12044" width="10.28515625" style="692" bestFit="1" customWidth="1"/>
    <col min="12045" max="12291" width="9.140625" style="692"/>
    <col min="12292" max="12292" width="37.28515625" style="692" customWidth="1"/>
    <col min="12293" max="12293" width="29.140625" style="692" customWidth="1"/>
    <col min="12294" max="12294" width="23.28515625" style="692" customWidth="1"/>
    <col min="12295" max="12295" width="15.140625" style="692" customWidth="1"/>
    <col min="12296" max="12296" width="16.28515625" style="692" customWidth="1"/>
    <col min="12297" max="12297" width="14.42578125" style="692" customWidth="1"/>
    <col min="12298" max="12298" width="21.7109375" style="692" customWidth="1"/>
    <col min="12299" max="12299" width="9.140625" style="692"/>
    <col min="12300" max="12300" width="10.28515625" style="692" bestFit="1" customWidth="1"/>
    <col min="12301" max="12547" width="9.140625" style="692"/>
    <col min="12548" max="12548" width="37.28515625" style="692" customWidth="1"/>
    <col min="12549" max="12549" width="29.140625" style="692" customWidth="1"/>
    <col min="12550" max="12550" width="23.28515625" style="692" customWidth="1"/>
    <col min="12551" max="12551" width="15.140625" style="692" customWidth="1"/>
    <col min="12552" max="12552" width="16.28515625" style="692" customWidth="1"/>
    <col min="12553" max="12553" width="14.42578125" style="692" customWidth="1"/>
    <col min="12554" max="12554" width="21.7109375" style="692" customWidth="1"/>
    <col min="12555" max="12555" width="9.140625" style="692"/>
    <col min="12556" max="12556" width="10.28515625" style="692" bestFit="1" customWidth="1"/>
    <col min="12557" max="12803" width="9.140625" style="692"/>
    <col min="12804" max="12804" width="37.28515625" style="692" customWidth="1"/>
    <col min="12805" max="12805" width="29.140625" style="692" customWidth="1"/>
    <col min="12806" max="12806" width="23.28515625" style="692" customWidth="1"/>
    <col min="12807" max="12807" width="15.140625" style="692" customWidth="1"/>
    <col min="12808" max="12808" width="16.28515625" style="692" customWidth="1"/>
    <col min="12809" max="12809" width="14.42578125" style="692" customWidth="1"/>
    <col min="12810" max="12810" width="21.7109375" style="692" customWidth="1"/>
    <col min="12811" max="12811" width="9.140625" style="692"/>
    <col min="12812" max="12812" width="10.28515625" style="692" bestFit="1" customWidth="1"/>
    <col min="12813" max="13059" width="9.140625" style="692"/>
    <col min="13060" max="13060" width="37.28515625" style="692" customWidth="1"/>
    <col min="13061" max="13061" width="29.140625" style="692" customWidth="1"/>
    <col min="13062" max="13062" width="23.28515625" style="692" customWidth="1"/>
    <col min="13063" max="13063" width="15.140625" style="692" customWidth="1"/>
    <col min="13064" max="13064" width="16.28515625" style="692" customWidth="1"/>
    <col min="13065" max="13065" width="14.42578125" style="692" customWidth="1"/>
    <col min="13066" max="13066" width="21.7109375" style="692" customWidth="1"/>
    <col min="13067" max="13067" width="9.140625" style="692"/>
    <col min="13068" max="13068" width="10.28515625" style="692" bestFit="1" customWidth="1"/>
    <col min="13069" max="13315" width="9.140625" style="692"/>
    <col min="13316" max="13316" width="37.28515625" style="692" customWidth="1"/>
    <col min="13317" max="13317" width="29.140625" style="692" customWidth="1"/>
    <col min="13318" max="13318" width="23.28515625" style="692" customWidth="1"/>
    <col min="13319" max="13319" width="15.140625" style="692" customWidth="1"/>
    <col min="13320" max="13320" width="16.28515625" style="692" customWidth="1"/>
    <col min="13321" max="13321" width="14.42578125" style="692" customWidth="1"/>
    <col min="13322" max="13322" width="21.7109375" style="692" customWidth="1"/>
    <col min="13323" max="13323" width="9.140625" style="692"/>
    <col min="13324" max="13324" width="10.28515625" style="692" bestFit="1" customWidth="1"/>
    <col min="13325" max="13571" width="9.140625" style="692"/>
    <col min="13572" max="13572" width="37.28515625" style="692" customWidth="1"/>
    <col min="13573" max="13573" width="29.140625" style="692" customWidth="1"/>
    <col min="13574" max="13574" width="23.28515625" style="692" customWidth="1"/>
    <col min="13575" max="13575" width="15.140625" style="692" customWidth="1"/>
    <col min="13576" max="13576" width="16.28515625" style="692" customWidth="1"/>
    <col min="13577" max="13577" width="14.42578125" style="692" customWidth="1"/>
    <col min="13578" max="13578" width="21.7109375" style="692" customWidth="1"/>
    <col min="13579" max="13579" width="9.140625" style="692"/>
    <col min="13580" max="13580" width="10.28515625" style="692" bestFit="1" customWidth="1"/>
    <col min="13581" max="13827" width="9.140625" style="692"/>
    <col min="13828" max="13828" width="37.28515625" style="692" customWidth="1"/>
    <col min="13829" max="13829" width="29.140625" style="692" customWidth="1"/>
    <col min="13830" max="13830" width="23.28515625" style="692" customWidth="1"/>
    <col min="13831" max="13831" width="15.140625" style="692" customWidth="1"/>
    <col min="13832" max="13832" width="16.28515625" style="692" customWidth="1"/>
    <col min="13833" max="13833" width="14.42578125" style="692" customWidth="1"/>
    <col min="13834" max="13834" width="21.7109375" style="692" customWidth="1"/>
    <col min="13835" max="13835" width="9.140625" style="692"/>
    <col min="13836" max="13836" width="10.28515625" style="692" bestFit="1" customWidth="1"/>
    <col min="13837" max="14083" width="9.140625" style="692"/>
    <col min="14084" max="14084" width="37.28515625" style="692" customWidth="1"/>
    <col min="14085" max="14085" width="29.140625" style="692" customWidth="1"/>
    <col min="14086" max="14086" width="23.28515625" style="692" customWidth="1"/>
    <col min="14087" max="14087" width="15.140625" style="692" customWidth="1"/>
    <col min="14088" max="14088" width="16.28515625" style="692" customWidth="1"/>
    <col min="14089" max="14089" width="14.42578125" style="692" customWidth="1"/>
    <col min="14090" max="14090" width="21.7109375" style="692" customWidth="1"/>
    <col min="14091" max="14091" width="9.140625" style="692"/>
    <col min="14092" max="14092" width="10.28515625" style="692" bestFit="1" customWidth="1"/>
    <col min="14093" max="14339" width="9.140625" style="692"/>
    <col min="14340" max="14340" width="37.28515625" style="692" customWidth="1"/>
    <col min="14341" max="14341" width="29.140625" style="692" customWidth="1"/>
    <col min="14342" max="14342" width="23.28515625" style="692" customWidth="1"/>
    <col min="14343" max="14343" width="15.140625" style="692" customWidth="1"/>
    <col min="14344" max="14344" width="16.28515625" style="692" customWidth="1"/>
    <col min="14345" max="14345" width="14.42578125" style="692" customWidth="1"/>
    <col min="14346" max="14346" width="21.7109375" style="692" customWidth="1"/>
    <col min="14347" max="14347" width="9.140625" style="692"/>
    <col min="14348" max="14348" width="10.28515625" style="692" bestFit="1" customWidth="1"/>
    <col min="14349" max="14595" width="9.140625" style="692"/>
    <col min="14596" max="14596" width="37.28515625" style="692" customWidth="1"/>
    <col min="14597" max="14597" width="29.140625" style="692" customWidth="1"/>
    <col min="14598" max="14598" width="23.28515625" style="692" customWidth="1"/>
    <col min="14599" max="14599" width="15.140625" style="692" customWidth="1"/>
    <col min="14600" max="14600" width="16.28515625" style="692" customWidth="1"/>
    <col min="14601" max="14601" width="14.42578125" style="692" customWidth="1"/>
    <col min="14602" max="14602" width="21.7109375" style="692" customWidth="1"/>
    <col min="14603" max="14603" width="9.140625" style="692"/>
    <col min="14604" max="14604" width="10.28515625" style="692" bestFit="1" customWidth="1"/>
    <col min="14605" max="14851" width="9.140625" style="692"/>
    <col min="14852" max="14852" width="37.28515625" style="692" customWidth="1"/>
    <col min="14853" max="14853" width="29.140625" style="692" customWidth="1"/>
    <col min="14854" max="14854" width="23.28515625" style="692" customWidth="1"/>
    <col min="14855" max="14855" width="15.140625" style="692" customWidth="1"/>
    <col min="14856" max="14856" width="16.28515625" style="692" customWidth="1"/>
    <col min="14857" max="14857" width="14.42578125" style="692" customWidth="1"/>
    <col min="14858" max="14858" width="21.7109375" style="692" customWidth="1"/>
    <col min="14859" max="14859" width="9.140625" style="692"/>
    <col min="14860" max="14860" width="10.28515625" style="692" bestFit="1" customWidth="1"/>
    <col min="14861" max="15107" width="9.140625" style="692"/>
    <col min="15108" max="15108" width="37.28515625" style="692" customWidth="1"/>
    <col min="15109" max="15109" width="29.140625" style="692" customWidth="1"/>
    <col min="15110" max="15110" width="23.28515625" style="692" customWidth="1"/>
    <col min="15111" max="15111" width="15.140625" style="692" customWidth="1"/>
    <col min="15112" max="15112" width="16.28515625" style="692" customWidth="1"/>
    <col min="15113" max="15113" width="14.42578125" style="692" customWidth="1"/>
    <col min="15114" max="15114" width="21.7109375" style="692" customWidth="1"/>
    <col min="15115" max="15115" width="9.140625" style="692"/>
    <col min="15116" max="15116" width="10.28515625" style="692" bestFit="1" customWidth="1"/>
    <col min="15117" max="15363" width="9.140625" style="692"/>
    <col min="15364" max="15364" width="37.28515625" style="692" customWidth="1"/>
    <col min="15365" max="15365" width="29.140625" style="692" customWidth="1"/>
    <col min="15366" max="15366" width="23.28515625" style="692" customWidth="1"/>
    <col min="15367" max="15367" width="15.140625" style="692" customWidth="1"/>
    <col min="15368" max="15368" width="16.28515625" style="692" customWidth="1"/>
    <col min="15369" max="15369" width="14.42578125" style="692" customWidth="1"/>
    <col min="15370" max="15370" width="21.7109375" style="692" customWidth="1"/>
    <col min="15371" max="15371" width="9.140625" style="692"/>
    <col min="15372" max="15372" width="10.28515625" style="692" bestFit="1" customWidth="1"/>
    <col min="15373" max="15619" width="9.140625" style="692"/>
    <col min="15620" max="15620" width="37.28515625" style="692" customWidth="1"/>
    <col min="15621" max="15621" width="29.140625" style="692" customWidth="1"/>
    <col min="15622" max="15622" width="23.28515625" style="692" customWidth="1"/>
    <col min="15623" max="15623" width="15.140625" style="692" customWidth="1"/>
    <col min="15624" max="15624" width="16.28515625" style="692" customWidth="1"/>
    <col min="15625" max="15625" width="14.42578125" style="692" customWidth="1"/>
    <col min="15626" max="15626" width="21.7109375" style="692" customWidth="1"/>
    <col min="15627" max="15627" width="9.140625" style="692"/>
    <col min="15628" max="15628" width="10.28515625" style="692" bestFit="1" customWidth="1"/>
    <col min="15629" max="15875" width="9.140625" style="692"/>
    <col min="15876" max="15876" width="37.28515625" style="692" customWidth="1"/>
    <col min="15877" max="15877" width="29.140625" style="692" customWidth="1"/>
    <col min="15878" max="15878" width="23.28515625" style="692" customWidth="1"/>
    <col min="15879" max="15879" width="15.140625" style="692" customWidth="1"/>
    <col min="15880" max="15880" width="16.28515625" style="692" customWidth="1"/>
    <col min="15881" max="15881" width="14.42578125" style="692" customWidth="1"/>
    <col min="15882" max="15882" width="21.7109375" style="692" customWidth="1"/>
    <col min="15883" max="15883" width="9.140625" style="692"/>
    <col min="15884" max="15884" width="10.28515625" style="692" bestFit="1" customWidth="1"/>
    <col min="15885" max="16131" width="9.140625" style="692"/>
    <col min="16132" max="16132" width="37.28515625" style="692" customWidth="1"/>
    <col min="16133" max="16133" width="29.140625" style="692" customWidth="1"/>
    <col min="16134" max="16134" width="23.28515625" style="692" customWidth="1"/>
    <col min="16135" max="16135" width="15.140625" style="692" customWidth="1"/>
    <col min="16136" max="16136" width="16.28515625" style="692" customWidth="1"/>
    <col min="16137" max="16137" width="14.42578125" style="692" customWidth="1"/>
    <col min="16138" max="16138" width="21.7109375" style="692" customWidth="1"/>
    <col min="16139" max="16139" width="9.140625" style="692"/>
    <col min="16140" max="16140" width="10.28515625" style="692" bestFit="1" customWidth="1"/>
    <col min="16141" max="16384" width="9.140625" style="692"/>
  </cols>
  <sheetData>
    <row r="1" spans="1:27" ht="42.6" customHeight="1" x14ac:dyDescent="0.3">
      <c r="A1" s="1992" t="s">
        <v>1927</v>
      </c>
      <c r="B1" s="1993"/>
      <c r="C1" s="1993"/>
      <c r="D1" s="1993"/>
      <c r="E1" s="1993"/>
      <c r="F1" s="1993"/>
      <c r="G1" s="1993"/>
      <c r="H1" s="1993"/>
      <c r="I1" s="1993"/>
      <c r="J1" s="1993"/>
      <c r="K1" s="1993"/>
      <c r="L1" s="1993"/>
      <c r="M1" s="1993"/>
      <c r="N1" s="1993"/>
      <c r="O1" s="1993"/>
      <c r="P1" s="1993"/>
      <c r="Q1" s="1993"/>
      <c r="R1" s="1993"/>
      <c r="S1" s="1993"/>
    </row>
    <row r="2" spans="1:27" ht="24" hidden="1" customHeight="1" x14ac:dyDescent="0.3">
      <c r="A2" s="1994" t="s">
        <v>4</v>
      </c>
      <c r="B2" s="1994"/>
      <c r="C2" s="1994"/>
      <c r="D2" s="1994"/>
      <c r="E2" s="1994"/>
      <c r="F2" s="1994"/>
      <c r="G2" s="1994"/>
      <c r="H2" s="1994"/>
      <c r="I2" s="1994"/>
      <c r="J2" s="1994"/>
      <c r="K2" s="1994"/>
      <c r="L2" s="1994"/>
      <c r="M2" s="1994"/>
      <c r="N2" s="1994"/>
      <c r="O2" s="1994"/>
      <c r="P2" s="1994"/>
      <c r="Q2" s="1994"/>
      <c r="R2" s="1994"/>
      <c r="S2" s="1994"/>
    </row>
    <row r="3" spans="1:27" ht="22.5" customHeight="1" x14ac:dyDescent="0.3">
      <c r="A3" s="1994" t="s">
        <v>1</v>
      </c>
      <c r="B3" s="1994"/>
      <c r="C3" s="1994"/>
      <c r="D3" s="1994"/>
      <c r="E3" s="1994"/>
      <c r="F3" s="1994"/>
      <c r="G3" s="1994"/>
      <c r="H3" s="1994"/>
      <c r="I3" s="1994"/>
      <c r="J3" s="1994"/>
      <c r="K3" s="1994"/>
      <c r="L3" s="1994"/>
      <c r="M3" s="1994"/>
      <c r="N3" s="1994"/>
      <c r="O3" s="1994"/>
      <c r="P3" s="1994"/>
      <c r="Q3" s="1994"/>
      <c r="R3" s="1994"/>
      <c r="S3" s="1994"/>
    </row>
    <row r="4" spans="1:27" ht="23.25" hidden="1" customHeight="1" x14ac:dyDescent="0.3">
      <c r="A4" s="1994" t="s">
        <v>3</v>
      </c>
      <c r="B4" s="1994"/>
      <c r="C4" s="1994"/>
      <c r="D4" s="1994"/>
      <c r="E4" s="1994"/>
      <c r="F4" s="1994"/>
      <c r="G4" s="1994"/>
      <c r="H4" s="1994"/>
      <c r="I4" s="1994"/>
      <c r="J4" s="1994"/>
      <c r="K4" s="1994"/>
      <c r="L4" s="1994"/>
      <c r="M4" s="1994"/>
      <c r="N4" s="1994"/>
      <c r="O4" s="1994"/>
      <c r="P4" s="1994"/>
      <c r="Q4" s="1994"/>
      <c r="R4" s="1994"/>
      <c r="S4" s="1994"/>
    </row>
    <row r="5" spans="1:27" ht="17.25" hidden="1" customHeight="1" x14ac:dyDescent="0.3">
      <c r="A5" s="1994" t="s">
        <v>1929</v>
      </c>
      <c r="B5" s="1994"/>
      <c r="C5" s="1994"/>
      <c r="D5" s="1994"/>
      <c r="E5" s="1994"/>
      <c r="F5" s="1994"/>
      <c r="G5" s="1994"/>
      <c r="H5" s="1994"/>
      <c r="I5" s="1994"/>
      <c r="J5" s="1994"/>
      <c r="K5" s="1994"/>
      <c r="L5" s="1994"/>
      <c r="M5" s="1994"/>
      <c r="N5" s="1994"/>
      <c r="O5" s="1994"/>
      <c r="P5" s="1994"/>
      <c r="Q5" s="1994"/>
      <c r="R5" s="1994"/>
      <c r="S5" s="1994"/>
    </row>
    <row r="6" spans="1:27" ht="13.5" customHeight="1" x14ac:dyDescent="0.3">
      <c r="A6" s="1176"/>
      <c r="B6" s="1176"/>
      <c r="C6" s="1176"/>
      <c r="D6" s="1176"/>
      <c r="E6" s="1176"/>
      <c r="F6" s="1176"/>
      <c r="G6" s="1176"/>
      <c r="H6" s="1176"/>
      <c r="I6" s="1176"/>
      <c r="J6" s="1176"/>
      <c r="K6" s="1176"/>
      <c r="L6" s="1176"/>
      <c r="M6" s="1176"/>
      <c r="N6" s="1176"/>
      <c r="O6" s="1176"/>
      <c r="P6" s="1176"/>
      <c r="Q6" s="1176"/>
      <c r="R6" s="694"/>
      <c r="S6" s="1176"/>
    </row>
    <row r="7" spans="1:27" x14ac:dyDescent="0.3">
      <c r="S7" s="696" t="s">
        <v>6</v>
      </c>
    </row>
    <row r="8" spans="1:27" s="697" customFormat="1" ht="68.25" customHeight="1" x14ac:dyDescent="0.25">
      <c r="A8" s="1995" t="s">
        <v>7</v>
      </c>
      <c r="B8" s="1995" t="s">
        <v>1930</v>
      </c>
      <c r="C8" s="1981" t="s">
        <v>1931</v>
      </c>
      <c r="D8" s="1981" t="s">
        <v>1932</v>
      </c>
      <c r="E8" s="1981"/>
      <c r="F8" s="1981" t="s">
        <v>1933</v>
      </c>
      <c r="G8" s="1981"/>
      <c r="H8" s="1981" t="s">
        <v>1934</v>
      </c>
      <c r="I8" s="1981"/>
      <c r="J8" s="1981" t="s">
        <v>1935</v>
      </c>
      <c r="K8" s="1981"/>
      <c r="L8" s="1981"/>
      <c r="M8" s="1981"/>
      <c r="N8" s="1981"/>
      <c r="O8" s="1981"/>
      <c r="P8" s="1981"/>
      <c r="Q8" s="1981"/>
      <c r="R8" s="1982" t="s">
        <v>1936</v>
      </c>
      <c r="S8" s="1981" t="s">
        <v>1937</v>
      </c>
    </row>
    <row r="9" spans="1:27" s="697" customFormat="1" ht="27.75" customHeight="1" x14ac:dyDescent="0.25">
      <c r="A9" s="1996"/>
      <c r="B9" s="1996"/>
      <c r="C9" s="1985"/>
      <c r="D9" s="1987" t="s">
        <v>1938</v>
      </c>
      <c r="E9" s="1177"/>
      <c r="F9" s="1174"/>
      <c r="G9" s="1174"/>
      <c r="H9" s="1174"/>
      <c r="I9" s="1174"/>
      <c r="J9" s="1987" t="s">
        <v>1938</v>
      </c>
      <c r="K9" s="1989" t="s">
        <v>49</v>
      </c>
      <c r="L9" s="1990"/>
      <c r="M9" s="1990"/>
      <c r="N9" s="1990"/>
      <c r="O9" s="1990"/>
      <c r="P9" s="1991"/>
      <c r="Q9" s="1174"/>
      <c r="R9" s="1983"/>
      <c r="S9" s="1985"/>
    </row>
    <row r="10" spans="1:27" s="697" customFormat="1" ht="158.25" customHeight="1" x14ac:dyDescent="0.25">
      <c r="A10" s="1985"/>
      <c r="B10" s="1985"/>
      <c r="C10" s="1986"/>
      <c r="D10" s="1985"/>
      <c r="E10" s="1175" t="s">
        <v>1939</v>
      </c>
      <c r="F10" s="1175" t="s">
        <v>1940</v>
      </c>
      <c r="G10" s="1175" t="s">
        <v>1941</v>
      </c>
      <c r="H10" s="1175" t="s">
        <v>1940</v>
      </c>
      <c r="I10" s="1175" t="s">
        <v>1941</v>
      </c>
      <c r="J10" s="1988"/>
      <c r="K10" s="1175" t="s">
        <v>1942</v>
      </c>
      <c r="L10" s="1175" t="s">
        <v>885</v>
      </c>
      <c r="M10" s="1175" t="s">
        <v>1943</v>
      </c>
      <c r="N10" s="1175" t="s">
        <v>2084</v>
      </c>
      <c r="O10" s="1175" t="s">
        <v>2141</v>
      </c>
      <c r="P10" s="1175" t="s">
        <v>1944</v>
      </c>
      <c r="Q10" s="1175" t="s">
        <v>1939</v>
      </c>
      <c r="R10" s="1984"/>
      <c r="S10" s="1986"/>
    </row>
    <row r="11" spans="1:27" s="705" customFormat="1" ht="24.6" customHeight="1" x14ac:dyDescent="0.25">
      <c r="A11" s="701"/>
      <c r="B11" s="702" t="s">
        <v>1945</v>
      </c>
      <c r="C11" s="703">
        <f t="shared" ref="C11:I11" si="0">C12+C25+C31</f>
        <v>7230000</v>
      </c>
      <c r="D11" s="703" t="e">
        <f t="shared" si="0"/>
        <v>#REF!</v>
      </c>
      <c r="E11" s="704" t="e">
        <f t="shared" si="0"/>
        <v>#REF!</v>
      </c>
      <c r="F11" s="704" t="e">
        <f t="shared" si="0"/>
        <v>#REF!</v>
      </c>
      <c r="G11" s="704" t="e">
        <f t="shared" si="0"/>
        <v>#REF!</v>
      </c>
      <c r="H11" s="704" t="e">
        <f t="shared" si="0"/>
        <v>#REF!</v>
      </c>
      <c r="I11" s="704" t="e">
        <f t="shared" si="0"/>
        <v>#REF!</v>
      </c>
      <c r="J11" s="704">
        <f>SUM(K11:P11)</f>
        <v>7685000.0999999996</v>
      </c>
      <c r="K11" s="704">
        <f>K12+K25+K31</f>
        <v>1192000</v>
      </c>
      <c r="L11" s="704">
        <f>L12+L25+L31</f>
        <v>6068000.0999999996</v>
      </c>
      <c r="M11" s="1168">
        <f>M12+M25+M31</f>
        <v>155000</v>
      </c>
      <c r="N11" s="1168">
        <f>N12</f>
        <v>120000</v>
      </c>
      <c r="O11" s="1168">
        <v>150000</v>
      </c>
      <c r="P11" s="704">
        <f>P12+P25+P31</f>
        <v>0</v>
      </c>
      <c r="Q11" s="704" t="e">
        <f>Q12+Q25+Q31</f>
        <v>#REF!</v>
      </c>
      <c r="R11" s="704"/>
      <c r="S11" s="701"/>
      <c r="U11" s="703">
        <f>1192000-K11</f>
        <v>0</v>
      </c>
      <c r="W11" s="706">
        <f>P11+M11+L11+K11</f>
        <v>7415000.0999999996</v>
      </c>
      <c r="X11" s="707">
        <f>6068000-L11</f>
        <v>-9.999999962747097E-2</v>
      </c>
      <c r="Z11" s="707"/>
      <c r="AA11" s="707"/>
    </row>
    <row r="12" spans="1:27" s="705" customFormat="1" ht="24.6" customHeight="1" x14ac:dyDescent="0.25">
      <c r="A12" s="701" t="s">
        <v>43</v>
      </c>
      <c r="B12" s="702" t="s">
        <v>1946</v>
      </c>
      <c r="C12" s="703">
        <f t="shared" ref="C12" si="1">C13+C14+C24</f>
        <v>4720000</v>
      </c>
      <c r="D12" s="703" t="e">
        <f>D13+D14+D24+#REF!</f>
        <v>#REF!</v>
      </c>
      <c r="E12" s="704" t="e">
        <f>E13+E14+E24+#REF!</f>
        <v>#REF!</v>
      </c>
      <c r="F12" s="704" t="e">
        <f>F13+F14+F24+#REF!</f>
        <v>#REF!</v>
      </c>
      <c r="G12" s="704" t="e">
        <f>G13+G14+G24+#REF!</f>
        <v>#REF!</v>
      </c>
      <c r="H12" s="704" t="e">
        <f>H13+H14+H24+#REF!</f>
        <v>#REF!</v>
      </c>
      <c r="I12" s="704" t="e">
        <f>I13+I14+I24+#REF!</f>
        <v>#REF!</v>
      </c>
      <c r="J12" s="728">
        <f t="shared" ref="J12:J13" si="2">SUM(K12:P12)</f>
        <v>4837500.0999999996</v>
      </c>
      <c r="K12" s="704">
        <f>K13+K14+K24</f>
        <v>1012000</v>
      </c>
      <c r="L12" s="704">
        <f t="shared" ref="L12:P12" si="3">L13+L14+L24</f>
        <v>3400500.1</v>
      </c>
      <c r="M12" s="704">
        <f t="shared" si="3"/>
        <v>155000</v>
      </c>
      <c r="N12" s="704">
        <f>N14+N24</f>
        <v>120000</v>
      </c>
      <c r="O12" s="704">
        <v>150000</v>
      </c>
      <c r="P12" s="704">
        <f t="shared" si="3"/>
        <v>0</v>
      </c>
      <c r="Q12" s="704" t="e">
        <f>Q13+Q14+Q24+#REF!</f>
        <v>#REF!</v>
      </c>
      <c r="R12" s="708" t="e">
        <f>Q12-E12</f>
        <v>#REF!</v>
      </c>
      <c r="S12" s="701" t="s">
        <v>0</v>
      </c>
      <c r="U12" s="703"/>
      <c r="W12" s="706">
        <f>P12+M12+L12+K12</f>
        <v>4567500.0999999996</v>
      </c>
      <c r="X12" s="707"/>
      <c r="AA12" s="707"/>
    </row>
    <row r="13" spans="1:27" s="705" customFormat="1" ht="24.6" customHeight="1" x14ac:dyDescent="0.25">
      <c r="A13" s="701" t="s">
        <v>39</v>
      </c>
      <c r="B13" s="702" t="s">
        <v>40</v>
      </c>
      <c r="C13" s="703">
        <v>145000</v>
      </c>
      <c r="D13" s="703">
        <f>'[1]TH VON (ub)'!D12</f>
        <v>145000</v>
      </c>
      <c r="E13" s="704"/>
      <c r="F13" s="704"/>
      <c r="G13" s="704"/>
      <c r="H13" s="704"/>
      <c r="I13" s="704"/>
      <c r="J13" s="728">
        <f t="shared" si="2"/>
        <v>80000</v>
      </c>
      <c r="K13" s="703">
        <v>40000</v>
      </c>
      <c r="L13" s="703">
        <f>80000-K13</f>
        <v>40000</v>
      </c>
      <c r="M13" s="703"/>
      <c r="N13" s="703"/>
      <c r="O13" s="703"/>
      <c r="P13" s="704"/>
      <c r="Q13" s="704"/>
      <c r="R13" s="709"/>
      <c r="S13" s="701"/>
      <c r="U13" s="703"/>
      <c r="W13" s="706">
        <f>P13+M13+L13+K13</f>
        <v>80000</v>
      </c>
      <c r="X13" s="707"/>
    </row>
    <row r="14" spans="1:27" s="705" customFormat="1" ht="24.6" customHeight="1" x14ac:dyDescent="0.25">
      <c r="A14" s="701" t="s">
        <v>41</v>
      </c>
      <c r="B14" s="702" t="s">
        <v>1947</v>
      </c>
      <c r="C14" s="703">
        <f t="shared" ref="C14:I14" si="4">SUM(C15:C23)</f>
        <v>3853000</v>
      </c>
      <c r="D14" s="703">
        <f>SUM(D15:D23)</f>
        <v>3620500</v>
      </c>
      <c r="E14" s="704">
        <f t="shared" si="4"/>
        <v>1123660.3999999999</v>
      </c>
      <c r="F14" s="704">
        <f t="shared" si="4"/>
        <v>2549469</v>
      </c>
      <c r="G14" s="704">
        <f t="shared" si="4"/>
        <v>376436.4</v>
      </c>
      <c r="H14" s="704">
        <f t="shared" si="4"/>
        <v>1137166</v>
      </c>
      <c r="I14" s="704">
        <f t="shared" si="4"/>
        <v>376436.4</v>
      </c>
      <c r="J14" s="728">
        <f>SUM(K14:P14)</f>
        <v>4520298.0999999996</v>
      </c>
      <c r="K14" s="704">
        <f>SUM(K15:K23)</f>
        <v>919798</v>
      </c>
      <c r="L14" s="704">
        <f t="shared" ref="L14:N14" si="5">SUM(L15:L23)</f>
        <v>3360500.1</v>
      </c>
      <c r="M14" s="704">
        <f t="shared" si="5"/>
        <v>155000</v>
      </c>
      <c r="N14" s="704">
        <f t="shared" si="5"/>
        <v>85000</v>
      </c>
      <c r="O14" s="704"/>
      <c r="P14" s="704"/>
      <c r="Q14" s="704">
        <f t="shared" ref="Q14" si="6">SUM(Q15:Q23)</f>
        <v>1884390</v>
      </c>
      <c r="R14" s="710">
        <f>Q14-E14</f>
        <v>760729.60000000009</v>
      </c>
      <c r="S14" s="701"/>
      <c r="T14" s="706"/>
      <c r="U14" s="703"/>
      <c r="W14" s="706">
        <f>P14+M14+L14+K14</f>
        <v>4435298.0999999996</v>
      </c>
      <c r="X14" s="707"/>
    </row>
    <row r="15" spans="1:27" s="697" customFormat="1" ht="27" customHeight="1" x14ac:dyDescent="0.25">
      <c r="A15" s="711">
        <v>1</v>
      </c>
      <c r="B15" s="712" t="s">
        <v>1948</v>
      </c>
      <c r="C15" s="713">
        <v>1240000</v>
      </c>
      <c r="D15" s="709">
        <f>'[1]TH VON (ub)'!D14</f>
        <v>1290000</v>
      </c>
      <c r="E15" s="714">
        <f>'[1]DC TINH-IN'!$N$21</f>
        <v>453200</v>
      </c>
      <c r="F15" s="714">
        <f>H15+'[1]da loai'!P15+'[1]da thieu von'!P17</f>
        <v>1627873</v>
      </c>
      <c r="G15" s="714">
        <f>I15</f>
        <v>90000</v>
      </c>
      <c r="H15" s="714">
        <f>'[1]DC TINH-IN'!$S$21</f>
        <v>882000</v>
      </c>
      <c r="I15" s="714">
        <f>'[1]DC TINH-IN'!$T$21</f>
        <v>90000</v>
      </c>
      <c r="J15" s="715">
        <f>'DC TINH'!T21</f>
        <v>2232210.1</v>
      </c>
      <c r="K15" s="709"/>
      <c r="L15" s="709">
        <f>J15-M15-N15</f>
        <v>1992210.1</v>
      </c>
      <c r="M15" s="709">
        <v>155000</v>
      </c>
      <c r="N15" s="709">
        <f>50000+35000</f>
        <v>85000</v>
      </c>
      <c r="O15" s="709"/>
      <c r="P15" s="714"/>
      <c r="Q15" s="714">
        <f>'[1]DC TINH-IN'!$P$21</f>
        <v>1245200</v>
      </c>
      <c r="R15" s="709">
        <f>Q15-E15</f>
        <v>792000</v>
      </c>
      <c r="S15" s="711"/>
      <c r="U15" s="716"/>
      <c r="V15" s="716"/>
      <c r="X15" s="717"/>
      <c r="Z15" s="716"/>
      <c r="AA15" s="717"/>
    </row>
    <row r="16" spans="1:27" s="722" customFormat="1" ht="27" customHeight="1" x14ac:dyDescent="0.25">
      <c r="A16" s="718">
        <v>2</v>
      </c>
      <c r="B16" s="719" t="s">
        <v>2142</v>
      </c>
      <c r="C16" s="720">
        <v>360000</v>
      </c>
      <c r="D16" s="709">
        <f>'[1]TH VON (ub)'!D15</f>
        <v>360000</v>
      </c>
      <c r="E16" s="721">
        <f>'[1]DC TINH-IN'!$N$58</f>
        <v>130260</v>
      </c>
      <c r="F16" s="721">
        <f>H16</f>
        <v>48656</v>
      </c>
      <c r="G16" s="714">
        <f t="shared" ref="G16:G23" si="7">I16</f>
        <v>48656</v>
      </c>
      <c r="H16" s="721">
        <f>'[1]DC TINH-IN'!$S$58</f>
        <v>48656</v>
      </c>
      <c r="I16" s="721">
        <f>'[1]DC TINH-IN'!$T$58</f>
        <v>48656</v>
      </c>
      <c r="J16" s="715">
        <f>'DC TINH'!T59</f>
        <v>329228</v>
      </c>
      <c r="K16" s="709">
        <f>100000-10248-524</f>
        <v>89228</v>
      </c>
      <c r="L16" s="709">
        <v>240000</v>
      </c>
      <c r="M16" s="709"/>
      <c r="N16" s="709"/>
      <c r="O16" s="709"/>
      <c r="P16" s="721"/>
      <c r="Q16" s="721">
        <f>'[1]DC TINH-IN'!$P$58</f>
        <v>130260</v>
      </c>
      <c r="R16" s="720"/>
      <c r="S16" s="718"/>
      <c r="U16" s="723"/>
      <c r="V16" s="723"/>
      <c r="X16" s="724"/>
      <c r="Z16" s="716"/>
      <c r="AA16" s="717"/>
    </row>
    <row r="17" spans="1:27" s="722" customFormat="1" ht="27" customHeight="1" x14ac:dyDescent="0.25">
      <c r="A17" s="718">
        <v>3</v>
      </c>
      <c r="B17" s="719" t="s">
        <v>1949</v>
      </c>
      <c r="C17" s="720">
        <v>510000</v>
      </c>
      <c r="D17" s="709">
        <f>'[1]TH VON (ub)'!D16</f>
        <v>510000</v>
      </c>
      <c r="E17" s="721">
        <f>'[1]DC TINH-IN'!$N$125</f>
        <v>82080</v>
      </c>
      <c r="F17" s="721">
        <f>H17+'[1]da thieu von'!P21</f>
        <v>499370</v>
      </c>
      <c r="G17" s="714">
        <f t="shared" si="7"/>
        <v>1450</v>
      </c>
      <c r="H17" s="721">
        <f>'[1]DC TINH-IN'!$S$125</f>
        <v>99370</v>
      </c>
      <c r="I17" s="721">
        <f>'[1]DC TINH-IN'!$T$125</f>
        <v>1450</v>
      </c>
      <c r="J17" s="715">
        <f>'DC TINH'!T126</f>
        <v>582920</v>
      </c>
      <c r="K17" s="725">
        <v>97920</v>
      </c>
      <c r="L17" s="709">
        <f>450000+35000</f>
        <v>485000</v>
      </c>
      <c r="M17" s="709"/>
      <c r="N17" s="709"/>
      <c r="O17" s="709"/>
      <c r="P17" s="721"/>
      <c r="Q17" s="721">
        <f>'[1]DC TINH-IN'!$P$125</f>
        <v>180000</v>
      </c>
      <c r="R17" s="720">
        <f t="shared" ref="R17:R24" si="8">Q17-E17</f>
        <v>97920</v>
      </c>
      <c r="S17" s="718"/>
      <c r="U17" s="723"/>
      <c r="V17" s="723"/>
      <c r="X17" s="724"/>
      <c r="Z17" s="716"/>
      <c r="AA17" s="717"/>
    </row>
    <row r="18" spans="1:27" s="722" customFormat="1" ht="27" customHeight="1" x14ac:dyDescent="0.25">
      <c r="A18" s="718">
        <v>4</v>
      </c>
      <c r="B18" s="719" t="s">
        <v>1950</v>
      </c>
      <c r="C18" s="720">
        <v>510000</v>
      </c>
      <c r="D18" s="709">
        <f>'[1]TH VON (ub)'!D17</f>
        <v>267500</v>
      </c>
      <c r="E18" s="721">
        <f>'[1]DC TINH-IN'!$N$157</f>
        <v>61840.4</v>
      </c>
      <c r="F18" s="721">
        <f t="shared" ref="F18" si="9">H18</f>
        <v>34350</v>
      </c>
      <c r="G18" s="714">
        <f t="shared" si="7"/>
        <v>16810.400000000001</v>
      </c>
      <c r="H18" s="721">
        <f>'[1]DC TINH-IN'!$S$157</f>
        <v>34350</v>
      </c>
      <c r="I18" s="721">
        <f>'[1]DC TINH-IN'!$T$157</f>
        <v>16810.400000000001</v>
      </c>
      <c r="J18" s="715">
        <f>'DC TINH'!T158</f>
        <v>312540</v>
      </c>
      <c r="K18" s="725">
        <v>218540</v>
      </c>
      <c r="L18" s="709">
        <v>94000</v>
      </c>
      <c r="M18" s="709"/>
      <c r="N18" s="709"/>
      <c r="O18" s="709"/>
      <c r="P18" s="721"/>
      <c r="Q18" s="721">
        <f>'[1]DC TINH-IN'!$P$157</f>
        <v>79380</v>
      </c>
      <c r="R18" s="720">
        <f t="shared" si="8"/>
        <v>17539.599999999999</v>
      </c>
      <c r="S18" s="718"/>
      <c r="U18" s="723"/>
      <c r="V18" s="723"/>
      <c r="W18" s="724"/>
      <c r="Z18" s="716"/>
      <c r="AA18" s="717"/>
    </row>
    <row r="19" spans="1:27" s="722" customFormat="1" ht="27" customHeight="1" x14ac:dyDescent="0.25">
      <c r="A19" s="718">
        <v>5</v>
      </c>
      <c r="B19" s="719" t="s">
        <v>1951</v>
      </c>
      <c r="C19" s="720">
        <v>220000</v>
      </c>
      <c r="D19" s="709">
        <f>'[1]TH VON (ub)'!D18</f>
        <v>220000</v>
      </c>
      <c r="E19" s="721">
        <f>'[1]DC TINH-IN'!$N$193</f>
        <v>80900</v>
      </c>
      <c r="F19" s="721">
        <f>'[1]da loai'!P19+'[1]da thieu von'!P23</f>
        <v>70900</v>
      </c>
      <c r="G19" s="714">
        <f>'[1]DC TINH-IN'!T193</f>
        <v>70900</v>
      </c>
      <c r="H19" s="721">
        <f>'[1]DC TONG THE'!S192</f>
        <v>0</v>
      </c>
      <c r="I19" s="721">
        <f>'[1]DC TINH-IN'!$T$193</f>
        <v>70900</v>
      </c>
      <c r="J19" s="715">
        <f>'DC TINH'!T194</f>
        <v>149100</v>
      </c>
      <c r="K19" s="725">
        <v>108060</v>
      </c>
      <c r="L19" s="709">
        <v>41040</v>
      </c>
      <c r="M19" s="709"/>
      <c r="N19" s="709"/>
      <c r="O19" s="709"/>
      <c r="P19" s="721"/>
      <c r="Q19" s="721">
        <f>'[1]DC TINH-IN'!$P$193</f>
        <v>10000</v>
      </c>
      <c r="R19" s="720">
        <f t="shared" si="8"/>
        <v>-70900</v>
      </c>
      <c r="S19" s="718"/>
      <c r="U19" s="723"/>
      <c r="V19" s="723"/>
      <c r="W19" s="723"/>
      <c r="X19" s="724"/>
      <c r="Z19" s="716"/>
      <c r="AA19" s="717"/>
    </row>
    <row r="20" spans="1:27" s="722" customFormat="1" ht="27" customHeight="1" x14ac:dyDescent="0.25">
      <c r="A20" s="718">
        <v>6</v>
      </c>
      <c r="B20" s="719" t="s">
        <v>1952</v>
      </c>
      <c r="C20" s="720">
        <v>290000</v>
      </c>
      <c r="D20" s="709">
        <f>'[1]TH VON (ub)'!D19</f>
        <v>150000</v>
      </c>
      <c r="E20" s="721">
        <f>'[1]DC TINH-IN'!$N$218</f>
        <v>125000</v>
      </c>
      <c r="F20" s="721"/>
      <c r="G20" s="714">
        <f>'[1]DC TINH-IN'!T218</f>
        <v>75000</v>
      </c>
      <c r="H20" s="721">
        <f>'[1]DC TONG THE'!S217</f>
        <v>0</v>
      </c>
      <c r="I20" s="721">
        <f>'[1]DC TINH-IN'!$T$218</f>
        <v>75000</v>
      </c>
      <c r="J20" s="715">
        <f>'DC TINH'!T219</f>
        <v>75000</v>
      </c>
      <c r="K20" s="725">
        <v>11000</v>
      </c>
      <c r="L20" s="709">
        <v>64000</v>
      </c>
      <c r="M20" s="709"/>
      <c r="N20" s="709"/>
      <c r="O20" s="709"/>
      <c r="P20" s="721"/>
      <c r="Q20" s="721">
        <f>'[1]DC TINH-IN'!$P$218</f>
        <v>50000</v>
      </c>
      <c r="R20" s="720">
        <f t="shared" si="8"/>
        <v>-75000</v>
      </c>
      <c r="S20" s="718"/>
      <c r="U20" s="723"/>
      <c r="V20" s="723"/>
      <c r="W20" s="723"/>
      <c r="Z20" s="716"/>
      <c r="AA20" s="717"/>
    </row>
    <row r="21" spans="1:27" s="722" customFormat="1" ht="27" customHeight="1" x14ac:dyDescent="0.25">
      <c r="A21" s="718">
        <v>7</v>
      </c>
      <c r="B21" s="719" t="s">
        <v>1953</v>
      </c>
      <c r="C21" s="720">
        <v>290000</v>
      </c>
      <c r="D21" s="709">
        <f>'[1]TH VON (ub)'!D20</f>
        <v>290000</v>
      </c>
      <c r="E21" s="721">
        <f>'[1]DC TINH-IN'!$N$235</f>
        <v>144020</v>
      </c>
      <c r="F21" s="721">
        <f>H21</f>
        <v>31300</v>
      </c>
      <c r="G21" s="714">
        <f t="shared" si="7"/>
        <v>39100</v>
      </c>
      <c r="H21" s="721">
        <f>'[1]DC TINH-IN'!$S$235</f>
        <v>31300</v>
      </c>
      <c r="I21" s="721">
        <f>'[1]DC TINH-IN'!$T$235</f>
        <v>39100</v>
      </c>
      <c r="J21" s="715">
        <f>'DC TINH'!T236</f>
        <v>262370</v>
      </c>
      <c r="K21" s="725">
        <f>35000-10830</f>
        <v>24170</v>
      </c>
      <c r="L21" s="709">
        <f>242200-4000</f>
        <v>238200</v>
      </c>
      <c r="M21" s="709"/>
      <c r="N21" s="709"/>
      <c r="O21" s="709"/>
      <c r="P21" s="721"/>
      <c r="Q21" s="721">
        <f>'[1]DC TINH-IN'!$P$235</f>
        <v>136220</v>
      </c>
      <c r="R21" s="720">
        <f t="shared" si="8"/>
        <v>-7800</v>
      </c>
      <c r="S21" s="718"/>
      <c r="U21" s="723"/>
      <c r="V21" s="723"/>
      <c r="Z21" s="716"/>
      <c r="AA21" s="717"/>
    </row>
    <row r="22" spans="1:27" s="722" customFormat="1" ht="27" customHeight="1" x14ac:dyDescent="0.25">
      <c r="A22" s="718">
        <v>8</v>
      </c>
      <c r="B22" s="719" t="s">
        <v>1954</v>
      </c>
      <c r="C22" s="720">
        <v>218000</v>
      </c>
      <c r="D22" s="709">
        <f>'[1]TH VON (ub)'!D21</f>
        <v>259000</v>
      </c>
      <c r="E22" s="721">
        <f>'[1]DC TINH-IN'!$N$280</f>
        <v>29150</v>
      </c>
      <c r="F22" s="721">
        <f>H22+'[1]da thieu von'!P26</f>
        <v>209260</v>
      </c>
      <c r="G22" s="714">
        <f t="shared" si="7"/>
        <v>22300</v>
      </c>
      <c r="H22" s="721">
        <f>'[1]DC TINH-IN'!$S$280</f>
        <v>22060</v>
      </c>
      <c r="I22" s="721">
        <f>'[1]DC TINH-IN'!$T$280</f>
        <v>22300</v>
      </c>
      <c r="J22" s="715">
        <f>'DC TINH'!T281</f>
        <v>278220</v>
      </c>
      <c r="K22" s="725">
        <f>200000</f>
        <v>200000</v>
      </c>
      <c r="L22" s="709">
        <v>78220</v>
      </c>
      <c r="M22" s="709"/>
      <c r="N22" s="709"/>
      <c r="O22" s="709"/>
      <c r="P22" s="721"/>
      <c r="Q22" s="721">
        <f>'[1]DC TINH-IN'!$P$280</f>
        <v>28910</v>
      </c>
      <c r="R22" s="720">
        <f t="shared" si="8"/>
        <v>-240</v>
      </c>
      <c r="S22" s="718"/>
      <c r="U22" s="723"/>
      <c r="V22" s="723"/>
      <c r="Z22" s="716"/>
      <c r="AA22" s="717"/>
    </row>
    <row r="23" spans="1:27" s="697" customFormat="1" ht="27" customHeight="1" x14ac:dyDescent="0.25">
      <c r="A23" s="711">
        <v>9</v>
      </c>
      <c r="B23" s="712" t="s">
        <v>2143</v>
      </c>
      <c r="C23" s="713">
        <v>215000</v>
      </c>
      <c r="D23" s="709">
        <f>'[1]TH VON (ub)'!D22</f>
        <v>274000</v>
      </c>
      <c r="E23" s="714">
        <f>'[1]DC TINH-IN'!$N$315</f>
        <v>17210</v>
      </c>
      <c r="F23" s="721">
        <f>H23+'[1]da loai'!P21</f>
        <v>27760</v>
      </c>
      <c r="G23" s="714">
        <f t="shared" si="7"/>
        <v>12220</v>
      </c>
      <c r="H23" s="714">
        <f>'[1]DC TINH-IN'!$S$315</f>
        <v>19430</v>
      </c>
      <c r="I23" s="714">
        <f>'[1]DC TINH-IN'!$T$315</f>
        <v>12220</v>
      </c>
      <c r="J23" s="715">
        <f>'DC TINH'!T316</f>
        <v>298710</v>
      </c>
      <c r="K23" s="725">
        <f>156210+17500-2830</f>
        <v>170880</v>
      </c>
      <c r="L23" s="709">
        <f>J23-K23</f>
        <v>127830</v>
      </c>
      <c r="M23" s="709"/>
      <c r="N23" s="709"/>
      <c r="O23" s="709"/>
      <c r="P23" s="714"/>
      <c r="Q23" s="714">
        <f>'[1]DC TINH-IN'!$P$315</f>
        <v>24420</v>
      </c>
      <c r="R23" s="709">
        <f t="shared" si="8"/>
        <v>7210</v>
      </c>
      <c r="S23" s="711"/>
      <c r="U23" s="716">
        <f>247-149</f>
        <v>98</v>
      </c>
      <c r="V23" s="716"/>
      <c r="Z23" s="716"/>
      <c r="AA23" s="717"/>
    </row>
    <row r="24" spans="1:27" s="705" customFormat="1" ht="27" customHeight="1" x14ac:dyDescent="0.25">
      <c r="A24" s="701" t="s">
        <v>879</v>
      </c>
      <c r="B24" s="726" t="s">
        <v>1956</v>
      </c>
      <c r="C24" s="703">
        <v>722000</v>
      </c>
      <c r="D24" s="703">
        <f>'[1]TH VON (ub)'!D23</f>
        <v>652000</v>
      </c>
      <c r="E24" s="704">
        <v>652000</v>
      </c>
      <c r="F24" s="704"/>
      <c r="G24" s="704"/>
      <c r="H24" s="704"/>
      <c r="I24" s="704">
        <v>615730</v>
      </c>
      <c r="J24" s="704">
        <f>SUM(K24:P24)</f>
        <v>237202</v>
      </c>
      <c r="K24" s="727">
        <f>25600+15248+10830+524</f>
        <v>52202</v>
      </c>
      <c r="L24" s="703"/>
      <c r="M24" s="703"/>
      <c r="N24" s="703">
        <v>35000</v>
      </c>
      <c r="O24" s="703">
        <v>150000</v>
      </c>
      <c r="P24" s="704"/>
      <c r="Q24" s="728">
        <f>J24</f>
        <v>237202</v>
      </c>
      <c r="R24" s="710">
        <f t="shared" si="8"/>
        <v>-414798</v>
      </c>
      <c r="S24" s="701"/>
      <c r="U24" s="716"/>
      <c r="W24" s="706">
        <f t="shared" ref="W24:W31" si="10">P24+M24+L24+K24</f>
        <v>52202</v>
      </c>
    </row>
    <row r="25" spans="1:27" s="705" customFormat="1" ht="25.9" customHeight="1" x14ac:dyDescent="0.25">
      <c r="A25" s="701" t="s">
        <v>173</v>
      </c>
      <c r="B25" s="702" t="s">
        <v>1957</v>
      </c>
      <c r="C25" s="703">
        <f>SUM(C26:C28)</f>
        <v>1810000</v>
      </c>
      <c r="D25" s="703">
        <f t="shared" ref="D25:R25" si="11">SUM(D26:D30)</f>
        <v>2822500</v>
      </c>
      <c r="E25" s="703" t="e">
        <f t="shared" si="11"/>
        <v>#REF!</v>
      </c>
      <c r="F25" s="703" t="e">
        <f t="shared" si="11"/>
        <v>#REF!</v>
      </c>
      <c r="G25" s="703" t="e">
        <f t="shared" si="11"/>
        <v>#REF!</v>
      </c>
      <c r="H25" s="703" t="e">
        <f t="shared" si="11"/>
        <v>#REF!</v>
      </c>
      <c r="I25" s="703" t="e">
        <f t="shared" si="11"/>
        <v>#REF!</v>
      </c>
      <c r="J25" s="703">
        <f t="shared" si="11"/>
        <v>2847500</v>
      </c>
      <c r="K25" s="703">
        <v>180000</v>
      </c>
      <c r="L25" s="703">
        <f>J25-K25</f>
        <v>2667500</v>
      </c>
      <c r="M25" s="703"/>
      <c r="N25" s="703"/>
      <c r="O25" s="703"/>
      <c r="P25" s="703"/>
      <c r="Q25" s="703" t="e">
        <f t="shared" si="11"/>
        <v>#REF!</v>
      </c>
      <c r="R25" s="703" t="e">
        <f t="shared" si="11"/>
        <v>#REF!</v>
      </c>
      <c r="S25" s="701" t="s">
        <v>1880</v>
      </c>
      <c r="T25" s="706"/>
      <c r="U25" s="716"/>
      <c r="W25" s="706">
        <f t="shared" si="10"/>
        <v>2847500</v>
      </c>
    </row>
    <row r="26" spans="1:27" s="697" customFormat="1" ht="24" customHeight="1" x14ac:dyDescent="0.25">
      <c r="A26" s="711">
        <v>1</v>
      </c>
      <c r="B26" s="712" t="s">
        <v>1958</v>
      </c>
      <c r="C26" s="713">
        <v>1230000</v>
      </c>
      <c r="D26" s="709">
        <f>'[1]TH VON (ub)'!D26</f>
        <v>1230000</v>
      </c>
      <c r="E26" s="714"/>
      <c r="F26" s="714">
        <f>'[1]da thieu von'!P28</f>
        <v>857000</v>
      </c>
      <c r="G26" s="714"/>
      <c r="H26" s="714"/>
      <c r="I26" s="714"/>
      <c r="J26" s="714">
        <f>'DC HTMT'!V17</f>
        <v>1230000</v>
      </c>
      <c r="K26" s="709"/>
      <c r="L26" s="709"/>
      <c r="M26" s="709"/>
      <c r="N26" s="709"/>
      <c r="O26" s="709"/>
      <c r="P26" s="714"/>
      <c r="Q26" s="714"/>
      <c r="R26" s="709"/>
      <c r="S26" s="711"/>
      <c r="U26" s="716"/>
      <c r="W26" s="706">
        <f t="shared" si="10"/>
        <v>0</v>
      </c>
    </row>
    <row r="27" spans="1:27" s="697" customFormat="1" x14ac:dyDescent="0.25">
      <c r="A27" s="711">
        <v>2</v>
      </c>
      <c r="B27" s="712" t="s">
        <v>1959</v>
      </c>
      <c r="C27" s="713">
        <v>580000</v>
      </c>
      <c r="D27" s="709">
        <f>'[1]TH VON (ub)'!D27</f>
        <v>640000</v>
      </c>
      <c r="E27" s="714" t="e">
        <f>#REF!</f>
        <v>#REF!</v>
      </c>
      <c r="F27" s="714" t="e">
        <f>H27</f>
        <v>#REF!</v>
      </c>
      <c r="G27" s="714" t="e">
        <f>I27</f>
        <v>#REF!</v>
      </c>
      <c r="H27" s="714" t="e">
        <f>#REF!</f>
        <v>#REF!</v>
      </c>
      <c r="I27" s="714" t="e">
        <f>#REF!</f>
        <v>#REF!</v>
      </c>
      <c r="J27" s="714">
        <f>'DC HTMT'!V18</f>
        <v>665000</v>
      </c>
      <c r="K27" s="709"/>
      <c r="L27" s="709"/>
      <c r="M27" s="709"/>
      <c r="N27" s="709"/>
      <c r="O27" s="709"/>
      <c r="P27" s="714"/>
      <c r="Q27" s="714" t="e">
        <f>#REF!</f>
        <v>#REF!</v>
      </c>
      <c r="R27" s="709" t="e">
        <f>Q27-E27</f>
        <v>#REF!</v>
      </c>
      <c r="S27" s="711"/>
      <c r="U27" s="716"/>
      <c r="W27" s="706">
        <f t="shared" si="10"/>
        <v>0</v>
      </c>
    </row>
    <row r="28" spans="1:27" s="697" customFormat="1" ht="37.5" x14ac:dyDescent="0.25">
      <c r="A28" s="711">
        <v>3</v>
      </c>
      <c r="B28" s="712" t="s">
        <v>1960</v>
      </c>
      <c r="C28" s="713"/>
      <c r="D28" s="709">
        <f>'[1]TH VON (ub)'!D28</f>
        <v>124500</v>
      </c>
      <c r="E28" s="711"/>
      <c r="F28" s="711"/>
      <c r="G28" s="711"/>
      <c r="H28" s="711"/>
      <c r="I28" s="711"/>
      <c r="J28" s="714">
        <f>'DC HTMT'!V302</f>
        <v>124500</v>
      </c>
      <c r="K28" s="709"/>
      <c r="L28" s="709"/>
      <c r="M28" s="709"/>
      <c r="N28" s="709"/>
      <c r="O28" s="709"/>
      <c r="P28" s="711"/>
      <c r="Q28" s="714"/>
      <c r="R28" s="711"/>
      <c r="S28" s="711"/>
      <c r="U28" s="716"/>
      <c r="W28" s="706">
        <f t="shared" si="10"/>
        <v>0</v>
      </c>
    </row>
    <row r="29" spans="1:27" s="697" customFormat="1" ht="75" x14ac:dyDescent="0.25">
      <c r="A29" s="711">
        <v>4</v>
      </c>
      <c r="B29" s="712" t="s">
        <v>1961</v>
      </c>
      <c r="C29" s="713"/>
      <c r="D29" s="709">
        <f>'[1]TH VON (ub)'!D30</f>
        <v>98000</v>
      </c>
      <c r="E29" s="714"/>
      <c r="F29" s="714"/>
      <c r="G29" s="714"/>
      <c r="H29" s="714"/>
      <c r="I29" s="714"/>
      <c r="J29" s="714">
        <f>'DC HTMT'!V315</f>
        <v>98000</v>
      </c>
      <c r="K29" s="709"/>
      <c r="L29" s="709"/>
      <c r="M29" s="709"/>
      <c r="N29" s="709"/>
      <c r="O29" s="709"/>
      <c r="P29" s="714"/>
      <c r="Q29" s="714"/>
      <c r="R29" s="709"/>
      <c r="S29" s="711"/>
      <c r="U29" s="716"/>
      <c r="W29" s="706">
        <f t="shared" si="10"/>
        <v>0</v>
      </c>
    </row>
    <row r="30" spans="1:27" s="697" customFormat="1" x14ac:dyDescent="0.25">
      <c r="A30" s="711">
        <v>5</v>
      </c>
      <c r="B30" s="712" t="s">
        <v>1962</v>
      </c>
      <c r="C30" s="713"/>
      <c r="D30" s="709">
        <f>'[1]TH VON (ub)'!D31</f>
        <v>730000</v>
      </c>
      <c r="E30" s="714" t="e">
        <f>#REF!</f>
        <v>#REF!</v>
      </c>
      <c r="F30" s="714" t="e">
        <f>H30+'[1]da loai'!P31+'[1]da thieu von'!P34</f>
        <v>#REF!</v>
      </c>
      <c r="G30" s="714" t="e">
        <f>I30</f>
        <v>#REF!</v>
      </c>
      <c r="H30" s="714" t="e">
        <f>#REF!</f>
        <v>#REF!</v>
      </c>
      <c r="I30" s="714" t="e">
        <f>#REF!</f>
        <v>#REF!</v>
      </c>
      <c r="J30" s="714">
        <f>'DC HTMT'!P316</f>
        <v>730000</v>
      </c>
      <c r="K30" s="709"/>
      <c r="L30" s="709"/>
      <c r="M30" s="709"/>
      <c r="N30" s="709"/>
      <c r="O30" s="709"/>
      <c r="P30" s="714"/>
      <c r="Q30" s="714" t="e">
        <f>#REF!</f>
        <v>#REF!</v>
      </c>
      <c r="R30" s="709"/>
      <c r="S30" s="711"/>
      <c r="U30" s="716"/>
      <c r="W30" s="706">
        <f t="shared" si="10"/>
        <v>0</v>
      </c>
    </row>
    <row r="31" spans="1:27" s="705" customFormat="1" ht="76.5" customHeight="1" x14ac:dyDescent="0.25">
      <c r="A31" s="701" t="s">
        <v>333</v>
      </c>
      <c r="B31" s="726" t="s">
        <v>1963</v>
      </c>
      <c r="C31" s="703">
        <v>700000</v>
      </c>
      <c r="D31" s="703">
        <f>'[1]TH VON (ub)'!D32</f>
        <v>530947</v>
      </c>
      <c r="E31" s="704">
        <v>530947</v>
      </c>
      <c r="F31" s="704">
        <f>'[1]HTCK-DC'!Y16</f>
        <v>11420</v>
      </c>
      <c r="G31" s="704">
        <f>'[1]HTCK-DC'!Z16</f>
        <v>11420</v>
      </c>
      <c r="H31" s="704">
        <f>F31</f>
        <v>11420</v>
      </c>
      <c r="I31" s="704">
        <f>G31</f>
        <v>11420</v>
      </c>
      <c r="J31" s="728">
        <f>'[1]TH VON (ub)'!I32</f>
        <v>530947</v>
      </c>
      <c r="K31" s="703"/>
      <c r="L31" s="703"/>
      <c r="M31" s="703"/>
      <c r="N31" s="703"/>
      <c r="O31" s="703"/>
      <c r="P31" s="704"/>
      <c r="Q31" s="704">
        <f>E31</f>
        <v>530947</v>
      </c>
      <c r="R31" s="709"/>
      <c r="S31" s="701" t="s">
        <v>1964</v>
      </c>
      <c r="U31" s="716"/>
      <c r="W31" s="706">
        <f t="shared" si="10"/>
        <v>0</v>
      </c>
    </row>
    <row r="32" spans="1:27" s="733" customFormat="1" ht="25.15" hidden="1" customHeight="1" x14ac:dyDescent="0.25">
      <c r="A32" s="729"/>
      <c r="B32" s="730" t="s">
        <v>882</v>
      </c>
      <c r="C32" s="731"/>
      <c r="D32" s="731"/>
      <c r="E32" s="732"/>
      <c r="F32" s="732"/>
      <c r="G32" s="732"/>
      <c r="H32" s="732"/>
      <c r="I32" s="732"/>
      <c r="J32" s="732"/>
      <c r="K32" s="731"/>
      <c r="L32" s="731"/>
      <c r="M32" s="731"/>
      <c r="N32" s="731"/>
      <c r="O32" s="731"/>
      <c r="P32" s="732"/>
      <c r="Q32" s="732"/>
      <c r="R32" s="709">
        <f t="shared" ref="R32:R37" si="12">Q32-E32</f>
        <v>0</v>
      </c>
      <c r="S32" s="729"/>
      <c r="U32" s="716"/>
    </row>
    <row r="33" spans="1:21" s="697" customFormat="1" ht="25.9" hidden="1" customHeight="1" x14ac:dyDescent="0.25">
      <c r="A33" s="711">
        <v>1</v>
      </c>
      <c r="B33" s="712" t="s">
        <v>1948</v>
      </c>
      <c r="C33" s="713"/>
      <c r="D33" s="713"/>
      <c r="E33" s="714"/>
      <c r="F33" s="714"/>
      <c r="G33" s="714"/>
      <c r="H33" s="714"/>
      <c r="I33" s="714"/>
      <c r="J33" s="714"/>
      <c r="K33" s="713"/>
      <c r="L33" s="713"/>
      <c r="M33" s="713"/>
      <c r="N33" s="713"/>
      <c r="O33" s="713"/>
      <c r="P33" s="714"/>
      <c r="Q33" s="714"/>
      <c r="R33" s="709">
        <f t="shared" si="12"/>
        <v>0</v>
      </c>
      <c r="S33" s="711"/>
      <c r="U33" s="716"/>
    </row>
    <row r="34" spans="1:21" s="697" customFormat="1" ht="25.9" hidden="1" customHeight="1" x14ac:dyDescent="0.25">
      <c r="A34" s="711">
        <v>2</v>
      </c>
      <c r="B34" s="712" t="s">
        <v>1954</v>
      </c>
      <c r="C34" s="713"/>
      <c r="D34" s="713"/>
      <c r="E34" s="714"/>
      <c r="F34" s="714"/>
      <c r="G34" s="714"/>
      <c r="H34" s="714"/>
      <c r="I34" s="714"/>
      <c r="J34" s="714"/>
      <c r="K34" s="713"/>
      <c r="L34" s="713"/>
      <c r="M34" s="713"/>
      <c r="N34" s="713"/>
      <c r="O34" s="713"/>
      <c r="P34" s="714"/>
      <c r="Q34" s="714"/>
      <c r="R34" s="709">
        <f t="shared" si="12"/>
        <v>0</v>
      </c>
      <c r="S34" s="711"/>
      <c r="U34" s="716"/>
    </row>
    <row r="35" spans="1:21" s="697" customFormat="1" ht="25.9" hidden="1" customHeight="1" x14ac:dyDescent="0.25">
      <c r="A35" s="711">
        <v>3</v>
      </c>
      <c r="B35" s="712" t="s">
        <v>1955</v>
      </c>
      <c r="C35" s="713"/>
      <c r="D35" s="713"/>
      <c r="E35" s="714"/>
      <c r="F35" s="714"/>
      <c r="G35" s="714"/>
      <c r="H35" s="714"/>
      <c r="I35" s="714"/>
      <c r="J35" s="714"/>
      <c r="K35" s="713"/>
      <c r="L35" s="713"/>
      <c r="M35" s="713"/>
      <c r="N35" s="713"/>
      <c r="O35" s="713"/>
      <c r="P35" s="714"/>
      <c r="Q35" s="714"/>
      <c r="R35" s="709">
        <f t="shared" si="12"/>
        <v>0</v>
      </c>
      <c r="S35" s="711"/>
      <c r="U35" s="716"/>
    </row>
    <row r="36" spans="1:21" s="697" customFormat="1" ht="26.25" hidden="1" customHeight="1" x14ac:dyDescent="0.25">
      <c r="A36" s="711">
        <v>4</v>
      </c>
      <c r="B36" s="712" t="s">
        <v>1965</v>
      </c>
      <c r="C36" s="713"/>
      <c r="D36" s="713"/>
      <c r="E36" s="714"/>
      <c r="F36" s="714"/>
      <c r="G36" s="714"/>
      <c r="H36" s="714"/>
      <c r="I36" s="714"/>
      <c r="J36" s="714"/>
      <c r="K36" s="713"/>
      <c r="L36" s="713"/>
      <c r="M36" s="713"/>
      <c r="N36" s="713"/>
      <c r="O36" s="713"/>
      <c r="P36" s="714"/>
      <c r="Q36" s="714"/>
      <c r="R36" s="709">
        <f t="shared" si="12"/>
        <v>0</v>
      </c>
      <c r="S36" s="711"/>
      <c r="U36" s="716"/>
    </row>
    <row r="37" spans="1:21" s="737" customFormat="1" ht="12.75" hidden="1" customHeight="1" x14ac:dyDescent="0.35">
      <c r="A37" s="734"/>
      <c r="B37" s="734" t="s">
        <v>1966</v>
      </c>
      <c r="C37" s="735"/>
      <c r="D37" s="735"/>
      <c r="E37" s="736"/>
      <c r="F37" s="736"/>
      <c r="G37" s="736"/>
      <c r="H37" s="736"/>
      <c r="I37" s="736"/>
      <c r="J37" s="736"/>
      <c r="K37" s="735"/>
      <c r="L37" s="735"/>
      <c r="M37" s="735"/>
      <c r="N37" s="735"/>
      <c r="O37" s="735"/>
      <c r="P37" s="736"/>
      <c r="Q37" s="736"/>
      <c r="R37" s="709">
        <f t="shared" si="12"/>
        <v>0</v>
      </c>
      <c r="S37" s="734"/>
      <c r="U37" s="716"/>
    </row>
    <row r="38" spans="1:21" ht="13.15" customHeight="1" x14ac:dyDescent="0.3">
      <c r="A38" s="738"/>
      <c r="B38" s="738"/>
      <c r="C38" s="739"/>
      <c r="D38" s="739"/>
      <c r="E38" s="739"/>
      <c r="F38" s="739"/>
      <c r="G38" s="739"/>
      <c r="H38" s="739"/>
      <c r="I38" s="739"/>
      <c r="J38" s="739"/>
      <c r="K38" s="739"/>
      <c r="L38" s="739"/>
      <c r="M38" s="739"/>
      <c r="N38" s="739"/>
      <c r="O38" s="739"/>
      <c r="P38" s="739"/>
      <c r="Q38" s="739"/>
      <c r="R38" s="739"/>
      <c r="S38" s="738"/>
    </row>
    <row r="40" spans="1:21" ht="29.25" customHeight="1" x14ac:dyDescent="0.35">
      <c r="A40" s="692" t="s">
        <v>2416</v>
      </c>
    </row>
    <row r="41" spans="1:21" x14ac:dyDescent="0.3">
      <c r="A41" s="692" t="s">
        <v>2415</v>
      </c>
    </row>
  </sheetData>
  <mergeCells count="17">
    <mergeCell ref="H8:I8"/>
    <mergeCell ref="J8:Q8"/>
    <mergeCell ref="R8:R10"/>
    <mergeCell ref="S8:S10"/>
    <mergeCell ref="D9:D10"/>
    <mergeCell ref="J9:J10"/>
    <mergeCell ref="K9:P9"/>
    <mergeCell ref="A1:S1"/>
    <mergeCell ref="A2:S2"/>
    <mergeCell ref="A3:S3"/>
    <mergeCell ref="A4:S4"/>
    <mergeCell ref="A5:S5"/>
    <mergeCell ref="A8:A10"/>
    <mergeCell ref="B8:B10"/>
    <mergeCell ref="C8:C10"/>
    <mergeCell ref="D8:E8"/>
    <mergeCell ref="F8:G8"/>
  </mergeCells>
  <pageMargins left="0.54" right="0.32" top="0.6" bottom="0.49" header="0.3" footer="0.21"/>
  <pageSetup paperSize="9" scale="68" fitToHeight="0" orientation="landscape" r:id="rId1"/>
  <headerFooter>
    <oddFooter>&amp;C&amp;"Times New Roman,Regular"Trang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41"/>
  <sheetViews>
    <sheetView zoomScale="70" zoomScaleNormal="70" workbookViewId="0">
      <selection activeCell="Q14" sqref="Q14"/>
    </sheetView>
  </sheetViews>
  <sheetFormatPr defaultRowHeight="18.75" x14ac:dyDescent="0.3"/>
  <cols>
    <col min="1" max="1" width="8.85546875" style="692" customWidth="1"/>
    <col min="2" max="2" width="42.28515625" style="692" customWidth="1"/>
    <col min="3" max="6" width="18.5703125" style="695" customWidth="1"/>
    <col min="7" max="7" width="20" style="695" customWidth="1"/>
    <col min="8" max="8" width="13" style="692" customWidth="1"/>
    <col min="9" max="9" width="11.7109375" style="692" hidden="1" customWidth="1"/>
    <col min="10" max="10" width="13.7109375" style="692" hidden="1" customWidth="1"/>
    <col min="11" max="11" width="9.7109375" style="692" hidden="1" customWidth="1"/>
    <col min="12" max="13" width="14.5703125" style="692" hidden="1" customWidth="1"/>
    <col min="14" max="14" width="9.140625" style="692"/>
    <col min="15" max="15" width="18" style="692" hidden="1" customWidth="1"/>
    <col min="16" max="18" width="18" style="692" customWidth="1"/>
    <col min="19" max="248" width="9.140625" style="692"/>
    <col min="249" max="249" width="37.28515625" style="692" customWidth="1"/>
    <col min="250" max="250" width="29.140625" style="692" customWidth="1"/>
    <col min="251" max="251" width="23.28515625" style="692" customWidth="1"/>
    <col min="252" max="252" width="15.140625" style="692" customWidth="1"/>
    <col min="253" max="253" width="16.28515625" style="692" customWidth="1"/>
    <col min="254" max="254" width="14.42578125" style="692" customWidth="1"/>
    <col min="255" max="255" width="21.7109375" style="692" customWidth="1"/>
    <col min="256" max="256" width="9.140625" style="692"/>
    <col min="257" max="257" width="10.28515625" style="692" bestFit="1" customWidth="1"/>
    <col min="258" max="504" width="9.140625" style="692"/>
    <col min="505" max="505" width="37.28515625" style="692" customWidth="1"/>
    <col min="506" max="506" width="29.140625" style="692" customWidth="1"/>
    <col min="507" max="507" width="23.28515625" style="692" customWidth="1"/>
    <col min="508" max="508" width="15.140625" style="692" customWidth="1"/>
    <col min="509" max="509" width="16.28515625" style="692" customWidth="1"/>
    <col min="510" max="510" width="14.42578125" style="692" customWidth="1"/>
    <col min="511" max="511" width="21.7109375" style="692" customWidth="1"/>
    <col min="512" max="512" width="9.140625" style="692"/>
    <col min="513" max="513" width="10.28515625" style="692" bestFit="1" customWidth="1"/>
    <col min="514" max="760" width="9.140625" style="692"/>
    <col min="761" max="761" width="37.28515625" style="692" customWidth="1"/>
    <col min="762" max="762" width="29.140625" style="692" customWidth="1"/>
    <col min="763" max="763" width="23.28515625" style="692" customWidth="1"/>
    <col min="764" max="764" width="15.140625" style="692" customWidth="1"/>
    <col min="765" max="765" width="16.28515625" style="692" customWidth="1"/>
    <col min="766" max="766" width="14.42578125" style="692" customWidth="1"/>
    <col min="767" max="767" width="21.7109375" style="692" customWidth="1"/>
    <col min="768" max="768" width="9.140625" style="692"/>
    <col min="769" max="769" width="10.28515625" style="692" bestFit="1" customWidth="1"/>
    <col min="770" max="1016" width="9.140625" style="692"/>
    <col min="1017" max="1017" width="37.28515625" style="692" customWidth="1"/>
    <col min="1018" max="1018" width="29.140625" style="692" customWidth="1"/>
    <col min="1019" max="1019" width="23.28515625" style="692" customWidth="1"/>
    <col min="1020" max="1020" width="15.140625" style="692" customWidth="1"/>
    <col min="1021" max="1021" width="16.28515625" style="692" customWidth="1"/>
    <col min="1022" max="1022" width="14.42578125" style="692" customWidth="1"/>
    <col min="1023" max="1023" width="21.7109375" style="692" customWidth="1"/>
    <col min="1024" max="1024" width="9.140625" style="692"/>
    <col min="1025" max="1025" width="10.28515625" style="692" bestFit="1" customWidth="1"/>
    <col min="1026" max="1272" width="9.140625" style="692"/>
    <col min="1273" max="1273" width="37.28515625" style="692" customWidth="1"/>
    <col min="1274" max="1274" width="29.140625" style="692" customWidth="1"/>
    <col min="1275" max="1275" width="23.28515625" style="692" customWidth="1"/>
    <col min="1276" max="1276" width="15.140625" style="692" customWidth="1"/>
    <col min="1277" max="1277" width="16.28515625" style="692" customWidth="1"/>
    <col min="1278" max="1278" width="14.42578125" style="692" customWidth="1"/>
    <col min="1279" max="1279" width="21.7109375" style="692" customWidth="1"/>
    <col min="1280" max="1280" width="9.140625" style="692"/>
    <col min="1281" max="1281" width="10.28515625" style="692" bestFit="1" customWidth="1"/>
    <col min="1282" max="1528" width="9.140625" style="692"/>
    <col min="1529" max="1529" width="37.28515625" style="692" customWidth="1"/>
    <col min="1530" max="1530" width="29.140625" style="692" customWidth="1"/>
    <col min="1531" max="1531" width="23.28515625" style="692" customWidth="1"/>
    <col min="1532" max="1532" width="15.140625" style="692" customWidth="1"/>
    <col min="1533" max="1533" width="16.28515625" style="692" customWidth="1"/>
    <col min="1534" max="1534" width="14.42578125" style="692" customWidth="1"/>
    <col min="1535" max="1535" width="21.7109375" style="692" customWidth="1"/>
    <col min="1536" max="1536" width="9.140625" style="692"/>
    <col min="1537" max="1537" width="10.28515625" style="692" bestFit="1" customWidth="1"/>
    <col min="1538" max="1784" width="9.140625" style="692"/>
    <col min="1785" max="1785" width="37.28515625" style="692" customWidth="1"/>
    <col min="1786" max="1786" width="29.140625" style="692" customWidth="1"/>
    <col min="1787" max="1787" width="23.28515625" style="692" customWidth="1"/>
    <col min="1788" max="1788" width="15.140625" style="692" customWidth="1"/>
    <col min="1789" max="1789" width="16.28515625" style="692" customWidth="1"/>
    <col min="1790" max="1790" width="14.42578125" style="692" customWidth="1"/>
    <col min="1791" max="1791" width="21.7109375" style="692" customWidth="1"/>
    <col min="1792" max="1792" width="9.140625" style="692"/>
    <col min="1793" max="1793" width="10.28515625" style="692" bestFit="1" customWidth="1"/>
    <col min="1794" max="2040" width="9.140625" style="692"/>
    <col min="2041" max="2041" width="37.28515625" style="692" customWidth="1"/>
    <col min="2042" max="2042" width="29.140625" style="692" customWidth="1"/>
    <col min="2043" max="2043" width="23.28515625" style="692" customWidth="1"/>
    <col min="2044" max="2044" width="15.140625" style="692" customWidth="1"/>
    <col min="2045" max="2045" width="16.28515625" style="692" customWidth="1"/>
    <col min="2046" max="2046" width="14.42578125" style="692" customWidth="1"/>
    <col min="2047" max="2047" width="21.7109375" style="692" customWidth="1"/>
    <col min="2048" max="2048" width="9.140625" style="692"/>
    <col min="2049" max="2049" width="10.28515625" style="692" bestFit="1" customWidth="1"/>
    <col min="2050" max="2296" width="9.140625" style="692"/>
    <col min="2297" max="2297" width="37.28515625" style="692" customWidth="1"/>
    <col min="2298" max="2298" width="29.140625" style="692" customWidth="1"/>
    <col min="2299" max="2299" width="23.28515625" style="692" customWidth="1"/>
    <col min="2300" max="2300" width="15.140625" style="692" customWidth="1"/>
    <col min="2301" max="2301" width="16.28515625" style="692" customWidth="1"/>
    <col min="2302" max="2302" width="14.42578125" style="692" customWidth="1"/>
    <col min="2303" max="2303" width="21.7109375" style="692" customWidth="1"/>
    <col min="2304" max="2304" width="9.140625" style="692"/>
    <col min="2305" max="2305" width="10.28515625" style="692" bestFit="1" customWidth="1"/>
    <col min="2306" max="2552" width="9.140625" style="692"/>
    <col min="2553" max="2553" width="37.28515625" style="692" customWidth="1"/>
    <col min="2554" max="2554" width="29.140625" style="692" customWidth="1"/>
    <col min="2555" max="2555" width="23.28515625" style="692" customWidth="1"/>
    <col min="2556" max="2556" width="15.140625" style="692" customWidth="1"/>
    <col min="2557" max="2557" width="16.28515625" style="692" customWidth="1"/>
    <col min="2558" max="2558" width="14.42578125" style="692" customWidth="1"/>
    <col min="2559" max="2559" width="21.7109375" style="692" customWidth="1"/>
    <col min="2560" max="2560" width="9.140625" style="692"/>
    <col min="2561" max="2561" width="10.28515625" style="692" bestFit="1" customWidth="1"/>
    <col min="2562" max="2808" width="9.140625" style="692"/>
    <col min="2809" max="2809" width="37.28515625" style="692" customWidth="1"/>
    <col min="2810" max="2810" width="29.140625" style="692" customWidth="1"/>
    <col min="2811" max="2811" width="23.28515625" style="692" customWidth="1"/>
    <col min="2812" max="2812" width="15.140625" style="692" customWidth="1"/>
    <col min="2813" max="2813" width="16.28515625" style="692" customWidth="1"/>
    <col min="2814" max="2814" width="14.42578125" style="692" customWidth="1"/>
    <col min="2815" max="2815" width="21.7109375" style="692" customWidth="1"/>
    <col min="2816" max="2816" width="9.140625" style="692"/>
    <col min="2817" max="2817" width="10.28515625" style="692" bestFit="1" customWidth="1"/>
    <col min="2818" max="3064" width="9.140625" style="692"/>
    <col min="3065" max="3065" width="37.28515625" style="692" customWidth="1"/>
    <col min="3066" max="3066" width="29.140625" style="692" customWidth="1"/>
    <col min="3067" max="3067" width="23.28515625" style="692" customWidth="1"/>
    <col min="3068" max="3068" width="15.140625" style="692" customWidth="1"/>
    <col min="3069" max="3069" width="16.28515625" style="692" customWidth="1"/>
    <col min="3070" max="3070" width="14.42578125" style="692" customWidth="1"/>
    <col min="3071" max="3071" width="21.7109375" style="692" customWidth="1"/>
    <col min="3072" max="3072" width="9.140625" style="692"/>
    <col min="3073" max="3073" width="10.28515625" style="692" bestFit="1" customWidth="1"/>
    <col min="3074" max="3320" width="9.140625" style="692"/>
    <col min="3321" max="3321" width="37.28515625" style="692" customWidth="1"/>
    <col min="3322" max="3322" width="29.140625" style="692" customWidth="1"/>
    <col min="3323" max="3323" width="23.28515625" style="692" customWidth="1"/>
    <col min="3324" max="3324" width="15.140625" style="692" customWidth="1"/>
    <col min="3325" max="3325" width="16.28515625" style="692" customWidth="1"/>
    <col min="3326" max="3326" width="14.42578125" style="692" customWidth="1"/>
    <col min="3327" max="3327" width="21.7109375" style="692" customWidth="1"/>
    <col min="3328" max="3328" width="9.140625" style="692"/>
    <col min="3329" max="3329" width="10.28515625" style="692" bestFit="1" customWidth="1"/>
    <col min="3330" max="3576" width="9.140625" style="692"/>
    <col min="3577" max="3577" width="37.28515625" style="692" customWidth="1"/>
    <col min="3578" max="3578" width="29.140625" style="692" customWidth="1"/>
    <col min="3579" max="3579" width="23.28515625" style="692" customWidth="1"/>
    <col min="3580" max="3580" width="15.140625" style="692" customWidth="1"/>
    <col min="3581" max="3581" width="16.28515625" style="692" customWidth="1"/>
    <col min="3582" max="3582" width="14.42578125" style="692" customWidth="1"/>
    <col min="3583" max="3583" width="21.7109375" style="692" customWidth="1"/>
    <col min="3584" max="3584" width="9.140625" style="692"/>
    <col min="3585" max="3585" width="10.28515625" style="692" bestFit="1" customWidth="1"/>
    <col min="3586" max="3832" width="9.140625" style="692"/>
    <col min="3833" max="3833" width="37.28515625" style="692" customWidth="1"/>
    <col min="3834" max="3834" width="29.140625" style="692" customWidth="1"/>
    <col min="3835" max="3835" width="23.28515625" style="692" customWidth="1"/>
    <col min="3836" max="3836" width="15.140625" style="692" customWidth="1"/>
    <col min="3837" max="3837" width="16.28515625" style="692" customWidth="1"/>
    <col min="3838" max="3838" width="14.42578125" style="692" customWidth="1"/>
    <col min="3839" max="3839" width="21.7109375" style="692" customWidth="1"/>
    <col min="3840" max="3840" width="9.140625" style="692"/>
    <col min="3841" max="3841" width="10.28515625" style="692" bestFit="1" customWidth="1"/>
    <col min="3842" max="4088" width="9.140625" style="692"/>
    <col min="4089" max="4089" width="37.28515625" style="692" customWidth="1"/>
    <col min="4090" max="4090" width="29.140625" style="692" customWidth="1"/>
    <col min="4091" max="4091" width="23.28515625" style="692" customWidth="1"/>
    <col min="4092" max="4092" width="15.140625" style="692" customWidth="1"/>
    <col min="4093" max="4093" width="16.28515625" style="692" customWidth="1"/>
    <col min="4094" max="4094" width="14.42578125" style="692" customWidth="1"/>
    <col min="4095" max="4095" width="21.7109375" style="692" customWidth="1"/>
    <col min="4096" max="4096" width="9.140625" style="692"/>
    <col min="4097" max="4097" width="10.28515625" style="692" bestFit="1" customWidth="1"/>
    <col min="4098" max="4344" width="9.140625" style="692"/>
    <col min="4345" max="4345" width="37.28515625" style="692" customWidth="1"/>
    <col min="4346" max="4346" width="29.140625" style="692" customWidth="1"/>
    <col min="4347" max="4347" width="23.28515625" style="692" customWidth="1"/>
    <col min="4348" max="4348" width="15.140625" style="692" customWidth="1"/>
    <col min="4349" max="4349" width="16.28515625" style="692" customWidth="1"/>
    <col min="4350" max="4350" width="14.42578125" style="692" customWidth="1"/>
    <col min="4351" max="4351" width="21.7109375" style="692" customWidth="1"/>
    <col min="4352" max="4352" width="9.140625" style="692"/>
    <col min="4353" max="4353" width="10.28515625" style="692" bestFit="1" customWidth="1"/>
    <col min="4354" max="4600" width="9.140625" style="692"/>
    <col min="4601" max="4601" width="37.28515625" style="692" customWidth="1"/>
    <col min="4602" max="4602" width="29.140625" style="692" customWidth="1"/>
    <col min="4603" max="4603" width="23.28515625" style="692" customWidth="1"/>
    <col min="4604" max="4604" width="15.140625" style="692" customWidth="1"/>
    <col min="4605" max="4605" width="16.28515625" style="692" customWidth="1"/>
    <col min="4606" max="4606" width="14.42578125" style="692" customWidth="1"/>
    <col min="4607" max="4607" width="21.7109375" style="692" customWidth="1"/>
    <col min="4608" max="4608" width="9.140625" style="692"/>
    <col min="4609" max="4609" width="10.28515625" style="692" bestFit="1" customWidth="1"/>
    <col min="4610" max="4856" width="9.140625" style="692"/>
    <col min="4857" max="4857" width="37.28515625" style="692" customWidth="1"/>
    <col min="4858" max="4858" width="29.140625" style="692" customWidth="1"/>
    <col min="4859" max="4859" width="23.28515625" style="692" customWidth="1"/>
    <col min="4860" max="4860" width="15.140625" style="692" customWidth="1"/>
    <col min="4861" max="4861" width="16.28515625" style="692" customWidth="1"/>
    <col min="4862" max="4862" width="14.42578125" style="692" customWidth="1"/>
    <col min="4863" max="4863" width="21.7109375" style="692" customWidth="1"/>
    <col min="4864" max="4864" width="9.140625" style="692"/>
    <col min="4865" max="4865" width="10.28515625" style="692" bestFit="1" customWidth="1"/>
    <col min="4866" max="5112" width="9.140625" style="692"/>
    <col min="5113" max="5113" width="37.28515625" style="692" customWidth="1"/>
    <col min="5114" max="5114" width="29.140625" style="692" customWidth="1"/>
    <col min="5115" max="5115" width="23.28515625" style="692" customWidth="1"/>
    <col min="5116" max="5116" width="15.140625" style="692" customWidth="1"/>
    <col min="5117" max="5117" width="16.28515625" style="692" customWidth="1"/>
    <col min="5118" max="5118" width="14.42578125" style="692" customWidth="1"/>
    <col min="5119" max="5119" width="21.7109375" style="692" customWidth="1"/>
    <col min="5120" max="5120" width="9.140625" style="692"/>
    <col min="5121" max="5121" width="10.28515625" style="692" bestFit="1" customWidth="1"/>
    <col min="5122" max="5368" width="9.140625" style="692"/>
    <col min="5369" max="5369" width="37.28515625" style="692" customWidth="1"/>
    <col min="5370" max="5370" width="29.140625" style="692" customWidth="1"/>
    <col min="5371" max="5371" width="23.28515625" style="692" customWidth="1"/>
    <col min="5372" max="5372" width="15.140625" style="692" customWidth="1"/>
    <col min="5373" max="5373" width="16.28515625" style="692" customWidth="1"/>
    <col min="5374" max="5374" width="14.42578125" style="692" customWidth="1"/>
    <col min="5375" max="5375" width="21.7109375" style="692" customWidth="1"/>
    <col min="5376" max="5376" width="9.140625" style="692"/>
    <col min="5377" max="5377" width="10.28515625" style="692" bestFit="1" customWidth="1"/>
    <col min="5378" max="5624" width="9.140625" style="692"/>
    <col min="5625" max="5625" width="37.28515625" style="692" customWidth="1"/>
    <col min="5626" max="5626" width="29.140625" style="692" customWidth="1"/>
    <col min="5627" max="5627" width="23.28515625" style="692" customWidth="1"/>
    <col min="5628" max="5628" width="15.140625" style="692" customWidth="1"/>
    <col min="5629" max="5629" width="16.28515625" style="692" customWidth="1"/>
    <col min="5630" max="5630" width="14.42578125" style="692" customWidth="1"/>
    <col min="5631" max="5631" width="21.7109375" style="692" customWidth="1"/>
    <col min="5632" max="5632" width="9.140625" style="692"/>
    <col min="5633" max="5633" width="10.28515625" style="692" bestFit="1" customWidth="1"/>
    <col min="5634" max="5880" width="9.140625" style="692"/>
    <col min="5881" max="5881" width="37.28515625" style="692" customWidth="1"/>
    <col min="5882" max="5882" width="29.140625" style="692" customWidth="1"/>
    <col min="5883" max="5883" width="23.28515625" style="692" customWidth="1"/>
    <col min="5884" max="5884" width="15.140625" style="692" customWidth="1"/>
    <col min="5885" max="5885" width="16.28515625" style="692" customWidth="1"/>
    <col min="5886" max="5886" width="14.42578125" style="692" customWidth="1"/>
    <col min="5887" max="5887" width="21.7109375" style="692" customWidth="1"/>
    <col min="5888" max="5888" width="9.140625" style="692"/>
    <col min="5889" max="5889" width="10.28515625" style="692" bestFit="1" customWidth="1"/>
    <col min="5890" max="6136" width="9.140625" style="692"/>
    <col min="6137" max="6137" width="37.28515625" style="692" customWidth="1"/>
    <col min="6138" max="6138" width="29.140625" style="692" customWidth="1"/>
    <col min="6139" max="6139" width="23.28515625" style="692" customWidth="1"/>
    <col min="6140" max="6140" width="15.140625" style="692" customWidth="1"/>
    <col min="6141" max="6141" width="16.28515625" style="692" customWidth="1"/>
    <col min="6142" max="6142" width="14.42578125" style="692" customWidth="1"/>
    <col min="6143" max="6143" width="21.7109375" style="692" customWidth="1"/>
    <col min="6144" max="6144" width="9.140625" style="692"/>
    <col min="6145" max="6145" width="10.28515625" style="692" bestFit="1" customWidth="1"/>
    <col min="6146" max="6392" width="9.140625" style="692"/>
    <col min="6393" max="6393" width="37.28515625" style="692" customWidth="1"/>
    <col min="6394" max="6394" width="29.140625" style="692" customWidth="1"/>
    <col min="6395" max="6395" width="23.28515625" style="692" customWidth="1"/>
    <col min="6396" max="6396" width="15.140625" style="692" customWidth="1"/>
    <col min="6397" max="6397" width="16.28515625" style="692" customWidth="1"/>
    <col min="6398" max="6398" width="14.42578125" style="692" customWidth="1"/>
    <col min="6399" max="6399" width="21.7109375" style="692" customWidth="1"/>
    <col min="6400" max="6400" width="9.140625" style="692"/>
    <col min="6401" max="6401" width="10.28515625" style="692" bestFit="1" customWidth="1"/>
    <col min="6402" max="6648" width="9.140625" style="692"/>
    <col min="6649" max="6649" width="37.28515625" style="692" customWidth="1"/>
    <col min="6650" max="6650" width="29.140625" style="692" customWidth="1"/>
    <col min="6651" max="6651" width="23.28515625" style="692" customWidth="1"/>
    <col min="6652" max="6652" width="15.140625" style="692" customWidth="1"/>
    <col min="6653" max="6653" width="16.28515625" style="692" customWidth="1"/>
    <col min="6654" max="6654" width="14.42578125" style="692" customWidth="1"/>
    <col min="6655" max="6655" width="21.7109375" style="692" customWidth="1"/>
    <col min="6656" max="6656" width="9.140625" style="692"/>
    <col min="6657" max="6657" width="10.28515625" style="692" bestFit="1" customWidth="1"/>
    <col min="6658" max="6904" width="9.140625" style="692"/>
    <col min="6905" max="6905" width="37.28515625" style="692" customWidth="1"/>
    <col min="6906" max="6906" width="29.140625" style="692" customWidth="1"/>
    <col min="6907" max="6907" width="23.28515625" style="692" customWidth="1"/>
    <col min="6908" max="6908" width="15.140625" style="692" customWidth="1"/>
    <col min="6909" max="6909" width="16.28515625" style="692" customWidth="1"/>
    <col min="6910" max="6910" width="14.42578125" style="692" customWidth="1"/>
    <col min="6911" max="6911" width="21.7109375" style="692" customWidth="1"/>
    <col min="6912" max="6912" width="9.140625" style="692"/>
    <col min="6913" max="6913" width="10.28515625" style="692" bestFit="1" customWidth="1"/>
    <col min="6914" max="7160" width="9.140625" style="692"/>
    <col min="7161" max="7161" width="37.28515625" style="692" customWidth="1"/>
    <col min="7162" max="7162" width="29.140625" style="692" customWidth="1"/>
    <col min="7163" max="7163" width="23.28515625" style="692" customWidth="1"/>
    <col min="7164" max="7164" width="15.140625" style="692" customWidth="1"/>
    <col min="7165" max="7165" width="16.28515625" style="692" customWidth="1"/>
    <col min="7166" max="7166" width="14.42578125" style="692" customWidth="1"/>
    <col min="7167" max="7167" width="21.7109375" style="692" customWidth="1"/>
    <col min="7168" max="7168" width="9.140625" style="692"/>
    <col min="7169" max="7169" width="10.28515625" style="692" bestFit="1" customWidth="1"/>
    <col min="7170" max="7416" width="9.140625" style="692"/>
    <col min="7417" max="7417" width="37.28515625" style="692" customWidth="1"/>
    <col min="7418" max="7418" width="29.140625" style="692" customWidth="1"/>
    <col min="7419" max="7419" width="23.28515625" style="692" customWidth="1"/>
    <col min="7420" max="7420" width="15.140625" style="692" customWidth="1"/>
    <col min="7421" max="7421" width="16.28515625" style="692" customWidth="1"/>
    <col min="7422" max="7422" width="14.42578125" style="692" customWidth="1"/>
    <col min="7423" max="7423" width="21.7109375" style="692" customWidth="1"/>
    <col min="7424" max="7424" width="9.140625" style="692"/>
    <col min="7425" max="7425" width="10.28515625" style="692" bestFit="1" customWidth="1"/>
    <col min="7426" max="7672" width="9.140625" style="692"/>
    <col min="7673" max="7673" width="37.28515625" style="692" customWidth="1"/>
    <col min="7674" max="7674" width="29.140625" style="692" customWidth="1"/>
    <col min="7675" max="7675" width="23.28515625" style="692" customWidth="1"/>
    <col min="7676" max="7676" width="15.140625" style="692" customWidth="1"/>
    <col min="7677" max="7677" width="16.28515625" style="692" customWidth="1"/>
    <col min="7678" max="7678" width="14.42578125" style="692" customWidth="1"/>
    <col min="7679" max="7679" width="21.7109375" style="692" customWidth="1"/>
    <col min="7680" max="7680" width="9.140625" style="692"/>
    <col min="7681" max="7681" width="10.28515625" style="692" bestFit="1" customWidth="1"/>
    <col min="7682" max="7928" width="9.140625" style="692"/>
    <col min="7929" max="7929" width="37.28515625" style="692" customWidth="1"/>
    <col min="7930" max="7930" width="29.140625" style="692" customWidth="1"/>
    <col min="7931" max="7931" width="23.28515625" style="692" customWidth="1"/>
    <col min="7932" max="7932" width="15.140625" style="692" customWidth="1"/>
    <col min="7933" max="7933" width="16.28515625" style="692" customWidth="1"/>
    <col min="7934" max="7934" width="14.42578125" style="692" customWidth="1"/>
    <col min="7935" max="7935" width="21.7109375" style="692" customWidth="1"/>
    <col min="7936" max="7936" width="9.140625" style="692"/>
    <col min="7937" max="7937" width="10.28515625" style="692" bestFit="1" customWidth="1"/>
    <col min="7938" max="8184" width="9.140625" style="692"/>
    <col min="8185" max="8185" width="37.28515625" style="692" customWidth="1"/>
    <col min="8186" max="8186" width="29.140625" style="692" customWidth="1"/>
    <col min="8187" max="8187" width="23.28515625" style="692" customWidth="1"/>
    <col min="8188" max="8188" width="15.140625" style="692" customWidth="1"/>
    <col min="8189" max="8189" width="16.28515625" style="692" customWidth="1"/>
    <col min="8190" max="8190" width="14.42578125" style="692" customWidth="1"/>
    <col min="8191" max="8191" width="21.7109375" style="692" customWidth="1"/>
    <col min="8192" max="8192" width="9.140625" style="692"/>
    <col min="8193" max="8193" width="10.28515625" style="692" bestFit="1" customWidth="1"/>
    <col min="8194" max="8440" width="9.140625" style="692"/>
    <col min="8441" max="8441" width="37.28515625" style="692" customWidth="1"/>
    <col min="8442" max="8442" width="29.140625" style="692" customWidth="1"/>
    <col min="8443" max="8443" width="23.28515625" style="692" customWidth="1"/>
    <col min="8444" max="8444" width="15.140625" style="692" customWidth="1"/>
    <col min="8445" max="8445" width="16.28515625" style="692" customWidth="1"/>
    <col min="8446" max="8446" width="14.42578125" style="692" customWidth="1"/>
    <col min="8447" max="8447" width="21.7109375" style="692" customWidth="1"/>
    <col min="8448" max="8448" width="9.140625" style="692"/>
    <col min="8449" max="8449" width="10.28515625" style="692" bestFit="1" customWidth="1"/>
    <col min="8450" max="8696" width="9.140625" style="692"/>
    <col min="8697" max="8697" width="37.28515625" style="692" customWidth="1"/>
    <col min="8698" max="8698" width="29.140625" style="692" customWidth="1"/>
    <col min="8699" max="8699" width="23.28515625" style="692" customWidth="1"/>
    <col min="8700" max="8700" width="15.140625" style="692" customWidth="1"/>
    <col min="8701" max="8701" width="16.28515625" style="692" customWidth="1"/>
    <col min="8702" max="8702" width="14.42578125" style="692" customWidth="1"/>
    <col min="8703" max="8703" width="21.7109375" style="692" customWidth="1"/>
    <col min="8704" max="8704" width="9.140625" style="692"/>
    <col min="8705" max="8705" width="10.28515625" style="692" bestFit="1" customWidth="1"/>
    <col min="8706" max="8952" width="9.140625" style="692"/>
    <col min="8953" max="8953" width="37.28515625" style="692" customWidth="1"/>
    <col min="8954" max="8954" width="29.140625" style="692" customWidth="1"/>
    <col min="8955" max="8955" width="23.28515625" style="692" customWidth="1"/>
    <col min="8956" max="8956" width="15.140625" style="692" customWidth="1"/>
    <col min="8957" max="8957" width="16.28515625" style="692" customWidth="1"/>
    <col min="8958" max="8958" width="14.42578125" style="692" customWidth="1"/>
    <col min="8959" max="8959" width="21.7109375" style="692" customWidth="1"/>
    <col min="8960" max="8960" width="9.140625" style="692"/>
    <col min="8961" max="8961" width="10.28515625" style="692" bestFit="1" customWidth="1"/>
    <col min="8962" max="9208" width="9.140625" style="692"/>
    <col min="9209" max="9209" width="37.28515625" style="692" customWidth="1"/>
    <col min="9210" max="9210" width="29.140625" style="692" customWidth="1"/>
    <col min="9211" max="9211" width="23.28515625" style="692" customWidth="1"/>
    <col min="9212" max="9212" width="15.140625" style="692" customWidth="1"/>
    <col min="9213" max="9213" width="16.28515625" style="692" customWidth="1"/>
    <col min="9214" max="9214" width="14.42578125" style="692" customWidth="1"/>
    <col min="9215" max="9215" width="21.7109375" style="692" customWidth="1"/>
    <col min="9216" max="9216" width="9.140625" style="692"/>
    <col min="9217" max="9217" width="10.28515625" style="692" bestFit="1" customWidth="1"/>
    <col min="9218" max="9464" width="9.140625" style="692"/>
    <col min="9465" max="9465" width="37.28515625" style="692" customWidth="1"/>
    <col min="9466" max="9466" width="29.140625" style="692" customWidth="1"/>
    <col min="9467" max="9467" width="23.28515625" style="692" customWidth="1"/>
    <col min="9468" max="9468" width="15.140625" style="692" customWidth="1"/>
    <col min="9469" max="9469" width="16.28515625" style="692" customWidth="1"/>
    <col min="9470" max="9470" width="14.42578125" style="692" customWidth="1"/>
    <col min="9471" max="9471" width="21.7109375" style="692" customWidth="1"/>
    <col min="9472" max="9472" width="9.140625" style="692"/>
    <col min="9473" max="9473" width="10.28515625" style="692" bestFit="1" customWidth="1"/>
    <col min="9474" max="9720" width="9.140625" style="692"/>
    <col min="9721" max="9721" width="37.28515625" style="692" customWidth="1"/>
    <col min="9722" max="9722" width="29.140625" style="692" customWidth="1"/>
    <col min="9723" max="9723" width="23.28515625" style="692" customWidth="1"/>
    <col min="9724" max="9724" width="15.140625" style="692" customWidth="1"/>
    <col min="9725" max="9725" width="16.28515625" style="692" customWidth="1"/>
    <col min="9726" max="9726" width="14.42578125" style="692" customWidth="1"/>
    <col min="9727" max="9727" width="21.7109375" style="692" customWidth="1"/>
    <col min="9728" max="9728" width="9.140625" style="692"/>
    <col min="9729" max="9729" width="10.28515625" style="692" bestFit="1" customWidth="1"/>
    <col min="9730" max="9976" width="9.140625" style="692"/>
    <col min="9977" max="9977" width="37.28515625" style="692" customWidth="1"/>
    <col min="9978" max="9978" width="29.140625" style="692" customWidth="1"/>
    <col min="9979" max="9979" width="23.28515625" style="692" customWidth="1"/>
    <col min="9980" max="9980" width="15.140625" style="692" customWidth="1"/>
    <col min="9981" max="9981" width="16.28515625" style="692" customWidth="1"/>
    <col min="9982" max="9982" width="14.42578125" style="692" customWidth="1"/>
    <col min="9983" max="9983" width="21.7109375" style="692" customWidth="1"/>
    <col min="9984" max="9984" width="9.140625" style="692"/>
    <col min="9985" max="9985" width="10.28515625" style="692" bestFit="1" customWidth="1"/>
    <col min="9986" max="10232" width="9.140625" style="692"/>
    <col min="10233" max="10233" width="37.28515625" style="692" customWidth="1"/>
    <col min="10234" max="10234" width="29.140625" style="692" customWidth="1"/>
    <col min="10235" max="10235" width="23.28515625" style="692" customWidth="1"/>
    <col min="10236" max="10236" width="15.140625" style="692" customWidth="1"/>
    <col min="10237" max="10237" width="16.28515625" style="692" customWidth="1"/>
    <col min="10238" max="10238" width="14.42578125" style="692" customWidth="1"/>
    <col min="10239" max="10239" width="21.7109375" style="692" customWidth="1"/>
    <col min="10240" max="10240" width="9.140625" style="692"/>
    <col min="10241" max="10241" width="10.28515625" style="692" bestFit="1" customWidth="1"/>
    <col min="10242" max="10488" width="9.140625" style="692"/>
    <col min="10489" max="10489" width="37.28515625" style="692" customWidth="1"/>
    <col min="10490" max="10490" width="29.140625" style="692" customWidth="1"/>
    <col min="10491" max="10491" width="23.28515625" style="692" customWidth="1"/>
    <col min="10492" max="10492" width="15.140625" style="692" customWidth="1"/>
    <col min="10493" max="10493" width="16.28515625" style="692" customWidth="1"/>
    <col min="10494" max="10494" width="14.42578125" style="692" customWidth="1"/>
    <col min="10495" max="10495" width="21.7109375" style="692" customWidth="1"/>
    <col min="10496" max="10496" width="9.140625" style="692"/>
    <col min="10497" max="10497" width="10.28515625" style="692" bestFit="1" customWidth="1"/>
    <col min="10498" max="10744" width="9.140625" style="692"/>
    <col min="10745" max="10745" width="37.28515625" style="692" customWidth="1"/>
    <col min="10746" max="10746" width="29.140625" style="692" customWidth="1"/>
    <col min="10747" max="10747" width="23.28515625" style="692" customWidth="1"/>
    <col min="10748" max="10748" width="15.140625" style="692" customWidth="1"/>
    <col min="10749" max="10749" width="16.28515625" style="692" customWidth="1"/>
    <col min="10750" max="10750" width="14.42578125" style="692" customWidth="1"/>
    <col min="10751" max="10751" width="21.7109375" style="692" customWidth="1"/>
    <col min="10752" max="10752" width="9.140625" style="692"/>
    <col min="10753" max="10753" width="10.28515625" style="692" bestFit="1" customWidth="1"/>
    <col min="10754" max="11000" width="9.140625" style="692"/>
    <col min="11001" max="11001" width="37.28515625" style="692" customWidth="1"/>
    <col min="11002" max="11002" width="29.140625" style="692" customWidth="1"/>
    <col min="11003" max="11003" width="23.28515625" style="692" customWidth="1"/>
    <col min="11004" max="11004" width="15.140625" style="692" customWidth="1"/>
    <col min="11005" max="11005" width="16.28515625" style="692" customWidth="1"/>
    <col min="11006" max="11006" width="14.42578125" style="692" customWidth="1"/>
    <col min="11007" max="11007" width="21.7109375" style="692" customWidth="1"/>
    <col min="11008" max="11008" width="9.140625" style="692"/>
    <col min="11009" max="11009" width="10.28515625" style="692" bestFit="1" customWidth="1"/>
    <col min="11010" max="11256" width="9.140625" style="692"/>
    <col min="11257" max="11257" width="37.28515625" style="692" customWidth="1"/>
    <col min="11258" max="11258" width="29.140625" style="692" customWidth="1"/>
    <col min="11259" max="11259" width="23.28515625" style="692" customWidth="1"/>
    <col min="11260" max="11260" width="15.140625" style="692" customWidth="1"/>
    <col min="11261" max="11261" width="16.28515625" style="692" customWidth="1"/>
    <col min="11262" max="11262" width="14.42578125" style="692" customWidth="1"/>
    <col min="11263" max="11263" width="21.7109375" style="692" customWidth="1"/>
    <col min="11264" max="11264" width="9.140625" style="692"/>
    <col min="11265" max="11265" width="10.28515625" style="692" bestFit="1" customWidth="1"/>
    <col min="11266" max="11512" width="9.140625" style="692"/>
    <col min="11513" max="11513" width="37.28515625" style="692" customWidth="1"/>
    <col min="11514" max="11514" width="29.140625" style="692" customWidth="1"/>
    <col min="11515" max="11515" width="23.28515625" style="692" customWidth="1"/>
    <col min="11516" max="11516" width="15.140625" style="692" customWidth="1"/>
    <col min="11517" max="11517" width="16.28515625" style="692" customWidth="1"/>
    <col min="11518" max="11518" width="14.42578125" style="692" customWidth="1"/>
    <col min="11519" max="11519" width="21.7109375" style="692" customWidth="1"/>
    <col min="11520" max="11520" width="9.140625" style="692"/>
    <col min="11521" max="11521" width="10.28515625" style="692" bestFit="1" customWidth="1"/>
    <col min="11522" max="11768" width="9.140625" style="692"/>
    <col min="11769" max="11769" width="37.28515625" style="692" customWidth="1"/>
    <col min="11770" max="11770" width="29.140625" style="692" customWidth="1"/>
    <col min="11771" max="11771" width="23.28515625" style="692" customWidth="1"/>
    <col min="11772" max="11772" width="15.140625" style="692" customWidth="1"/>
    <col min="11773" max="11773" width="16.28515625" style="692" customWidth="1"/>
    <col min="11774" max="11774" width="14.42578125" style="692" customWidth="1"/>
    <col min="11775" max="11775" width="21.7109375" style="692" customWidth="1"/>
    <col min="11776" max="11776" width="9.140625" style="692"/>
    <col min="11777" max="11777" width="10.28515625" style="692" bestFit="1" customWidth="1"/>
    <col min="11778" max="12024" width="9.140625" style="692"/>
    <col min="12025" max="12025" width="37.28515625" style="692" customWidth="1"/>
    <col min="12026" max="12026" width="29.140625" style="692" customWidth="1"/>
    <col min="12027" max="12027" width="23.28515625" style="692" customWidth="1"/>
    <col min="12028" max="12028" width="15.140625" style="692" customWidth="1"/>
    <col min="12029" max="12029" width="16.28515625" style="692" customWidth="1"/>
    <col min="12030" max="12030" width="14.42578125" style="692" customWidth="1"/>
    <col min="12031" max="12031" width="21.7109375" style="692" customWidth="1"/>
    <col min="12032" max="12032" width="9.140625" style="692"/>
    <col min="12033" max="12033" width="10.28515625" style="692" bestFit="1" customWidth="1"/>
    <col min="12034" max="12280" width="9.140625" style="692"/>
    <col min="12281" max="12281" width="37.28515625" style="692" customWidth="1"/>
    <col min="12282" max="12282" width="29.140625" style="692" customWidth="1"/>
    <col min="12283" max="12283" width="23.28515625" style="692" customWidth="1"/>
    <col min="12284" max="12284" width="15.140625" style="692" customWidth="1"/>
    <col min="12285" max="12285" width="16.28515625" style="692" customWidth="1"/>
    <col min="12286" max="12286" width="14.42578125" style="692" customWidth="1"/>
    <col min="12287" max="12287" width="21.7109375" style="692" customWidth="1"/>
    <col min="12288" max="12288" width="9.140625" style="692"/>
    <col min="12289" max="12289" width="10.28515625" style="692" bestFit="1" customWidth="1"/>
    <col min="12290" max="12536" width="9.140625" style="692"/>
    <col min="12537" max="12537" width="37.28515625" style="692" customWidth="1"/>
    <col min="12538" max="12538" width="29.140625" style="692" customWidth="1"/>
    <col min="12539" max="12539" width="23.28515625" style="692" customWidth="1"/>
    <col min="12540" max="12540" width="15.140625" style="692" customWidth="1"/>
    <col min="12541" max="12541" width="16.28515625" style="692" customWidth="1"/>
    <col min="12542" max="12542" width="14.42578125" style="692" customWidth="1"/>
    <col min="12543" max="12543" width="21.7109375" style="692" customWidth="1"/>
    <col min="12544" max="12544" width="9.140625" style="692"/>
    <col min="12545" max="12545" width="10.28515625" style="692" bestFit="1" customWidth="1"/>
    <col min="12546" max="12792" width="9.140625" style="692"/>
    <col min="12793" max="12793" width="37.28515625" style="692" customWidth="1"/>
    <col min="12794" max="12794" width="29.140625" style="692" customWidth="1"/>
    <col min="12795" max="12795" width="23.28515625" style="692" customWidth="1"/>
    <col min="12796" max="12796" width="15.140625" style="692" customWidth="1"/>
    <col min="12797" max="12797" width="16.28515625" style="692" customWidth="1"/>
    <col min="12798" max="12798" width="14.42578125" style="692" customWidth="1"/>
    <col min="12799" max="12799" width="21.7109375" style="692" customWidth="1"/>
    <col min="12800" max="12800" width="9.140625" style="692"/>
    <col min="12801" max="12801" width="10.28515625" style="692" bestFit="1" customWidth="1"/>
    <col min="12802" max="13048" width="9.140625" style="692"/>
    <col min="13049" max="13049" width="37.28515625" style="692" customWidth="1"/>
    <col min="13050" max="13050" width="29.140625" style="692" customWidth="1"/>
    <col min="13051" max="13051" width="23.28515625" style="692" customWidth="1"/>
    <col min="13052" max="13052" width="15.140625" style="692" customWidth="1"/>
    <col min="13053" max="13053" width="16.28515625" style="692" customWidth="1"/>
    <col min="13054" max="13054" width="14.42578125" style="692" customWidth="1"/>
    <col min="13055" max="13055" width="21.7109375" style="692" customWidth="1"/>
    <col min="13056" max="13056" width="9.140625" style="692"/>
    <col min="13057" max="13057" width="10.28515625" style="692" bestFit="1" customWidth="1"/>
    <col min="13058" max="13304" width="9.140625" style="692"/>
    <col min="13305" max="13305" width="37.28515625" style="692" customWidth="1"/>
    <col min="13306" max="13306" width="29.140625" style="692" customWidth="1"/>
    <col min="13307" max="13307" width="23.28515625" style="692" customWidth="1"/>
    <col min="13308" max="13308" width="15.140625" style="692" customWidth="1"/>
    <col min="13309" max="13309" width="16.28515625" style="692" customWidth="1"/>
    <col min="13310" max="13310" width="14.42578125" style="692" customWidth="1"/>
    <col min="13311" max="13311" width="21.7109375" style="692" customWidth="1"/>
    <col min="13312" max="13312" width="9.140625" style="692"/>
    <col min="13313" max="13313" width="10.28515625" style="692" bestFit="1" customWidth="1"/>
    <col min="13314" max="13560" width="9.140625" style="692"/>
    <col min="13561" max="13561" width="37.28515625" style="692" customWidth="1"/>
    <col min="13562" max="13562" width="29.140625" style="692" customWidth="1"/>
    <col min="13563" max="13563" width="23.28515625" style="692" customWidth="1"/>
    <col min="13564" max="13564" width="15.140625" style="692" customWidth="1"/>
    <col min="13565" max="13565" width="16.28515625" style="692" customWidth="1"/>
    <col min="13566" max="13566" width="14.42578125" style="692" customWidth="1"/>
    <col min="13567" max="13567" width="21.7109375" style="692" customWidth="1"/>
    <col min="13568" max="13568" width="9.140625" style="692"/>
    <col min="13569" max="13569" width="10.28515625" style="692" bestFit="1" customWidth="1"/>
    <col min="13570" max="13816" width="9.140625" style="692"/>
    <col min="13817" max="13817" width="37.28515625" style="692" customWidth="1"/>
    <col min="13818" max="13818" width="29.140625" style="692" customWidth="1"/>
    <col min="13819" max="13819" width="23.28515625" style="692" customWidth="1"/>
    <col min="13820" max="13820" width="15.140625" style="692" customWidth="1"/>
    <col min="13821" max="13821" width="16.28515625" style="692" customWidth="1"/>
    <col min="13822" max="13822" width="14.42578125" style="692" customWidth="1"/>
    <col min="13823" max="13823" width="21.7109375" style="692" customWidth="1"/>
    <col min="13824" max="13824" width="9.140625" style="692"/>
    <col min="13825" max="13825" width="10.28515625" style="692" bestFit="1" customWidth="1"/>
    <col min="13826" max="14072" width="9.140625" style="692"/>
    <col min="14073" max="14073" width="37.28515625" style="692" customWidth="1"/>
    <col min="14074" max="14074" width="29.140625" style="692" customWidth="1"/>
    <col min="14075" max="14075" width="23.28515625" style="692" customWidth="1"/>
    <col min="14076" max="14076" width="15.140625" style="692" customWidth="1"/>
    <col min="14077" max="14077" width="16.28515625" style="692" customWidth="1"/>
    <col min="14078" max="14078" width="14.42578125" style="692" customWidth="1"/>
    <col min="14079" max="14079" width="21.7109375" style="692" customWidth="1"/>
    <col min="14080" max="14080" width="9.140625" style="692"/>
    <col min="14081" max="14081" width="10.28515625" style="692" bestFit="1" customWidth="1"/>
    <col min="14082" max="14328" width="9.140625" style="692"/>
    <col min="14329" max="14329" width="37.28515625" style="692" customWidth="1"/>
    <col min="14330" max="14330" width="29.140625" style="692" customWidth="1"/>
    <col min="14331" max="14331" width="23.28515625" style="692" customWidth="1"/>
    <col min="14332" max="14332" width="15.140625" style="692" customWidth="1"/>
    <col min="14333" max="14333" width="16.28515625" style="692" customWidth="1"/>
    <col min="14334" max="14334" width="14.42578125" style="692" customWidth="1"/>
    <col min="14335" max="14335" width="21.7109375" style="692" customWidth="1"/>
    <col min="14336" max="14336" width="9.140625" style="692"/>
    <col min="14337" max="14337" width="10.28515625" style="692" bestFit="1" customWidth="1"/>
    <col min="14338" max="14584" width="9.140625" style="692"/>
    <col min="14585" max="14585" width="37.28515625" style="692" customWidth="1"/>
    <col min="14586" max="14586" width="29.140625" style="692" customWidth="1"/>
    <col min="14587" max="14587" width="23.28515625" style="692" customWidth="1"/>
    <col min="14588" max="14588" width="15.140625" style="692" customWidth="1"/>
    <col min="14589" max="14589" width="16.28515625" style="692" customWidth="1"/>
    <col min="14590" max="14590" width="14.42578125" style="692" customWidth="1"/>
    <col min="14591" max="14591" width="21.7109375" style="692" customWidth="1"/>
    <col min="14592" max="14592" width="9.140625" style="692"/>
    <col min="14593" max="14593" width="10.28515625" style="692" bestFit="1" customWidth="1"/>
    <col min="14594" max="14840" width="9.140625" style="692"/>
    <col min="14841" max="14841" width="37.28515625" style="692" customWidth="1"/>
    <col min="14842" max="14842" width="29.140625" style="692" customWidth="1"/>
    <col min="14843" max="14843" width="23.28515625" style="692" customWidth="1"/>
    <col min="14844" max="14844" width="15.140625" style="692" customWidth="1"/>
    <col min="14845" max="14845" width="16.28515625" style="692" customWidth="1"/>
    <col min="14846" max="14846" width="14.42578125" style="692" customWidth="1"/>
    <col min="14847" max="14847" width="21.7109375" style="692" customWidth="1"/>
    <col min="14848" max="14848" width="9.140625" style="692"/>
    <col min="14849" max="14849" width="10.28515625" style="692" bestFit="1" customWidth="1"/>
    <col min="14850" max="15096" width="9.140625" style="692"/>
    <col min="15097" max="15097" width="37.28515625" style="692" customWidth="1"/>
    <col min="15098" max="15098" width="29.140625" style="692" customWidth="1"/>
    <col min="15099" max="15099" width="23.28515625" style="692" customWidth="1"/>
    <col min="15100" max="15100" width="15.140625" style="692" customWidth="1"/>
    <col min="15101" max="15101" width="16.28515625" style="692" customWidth="1"/>
    <col min="15102" max="15102" width="14.42578125" style="692" customWidth="1"/>
    <col min="15103" max="15103" width="21.7109375" style="692" customWidth="1"/>
    <col min="15104" max="15104" width="9.140625" style="692"/>
    <col min="15105" max="15105" width="10.28515625" style="692" bestFit="1" customWidth="1"/>
    <col min="15106" max="15352" width="9.140625" style="692"/>
    <col min="15353" max="15353" width="37.28515625" style="692" customWidth="1"/>
    <col min="15354" max="15354" width="29.140625" style="692" customWidth="1"/>
    <col min="15355" max="15355" width="23.28515625" style="692" customWidth="1"/>
    <col min="15356" max="15356" width="15.140625" style="692" customWidth="1"/>
    <col min="15357" max="15357" width="16.28515625" style="692" customWidth="1"/>
    <col min="15358" max="15358" width="14.42578125" style="692" customWidth="1"/>
    <col min="15359" max="15359" width="21.7109375" style="692" customWidth="1"/>
    <col min="15360" max="15360" width="9.140625" style="692"/>
    <col min="15361" max="15361" width="10.28515625" style="692" bestFit="1" customWidth="1"/>
    <col min="15362" max="15608" width="9.140625" style="692"/>
    <col min="15609" max="15609" width="37.28515625" style="692" customWidth="1"/>
    <col min="15610" max="15610" width="29.140625" style="692" customWidth="1"/>
    <col min="15611" max="15611" width="23.28515625" style="692" customWidth="1"/>
    <col min="15612" max="15612" width="15.140625" style="692" customWidth="1"/>
    <col min="15613" max="15613" width="16.28515625" style="692" customWidth="1"/>
    <col min="15614" max="15614" width="14.42578125" style="692" customWidth="1"/>
    <col min="15615" max="15615" width="21.7109375" style="692" customWidth="1"/>
    <col min="15616" max="15616" width="9.140625" style="692"/>
    <col min="15617" max="15617" width="10.28515625" style="692" bestFit="1" customWidth="1"/>
    <col min="15618" max="15864" width="9.140625" style="692"/>
    <col min="15865" max="15865" width="37.28515625" style="692" customWidth="1"/>
    <col min="15866" max="15866" width="29.140625" style="692" customWidth="1"/>
    <col min="15867" max="15867" width="23.28515625" style="692" customWidth="1"/>
    <col min="15868" max="15868" width="15.140625" style="692" customWidth="1"/>
    <col min="15869" max="15869" width="16.28515625" style="692" customWidth="1"/>
    <col min="15870" max="15870" width="14.42578125" style="692" customWidth="1"/>
    <col min="15871" max="15871" width="21.7109375" style="692" customWidth="1"/>
    <col min="15872" max="15872" width="9.140625" style="692"/>
    <col min="15873" max="15873" width="10.28515625" style="692" bestFit="1" customWidth="1"/>
    <col min="15874" max="16120" width="9.140625" style="692"/>
    <col min="16121" max="16121" width="37.28515625" style="692" customWidth="1"/>
    <col min="16122" max="16122" width="29.140625" style="692" customWidth="1"/>
    <col min="16123" max="16123" width="23.28515625" style="692" customWidth="1"/>
    <col min="16124" max="16124" width="15.140625" style="692" customWidth="1"/>
    <col min="16125" max="16125" width="16.28515625" style="692" customWidth="1"/>
    <col min="16126" max="16126" width="14.42578125" style="692" customWidth="1"/>
    <col min="16127" max="16127" width="21.7109375" style="692" customWidth="1"/>
    <col min="16128" max="16128" width="9.140625" style="692"/>
    <col min="16129" max="16129" width="10.28515625" style="692" bestFit="1" customWidth="1"/>
    <col min="16130" max="16384" width="9.140625" style="692"/>
  </cols>
  <sheetData>
    <row r="1" spans="1:17" ht="42.6" customHeight="1" x14ac:dyDescent="0.3">
      <c r="A1" s="1992" t="s">
        <v>2620</v>
      </c>
      <c r="B1" s="1993"/>
      <c r="C1" s="1993"/>
      <c r="D1" s="1993"/>
      <c r="E1" s="1993"/>
      <c r="F1" s="1993"/>
      <c r="G1" s="1993"/>
      <c r="H1" s="1993"/>
    </row>
    <row r="2" spans="1:17" ht="24" hidden="1" customHeight="1" x14ac:dyDescent="0.3">
      <c r="A2" s="1994" t="s">
        <v>4</v>
      </c>
      <c r="B2" s="1994"/>
      <c r="C2" s="1994"/>
      <c r="D2" s="1994"/>
      <c r="E2" s="1994"/>
      <c r="F2" s="1994"/>
      <c r="G2" s="1994"/>
      <c r="H2" s="1994"/>
    </row>
    <row r="3" spans="1:17" ht="22.5" customHeight="1" x14ac:dyDescent="0.3">
      <c r="A3" s="1994" t="s">
        <v>2423</v>
      </c>
      <c r="B3" s="1994"/>
      <c r="C3" s="1994"/>
      <c r="D3" s="1994"/>
      <c r="E3" s="1994"/>
      <c r="F3" s="1994"/>
      <c r="G3" s="1994"/>
      <c r="H3" s="1994"/>
    </row>
    <row r="4" spans="1:17" ht="23.25" hidden="1" customHeight="1" x14ac:dyDescent="0.3">
      <c r="A4" s="1994" t="s">
        <v>3</v>
      </c>
      <c r="B4" s="1994"/>
      <c r="C4" s="1994"/>
      <c r="D4" s="1994"/>
      <c r="E4" s="1994"/>
      <c r="F4" s="1994"/>
      <c r="G4" s="1994"/>
      <c r="H4" s="1994"/>
    </row>
    <row r="5" spans="1:17" ht="17.25" hidden="1" customHeight="1" x14ac:dyDescent="0.3">
      <c r="A5" s="1994" t="s">
        <v>1929</v>
      </c>
      <c r="B5" s="1994"/>
      <c r="C5" s="1994"/>
      <c r="D5" s="1994"/>
      <c r="E5" s="1994"/>
      <c r="F5" s="1994"/>
      <c r="G5" s="1994"/>
      <c r="H5" s="1994"/>
    </row>
    <row r="6" spans="1:17" ht="13.5" customHeight="1" x14ac:dyDescent="0.3">
      <c r="A6" s="1307"/>
      <c r="B6" s="1307"/>
      <c r="C6" s="1307"/>
      <c r="D6" s="1307"/>
      <c r="E6" s="1307"/>
      <c r="F6" s="1307"/>
      <c r="G6" s="1307"/>
      <c r="H6" s="1307"/>
    </row>
    <row r="7" spans="1:17" x14ac:dyDescent="0.3">
      <c r="H7" s="696" t="s">
        <v>6</v>
      </c>
    </row>
    <row r="8" spans="1:17" s="697" customFormat="1" ht="26.25" customHeight="1" x14ac:dyDescent="0.25">
      <c r="A8" s="1995" t="s">
        <v>7</v>
      </c>
      <c r="B8" s="1995" t="s">
        <v>1930</v>
      </c>
      <c r="C8" s="1981" t="s">
        <v>1931</v>
      </c>
      <c r="D8" s="2010" t="s">
        <v>1935</v>
      </c>
      <c r="E8" s="2011"/>
      <c r="F8" s="2011"/>
      <c r="G8" s="2012"/>
      <c r="H8" s="1981" t="s">
        <v>1937</v>
      </c>
    </row>
    <row r="9" spans="1:17" s="697" customFormat="1" ht="168.75" customHeight="1" x14ac:dyDescent="0.25">
      <c r="A9" s="1996"/>
      <c r="B9" s="1996"/>
      <c r="C9" s="1985"/>
      <c r="D9" s="1306" t="s">
        <v>2520</v>
      </c>
      <c r="E9" s="1306" t="s">
        <v>2521</v>
      </c>
      <c r="F9" s="1306" t="s">
        <v>2522</v>
      </c>
      <c r="G9" s="1306" t="s">
        <v>2519</v>
      </c>
      <c r="H9" s="1985"/>
    </row>
    <row r="10" spans="1:17" s="705" customFormat="1" ht="24.6" customHeight="1" x14ac:dyDescent="0.25">
      <c r="A10" s="701"/>
      <c r="B10" s="702" t="s">
        <v>1945</v>
      </c>
      <c r="C10" s="703">
        <f t="shared" ref="C10:G10" si="0">C11+C25+C32</f>
        <v>7230000</v>
      </c>
      <c r="D10" s="703">
        <v>7790947</v>
      </c>
      <c r="E10" s="703">
        <v>7945947</v>
      </c>
      <c r="F10" s="703">
        <v>8215947.0999999996</v>
      </c>
      <c r="G10" s="704">
        <f t="shared" si="0"/>
        <v>11247633.1</v>
      </c>
      <c r="H10" s="701"/>
      <c r="J10" s="703" t="e">
        <f>1192000-#REF!</f>
        <v>#REF!</v>
      </c>
      <c r="L10" s="706" t="e">
        <f>#REF!+#REF!+#REF!+#REF!</f>
        <v>#REF!</v>
      </c>
      <c r="M10" s="707" t="e">
        <f>6068000-#REF!</f>
        <v>#REF!</v>
      </c>
      <c r="O10" s="1226">
        <v>10894023</v>
      </c>
      <c r="P10" s="707"/>
      <c r="Q10" s="707"/>
    </row>
    <row r="11" spans="1:17" s="705" customFormat="1" ht="24.6" customHeight="1" x14ac:dyDescent="0.25">
      <c r="A11" s="701" t="s">
        <v>43</v>
      </c>
      <c r="B11" s="702" t="s">
        <v>1946</v>
      </c>
      <c r="C11" s="703">
        <f>C12+C13+C24</f>
        <v>4720000</v>
      </c>
      <c r="D11" s="703">
        <v>4417500</v>
      </c>
      <c r="E11" s="703">
        <v>4567500</v>
      </c>
      <c r="F11" s="703">
        <v>4837500.0999999996</v>
      </c>
      <c r="G11" s="728">
        <f>G12+G13+G23+G24</f>
        <v>6482315.0999999996</v>
      </c>
      <c r="H11" s="701"/>
      <c r="J11" s="703"/>
      <c r="L11" s="706" t="e">
        <f>#REF!+#REF!+#REF!+#REF!</f>
        <v>#REF!</v>
      </c>
      <c r="M11" s="707"/>
      <c r="O11" s="707"/>
      <c r="P11" s="707"/>
      <c r="Q11" s="707"/>
    </row>
    <row r="12" spans="1:17" s="705" customFormat="1" ht="24.6" customHeight="1" x14ac:dyDescent="0.25">
      <c r="A12" s="701" t="s">
        <v>39</v>
      </c>
      <c r="B12" s="702" t="s">
        <v>40</v>
      </c>
      <c r="C12" s="703">
        <v>145000</v>
      </c>
      <c r="D12" s="703">
        <v>145000</v>
      </c>
      <c r="E12" s="703">
        <v>145000</v>
      </c>
      <c r="F12" s="703">
        <v>80000</v>
      </c>
      <c r="G12" s="728">
        <f>'DC TINH (NQ)'!Y17</f>
        <v>168000</v>
      </c>
      <c r="H12" s="701"/>
      <c r="J12" s="703"/>
      <c r="L12" s="706" t="e">
        <f>#REF!+#REF!+#REF!+#REF!</f>
        <v>#REF!</v>
      </c>
      <c r="M12" s="707"/>
      <c r="O12" s="707"/>
      <c r="P12" s="707"/>
      <c r="Q12" s="707"/>
    </row>
    <row r="13" spans="1:17" s="705" customFormat="1" ht="24.6" customHeight="1" x14ac:dyDescent="0.25">
      <c r="A13" s="701" t="s">
        <v>41</v>
      </c>
      <c r="B13" s="702" t="s">
        <v>1947</v>
      </c>
      <c r="C13" s="703">
        <f t="shared" ref="C13" si="1">SUM(C14:C22)</f>
        <v>3853000</v>
      </c>
      <c r="D13" s="703">
        <v>3620500</v>
      </c>
      <c r="E13" s="703">
        <v>4381230</v>
      </c>
      <c r="F13" s="703">
        <v>4520298.0999999996</v>
      </c>
      <c r="G13" s="728">
        <f>SUM(G14:G22)</f>
        <v>6125495.0999999996</v>
      </c>
      <c r="H13" s="701"/>
      <c r="I13" s="706"/>
      <c r="J13" s="703"/>
      <c r="L13" s="706" t="e">
        <f>#REF!+#REF!+#REF!+#REF!</f>
        <v>#REF!</v>
      </c>
      <c r="M13" s="707"/>
      <c r="P13" s="707"/>
      <c r="Q13" s="707"/>
    </row>
    <row r="14" spans="1:17" s="697" customFormat="1" ht="27" customHeight="1" x14ac:dyDescent="0.25">
      <c r="A14" s="711">
        <v>1</v>
      </c>
      <c r="B14" s="712" t="s">
        <v>1948</v>
      </c>
      <c r="C14" s="713">
        <v>1240000</v>
      </c>
      <c r="D14" s="713">
        <v>1290000</v>
      </c>
      <c r="E14" s="713">
        <v>2082000</v>
      </c>
      <c r="F14" s="713">
        <v>2232210.1</v>
      </c>
      <c r="G14" s="1291">
        <f>'DC TINH (NQ)'!Y33</f>
        <v>3155100.1</v>
      </c>
      <c r="H14" s="711"/>
      <c r="J14" s="716"/>
      <c r="K14" s="716"/>
      <c r="M14" s="717"/>
      <c r="O14" s="716"/>
      <c r="P14" s="707"/>
      <c r="Q14" s="707"/>
    </row>
    <row r="15" spans="1:17" s="722" customFormat="1" ht="27" customHeight="1" x14ac:dyDescent="0.25">
      <c r="A15" s="718">
        <v>2</v>
      </c>
      <c r="B15" s="719" t="s">
        <v>2142</v>
      </c>
      <c r="C15" s="720">
        <v>360000</v>
      </c>
      <c r="D15" s="720">
        <v>360000</v>
      </c>
      <c r="E15" s="720">
        <v>360000</v>
      </c>
      <c r="F15" s="720">
        <v>329228</v>
      </c>
      <c r="G15" s="1291">
        <f>'DC TINH (NQ)'!Y79</f>
        <v>484940</v>
      </c>
      <c r="H15" s="718"/>
      <c r="J15" s="723"/>
      <c r="K15" s="723"/>
      <c r="M15" s="724"/>
      <c r="O15" s="716"/>
      <c r="P15" s="707"/>
      <c r="Q15" s="707"/>
    </row>
    <row r="16" spans="1:17" s="722" customFormat="1" ht="27" customHeight="1" x14ac:dyDescent="0.25">
      <c r="A16" s="718">
        <v>3</v>
      </c>
      <c r="B16" s="719" t="s">
        <v>1949</v>
      </c>
      <c r="C16" s="720">
        <v>510000</v>
      </c>
      <c r="D16" s="720">
        <v>510000</v>
      </c>
      <c r="E16" s="720">
        <v>607920</v>
      </c>
      <c r="F16" s="720">
        <v>582920</v>
      </c>
      <c r="G16" s="715">
        <f>'DC TINH (NQ)'!Y154</f>
        <v>687120</v>
      </c>
      <c r="H16" s="718"/>
      <c r="J16" s="723"/>
      <c r="K16" s="723"/>
      <c r="M16" s="724"/>
      <c r="O16" s="716"/>
      <c r="P16" s="707"/>
      <c r="Q16" s="707"/>
    </row>
    <row r="17" spans="1:18" s="722" customFormat="1" ht="27" customHeight="1" x14ac:dyDescent="0.25">
      <c r="A17" s="718">
        <v>4</v>
      </c>
      <c r="B17" s="719" t="s">
        <v>1950</v>
      </c>
      <c r="C17" s="720">
        <v>510000</v>
      </c>
      <c r="D17" s="720">
        <v>267500</v>
      </c>
      <c r="E17" s="720">
        <v>285040</v>
      </c>
      <c r="F17" s="720">
        <v>312540</v>
      </c>
      <c r="G17" s="715">
        <f>'DC TINH (NQ)'!Y188</f>
        <v>322660</v>
      </c>
      <c r="H17" s="718"/>
      <c r="J17" s="723"/>
      <c r="K17" s="723"/>
      <c r="L17" s="724"/>
      <c r="O17" s="716"/>
      <c r="P17" s="707"/>
      <c r="Q17" s="707"/>
    </row>
    <row r="18" spans="1:18" s="722" customFormat="1" ht="27" customHeight="1" x14ac:dyDescent="0.25">
      <c r="A18" s="718">
        <v>5</v>
      </c>
      <c r="B18" s="719" t="s">
        <v>1951</v>
      </c>
      <c r="C18" s="720">
        <v>220000</v>
      </c>
      <c r="D18" s="720">
        <v>220000</v>
      </c>
      <c r="E18" s="720">
        <v>149100</v>
      </c>
      <c r="F18" s="720">
        <v>149100</v>
      </c>
      <c r="G18" s="715">
        <f>'DC TINH (NQ)'!Y226</f>
        <v>149100</v>
      </c>
      <c r="H18" s="718"/>
      <c r="J18" s="723"/>
      <c r="K18" s="723"/>
      <c r="L18" s="723"/>
      <c r="M18" s="724"/>
      <c r="O18" s="716"/>
      <c r="P18" s="707"/>
      <c r="Q18" s="707"/>
    </row>
    <row r="19" spans="1:18" s="722" customFormat="1" ht="27" customHeight="1" x14ac:dyDescent="0.25">
      <c r="A19" s="718">
        <v>6</v>
      </c>
      <c r="B19" s="719" t="s">
        <v>1952</v>
      </c>
      <c r="C19" s="720">
        <v>290000</v>
      </c>
      <c r="D19" s="720">
        <v>150000</v>
      </c>
      <c r="E19" s="720">
        <v>75000</v>
      </c>
      <c r="F19" s="720">
        <v>75000</v>
      </c>
      <c r="G19" s="715">
        <f>'DC TINH (NQ)'!Y251</f>
        <v>69430</v>
      </c>
      <c r="H19" s="718"/>
      <c r="J19" s="723"/>
      <c r="K19" s="723"/>
      <c r="L19" s="723"/>
      <c r="O19" s="716"/>
      <c r="P19" s="707"/>
      <c r="Q19" s="707"/>
    </row>
    <row r="20" spans="1:18" s="722" customFormat="1" ht="27" customHeight="1" x14ac:dyDescent="0.25">
      <c r="A20" s="718">
        <v>7</v>
      </c>
      <c r="B20" s="719" t="s">
        <v>1953</v>
      </c>
      <c r="C20" s="720">
        <v>290000</v>
      </c>
      <c r="D20" s="720">
        <v>290000</v>
      </c>
      <c r="E20" s="720">
        <v>282200</v>
      </c>
      <c r="F20" s="720">
        <v>262370</v>
      </c>
      <c r="G20" s="715">
        <f>'DC TINH (NQ)'!Y265</f>
        <v>306370</v>
      </c>
      <c r="H20" s="718"/>
      <c r="J20" s="723"/>
      <c r="K20" s="723"/>
      <c r="O20" s="716"/>
      <c r="P20" s="707"/>
      <c r="Q20" s="707"/>
    </row>
    <row r="21" spans="1:18" s="722" customFormat="1" ht="27" customHeight="1" x14ac:dyDescent="0.25">
      <c r="A21" s="718">
        <v>8</v>
      </c>
      <c r="B21" s="719" t="s">
        <v>1954</v>
      </c>
      <c r="C21" s="720">
        <v>218000</v>
      </c>
      <c r="D21" s="720">
        <v>259000</v>
      </c>
      <c r="E21" s="720">
        <v>258760</v>
      </c>
      <c r="F21" s="720">
        <v>278220</v>
      </c>
      <c r="G21" s="715">
        <f>'DC TINH (NQ)'!Y312</f>
        <v>514950</v>
      </c>
      <c r="H21" s="718"/>
      <c r="J21" s="723"/>
      <c r="K21" s="723"/>
      <c r="O21" s="716"/>
      <c r="P21" s="707"/>
      <c r="Q21" s="707"/>
    </row>
    <row r="22" spans="1:18" s="697" customFormat="1" ht="27" customHeight="1" x14ac:dyDescent="0.25">
      <c r="A22" s="711">
        <v>9</v>
      </c>
      <c r="B22" s="712" t="s">
        <v>2143</v>
      </c>
      <c r="C22" s="713">
        <v>215000</v>
      </c>
      <c r="D22" s="713">
        <v>274000</v>
      </c>
      <c r="E22" s="713">
        <v>281210</v>
      </c>
      <c r="F22" s="713">
        <v>298710</v>
      </c>
      <c r="G22" s="1291">
        <f>'DC TINH (NQ)'!Y357</f>
        <v>435825</v>
      </c>
      <c r="H22" s="711"/>
      <c r="J22" s="716">
        <f>247-149</f>
        <v>98</v>
      </c>
      <c r="K22" s="716"/>
      <c r="O22" s="716"/>
      <c r="P22" s="707"/>
      <c r="Q22" s="707"/>
    </row>
    <row r="23" spans="1:18" s="1249" customFormat="1" ht="27" customHeight="1" x14ac:dyDescent="0.25">
      <c r="A23" s="1247" t="s">
        <v>879</v>
      </c>
      <c r="B23" s="1248" t="s">
        <v>1965</v>
      </c>
      <c r="C23" s="710"/>
      <c r="D23" s="710"/>
      <c r="F23" s="710"/>
      <c r="G23" s="728">
        <f>'DC TINH (NQ)'!Y434</f>
        <v>188820</v>
      </c>
      <c r="H23" s="1247"/>
      <c r="J23" s="1250"/>
      <c r="K23" s="1250"/>
      <c r="O23" s="1250"/>
      <c r="P23" s="707"/>
      <c r="Q23" s="707"/>
    </row>
    <row r="24" spans="1:18" s="705" customFormat="1" ht="27" customHeight="1" x14ac:dyDescent="0.25">
      <c r="A24" s="701" t="s">
        <v>881</v>
      </c>
      <c r="B24" s="726" t="s">
        <v>1956</v>
      </c>
      <c r="C24" s="703">
        <v>722000</v>
      </c>
      <c r="D24" s="710">
        <v>652000</v>
      </c>
      <c r="E24" s="710">
        <v>41270</v>
      </c>
      <c r="F24" s="703">
        <v>237202</v>
      </c>
      <c r="G24" s="728">
        <f>'TH VON '!J25</f>
        <v>0</v>
      </c>
      <c r="H24" s="701"/>
      <c r="J24" s="716"/>
      <c r="L24" s="706" t="e">
        <f>#REF!+#REF!+#REF!+#REF!</f>
        <v>#REF!</v>
      </c>
      <c r="P24" s="706"/>
      <c r="Q24" s="707"/>
    </row>
    <row r="25" spans="1:18" s="705" customFormat="1" ht="25.9" customHeight="1" x14ac:dyDescent="0.25">
      <c r="A25" s="701" t="s">
        <v>173</v>
      </c>
      <c r="B25" s="702" t="s">
        <v>1957</v>
      </c>
      <c r="C25" s="703">
        <f>SUM(C26:C28)</f>
        <v>1810000</v>
      </c>
      <c r="D25" s="703">
        <v>2842500</v>
      </c>
      <c r="E25" s="703">
        <v>2847500</v>
      </c>
      <c r="F25" s="703">
        <v>2847500</v>
      </c>
      <c r="G25" s="703">
        <f>SUM(G26:G31)</f>
        <v>4232071</v>
      </c>
      <c r="H25" s="701"/>
      <c r="I25" s="706"/>
      <c r="J25" s="716"/>
      <c r="L25" s="706" t="e">
        <f>#REF!+#REF!+#REF!+#REF!</f>
        <v>#REF!</v>
      </c>
      <c r="O25" s="706"/>
      <c r="P25" s="706"/>
      <c r="Q25" s="706"/>
      <c r="R25" s="706"/>
    </row>
    <row r="26" spans="1:18" s="697" customFormat="1" ht="24" customHeight="1" x14ac:dyDescent="0.25">
      <c r="A26" s="711">
        <v>1</v>
      </c>
      <c r="B26" s="712" t="s">
        <v>1958</v>
      </c>
      <c r="C26" s="713">
        <v>1230000</v>
      </c>
      <c r="D26" s="709">
        <v>1230000</v>
      </c>
      <c r="E26" s="709">
        <v>1230000</v>
      </c>
      <c r="F26" s="713">
        <v>1230000</v>
      </c>
      <c r="G26" s="1292">
        <f>'DC HTMT(NQ)'!Y17</f>
        <v>1954797</v>
      </c>
      <c r="H26" s="711"/>
      <c r="J26" s="716"/>
      <c r="L26" s="706" t="e">
        <f>#REF!+#REF!+#REF!+#REF!</f>
        <v>#REF!</v>
      </c>
      <c r="O26" s="716"/>
      <c r="P26" s="717"/>
      <c r="Q26" s="707"/>
      <c r="R26" s="717"/>
    </row>
    <row r="27" spans="1:18" s="697" customFormat="1" x14ac:dyDescent="0.25">
      <c r="A27" s="711">
        <v>2</v>
      </c>
      <c r="B27" s="712" t="s">
        <v>1959</v>
      </c>
      <c r="C27" s="713">
        <v>580000</v>
      </c>
      <c r="D27" s="713">
        <v>640000</v>
      </c>
      <c r="E27" s="713">
        <v>665000</v>
      </c>
      <c r="F27" s="713">
        <v>665000</v>
      </c>
      <c r="G27" s="714">
        <f>'DC HTMT(NQ)'!Y44</f>
        <v>917485</v>
      </c>
      <c r="H27" s="711"/>
      <c r="J27" s="716"/>
      <c r="L27" s="706" t="e">
        <f>#REF!+#REF!+#REF!+#REF!</f>
        <v>#REF!</v>
      </c>
      <c r="O27" s="716"/>
      <c r="P27" s="717"/>
    </row>
    <row r="28" spans="1:18" s="697" customFormat="1" ht="37.5" x14ac:dyDescent="0.25">
      <c r="A28" s="711">
        <v>3</v>
      </c>
      <c r="B28" s="712" t="s">
        <v>1960</v>
      </c>
      <c r="C28" s="713"/>
      <c r="D28" s="713">
        <v>124500</v>
      </c>
      <c r="E28" s="713">
        <v>124500</v>
      </c>
      <c r="F28" s="713">
        <v>124500</v>
      </c>
      <c r="G28" s="714">
        <f>'DC HTMT(NQ)'!Y398</f>
        <v>124500</v>
      </c>
      <c r="H28" s="711"/>
      <c r="J28" s="716"/>
      <c r="L28" s="706" t="e">
        <f>#REF!+#REF!+#REF!+#REF!</f>
        <v>#REF!</v>
      </c>
      <c r="O28" s="716"/>
      <c r="P28" s="717"/>
    </row>
    <row r="29" spans="1:18" s="697" customFormat="1" ht="56.25" x14ac:dyDescent="0.25">
      <c r="A29" s="711">
        <v>4</v>
      </c>
      <c r="B29" s="712" t="s">
        <v>2518</v>
      </c>
      <c r="D29" s="713">
        <v>20000</v>
      </c>
      <c r="E29" s="714">
        <v>0</v>
      </c>
      <c r="F29" s="714">
        <v>0</v>
      </c>
      <c r="G29" s="714">
        <f>I29</f>
        <v>0</v>
      </c>
      <c r="H29" s="714"/>
      <c r="I29" s="714">
        <f>'[2]DC HTMT-IN'!T291</f>
        <v>0</v>
      </c>
      <c r="J29" s="714" t="e">
        <f>'[2]TH VON (ub)'!I30</f>
        <v>#REF!</v>
      </c>
      <c r="L29" s="706"/>
      <c r="O29" s="716"/>
      <c r="P29" s="717"/>
    </row>
    <row r="30" spans="1:18" s="697" customFormat="1" ht="75" x14ac:dyDescent="0.25">
      <c r="A30" s="711">
        <v>5</v>
      </c>
      <c r="B30" s="712" t="s">
        <v>1961</v>
      </c>
      <c r="C30" s="713"/>
      <c r="D30" s="709">
        <v>98000</v>
      </c>
      <c r="E30" s="714">
        <v>98000</v>
      </c>
      <c r="F30" s="714">
        <v>98000</v>
      </c>
      <c r="G30" s="714">
        <f>'DC HTMT(NQ)'!Y412</f>
        <v>98000</v>
      </c>
      <c r="H30" s="711"/>
      <c r="J30" s="716"/>
      <c r="L30" s="706" t="e">
        <f>#REF!+#REF!+#REF!+#REF!</f>
        <v>#REF!</v>
      </c>
      <c r="O30" s="716"/>
      <c r="P30" s="717"/>
    </row>
    <row r="31" spans="1:18" s="697" customFormat="1" x14ac:dyDescent="0.25">
      <c r="A31" s="711">
        <v>6</v>
      </c>
      <c r="B31" s="712" t="s">
        <v>1962</v>
      </c>
      <c r="C31" s="713">
        <f>80000*7+85000*2</f>
        <v>730000</v>
      </c>
      <c r="D31" s="713">
        <v>730000</v>
      </c>
      <c r="E31" s="713">
        <v>730000</v>
      </c>
      <c r="F31" s="713">
        <v>730000</v>
      </c>
      <c r="G31" s="1292">
        <f>'DC HTMT(NQ)'!Y413</f>
        <v>1137289</v>
      </c>
      <c r="H31" s="711"/>
      <c r="J31" s="716"/>
      <c r="L31" s="706" t="e">
        <f>#REF!+#REF!+#REF!+#REF!</f>
        <v>#REF!</v>
      </c>
      <c r="O31" s="716"/>
      <c r="P31" s="717"/>
      <c r="Q31" s="707"/>
    </row>
    <row r="32" spans="1:18" s="705" customFormat="1" ht="76.5" customHeight="1" x14ac:dyDescent="0.25">
      <c r="A32" s="701" t="s">
        <v>333</v>
      </c>
      <c r="B32" s="726" t="s">
        <v>1963</v>
      </c>
      <c r="C32" s="703">
        <v>700000</v>
      </c>
      <c r="D32" s="703">
        <v>530947</v>
      </c>
      <c r="E32" s="703">
        <v>530947</v>
      </c>
      <c r="F32" s="710">
        <v>530947</v>
      </c>
      <c r="G32" s="728">
        <f>'HTCK(NQ)'!V16</f>
        <v>533247</v>
      </c>
      <c r="H32" s="701"/>
      <c r="J32" s="716"/>
      <c r="L32" s="706" t="e">
        <f>#REF!+#REF!+#REF!+#REF!</f>
        <v>#REF!</v>
      </c>
      <c r="O32" s="706"/>
    </row>
    <row r="33" spans="1:17" s="733" customFormat="1" ht="25.15" hidden="1" customHeight="1" x14ac:dyDescent="0.25">
      <c r="A33" s="729"/>
      <c r="B33" s="730" t="s">
        <v>882</v>
      </c>
      <c r="C33" s="731"/>
      <c r="D33" s="731"/>
      <c r="E33" s="731"/>
      <c r="F33" s="731"/>
      <c r="G33" s="732"/>
      <c r="H33" s="729"/>
      <c r="J33" s="716"/>
    </row>
    <row r="34" spans="1:17" s="697" customFormat="1" ht="25.9" hidden="1" customHeight="1" x14ac:dyDescent="0.25">
      <c r="A34" s="711">
        <v>1</v>
      </c>
      <c r="B34" s="712" t="s">
        <v>1948</v>
      </c>
      <c r="C34" s="713"/>
      <c r="D34" s="713"/>
      <c r="E34" s="713"/>
      <c r="F34" s="713"/>
      <c r="G34" s="714"/>
      <c r="H34" s="711"/>
      <c r="J34" s="716"/>
    </row>
    <row r="35" spans="1:17" s="697" customFormat="1" ht="25.9" hidden="1" customHeight="1" x14ac:dyDescent="0.25">
      <c r="A35" s="711">
        <v>2</v>
      </c>
      <c r="B35" s="712" t="s">
        <v>1954</v>
      </c>
      <c r="C35" s="713"/>
      <c r="D35" s="713"/>
      <c r="E35" s="713"/>
      <c r="F35" s="713"/>
      <c r="G35" s="714"/>
      <c r="H35" s="711"/>
      <c r="J35" s="716"/>
    </row>
    <row r="36" spans="1:17" s="697" customFormat="1" ht="25.9" hidden="1" customHeight="1" x14ac:dyDescent="0.25">
      <c r="A36" s="711">
        <v>3</v>
      </c>
      <c r="B36" s="712" t="s">
        <v>1955</v>
      </c>
      <c r="C36" s="713"/>
      <c r="D36" s="713"/>
      <c r="E36" s="713"/>
      <c r="F36" s="713"/>
      <c r="G36" s="714"/>
      <c r="H36" s="711"/>
      <c r="J36" s="716"/>
    </row>
    <row r="37" spans="1:17" s="697" customFormat="1" ht="26.25" hidden="1" customHeight="1" x14ac:dyDescent="0.25">
      <c r="A37" s="711">
        <v>4</v>
      </c>
      <c r="B37" s="712" t="s">
        <v>1965</v>
      </c>
      <c r="C37" s="713"/>
      <c r="D37" s="713"/>
      <c r="E37" s="713"/>
      <c r="F37" s="713"/>
      <c r="G37" s="714"/>
      <c r="H37" s="711"/>
      <c r="J37" s="716"/>
    </row>
    <row r="38" spans="1:17" s="737" customFormat="1" ht="12.75" hidden="1" customHeight="1" x14ac:dyDescent="0.35">
      <c r="A38" s="734"/>
      <c r="B38" s="734" t="s">
        <v>1966</v>
      </c>
      <c r="C38" s="735"/>
      <c r="D38" s="735"/>
      <c r="E38" s="735"/>
      <c r="F38" s="735"/>
      <c r="G38" s="736"/>
      <c r="H38" s="734"/>
      <c r="J38" s="716"/>
    </row>
    <row r="39" spans="1:17" ht="13.15" customHeight="1" x14ac:dyDescent="0.3">
      <c r="A39" s="738"/>
      <c r="B39" s="738"/>
      <c r="C39" s="739"/>
      <c r="D39" s="739"/>
      <c r="E39" s="739"/>
      <c r="F39" s="739"/>
      <c r="G39" s="739"/>
      <c r="H39" s="738"/>
      <c r="O39" s="1228"/>
    </row>
    <row r="40" spans="1:17" x14ac:dyDescent="0.3">
      <c r="Q40" s="1293"/>
    </row>
    <row r="41" spans="1:17" ht="59.25" hidden="1" customHeight="1" x14ac:dyDescent="0.3">
      <c r="A41" s="2008" t="s">
        <v>2422</v>
      </c>
      <c r="B41" s="2009"/>
      <c r="C41" s="2009"/>
      <c r="D41" s="2009"/>
      <c r="E41" s="2009"/>
      <c r="F41" s="2009"/>
      <c r="G41" s="2009"/>
      <c r="H41" s="2009"/>
    </row>
  </sheetData>
  <mergeCells count="11">
    <mergeCell ref="A41:H41"/>
    <mergeCell ref="D8:G8"/>
    <mergeCell ref="H8:H9"/>
    <mergeCell ref="A1:H1"/>
    <mergeCell ref="A2:H2"/>
    <mergeCell ref="A3:H3"/>
    <mergeCell ref="A4:H4"/>
    <mergeCell ref="A5:H5"/>
    <mergeCell ref="A8:A9"/>
    <mergeCell ref="B8:B9"/>
    <mergeCell ref="C8:C9"/>
  </mergeCells>
  <pageMargins left="0.54" right="0.32" top="0.45" bottom="0.49" header="0.3" footer="0.21"/>
  <pageSetup paperSize="9" scale="87" fitToHeight="0" orientation="landscape" r:id="rId1"/>
  <headerFooter>
    <oddHeader>&amp;C&amp;P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36"/>
  <sheetViews>
    <sheetView tabSelected="1" topLeftCell="A4" zoomScale="85" zoomScaleNormal="85" workbookViewId="0">
      <selection activeCell="K23" sqref="K23"/>
    </sheetView>
  </sheetViews>
  <sheetFormatPr defaultRowHeight="18.75" x14ac:dyDescent="0.25"/>
  <cols>
    <col min="1" max="1" width="8.85546875" style="1859" customWidth="1"/>
    <col min="2" max="2" width="42.28515625" style="1859" customWidth="1"/>
    <col min="3" max="3" width="18.5703125" style="1861" hidden="1" customWidth="1"/>
    <col min="4" max="4" width="19.42578125" style="1861" hidden="1" customWidth="1"/>
    <col min="5" max="5" width="20.140625" style="1861" hidden="1" customWidth="1"/>
    <col min="6" max="6" width="16.85546875" style="1861" hidden="1" customWidth="1"/>
    <col min="7" max="7" width="16.7109375" style="1861" hidden="1" customWidth="1"/>
    <col min="8" max="8" width="16.85546875" style="1861" hidden="1" customWidth="1"/>
    <col min="9" max="9" width="15.85546875" style="1861" hidden="1" customWidth="1"/>
    <col min="10" max="10" width="15" style="1861" customWidth="1"/>
    <col min="11" max="11" width="13.42578125" style="1861" customWidth="1"/>
    <col min="12" max="12" width="14.7109375" style="1861" customWidth="1"/>
    <col min="13" max="13" width="13.28515625" style="1861" customWidth="1"/>
    <col min="14" max="14" width="12.5703125" style="1861" customWidth="1"/>
    <col min="15" max="16" width="12" style="1861" customWidth="1"/>
    <col min="17" max="17" width="11.85546875" style="1861" customWidth="1"/>
    <col min="18" max="18" width="17.28515625" style="1861" customWidth="1"/>
    <col min="19" max="19" width="12.85546875" style="1861" customWidth="1"/>
    <col min="20" max="20" width="28" style="1859" customWidth="1"/>
    <col min="21" max="21" width="14.5703125" style="1859" customWidth="1"/>
    <col min="22" max="22" width="13.7109375" style="1859" customWidth="1"/>
    <col min="23" max="23" width="9.7109375" style="1859" customWidth="1"/>
    <col min="24" max="24" width="14.5703125" style="1859" customWidth="1"/>
    <col min="25" max="25" width="2.42578125" style="1859" customWidth="1"/>
    <col min="26" max="26" width="16" style="1859" bestFit="1" customWidth="1"/>
    <col min="27" max="27" width="18" style="1859" hidden="1" customWidth="1"/>
    <col min="28" max="30" width="18" style="1859" customWidth="1"/>
    <col min="31" max="31" width="24" style="1859" customWidth="1"/>
    <col min="32" max="32" width="10.28515625" style="1859" bestFit="1" customWidth="1"/>
    <col min="33" max="260" width="9.140625" style="1859"/>
    <col min="261" max="261" width="37.28515625" style="1859" customWidth="1"/>
    <col min="262" max="262" width="29.140625" style="1859" customWidth="1"/>
    <col min="263" max="263" width="23.28515625" style="1859" customWidth="1"/>
    <col min="264" max="264" width="15.140625" style="1859" customWidth="1"/>
    <col min="265" max="265" width="16.28515625" style="1859" customWidth="1"/>
    <col min="266" max="266" width="14.42578125" style="1859" customWidth="1"/>
    <col min="267" max="267" width="21.7109375" style="1859" customWidth="1"/>
    <col min="268" max="268" width="9.140625" style="1859"/>
    <col min="269" max="269" width="10.28515625" style="1859" bestFit="1" customWidth="1"/>
    <col min="270" max="516" width="9.140625" style="1859"/>
    <col min="517" max="517" width="37.28515625" style="1859" customWidth="1"/>
    <col min="518" max="518" width="29.140625" style="1859" customWidth="1"/>
    <col min="519" max="519" width="23.28515625" style="1859" customWidth="1"/>
    <col min="520" max="520" width="15.140625" style="1859" customWidth="1"/>
    <col min="521" max="521" width="16.28515625" style="1859" customWidth="1"/>
    <col min="522" max="522" width="14.42578125" style="1859" customWidth="1"/>
    <col min="523" max="523" width="21.7109375" style="1859" customWidth="1"/>
    <col min="524" max="524" width="9.140625" style="1859"/>
    <col min="525" max="525" width="10.28515625" style="1859" bestFit="1" customWidth="1"/>
    <col min="526" max="772" width="9.140625" style="1859"/>
    <col min="773" max="773" width="37.28515625" style="1859" customWidth="1"/>
    <col min="774" max="774" width="29.140625" style="1859" customWidth="1"/>
    <col min="775" max="775" width="23.28515625" style="1859" customWidth="1"/>
    <col min="776" max="776" width="15.140625" style="1859" customWidth="1"/>
    <col min="777" max="777" width="16.28515625" style="1859" customWidth="1"/>
    <col min="778" max="778" width="14.42578125" style="1859" customWidth="1"/>
    <col min="779" max="779" width="21.7109375" style="1859" customWidth="1"/>
    <col min="780" max="780" width="9.140625" style="1859"/>
    <col min="781" max="781" width="10.28515625" style="1859" bestFit="1" customWidth="1"/>
    <col min="782" max="1028" width="9.140625" style="1859"/>
    <col min="1029" max="1029" width="37.28515625" style="1859" customWidth="1"/>
    <col min="1030" max="1030" width="29.140625" style="1859" customWidth="1"/>
    <col min="1031" max="1031" width="23.28515625" style="1859" customWidth="1"/>
    <col min="1032" max="1032" width="15.140625" style="1859" customWidth="1"/>
    <col min="1033" max="1033" width="16.28515625" style="1859" customWidth="1"/>
    <col min="1034" max="1034" width="14.42578125" style="1859" customWidth="1"/>
    <col min="1035" max="1035" width="21.7109375" style="1859" customWidth="1"/>
    <col min="1036" max="1036" width="9.140625" style="1859"/>
    <col min="1037" max="1037" width="10.28515625" style="1859" bestFit="1" customWidth="1"/>
    <col min="1038" max="1284" width="9.140625" style="1859"/>
    <col min="1285" max="1285" width="37.28515625" style="1859" customWidth="1"/>
    <col min="1286" max="1286" width="29.140625" style="1859" customWidth="1"/>
    <col min="1287" max="1287" width="23.28515625" style="1859" customWidth="1"/>
    <col min="1288" max="1288" width="15.140625" style="1859" customWidth="1"/>
    <col min="1289" max="1289" width="16.28515625" style="1859" customWidth="1"/>
    <col min="1290" max="1290" width="14.42578125" style="1859" customWidth="1"/>
    <col min="1291" max="1291" width="21.7109375" style="1859" customWidth="1"/>
    <col min="1292" max="1292" width="9.140625" style="1859"/>
    <col min="1293" max="1293" width="10.28515625" style="1859" bestFit="1" customWidth="1"/>
    <col min="1294" max="1540" width="9.140625" style="1859"/>
    <col min="1541" max="1541" width="37.28515625" style="1859" customWidth="1"/>
    <col min="1542" max="1542" width="29.140625" style="1859" customWidth="1"/>
    <col min="1543" max="1543" width="23.28515625" style="1859" customWidth="1"/>
    <col min="1544" max="1544" width="15.140625" style="1859" customWidth="1"/>
    <col min="1545" max="1545" width="16.28515625" style="1859" customWidth="1"/>
    <col min="1546" max="1546" width="14.42578125" style="1859" customWidth="1"/>
    <col min="1547" max="1547" width="21.7109375" style="1859" customWidth="1"/>
    <col min="1548" max="1548" width="9.140625" style="1859"/>
    <col min="1549" max="1549" width="10.28515625" style="1859" bestFit="1" customWidth="1"/>
    <col min="1550" max="1796" width="9.140625" style="1859"/>
    <col min="1797" max="1797" width="37.28515625" style="1859" customWidth="1"/>
    <col min="1798" max="1798" width="29.140625" style="1859" customWidth="1"/>
    <col min="1799" max="1799" width="23.28515625" style="1859" customWidth="1"/>
    <col min="1800" max="1800" width="15.140625" style="1859" customWidth="1"/>
    <col min="1801" max="1801" width="16.28515625" style="1859" customWidth="1"/>
    <col min="1802" max="1802" width="14.42578125" style="1859" customWidth="1"/>
    <col min="1803" max="1803" width="21.7109375" style="1859" customWidth="1"/>
    <col min="1804" max="1804" width="9.140625" style="1859"/>
    <col min="1805" max="1805" width="10.28515625" style="1859" bestFit="1" customWidth="1"/>
    <col min="1806" max="2052" width="9.140625" style="1859"/>
    <col min="2053" max="2053" width="37.28515625" style="1859" customWidth="1"/>
    <col min="2054" max="2054" width="29.140625" style="1859" customWidth="1"/>
    <col min="2055" max="2055" width="23.28515625" style="1859" customWidth="1"/>
    <col min="2056" max="2056" width="15.140625" style="1859" customWidth="1"/>
    <col min="2057" max="2057" width="16.28515625" style="1859" customWidth="1"/>
    <col min="2058" max="2058" width="14.42578125" style="1859" customWidth="1"/>
    <col min="2059" max="2059" width="21.7109375" style="1859" customWidth="1"/>
    <col min="2060" max="2060" width="9.140625" style="1859"/>
    <col min="2061" max="2061" width="10.28515625" style="1859" bestFit="1" customWidth="1"/>
    <col min="2062" max="2308" width="9.140625" style="1859"/>
    <col min="2309" max="2309" width="37.28515625" style="1859" customWidth="1"/>
    <col min="2310" max="2310" width="29.140625" style="1859" customWidth="1"/>
    <col min="2311" max="2311" width="23.28515625" style="1859" customWidth="1"/>
    <col min="2312" max="2312" width="15.140625" style="1859" customWidth="1"/>
    <col min="2313" max="2313" width="16.28515625" style="1859" customWidth="1"/>
    <col min="2314" max="2314" width="14.42578125" style="1859" customWidth="1"/>
    <col min="2315" max="2315" width="21.7109375" style="1859" customWidth="1"/>
    <col min="2316" max="2316" width="9.140625" style="1859"/>
    <col min="2317" max="2317" width="10.28515625" style="1859" bestFit="1" customWidth="1"/>
    <col min="2318" max="2564" width="9.140625" style="1859"/>
    <col min="2565" max="2565" width="37.28515625" style="1859" customWidth="1"/>
    <col min="2566" max="2566" width="29.140625" style="1859" customWidth="1"/>
    <col min="2567" max="2567" width="23.28515625" style="1859" customWidth="1"/>
    <col min="2568" max="2568" width="15.140625" style="1859" customWidth="1"/>
    <col min="2569" max="2569" width="16.28515625" style="1859" customWidth="1"/>
    <col min="2570" max="2570" width="14.42578125" style="1859" customWidth="1"/>
    <col min="2571" max="2571" width="21.7109375" style="1859" customWidth="1"/>
    <col min="2572" max="2572" width="9.140625" style="1859"/>
    <col min="2573" max="2573" width="10.28515625" style="1859" bestFit="1" customWidth="1"/>
    <col min="2574" max="2820" width="9.140625" style="1859"/>
    <col min="2821" max="2821" width="37.28515625" style="1859" customWidth="1"/>
    <col min="2822" max="2822" width="29.140625" style="1859" customWidth="1"/>
    <col min="2823" max="2823" width="23.28515625" style="1859" customWidth="1"/>
    <col min="2824" max="2824" width="15.140625" style="1859" customWidth="1"/>
    <col min="2825" max="2825" width="16.28515625" style="1859" customWidth="1"/>
    <col min="2826" max="2826" width="14.42578125" style="1859" customWidth="1"/>
    <col min="2827" max="2827" width="21.7109375" style="1859" customWidth="1"/>
    <col min="2828" max="2828" width="9.140625" style="1859"/>
    <col min="2829" max="2829" width="10.28515625" style="1859" bestFit="1" customWidth="1"/>
    <col min="2830" max="3076" width="9.140625" style="1859"/>
    <col min="3077" max="3077" width="37.28515625" style="1859" customWidth="1"/>
    <col min="3078" max="3078" width="29.140625" style="1859" customWidth="1"/>
    <col min="3079" max="3079" width="23.28515625" style="1859" customWidth="1"/>
    <col min="3080" max="3080" width="15.140625" style="1859" customWidth="1"/>
    <col min="3081" max="3081" width="16.28515625" style="1859" customWidth="1"/>
    <col min="3082" max="3082" width="14.42578125" style="1859" customWidth="1"/>
    <col min="3083" max="3083" width="21.7109375" style="1859" customWidth="1"/>
    <col min="3084" max="3084" width="9.140625" style="1859"/>
    <col min="3085" max="3085" width="10.28515625" style="1859" bestFit="1" customWidth="1"/>
    <col min="3086" max="3332" width="9.140625" style="1859"/>
    <col min="3333" max="3333" width="37.28515625" style="1859" customWidth="1"/>
    <col min="3334" max="3334" width="29.140625" style="1859" customWidth="1"/>
    <col min="3335" max="3335" width="23.28515625" style="1859" customWidth="1"/>
    <col min="3336" max="3336" width="15.140625" style="1859" customWidth="1"/>
    <col min="3337" max="3337" width="16.28515625" style="1859" customWidth="1"/>
    <col min="3338" max="3338" width="14.42578125" style="1859" customWidth="1"/>
    <col min="3339" max="3339" width="21.7109375" style="1859" customWidth="1"/>
    <col min="3340" max="3340" width="9.140625" style="1859"/>
    <col min="3341" max="3341" width="10.28515625" style="1859" bestFit="1" customWidth="1"/>
    <col min="3342" max="3588" width="9.140625" style="1859"/>
    <col min="3589" max="3589" width="37.28515625" style="1859" customWidth="1"/>
    <col min="3590" max="3590" width="29.140625" style="1859" customWidth="1"/>
    <col min="3591" max="3591" width="23.28515625" style="1859" customWidth="1"/>
    <col min="3592" max="3592" width="15.140625" style="1859" customWidth="1"/>
    <col min="3593" max="3593" width="16.28515625" style="1859" customWidth="1"/>
    <col min="3594" max="3594" width="14.42578125" style="1859" customWidth="1"/>
    <col min="3595" max="3595" width="21.7109375" style="1859" customWidth="1"/>
    <col min="3596" max="3596" width="9.140625" style="1859"/>
    <col min="3597" max="3597" width="10.28515625" style="1859" bestFit="1" customWidth="1"/>
    <col min="3598" max="3844" width="9.140625" style="1859"/>
    <col min="3845" max="3845" width="37.28515625" style="1859" customWidth="1"/>
    <col min="3846" max="3846" width="29.140625" style="1859" customWidth="1"/>
    <col min="3847" max="3847" width="23.28515625" style="1859" customWidth="1"/>
    <col min="3848" max="3848" width="15.140625" style="1859" customWidth="1"/>
    <col min="3849" max="3849" width="16.28515625" style="1859" customWidth="1"/>
    <col min="3850" max="3850" width="14.42578125" style="1859" customWidth="1"/>
    <col min="3851" max="3851" width="21.7109375" style="1859" customWidth="1"/>
    <col min="3852" max="3852" width="9.140625" style="1859"/>
    <col min="3853" max="3853" width="10.28515625" style="1859" bestFit="1" customWidth="1"/>
    <col min="3854" max="4100" width="9.140625" style="1859"/>
    <col min="4101" max="4101" width="37.28515625" style="1859" customWidth="1"/>
    <col min="4102" max="4102" width="29.140625" style="1859" customWidth="1"/>
    <col min="4103" max="4103" width="23.28515625" style="1859" customWidth="1"/>
    <col min="4104" max="4104" width="15.140625" style="1859" customWidth="1"/>
    <col min="4105" max="4105" width="16.28515625" style="1859" customWidth="1"/>
    <col min="4106" max="4106" width="14.42578125" style="1859" customWidth="1"/>
    <col min="4107" max="4107" width="21.7109375" style="1859" customWidth="1"/>
    <col min="4108" max="4108" width="9.140625" style="1859"/>
    <col min="4109" max="4109" width="10.28515625" style="1859" bestFit="1" customWidth="1"/>
    <col min="4110" max="4356" width="9.140625" style="1859"/>
    <col min="4357" max="4357" width="37.28515625" style="1859" customWidth="1"/>
    <col min="4358" max="4358" width="29.140625" style="1859" customWidth="1"/>
    <col min="4359" max="4359" width="23.28515625" style="1859" customWidth="1"/>
    <col min="4360" max="4360" width="15.140625" style="1859" customWidth="1"/>
    <col min="4361" max="4361" width="16.28515625" style="1859" customWidth="1"/>
    <col min="4362" max="4362" width="14.42578125" style="1859" customWidth="1"/>
    <col min="4363" max="4363" width="21.7109375" style="1859" customWidth="1"/>
    <col min="4364" max="4364" width="9.140625" style="1859"/>
    <col min="4365" max="4365" width="10.28515625" style="1859" bestFit="1" customWidth="1"/>
    <col min="4366" max="4612" width="9.140625" style="1859"/>
    <col min="4613" max="4613" width="37.28515625" style="1859" customWidth="1"/>
    <col min="4614" max="4614" width="29.140625" style="1859" customWidth="1"/>
    <col min="4615" max="4615" width="23.28515625" style="1859" customWidth="1"/>
    <col min="4616" max="4616" width="15.140625" style="1859" customWidth="1"/>
    <col min="4617" max="4617" width="16.28515625" style="1859" customWidth="1"/>
    <col min="4618" max="4618" width="14.42578125" style="1859" customWidth="1"/>
    <col min="4619" max="4619" width="21.7109375" style="1859" customWidth="1"/>
    <col min="4620" max="4620" width="9.140625" style="1859"/>
    <col min="4621" max="4621" width="10.28515625" style="1859" bestFit="1" customWidth="1"/>
    <col min="4622" max="4868" width="9.140625" style="1859"/>
    <col min="4869" max="4869" width="37.28515625" style="1859" customWidth="1"/>
    <col min="4870" max="4870" width="29.140625" style="1859" customWidth="1"/>
    <col min="4871" max="4871" width="23.28515625" style="1859" customWidth="1"/>
    <col min="4872" max="4872" width="15.140625" style="1859" customWidth="1"/>
    <col min="4873" max="4873" width="16.28515625" style="1859" customWidth="1"/>
    <col min="4874" max="4874" width="14.42578125" style="1859" customWidth="1"/>
    <col min="4875" max="4875" width="21.7109375" style="1859" customWidth="1"/>
    <col min="4876" max="4876" width="9.140625" style="1859"/>
    <col min="4877" max="4877" width="10.28515625" style="1859" bestFit="1" customWidth="1"/>
    <col min="4878" max="5124" width="9.140625" style="1859"/>
    <col min="5125" max="5125" width="37.28515625" style="1859" customWidth="1"/>
    <col min="5126" max="5126" width="29.140625" style="1859" customWidth="1"/>
    <col min="5127" max="5127" width="23.28515625" style="1859" customWidth="1"/>
    <col min="5128" max="5128" width="15.140625" style="1859" customWidth="1"/>
    <col min="5129" max="5129" width="16.28515625" style="1859" customWidth="1"/>
    <col min="5130" max="5130" width="14.42578125" style="1859" customWidth="1"/>
    <col min="5131" max="5131" width="21.7109375" style="1859" customWidth="1"/>
    <col min="5132" max="5132" width="9.140625" style="1859"/>
    <col min="5133" max="5133" width="10.28515625" style="1859" bestFit="1" customWidth="1"/>
    <col min="5134" max="5380" width="9.140625" style="1859"/>
    <col min="5381" max="5381" width="37.28515625" style="1859" customWidth="1"/>
    <col min="5382" max="5382" width="29.140625" style="1859" customWidth="1"/>
    <col min="5383" max="5383" width="23.28515625" style="1859" customWidth="1"/>
    <col min="5384" max="5384" width="15.140625" style="1859" customWidth="1"/>
    <col min="5385" max="5385" width="16.28515625" style="1859" customWidth="1"/>
    <col min="5386" max="5386" width="14.42578125" style="1859" customWidth="1"/>
    <col min="5387" max="5387" width="21.7109375" style="1859" customWidth="1"/>
    <col min="5388" max="5388" width="9.140625" style="1859"/>
    <col min="5389" max="5389" width="10.28515625" style="1859" bestFit="1" customWidth="1"/>
    <col min="5390" max="5636" width="9.140625" style="1859"/>
    <col min="5637" max="5637" width="37.28515625" style="1859" customWidth="1"/>
    <col min="5638" max="5638" width="29.140625" style="1859" customWidth="1"/>
    <col min="5639" max="5639" width="23.28515625" style="1859" customWidth="1"/>
    <col min="5640" max="5640" width="15.140625" style="1859" customWidth="1"/>
    <col min="5641" max="5641" width="16.28515625" style="1859" customWidth="1"/>
    <col min="5642" max="5642" width="14.42578125" style="1859" customWidth="1"/>
    <col min="5643" max="5643" width="21.7109375" style="1859" customWidth="1"/>
    <col min="5644" max="5644" width="9.140625" style="1859"/>
    <col min="5645" max="5645" width="10.28515625" style="1859" bestFit="1" customWidth="1"/>
    <col min="5646" max="5892" width="9.140625" style="1859"/>
    <col min="5893" max="5893" width="37.28515625" style="1859" customWidth="1"/>
    <col min="5894" max="5894" width="29.140625" style="1859" customWidth="1"/>
    <col min="5895" max="5895" width="23.28515625" style="1859" customWidth="1"/>
    <col min="5896" max="5896" width="15.140625" style="1859" customWidth="1"/>
    <col min="5897" max="5897" width="16.28515625" style="1859" customWidth="1"/>
    <col min="5898" max="5898" width="14.42578125" style="1859" customWidth="1"/>
    <col min="5899" max="5899" width="21.7109375" style="1859" customWidth="1"/>
    <col min="5900" max="5900" width="9.140625" style="1859"/>
    <col min="5901" max="5901" width="10.28515625" style="1859" bestFit="1" customWidth="1"/>
    <col min="5902" max="6148" width="9.140625" style="1859"/>
    <col min="6149" max="6149" width="37.28515625" style="1859" customWidth="1"/>
    <col min="6150" max="6150" width="29.140625" style="1859" customWidth="1"/>
    <col min="6151" max="6151" width="23.28515625" style="1859" customWidth="1"/>
    <col min="6152" max="6152" width="15.140625" style="1859" customWidth="1"/>
    <col min="6153" max="6153" width="16.28515625" style="1859" customWidth="1"/>
    <col min="6154" max="6154" width="14.42578125" style="1859" customWidth="1"/>
    <col min="6155" max="6155" width="21.7109375" style="1859" customWidth="1"/>
    <col min="6156" max="6156" width="9.140625" style="1859"/>
    <col min="6157" max="6157" width="10.28515625" style="1859" bestFit="1" customWidth="1"/>
    <col min="6158" max="6404" width="9.140625" style="1859"/>
    <col min="6405" max="6405" width="37.28515625" style="1859" customWidth="1"/>
    <col min="6406" max="6406" width="29.140625" style="1859" customWidth="1"/>
    <col min="6407" max="6407" width="23.28515625" style="1859" customWidth="1"/>
    <col min="6408" max="6408" width="15.140625" style="1859" customWidth="1"/>
    <col min="6409" max="6409" width="16.28515625" style="1859" customWidth="1"/>
    <col min="6410" max="6410" width="14.42578125" style="1859" customWidth="1"/>
    <col min="6411" max="6411" width="21.7109375" style="1859" customWidth="1"/>
    <col min="6412" max="6412" width="9.140625" style="1859"/>
    <col min="6413" max="6413" width="10.28515625" style="1859" bestFit="1" customWidth="1"/>
    <col min="6414" max="6660" width="9.140625" style="1859"/>
    <col min="6661" max="6661" width="37.28515625" style="1859" customWidth="1"/>
    <col min="6662" max="6662" width="29.140625" style="1859" customWidth="1"/>
    <col min="6663" max="6663" width="23.28515625" style="1859" customWidth="1"/>
    <col min="6664" max="6664" width="15.140625" style="1859" customWidth="1"/>
    <col min="6665" max="6665" width="16.28515625" style="1859" customWidth="1"/>
    <col min="6666" max="6666" width="14.42578125" style="1859" customWidth="1"/>
    <col min="6667" max="6667" width="21.7109375" style="1859" customWidth="1"/>
    <col min="6668" max="6668" width="9.140625" style="1859"/>
    <col min="6669" max="6669" width="10.28515625" style="1859" bestFit="1" customWidth="1"/>
    <col min="6670" max="6916" width="9.140625" style="1859"/>
    <col min="6917" max="6917" width="37.28515625" style="1859" customWidth="1"/>
    <col min="6918" max="6918" width="29.140625" style="1859" customWidth="1"/>
    <col min="6919" max="6919" width="23.28515625" style="1859" customWidth="1"/>
    <col min="6920" max="6920" width="15.140625" style="1859" customWidth="1"/>
    <col min="6921" max="6921" width="16.28515625" style="1859" customWidth="1"/>
    <col min="6922" max="6922" width="14.42578125" style="1859" customWidth="1"/>
    <col min="6923" max="6923" width="21.7109375" style="1859" customWidth="1"/>
    <col min="6924" max="6924" width="9.140625" style="1859"/>
    <col min="6925" max="6925" width="10.28515625" style="1859" bestFit="1" customWidth="1"/>
    <col min="6926" max="7172" width="9.140625" style="1859"/>
    <col min="7173" max="7173" width="37.28515625" style="1859" customWidth="1"/>
    <col min="7174" max="7174" width="29.140625" style="1859" customWidth="1"/>
    <col min="7175" max="7175" width="23.28515625" style="1859" customWidth="1"/>
    <col min="7176" max="7176" width="15.140625" style="1859" customWidth="1"/>
    <col min="7177" max="7177" width="16.28515625" style="1859" customWidth="1"/>
    <col min="7178" max="7178" width="14.42578125" style="1859" customWidth="1"/>
    <col min="7179" max="7179" width="21.7109375" style="1859" customWidth="1"/>
    <col min="7180" max="7180" width="9.140625" style="1859"/>
    <col min="7181" max="7181" width="10.28515625" style="1859" bestFit="1" customWidth="1"/>
    <col min="7182" max="7428" width="9.140625" style="1859"/>
    <col min="7429" max="7429" width="37.28515625" style="1859" customWidth="1"/>
    <col min="7430" max="7430" width="29.140625" style="1859" customWidth="1"/>
    <col min="7431" max="7431" width="23.28515625" style="1859" customWidth="1"/>
    <col min="7432" max="7432" width="15.140625" style="1859" customWidth="1"/>
    <col min="7433" max="7433" width="16.28515625" style="1859" customWidth="1"/>
    <col min="7434" max="7434" width="14.42578125" style="1859" customWidth="1"/>
    <col min="7435" max="7435" width="21.7109375" style="1859" customWidth="1"/>
    <col min="7436" max="7436" width="9.140625" style="1859"/>
    <col min="7437" max="7437" width="10.28515625" style="1859" bestFit="1" customWidth="1"/>
    <col min="7438" max="7684" width="9.140625" style="1859"/>
    <col min="7685" max="7685" width="37.28515625" style="1859" customWidth="1"/>
    <col min="7686" max="7686" width="29.140625" style="1859" customWidth="1"/>
    <col min="7687" max="7687" width="23.28515625" style="1859" customWidth="1"/>
    <col min="7688" max="7688" width="15.140625" style="1859" customWidth="1"/>
    <col min="7689" max="7689" width="16.28515625" style="1859" customWidth="1"/>
    <col min="7690" max="7690" width="14.42578125" style="1859" customWidth="1"/>
    <col min="7691" max="7691" width="21.7109375" style="1859" customWidth="1"/>
    <col min="7692" max="7692" width="9.140625" style="1859"/>
    <col min="7693" max="7693" width="10.28515625" style="1859" bestFit="1" customWidth="1"/>
    <col min="7694" max="7940" width="9.140625" style="1859"/>
    <col min="7941" max="7941" width="37.28515625" style="1859" customWidth="1"/>
    <col min="7942" max="7942" width="29.140625" style="1859" customWidth="1"/>
    <col min="7943" max="7943" width="23.28515625" style="1859" customWidth="1"/>
    <col min="7944" max="7944" width="15.140625" style="1859" customWidth="1"/>
    <col min="7945" max="7945" width="16.28515625" style="1859" customWidth="1"/>
    <col min="7946" max="7946" width="14.42578125" style="1859" customWidth="1"/>
    <col min="7947" max="7947" width="21.7109375" style="1859" customWidth="1"/>
    <col min="7948" max="7948" width="9.140625" style="1859"/>
    <col min="7949" max="7949" width="10.28515625" style="1859" bestFit="1" customWidth="1"/>
    <col min="7950" max="8196" width="9.140625" style="1859"/>
    <col min="8197" max="8197" width="37.28515625" style="1859" customWidth="1"/>
    <col min="8198" max="8198" width="29.140625" style="1859" customWidth="1"/>
    <col min="8199" max="8199" width="23.28515625" style="1859" customWidth="1"/>
    <col min="8200" max="8200" width="15.140625" style="1859" customWidth="1"/>
    <col min="8201" max="8201" width="16.28515625" style="1859" customWidth="1"/>
    <col min="8202" max="8202" width="14.42578125" style="1859" customWidth="1"/>
    <col min="8203" max="8203" width="21.7109375" style="1859" customWidth="1"/>
    <col min="8204" max="8204" width="9.140625" style="1859"/>
    <col min="8205" max="8205" width="10.28515625" style="1859" bestFit="1" customWidth="1"/>
    <col min="8206" max="8452" width="9.140625" style="1859"/>
    <col min="8453" max="8453" width="37.28515625" style="1859" customWidth="1"/>
    <col min="8454" max="8454" width="29.140625" style="1859" customWidth="1"/>
    <col min="8455" max="8455" width="23.28515625" style="1859" customWidth="1"/>
    <col min="8456" max="8456" width="15.140625" style="1859" customWidth="1"/>
    <col min="8457" max="8457" width="16.28515625" style="1859" customWidth="1"/>
    <col min="8458" max="8458" width="14.42578125" style="1859" customWidth="1"/>
    <col min="8459" max="8459" width="21.7109375" style="1859" customWidth="1"/>
    <col min="8460" max="8460" width="9.140625" style="1859"/>
    <col min="8461" max="8461" width="10.28515625" style="1859" bestFit="1" customWidth="1"/>
    <col min="8462" max="8708" width="9.140625" style="1859"/>
    <col min="8709" max="8709" width="37.28515625" style="1859" customWidth="1"/>
    <col min="8710" max="8710" width="29.140625" style="1859" customWidth="1"/>
    <col min="8711" max="8711" width="23.28515625" style="1859" customWidth="1"/>
    <col min="8712" max="8712" width="15.140625" style="1859" customWidth="1"/>
    <col min="8713" max="8713" width="16.28515625" style="1859" customWidth="1"/>
    <col min="8714" max="8714" width="14.42578125" style="1859" customWidth="1"/>
    <col min="8715" max="8715" width="21.7109375" style="1859" customWidth="1"/>
    <col min="8716" max="8716" width="9.140625" style="1859"/>
    <col min="8717" max="8717" width="10.28515625" style="1859" bestFit="1" customWidth="1"/>
    <col min="8718" max="8964" width="9.140625" style="1859"/>
    <col min="8965" max="8965" width="37.28515625" style="1859" customWidth="1"/>
    <col min="8966" max="8966" width="29.140625" style="1859" customWidth="1"/>
    <col min="8967" max="8967" width="23.28515625" style="1859" customWidth="1"/>
    <col min="8968" max="8968" width="15.140625" style="1859" customWidth="1"/>
    <col min="8969" max="8969" width="16.28515625" style="1859" customWidth="1"/>
    <col min="8970" max="8970" width="14.42578125" style="1859" customWidth="1"/>
    <col min="8971" max="8971" width="21.7109375" style="1859" customWidth="1"/>
    <col min="8972" max="8972" width="9.140625" style="1859"/>
    <col min="8973" max="8973" width="10.28515625" style="1859" bestFit="1" customWidth="1"/>
    <col min="8974" max="9220" width="9.140625" style="1859"/>
    <col min="9221" max="9221" width="37.28515625" style="1859" customWidth="1"/>
    <col min="9222" max="9222" width="29.140625" style="1859" customWidth="1"/>
    <col min="9223" max="9223" width="23.28515625" style="1859" customWidth="1"/>
    <col min="9224" max="9224" width="15.140625" style="1859" customWidth="1"/>
    <col min="9225" max="9225" width="16.28515625" style="1859" customWidth="1"/>
    <col min="9226" max="9226" width="14.42578125" style="1859" customWidth="1"/>
    <col min="9227" max="9227" width="21.7109375" style="1859" customWidth="1"/>
    <col min="9228" max="9228" width="9.140625" style="1859"/>
    <col min="9229" max="9229" width="10.28515625" style="1859" bestFit="1" customWidth="1"/>
    <col min="9230" max="9476" width="9.140625" style="1859"/>
    <col min="9477" max="9477" width="37.28515625" style="1859" customWidth="1"/>
    <col min="9478" max="9478" width="29.140625" style="1859" customWidth="1"/>
    <col min="9479" max="9479" width="23.28515625" style="1859" customWidth="1"/>
    <col min="9480" max="9480" width="15.140625" style="1859" customWidth="1"/>
    <col min="9481" max="9481" width="16.28515625" style="1859" customWidth="1"/>
    <col min="9482" max="9482" width="14.42578125" style="1859" customWidth="1"/>
    <col min="9483" max="9483" width="21.7109375" style="1859" customWidth="1"/>
    <col min="9484" max="9484" width="9.140625" style="1859"/>
    <col min="9485" max="9485" width="10.28515625" style="1859" bestFit="1" customWidth="1"/>
    <col min="9486" max="9732" width="9.140625" style="1859"/>
    <col min="9733" max="9733" width="37.28515625" style="1859" customWidth="1"/>
    <col min="9734" max="9734" width="29.140625" style="1859" customWidth="1"/>
    <col min="9735" max="9735" width="23.28515625" style="1859" customWidth="1"/>
    <col min="9736" max="9736" width="15.140625" style="1859" customWidth="1"/>
    <col min="9737" max="9737" width="16.28515625" style="1859" customWidth="1"/>
    <col min="9738" max="9738" width="14.42578125" style="1859" customWidth="1"/>
    <col min="9739" max="9739" width="21.7109375" style="1859" customWidth="1"/>
    <col min="9740" max="9740" width="9.140625" style="1859"/>
    <col min="9741" max="9741" width="10.28515625" style="1859" bestFit="1" customWidth="1"/>
    <col min="9742" max="9988" width="9.140625" style="1859"/>
    <col min="9989" max="9989" width="37.28515625" style="1859" customWidth="1"/>
    <col min="9990" max="9990" width="29.140625" style="1859" customWidth="1"/>
    <col min="9991" max="9991" width="23.28515625" style="1859" customWidth="1"/>
    <col min="9992" max="9992" width="15.140625" style="1859" customWidth="1"/>
    <col min="9993" max="9993" width="16.28515625" style="1859" customWidth="1"/>
    <col min="9994" max="9994" width="14.42578125" style="1859" customWidth="1"/>
    <col min="9995" max="9995" width="21.7109375" style="1859" customWidth="1"/>
    <col min="9996" max="9996" width="9.140625" style="1859"/>
    <col min="9997" max="9997" width="10.28515625" style="1859" bestFit="1" customWidth="1"/>
    <col min="9998" max="10244" width="9.140625" style="1859"/>
    <col min="10245" max="10245" width="37.28515625" style="1859" customWidth="1"/>
    <col min="10246" max="10246" width="29.140625" style="1859" customWidth="1"/>
    <col min="10247" max="10247" width="23.28515625" style="1859" customWidth="1"/>
    <col min="10248" max="10248" width="15.140625" style="1859" customWidth="1"/>
    <col min="10249" max="10249" width="16.28515625" style="1859" customWidth="1"/>
    <col min="10250" max="10250" width="14.42578125" style="1859" customWidth="1"/>
    <col min="10251" max="10251" width="21.7109375" style="1859" customWidth="1"/>
    <col min="10252" max="10252" width="9.140625" style="1859"/>
    <col min="10253" max="10253" width="10.28515625" style="1859" bestFit="1" customWidth="1"/>
    <col min="10254" max="10500" width="9.140625" style="1859"/>
    <col min="10501" max="10501" width="37.28515625" style="1859" customWidth="1"/>
    <col min="10502" max="10502" width="29.140625" style="1859" customWidth="1"/>
    <col min="10503" max="10503" width="23.28515625" style="1859" customWidth="1"/>
    <col min="10504" max="10504" width="15.140625" style="1859" customWidth="1"/>
    <col min="10505" max="10505" width="16.28515625" style="1859" customWidth="1"/>
    <col min="10506" max="10506" width="14.42578125" style="1859" customWidth="1"/>
    <col min="10507" max="10507" width="21.7109375" style="1859" customWidth="1"/>
    <col min="10508" max="10508" width="9.140625" style="1859"/>
    <col min="10509" max="10509" width="10.28515625" style="1859" bestFit="1" customWidth="1"/>
    <col min="10510" max="10756" width="9.140625" style="1859"/>
    <col min="10757" max="10757" width="37.28515625" style="1859" customWidth="1"/>
    <col min="10758" max="10758" width="29.140625" style="1859" customWidth="1"/>
    <col min="10759" max="10759" width="23.28515625" style="1859" customWidth="1"/>
    <col min="10760" max="10760" width="15.140625" style="1859" customWidth="1"/>
    <col min="10761" max="10761" width="16.28515625" style="1859" customWidth="1"/>
    <col min="10762" max="10762" width="14.42578125" style="1859" customWidth="1"/>
    <col min="10763" max="10763" width="21.7109375" style="1859" customWidth="1"/>
    <col min="10764" max="10764" width="9.140625" style="1859"/>
    <col min="10765" max="10765" width="10.28515625" style="1859" bestFit="1" customWidth="1"/>
    <col min="10766" max="11012" width="9.140625" style="1859"/>
    <col min="11013" max="11013" width="37.28515625" style="1859" customWidth="1"/>
    <col min="11014" max="11014" width="29.140625" style="1859" customWidth="1"/>
    <col min="11015" max="11015" width="23.28515625" style="1859" customWidth="1"/>
    <col min="11016" max="11016" width="15.140625" style="1859" customWidth="1"/>
    <col min="11017" max="11017" width="16.28515625" style="1859" customWidth="1"/>
    <col min="11018" max="11018" width="14.42578125" style="1859" customWidth="1"/>
    <col min="11019" max="11019" width="21.7109375" style="1859" customWidth="1"/>
    <col min="11020" max="11020" width="9.140625" style="1859"/>
    <col min="11021" max="11021" width="10.28515625" style="1859" bestFit="1" customWidth="1"/>
    <col min="11022" max="11268" width="9.140625" style="1859"/>
    <col min="11269" max="11269" width="37.28515625" style="1859" customWidth="1"/>
    <col min="11270" max="11270" width="29.140625" style="1859" customWidth="1"/>
    <col min="11271" max="11271" width="23.28515625" style="1859" customWidth="1"/>
    <col min="11272" max="11272" width="15.140625" style="1859" customWidth="1"/>
    <col min="11273" max="11273" width="16.28515625" style="1859" customWidth="1"/>
    <col min="11274" max="11274" width="14.42578125" style="1859" customWidth="1"/>
    <col min="11275" max="11275" width="21.7109375" style="1859" customWidth="1"/>
    <col min="11276" max="11276" width="9.140625" style="1859"/>
    <col min="11277" max="11277" width="10.28515625" style="1859" bestFit="1" customWidth="1"/>
    <col min="11278" max="11524" width="9.140625" style="1859"/>
    <col min="11525" max="11525" width="37.28515625" style="1859" customWidth="1"/>
    <col min="11526" max="11526" width="29.140625" style="1859" customWidth="1"/>
    <col min="11527" max="11527" width="23.28515625" style="1859" customWidth="1"/>
    <col min="11528" max="11528" width="15.140625" style="1859" customWidth="1"/>
    <col min="11529" max="11529" width="16.28515625" style="1859" customWidth="1"/>
    <col min="11530" max="11530" width="14.42578125" style="1859" customWidth="1"/>
    <col min="11531" max="11531" width="21.7109375" style="1859" customWidth="1"/>
    <col min="11532" max="11532" width="9.140625" style="1859"/>
    <col min="11533" max="11533" width="10.28515625" style="1859" bestFit="1" customWidth="1"/>
    <col min="11534" max="11780" width="9.140625" style="1859"/>
    <col min="11781" max="11781" width="37.28515625" style="1859" customWidth="1"/>
    <col min="11782" max="11782" width="29.140625" style="1859" customWidth="1"/>
    <col min="11783" max="11783" width="23.28515625" style="1859" customWidth="1"/>
    <col min="11784" max="11784" width="15.140625" style="1859" customWidth="1"/>
    <col min="11785" max="11785" width="16.28515625" style="1859" customWidth="1"/>
    <col min="11786" max="11786" width="14.42578125" style="1859" customWidth="1"/>
    <col min="11787" max="11787" width="21.7109375" style="1859" customWidth="1"/>
    <col min="11788" max="11788" width="9.140625" style="1859"/>
    <col min="11789" max="11789" width="10.28515625" style="1859" bestFit="1" customWidth="1"/>
    <col min="11790" max="12036" width="9.140625" style="1859"/>
    <col min="12037" max="12037" width="37.28515625" style="1859" customWidth="1"/>
    <col min="12038" max="12038" width="29.140625" style="1859" customWidth="1"/>
    <col min="12039" max="12039" width="23.28515625" style="1859" customWidth="1"/>
    <col min="12040" max="12040" width="15.140625" style="1859" customWidth="1"/>
    <col min="12041" max="12041" width="16.28515625" style="1859" customWidth="1"/>
    <col min="12042" max="12042" width="14.42578125" style="1859" customWidth="1"/>
    <col min="12043" max="12043" width="21.7109375" style="1859" customWidth="1"/>
    <col min="12044" max="12044" width="9.140625" style="1859"/>
    <col min="12045" max="12045" width="10.28515625" style="1859" bestFit="1" customWidth="1"/>
    <col min="12046" max="12292" width="9.140625" style="1859"/>
    <col min="12293" max="12293" width="37.28515625" style="1859" customWidth="1"/>
    <col min="12294" max="12294" width="29.140625" style="1859" customWidth="1"/>
    <col min="12295" max="12295" width="23.28515625" style="1859" customWidth="1"/>
    <col min="12296" max="12296" width="15.140625" style="1859" customWidth="1"/>
    <col min="12297" max="12297" width="16.28515625" style="1859" customWidth="1"/>
    <col min="12298" max="12298" width="14.42578125" style="1859" customWidth="1"/>
    <col min="12299" max="12299" width="21.7109375" style="1859" customWidth="1"/>
    <col min="12300" max="12300" width="9.140625" style="1859"/>
    <col min="12301" max="12301" width="10.28515625" style="1859" bestFit="1" customWidth="1"/>
    <col min="12302" max="12548" width="9.140625" style="1859"/>
    <col min="12549" max="12549" width="37.28515625" style="1859" customWidth="1"/>
    <col min="12550" max="12550" width="29.140625" style="1859" customWidth="1"/>
    <col min="12551" max="12551" width="23.28515625" style="1859" customWidth="1"/>
    <col min="12552" max="12552" width="15.140625" style="1859" customWidth="1"/>
    <col min="12553" max="12553" width="16.28515625" style="1859" customWidth="1"/>
    <col min="12554" max="12554" width="14.42578125" style="1859" customWidth="1"/>
    <col min="12555" max="12555" width="21.7109375" style="1859" customWidth="1"/>
    <col min="12556" max="12556" width="9.140625" style="1859"/>
    <col min="12557" max="12557" width="10.28515625" style="1859" bestFit="1" customWidth="1"/>
    <col min="12558" max="12804" width="9.140625" style="1859"/>
    <col min="12805" max="12805" width="37.28515625" style="1859" customWidth="1"/>
    <col min="12806" max="12806" width="29.140625" style="1859" customWidth="1"/>
    <col min="12807" max="12807" width="23.28515625" style="1859" customWidth="1"/>
    <col min="12808" max="12808" width="15.140625" style="1859" customWidth="1"/>
    <col min="12809" max="12809" width="16.28515625" style="1859" customWidth="1"/>
    <col min="12810" max="12810" width="14.42578125" style="1859" customWidth="1"/>
    <col min="12811" max="12811" width="21.7109375" style="1859" customWidth="1"/>
    <col min="12812" max="12812" width="9.140625" style="1859"/>
    <col min="12813" max="12813" width="10.28515625" style="1859" bestFit="1" customWidth="1"/>
    <col min="12814" max="13060" width="9.140625" style="1859"/>
    <col min="13061" max="13061" width="37.28515625" style="1859" customWidth="1"/>
    <col min="13062" max="13062" width="29.140625" style="1859" customWidth="1"/>
    <col min="13063" max="13063" width="23.28515625" style="1859" customWidth="1"/>
    <col min="13064" max="13064" width="15.140625" style="1859" customWidth="1"/>
    <col min="13065" max="13065" width="16.28515625" style="1859" customWidth="1"/>
    <col min="13066" max="13066" width="14.42578125" style="1859" customWidth="1"/>
    <col min="13067" max="13067" width="21.7109375" style="1859" customWidth="1"/>
    <col min="13068" max="13068" width="9.140625" style="1859"/>
    <col min="13069" max="13069" width="10.28515625" style="1859" bestFit="1" customWidth="1"/>
    <col min="13070" max="13316" width="9.140625" style="1859"/>
    <col min="13317" max="13317" width="37.28515625" style="1859" customWidth="1"/>
    <col min="13318" max="13318" width="29.140625" style="1859" customWidth="1"/>
    <col min="13319" max="13319" width="23.28515625" style="1859" customWidth="1"/>
    <col min="13320" max="13320" width="15.140625" style="1859" customWidth="1"/>
    <col min="13321" max="13321" width="16.28515625" style="1859" customWidth="1"/>
    <col min="13322" max="13322" width="14.42578125" style="1859" customWidth="1"/>
    <col min="13323" max="13323" width="21.7109375" style="1859" customWidth="1"/>
    <col min="13324" max="13324" width="9.140625" style="1859"/>
    <col min="13325" max="13325" width="10.28515625" style="1859" bestFit="1" customWidth="1"/>
    <col min="13326" max="13572" width="9.140625" style="1859"/>
    <col min="13573" max="13573" width="37.28515625" style="1859" customWidth="1"/>
    <col min="13574" max="13574" width="29.140625" style="1859" customWidth="1"/>
    <col min="13575" max="13575" width="23.28515625" style="1859" customWidth="1"/>
    <col min="13576" max="13576" width="15.140625" style="1859" customWidth="1"/>
    <col min="13577" max="13577" width="16.28515625" style="1859" customWidth="1"/>
    <col min="13578" max="13578" width="14.42578125" style="1859" customWidth="1"/>
    <col min="13579" max="13579" width="21.7109375" style="1859" customWidth="1"/>
    <col min="13580" max="13580" width="9.140625" style="1859"/>
    <col min="13581" max="13581" width="10.28515625" style="1859" bestFit="1" customWidth="1"/>
    <col min="13582" max="13828" width="9.140625" style="1859"/>
    <col min="13829" max="13829" width="37.28515625" style="1859" customWidth="1"/>
    <col min="13830" max="13830" width="29.140625" style="1859" customWidth="1"/>
    <col min="13831" max="13831" width="23.28515625" style="1859" customWidth="1"/>
    <col min="13832" max="13832" width="15.140625" style="1859" customWidth="1"/>
    <col min="13833" max="13833" width="16.28515625" style="1859" customWidth="1"/>
    <col min="13834" max="13834" width="14.42578125" style="1859" customWidth="1"/>
    <col min="13835" max="13835" width="21.7109375" style="1859" customWidth="1"/>
    <col min="13836" max="13836" width="9.140625" style="1859"/>
    <col min="13837" max="13837" width="10.28515625" style="1859" bestFit="1" customWidth="1"/>
    <col min="13838" max="14084" width="9.140625" style="1859"/>
    <col min="14085" max="14085" width="37.28515625" style="1859" customWidth="1"/>
    <col min="14086" max="14086" width="29.140625" style="1859" customWidth="1"/>
    <col min="14087" max="14087" width="23.28515625" style="1859" customWidth="1"/>
    <col min="14088" max="14088" width="15.140625" style="1859" customWidth="1"/>
    <col min="14089" max="14089" width="16.28515625" style="1859" customWidth="1"/>
    <col min="14090" max="14090" width="14.42578125" style="1859" customWidth="1"/>
    <col min="14091" max="14091" width="21.7109375" style="1859" customWidth="1"/>
    <col min="14092" max="14092" width="9.140625" style="1859"/>
    <col min="14093" max="14093" width="10.28515625" style="1859" bestFit="1" customWidth="1"/>
    <col min="14094" max="14340" width="9.140625" style="1859"/>
    <col min="14341" max="14341" width="37.28515625" style="1859" customWidth="1"/>
    <col min="14342" max="14342" width="29.140625" style="1859" customWidth="1"/>
    <col min="14343" max="14343" width="23.28515625" style="1859" customWidth="1"/>
    <col min="14344" max="14344" width="15.140625" style="1859" customWidth="1"/>
    <col min="14345" max="14345" width="16.28515625" style="1859" customWidth="1"/>
    <col min="14346" max="14346" width="14.42578125" style="1859" customWidth="1"/>
    <col min="14347" max="14347" width="21.7109375" style="1859" customWidth="1"/>
    <col min="14348" max="14348" width="9.140625" style="1859"/>
    <col min="14349" max="14349" width="10.28515625" style="1859" bestFit="1" customWidth="1"/>
    <col min="14350" max="14596" width="9.140625" style="1859"/>
    <col min="14597" max="14597" width="37.28515625" style="1859" customWidth="1"/>
    <col min="14598" max="14598" width="29.140625" style="1859" customWidth="1"/>
    <col min="14599" max="14599" width="23.28515625" style="1859" customWidth="1"/>
    <col min="14600" max="14600" width="15.140625" style="1859" customWidth="1"/>
    <col min="14601" max="14601" width="16.28515625" style="1859" customWidth="1"/>
    <col min="14602" max="14602" width="14.42578125" style="1859" customWidth="1"/>
    <col min="14603" max="14603" width="21.7109375" style="1859" customWidth="1"/>
    <col min="14604" max="14604" width="9.140625" style="1859"/>
    <col min="14605" max="14605" width="10.28515625" style="1859" bestFit="1" customWidth="1"/>
    <col min="14606" max="14852" width="9.140625" style="1859"/>
    <col min="14853" max="14853" width="37.28515625" style="1859" customWidth="1"/>
    <col min="14854" max="14854" width="29.140625" style="1859" customWidth="1"/>
    <col min="14855" max="14855" width="23.28515625" style="1859" customWidth="1"/>
    <col min="14856" max="14856" width="15.140625" style="1859" customWidth="1"/>
    <col min="14857" max="14857" width="16.28515625" style="1859" customWidth="1"/>
    <col min="14858" max="14858" width="14.42578125" style="1859" customWidth="1"/>
    <col min="14859" max="14859" width="21.7109375" style="1859" customWidth="1"/>
    <col min="14860" max="14860" width="9.140625" style="1859"/>
    <col min="14861" max="14861" width="10.28515625" style="1859" bestFit="1" customWidth="1"/>
    <col min="14862" max="15108" width="9.140625" style="1859"/>
    <col min="15109" max="15109" width="37.28515625" style="1859" customWidth="1"/>
    <col min="15110" max="15110" width="29.140625" style="1859" customWidth="1"/>
    <col min="15111" max="15111" width="23.28515625" style="1859" customWidth="1"/>
    <col min="15112" max="15112" width="15.140625" style="1859" customWidth="1"/>
    <col min="15113" max="15113" width="16.28515625" style="1859" customWidth="1"/>
    <col min="15114" max="15114" width="14.42578125" style="1859" customWidth="1"/>
    <col min="15115" max="15115" width="21.7109375" style="1859" customWidth="1"/>
    <col min="15116" max="15116" width="9.140625" style="1859"/>
    <col min="15117" max="15117" width="10.28515625" style="1859" bestFit="1" customWidth="1"/>
    <col min="15118" max="15364" width="9.140625" style="1859"/>
    <col min="15365" max="15365" width="37.28515625" style="1859" customWidth="1"/>
    <col min="15366" max="15366" width="29.140625" style="1859" customWidth="1"/>
    <col min="15367" max="15367" width="23.28515625" style="1859" customWidth="1"/>
    <col min="15368" max="15368" width="15.140625" style="1859" customWidth="1"/>
    <col min="15369" max="15369" width="16.28515625" style="1859" customWidth="1"/>
    <col min="15370" max="15370" width="14.42578125" style="1859" customWidth="1"/>
    <col min="15371" max="15371" width="21.7109375" style="1859" customWidth="1"/>
    <col min="15372" max="15372" width="9.140625" style="1859"/>
    <col min="15373" max="15373" width="10.28515625" style="1859" bestFit="1" customWidth="1"/>
    <col min="15374" max="15620" width="9.140625" style="1859"/>
    <col min="15621" max="15621" width="37.28515625" style="1859" customWidth="1"/>
    <col min="15622" max="15622" width="29.140625" style="1859" customWidth="1"/>
    <col min="15623" max="15623" width="23.28515625" style="1859" customWidth="1"/>
    <col min="15624" max="15624" width="15.140625" style="1859" customWidth="1"/>
    <col min="15625" max="15625" width="16.28515625" style="1859" customWidth="1"/>
    <col min="15626" max="15626" width="14.42578125" style="1859" customWidth="1"/>
    <col min="15627" max="15627" width="21.7109375" style="1859" customWidth="1"/>
    <col min="15628" max="15628" width="9.140625" style="1859"/>
    <col min="15629" max="15629" width="10.28515625" style="1859" bestFit="1" customWidth="1"/>
    <col min="15630" max="15876" width="9.140625" style="1859"/>
    <col min="15877" max="15877" width="37.28515625" style="1859" customWidth="1"/>
    <col min="15878" max="15878" width="29.140625" style="1859" customWidth="1"/>
    <col min="15879" max="15879" width="23.28515625" style="1859" customWidth="1"/>
    <col min="15880" max="15880" width="15.140625" style="1859" customWidth="1"/>
    <col min="15881" max="15881" width="16.28515625" style="1859" customWidth="1"/>
    <col min="15882" max="15882" width="14.42578125" style="1859" customWidth="1"/>
    <col min="15883" max="15883" width="21.7109375" style="1859" customWidth="1"/>
    <col min="15884" max="15884" width="9.140625" style="1859"/>
    <col min="15885" max="15885" width="10.28515625" style="1859" bestFit="1" customWidth="1"/>
    <col min="15886" max="16132" width="9.140625" style="1859"/>
    <col min="16133" max="16133" width="37.28515625" style="1859" customWidth="1"/>
    <col min="16134" max="16134" width="29.140625" style="1859" customWidth="1"/>
    <col min="16135" max="16135" width="23.28515625" style="1859" customWidth="1"/>
    <col min="16136" max="16136" width="15.140625" style="1859" customWidth="1"/>
    <col min="16137" max="16137" width="16.28515625" style="1859" customWidth="1"/>
    <col min="16138" max="16138" width="14.42578125" style="1859" customWidth="1"/>
    <col min="16139" max="16139" width="21.7109375" style="1859" customWidth="1"/>
    <col min="16140" max="16140" width="9.140625" style="1859"/>
    <col min="16141" max="16141" width="10.28515625" style="1859" bestFit="1" customWidth="1"/>
    <col min="16142" max="16384" width="9.140625" style="1859"/>
  </cols>
  <sheetData>
    <row r="1" spans="1:32" ht="41.25" customHeight="1" x14ac:dyDescent="0.25">
      <c r="A1" s="2013" t="s">
        <v>2621</v>
      </c>
      <c r="B1" s="2014"/>
      <c r="C1" s="2014"/>
      <c r="D1" s="2014"/>
      <c r="E1" s="2014"/>
      <c r="F1" s="2014"/>
      <c r="G1" s="2014"/>
      <c r="H1" s="2014"/>
      <c r="I1" s="2014"/>
      <c r="J1" s="2014"/>
      <c r="K1" s="2014"/>
      <c r="L1" s="2014"/>
      <c r="M1" s="2014"/>
      <c r="N1" s="2014"/>
      <c r="O1" s="2014"/>
      <c r="P1" s="2014"/>
      <c r="Q1" s="2014"/>
      <c r="R1" s="2014"/>
      <c r="S1" s="2014"/>
      <c r="T1" s="2014"/>
    </row>
    <row r="2" spans="1:32" ht="25.5" hidden="1" customHeight="1" x14ac:dyDescent="0.25">
      <c r="A2" s="2015" t="s">
        <v>2771</v>
      </c>
      <c r="B2" s="2015"/>
      <c r="C2" s="2015"/>
      <c r="D2" s="2015"/>
      <c r="E2" s="2015"/>
      <c r="F2" s="2015"/>
      <c r="G2" s="2015"/>
      <c r="H2" s="2015"/>
      <c r="I2" s="2015"/>
      <c r="J2" s="2015"/>
      <c r="K2" s="2015"/>
      <c r="L2" s="2015"/>
      <c r="M2" s="2015"/>
      <c r="N2" s="2015"/>
      <c r="O2" s="2015"/>
      <c r="P2" s="2015"/>
      <c r="Q2" s="2015"/>
      <c r="R2" s="2015"/>
      <c r="S2" s="2015"/>
      <c r="T2" s="2015"/>
    </row>
    <row r="3" spans="1:32" ht="26.25" hidden="1" customHeight="1" x14ac:dyDescent="0.25">
      <c r="A3" s="2016" t="s">
        <v>3467</v>
      </c>
      <c r="B3" s="2016"/>
      <c r="C3" s="2016"/>
      <c r="D3" s="2016"/>
      <c r="E3" s="2016"/>
      <c r="F3" s="2016"/>
      <c r="G3" s="2016"/>
      <c r="H3" s="2016"/>
      <c r="I3" s="2016"/>
      <c r="J3" s="2016"/>
      <c r="K3" s="2016"/>
      <c r="L3" s="2016"/>
      <c r="M3" s="2016"/>
      <c r="N3" s="2016"/>
      <c r="O3" s="2016"/>
      <c r="P3" s="2016"/>
      <c r="Q3" s="2016"/>
      <c r="R3" s="2016"/>
      <c r="S3" s="2016"/>
      <c r="T3" s="2016"/>
    </row>
    <row r="4" spans="1:32" ht="30" customHeight="1" x14ac:dyDescent="0.25">
      <c r="A4" s="2015" t="s">
        <v>3474</v>
      </c>
      <c r="B4" s="2015"/>
      <c r="C4" s="2015"/>
      <c r="D4" s="2015"/>
      <c r="E4" s="2015"/>
      <c r="F4" s="2015"/>
      <c r="G4" s="2015"/>
      <c r="H4" s="2015"/>
      <c r="I4" s="2015"/>
      <c r="J4" s="2015"/>
      <c r="K4" s="2015"/>
      <c r="L4" s="2015"/>
      <c r="M4" s="2015"/>
      <c r="N4" s="2015"/>
      <c r="O4" s="2015"/>
      <c r="P4" s="2015"/>
      <c r="Q4" s="2015"/>
      <c r="R4" s="2015"/>
      <c r="S4" s="2015"/>
      <c r="T4" s="2015"/>
    </row>
    <row r="5" spans="1:32" ht="26.25" hidden="1" customHeight="1" x14ac:dyDescent="0.25">
      <c r="A5" s="2016" t="s">
        <v>2768</v>
      </c>
      <c r="B5" s="2016"/>
      <c r="C5" s="2016"/>
      <c r="D5" s="2016"/>
      <c r="E5" s="2016"/>
      <c r="F5" s="2016"/>
      <c r="G5" s="2016"/>
      <c r="H5" s="2016"/>
      <c r="I5" s="2016"/>
      <c r="J5" s="2016"/>
      <c r="K5" s="2016"/>
      <c r="L5" s="2016"/>
      <c r="M5" s="2016"/>
      <c r="N5" s="2016"/>
      <c r="O5" s="2016"/>
      <c r="P5" s="2016"/>
      <c r="Q5" s="2016"/>
      <c r="R5" s="2016"/>
      <c r="S5" s="2016"/>
      <c r="T5" s="2016"/>
    </row>
    <row r="6" spans="1:32" ht="13.5" customHeight="1" x14ac:dyDescent="0.25">
      <c r="A6" s="1860"/>
      <c r="B6" s="1860"/>
      <c r="C6" s="1860"/>
      <c r="D6" s="1860"/>
      <c r="E6" s="1860"/>
      <c r="F6" s="1860"/>
      <c r="G6" s="1860"/>
      <c r="H6" s="1860"/>
      <c r="I6" s="1860"/>
      <c r="J6" s="1860"/>
      <c r="K6" s="1860"/>
      <c r="L6" s="1860"/>
      <c r="M6" s="1860"/>
      <c r="N6" s="1860"/>
      <c r="O6" s="1860"/>
      <c r="P6" s="1860"/>
      <c r="Q6" s="1860"/>
      <c r="R6" s="1860"/>
      <c r="S6" s="1860"/>
      <c r="T6" s="1860"/>
    </row>
    <row r="7" spans="1:32" ht="20.25" x14ac:dyDescent="0.25">
      <c r="T7" s="1862" t="s">
        <v>6</v>
      </c>
    </row>
    <row r="8" spans="1:32" s="722" customFormat="1" ht="26.25" customHeight="1" x14ac:dyDescent="0.25">
      <c r="A8" s="2018" t="s">
        <v>7</v>
      </c>
      <c r="B8" s="2018" t="s">
        <v>1930</v>
      </c>
      <c r="C8" s="2018" t="s">
        <v>1931</v>
      </c>
      <c r="D8" s="2018" t="s">
        <v>1932</v>
      </c>
      <c r="E8" s="2018"/>
      <c r="F8" s="2018" t="s">
        <v>1933</v>
      </c>
      <c r="G8" s="2018"/>
      <c r="H8" s="2018" t="s">
        <v>1934</v>
      </c>
      <c r="I8" s="2018"/>
      <c r="J8" s="2018" t="s">
        <v>1935</v>
      </c>
      <c r="K8" s="2018"/>
      <c r="L8" s="2018"/>
      <c r="M8" s="2018"/>
      <c r="N8" s="2018"/>
      <c r="O8" s="2018"/>
      <c r="P8" s="2018"/>
      <c r="Q8" s="2018"/>
      <c r="R8" s="2018"/>
      <c r="S8" s="2018"/>
      <c r="T8" s="2018" t="s">
        <v>1937</v>
      </c>
    </row>
    <row r="9" spans="1:32" s="722" customFormat="1" ht="24.75" customHeight="1" x14ac:dyDescent="0.25">
      <c r="A9" s="2018"/>
      <c r="B9" s="2018"/>
      <c r="C9" s="2018"/>
      <c r="D9" s="2018" t="s">
        <v>1938</v>
      </c>
      <c r="E9" s="1881"/>
      <c r="F9" s="1882"/>
      <c r="G9" s="1882"/>
      <c r="H9" s="1882"/>
      <c r="I9" s="1882"/>
      <c r="J9" s="2019" t="s">
        <v>1938</v>
      </c>
      <c r="K9" s="2021" t="s">
        <v>49</v>
      </c>
      <c r="L9" s="2021"/>
      <c r="M9" s="2021"/>
      <c r="N9" s="2021"/>
      <c r="O9" s="2021"/>
      <c r="P9" s="2021"/>
      <c r="Q9" s="2021"/>
      <c r="R9" s="2021"/>
      <c r="S9" s="2021"/>
      <c r="T9" s="2018"/>
    </row>
    <row r="10" spans="1:32" s="722" customFormat="1" ht="374.25" customHeight="1" x14ac:dyDescent="0.25">
      <c r="A10" s="2018"/>
      <c r="B10" s="2018"/>
      <c r="C10" s="2018"/>
      <c r="D10" s="2018"/>
      <c r="E10" s="1882" t="s">
        <v>1939</v>
      </c>
      <c r="F10" s="1882" t="s">
        <v>1940</v>
      </c>
      <c r="G10" s="1882" t="s">
        <v>1941</v>
      </c>
      <c r="H10" s="1882" t="s">
        <v>1940</v>
      </c>
      <c r="I10" s="1882" t="s">
        <v>1941</v>
      </c>
      <c r="J10" s="2020"/>
      <c r="K10" s="1883" t="s">
        <v>3146</v>
      </c>
      <c r="L10" s="1883" t="s">
        <v>3147</v>
      </c>
      <c r="M10" s="1883" t="s">
        <v>2644</v>
      </c>
      <c r="N10" s="1883" t="s">
        <v>2141</v>
      </c>
      <c r="O10" s="1777" t="s">
        <v>3149</v>
      </c>
      <c r="P10" s="1883" t="s">
        <v>2421</v>
      </c>
      <c r="Q10" s="1883" t="s">
        <v>2722</v>
      </c>
      <c r="R10" s="1883" t="s">
        <v>3148</v>
      </c>
      <c r="S10" s="1777" t="s">
        <v>3150</v>
      </c>
      <c r="T10" s="2018"/>
    </row>
    <row r="11" spans="1:32" s="1863" customFormat="1" ht="24.6" customHeight="1" x14ac:dyDescent="0.25">
      <c r="A11" s="1884"/>
      <c r="B11" s="1885" t="s">
        <v>1945</v>
      </c>
      <c r="C11" s="1886">
        <f t="shared" ref="C11:I11" si="0">C12+C26+C32</f>
        <v>7230000</v>
      </c>
      <c r="D11" s="1886" t="e">
        <f t="shared" si="0"/>
        <v>#REF!</v>
      </c>
      <c r="E11" s="1887" t="e">
        <f t="shared" si="0"/>
        <v>#REF!</v>
      </c>
      <c r="F11" s="1887" t="e">
        <f t="shared" si="0"/>
        <v>#REF!</v>
      </c>
      <c r="G11" s="1887" t="e">
        <f t="shared" si="0"/>
        <v>#REF!</v>
      </c>
      <c r="H11" s="1887" t="e">
        <f t="shared" si="0"/>
        <v>#REF!</v>
      </c>
      <c r="I11" s="1887" t="e">
        <f t="shared" si="0"/>
        <v>#REF!</v>
      </c>
      <c r="J11" s="1887">
        <f>J12+J26+J32+J33</f>
        <v>11438923.1</v>
      </c>
      <c r="K11" s="1887">
        <f>2596720+247000+7806</f>
        <v>2851526</v>
      </c>
      <c r="L11" s="1887">
        <f>7135000+152403-7806</f>
        <v>7279597</v>
      </c>
      <c r="M11" s="1887">
        <f t="shared" ref="M11:R11" si="1">M12+M26+M32</f>
        <v>155900</v>
      </c>
      <c r="N11" s="1887">
        <f t="shared" si="1"/>
        <v>150000</v>
      </c>
      <c r="O11" s="1887">
        <f t="shared" si="1"/>
        <v>180000</v>
      </c>
      <c r="P11" s="1887">
        <f t="shared" si="1"/>
        <v>307000</v>
      </c>
      <c r="Q11" s="1887">
        <f t="shared" si="1"/>
        <v>138600</v>
      </c>
      <c r="R11" s="1887">
        <f t="shared" si="1"/>
        <v>230000</v>
      </c>
      <c r="S11" s="1887">
        <f>S33</f>
        <v>146300</v>
      </c>
      <c r="T11" s="1884"/>
      <c r="V11" s="727">
        <f>1192000-K11</f>
        <v>-1659526</v>
      </c>
      <c r="X11" s="1864">
        <f>P11+M11+L11+K11</f>
        <v>10594023</v>
      </c>
      <c r="Y11" s="1865">
        <f>6068000-L11</f>
        <v>-1211597</v>
      </c>
      <c r="Z11" s="1865">
        <v>11438923.1</v>
      </c>
      <c r="AA11" s="1865">
        <v>10894023</v>
      </c>
      <c r="AB11" s="1865">
        <f>Z11-J11</f>
        <v>0</v>
      </c>
      <c r="AC11" s="1865"/>
      <c r="AE11" s="1865">
        <f>J26+J12</f>
        <v>11292623.1</v>
      </c>
    </row>
    <row r="12" spans="1:32" s="1863" customFormat="1" ht="24.6" customHeight="1" x14ac:dyDescent="0.25">
      <c r="A12" s="1884" t="s">
        <v>43</v>
      </c>
      <c r="B12" s="1885" t="s">
        <v>1946</v>
      </c>
      <c r="C12" s="1886">
        <f>C13+C14+C25</f>
        <v>4720000</v>
      </c>
      <c r="D12" s="1886" t="e">
        <f>D13+D14+D25+#REF!</f>
        <v>#REF!</v>
      </c>
      <c r="E12" s="1887" t="e">
        <f>E13+E14+E25+#REF!</f>
        <v>#REF!</v>
      </c>
      <c r="F12" s="1887" t="e">
        <f>F13+F14+F25+#REF!</f>
        <v>#REF!</v>
      </c>
      <c r="G12" s="1887" t="e">
        <f>G13+G14+G25+#REF!</f>
        <v>#REF!</v>
      </c>
      <c r="H12" s="1887" t="e">
        <f>H13+H14+H25+#REF!</f>
        <v>#REF!</v>
      </c>
      <c r="I12" s="1887" t="e">
        <f>I13+I14+I25+#REF!</f>
        <v>#REF!</v>
      </c>
      <c r="J12" s="1888">
        <f t="shared" ref="J12:Q12" si="2">J13+J14+J24+J25</f>
        <v>6858343.0999999996</v>
      </c>
      <c r="K12" s="1888">
        <f t="shared" si="2"/>
        <v>1543019</v>
      </c>
      <c r="L12" s="1888">
        <f t="shared" si="2"/>
        <v>4283824.0999999996</v>
      </c>
      <c r="M12" s="1888">
        <f t="shared" si="2"/>
        <v>155900</v>
      </c>
      <c r="N12" s="1888">
        <f t="shared" si="2"/>
        <v>150000</v>
      </c>
      <c r="O12" s="1888">
        <f t="shared" si="2"/>
        <v>150000</v>
      </c>
      <c r="P12" s="1888">
        <f t="shared" si="2"/>
        <v>207000</v>
      </c>
      <c r="Q12" s="1888">
        <f t="shared" si="2"/>
        <v>138600</v>
      </c>
      <c r="R12" s="1888">
        <f>R14</f>
        <v>230000</v>
      </c>
      <c r="S12" s="1888"/>
      <c r="T12" s="1884" t="s">
        <v>0</v>
      </c>
      <c r="V12" s="727"/>
      <c r="X12" s="1864">
        <f>P12+M12+L12+K12</f>
        <v>6189743.0999999996</v>
      </c>
      <c r="Y12" s="1865"/>
      <c r="Z12" s="1863">
        <v>6858343.0999999996</v>
      </c>
      <c r="AA12" s="1865"/>
      <c r="AB12" s="1865">
        <f t="shared" ref="AB12:AB26" si="3">Z12-J12</f>
        <v>0</v>
      </c>
      <c r="AC12" s="1865">
        <v>1547019</v>
      </c>
      <c r="AD12" s="1863">
        <v>4279824.0999999996</v>
      </c>
      <c r="AE12" s="1865">
        <f>AE11+J33</f>
        <v>11438923.1</v>
      </c>
      <c r="AF12" s="1865">
        <f>Z11-AE12</f>
        <v>0</v>
      </c>
    </row>
    <row r="13" spans="1:32" s="1863" customFormat="1" ht="24.6" customHeight="1" x14ac:dyDescent="0.25">
      <c r="A13" s="1884" t="s">
        <v>39</v>
      </c>
      <c r="B13" s="1885" t="s">
        <v>40</v>
      </c>
      <c r="C13" s="1886">
        <v>145000</v>
      </c>
      <c r="D13" s="1886">
        <f>'[1]TH VON (ub)'!D12</f>
        <v>145000</v>
      </c>
      <c r="E13" s="1887"/>
      <c r="F13" s="1887"/>
      <c r="G13" s="1887"/>
      <c r="H13" s="1887"/>
      <c r="I13" s="1887"/>
      <c r="J13" s="1888">
        <f>'DC TINH (NQ)'!Y17</f>
        <v>168000</v>
      </c>
      <c r="K13" s="1888">
        <v>80000</v>
      </c>
      <c r="L13" s="1888">
        <v>88000</v>
      </c>
      <c r="M13" s="1888"/>
      <c r="N13" s="1888"/>
      <c r="O13" s="1888"/>
      <c r="P13" s="1888"/>
      <c r="Q13" s="1888"/>
      <c r="R13" s="1887"/>
      <c r="S13" s="1887"/>
      <c r="T13" s="1884"/>
      <c r="V13" s="727"/>
      <c r="X13" s="1864">
        <f>P13+M13+L13+K13</f>
        <v>168000</v>
      </c>
      <c r="Y13" s="1865"/>
      <c r="Z13" s="1863">
        <v>168000</v>
      </c>
      <c r="AA13" s="1865"/>
      <c r="AB13" s="1865">
        <f t="shared" si="3"/>
        <v>0</v>
      </c>
      <c r="AC13" s="1865">
        <v>80000</v>
      </c>
      <c r="AD13" s="1863">
        <v>88000</v>
      </c>
    </row>
    <row r="14" spans="1:32" s="1863" customFormat="1" ht="24.6" customHeight="1" x14ac:dyDescent="0.25">
      <c r="A14" s="1884" t="s">
        <v>41</v>
      </c>
      <c r="B14" s="1885" t="s">
        <v>1947</v>
      </c>
      <c r="C14" s="1886">
        <f>SUM(C15:C23)</f>
        <v>3853000</v>
      </c>
      <c r="D14" s="1886">
        <f>SUM(D15:D23)</f>
        <v>3620500</v>
      </c>
      <c r="E14" s="1887">
        <f>SUM(E15:E23)</f>
        <v>1123660.3999999999</v>
      </c>
      <c r="F14" s="1887">
        <f>SUM(F15:F23)</f>
        <v>2549469</v>
      </c>
      <c r="G14" s="1887">
        <f>SUM(G15:G23)</f>
        <v>376436.4</v>
      </c>
      <c r="H14" s="1887">
        <f t="shared" ref="H14:I14" si="4">SUM(H15:H23)</f>
        <v>1137166</v>
      </c>
      <c r="I14" s="1887">
        <f t="shared" si="4"/>
        <v>376436.4</v>
      </c>
      <c r="J14" s="1888">
        <f>SUM(K14:S14)</f>
        <v>6499979.0999999996</v>
      </c>
      <c r="K14" s="1888">
        <f t="shared" ref="K14:Q14" si="5">SUM(K15:K23)</f>
        <v>1374199</v>
      </c>
      <c r="L14" s="1888">
        <f t="shared" si="5"/>
        <v>4094280.1</v>
      </c>
      <c r="M14" s="1888">
        <f t="shared" si="5"/>
        <v>155900</v>
      </c>
      <c r="N14" s="1888">
        <f>N15+N16</f>
        <v>150000</v>
      </c>
      <c r="O14" s="1888">
        <f t="shared" si="5"/>
        <v>150000</v>
      </c>
      <c r="P14" s="1888">
        <f t="shared" si="5"/>
        <v>207000</v>
      </c>
      <c r="Q14" s="1888">
        <f t="shared" si="5"/>
        <v>138600</v>
      </c>
      <c r="R14" s="1888">
        <f t="shared" ref="R14" si="6">SUM(R15:R23)</f>
        <v>230000</v>
      </c>
      <c r="S14" s="1888"/>
      <c r="T14" s="1924">
        <f>SUM(T15:T23)</f>
        <v>6499979.0999999996</v>
      </c>
      <c r="U14" s="1864">
        <f>T14+J24+J13</f>
        <v>6858343.0999999996</v>
      </c>
      <c r="V14" s="727"/>
      <c r="X14" s="1864">
        <f>P14+M14+L14+K14</f>
        <v>5831379.0999999996</v>
      </c>
      <c r="Y14" s="1865"/>
      <c r="Z14" s="1865">
        <v>6501523.0999999996</v>
      </c>
      <c r="AB14" s="1865">
        <f t="shared" si="3"/>
        <v>1544</v>
      </c>
      <c r="AC14" s="1865">
        <v>1378199</v>
      </c>
      <c r="AD14" s="1865">
        <v>4091824.1</v>
      </c>
    </row>
    <row r="15" spans="1:32" s="722" customFormat="1" ht="27.75" customHeight="1" x14ac:dyDescent="0.25">
      <c r="A15" s="1889">
        <v>1</v>
      </c>
      <c r="B15" s="1881" t="s">
        <v>1948</v>
      </c>
      <c r="C15" s="1890">
        <v>1240000</v>
      </c>
      <c r="D15" s="1891">
        <f>'[1]TH VON (ub)'!D14</f>
        <v>1290000</v>
      </c>
      <c r="E15" s="1892">
        <f>'[1]DC TINH-IN'!$N$21</f>
        <v>453200</v>
      </c>
      <c r="F15" s="1892">
        <f>H15+'[1]da loai'!P15+'[1]da thieu von'!P17</f>
        <v>1627873</v>
      </c>
      <c r="G15" s="1892">
        <f>I15</f>
        <v>90000</v>
      </c>
      <c r="H15" s="1892">
        <f>'[1]DC TINH-IN'!$S$21</f>
        <v>882000</v>
      </c>
      <c r="I15" s="1892">
        <f>'[1]DC TINH-IN'!$T$21</f>
        <v>90000</v>
      </c>
      <c r="J15" s="1893">
        <f>'DC TINH (NQ)'!AG33</f>
        <v>3446712.1</v>
      </c>
      <c r="K15" s="1891"/>
      <c r="L15" s="1891">
        <f>J15-SUM(M15:S15)</f>
        <v>2661610.1</v>
      </c>
      <c r="M15" s="1891">
        <v>155900</v>
      </c>
      <c r="N15" s="1891">
        <v>77202</v>
      </c>
      <c r="O15" s="1892">
        <v>150000</v>
      </c>
      <c r="P15" s="1892">
        <v>207000</v>
      </c>
      <c r="Q15" s="1892">
        <v>35000</v>
      </c>
      <c r="R15" s="1892">
        <f>230000-70000</f>
        <v>160000</v>
      </c>
      <c r="S15" s="1892"/>
      <c r="T15" s="1894">
        <f>SUM(K15:R15)</f>
        <v>3446712.1</v>
      </c>
      <c r="U15" s="724">
        <f>J12+J26+J33</f>
        <v>11438923.1</v>
      </c>
      <c r="V15" s="723"/>
      <c r="W15" s="723"/>
      <c r="Y15" s="724"/>
      <c r="Z15" s="723">
        <v>3446712.1</v>
      </c>
      <c r="AA15" s="723"/>
      <c r="AB15" s="1865">
        <f t="shared" si="3"/>
        <v>0</v>
      </c>
      <c r="AC15" s="1865"/>
      <c r="AD15" s="722">
        <v>2661610.1</v>
      </c>
    </row>
    <row r="16" spans="1:32" s="722" customFormat="1" ht="27.75" customHeight="1" x14ac:dyDescent="0.25">
      <c r="A16" s="1889">
        <v>2</v>
      </c>
      <c r="B16" s="1881" t="s">
        <v>2142</v>
      </c>
      <c r="C16" s="1890">
        <v>360000</v>
      </c>
      <c r="D16" s="1891">
        <f>'[1]TH VON (ub)'!D15</f>
        <v>360000</v>
      </c>
      <c r="E16" s="1892">
        <f>'[1]DC TINH-IN'!$N$58</f>
        <v>130260</v>
      </c>
      <c r="F16" s="1892">
        <f>H16</f>
        <v>48656</v>
      </c>
      <c r="G16" s="1892">
        <f t="shared" ref="G16:G23" si="7">I16</f>
        <v>48656</v>
      </c>
      <c r="H16" s="1892">
        <f>'[1]DC TINH-IN'!$S$58</f>
        <v>48656</v>
      </c>
      <c r="I16" s="1892">
        <f>'[1]DC TINH-IN'!$T$58</f>
        <v>48656</v>
      </c>
      <c r="J16" s="1893">
        <f>'DC TINH (NQ)'!AG79</f>
        <v>606640</v>
      </c>
      <c r="K16" s="1891">
        <f>J16-L16-N16-Q16</f>
        <v>202242</v>
      </c>
      <c r="L16" s="1891">
        <v>240000</v>
      </c>
      <c r="M16" s="1891"/>
      <c r="N16" s="1891">
        <v>72798</v>
      </c>
      <c r="O16" s="1892"/>
      <c r="P16" s="1892"/>
      <c r="Q16" s="1892">
        <v>91600</v>
      </c>
      <c r="R16" s="1892"/>
      <c r="S16" s="1892"/>
      <c r="T16" s="1894">
        <f t="shared" ref="T16:T24" si="8">SUM(K16:R16)</f>
        <v>606640</v>
      </c>
      <c r="V16" s="723"/>
      <c r="W16" s="723"/>
      <c r="Y16" s="724"/>
      <c r="Z16" s="723">
        <v>606640</v>
      </c>
      <c r="AA16" s="723"/>
      <c r="AB16" s="1865">
        <f t="shared" si="3"/>
        <v>0</v>
      </c>
      <c r="AC16" s="1865">
        <v>202242</v>
      </c>
      <c r="AD16" s="722">
        <v>240000</v>
      </c>
    </row>
    <row r="17" spans="1:30" s="722" customFormat="1" ht="27" customHeight="1" x14ac:dyDescent="0.25">
      <c r="A17" s="1889">
        <v>3</v>
      </c>
      <c r="B17" s="1881" t="s">
        <v>1949</v>
      </c>
      <c r="C17" s="1890">
        <v>510000</v>
      </c>
      <c r="D17" s="1891">
        <f>'[1]TH VON (ub)'!D16</f>
        <v>510000</v>
      </c>
      <c r="E17" s="1892">
        <f>'[1]DC TINH-IN'!$N$125</f>
        <v>82080</v>
      </c>
      <c r="F17" s="1892">
        <f>H17+'[1]da thieu von'!P21</f>
        <v>499370</v>
      </c>
      <c r="G17" s="1892">
        <f t="shared" si="7"/>
        <v>1450</v>
      </c>
      <c r="H17" s="1892">
        <f>'[1]DC TINH-IN'!$S$125</f>
        <v>99370</v>
      </c>
      <c r="I17" s="1892">
        <f>'[1]DC TINH-IN'!$T$125</f>
        <v>1450</v>
      </c>
      <c r="J17" s="1893">
        <f>'DC TINH (NQ)'!AG154</f>
        <v>668480</v>
      </c>
      <c r="K17" s="1891">
        <f>97920+7806</f>
        <v>105726</v>
      </c>
      <c r="L17" s="1891">
        <f>J17-K17</f>
        <v>562754</v>
      </c>
      <c r="M17" s="1891"/>
      <c r="N17" s="1891"/>
      <c r="O17" s="1892"/>
      <c r="P17" s="1892"/>
      <c r="Q17" s="1892"/>
      <c r="R17" s="1892"/>
      <c r="S17" s="1892"/>
      <c r="T17" s="1894">
        <f t="shared" si="8"/>
        <v>668480</v>
      </c>
      <c r="V17" s="723"/>
      <c r="W17" s="723"/>
      <c r="Y17" s="724"/>
      <c r="Z17" s="723">
        <v>668480</v>
      </c>
      <c r="AA17" s="723"/>
      <c r="AB17" s="1865">
        <f t="shared" si="3"/>
        <v>0</v>
      </c>
      <c r="AC17" s="1865">
        <v>105726</v>
      </c>
      <c r="AD17" s="722">
        <v>562754</v>
      </c>
    </row>
    <row r="18" spans="1:30" s="722" customFormat="1" ht="27" customHeight="1" x14ac:dyDescent="0.25">
      <c r="A18" s="1889">
        <v>4</v>
      </c>
      <c r="B18" s="1881" t="s">
        <v>1950</v>
      </c>
      <c r="C18" s="1890">
        <v>510000</v>
      </c>
      <c r="D18" s="1891">
        <f>'[1]TH VON (ub)'!D17</f>
        <v>267500</v>
      </c>
      <c r="E18" s="1892">
        <f>'[1]DC TINH-IN'!$N$157</f>
        <v>61840.4</v>
      </c>
      <c r="F18" s="1892">
        <f t="shared" ref="F18" si="9">H18</f>
        <v>34350</v>
      </c>
      <c r="G18" s="1892">
        <f t="shared" si="7"/>
        <v>16810.400000000001</v>
      </c>
      <c r="H18" s="1892">
        <f>'[1]DC TINH-IN'!$S$157</f>
        <v>34350</v>
      </c>
      <c r="I18" s="1892">
        <f>'[1]DC TINH-IN'!$T$157</f>
        <v>16810.400000000001</v>
      </c>
      <c r="J18" s="1893">
        <f>'DC TINH (NQ)'!AG188</f>
        <v>305458</v>
      </c>
      <c r="K18" s="1891">
        <v>218540</v>
      </c>
      <c r="L18" s="1891">
        <f>J18-K18</f>
        <v>86918</v>
      </c>
      <c r="M18" s="1891"/>
      <c r="N18" s="1891"/>
      <c r="O18" s="1892"/>
      <c r="P18" s="1892"/>
      <c r="Q18" s="1892"/>
      <c r="R18" s="1892"/>
      <c r="S18" s="1892"/>
      <c r="T18" s="1894">
        <f t="shared" si="8"/>
        <v>305458</v>
      </c>
      <c r="V18" s="723"/>
      <c r="W18" s="723"/>
      <c r="Y18" s="724"/>
      <c r="Z18" s="723">
        <v>302158</v>
      </c>
      <c r="AA18" s="723"/>
      <c r="AB18" s="1923">
        <f t="shared" si="3"/>
        <v>-3300</v>
      </c>
      <c r="AC18" s="1865">
        <v>218540</v>
      </c>
      <c r="AD18" s="722">
        <v>83618</v>
      </c>
    </row>
    <row r="19" spans="1:30" s="722" customFormat="1" ht="27" customHeight="1" x14ac:dyDescent="0.25">
      <c r="A19" s="1889">
        <v>5</v>
      </c>
      <c r="B19" s="1881" t="s">
        <v>1951</v>
      </c>
      <c r="C19" s="1890">
        <v>220000</v>
      </c>
      <c r="D19" s="1891">
        <f>'[1]TH VON (ub)'!D18</f>
        <v>220000</v>
      </c>
      <c r="E19" s="1892">
        <f>'[1]DC TINH-IN'!$N$193</f>
        <v>80900</v>
      </c>
      <c r="F19" s="1892">
        <f>'[1]da loai'!P19+'[1]da thieu von'!P23</f>
        <v>70900</v>
      </c>
      <c r="G19" s="1892">
        <f>'[1]DC TINH-IN'!T193</f>
        <v>70900</v>
      </c>
      <c r="H19" s="1892">
        <f>'[1]DC TONG THE'!S192</f>
        <v>0</v>
      </c>
      <c r="I19" s="1892">
        <f>'[1]DC TINH-IN'!$T$193</f>
        <v>70900</v>
      </c>
      <c r="J19" s="1893">
        <f>'DC TINH (NQ)'!AG226</f>
        <v>147700</v>
      </c>
      <c r="K19" s="1891">
        <f>J19-L19</f>
        <v>106660</v>
      </c>
      <c r="L19" s="1891">
        <v>41040</v>
      </c>
      <c r="M19" s="1891"/>
      <c r="N19" s="1891"/>
      <c r="O19" s="1892"/>
      <c r="P19" s="1892"/>
      <c r="Q19" s="1892"/>
      <c r="R19" s="1892"/>
      <c r="S19" s="1892"/>
      <c r="T19" s="1894">
        <f t="shared" si="8"/>
        <v>147700</v>
      </c>
      <c r="V19" s="723"/>
      <c r="W19" s="723"/>
      <c r="Y19" s="724"/>
      <c r="Z19" s="723">
        <v>147700</v>
      </c>
      <c r="AA19" s="723"/>
      <c r="AB19" s="1865">
        <f t="shared" si="3"/>
        <v>0</v>
      </c>
      <c r="AC19" s="1865">
        <v>106660</v>
      </c>
      <c r="AD19" s="722">
        <v>41040</v>
      </c>
    </row>
    <row r="20" spans="1:30" s="722" customFormat="1" ht="27" customHeight="1" x14ac:dyDescent="0.25">
      <c r="A20" s="1889">
        <v>6</v>
      </c>
      <c r="B20" s="1881" t="s">
        <v>1952</v>
      </c>
      <c r="C20" s="1890">
        <v>290000</v>
      </c>
      <c r="D20" s="1891">
        <f>'[1]TH VON (ub)'!D19</f>
        <v>150000</v>
      </c>
      <c r="E20" s="1892">
        <f>'[1]DC TINH-IN'!$N$218</f>
        <v>125000</v>
      </c>
      <c r="F20" s="1892"/>
      <c r="G20" s="1892">
        <f>'[1]DC TINH-IN'!T218</f>
        <v>75000</v>
      </c>
      <c r="H20" s="1892">
        <f>'[1]DC TONG THE'!S217</f>
        <v>0</v>
      </c>
      <c r="I20" s="1892">
        <f>'[1]DC TINH-IN'!$T$218</f>
        <v>75000</v>
      </c>
      <c r="J20" s="1893">
        <f>'DC TINH (NQ)'!AG251</f>
        <v>69552</v>
      </c>
      <c r="K20" s="1891">
        <v>11000</v>
      </c>
      <c r="L20" s="1891">
        <f>J20-K20</f>
        <v>58552</v>
      </c>
      <c r="M20" s="1891"/>
      <c r="N20" s="1891"/>
      <c r="O20" s="1892"/>
      <c r="P20" s="1892"/>
      <c r="Q20" s="1892"/>
      <c r="R20" s="1892"/>
      <c r="S20" s="1892"/>
      <c r="T20" s="1894">
        <f t="shared" si="8"/>
        <v>69552</v>
      </c>
      <c r="V20" s="723"/>
      <c r="W20" s="723"/>
      <c r="Y20" s="724"/>
      <c r="Z20" s="723">
        <v>69552</v>
      </c>
      <c r="AA20" s="723"/>
      <c r="AB20" s="1865">
        <f t="shared" si="3"/>
        <v>0</v>
      </c>
      <c r="AC20" s="1865">
        <v>11000</v>
      </c>
      <c r="AD20" s="722">
        <v>58552</v>
      </c>
    </row>
    <row r="21" spans="1:30" s="722" customFormat="1" ht="27" customHeight="1" x14ac:dyDescent="0.25">
      <c r="A21" s="1889">
        <v>7</v>
      </c>
      <c r="B21" s="1881" t="s">
        <v>1953</v>
      </c>
      <c r="C21" s="1890">
        <v>290000</v>
      </c>
      <c r="D21" s="1891">
        <f>'[1]TH VON (ub)'!D20</f>
        <v>290000</v>
      </c>
      <c r="E21" s="1892">
        <f>'[1]DC TINH-IN'!$N$235</f>
        <v>144020</v>
      </c>
      <c r="F21" s="1892">
        <f>H21</f>
        <v>31300</v>
      </c>
      <c r="G21" s="1892">
        <f t="shared" si="7"/>
        <v>39100</v>
      </c>
      <c r="H21" s="1892">
        <f>'[1]DC TINH-IN'!$S$235</f>
        <v>31300</v>
      </c>
      <c r="I21" s="1892">
        <f>'[1]DC TINH-IN'!$T$235</f>
        <v>39100</v>
      </c>
      <c r="J21" s="1893">
        <f>'DC TINH (NQ)'!AG265</f>
        <v>275144</v>
      </c>
      <c r="K21" s="1891">
        <f>J21-L21</f>
        <v>36944</v>
      </c>
      <c r="L21" s="1891">
        <f>242200-4000</f>
        <v>238200</v>
      </c>
      <c r="M21" s="1891"/>
      <c r="N21" s="1891"/>
      <c r="O21" s="1892"/>
      <c r="P21" s="1892"/>
      <c r="Q21" s="1892"/>
      <c r="R21" s="1892"/>
      <c r="S21" s="1892"/>
      <c r="T21" s="1894">
        <f t="shared" si="8"/>
        <v>275144</v>
      </c>
      <c r="V21" s="723"/>
      <c r="W21" s="723"/>
      <c r="Y21" s="724"/>
      <c r="Z21" s="723">
        <v>275144</v>
      </c>
      <c r="AA21" s="723"/>
      <c r="AB21" s="1865">
        <f t="shared" si="3"/>
        <v>0</v>
      </c>
      <c r="AC21" s="1865">
        <v>36944</v>
      </c>
      <c r="AD21" s="722">
        <v>238200</v>
      </c>
    </row>
    <row r="22" spans="1:30" s="722" customFormat="1" ht="27" customHeight="1" x14ac:dyDescent="0.25">
      <c r="A22" s="1889">
        <v>8</v>
      </c>
      <c r="B22" s="1881" t="s">
        <v>1954</v>
      </c>
      <c r="C22" s="1890">
        <v>218000</v>
      </c>
      <c r="D22" s="1891">
        <f>'[1]TH VON (ub)'!D21</f>
        <v>259000</v>
      </c>
      <c r="E22" s="1892">
        <f>'[1]DC TINH-IN'!$N$280</f>
        <v>29150</v>
      </c>
      <c r="F22" s="1892">
        <f>H22+'[1]da thieu von'!P26</f>
        <v>209260</v>
      </c>
      <c r="G22" s="1892">
        <f t="shared" si="7"/>
        <v>22300</v>
      </c>
      <c r="H22" s="1892">
        <f>'[1]DC TINH-IN'!$S$280</f>
        <v>22060</v>
      </c>
      <c r="I22" s="1892">
        <f>'[1]DC TINH-IN'!$T$280</f>
        <v>22300</v>
      </c>
      <c r="J22" s="1921">
        <f>'DC TINH (NQ)'!AG312</f>
        <v>595371</v>
      </c>
      <c r="K22" s="1891">
        <f>J22-L22-R22</f>
        <v>442305</v>
      </c>
      <c r="L22" s="1922">
        <f>78220+4846</f>
        <v>83066</v>
      </c>
      <c r="M22" s="1891"/>
      <c r="N22" s="1891"/>
      <c r="O22" s="1892"/>
      <c r="P22" s="1892"/>
      <c r="Q22" s="1892"/>
      <c r="R22" s="1892">
        <v>70000</v>
      </c>
      <c r="S22" s="1892"/>
      <c r="T22" s="1894">
        <f t="shared" si="8"/>
        <v>595371</v>
      </c>
      <c r="V22" s="723"/>
      <c r="W22" s="723"/>
      <c r="Z22" s="723">
        <v>590525</v>
      </c>
      <c r="AA22" s="723"/>
      <c r="AB22" s="1865">
        <f t="shared" si="3"/>
        <v>-4846</v>
      </c>
      <c r="AC22" s="1865">
        <v>442305</v>
      </c>
      <c r="AD22" s="722">
        <v>78220</v>
      </c>
    </row>
    <row r="23" spans="1:30" s="722" customFormat="1" ht="27" customHeight="1" x14ac:dyDescent="0.25">
      <c r="A23" s="1889">
        <v>9</v>
      </c>
      <c r="B23" s="1881" t="s">
        <v>2143</v>
      </c>
      <c r="C23" s="1890">
        <v>215000</v>
      </c>
      <c r="D23" s="1891">
        <f>'[1]TH VON (ub)'!D22</f>
        <v>274000</v>
      </c>
      <c r="E23" s="1892">
        <f>'[1]DC TINH-IN'!$N$315</f>
        <v>17210</v>
      </c>
      <c r="F23" s="1892">
        <f>H23+'[1]da loai'!P21</f>
        <v>27760</v>
      </c>
      <c r="G23" s="1892">
        <f t="shared" si="7"/>
        <v>12220</v>
      </c>
      <c r="H23" s="1892">
        <f>'[1]DC TINH-IN'!$S$315</f>
        <v>19430</v>
      </c>
      <c r="I23" s="1892">
        <f>'[1]DC TINH-IN'!$T$315</f>
        <v>12220</v>
      </c>
      <c r="J23" s="1921">
        <f>'DC TINH (NQ)'!AG357</f>
        <v>384922</v>
      </c>
      <c r="K23" s="1922">
        <f>J23-L23-Q23</f>
        <v>250782</v>
      </c>
      <c r="L23" s="1922">
        <f>127830-5690</f>
        <v>122140</v>
      </c>
      <c r="M23" s="1891"/>
      <c r="N23" s="1891"/>
      <c r="O23" s="1892"/>
      <c r="P23" s="1892"/>
      <c r="Q23" s="1892">
        <v>12000</v>
      </c>
      <c r="R23" s="1892"/>
      <c r="S23" s="1892"/>
      <c r="T23" s="1894">
        <f t="shared" si="8"/>
        <v>384922</v>
      </c>
      <c r="V23" s="723">
        <f>247-149</f>
        <v>98</v>
      </c>
      <c r="W23" s="723"/>
      <c r="Z23" s="723">
        <v>394612</v>
      </c>
      <c r="AA23" s="723"/>
      <c r="AB23" s="1865">
        <f t="shared" si="3"/>
        <v>9690</v>
      </c>
      <c r="AC23" s="1865">
        <v>254782</v>
      </c>
      <c r="AD23" s="722">
        <v>127830</v>
      </c>
    </row>
    <row r="24" spans="1:30" s="1866" customFormat="1" ht="29.25" customHeight="1" x14ac:dyDescent="0.25">
      <c r="A24" s="1895" t="s">
        <v>879</v>
      </c>
      <c r="B24" s="1896" t="s">
        <v>1965</v>
      </c>
      <c r="C24" s="1897"/>
      <c r="D24" s="1897"/>
      <c r="E24" s="1888"/>
      <c r="F24" s="1888"/>
      <c r="G24" s="1888"/>
      <c r="H24" s="1888"/>
      <c r="I24" s="1888"/>
      <c r="J24" s="1919">
        <f>'DC TINH (NQ)'!AG434</f>
        <v>190364</v>
      </c>
      <c r="K24" s="1920">
        <f>82320+6500</f>
        <v>88820</v>
      </c>
      <c r="L24" s="1920">
        <f>J24-K24</f>
        <v>101544</v>
      </c>
      <c r="M24" s="1897"/>
      <c r="N24" s="1897"/>
      <c r="O24" s="1888"/>
      <c r="P24" s="1888"/>
      <c r="Q24" s="1888"/>
      <c r="R24" s="1888"/>
      <c r="S24" s="1888"/>
      <c r="T24" s="1894">
        <f t="shared" si="8"/>
        <v>190364</v>
      </c>
      <c r="V24" s="1867"/>
      <c r="W24" s="1867"/>
      <c r="Z24" s="1866">
        <v>188820</v>
      </c>
      <c r="AA24" s="1867"/>
      <c r="AB24" s="1923">
        <f t="shared" si="3"/>
        <v>-1544</v>
      </c>
      <c r="AC24" s="1865">
        <v>88820</v>
      </c>
      <c r="AD24" s="1866">
        <v>100000</v>
      </c>
    </row>
    <row r="25" spans="1:30" s="1863" customFormat="1" ht="208.5" hidden="1" customHeight="1" x14ac:dyDescent="0.25">
      <c r="A25" s="1884" t="s">
        <v>881</v>
      </c>
      <c r="B25" s="1898" t="s">
        <v>1956</v>
      </c>
      <c r="C25" s="1886">
        <v>722000</v>
      </c>
      <c r="D25" s="1886">
        <f>'[1]TH VON (ub)'!D23</f>
        <v>652000</v>
      </c>
      <c r="E25" s="1887">
        <v>652000</v>
      </c>
      <c r="F25" s="1887"/>
      <c r="G25" s="1887"/>
      <c r="H25" s="1887"/>
      <c r="I25" s="1887">
        <v>615730</v>
      </c>
      <c r="J25" s="1887"/>
      <c r="K25" s="1886"/>
      <c r="L25" s="1886"/>
      <c r="M25" s="1886"/>
      <c r="N25" s="1897"/>
      <c r="O25" s="1887"/>
      <c r="P25" s="1887"/>
      <c r="Q25" s="1887"/>
      <c r="R25" s="1888">
        <f>I25</f>
        <v>615730</v>
      </c>
      <c r="S25" s="1888">
        <f>J25</f>
        <v>0</v>
      </c>
      <c r="T25" s="1881" t="s">
        <v>2639</v>
      </c>
      <c r="V25" s="723"/>
      <c r="X25" s="1864">
        <f t="shared" ref="X25:X32" si="10">P25+M25+L25+K25</f>
        <v>0</v>
      </c>
      <c r="AB25" s="1865">
        <f t="shared" si="3"/>
        <v>0</v>
      </c>
      <c r="AC25" s="1865">
        <f t="shared" ref="AC25" si="11">AB25-J25</f>
        <v>0</v>
      </c>
    </row>
    <row r="26" spans="1:30" s="1863" customFormat="1" ht="30" customHeight="1" x14ac:dyDescent="0.25">
      <c r="A26" s="1884" t="s">
        <v>173</v>
      </c>
      <c r="B26" s="1885" t="s">
        <v>1957</v>
      </c>
      <c r="C26" s="1886">
        <f>SUM(C27:C29)</f>
        <v>1810000</v>
      </c>
      <c r="D26" s="1886">
        <f t="shared" ref="D26:I26" si="12">SUM(D27:D31)</f>
        <v>2822500</v>
      </c>
      <c r="E26" s="1886" t="e">
        <f t="shared" si="12"/>
        <v>#REF!</v>
      </c>
      <c r="F26" s="1886" t="e">
        <f t="shared" si="12"/>
        <v>#REF!</v>
      </c>
      <c r="G26" s="1886" t="e">
        <f t="shared" si="12"/>
        <v>#REF!</v>
      </c>
      <c r="H26" s="1886" t="e">
        <f t="shared" si="12"/>
        <v>#REF!</v>
      </c>
      <c r="I26" s="1886" t="e">
        <f t="shared" si="12"/>
        <v>#REF!</v>
      </c>
      <c r="J26" s="1886">
        <f>SUM(J27:J31)</f>
        <v>4434280</v>
      </c>
      <c r="K26" s="1886">
        <f>K11-K12-K32</f>
        <v>1308507</v>
      </c>
      <c r="L26" s="1886">
        <f>L11-L12-L32</f>
        <v>2995772.9000000004</v>
      </c>
      <c r="M26" s="1886"/>
      <c r="N26" s="1886"/>
      <c r="O26" s="1886">
        <f t="shared" ref="O26:P26" si="13">SUM(O27:O31)</f>
        <v>30000</v>
      </c>
      <c r="P26" s="1886">
        <f t="shared" si="13"/>
        <v>100000</v>
      </c>
      <c r="Q26" s="1886"/>
      <c r="R26" s="1886"/>
      <c r="S26" s="1886"/>
      <c r="T26" s="1884" t="s">
        <v>1880</v>
      </c>
      <c r="U26" s="1864"/>
      <c r="V26" s="723"/>
      <c r="X26" s="1864">
        <f t="shared" si="10"/>
        <v>4404279.9000000004</v>
      </c>
      <c r="Z26" s="1865">
        <f>SUM(J27:J31)</f>
        <v>4434280</v>
      </c>
      <c r="AA26" s="1864"/>
      <c r="AB26" s="1865">
        <f t="shared" si="3"/>
        <v>0</v>
      </c>
      <c r="AC26" s="1864"/>
      <c r="AD26" s="1864"/>
    </row>
    <row r="27" spans="1:30" s="722" customFormat="1" ht="27" customHeight="1" x14ac:dyDescent="0.25">
      <c r="A27" s="1889">
        <v>1</v>
      </c>
      <c r="B27" s="1881" t="s">
        <v>1958</v>
      </c>
      <c r="C27" s="1890">
        <v>1230000</v>
      </c>
      <c r="D27" s="1891">
        <f>'[1]TH VON (ub)'!D26</f>
        <v>1230000</v>
      </c>
      <c r="E27" s="1892"/>
      <c r="F27" s="1892">
        <f>'[1]da thieu von'!P28</f>
        <v>857000</v>
      </c>
      <c r="G27" s="1892"/>
      <c r="H27" s="1892"/>
      <c r="I27" s="1892"/>
      <c r="J27" s="1893">
        <f>'DC HTMT(NQ) (2)'!AE17</f>
        <v>1978988</v>
      </c>
      <c r="K27" s="1891"/>
      <c r="L27" s="1891">
        <f>J27-P27</f>
        <v>1878988</v>
      </c>
      <c r="M27" s="1891"/>
      <c r="N27" s="1891"/>
      <c r="O27" s="1892"/>
      <c r="P27" s="1891">
        <v>100000</v>
      </c>
      <c r="Q27" s="1892"/>
      <c r="R27" s="1892"/>
      <c r="S27" s="1892"/>
      <c r="T27" s="1889"/>
      <c r="V27" s="723"/>
      <c r="W27" s="723"/>
      <c r="X27" s="722">
        <f t="shared" si="10"/>
        <v>1978988</v>
      </c>
      <c r="Y27" s="724"/>
      <c r="AA27" s="723"/>
      <c r="AB27" s="1865">
        <f>AB24+AB18+AB22</f>
        <v>-9690</v>
      </c>
      <c r="AC27" s="1865"/>
    </row>
    <row r="28" spans="1:30" s="722" customFormat="1" ht="27" customHeight="1" x14ac:dyDescent="0.25">
      <c r="A28" s="1889">
        <v>2</v>
      </c>
      <c r="B28" s="1881" t="s">
        <v>1959</v>
      </c>
      <c r="C28" s="1890">
        <v>580000</v>
      </c>
      <c r="D28" s="1891">
        <f>'[1]TH VON (ub)'!D27</f>
        <v>640000</v>
      </c>
      <c r="E28" s="1892" t="e">
        <f>#REF!</f>
        <v>#REF!</v>
      </c>
      <c r="F28" s="1892" t="e">
        <f>H28</f>
        <v>#REF!</v>
      </c>
      <c r="G28" s="1892" t="e">
        <f>I28</f>
        <v>#REF!</v>
      </c>
      <c r="H28" s="1892" t="e">
        <f>#REF!</f>
        <v>#REF!</v>
      </c>
      <c r="I28" s="1892" t="e">
        <f>#REF!</f>
        <v>#REF!</v>
      </c>
      <c r="J28" s="1893">
        <f>'DC HTMT(NQ) (2)'!AE44</f>
        <v>979636</v>
      </c>
      <c r="K28" s="1891">
        <v>500000</v>
      </c>
      <c r="L28" s="1891">
        <f>J28-K28</f>
        <v>479636</v>
      </c>
      <c r="M28" s="1891"/>
      <c r="N28" s="1891"/>
      <c r="O28" s="1892"/>
      <c r="P28" s="1892"/>
      <c r="Q28" s="1892"/>
      <c r="R28" s="1892"/>
      <c r="S28" s="1892"/>
      <c r="T28" s="1889"/>
      <c r="V28" s="723"/>
      <c r="W28" s="723"/>
      <c r="X28" s="722">
        <f t="shared" si="10"/>
        <v>979636</v>
      </c>
      <c r="Y28" s="724"/>
      <c r="AA28" s="723"/>
      <c r="AB28" s="1865"/>
      <c r="AC28" s="1865"/>
    </row>
    <row r="29" spans="1:30" s="722" customFormat="1" ht="27" customHeight="1" x14ac:dyDescent="0.25">
      <c r="A29" s="1889">
        <v>3</v>
      </c>
      <c r="B29" s="1881" t="s">
        <v>1960</v>
      </c>
      <c r="C29" s="1890"/>
      <c r="D29" s="1891">
        <f>'[1]TH VON (ub)'!D28</f>
        <v>124500</v>
      </c>
      <c r="E29" s="1892"/>
      <c r="F29" s="1892"/>
      <c r="G29" s="1892"/>
      <c r="H29" s="1892"/>
      <c r="I29" s="1892"/>
      <c r="J29" s="1893">
        <f>'DC HTMT(NQ) (2)'!AE400</f>
        <v>115721</v>
      </c>
      <c r="K29" s="1891"/>
      <c r="L29" s="1891">
        <f>J29-K29</f>
        <v>115721</v>
      </c>
      <c r="M29" s="1891"/>
      <c r="N29" s="1891"/>
      <c r="O29" s="1892"/>
      <c r="P29" s="1892"/>
      <c r="Q29" s="1892"/>
      <c r="R29" s="1892"/>
      <c r="S29" s="1892"/>
      <c r="T29" s="1889"/>
      <c r="V29" s="723"/>
      <c r="W29" s="723"/>
      <c r="X29" s="722">
        <f t="shared" si="10"/>
        <v>115721</v>
      </c>
      <c r="Y29" s="724"/>
      <c r="AA29" s="723"/>
      <c r="AB29" s="1865"/>
      <c r="AC29" s="1865"/>
    </row>
    <row r="30" spans="1:30" s="722" customFormat="1" ht="61.5" customHeight="1" x14ac:dyDescent="0.25">
      <c r="A30" s="1889">
        <v>4</v>
      </c>
      <c r="B30" s="1881" t="s">
        <v>1961</v>
      </c>
      <c r="C30" s="1890"/>
      <c r="D30" s="1891">
        <f>'[1]TH VON (ub)'!D30</f>
        <v>98000</v>
      </c>
      <c r="E30" s="1892"/>
      <c r="F30" s="1892"/>
      <c r="G30" s="1892"/>
      <c r="H30" s="1892"/>
      <c r="I30" s="1892"/>
      <c r="J30" s="1892">
        <f>'DC HTMT(NQ) (2)'!AE414</f>
        <v>98238</v>
      </c>
      <c r="K30" s="1891"/>
      <c r="L30" s="1891">
        <f>J30-K30</f>
        <v>98238</v>
      </c>
      <c r="M30" s="1891"/>
      <c r="N30" s="1891"/>
      <c r="O30" s="1892"/>
      <c r="P30" s="1892"/>
      <c r="Q30" s="1892"/>
      <c r="R30" s="1892"/>
      <c r="S30" s="1892"/>
      <c r="T30" s="1889"/>
      <c r="V30" s="723"/>
      <c r="X30" s="1864">
        <f t="shared" si="10"/>
        <v>98238</v>
      </c>
      <c r="AA30" s="723"/>
      <c r="AB30" s="1865"/>
    </row>
    <row r="31" spans="1:30" s="722" customFormat="1" ht="26.25" customHeight="1" x14ac:dyDescent="0.25">
      <c r="A31" s="1889">
        <v>5</v>
      </c>
      <c r="B31" s="1881" t="s">
        <v>1962</v>
      </c>
      <c r="C31" s="1890"/>
      <c r="D31" s="1891">
        <f>'[1]TH VON (ub)'!D31</f>
        <v>730000</v>
      </c>
      <c r="E31" s="1892" t="e">
        <f>#REF!</f>
        <v>#REF!</v>
      </c>
      <c r="F31" s="1892" t="e">
        <f>H31+'[1]da loai'!P31+'[1]da thieu von'!P34</f>
        <v>#REF!</v>
      </c>
      <c r="G31" s="1892" t="e">
        <f>I31</f>
        <v>#REF!</v>
      </c>
      <c r="H31" s="1892" t="e">
        <f>#REF!</f>
        <v>#REF!</v>
      </c>
      <c r="I31" s="1892" t="e">
        <f>#REF!</f>
        <v>#REF!</v>
      </c>
      <c r="J31" s="1892">
        <f>'DC HTMT(NQ) (2)'!AE415</f>
        <v>1261697</v>
      </c>
      <c r="K31" s="1891">
        <f>K26-K28</f>
        <v>808507</v>
      </c>
      <c r="L31" s="1891">
        <f>J31-K31</f>
        <v>453190</v>
      </c>
      <c r="M31" s="1891"/>
      <c r="N31" s="1891"/>
      <c r="O31" s="1892">
        <v>30000</v>
      </c>
      <c r="P31" s="1892"/>
      <c r="Q31" s="1892"/>
      <c r="R31" s="1892"/>
      <c r="S31" s="1892"/>
      <c r="T31" s="1889"/>
      <c r="V31" s="723"/>
      <c r="X31" s="1864">
        <f t="shared" si="10"/>
        <v>1261697</v>
      </c>
      <c r="AA31" s="723"/>
      <c r="AB31" s="1865"/>
      <c r="AC31" s="1865"/>
    </row>
    <row r="32" spans="1:30" s="1863" customFormat="1" ht="30.75" hidden="1" customHeight="1" x14ac:dyDescent="0.25">
      <c r="A32" s="1884" t="s">
        <v>333</v>
      </c>
      <c r="B32" s="1898" t="s">
        <v>1963</v>
      </c>
      <c r="C32" s="1886">
        <v>700000</v>
      </c>
      <c r="D32" s="1886">
        <f>'[1]TH VON (ub)'!D32</f>
        <v>530947</v>
      </c>
      <c r="E32" s="1887">
        <v>530947</v>
      </c>
      <c r="F32" s="1887">
        <f>'[1]HTCK-DC'!Y16</f>
        <v>11420</v>
      </c>
      <c r="G32" s="1887">
        <f>'[1]HTCK-DC'!Z16</f>
        <v>11420</v>
      </c>
      <c r="H32" s="1887">
        <f>F32</f>
        <v>11420</v>
      </c>
      <c r="I32" s="1887">
        <f>G32</f>
        <v>11420</v>
      </c>
      <c r="J32" s="1888"/>
      <c r="K32" s="1897"/>
      <c r="L32" s="1886"/>
      <c r="M32" s="1886"/>
      <c r="N32" s="1886"/>
      <c r="O32" s="1887"/>
      <c r="P32" s="1887"/>
      <c r="Q32" s="1887"/>
      <c r="R32" s="1887"/>
      <c r="S32" s="1887"/>
      <c r="T32" s="1884" t="s">
        <v>1964</v>
      </c>
      <c r="V32" s="723"/>
      <c r="X32" s="1864">
        <f t="shared" si="10"/>
        <v>0</v>
      </c>
      <c r="Z32" s="1865">
        <f>K32-J32</f>
        <v>0</v>
      </c>
      <c r="AA32" s="1864"/>
    </row>
    <row r="33" spans="1:29" s="1868" customFormat="1" ht="27" customHeight="1" x14ac:dyDescent="0.25">
      <c r="A33" s="1895" t="s">
        <v>333</v>
      </c>
      <c r="B33" s="1899" t="s">
        <v>2645</v>
      </c>
      <c r="C33" s="1900"/>
      <c r="D33" s="1900"/>
      <c r="E33" s="1901"/>
      <c r="F33" s="1901"/>
      <c r="G33" s="1901"/>
      <c r="H33" s="1901"/>
      <c r="I33" s="1901"/>
      <c r="J33" s="1901">
        <f>S33</f>
        <v>146300</v>
      </c>
      <c r="K33" s="1900"/>
      <c r="L33" s="1900"/>
      <c r="M33" s="1900"/>
      <c r="N33" s="1900"/>
      <c r="O33" s="1901"/>
      <c r="P33" s="1901"/>
      <c r="Q33" s="1901"/>
      <c r="R33" s="1901"/>
      <c r="S33" s="1901">
        <v>146300</v>
      </c>
      <c r="T33" s="1884" t="s">
        <v>1964</v>
      </c>
      <c r="V33" s="1867"/>
    </row>
    <row r="34" spans="1:29" ht="13.15" customHeight="1" x14ac:dyDescent="0.25">
      <c r="A34" s="1902"/>
      <c r="B34" s="1902"/>
      <c r="C34" s="1903"/>
      <c r="D34" s="1903"/>
      <c r="E34" s="1903"/>
      <c r="F34" s="1903"/>
      <c r="G34" s="1903"/>
      <c r="H34" s="1903"/>
      <c r="I34" s="1903"/>
      <c r="J34" s="1903"/>
      <c r="K34" s="1903"/>
      <c r="L34" s="1903"/>
      <c r="M34" s="1903"/>
      <c r="N34" s="1903"/>
      <c r="O34" s="1903"/>
      <c r="P34" s="1903"/>
      <c r="Q34" s="1903"/>
      <c r="R34" s="1903"/>
      <c r="S34" s="1903"/>
      <c r="T34" s="1902"/>
      <c r="AA34" s="1861"/>
    </row>
    <row r="35" spans="1:29" x14ac:dyDescent="0.25">
      <c r="AC35" s="1869"/>
    </row>
    <row r="36" spans="1:29" ht="59.25" hidden="1" customHeight="1" x14ac:dyDescent="0.25">
      <c r="A36" s="2017" t="s">
        <v>2422</v>
      </c>
      <c r="B36" s="2017"/>
      <c r="C36" s="2017"/>
      <c r="D36" s="2017"/>
      <c r="E36" s="2017"/>
      <c r="F36" s="2017"/>
      <c r="G36" s="2017"/>
      <c r="H36" s="2017"/>
      <c r="I36" s="2017"/>
      <c r="J36" s="2017"/>
      <c r="K36" s="2017"/>
      <c r="L36" s="2017"/>
      <c r="M36" s="2017"/>
      <c r="N36" s="2017"/>
      <c r="O36" s="2017"/>
      <c r="P36" s="2017"/>
      <c r="Q36" s="2017"/>
      <c r="R36" s="2017"/>
      <c r="S36" s="2017"/>
      <c r="T36" s="2017"/>
    </row>
  </sheetData>
  <mergeCells count="17">
    <mergeCell ref="A36:T36"/>
    <mergeCell ref="H8:I8"/>
    <mergeCell ref="J8:S8"/>
    <mergeCell ref="T8:T10"/>
    <mergeCell ref="D9:D10"/>
    <mergeCell ref="J9:J10"/>
    <mergeCell ref="A8:A10"/>
    <mergeCell ref="B8:B10"/>
    <mergeCell ref="C8:C10"/>
    <mergeCell ref="D8:E8"/>
    <mergeCell ref="F8:G8"/>
    <mergeCell ref="K9:S9"/>
    <mergeCell ref="A1:T1"/>
    <mergeCell ref="A2:T2"/>
    <mergeCell ref="A3:T3"/>
    <mergeCell ref="A4:T4"/>
    <mergeCell ref="A5:T5"/>
  </mergeCells>
  <pageMargins left="0.35433070866141703" right="0.31496062992126" top="0.59" bottom="0.47244094488188998" header="0.31496062992126" footer="0.196850393700787"/>
  <pageSetup paperSize="9" scale="65" fitToHeight="0" orientation="landscape" r:id="rId1"/>
  <headerFooter differentFirst="1" scaleWithDoc="0" alignWithMargins="0">
    <oddHeader>&amp;C&amp;P</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C449"/>
  <sheetViews>
    <sheetView topLeftCell="A10" zoomScale="70" zoomScaleNormal="70" workbookViewId="0">
      <pane xSplit="3" ySplit="7" topLeftCell="I433" activePane="bottomRight" state="frozen"/>
      <selection activeCell="A10" sqref="A10"/>
      <selection pane="topRight" activeCell="D10" sqref="D10"/>
      <selection pane="bottomLeft" activeCell="A17" sqref="A17"/>
      <selection pane="bottomRight" activeCell="J457" sqref="J457"/>
    </sheetView>
  </sheetViews>
  <sheetFormatPr defaultColWidth="9.140625" defaultRowHeight="18.75" x14ac:dyDescent="0.3"/>
  <cols>
    <col min="1" max="1" width="9.7109375" style="1331" customWidth="1"/>
    <col min="2" max="2" width="9.28515625" style="1331" hidden="1" customWidth="1"/>
    <col min="3" max="3" width="31.7109375" style="1331" customWidth="1"/>
    <col min="4" max="4" width="13" style="1331" customWidth="1"/>
    <col min="5" max="5" width="24.28515625" style="1331" customWidth="1"/>
    <col min="6" max="6" width="12.5703125" style="1521" customWidth="1"/>
    <col min="7" max="7" width="13.85546875" style="1521" customWidth="1"/>
    <col min="8" max="8" width="15.42578125" style="1331" customWidth="1"/>
    <col min="9" max="9" width="15.85546875" style="1331" customWidth="1"/>
    <col min="10" max="10" width="14" style="1331" customWidth="1"/>
    <col min="11" max="11" width="12.28515625" style="1331" customWidth="1"/>
    <col min="12" max="12" width="14" style="1331" customWidth="1"/>
    <col min="13" max="13" width="12.28515625" style="1331" customWidth="1"/>
    <col min="14" max="14" width="15.140625" style="1331" hidden="1" customWidth="1"/>
    <col min="15" max="15" width="14" style="1331" hidden="1" customWidth="1"/>
    <col min="16" max="16" width="15.140625" style="1331" hidden="1" customWidth="1"/>
    <col min="17" max="17" width="15.42578125" style="1331" hidden="1" customWidth="1"/>
    <col min="18" max="18" width="14.28515625" style="1331" hidden="1" customWidth="1"/>
    <col min="19" max="19" width="12.7109375" style="1331" hidden="1" customWidth="1"/>
    <col min="20" max="20" width="16.5703125" style="1331" hidden="1" customWidth="1"/>
    <col min="21" max="21" width="15.42578125" style="1331" hidden="1" customWidth="1"/>
    <col min="22" max="22" width="14.28515625" style="1331" hidden="1" customWidth="1"/>
    <col min="23" max="23" width="12.7109375" style="1331" hidden="1" customWidth="1"/>
    <col min="24" max="24" width="16" style="1331" hidden="1" customWidth="1"/>
    <col min="25" max="25" width="15.42578125" style="1331" hidden="1" customWidth="1"/>
    <col min="26" max="26" width="13.7109375" style="1331" hidden="1" customWidth="1"/>
    <col min="27" max="27" width="12.85546875" style="1331" hidden="1" customWidth="1"/>
    <col min="28" max="28" width="15" style="1331" customWidth="1"/>
    <col min="29" max="29" width="14.5703125" style="1331" customWidth="1"/>
    <col min="30" max="30" width="12.140625" style="1331" customWidth="1"/>
    <col min="31" max="31" width="14.28515625" style="1331" customWidth="1"/>
    <col min="32" max="32" width="15" style="1331" customWidth="1"/>
    <col min="33" max="33" width="16" style="1331" customWidth="1"/>
    <col min="34" max="34" width="17" style="1331" hidden="1" customWidth="1"/>
    <col min="35" max="35" width="15.28515625" style="1331" hidden="1" customWidth="1"/>
    <col min="36" max="39" width="15.5703125" style="1331" hidden="1" customWidth="1"/>
    <col min="40" max="40" width="27.28515625" style="1331" customWidth="1"/>
    <col min="41" max="41" width="14" style="1331" hidden="1" customWidth="1"/>
    <col min="42" max="42" width="12" style="1427" customWidth="1"/>
    <col min="43" max="43" width="11.140625" style="1427" customWidth="1"/>
    <col min="44" max="44" width="10.7109375" style="1427" customWidth="1"/>
    <col min="45" max="45" width="14.28515625" style="1427" customWidth="1"/>
    <col min="46" max="46" width="13.42578125" style="1427" customWidth="1"/>
    <col min="47" max="47" width="10.5703125" style="1427" customWidth="1"/>
    <col min="48" max="48" width="9.28515625" style="1427" customWidth="1"/>
    <col min="49" max="49" width="11" style="1427" customWidth="1"/>
    <col min="50" max="52" width="9.28515625" style="1427" customWidth="1"/>
    <col min="53" max="53" width="9.7109375" style="1427" customWidth="1"/>
    <col min="54" max="54" width="10.7109375" style="1427" customWidth="1"/>
    <col min="55" max="55" width="9.7109375" style="1427" customWidth="1"/>
    <col min="56" max="56" width="13.7109375" style="1331" customWidth="1"/>
    <col min="57" max="16384" width="9.140625" style="1331"/>
  </cols>
  <sheetData>
    <row r="1" spans="1:56" s="1535" customFormat="1" ht="41.25" customHeight="1" x14ac:dyDescent="0.4">
      <c r="A1" s="2023" t="s">
        <v>0</v>
      </c>
      <c r="B1" s="2023"/>
      <c r="C1" s="2023"/>
      <c r="D1" s="2023"/>
      <c r="E1" s="2023"/>
      <c r="F1" s="2023"/>
      <c r="G1" s="2023"/>
      <c r="H1" s="2023"/>
      <c r="I1" s="2023"/>
      <c r="J1" s="2023"/>
      <c r="K1" s="2023"/>
      <c r="L1" s="2023"/>
      <c r="M1" s="2023"/>
      <c r="N1" s="1928"/>
      <c r="O1" s="1928"/>
      <c r="P1" s="1928"/>
      <c r="Q1" s="1928"/>
      <c r="R1" s="1928"/>
      <c r="S1" s="1928"/>
      <c r="T1" s="1928"/>
      <c r="U1" s="1928"/>
      <c r="V1" s="1928"/>
      <c r="W1" s="1928"/>
      <c r="X1" s="2023"/>
      <c r="Y1" s="2023"/>
      <c r="Z1" s="1928"/>
      <c r="AA1" s="1928"/>
      <c r="AB1" s="2023"/>
      <c r="AC1" s="2023"/>
      <c r="AD1" s="2023"/>
      <c r="AE1" s="2023"/>
      <c r="AF1" s="2023"/>
      <c r="AG1" s="2023"/>
      <c r="AH1" s="1928"/>
      <c r="AI1" s="1928"/>
      <c r="AJ1" s="1928"/>
      <c r="AK1" s="1928"/>
      <c r="AL1" s="1928"/>
      <c r="AM1" s="1928"/>
      <c r="AN1" s="2023"/>
      <c r="AO1" s="1840"/>
      <c r="AP1" s="1533"/>
      <c r="AQ1" s="1533"/>
      <c r="AR1" s="1534"/>
      <c r="AS1" s="1534"/>
      <c r="AT1" s="1534"/>
      <c r="AU1" s="1534"/>
      <c r="AV1" s="1534"/>
      <c r="AW1" s="1534"/>
      <c r="AX1" s="1534"/>
      <c r="AY1" s="1534"/>
      <c r="AZ1" s="1534"/>
      <c r="BA1" s="1534"/>
      <c r="BB1" s="1534"/>
      <c r="BC1" s="1534"/>
    </row>
    <row r="2" spans="1:56" s="1535" customFormat="1" ht="36.75" customHeight="1" x14ac:dyDescent="0.4">
      <c r="A2" s="2024" t="s">
        <v>2541</v>
      </c>
      <c r="B2" s="2024"/>
      <c r="C2" s="2024"/>
      <c r="D2" s="2024"/>
      <c r="E2" s="2024"/>
      <c r="F2" s="2024"/>
      <c r="G2" s="2024"/>
      <c r="H2" s="2024"/>
      <c r="I2" s="2024"/>
      <c r="J2" s="2024"/>
      <c r="K2" s="2024"/>
      <c r="L2" s="2024"/>
      <c r="M2" s="2024"/>
      <c r="N2" s="2024"/>
      <c r="O2" s="2024"/>
      <c r="P2" s="2024"/>
      <c r="Q2" s="2024"/>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1845"/>
      <c r="AP2" s="1536"/>
      <c r="AQ2" s="1536"/>
      <c r="AR2" s="1534"/>
      <c r="AS2" s="1534"/>
      <c r="AT2" s="1534"/>
      <c r="AU2" s="1534"/>
      <c r="AV2" s="1534"/>
      <c r="AW2" s="1534"/>
      <c r="AX2" s="1534"/>
      <c r="AY2" s="1534"/>
      <c r="AZ2" s="1534"/>
      <c r="BA2" s="1534"/>
      <c r="BB2" s="1534"/>
      <c r="BC2" s="1534"/>
    </row>
    <row r="3" spans="1:56" s="1535" customFormat="1" ht="27.75" hidden="1" customHeight="1" x14ac:dyDescent="0.4">
      <c r="A3" s="2022" t="s">
        <v>2707</v>
      </c>
      <c r="B3" s="2022"/>
      <c r="C3" s="2022"/>
      <c r="D3" s="2022"/>
      <c r="E3" s="2022"/>
      <c r="F3" s="2022"/>
      <c r="G3" s="2022"/>
      <c r="H3" s="2022"/>
      <c r="I3" s="2022"/>
      <c r="J3" s="2022"/>
      <c r="K3" s="2022"/>
      <c r="L3" s="2022"/>
      <c r="M3" s="2022"/>
      <c r="N3" s="1930"/>
      <c r="O3" s="1930"/>
      <c r="P3" s="1930"/>
      <c r="Q3" s="1930"/>
      <c r="R3" s="1930"/>
      <c r="S3" s="1930"/>
      <c r="T3" s="1930"/>
      <c r="U3" s="1930"/>
      <c r="V3" s="1930"/>
      <c r="W3" s="1930"/>
      <c r="X3" s="2022"/>
      <c r="Y3" s="2022"/>
      <c r="Z3" s="1930"/>
      <c r="AA3" s="1930"/>
      <c r="AB3" s="2022"/>
      <c r="AC3" s="2022"/>
      <c r="AD3" s="2022"/>
      <c r="AE3" s="2022"/>
      <c r="AF3" s="2022"/>
      <c r="AG3" s="2022"/>
      <c r="AH3" s="1930"/>
      <c r="AI3" s="1930"/>
      <c r="AJ3" s="1930"/>
      <c r="AK3" s="1930"/>
      <c r="AL3" s="1930"/>
      <c r="AM3" s="1930"/>
      <c r="AN3" s="2022"/>
      <c r="AO3" s="1839"/>
      <c r="AP3" s="1536"/>
      <c r="AQ3" s="1536"/>
      <c r="AR3" s="1534"/>
      <c r="AS3" s="1534"/>
      <c r="AT3" s="1534"/>
      <c r="AU3" s="1534"/>
      <c r="AV3" s="1534"/>
      <c r="AW3" s="1534"/>
      <c r="AX3" s="1534"/>
      <c r="AY3" s="1534"/>
      <c r="AZ3" s="1534"/>
      <c r="BA3" s="1534"/>
      <c r="BB3" s="1534"/>
      <c r="BC3" s="1534"/>
    </row>
    <row r="4" spans="1:56" ht="28.5" hidden="1" customHeight="1" x14ac:dyDescent="0.3">
      <c r="A4" s="2022" t="s">
        <v>2772</v>
      </c>
      <c r="B4" s="2022"/>
      <c r="C4" s="2022"/>
      <c r="D4" s="2022"/>
      <c r="E4" s="2022"/>
      <c r="F4" s="2022"/>
      <c r="G4" s="2022"/>
      <c r="H4" s="2022"/>
      <c r="I4" s="2022"/>
      <c r="J4" s="2022"/>
      <c r="K4" s="2022"/>
      <c r="L4" s="2022"/>
      <c r="M4" s="2022"/>
      <c r="N4" s="2025"/>
      <c r="O4" s="2025"/>
      <c r="P4" s="2025"/>
      <c r="Q4" s="2025"/>
      <c r="R4" s="2025"/>
      <c r="S4" s="2025"/>
      <c r="T4" s="2025"/>
      <c r="U4" s="2025"/>
      <c r="V4" s="2025"/>
      <c r="W4" s="2025"/>
      <c r="X4" s="2025"/>
      <c r="Y4" s="2025"/>
      <c r="Z4" s="2025"/>
      <c r="AA4" s="2025"/>
      <c r="AB4" s="2022"/>
      <c r="AC4" s="2022"/>
      <c r="AD4" s="2022"/>
      <c r="AE4" s="2022"/>
      <c r="AF4" s="2022"/>
      <c r="AG4" s="2022"/>
      <c r="AH4" s="2025"/>
      <c r="AI4" s="2025"/>
      <c r="AJ4" s="2025"/>
      <c r="AK4" s="2025"/>
      <c r="AL4" s="2025"/>
      <c r="AM4" s="2025"/>
      <c r="AN4" s="2022"/>
      <c r="AO4" s="1838"/>
      <c r="AP4" s="1428"/>
      <c r="AQ4" s="1428"/>
    </row>
    <row r="5" spans="1:56" ht="27" hidden="1" customHeight="1" x14ac:dyDescent="0.3">
      <c r="A5" s="1930" t="s">
        <v>2424</v>
      </c>
      <c r="B5" s="1930"/>
      <c r="C5" s="1930"/>
      <c r="D5" s="1930"/>
      <c r="E5" s="1930"/>
      <c r="F5" s="1930"/>
      <c r="G5" s="193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c r="AF5" s="1930"/>
      <c r="AG5" s="1930"/>
      <c r="AH5" s="1930"/>
      <c r="AI5" s="1930"/>
      <c r="AJ5" s="1930"/>
      <c r="AK5" s="1930"/>
      <c r="AL5" s="1930"/>
      <c r="AM5" s="1930"/>
      <c r="AN5" s="1930"/>
      <c r="AO5" s="1838"/>
      <c r="AP5" s="1428"/>
      <c r="AQ5" s="1428"/>
    </row>
    <row r="6" spans="1:56" ht="41.25" customHeight="1" x14ac:dyDescent="0.3">
      <c r="A6" s="2022" t="s">
        <v>3474</v>
      </c>
      <c r="B6" s="2022"/>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022"/>
      <c r="AL6" s="2022"/>
      <c r="AM6" s="2022"/>
      <c r="AN6" s="2022"/>
      <c r="AO6" s="1838"/>
      <c r="AP6" s="1428"/>
      <c r="AQ6" s="1428"/>
    </row>
    <row r="7" spans="1:56" ht="22.5" hidden="1" customHeight="1" x14ac:dyDescent="0.3">
      <c r="A7" s="1930" t="s">
        <v>5</v>
      </c>
      <c r="B7" s="1930"/>
      <c r="C7" s="1930"/>
      <c r="D7" s="1930"/>
      <c r="E7" s="1930"/>
      <c r="F7" s="1930"/>
      <c r="G7" s="1930"/>
      <c r="H7" s="1930"/>
      <c r="I7" s="1930"/>
      <c r="J7" s="1930"/>
      <c r="K7" s="1930"/>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838"/>
      <c r="AP7" s="1428"/>
      <c r="AQ7" s="1428"/>
    </row>
    <row r="8" spans="1:56" ht="21" customHeight="1" x14ac:dyDescent="0.3">
      <c r="A8" s="1838"/>
      <c r="B8" s="1838"/>
      <c r="C8" s="1838"/>
      <c r="D8" s="1838"/>
      <c r="E8" s="1838"/>
      <c r="F8" s="1428"/>
      <c r="G8" s="1428"/>
      <c r="H8" s="1838"/>
      <c r="I8" s="1838"/>
      <c r="J8" s="1838"/>
      <c r="K8" s="1838"/>
      <c r="L8" s="1838"/>
      <c r="M8" s="1838"/>
      <c r="N8" s="1838"/>
      <c r="O8" s="1838"/>
      <c r="P8" s="1838"/>
      <c r="Q8" s="1838"/>
      <c r="R8" s="1429"/>
      <c r="S8" s="1429"/>
      <c r="T8" s="1838"/>
      <c r="U8" s="1838"/>
      <c r="V8" s="1838"/>
      <c r="W8" s="1838"/>
      <c r="X8" s="1838"/>
      <c r="Y8" s="1838"/>
      <c r="Z8" s="1429"/>
      <c r="AA8" s="1429"/>
      <c r="AB8" s="1429"/>
      <c r="AC8" s="1429"/>
      <c r="AD8" s="1429"/>
      <c r="AE8" s="1429"/>
      <c r="AF8" s="1429"/>
      <c r="AG8" s="1429"/>
      <c r="AH8" s="1429"/>
      <c r="AI8" s="1429"/>
      <c r="AJ8" s="1429"/>
      <c r="AK8" s="1429"/>
      <c r="AL8" s="1429"/>
      <c r="AM8" s="1429"/>
      <c r="AN8" s="1838"/>
      <c r="AO8" s="1838"/>
      <c r="AP8" s="1428"/>
      <c r="AQ8" s="1428"/>
    </row>
    <row r="9" spans="1:56" ht="20.25" x14ac:dyDescent="0.3">
      <c r="A9" s="2026" t="s">
        <v>6</v>
      </c>
      <c r="B9" s="2026"/>
      <c r="C9" s="2026"/>
      <c r="D9" s="2026"/>
      <c r="E9" s="2026"/>
      <c r="F9" s="2026"/>
      <c r="G9" s="2026"/>
      <c r="H9" s="2026"/>
      <c r="I9" s="2026"/>
      <c r="J9" s="2026"/>
      <c r="K9" s="2026"/>
      <c r="L9" s="2026"/>
      <c r="M9" s="2026"/>
      <c r="N9" s="2027"/>
      <c r="O9" s="2027"/>
      <c r="P9" s="2027"/>
      <c r="Q9" s="2027"/>
      <c r="R9" s="2027"/>
      <c r="S9" s="2027"/>
      <c r="T9" s="2028"/>
      <c r="U9" s="2028"/>
      <c r="V9" s="2028"/>
      <c r="W9" s="2028"/>
      <c r="X9" s="2026"/>
      <c r="Y9" s="2026"/>
      <c r="Z9" s="2027"/>
      <c r="AA9" s="2027"/>
      <c r="AB9" s="2029"/>
      <c r="AC9" s="2029"/>
      <c r="AD9" s="2026"/>
      <c r="AE9" s="2026"/>
      <c r="AF9" s="2026"/>
      <c r="AG9" s="2026"/>
      <c r="AH9" s="2028"/>
      <c r="AI9" s="2028"/>
      <c r="AJ9" s="2028"/>
      <c r="AK9" s="2028"/>
      <c r="AL9" s="2028"/>
      <c r="AM9" s="2028"/>
      <c r="AN9" s="2026"/>
      <c r="AO9" s="1841"/>
      <c r="AP9" s="1428"/>
      <c r="AQ9" s="1428"/>
    </row>
    <row r="10" spans="1:56" ht="18.75" customHeight="1" x14ac:dyDescent="0.3">
      <c r="A10" s="2030" t="s">
        <v>7</v>
      </c>
      <c r="B10" s="2030" t="s">
        <v>2490</v>
      </c>
      <c r="C10" s="2030" t="s">
        <v>8</v>
      </c>
      <c r="D10" s="2030" t="s">
        <v>9</v>
      </c>
      <c r="E10" s="2030" t="s">
        <v>10</v>
      </c>
      <c r="F10" s="2030" t="s">
        <v>11</v>
      </c>
      <c r="G10" s="2030" t="s">
        <v>12</v>
      </c>
      <c r="H10" s="2030"/>
      <c r="I10" s="2030"/>
      <c r="J10" s="2030" t="s">
        <v>2702</v>
      </c>
      <c r="K10" s="2030"/>
      <c r="L10" s="2030" t="s">
        <v>13</v>
      </c>
      <c r="M10" s="2030"/>
      <c r="N10" s="2030" t="s">
        <v>14</v>
      </c>
      <c r="O10" s="2030"/>
      <c r="P10" s="2030" t="s">
        <v>907</v>
      </c>
      <c r="Q10" s="2030"/>
      <c r="R10" s="2031" t="s">
        <v>894</v>
      </c>
      <c r="S10" s="2031"/>
      <c r="T10" s="2030" t="s">
        <v>2539</v>
      </c>
      <c r="U10" s="2030"/>
      <c r="V10" s="2031" t="s">
        <v>2538</v>
      </c>
      <c r="W10" s="2031"/>
      <c r="X10" s="2030" t="s">
        <v>2642</v>
      </c>
      <c r="Y10" s="2030"/>
      <c r="Z10" s="2031" t="s">
        <v>2538</v>
      </c>
      <c r="AA10" s="2031"/>
      <c r="AB10" s="2030" t="s">
        <v>3483</v>
      </c>
      <c r="AC10" s="2030"/>
      <c r="AD10" s="2031" t="s">
        <v>2747</v>
      </c>
      <c r="AE10" s="2031"/>
      <c r="AF10" s="2030" t="s">
        <v>2746</v>
      </c>
      <c r="AG10" s="2030"/>
      <c r="AH10" s="1879"/>
      <c r="AI10" s="1879"/>
      <c r="AJ10" s="1879"/>
      <c r="AK10" s="1879"/>
      <c r="AL10" s="1879"/>
      <c r="AM10" s="1879"/>
      <c r="AN10" s="2030" t="s">
        <v>1870</v>
      </c>
      <c r="AO10" s="2030" t="s">
        <v>2775</v>
      </c>
      <c r="AP10" s="2034" t="s">
        <v>22</v>
      </c>
      <c r="AQ10" s="2032" t="s">
        <v>2218</v>
      </c>
      <c r="AR10" s="2032" t="s">
        <v>23</v>
      </c>
      <c r="AS10" s="1842"/>
      <c r="AT10" s="2032" t="s">
        <v>24</v>
      </c>
      <c r="AU10" s="1842"/>
      <c r="AV10" s="2036" t="s">
        <v>25</v>
      </c>
      <c r="AW10" s="2034"/>
      <c r="AX10" s="2036" t="s">
        <v>26</v>
      </c>
      <c r="AY10" s="2034"/>
      <c r="AZ10" s="2036" t="s">
        <v>27</v>
      </c>
      <c r="BA10" s="2034"/>
      <c r="BB10" s="2036" t="s">
        <v>28</v>
      </c>
      <c r="BC10" s="2034"/>
      <c r="BD10" s="2034" t="s">
        <v>2546</v>
      </c>
    </row>
    <row r="11" spans="1:56" ht="78" customHeight="1" x14ac:dyDescent="0.3">
      <c r="A11" s="2030"/>
      <c r="B11" s="2030"/>
      <c r="C11" s="2030"/>
      <c r="D11" s="2030"/>
      <c r="E11" s="2030"/>
      <c r="F11" s="2030"/>
      <c r="G11" s="2030"/>
      <c r="H11" s="2030"/>
      <c r="I11" s="2030"/>
      <c r="J11" s="2030"/>
      <c r="K11" s="2030"/>
      <c r="L11" s="2030"/>
      <c r="M11" s="2030"/>
      <c r="N11" s="2030"/>
      <c r="O11" s="2030"/>
      <c r="P11" s="2030"/>
      <c r="Q11" s="2030"/>
      <c r="R11" s="2031"/>
      <c r="S11" s="2031"/>
      <c r="T11" s="2030"/>
      <c r="U11" s="2030"/>
      <c r="V11" s="2031"/>
      <c r="W11" s="2031"/>
      <c r="X11" s="2030"/>
      <c r="Y11" s="2030"/>
      <c r="Z11" s="2031"/>
      <c r="AA11" s="2031"/>
      <c r="AB11" s="2030"/>
      <c r="AC11" s="2030"/>
      <c r="AD11" s="2031"/>
      <c r="AE11" s="2031"/>
      <c r="AF11" s="2030"/>
      <c r="AG11" s="2030"/>
      <c r="AH11" s="1879" t="s">
        <v>2742</v>
      </c>
      <c r="AI11" s="1388">
        <v>2016</v>
      </c>
      <c r="AJ11" s="1388" t="s">
        <v>3482</v>
      </c>
      <c r="AK11" s="1388">
        <v>2018</v>
      </c>
      <c r="AL11" s="1388">
        <v>2019</v>
      </c>
      <c r="AM11" s="1388">
        <v>2020</v>
      </c>
      <c r="AN11" s="2030"/>
      <c r="AO11" s="2030"/>
      <c r="AP11" s="2035"/>
      <c r="AQ11" s="2033"/>
      <c r="AR11" s="2033"/>
      <c r="AS11" s="1843"/>
      <c r="AT11" s="2033"/>
      <c r="AU11" s="1843"/>
      <c r="AV11" s="2037" t="s">
        <v>29</v>
      </c>
      <c r="AW11" s="2037" t="s">
        <v>30</v>
      </c>
      <c r="AX11" s="2037" t="s">
        <v>29</v>
      </c>
      <c r="AY11" s="2037" t="s">
        <v>31</v>
      </c>
      <c r="AZ11" s="2037" t="s">
        <v>29</v>
      </c>
      <c r="BA11" s="2037" t="s">
        <v>31</v>
      </c>
      <c r="BB11" s="2037" t="s">
        <v>29</v>
      </c>
      <c r="BC11" s="2037" t="s">
        <v>30</v>
      </c>
      <c r="BD11" s="2035"/>
    </row>
    <row r="12" spans="1:56" ht="26.25" customHeight="1" x14ac:dyDescent="0.3">
      <c r="A12" s="2030"/>
      <c r="B12" s="2030"/>
      <c r="C12" s="2030"/>
      <c r="D12" s="2030"/>
      <c r="E12" s="2030"/>
      <c r="F12" s="2030"/>
      <c r="G12" s="2030" t="s">
        <v>32</v>
      </c>
      <c r="H12" s="2030" t="s">
        <v>33</v>
      </c>
      <c r="I12" s="2030"/>
      <c r="J12" s="2030" t="s">
        <v>34</v>
      </c>
      <c r="K12" s="2030" t="s">
        <v>35</v>
      </c>
      <c r="L12" s="2030" t="s">
        <v>34</v>
      </c>
      <c r="M12" s="2030" t="s">
        <v>35</v>
      </c>
      <c r="N12" s="2030" t="s">
        <v>34</v>
      </c>
      <c r="O12" s="2030" t="s">
        <v>35</v>
      </c>
      <c r="P12" s="2030" t="s">
        <v>34</v>
      </c>
      <c r="Q12" s="2030" t="s">
        <v>35</v>
      </c>
      <c r="R12" s="2031" t="s">
        <v>36</v>
      </c>
      <c r="S12" s="2031" t="s">
        <v>37</v>
      </c>
      <c r="T12" s="2030" t="s">
        <v>34</v>
      </c>
      <c r="U12" s="2030" t="s">
        <v>35</v>
      </c>
      <c r="V12" s="2031" t="s">
        <v>36</v>
      </c>
      <c r="W12" s="2031" t="s">
        <v>37</v>
      </c>
      <c r="X12" s="2030" t="s">
        <v>34</v>
      </c>
      <c r="Y12" s="2030" t="s">
        <v>35</v>
      </c>
      <c r="Z12" s="2031" t="s">
        <v>36</v>
      </c>
      <c r="AA12" s="2031" t="s">
        <v>37</v>
      </c>
      <c r="AB12" s="2030" t="s">
        <v>34</v>
      </c>
      <c r="AC12" s="2030" t="s">
        <v>35</v>
      </c>
      <c r="AD12" s="2031" t="s">
        <v>36</v>
      </c>
      <c r="AE12" s="2031" t="s">
        <v>37</v>
      </c>
      <c r="AF12" s="2030" t="s">
        <v>3468</v>
      </c>
      <c r="AG12" s="2030" t="s">
        <v>35</v>
      </c>
      <c r="AH12" s="1879"/>
      <c r="AI12" s="1879"/>
      <c r="AJ12" s="1879"/>
      <c r="AK12" s="1879"/>
      <c r="AL12" s="1879"/>
      <c r="AM12" s="1879"/>
      <c r="AN12" s="2030"/>
      <c r="AO12" s="2030"/>
      <c r="AP12" s="2035"/>
      <c r="AQ12" s="2033"/>
      <c r="AR12" s="2033"/>
      <c r="AS12" s="1843"/>
      <c r="AT12" s="2033"/>
      <c r="AU12" s="1843"/>
      <c r="AV12" s="2038"/>
      <c r="AW12" s="2038"/>
      <c r="AX12" s="2038"/>
      <c r="AY12" s="2038"/>
      <c r="AZ12" s="2038"/>
      <c r="BA12" s="2038"/>
      <c r="BB12" s="2038"/>
      <c r="BC12" s="2038"/>
      <c r="BD12" s="2035"/>
    </row>
    <row r="13" spans="1:56" x14ac:dyDescent="0.3">
      <c r="A13" s="2030"/>
      <c r="B13" s="2030"/>
      <c r="C13" s="2030"/>
      <c r="D13" s="2030"/>
      <c r="E13" s="2030"/>
      <c r="F13" s="2030"/>
      <c r="G13" s="2030"/>
      <c r="H13" s="2030" t="s">
        <v>3469</v>
      </c>
      <c r="I13" s="2030" t="s">
        <v>35</v>
      </c>
      <c r="J13" s="2030"/>
      <c r="K13" s="2030"/>
      <c r="L13" s="2030"/>
      <c r="M13" s="2030"/>
      <c r="N13" s="2030"/>
      <c r="O13" s="2030"/>
      <c r="P13" s="2030"/>
      <c r="Q13" s="2030"/>
      <c r="R13" s="2031"/>
      <c r="S13" s="2031"/>
      <c r="T13" s="2030"/>
      <c r="U13" s="2030"/>
      <c r="V13" s="2031"/>
      <c r="W13" s="2031"/>
      <c r="X13" s="2030"/>
      <c r="Y13" s="2030"/>
      <c r="Z13" s="2031"/>
      <c r="AA13" s="2031"/>
      <c r="AB13" s="2030"/>
      <c r="AC13" s="2030"/>
      <c r="AD13" s="2031"/>
      <c r="AE13" s="2031"/>
      <c r="AF13" s="2030"/>
      <c r="AG13" s="2030"/>
      <c r="AH13" s="1879">
        <f>AG16-AC16</f>
        <v>0</v>
      </c>
      <c r="AI13" s="1879">
        <f>AE16+AD16</f>
        <v>0</v>
      </c>
      <c r="AJ13" s="1879"/>
      <c r="AK13" s="1879"/>
      <c r="AL13" s="1879"/>
      <c r="AM13" s="1879"/>
      <c r="AN13" s="2030"/>
      <c r="AO13" s="2030"/>
      <c r="AP13" s="2035"/>
      <c r="AQ13" s="2033"/>
      <c r="AR13" s="2033"/>
      <c r="AS13" s="1843"/>
      <c r="AT13" s="2033"/>
      <c r="AU13" s="1843"/>
      <c r="AV13" s="2038"/>
      <c r="AW13" s="2038"/>
      <c r="AX13" s="2038"/>
      <c r="AY13" s="2038"/>
      <c r="AZ13" s="2038"/>
      <c r="BA13" s="2038"/>
      <c r="BB13" s="2038"/>
      <c r="BC13" s="2038"/>
      <c r="BD13" s="2035"/>
    </row>
    <row r="14" spans="1:56" ht="52.5" customHeight="1" x14ac:dyDescent="0.3">
      <c r="A14" s="2030"/>
      <c r="B14" s="2030"/>
      <c r="C14" s="2030"/>
      <c r="D14" s="2030"/>
      <c r="E14" s="2030"/>
      <c r="F14" s="2030"/>
      <c r="G14" s="2030"/>
      <c r="H14" s="2030"/>
      <c r="I14" s="2030"/>
      <c r="J14" s="2030"/>
      <c r="K14" s="2030"/>
      <c r="L14" s="2030"/>
      <c r="M14" s="2030"/>
      <c r="N14" s="2030"/>
      <c r="O14" s="2030"/>
      <c r="P14" s="2030"/>
      <c r="Q14" s="2030"/>
      <c r="R14" s="2031"/>
      <c r="S14" s="2031"/>
      <c r="T14" s="2030"/>
      <c r="U14" s="2030"/>
      <c r="V14" s="2031"/>
      <c r="W14" s="2031"/>
      <c r="X14" s="2030"/>
      <c r="Y14" s="2030"/>
      <c r="Z14" s="2031"/>
      <c r="AA14" s="2031"/>
      <c r="AB14" s="2030"/>
      <c r="AC14" s="2030"/>
      <c r="AD14" s="2031"/>
      <c r="AE14" s="2031"/>
      <c r="AF14" s="2030"/>
      <c r="AG14" s="2030"/>
      <c r="AH14" s="1879"/>
      <c r="AI14" s="1879"/>
      <c r="AJ14" s="1879"/>
      <c r="AK14" s="1879"/>
      <c r="AL14" s="1879"/>
      <c r="AM14" s="1879"/>
      <c r="AN14" s="2030"/>
      <c r="AO14" s="2030"/>
      <c r="AP14" s="2035"/>
      <c r="AQ14" s="2033"/>
      <c r="AR14" s="2033"/>
      <c r="AS14" s="1843"/>
      <c r="AT14" s="2033"/>
      <c r="AU14" s="1843"/>
      <c r="AV14" s="2039"/>
      <c r="AW14" s="2039"/>
      <c r="AX14" s="2039"/>
      <c r="AY14" s="2039"/>
      <c r="AZ14" s="2039"/>
      <c r="BA14" s="2039"/>
      <c r="BB14" s="2039"/>
      <c r="BC14" s="2039"/>
      <c r="BD14" s="2035"/>
    </row>
    <row r="15" spans="1:56" x14ac:dyDescent="0.3">
      <c r="A15" s="1430">
        <v>1</v>
      </c>
      <c r="B15" s="1430"/>
      <c r="C15" s="1430">
        <v>2</v>
      </c>
      <c r="D15" s="1430">
        <v>3</v>
      </c>
      <c r="E15" s="1430">
        <v>4</v>
      </c>
      <c r="F15" s="1430">
        <v>5</v>
      </c>
      <c r="G15" s="1430">
        <v>6</v>
      </c>
      <c r="H15" s="1430">
        <v>7</v>
      </c>
      <c r="I15" s="1430">
        <v>8</v>
      </c>
      <c r="J15" s="1430">
        <v>9</v>
      </c>
      <c r="K15" s="1430">
        <v>10</v>
      </c>
      <c r="L15" s="1430">
        <v>11</v>
      </c>
      <c r="M15" s="1430">
        <v>12</v>
      </c>
      <c r="N15" s="1430">
        <v>13</v>
      </c>
      <c r="O15" s="1430">
        <v>14</v>
      </c>
      <c r="P15" s="1430">
        <v>11</v>
      </c>
      <c r="Q15" s="1430">
        <v>12</v>
      </c>
      <c r="R15" s="1430">
        <v>15</v>
      </c>
      <c r="S15" s="1430">
        <v>16</v>
      </c>
      <c r="T15" s="1430">
        <v>13</v>
      </c>
      <c r="U15" s="1430">
        <v>14</v>
      </c>
      <c r="V15" s="1430">
        <v>15</v>
      </c>
      <c r="W15" s="1430">
        <v>16</v>
      </c>
      <c r="X15" s="1430">
        <v>17</v>
      </c>
      <c r="Y15" s="1430">
        <v>18</v>
      </c>
      <c r="Z15" s="1430">
        <v>25</v>
      </c>
      <c r="AA15" s="1430">
        <v>26</v>
      </c>
      <c r="AB15" s="1430">
        <v>13</v>
      </c>
      <c r="AC15" s="1430">
        <v>14</v>
      </c>
      <c r="AD15" s="1430">
        <v>15</v>
      </c>
      <c r="AE15" s="1430">
        <v>16</v>
      </c>
      <c r="AF15" s="1430">
        <v>17</v>
      </c>
      <c r="AG15" s="1430">
        <v>18</v>
      </c>
      <c r="AH15" s="1430"/>
      <c r="AI15" s="1430"/>
      <c r="AJ15" s="1430"/>
      <c r="AK15" s="1430"/>
      <c r="AL15" s="1430"/>
      <c r="AM15" s="1430"/>
      <c r="AN15" s="1430">
        <v>19</v>
      </c>
      <c r="AO15" s="1430"/>
      <c r="AP15" s="1431"/>
      <c r="AQ15" s="1431"/>
    </row>
    <row r="16" spans="1:56" ht="39" customHeight="1" x14ac:dyDescent="0.3">
      <c r="A16" s="1437"/>
      <c r="B16" s="1430"/>
      <c r="C16" s="1432" t="s">
        <v>38</v>
      </c>
      <c r="D16" s="1430"/>
      <c r="E16" s="1430"/>
      <c r="F16" s="1430"/>
      <c r="G16" s="1430"/>
      <c r="H16" s="1433">
        <f t="shared" ref="H16:Y16" si="0">H17+H32+H434+H435</f>
        <v>18521138</v>
      </c>
      <c r="I16" s="1433">
        <f t="shared" si="0"/>
        <v>14481722</v>
      </c>
      <c r="J16" s="1433">
        <f t="shared" si="0"/>
        <v>1244077</v>
      </c>
      <c r="K16" s="1433">
        <f t="shared" si="0"/>
        <v>965391</v>
      </c>
      <c r="L16" s="1433">
        <f t="shared" si="0"/>
        <v>1166363</v>
      </c>
      <c r="M16" s="1433">
        <f t="shared" si="0"/>
        <v>956691</v>
      </c>
      <c r="N16" s="1433">
        <f t="shared" si="0"/>
        <v>7552003.7000000002</v>
      </c>
      <c r="O16" s="1433">
        <f t="shared" si="0"/>
        <v>4205349.6999999993</v>
      </c>
      <c r="P16" s="1433">
        <f t="shared" si="0"/>
        <v>7800647.7000000002</v>
      </c>
      <c r="Q16" s="1433">
        <f t="shared" si="0"/>
        <v>5026968.2</v>
      </c>
      <c r="R16" s="1433">
        <f t="shared" si="0"/>
        <v>1340628</v>
      </c>
      <c r="S16" s="1433">
        <f t="shared" si="0"/>
        <v>572119.6</v>
      </c>
      <c r="T16" s="1433">
        <f t="shared" si="0"/>
        <v>8085146.0999999996</v>
      </c>
      <c r="U16" s="1433">
        <f t="shared" si="0"/>
        <v>5174958.0999999996</v>
      </c>
      <c r="V16" s="1433">
        <f t="shared" si="0"/>
        <v>1429520</v>
      </c>
      <c r="W16" s="1433">
        <f t="shared" si="0"/>
        <v>67013</v>
      </c>
      <c r="X16" s="1433">
        <f t="shared" si="0"/>
        <v>9486153.0999999996</v>
      </c>
      <c r="Y16" s="1433">
        <f t="shared" si="0"/>
        <v>6482315.0999999996</v>
      </c>
      <c r="Z16" s="1433">
        <v>368600</v>
      </c>
      <c r="AA16" s="1433">
        <v>0</v>
      </c>
      <c r="AB16" s="1433">
        <v>9705715.0999999996</v>
      </c>
      <c r="AC16" s="1433">
        <v>6858343.0999999996</v>
      </c>
      <c r="AD16" s="1433">
        <f t="shared" ref="AD16:AM16" si="1">AD32+AD17+AD434+AD435</f>
        <v>248190</v>
      </c>
      <c r="AE16" s="1527">
        <f t="shared" si="1"/>
        <v>-248190</v>
      </c>
      <c r="AF16" s="1433">
        <f t="shared" si="1"/>
        <v>9755715.0999999996</v>
      </c>
      <c r="AG16" s="1433">
        <f t="shared" si="1"/>
        <v>6858343.0999999996</v>
      </c>
      <c r="AH16" s="1433">
        <f t="shared" si="1"/>
        <v>5991619</v>
      </c>
      <c r="AI16" s="1433">
        <f t="shared" si="1"/>
        <v>1045178</v>
      </c>
      <c r="AJ16" s="1433">
        <f t="shared" si="1"/>
        <v>876693</v>
      </c>
      <c r="AK16" s="1433">
        <f t="shared" si="1"/>
        <v>973194</v>
      </c>
      <c r="AL16" s="1433">
        <f t="shared" si="1"/>
        <v>1233519</v>
      </c>
      <c r="AM16" s="1433">
        <f t="shared" si="1"/>
        <v>1873886</v>
      </c>
      <c r="AN16" s="1430"/>
      <c r="AO16" s="1430"/>
      <c r="AP16" s="1431">
        <f>IF(AG16-AC16=0,0,1)</f>
        <v>0</v>
      </c>
      <c r="AQ16" s="1431">
        <f>IF(Y16=0,0,1)</f>
        <v>1</v>
      </c>
      <c r="AR16" s="1434"/>
      <c r="AS16" s="1917">
        <f>AE16+AD16</f>
        <v>0</v>
      </c>
      <c r="AT16" s="1435">
        <f>U16+V16-W16</f>
        <v>6537465.0999999996</v>
      </c>
      <c r="AU16" s="1435"/>
      <c r="BD16" s="1436">
        <f t="shared" ref="BD16:BD24" si="2">IF(I16-Y16&gt;=0,1,0)</f>
        <v>1</v>
      </c>
    </row>
    <row r="17" spans="1:56" ht="33" customHeight="1" x14ac:dyDescent="0.3">
      <c r="A17" s="1489" t="s">
        <v>39</v>
      </c>
      <c r="B17" s="1437"/>
      <c r="C17" s="1438" t="s">
        <v>40</v>
      </c>
      <c r="D17" s="1381"/>
      <c r="E17" s="1381"/>
      <c r="F17" s="1381"/>
      <c r="G17" s="1381"/>
      <c r="H17" s="1439"/>
      <c r="I17" s="1439"/>
      <c r="J17" s="1439"/>
      <c r="K17" s="1439"/>
      <c r="L17" s="1439"/>
      <c r="M17" s="1439"/>
      <c r="N17" s="1439">
        <f>O17</f>
        <v>145000</v>
      </c>
      <c r="O17" s="1439">
        <v>145000</v>
      </c>
      <c r="P17" s="1439">
        <f>Q17</f>
        <v>145000</v>
      </c>
      <c r="Q17" s="1439">
        <v>145000</v>
      </c>
      <c r="R17" s="1439"/>
      <c r="S17" s="1439">
        <v>65000</v>
      </c>
      <c r="T17" s="1439">
        <f>U17</f>
        <v>80000</v>
      </c>
      <c r="U17" s="1439">
        <f>Q17-S17</f>
        <v>80000</v>
      </c>
      <c r="V17" s="1439">
        <v>88000</v>
      </c>
      <c r="W17" s="1439"/>
      <c r="X17" s="1439">
        <f>Y17</f>
        <v>168000</v>
      </c>
      <c r="Y17" s="1439">
        <f>V17+U17</f>
        <v>168000</v>
      </c>
      <c r="Z17" s="1439"/>
      <c r="AA17" s="1439"/>
      <c r="AB17" s="1439">
        <v>168000</v>
      </c>
      <c r="AC17" s="1439">
        <v>168000</v>
      </c>
      <c r="AD17" s="1439"/>
      <c r="AE17" s="1439"/>
      <c r="AF17" s="1439">
        <f>AG17</f>
        <v>168000</v>
      </c>
      <c r="AG17" s="1439">
        <f>AC17+AD17+AE17</f>
        <v>168000</v>
      </c>
      <c r="AH17" s="1439">
        <f>SUM(AI17:AM17)</f>
        <v>189740</v>
      </c>
      <c r="AI17" s="1439">
        <v>7714</v>
      </c>
      <c r="AJ17" s="1439">
        <v>40495</v>
      </c>
      <c r="AK17" s="1439">
        <v>70000</v>
      </c>
      <c r="AL17" s="1439">
        <v>28731</v>
      </c>
      <c r="AM17" s="1439">
        <v>42800</v>
      </c>
      <c r="AN17" s="1440"/>
      <c r="AO17" s="1440"/>
      <c r="AP17" s="1431">
        <f t="shared" ref="AP17:AP80" si="3">IF(AG17-AC17=0,0,1)</f>
        <v>0</v>
      </c>
      <c r="AQ17" s="1431">
        <f>IF(Y17=0,0,1)</f>
        <v>1</v>
      </c>
      <c r="AR17" s="1434"/>
      <c r="AS17" s="1434"/>
      <c r="AT17" s="1435">
        <f>U17+V17-W17</f>
        <v>168000</v>
      </c>
      <c r="BD17" s="1436">
        <f t="shared" si="2"/>
        <v>0</v>
      </c>
    </row>
    <row r="18" spans="1:56" ht="21.75" customHeight="1" x14ac:dyDescent="0.3">
      <c r="A18" s="1489"/>
      <c r="B18" s="1437"/>
      <c r="C18" s="1441" t="s">
        <v>49</v>
      </c>
      <c r="D18" s="1381"/>
      <c r="E18" s="1381"/>
      <c r="F18" s="1381"/>
      <c r="G18" s="1381"/>
      <c r="H18" s="1439"/>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383"/>
      <c r="AG18" s="1383"/>
      <c r="AH18" s="1383"/>
      <c r="AI18" s="1383"/>
      <c r="AJ18" s="1383"/>
      <c r="AK18" s="1383"/>
      <c r="AL18" s="1383"/>
      <c r="AM18" s="1383"/>
      <c r="AN18" s="1440"/>
      <c r="AO18" s="1440"/>
      <c r="AP18" s="1431">
        <f t="shared" si="3"/>
        <v>0</v>
      </c>
      <c r="AQ18" s="1431"/>
      <c r="AR18" s="1434"/>
      <c r="AS18" s="1434"/>
      <c r="AT18" s="1435"/>
      <c r="BD18" s="1436">
        <f t="shared" si="2"/>
        <v>1</v>
      </c>
    </row>
    <row r="19" spans="1:56" ht="118.5" customHeight="1" x14ac:dyDescent="0.3">
      <c r="A19" s="1489">
        <v>1</v>
      </c>
      <c r="B19" s="1489"/>
      <c r="C19" s="1442" t="s">
        <v>2495</v>
      </c>
      <c r="D19" s="1388" t="s">
        <v>2502</v>
      </c>
      <c r="E19" s="1388"/>
      <c r="F19" s="1388" t="s">
        <v>165</v>
      </c>
      <c r="G19" s="1388"/>
      <c r="H19" s="1443">
        <f t="shared" ref="H19:H21" si="4">I19</f>
        <v>446550</v>
      </c>
      <c r="I19" s="1444">
        <v>446550</v>
      </c>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383"/>
      <c r="AG19" s="1383"/>
      <c r="AH19" s="1383"/>
      <c r="AI19" s="1383"/>
      <c r="AJ19" s="1383"/>
      <c r="AK19" s="1383"/>
      <c r="AL19" s="1383"/>
      <c r="AM19" s="1383"/>
      <c r="AN19" s="1381"/>
      <c r="AO19" s="1381"/>
      <c r="AP19" s="1431">
        <f t="shared" si="3"/>
        <v>0</v>
      </c>
      <c r="AQ19" s="1431"/>
      <c r="AR19" s="1434"/>
      <c r="AS19" s="1434"/>
      <c r="AT19" s="1435"/>
      <c r="BD19" s="1436">
        <f t="shared" si="2"/>
        <v>1</v>
      </c>
    </row>
    <row r="20" spans="1:56" ht="58.5" customHeight="1" x14ac:dyDescent="0.3">
      <c r="A20" s="1489">
        <v>2</v>
      </c>
      <c r="B20" s="1489"/>
      <c r="C20" s="1442" t="s">
        <v>2496</v>
      </c>
      <c r="D20" s="1388" t="s">
        <v>95</v>
      </c>
      <c r="E20" s="1388"/>
      <c r="F20" s="1388" t="s">
        <v>165</v>
      </c>
      <c r="G20" s="1388"/>
      <c r="H20" s="1443">
        <f t="shared" si="4"/>
        <v>106080</v>
      </c>
      <c r="I20" s="1444">
        <v>106080</v>
      </c>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383"/>
      <c r="AG20" s="1383"/>
      <c r="AH20" s="1383"/>
      <c r="AI20" s="1383"/>
      <c r="AJ20" s="1383"/>
      <c r="AK20" s="1383"/>
      <c r="AL20" s="1383"/>
      <c r="AM20" s="1383"/>
      <c r="AN20" s="1381"/>
      <c r="AO20" s="1381"/>
      <c r="AP20" s="1431">
        <f t="shared" si="3"/>
        <v>0</v>
      </c>
      <c r="AQ20" s="1431"/>
      <c r="AR20" s="1434"/>
      <c r="AS20" s="1434"/>
      <c r="AT20" s="1435"/>
      <c r="BD20" s="1436">
        <f t="shared" si="2"/>
        <v>1</v>
      </c>
    </row>
    <row r="21" spans="1:56" ht="58.5" customHeight="1" x14ac:dyDescent="0.3">
      <c r="A21" s="1489">
        <v>3</v>
      </c>
      <c r="B21" s="1489"/>
      <c r="C21" s="1442" t="s">
        <v>2497</v>
      </c>
      <c r="D21" s="1388" t="s">
        <v>70</v>
      </c>
      <c r="E21" s="1388"/>
      <c r="F21" s="1388" t="s">
        <v>165</v>
      </c>
      <c r="G21" s="1388"/>
      <c r="H21" s="1443">
        <f t="shared" si="4"/>
        <v>35470</v>
      </c>
      <c r="I21" s="1444">
        <v>35470</v>
      </c>
      <c r="J21" s="1439"/>
      <c r="K21" s="1439"/>
      <c r="L21" s="1439"/>
      <c r="M21" s="1439"/>
      <c r="N21" s="1439"/>
      <c r="O21" s="1439"/>
      <c r="P21" s="1439"/>
      <c r="Q21" s="1439"/>
      <c r="R21" s="1439"/>
      <c r="S21" s="1439"/>
      <c r="T21" s="1439"/>
      <c r="U21" s="1439"/>
      <c r="V21" s="1439"/>
      <c r="W21" s="1439"/>
      <c r="X21" s="1439"/>
      <c r="Y21" s="1439"/>
      <c r="Z21" s="1439"/>
      <c r="AA21" s="1439"/>
      <c r="AB21" s="1439"/>
      <c r="AC21" s="1439"/>
      <c r="AD21" s="1439"/>
      <c r="AE21" s="1439"/>
      <c r="AF21" s="1383"/>
      <c r="AG21" s="1383"/>
      <c r="AH21" s="1383"/>
      <c r="AI21" s="1383"/>
      <c r="AJ21" s="1383"/>
      <c r="AK21" s="1383"/>
      <c r="AL21" s="1383"/>
      <c r="AM21" s="1383"/>
      <c r="AN21" s="1381"/>
      <c r="AO21" s="1381"/>
      <c r="AP21" s="1431">
        <f t="shared" si="3"/>
        <v>0</v>
      </c>
      <c r="AQ21" s="1431"/>
      <c r="AR21" s="1434"/>
      <c r="AS21" s="1434"/>
      <c r="AT21" s="1435"/>
      <c r="BD21" s="1436">
        <f t="shared" si="2"/>
        <v>1</v>
      </c>
    </row>
    <row r="22" spans="1:56" ht="59.25" customHeight="1" x14ac:dyDescent="0.3">
      <c r="A22" s="1489">
        <v>4</v>
      </c>
      <c r="B22" s="1489"/>
      <c r="C22" s="1442" t="s">
        <v>2526</v>
      </c>
      <c r="D22" s="1388" t="s">
        <v>70</v>
      </c>
      <c r="E22" s="1388"/>
      <c r="F22" s="1388" t="s">
        <v>165</v>
      </c>
      <c r="G22" s="1388"/>
      <c r="H22" s="1443">
        <f>I22</f>
        <v>5080</v>
      </c>
      <c r="I22" s="1444">
        <v>5080</v>
      </c>
      <c r="J22" s="1439"/>
      <c r="K22" s="1439"/>
      <c r="L22" s="1439"/>
      <c r="M22" s="1439"/>
      <c r="N22" s="1439"/>
      <c r="O22" s="1439"/>
      <c r="P22" s="1439"/>
      <c r="Q22" s="1439"/>
      <c r="R22" s="1439"/>
      <c r="S22" s="1439"/>
      <c r="T22" s="1439"/>
      <c r="U22" s="1439"/>
      <c r="V22" s="1439"/>
      <c r="W22" s="1439"/>
      <c r="X22" s="1439"/>
      <c r="Y22" s="1439"/>
      <c r="Z22" s="1439"/>
      <c r="AA22" s="1439"/>
      <c r="AB22" s="1439"/>
      <c r="AC22" s="1439"/>
      <c r="AD22" s="1439"/>
      <c r="AE22" s="1439"/>
      <c r="AF22" s="1383"/>
      <c r="AG22" s="1383"/>
      <c r="AH22" s="1383"/>
      <c r="AI22" s="1383"/>
      <c r="AJ22" s="1383"/>
      <c r="AK22" s="1383"/>
      <c r="AL22" s="1383"/>
      <c r="AM22" s="1383"/>
      <c r="AN22" s="1381"/>
      <c r="AO22" s="1381"/>
      <c r="AP22" s="1431">
        <f t="shared" si="3"/>
        <v>0</v>
      </c>
      <c r="AQ22" s="1431"/>
      <c r="AR22" s="1434"/>
      <c r="AS22" s="1434"/>
      <c r="AT22" s="1435"/>
      <c r="BD22" s="1436">
        <f t="shared" si="2"/>
        <v>1</v>
      </c>
    </row>
    <row r="23" spans="1:56" ht="58.5" customHeight="1" x14ac:dyDescent="0.3">
      <c r="A23" s="1489">
        <v>5</v>
      </c>
      <c r="B23" s="1489"/>
      <c r="C23" s="1442" t="s">
        <v>2629</v>
      </c>
      <c r="D23" s="1388" t="s">
        <v>99</v>
      </c>
      <c r="E23" s="1388"/>
      <c r="F23" s="1388" t="s">
        <v>155</v>
      </c>
      <c r="G23" s="1388"/>
      <c r="H23" s="1443">
        <v>85584</v>
      </c>
      <c r="I23" s="1444">
        <v>85584</v>
      </c>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383"/>
      <c r="AG23" s="1383"/>
      <c r="AH23" s="1383"/>
      <c r="AI23" s="1383"/>
      <c r="AJ23" s="1383"/>
      <c r="AK23" s="1383"/>
      <c r="AL23" s="1383"/>
      <c r="AM23" s="1383"/>
      <c r="AN23" s="1381"/>
      <c r="AO23" s="1381"/>
      <c r="AP23" s="1431">
        <f t="shared" si="3"/>
        <v>0</v>
      </c>
      <c r="AQ23" s="1431"/>
      <c r="AR23" s="1434"/>
      <c r="AS23" s="1434"/>
      <c r="AT23" s="1435"/>
      <c r="BD23" s="1436">
        <f t="shared" si="2"/>
        <v>1</v>
      </c>
    </row>
    <row r="24" spans="1:56" ht="59.25" customHeight="1" x14ac:dyDescent="0.3">
      <c r="A24" s="1489">
        <v>6</v>
      </c>
      <c r="B24" s="1489"/>
      <c r="C24" s="1442" t="s">
        <v>2630</v>
      </c>
      <c r="D24" s="1388" t="s">
        <v>95</v>
      </c>
      <c r="E24" s="1388"/>
      <c r="F24" s="1388" t="s">
        <v>162</v>
      </c>
      <c r="G24" s="1388"/>
      <c r="H24" s="1443">
        <v>160818</v>
      </c>
      <c r="I24" s="1444">
        <v>160818</v>
      </c>
      <c r="J24" s="1439"/>
      <c r="K24" s="1439"/>
      <c r="L24" s="1439"/>
      <c r="M24" s="1439"/>
      <c r="N24" s="1439"/>
      <c r="O24" s="1439"/>
      <c r="P24" s="1439"/>
      <c r="Q24" s="1439"/>
      <c r="R24" s="1439"/>
      <c r="S24" s="1439"/>
      <c r="T24" s="1439"/>
      <c r="U24" s="1439"/>
      <c r="V24" s="1439"/>
      <c r="W24" s="1439"/>
      <c r="X24" s="1439"/>
      <c r="Y24" s="1439"/>
      <c r="Z24" s="1439"/>
      <c r="AA24" s="1439"/>
      <c r="AB24" s="1439"/>
      <c r="AC24" s="1439"/>
      <c r="AD24" s="1439"/>
      <c r="AE24" s="1439"/>
      <c r="AF24" s="1383"/>
      <c r="AG24" s="1383"/>
      <c r="AH24" s="1383"/>
      <c r="AI24" s="1383"/>
      <c r="AJ24" s="1383"/>
      <c r="AK24" s="1383"/>
      <c r="AL24" s="1383"/>
      <c r="AM24" s="1383"/>
      <c r="AN24" s="1381"/>
      <c r="AO24" s="1381"/>
      <c r="AP24" s="1431">
        <f t="shared" si="3"/>
        <v>0</v>
      </c>
      <c r="AQ24" s="1431"/>
      <c r="AR24" s="1434"/>
      <c r="AS24" s="1434"/>
      <c r="AT24" s="1435"/>
      <c r="BD24" s="1436">
        <f t="shared" si="2"/>
        <v>1</v>
      </c>
    </row>
    <row r="25" spans="1:56" ht="100.5" customHeight="1" x14ac:dyDescent="0.3">
      <c r="A25" s="1489">
        <v>7</v>
      </c>
      <c r="B25" s="1489"/>
      <c r="C25" s="1442" t="s">
        <v>2631</v>
      </c>
      <c r="D25" s="1388" t="s">
        <v>2633</v>
      </c>
      <c r="E25" s="1388"/>
      <c r="F25" s="1388" t="s">
        <v>165</v>
      </c>
      <c r="G25" s="1388"/>
      <c r="H25" s="1443">
        <v>1000000</v>
      </c>
      <c r="I25" s="1444">
        <f>H25</f>
        <v>1000000</v>
      </c>
      <c r="J25" s="1439"/>
      <c r="K25" s="1439"/>
      <c r="L25" s="1439"/>
      <c r="M25" s="1439"/>
      <c r="N25" s="1439"/>
      <c r="O25" s="1439"/>
      <c r="P25" s="1439"/>
      <c r="Q25" s="1439"/>
      <c r="R25" s="1439"/>
      <c r="S25" s="1439"/>
      <c r="T25" s="1439"/>
      <c r="U25" s="1439"/>
      <c r="V25" s="1439"/>
      <c r="W25" s="1439"/>
      <c r="X25" s="1439"/>
      <c r="Y25" s="1439"/>
      <c r="Z25" s="1439"/>
      <c r="AA25" s="1439"/>
      <c r="AB25" s="1439"/>
      <c r="AC25" s="1439"/>
      <c r="AD25" s="1439"/>
      <c r="AE25" s="1439"/>
      <c r="AF25" s="1383"/>
      <c r="AG25" s="1383"/>
      <c r="AH25" s="1383"/>
      <c r="AI25" s="1383"/>
      <c r="AJ25" s="1383"/>
      <c r="AK25" s="1383"/>
      <c r="AL25" s="1383"/>
      <c r="AM25" s="1383"/>
      <c r="AN25" s="1381"/>
      <c r="AO25" s="1381"/>
      <c r="AP25" s="1431">
        <f t="shared" si="3"/>
        <v>0</v>
      </c>
      <c r="AQ25" s="1431"/>
      <c r="AR25" s="1434"/>
      <c r="AS25" s="1434"/>
      <c r="AT25" s="1435"/>
      <c r="BD25" s="1436"/>
    </row>
    <row r="26" spans="1:56" ht="120.75" customHeight="1" x14ac:dyDescent="0.3">
      <c r="A26" s="1489">
        <v>8</v>
      </c>
      <c r="B26" s="1489"/>
      <c r="C26" s="1442" t="s">
        <v>2632</v>
      </c>
      <c r="D26" s="1388"/>
      <c r="E26" s="1388"/>
      <c r="F26" s="1388"/>
      <c r="G26" s="1388"/>
      <c r="H26" s="1443"/>
      <c r="I26" s="1444"/>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383"/>
      <c r="AG26" s="1383"/>
      <c r="AH26" s="1383"/>
      <c r="AI26" s="1383"/>
      <c r="AJ26" s="1383"/>
      <c r="AK26" s="1383"/>
      <c r="AL26" s="1383"/>
      <c r="AM26" s="1383"/>
      <c r="AN26" s="1381"/>
      <c r="AO26" s="1381"/>
      <c r="AP26" s="1431">
        <f t="shared" si="3"/>
        <v>0</v>
      </c>
      <c r="AQ26" s="1431"/>
      <c r="AR26" s="1434"/>
      <c r="AS26" s="1434"/>
      <c r="AT26" s="1435"/>
      <c r="BD26" s="1436"/>
    </row>
    <row r="27" spans="1:56" ht="37.5" customHeight="1" x14ac:dyDescent="0.3">
      <c r="A27" s="1489" t="s">
        <v>1123</v>
      </c>
      <c r="B27" s="1437"/>
      <c r="C27" s="1442" t="s">
        <v>3154</v>
      </c>
      <c r="D27" s="1388" t="s">
        <v>58</v>
      </c>
      <c r="E27" s="1388" t="s">
        <v>2635</v>
      </c>
      <c r="F27" s="1388" t="s">
        <v>2637</v>
      </c>
      <c r="G27" s="1388"/>
      <c r="H27" s="1443">
        <v>615000</v>
      </c>
      <c r="I27" s="1444"/>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383"/>
      <c r="AG27" s="1383"/>
      <c r="AH27" s="1383"/>
      <c r="AI27" s="1383"/>
      <c r="AJ27" s="1383"/>
      <c r="AK27" s="1383"/>
      <c r="AL27" s="1383"/>
      <c r="AM27" s="1383"/>
      <c r="AN27" s="1381"/>
      <c r="AO27" s="1381"/>
      <c r="AP27" s="1431">
        <f t="shared" si="3"/>
        <v>0</v>
      </c>
      <c r="AQ27" s="1431"/>
      <c r="AR27" s="1434"/>
      <c r="AS27" s="1434"/>
      <c r="AT27" s="1435"/>
      <c r="BD27" s="1436"/>
    </row>
    <row r="28" spans="1:56" ht="36" customHeight="1" x14ac:dyDescent="0.3">
      <c r="A28" s="1489" t="s">
        <v>1121</v>
      </c>
      <c r="B28" s="1437"/>
      <c r="C28" s="1442" t="s">
        <v>3155</v>
      </c>
      <c r="D28" s="1388" t="s">
        <v>58</v>
      </c>
      <c r="E28" s="1388" t="s">
        <v>2636</v>
      </c>
      <c r="F28" s="1388" t="s">
        <v>2637</v>
      </c>
      <c r="G28" s="1388"/>
      <c r="H28" s="1443">
        <v>101000</v>
      </c>
      <c r="I28" s="1444"/>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39"/>
      <c r="AF28" s="1383"/>
      <c r="AG28" s="1383"/>
      <c r="AH28" s="1383"/>
      <c r="AI28" s="1383"/>
      <c r="AJ28" s="1383"/>
      <c r="AK28" s="1383"/>
      <c r="AL28" s="1383"/>
      <c r="AM28" s="1383"/>
      <c r="AN28" s="1381"/>
      <c r="AO28" s="1381"/>
      <c r="AP28" s="1431">
        <f t="shared" si="3"/>
        <v>0</v>
      </c>
      <c r="AQ28" s="1431"/>
      <c r="AR28" s="1434"/>
      <c r="AS28" s="1434"/>
      <c r="AT28" s="1435"/>
      <c r="BD28" s="1436"/>
    </row>
    <row r="29" spans="1:56" ht="60.75" customHeight="1" x14ac:dyDescent="0.3">
      <c r="A29" s="1489" t="s">
        <v>3151</v>
      </c>
      <c r="B29" s="1437"/>
      <c r="C29" s="1442" t="s">
        <v>3156</v>
      </c>
      <c r="D29" s="1388" t="s">
        <v>99</v>
      </c>
      <c r="E29" s="1388"/>
      <c r="F29" s="1388" t="s">
        <v>2637</v>
      </c>
      <c r="G29" s="1388"/>
      <c r="H29" s="1443">
        <v>170000</v>
      </c>
      <c r="I29" s="1444"/>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383"/>
      <c r="AG29" s="1383"/>
      <c r="AH29" s="1383"/>
      <c r="AI29" s="1383"/>
      <c r="AJ29" s="1383"/>
      <c r="AK29" s="1383"/>
      <c r="AL29" s="1383"/>
      <c r="AM29" s="1383"/>
      <c r="AN29" s="1381"/>
      <c r="AO29" s="1381"/>
      <c r="AP29" s="1431">
        <f t="shared" si="3"/>
        <v>0</v>
      </c>
      <c r="AQ29" s="1431"/>
      <c r="AR29" s="1434"/>
      <c r="AS29" s="1434"/>
      <c r="AT29" s="1435"/>
      <c r="BD29" s="1436"/>
    </row>
    <row r="30" spans="1:56" ht="60.75" customHeight="1" x14ac:dyDescent="0.3">
      <c r="A30" s="1489" t="s">
        <v>3152</v>
      </c>
      <c r="B30" s="1437"/>
      <c r="C30" s="1442" t="s">
        <v>3157</v>
      </c>
      <c r="D30" s="1388" t="s">
        <v>58</v>
      </c>
      <c r="E30" s="1388"/>
      <c r="F30" s="1388" t="s">
        <v>2637</v>
      </c>
      <c r="G30" s="1388"/>
      <c r="H30" s="1443">
        <v>130000</v>
      </c>
      <c r="I30" s="1444"/>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383"/>
      <c r="AG30" s="1383"/>
      <c r="AH30" s="1383"/>
      <c r="AI30" s="1383"/>
      <c r="AJ30" s="1383"/>
      <c r="AK30" s="1383"/>
      <c r="AL30" s="1383"/>
      <c r="AM30" s="1383"/>
      <c r="AN30" s="1381"/>
      <c r="AO30" s="1381"/>
      <c r="AP30" s="1431">
        <f t="shared" si="3"/>
        <v>0</v>
      </c>
      <c r="AQ30" s="1431"/>
      <c r="AR30" s="1434"/>
      <c r="AS30" s="1434"/>
      <c r="AT30" s="1435"/>
      <c r="BD30" s="1436"/>
    </row>
    <row r="31" spans="1:56" ht="41.25" customHeight="1" x14ac:dyDescent="0.3">
      <c r="A31" s="1489" t="s">
        <v>3153</v>
      </c>
      <c r="B31" s="1437"/>
      <c r="C31" s="1442" t="s">
        <v>3158</v>
      </c>
      <c r="D31" s="1388" t="s">
        <v>2634</v>
      </c>
      <c r="E31" s="1388"/>
      <c r="F31" s="1388" t="s">
        <v>2638</v>
      </c>
      <c r="G31" s="1388"/>
      <c r="H31" s="1443">
        <v>300000</v>
      </c>
      <c r="I31" s="1444"/>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383"/>
      <c r="AG31" s="1383"/>
      <c r="AH31" s="1383"/>
      <c r="AI31" s="1383"/>
      <c r="AJ31" s="1383"/>
      <c r="AK31" s="1383"/>
      <c r="AL31" s="1383"/>
      <c r="AM31" s="1383"/>
      <c r="AN31" s="1381"/>
      <c r="AO31" s="1381"/>
      <c r="AP31" s="1431">
        <f t="shared" si="3"/>
        <v>0</v>
      </c>
      <c r="AQ31" s="1431"/>
      <c r="AR31" s="1434"/>
      <c r="AS31" s="1434"/>
      <c r="AT31" s="1435"/>
      <c r="BD31" s="1436"/>
    </row>
    <row r="32" spans="1:56" ht="30.75" customHeight="1" x14ac:dyDescent="0.3">
      <c r="A32" s="1437" t="s">
        <v>41</v>
      </c>
      <c r="B32" s="1437" t="s">
        <v>41</v>
      </c>
      <c r="C32" s="1438" t="s">
        <v>42</v>
      </c>
      <c r="D32" s="1381"/>
      <c r="E32" s="1381"/>
      <c r="F32" s="1381"/>
      <c r="G32" s="1381"/>
      <c r="H32" s="1439">
        <f t="shared" ref="H32:Y32" si="5">H33+H79+H154+H188+H226+H251+H265+H312+H357</f>
        <v>18521138</v>
      </c>
      <c r="I32" s="1439">
        <f t="shared" si="5"/>
        <v>14481722</v>
      </c>
      <c r="J32" s="1439">
        <f t="shared" si="5"/>
        <v>1244077</v>
      </c>
      <c r="K32" s="1439">
        <f t="shared" si="5"/>
        <v>965391</v>
      </c>
      <c r="L32" s="1439">
        <f t="shared" si="5"/>
        <v>1166363</v>
      </c>
      <c r="M32" s="1439">
        <f t="shared" si="5"/>
        <v>956691</v>
      </c>
      <c r="N32" s="1439">
        <f t="shared" si="5"/>
        <v>7262003.7000000002</v>
      </c>
      <c r="O32" s="1439">
        <f t="shared" si="5"/>
        <v>3915349.6999999997</v>
      </c>
      <c r="P32" s="1439">
        <f t="shared" si="5"/>
        <v>7510647.7000000002</v>
      </c>
      <c r="Q32" s="1439">
        <f t="shared" si="5"/>
        <v>4736968.2</v>
      </c>
      <c r="R32" s="1439">
        <f t="shared" si="5"/>
        <v>1340628</v>
      </c>
      <c r="S32" s="1439">
        <f t="shared" si="5"/>
        <v>442119.6</v>
      </c>
      <c r="T32" s="1439">
        <f t="shared" si="5"/>
        <v>7822826.0999999996</v>
      </c>
      <c r="U32" s="1439">
        <f t="shared" si="5"/>
        <v>4912638.0999999996</v>
      </c>
      <c r="V32" s="1439">
        <f t="shared" si="5"/>
        <v>1335020</v>
      </c>
      <c r="W32" s="1439">
        <f t="shared" si="5"/>
        <v>67013</v>
      </c>
      <c r="X32" s="1439">
        <f t="shared" si="5"/>
        <v>9129333.0999999996</v>
      </c>
      <c r="Y32" s="1439">
        <f t="shared" si="5"/>
        <v>6125495.0999999996</v>
      </c>
      <c r="Z32" s="1439">
        <v>368600</v>
      </c>
      <c r="AA32" s="1439">
        <v>0</v>
      </c>
      <c r="AB32" s="1439">
        <v>9348895.0999999996</v>
      </c>
      <c r="AC32" s="1439">
        <v>6501523.0999999996</v>
      </c>
      <c r="AD32" s="1439">
        <f t="shared" ref="AD32:AM32" si="6">AD33+AD79+AD154+AD188+AD226+AD251+AD265+AD312+AD357</f>
        <v>246646</v>
      </c>
      <c r="AE32" s="1856">
        <f t="shared" si="6"/>
        <v>-248190</v>
      </c>
      <c r="AF32" s="1439">
        <f t="shared" si="6"/>
        <v>9397351.0999999996</v>
      </c>
      <c r="AG32" s="1439">
        <f t="shared" si="6"/>
        <v>6499979.0999999996</v>
      </c>
      <c r="AH32" s="1439">
        <f t="shared" si="6"/>
        <v>5801879</v>
      </c>
      <c r="AI32" s="1439">
        <f t="shared" si="6"/>
        <v>1037464</v>
      </c>
      <c r="AJ32" s="1439">
        <f t="shared" si="6"/>
        <v>836198</v>
      </c>
      <c r="AK32" s="1439">
        <f t="shared" si="6"/>
        <v>903194</v>
      </c>
      <c r="AL32" s="1439">
        <f t="shared" si="6"/>
        <v>1204788</v>
      </c>
      <c r="AM32" s="1439">
        <f t="shared" si="6"/>
        <v>1831086</v>
      </c>
      <c r="AN32" s="1440"/>
      <c r="AO32" s="1440"/>
      <c r="AP32" s="1431">
        <f t="shared" si="3"/>
        <v>1</v>
      </c>
      <c r="AQ32" s="1431">
        <f t="shared" ref="AQ32:AQ77" si="7">IF(Y32=0,0,1)</f>
        <v>1</v>
      </c>
      <c r="AR32" s="1434"/>
      <c r="AS32" s="1434"/>
      <c r="AT32" s="1435">
        <f>U32+V32-W32</f>
        <v>6180645.0999999996</v>
      </c>
      <c r="BD32" s="1436">
        <f t="shared" ref="BD32:BD77" si="8">IF(I32-Y32&gt;=0,1,0)</f>
        <v>1</v>
      </c>
    </row>
    <row r="33" spans="1:57" ht="80.25" customHeight="1" x14ac:dyDescent="0.3">
      <c r="A33" s="1437">
        <v>1</v>
      </c>
      <c r="B33" s="1437">
        <v>1</v>
      </c>
      <c r="C33" s="1438" t="s">
        <v>44</v>
      </c>
      <c r="D33" s="1381"/>
      <c r="E33" s="1381"/>
      <c r="F33" s="1381"/>
      <c r="G33" s="1381"/>
      <c r="H33" s="1439">
        <f t="shared" ref="H33:L33" si="9">H34+H44</f>
        <v>10073707</v>
      </c>
      <c r="I33" s="1439">
        <f t="shared" si="9"/>
        <v>8275512</v>
      </c>
      <c r="J33" s="1439">
        <f t="shared" si="9"/>
        <v>531389</v>
      </c>
      <c r="K33" s="1439">
        <f t="shared" si="9"/>
        <v>285724</v>
      </c>
      <c r="L33" s="1439">
        <f t="shared" si="9"/>
        <v>462375</v>
      </c>
      <c r="M33" s="1439">
        <f t="shared" ref="M33:AM33" si="10">M34+M44</f>
        <v>285724</v>
      </c>
      <c r="N33" s="1439">
        <f t="shared" si="10"/>
        <v>4216595.0999999996</v>
      </c>
      <c r="O33" s="1439">
        <f t="shared" si="10"/>
        <v>1485990.1</v>
      </c>
      <c r="P33" s="1439">
        <f t="shared" si="10"/>
        <v>4147619.7</v>
      </c>
      <c r="Q33" s="1439">
        <f t="shared" si="10"/>
        <v>2301308.2000000002</v>
      </c>
      <c r="R33" s="1439">
        <f t="shared" si="10"/>
        <v>1037410</v>
      </c>
      <c r="S33" s="1439">
        <f t="shared" si="10"/>
        <v>95200</v>
      </c>
      <c r="T33" s="1439">
        <f t="shared" si="10"/>
        <v>4040870.1</v>
      </c>
      <c r="U33" s="1439">
        <f t="shared" si="10"/>
        <v>2428200.1</v>
      </c>
      <c r="V33" s="1439">
        <f t="shared" si="10"/>
        <v>726900</v>
      </c>
      <c r="W33" s="1439">
        <f t="shared" si="10"/>
        <v>0</v>
      </c>
      <c r="X33" s="1439">
        <f t="shared" si="10"/>
        <v>4917770.0999999996</v>
      </c>
      <c r="Y33" s="1439">
        <f t="shared" si="10"/>
        <v>3155100.1</v>
      </c>
      <c r="Z33" s="1439">
        <f t="shared" si="10"/>
        <v>195000</v>
      </c>
      <c r="AA33" s="1439">
        <f t="shared" si="10"/>
        <v>0</v>
      </c>
      <c r="AB33" s="1439">
        <v>5035382.0999999996</v>
      </c>
      <c r="AC33" s="1439">
        <v>3446712.1</v>
      </c>
      <c r="AD33" s="1439">
        <f t="shared" si="10"/>
        <v>238500</v>
      </c>
      <c r="AE33" s="1856">
        <f t="shared" si="10"/>
        <v>-238500</v>
      </c>
      <c r="AF33" s="1439">
        <f t="shared" si="10"/>
        <v>5035382.0999999996</v>
      </c>
      <c r="AG33" s="1439">
        <f t="shared" si="10"/>
        <v>3446712.1</v>
      </c>
      <c r="AH33" s="1439">
        <f t="shared" si="10"/>
        <v>2964113</v>
      </c>
      <c r="AI33" s="1439">
        <f t="shared" si="10"/>
        <v>316184</v>
      </c>
      <c r="AJ33" s="1439">
        <f>AJ34+AJ44+10851</f>
        <v>440468</v>
      </c>
      <c r="AK33" s="1439">
        <f t="shared" si="10"/>
        <v>524999</v>
      </c>
      <c r="AL33" s="1439">
        <f t="shared" si="10"/>
        <v>617486</v>
      </c>
      <c r="AM33" s="1439">
        <f t="shared" si="10"/>
        <v>1075827</v>
      </c>
      <c r="AN33" s="1381"/>
      <c r="AO33" s="1440"/>
      <c r="AP33" s="1431">
        <v>1</v>
      </c>
      <c r="AQ33" s="1431">
        <f t="shared" si="7"/>
        <v>1</v>
      </c>
      <c r="AR33" s="1434"/>
      <c r="AS33" s="1434">
        <f>AJ39+AJ40+AJ41+AJ43+AJ46+AJ47+AJ48+AJ49+AJ50+AJ51+AJ61+10851</f>
        <v>430468</v>
      </c>
      <c r="AT33" s="1435">
        <f>U33+V33-W33</f>
        <v>3155100.1</v>
      </c>
      <c r="BD33" s="1436">
        <f t="shared" si="8"/>
        <v>1</v>
      </c>
    </row>
    <row r="34" spans="1:57" ht="61.5" customHeight="1" x14ac:dyDescent="0.3">
      <c r="A34" s="1824" t="s">
        <v>2781</v>
      </c>
      <c r="B34" s="1445" t="s">
        <v>2781</v>
      </c>
      <c r="C34" s="1446" t="s">
        <v>46</v>
      </c>
      <c r="D34" s="1447"/>
      <c r="E34" s="1447"/>
      <c r="F34" s="1448"/>
      <c r="G34" s="1448"/>
      <c r="H34" s="1449">
        <f>H35</f>
        <v>2423367</v>
      </c>
      <c r="I34" s="1449">
        <f>I35</f>
        <v>1243327</v>
      </c>
      <c r="J34" s="1449">
        <f t="shared" ref="J34:AM34" si="11">J35</f>
        <v>531389</v>
      </c>
      <c r="K34" s="1449">
        <f t="shared" si="11"/>
        <v>285724</v>
      </c>
      <c r="L34" s="1449">
        <f t="shared" si="11"/>
        <v>462375</v>
      </c>
      <c r="M34" s="1449">
        <f t="shared" si="11"/>
        <v>285724</v>
      </c>
      <c r="N34" s="1449">
        <f t="shared" si="11"/>
        <v>1683590.1</v>
      </c>
      <c r="O34" s="1449">
        <f t="shared" si="11"/>
        <v>484920.1</v>
      </c>
      <c r="P34" s="1449">
        <f t="shared" si="11"/>
        <v>1706090.1</v>
      </c>
      <c r="Q34" s="1449">
        <f t="shared" si="11"/>
        <v>507420.1</v>
      </c>
      <c r="R34" s="1449">
        <f t="shared" si="11"/>
        <v>22500</v>
      </c>
      <c r="S34" s="1449">
        <f t="shared" si="11"/>
        <v>0</v>
      </c>
      <c r="T34" s="1449">
        <f t="shared" si="11"/>
        <v>1706090.1</v>
      </c>
      <c r="U34" s="1449">
        <f t="shared" si="11"/>
        <v>507420.1</v>
      </c>
      <c r="V34" s="1449">
        <f t="shared" si="11"/>
        <v>0</v>
      </c>
      <c r="W34" s="1449">
        <f t="shared" si="11"/>
        <v>0</v>
      </c>
      <c r="X34" s="1449">
        <f t="shared" si="11"/>
        <v>1706090.1</v>
      </c>
      <c r="Y34" s="1449">
        <f t="shared" si="11"/>
        <v>507420.1</v>
      </c>
      <c r="Z34" s="1449">
        <f t="shared" si="11"/>
        <v>0</v>
      </c>
      <c r="AA34" s="1449">
        <f t="shared" si="11"/>
        <v>0</v>
      </c>
      <c r="AB34" s="1449">
        <v>1720086.1</v>
      </c>
      <c r="AC34" s="1449">
        <v>545416.1</v>
      </c>
      <c r="AD34" s="1449">
        <f t="shared" si="11"/>
        <v>0</v>
      </c>
      <c r="AE34" s="1449">
        <f t="shared" si="11"/>
        <v>0</v>
      </c>
      <c r="AF34" s="1449">
        <f t="shared" si="11"/>
        <v>1720086.1</v>
      </c>
      <c r="AG34" s="1449">
        <f t="shared" si="11"/>
        <v>545416.1</v>
      </c>
      <c r="AH34" s="1449">
        <f t="shared" si="11"/>
        <v>520130</v>
      </c>
      <c r="AI34" s="1449">
        <f t="shared" si="11"/>
        <v>236788</v>
      </c>
      <c r="AJ34" s="1449">
        <f t="shared" si="11"/>
        <v>122470</v>
      </c>
      <c r="AK34" s="1449">
        <f t="shared" si="11"/>
        <v>119000</v>
      </c>
      <c r="AL34" s="1449">
        <f t="shared" si="11"/>
        <v>11700</v>
      </c>
      <c r="AM34" s="1449">
        <f t="shared" si="11"/>
        <v>30172</v>
      </c>
      <c r="AN34" s="1450"/>
      <c r="AO34" s="1450"/>
      <c r="AP34" s="1431">
        <f t="shared" si="3"/>
        <v>0</v>
      </c>
      <c r="AQ34" s="1431">
        <f t="shared" si="7"/>
        <v>1</v>
      </c>
      <c r="AR34" s="1434"/>
      <c r="AS34" s="1434"/>
      <c r="BD34" s="1436">
        <f t="shared" si="8"/>
        <v>1</v>
      </c>
    </row>
    <row r="35" spans="1:57" ht="39" x14ac:dyDescent="0.3">
      <c r="A35" s="1825"/>
      <c r="B35" s="1451"/>
      <c r="C35" s="1446" t="s">
        <v>48</v>
      </c>
      <c r="D35" s="1447"/>
      <c r="E35" s="1447"/>
      <c r="F35" s="1448"/>
      <c r="G35" s="1448"/>
      <c r="H35" s="1449">
        <f t="shared" ref="H35:L35" si="12">SUM(H38:H43)</f>
        <v>2423367</v>
      </c>
      <c r="I35" s="1449">
        <f t="shared" si="12"/>
        <v>1243327</v>
      </c>
      <c r="J35" s="1449">
        <f t="shared" si="12"/>
        <v>531389</v>
      </c>
      <c r="K35" s="1449">
        <f t="shared" si="12"/>
        <v>285724</v>
      </c>
      <c r="L35" s="1449">
        <f t="shared" si="12"/>
        <v>462375</v>
      </c>
      <c r="M35" s="1449">
        <f t="shared" ref="M35:AM35" si="13">SUM(M38:M43)</f>
        <v>285724</v>
      </c>
      <c r="N35" s="1449">
        <f t="shared" si="13"/>
        <v>1683590.1</v>
      </c>
      <c r="O35" s="1449">
        <f t="shared" si="13"/>
        <v>484920.1</v>
      </c>
      <c r="P35" s="1449">
        <f t="shared" si="13"/>
        <v>1706090.1</v>
      </c>
      <c r="Q35" s="1449">
        <f t="shared" si="13"/>
        <v>507420.1</v>
      </c>
      <c r="R35" s="1449">
        <f t="shared" si="13"/>
        <v>22500</v>
      </c>
      <c r="S35" s="1449">
        <f t="shared" si="13"/>
        <v>0</v>
      </c>
      <c r="T35" s="1449">
        <f t="shared" si="13"/>
        <v>1706090.1</v>
      </c>
      <c r="U35" s="1449">
        <f t="shared" si="13"/>
        <v>507420.1</v>
      </c>
      <c r="V35" s="1449">
        <f t="shared" si="13"/>
        <v>0</v>
      </c>
      <c r="W35" s="1449">
        <f t="shared" si="13"/>
        <v>0</v>
      </c>
      <c r="X35" s="1449">
        <f t="shared" si="13"/>
        <v>1706090.1</v>
      </c>
      <c r="Y35" s="1449">
        <f t="shared" si="13"/>
        <v>507420.1</v>
      </c>
      <c r="Z35" s="1449">
        <f t="shared" si="13"/>
        <v>0</v>
      </c>
      <c r="AA35" s="1449">
        <f t="shared" si="13"/>
        <v>0</v>
      </c>
      <c r="AB35" s="1449">
        <v>1720086.1</v>
      </c>
      <c r="AC35" s="1449">
        <v>545416.1</v>
      </c>
      <c r="AD35" s="1449">
        <f t="shared" si="13"/>
        <v>0</v>
      </c>
      <c r="AE35" s="1449">
        <f t="shared" si="13"/>
        <v>0</v>
      </c>
      <c r="AF35" s="1449">
        <f t="shared" si="13"/>
        <v>1720086.1</v>
      </c>
      <c r="AG35" s="1449">
        <f t="shared" si="13"/>
        <v>545416.1</v>
      </c>
      <c r="AH35" s="1449">
        <f t="shared" si="13"/>
        <v>520130</v>
      </c>
      <c r="AI35" s="1449">
        <f t="shared" si="13"/>
        <v>236788</v>
      </c>
      <c r="AJ35" s="1449">
        <f t="shared" si="13"/>
        <v>122470</v>
      </c>
      <c r="AK35" s="1449">
        <f t="shared" si="13"/>
        <v>119000</v>
      </c>
      <c r="AL35" s="1449">
        <f t="shared" si="13"/>
        <v>11700</v>
      </c>
      <c r="AM35" s="1449">
        <f t="shared" si="13"/>
        <v>30172</v>
      </c>
      <c r="AN35" s="1450"/>
      <c r="AO35" s="1450"/>
      <c r="AP35" s="1431">
        <f t="shared" si="3"/>
        <v>0</v>
      </c>
      <c r="AQ35" s="1431">
        <f t="shared" si="7"/>
        <v>1</v>
      </c>
      <c r="AR35" s="1434"/>
      <c r="AS35" s="1434"/>
      <c r="BD35" s="1436">
        <f t="shared" si="8"/>
        <v>1</v>
      </c>
    </row>
    <row r="36" spans="1:57" ht="19.5" x14ac:dyDescent="0.3">
      <c r="A36" s="1825"/>
      <c r="B36" s="1451"/>
      <c r="C36" s="1446" t="s">
        <v>49</v>
      </c>
      <c r="D36" s="1452"/>
      <c r="E36" s="1452"/>
      <c r="F36" s="1381"/>
      <c r="G36" s="1381"/>
      <c r="H36" s="1453"/>
      <c r="I36" s="1453"/>
      <c r="J36" s="1453"/>
      <c r="K36" s="1453"/>
      <c r="L36" s="1453"/>
      <c r="M36" s="1453"/>
      <c r="N36" s="1453"/>
      <c r="O36" s="1453"/>
      <c r="P36" s="1453"/>
      <c r="Q36" s="1453"/>
      <c r="R36" s="1454"/>
      <c r="S36" s="1454"/>
      <c r="T36" s="1453"/>
      <c r="U36" s="1453"/>
      <c r="V36" s="1454"/>
      <c r="W36" s="1454"/>
      <c r="X36" s="1453"/>
      <c r="Y36" s="1453"/>
      <c r="Z36" s="1453"/>
      <c r="AA36" s="1453"/>
      <c r="AB36" s="1453"/>
      <c r="AC36" s="1453"/>
      <c r="AD36" s="1453"/>
      <c r="AE36" s="1453"/>
      <c r="AF36" s="1383"/>
      <c r="AG36" s="1383"/>
      <c r="AH36" s="1383"/>
      <c r="AI36" s="1383"/>
      <c r="AJ36" s="1383"/>
      <c r="AK36" s="1383"/>
      <c r="AL36" s="1383"/>
      <c r="AM36" s="1383"/>
      <c r="AN36" s="1455"/>
      <c r="AO36" s="1455"/>
      <c r="AP36" s="1431">
        <f t="shared" si="3"/>
        <v>0</v>
      </c>
      <c r="AQ36" s="1431">
        <f t="shared" si="7"/>
        <v>0</v>
      </c>
      <c r="AR36" s="1434"/>
      <c r="AS36" s="1434"/>
      <c r="BD36" s="1436">
        <f t="shared" si="8"/>
        <v>1</v>
      </c>
    </row>
    <row r="37" spans="1:57" ht="78" x14ac:dyDescent="0.3">
      <c r="A37" s="1825" t="s">
        <v>2782</v>
      </c>
      <c r="B37" s="1825" t="s">
        <v>2782</v>
      </c>
      <c r="C37" s="1456" t="s">
        <v>50</v>
      </c>
      <c r="D37" s="1447"/>
      <c r="E37" s="1447"/>
      <c r="F37" s="1448"/>
      <c r="G37" s="1448"/>
      <c r="H37" s="1449"/>
      <c r="I37" s="1449"/>
      <c r="J37" s="1449"/>
      <c r="K37" s="1449"/>
      <c r="L37" s="1449"/>
      <c r="M37" s="1449"/>
      <c r="N37" s="1449"/>
      <c r="O37" s="1449"/>
      <c r="P37" s="1449"/>
      <c r="Q37" s="1449"/>
      <c r="R37" s="1454"/>
      <c r="S37" s="1454"/>
      <c r="T37" s="1449"/>
      <c r="U37" s="1449"/>
      <c r="V37" s="1454"/>
      <c r="W37" s="1454"/>
      <c r="X37" s="1449"/>
      <c r="Y37" s="1449"/>
      <c r="Z37" s="1449"/>
      <c r="AA37" s="1449"/>
      <c r="AB37" s="1449"/>
      <c r="AC37" s="1449"/>
      <c r="AD37" s="1449"/>
      <c r="AE37" s="1449"/>
      <c r="AF37" s="1383"/>
      <c r="AG37" s="1383"/>
      <c r="AH37" s="1383"/>
      <c r="AI37" s="1383"/>
      <c r="AJ37" s="1383"/>
      <c r="AK37" s="1383"/>
      <c r="AL37" s="1383"/>
      <c r="AM37" s="1383"/>
      <c r="AN37" s="1450"/>
      <c r="AO37" s="1450"/>
      <c r="AP37" s="1431">
        <v>1</v>
      </c>
      <c r="AQ37" s="1431">
        <f t="shared" si="7"/>
        <v>0</v>
      </c>
      <c r="AR37" s="1434"/>
      <c r="AS37" s="1434"/>
      <c r="BD37" s="1436">
        <f t="shared" si="8"/>
        <v>1</v>
      </c>
    </row>
    <row r="38" spans="1:57" ht="59.25" customHeight="1" x14ac:dyDescent="0.3">
      <c r="A38" s="1457" t="s">
        <v>2783</v>
      </c>
      <c r="B38" s="1457"/>
      <c r="C38" s="1458" t="s">
        <v>51</v>
      </c>
      <c r="D38" s="1388" t="s">
        <v>52</v>
      </c>
      <c r="E38" s="1388" t="s">
        <v>53</v>
      </c>
      <c r="F38" s="1388" t="s">
        <v>54</v>
      </c>
      <c r="G38" s="1388" t="s">
        <v>55</v>
      </c>
      <c r="H38" s="1459">
        <v>372000</v>
      </c>
      <c r="I38" s="1459">
        <f>H38</f>
        <v>372000</v>
      </c>
      <c r="J38" s="1460">
        <v>127000</v>
      </c>
      <c r="K38" s="1460">
        <f>J38</f>
        <v>127000</v>
      </c>
      <c r="L38" s="1460">
        <v>127000</v>
      </c>
      <c r="M38" s="1460">
        <f>L38</f>
        <v>127000</v>
      </c>
      <c r="N38" s="1460">
        <f>O38</f>
        <v>73000</v>
      </c>
      <c r="O38" s="1460">
        <v>73000</v>
      </c>
      <c r="P38" s="1460">
        <f>Q38</f>
        <v>73000</v>
      </c>
      <c r="Q38" s="1460">
        <v>73000</v>
      </c>
      <c r="R38" s="1454"/>
      <c r="S38" s="1454"/>
      <c r="T38" s="1460">
        <f>U38</f>
        <v>73000</v>
      </c>
      <c r="U38" s="1460">
        <v>73000</v>
      </c>
      <c r="V38" s="1454"/>
      <c r="W38" s="1454"/>
      <c r="X38" s="1460">
        <f>Y38</f>
        <v>73000</v>
      </c>
      <c r="Y38" s="1460">
        <v>73000</v>
      </c>
      <c r="Z38" s="1460">
        <v>0</v>
      </c>
      <c r="AA38" s="1460">
        <v>0</v>
      </c>
      <c r="AB38" s="1460">
        <v>73000</v>
      </c>
      <c r="AC38" s="1460">
        <v>73000</v>
      </c>
      <c r="AD38" s="1460"/>
      <c r="AE38" s="1460"/>
      <c r="AF38" s="1383">
        <f t="shared" ref="AF38:AF99" si="14">AG38</f>
        <v>73000</v>
      </c>
      <c r="AG38" s="1383">
        <f t="shared" ref="AG38:AG99" si="15">AC38+AD38+AE38</f>
        <v>73000</v>
      </c>
      <c r="AH38" s="1383">
        <f>SUM(AI38:AM38)</f>
        <v>73000</v>
      </c>
      <c r="AI38" s="1383">
        <v>73000</v>
      </c>
      <c r="AJ38" s="1383"/>
      <c r="AK38" s="1383"/>
      <c r="AL38" s="1383"/>
      <c r="AM38" s="1383"/>
      <c r="AN38" s="1440"/>
      <c r="AO38" s="1440"/>
      <c r="AP38" s="1431">
        <f t="shared" si="3"/>
        <v>0</v>
      </c>
      <c r="AQ38" s="1431">
        <f t="shared" si="7"/>
        <v>1</v>
      </c>
      <c r="AR38" s="1434">
        <f t="shared" ref="AR38:AR112" si="16">AP38</f>
        <v>0</v>
      </c>
      <c r="AS38" s="1434"/>
      <c r="AT38" s="1427">
        <f>IF(AP38=0,1,0)</f>
        <v>1</v>
      </c>
      <c r="AV38" s="1427">
        <f t="shared" ref="AV38:AV43" si="17">IF(Q38=0,1,0)</f>
        <v>0</v>
      </c>
      <c r="AW38" s="1427">
        <f t="shared" ref="AW38:AW57" si="18">IF(AV38=1,O38,0)</f>
        <v>0</v>
      </c>
      <c r="AX38" s="1427">
        <f t="shared" ref="AX38:AX43" si="19">IF(O38=0,1,0)</f>
        <v>0</v>
      </c>
      <c r="AY38" s="1427">
        <f t="shared" ref="AY38:AY57" si="20">IF(AX38=1,Q38,0)</f>
        <v>0</v>
      </c>
      <c r="AZ38" s="1427">
        <f t="shared" ref="AZ38:AZ43" si="21">IF(R38=0,0,1)</f>
        <v>0</v>
      </c>
      <c r="BA38" s="1427">
        <f t="shared" ref="BA38:BA55" si="22">IF(AZ38=1,R38,0)</f>
        <v>0</v>
      </c>
      <c r="BB38" s="1427">
        <f t="shared" ref="BB38:BB43" si="23">IF(S38=0,0,1)</f>
        <v>0</v>
      </c>
      <c r="BC38" s="1427">
        <f t="shared" ref="BC38:BC57" si="24">IF(BB38=1,S38,0)</f>
        <v>0</v>
      </c>
      <c r="BD38" s="1436">
        <f t="shared" si="8"/>
        <v>1</v>
      </c>
      <c r="BE38" s="1331">
        <f>IF((AG38-AC38)=0,0,1)</f>
        <v>0</v>
      </c>
    </row>
    <row r="39" spans="1:57" ht="59.25" customHeight="1" x14ac:dyDescent="0.3">
      <c r="A39" s="1461" t="s">
        <v>2784</v>
      </c>
      <c r="B39" s="1461"/>
      <c r="C39" s="1458" t="s">
        <v>57</v>
      </c>
      <c r="D39" s="1388" t="s">
        <v>58</v>
      </c>
      <c r="E39" s="1387" t="s">
        <v>59</v>
      </c>
      <c r="F39" s="1388" t="s">
        <v>60</v>
      </c>
      <c r="G39" s="1388" t="s">
        <v>61</v>
      </c>
      <c r="H39" s="1459">
        <v>528848</v>
      </c>
      <c r="I39" s="1459">
        <f>H39-210000</f>
        <v>318848</v>
      </c>
      <c r="J39" s="1460">
        <v>18700</v>
      </c>
      <c r="K39" s="1383"/>
      <c r="L39" s="1460">
        <v>18700</v>
      </c>
      <c r="M39" s="1383"/>
      <c r="N39" s="1460">
        <v>450000</v>
      </c>
      <c r="O39" s="1460">
        <v>173000</v>
      </c>
      <c r="P39" s="1460">
        <v>450000</v>
      </c>
      <c r="Q39" s="1460">
        <v>173000</v>
      </c>
      <c r="R39" s="1454"/>
      <c r="S39" s="1454"/>
      <c r="T39" s="1460">
        <v>450000</v>
      </c>
      <c r="U39" s="1460">
        <v>173000</v>
      </c>
      <c r="V39" s="1454"/>
      <c r="W39" s="1454"/>
      <c r="X39" s="1460">
        <v>450000</v>
      </c>
      <c r="Y39" s="1460">
        <v>173000</v>
      </c>
      <c r="Z39" s="1460">
        <v>0</v>
      </c>
      <c r="AA39" s="1460">
        <v>0</v>
      </c>
      <c r="AB39" s="1460">
        <v>450000</v>
      </c>
      <c r="AC39" s="1460">
        <v>213000</v>
      </c>
      <c r="AD39" s="1460"/>
      <c r="AE39" s="1460"/>
      <c r="AF39" s="1383">
        <f>AB39</f>
        <v>450000</v>
      </c>
      <c r="AG39" s="1383">
        <f>AC39+AD39+AE39</f>
        <v>213000</v>
      </c>
      <c r="AH39" s="1383">
        <f t="shared" ref="AH39:AH104" si="25">SUM(AI39:AM39)</f>
        <v>200000</v>
      </c>
      <c r="AI39" s="1383">
        <v>56000</v>
      </c>
      <c r="AJ39" s="1383">
        <v>50000</v>
      </c>
      <c r="AK39" s="1383">
        <v>94000</v>
      </c>
      <c r="AL39" s="1383"/>
      <c r="AM39" s="1383"/>
      <c r="AN39" s="1717" t="s">
        <v>2758</v>
      </c>
      <c r="AO39" s="1717"/>
      <c r="AP39" s="1431">
        <f t="shared" si="3"/>
        <v>0</v>
      </c>
      <c r="AQ39" s="1431">
        <f t="shared" si="7"/>
        <v>1</v>
      </c>
      <c r="AR39" s="1434">
        <f t="shared" si="16"/>
        <v>0</v>
      </c>
      <c r="AS39" s="1434"/>
      <c r="AT39" s="1427">
        <f>IF(AP39=0,1,0)</f>
        <v>1</v>
      </c>
      <c r="AV39" s="1427">
        <f t="shared" si="17"/>
        <v>0</v>
      </c>
      <c r="AW39" s="1427">
        <f t="shared" si="18"/>
        <v>0</v>
      </c>
      <c r="AX39" s="1427">
        <f t="shared" si="19"/>
        <v>0</v>
      </c>
      <c r="AY39" s="1427">
        <f t="shared" si="20"/>
        <v>0</v>
      </c>
      <c r="AZ39" s="1427">
        <f t="shared" si="21"/>
        <v>0</v>
      </c>
      <c r="BA39" s="1427">
        <f t="shared" si="22"/>
        <v>0</v>
      </c>
      <c r="BB39" s="1427">
        <f t="shared" si="23"/>
        <v>0</v>
      </c>
      <c r="BC39" s="1427">
        <f t="shared" si="24"/>
        <v>0</v>
      </c>
      <c r="BD39" s="1436">
        <f t="shared" si="8"/>
        <v>1</v>
      </c>
      <c r="BE39" s="1331">
        <f>IF((AG39-AC39)=0,0,1)</f>
        <v>0</v>
      </c>
    </row>
    <row r="40" spans="1:57" ht="61.5" customHeight="1" x14ac:dyDescent="0.3">
      <c r="A40" s="1457" t="s">
        <v>2785</v>
      </c>
      <c r="B40" s="1457" t="s">
        <v>2783</v>
      </c>
      <c r="C40" s="1458" t="s">
        <v>63</v>
      </c>
      <c r="D40" s="1388" t="s">
        <v>64</v>
      </c>
      <c r="E40" s="1388" t="s">
        <v>65</v>
      </c>
      <c r="F40" s="1388" t="s">
        <v>66</v>
      </c>
      <c r="G40" s="1388" t="s">
        <v>67</v>
      </c>
      <c r="H40" s="1459">
        <v>311027</v>
      </c>
      <c r="I40" s="1459">
        <f>H40-108000</f>
        <v>203027</v>
      </c>
      <c r="J40" s="1460">
        <v>106965</v>
      </c>
      <c r="K40" s="1460">
        <v>3000</v>
      </c>
      <c r="L40" s="1460">
        <v>106965</v>
      </c>
      <c r="M40" s="1460">
        <v>3000</v>
      </c>
      <c r="N40" s="1460">
        <f>O40+105000</f>
        <v>232000</v>
      </c>
      <c r="O40" s="1460">
        <v>127000</v>
      </c>
      <c r="P40" s="1460">
        <f>Q40+105000</f>
        <v>232000</v>
      </c>
      <c r="Q40" s="1460">
        <v>127000</v>
      </c>
      <c r="R40" s="1454"/>
      <c r="S40" s="1454"/>
      <c r="T40" s="1460">
        <f>U40+105000</f>
        <v>232000</v>
      </c>
      <c r="U40" s="1460">
        <v>127000</v>
      </c>
      <c r="V40" s="1454"/>
      <c r="W40" s="1454"/>
      <c r="X40" s="1460">
        <f>Y40+105000</f>
        <v>232000</v>
      </c>
      <c r="Y40" s="1460">
        <v>127000</v>
      </c>
      <c r="Z40" s="1460">
        <v>0</v>
      </c>
      <c r="AA40" s="1460">
        <v>0</v>
      </c>
      <c r="AB40" s="1460">
        <v>243996</v>
      </c>
      <c r="AC40" s="1460">
        <v>138996</v>
      </c>
      <c r="AD40" s="1460"/>
      <c r="AE40" s="1460"/>
      <c r="AF40" s="1383">
        <f>AB40+AD40</f>
        <v>243996</v>
      </c>
      <c r="AG40" s="1383">
        <f t="shared" si="15"/>
        <v>138996</v>
      </c>
      <c r="AH40" s="1383">
        <f t="shared" si="25"/>
        <v>138996</v>
      </c>
      <c r="AI40" s="1383">
        <v>100000</v>
      </c>
      <c r="AJ40" s="1383">
        <v>38996</v>
      </c>
      <c r="AK40" s="1383"/>
      <c r="AL40" s="1383"/>
      <c r="AM40" s="1383"/>
      <c r="AN40" s="1717" t="s">
        <v>3479</v>
      </c>
      <c r="AO40" s="1717"/>
      <c r="AP40" s="1431">
        <f t="shared" si="3"/>
        <v>0</v>
      </c>
      <c r="AQ40" s="1431">
        <f t="shared" si="7"/>
        <v>1</v>
      </c>
      <c r="AR40" s="1434">
        <f t="shared" si="16"/>
        <v>0</v>
      </c>
      <c r="AS40" s="1434"/>
      <c r="AT40" s="1427">
        <f>IF(AP40=0,1,0)</f>
        <v>1</v>
      </c>
      <c r="AV40" s="1427">
        <f t="shared" si="17"/>
        <v>0</v>
      </c>
      <c r="AW40" s="1427">
        <f t="shared" si="18"/>
        <v>0</v>
      </c>
      <c r="AX40" s="1427">
        <f t="shared" si="19"/>
        <v>0</v>
      </c>
      <c r="AY40" s="1427">
        <f t="shared" si="20"/>
        <v>0</v>
      </c>
      <c r="AZ40" s="1427">
        <f t="shared" si="21"/>
        <v>0</v>
      </c>
      <c r="BA40" s="1427">
        <f t="shared" si="22"/>
        <v>0</v>
      </c>
      <c r="BB40" s="1427">
        <f t="shared" si="23"/>
        <v>0</v>
      </c>
      <c r="BC40" s="1427">
        <f t="shared" si="24"/>
        <v>0</v>
      </c>
      <c r="BD40" s="1436">
        <f t="shared" si="8"/>
        <v>1</v>
      </c>
      <c r="BE40" s="1331">
        <f>IF((AG40-AC40)=0,0,1)</f>
        <v>0</v>
      </c>
    </row>
    <row r="41" spans="1:57" ht="115.5" customHeight="1" x14ac:dyDescent="0.3">
      <c r="A41" s="1461" t="s">
        <v>2786</v>
      </c>
      <c r="B41" s="1457"/>
      <c r="C41" s="1462" t="s">
        <v>69</v>
      </c>
      <c r="D41" s="1388" t="s">
        <v>70</v>
      </c>
      <c r="E41" s="1388" t="s">
        <v>71</v>
      </c>
      <c r="F41" s="1388" t="s">
        <v>72</v>
      </c>
      <c r="G41" s="1388" t="s">
        <v>73</v>
      </c>
      <c r="H41" s="1463">
        <v>34839</v>
      </c>
      <c r="I41" s="1463">
        <f>H41</f>
        <v>34839</v>
      </c>
      <c r="J41" s="1460">
        <f>K41</f>
        <v>15095</v>
      </c>
      <c r="K41" s="1460">
        <v>15095</v>
      </c>
      <c r="L41" s="1460">
        <f>M41</f>
        <v>15095</v>
      </c>
      <c r="M41" s="1460">
        <f>K41</f>
        <v>15095</v>
      </c>
      <c r="N41" s="1460">
        <f>O41</f>
        <v>16260.100000000002</v>
      </c>
      <c r="O41" s="1460">
        <v>16260.100000000002</v>
      </c>
      <c r="P41" s="1460">
        <f>Q41</f>
        <v>16260.100000000002</v>
      </c>
      <c r="Q41" s="1460">
        <v>16260.100000000002</v>
      </c>
      <c r="R41" s="1454"/>
      <c r="S41" s="1454"/>
      <c r="T41" s="1460">
        <f>U41</f>
        <v>16260.100000000002</v>
      </c>
      <c r="U41" s="1460">
        <v>16260.100000000002</v>
      </c>
      <c r="V41" s="1454"/>
      <c r="W41" s="1454"/>
      <c r="X41" s="1460">
        <f>Y41</f>
        <v>16260.100000000002</v>
      </c>
      <c r="Y41" s="1460">
        <v>16260.100000000002</v>
      </c>
      <c r="Z41" s="1460">
        <v>0</v>
      </c>
      <c r="AA41" s="1460">
        <v>0</v>
      </c>
      <c r="AB41" s="1460">
        <v>16260.100000000002</v>
      </c>
      <c r="AC41" s="1460">
        <v>16260.100000000002</v>
      </c>
      <c r="AD41" s="1460"/>
      <c r="AE41" s="1460"/>
      <c r="AF41" s="1383">
        <f t="shared" si="14"/>
        <v>16260.100000000002</v>
      </c>
      <c r="AG41" s="1383">
        <f t="shared" si="15"/>
        <v>16260.100000000002</v>
      </c>
      <c r="AH41" s="1383">
        <f t="shared" si="25"/>
        <v>3974</v>
      </c>
      <c r="AI41" s="1383">
        <v>3000</v>
      </c>
      <c r="AJ41" s="1383">
        <v>974</v>
      </c>
      <c r="AK41" s="1383"/>
      <c r="AL41" s="1383"/>
      <c r="AM41" s="1383"/>
      <c r="AN41" s="1464"/>
      <c r="AO41" s="1464"/>
      <c r="AP41" s="1431">
        <f t="shared" si="3"/>
        <v>0</v>
      </c>
      <c r="AQ41" s="1431">
        <f t="shared" si="7"/>
        <v>1</v>
      </c>
      <c r="AR41" s="1434">
        <f t="shared" si="16"/>
        <v>0</v>
      </c>
      <c r="AS41" s="1434"/>
      <c r="AT41" s="1427">
        <f>IF(AP41=0,1,0)</f>
        <v>1</v>
      </c>
      <c r="AV41" s="1427">
        <f t="shared" si="17"/>
        <v>0</v>
      </c>
      <c r="AW41" s="1427">
        <f t="shared" si="18"/>
        <v>0</v>
      </c>
      <c r="AX41" s="1427">
        <f t="shared" si="19"/>
        <v>0</v>
      </c>
      <c r="AY41" s="1427">
        <f t="shared" si="20"/>
        <v>0</v>
      </c>
      <c r="AZ41" s="1427">
        <f t="shared" si="21"/>
        <v>0</v>
      </c>
      <c r="BA41" s="1427">
        <f t="shared" si="22"/>
        <v>0</v>
      </c>
      <c r="BB41" s="1427">
        <f t="shared" si="23"/>
        <v>0</v>
      </c>
      <c r="BC41" s="1427">
        <f t="shared" si="24"/>
        <v>0</v>
      </c>
      <c r="BD41" s="1436">
        <f t="shared" si="8"/>
        <v>1</v>
      </c>
    </row>
    <row r="42" spans="1:57" ht="79.5" customHeight="1" x14ac:dyDescent="0.3">
      <c r="A42" s="1457" t="s">
        <v>2787</v>
      </c>
      <c r="B42" s="1457" t="s">
        <v>2784</v>
      </c>
      <c r="C42" s="1462" t="s">
        <v>74</v>
      </c>
      <c r="D42" s="1388" t="s">
        <v>75</v>
      </c>
      <c r="E42" s="1388" t="s">
        <v>76</v>
      </c>
      <c r="F42" s="1465" t="s">
        <v>77</v>
      </c>
      <c r="G42" s="1388" t="s">
        <v>78</v>
      </c>
      <c r="H42" s="1463">
        <v>945665</v>
      </c>
      <c r="I42" s="1463">
        <v>107625</v>
      </c>
      <c r="J42" s="1386">
        <v>102348</v>
      </c>
      <c r="K42" s="1460">
        <v>3348</v>
      </c>
      <c r="L42" s="1460">
        <v>33334</v>
      </c>
      <c r="M42" s="1460">
        <v>3348</v>
      </c>
      <c r="N42" s="1460">
        <v>912330</v>
      </c>
      <c r="O42" s="1460">
        <f>46700+48960</f>
        <v>95660</v>
      </c>
      <c r="P42" s="1460">
        <v>912330</v>
      </c>
      <c r="Q42" s="1460">
        <f>O42</f>
        <v>95660</v>
      </c>
      <c r="R42" s="1454"/>
      <c r="S42" s="1454"/>
      <c r="T42" s="1460">
        <v>912330</v>
      </c>
      <c r="U42" s="1460">
        <f>Q42</f>
        <v>95660</v>
      </c>
      <c r="V42" s="1454"/>
      <c r="W42" s="1454"/>
      <c r="X42" s="1460">
        <v>912330</v>
      </c>
      <c r="Y42" s="1460">
        <f>U42</f>
        <v>95660</v>
      </c>
      <c r="Z42" s="1460">
        <v>0</v>
      </c>
      <c r="AA42" s="1460">
        <v>0</v>
      </c>
      <c r="AB42" s="1460">
        <v>912330</v>
      </c>
      <c r="AC42" s="1460">
        <v>81660</v>
      </c>
      <c r="AD42" s="1460"/>
      <c r="AE42" s="1525"/>
      <c r="AF42" s="1383">
        <f>AB42</f>
        <v>912330</v>
      </c>
      <c r="AG42" s="1383">
        <f t="shared" si="15"/>
        <v>81660</v>
      </c>
      <c r="AH42" s="1383">
        <f t="shared" si="25"/>
        <v>81660</v>
      </c>
      <c r="AI42" s="1383">
        <v>4788</v>
      </c>
      <c r="AJ42" s="1383">
        <v>10000</v>
      </c>
      <c r="AK42" s="1383">
        <v>25000</v>
      </c>
      <c r="AL42" s="1383">
        <v>11700</v>
      </c>
      <c r="AM42" s="1383">
        <f>44172-14000</f>
        <v>30172</v>
      </c>
      <c r="AN42" s="1717" t="s">
        <v>2760</v>
      </c>
      <c r="AO42" s="1717"/>
      <c r="AP42" s="1431">
        <f t="shared" si="3"/>
        <v>0</v>
      </c>
      <c r="AQ42" s="1431">
        <f t="shared" si="7"/>
        <v>1</v>
      </c>
      <c r="AR42" s="1434">
        <f t="shared" si="16"/>
        <v>0</v>
      </c>
      <c r="AS42" s="1434"/>
      <c r="AT42" s="1427">
        <f>IF(AP42=0,1,0)</f>
        <v>1</v>
      </c>
      <c r="AV42" s="1427">
        <f t="shared" si="17"/>
        <v>0</v>
      </c>
      <c r="AW42" s="1427">
        <f t="shared" si="18"/>
        <v>0</v>
      </c>
      <c r="AX42" s="1427">
        <f t="shared" si="19"/>
        <v>0</v>
      </c>
      <c r="AY42" s="1427">
        <f t="shared" si="20"/>
        <v>0</v>
      </c>
      <c r="AZ42" s="1427">
        <f t="shared" si="21"/>
        <v>0</v>
      </c>
      <c r="BA42" s="1427">
        <f t="shared" si="22"/>
        <v>0</v>
      </c>
      <c r="BB42" s="1427">
        <f t="shared" si="23"/>
        <v>0</v>
      </c>
      <c r="BC42" s="1427">
        <f t="shared" si="24"/>
        <v>0</v>
      </c>
      <c r="BD42" s="1436">
        <f t="shared" si="8"/>
        <v>1</v>
      </c>
    </row>
    <row r="43" spans="1:57" ht="117.75" customHeight="1" x14ac:dyDescent="0.3">
      <c r="A43" s="1457" t="s">
        <v>2788</v>
      </c>
      <c r="B43" s="1457"/>
      <c r="C43" s="1462" t="s">
        <v>80</v>
      </c>
      <c r="D43" s="1388" t="s">
        <v>70</v>
      </c>
      <c r="E43" s="1388" t="s">
        <v>2733</v>
      </c>
      <c r="F43" s="1388" t="s">
        <v>82</v>
      </c>
      <c r="G43" s="1388" t="s">
        <v>83</v>
      </c>
      <c r="H43" s="1463">
        <v>230988</v>
      </c>
      <c r="I43" s="1463">
        <f>H43-24000</f>
        <v>206988</v>
      </c>
      <c r="J43" s="1460">
        <f>K43+24000</f>
        <v>161281</v>
      </c>
      <c r="K43" s="1460">
        <v>137281</v>
      </c>
      <c r="L43" s="1460">
        <f>J43</f>
        <v>161281</v>
      </c>
      <c r="M43" s="1460">
        <f>K43</f>
        <v>137281</v>
      </c>
      <c r="N43" s="1460"/>
      <c r="O43" s="1460"/>
      <c r="P43" s="1460">
        <f>Q43</f>
        <v>22500</v>
      </c>
      <c r="Q43" s="1460">
        <v>22500</v>
      </c>
      <c r="R43" s="1460">
        <v>22500</v>
      </c>
      <c r="S43" s="1454"/>
      <c r="T43" s="1460">
        <f>U43</f>
        <v>22500</v>
      </c>
      <c r="U43" s="1460">
        <v>22500</v>
      </c>
      <c r="V43" s="1460"/>
      <c r="W43" s="1454"/>
      <c r="X43" s="1460">
        <f>Y43</f>
        <v>22500</v>
      </c>
      <c r="Y43" s="1460">
        <v>22500</v>
      </c>
      <c r="Z43" s="1460">
        <v>0</v>
      </c>
      <c r="AA43" s="1460">
        <v>0</v>
      </c>
      <c r="AB43" s="1460">
        <v>24500</v>
      </c>
      <c r="AC43" s="1460">
        <v>22500</v>
      </c>
      <c r="AD43" s="1460"/>
      <c r="AE43" s="1460"/>
      <c r="AF43" s="1383">
        <v>24500</v>
      </c>
      <c r="AG43" s="1383">
        <f t="shared" si="15"/>
        <v>22500</v>
      </c>
      <c r="AH43" s="1383">
        <f t="shared" si="25"/>
        <v>22500</v>
      </c>
      <c r="AI43" s="1383"/>
      <c r="AJ43" s="1383">
        <v>22500</v>
      </c>
      <c r="AK43" s="1383"/>
      <c r="AL43" s="1383"/>
      <c r="AM43" s="1383"/>
      <c r="AN43" s="1381"/>
      <c r="AO43" s="1381"/>
      <c r="AP43" s="1431">
        <f t="shared" si="3"/>
        <v>0</v>
      </c>
      <c r="AQ43" s="1431">
        <f t="shared" si="7"/>
        <v>1</v>
      </c>
      <c r="AR43" s="1434">
        <f>AP43</f>
        <v>0</v>
      </c>
      <c r="AS43" s="1434"/>
      <c r="AT43" s="1427">
        <f t="shared" ref="AT43" si="26">IF(AP43=0,1,0)</f>
        <v>1</v>
      </c>
      <c r="AV43" s="1427">
        <f t="shared" si="17"/>
        <v>0</v>
      </c>
      <c r="AW43" s="1427">
        <f t="shared" si="18"/>
        <v>0</v>
      </c>
      <c r="AX43" s="1427">
        <f t="shared" si="19"/>
        <v>1</v>
      </c>
      <c r="AY43" s="1427">
        <f t="shared" si="20"/>
        <v>22500</v>
      </c>
      <c r="AZ43" s="1427">
        <f t="shared" si="21"/>
        <v>1</v>
      </c>
      <c r="BA43" s="1427">
        <f t="shared" si="22"/>
        <v>22500</v>
      </c>
      <c r="BB43" s="1427">
        <f t="shared" si="23"/>
        <v>0</v>
      </c>
      <c r="BC43" s="1427">
        <f t="shared" si="24"/>
        <v>0</v>
      </c>
      <c r="BD43" s="1436">
        <f t="shared" si="8"/>
        <v>1</v>
      </c>
    </row>
    <row r="44" spans="1:57" s="1517" customFormat="1" ht="58.5" x14ac:dyDescent="0.3">
      <c r="A44" s="1445" t="s">
        <v>2789</v>
      </c>
      <c r="B44" s="1445" t="s">
        <v>2789</v>
      </c>
      <c r="C44" s="1446" t="s">
        <v>86</v>
      </c>
      <c r="D44" s="1447"/>
      <c r="E44" s="1447"/>
      <c r="F44" s="1448"/>
      <c r="G44" s="1448"/>
      <c r="H44" s="1449">
        <f>H45+H62</f>
        <v>7650340</v>
      </c>
      <c r="I44" s="1449">
        <f>I45+I62</f>
        <v>7032185</v>
      </c>
      <c r="J44" s="1449"/>
      <c r="K44" s="1449"/>
      <c r="L44" s="1449"/>
      <c r="M44" s="1449"/>
      <c r="N44" s="1449">
        <f t="shared" ref="N44:AM44" si="27">N45+N62</f>
        <v>2533005</v>
      </c>
      <c r="O44" s="1449">
        <f t="shared" si="27"/>
        <v>1001070</v>
      </c>
      <c r="P44" s="1449">
        <f t="shared" si="27"/>
        <v>2441529.6</v>
      </c>
      <c r="Q44" s="1449">
        <f t="shared" si="27"/>
        <v>1793888.1</v>
      </c>
      <c r="R44" s="1449">
        <f t="shared" si="27"/>
        <v>1014910</v>
      </c>
      <c r="S44" s="1449">
        <f t="shared" si="27"/>
        <v>95200</v>
      </c>
      <c r="T44" s="1449">
        <f t="shared" si="27"/>
        <v>2334780</v>
      </c>
      <c r="U44" s="1449">
        <f t="shared" si="27"/>
        <v>1920780</v>
      </c>
      <c r="V44" s="1449">
        <f t="shared" si="27"/>
        <v>726900</v>
      </c>
      <c r="W44" s="1449">
        <f t="shared" si="27"/>
        <v>0</v>
      </c>
      <c r="X44" s="1449">
        <f t="shared" si="27"/>
        <v>3211680</v>
      </c>
      <c r="Y44" s="1449">
        <f t="shared" si="27"/>
        <v>2647680</v>
      </c>
      <c r="Z44" s="1449">
        <f t="shared" si="27"/>
        <v>195000</v>
      </c>
      <c r="AA44" s="1449">
        <f t="shared" si="27"/>
        <v>0</v>
      </c>
      <c r="AB44" s="1449">
        <v>3315296</v>
      </c>
      <c r="AC44" s="1449">
        <v>2901296</v>
      </c>
      <c r="AD44" s="1449">
        <f t="shared" si="27"/>
        <v>238500</v>
      </c>
      <c r="AE44" s="1691">
        <f t="shared" si="27"/>
        <v>-238500</v>
      </c>
      <c r="AF44" s="1449">
        <f t="shared" si="27"/>
        <v>3315296</v>
      </c>
      <c r="AG44" s="1449">
        <f t="shared" si="27"/>
        <v>2901296</v>
      </c>
      <c r="AH44" s="1449">
        <f t="shared" si="27"/>
        <v>2443983</v>
      </c>
      <c r="AI44" s="1449">
        <f t="shared" si="27"/>
        <v>79396</v>
      </c>
      <c r="AJ44" s="1449">
        <f t="shared" si="27"/>
        <v>307147</v>
      </c>
      <c r="AK44" s="1449">
        <f t="shared" si="27"/>
        <v>405999</v>
      </c>
      <c r="AL44" s="1449">
        <f t="shared" si="27"/>
        <v>605786</v>
      </c>
      <c r="AM44" s="1449">
        <f t="shared" si="27"/>
        <v>1045655</v>
      </c>
      <c r="AN44" s="1450"/>
      <c r="AO44" s="1450"/>
      <c r="AP44" s="1515">
        <f t="shared" si="3"/>
        <v>0</v>
      </c>
      <c r="AQ44" s="1515">
        <f t="shared" si="7"/>
        <v>1</v>
      </c>
      <c r="AR44" s="1870"/>
      <c r="AS44" s="1870">
        <f>R44-S44</f>
        <v>919710</v>
      </c>
      <c r="AT44" s="1871">
        <f>U44-O44</f>
        <v>919710</v>
      </c>
      <c r="AU44" s="1516"/>
      <c r="AV44" s="1516"/>
      <c r="AW44" s="1516">
        <f t="shared" si="18"/>
        <v>0</v>
      </c>
      <c r="AX44" s="1516"/>
      <c r="AY44" s="1516">
        <f t="shared" si="20"/>
        <v>0</v>
      </c>
      <c r="AZ44" s="1516"/>
      <c r="BA44" s="1516">
        <f t="shared" si="22"/>
        <v>0</v>
      </c>
      <c r="BB44" s="1516"/>
      <c r="BC44" s="1516">
        <f t="shared" si="24"/>
        <v>0</v>
      </c>
      <c r="BD44" s="1872">
        <f t="shared" si="8"/>
        <v>1</v>
      </c>
    </row>
    <row r="45" spans="1:57" s="1517" customFormat="1" ht="78" x14ac:dyDescent="0.3">
      <c r="A45" s="1451" t="s">
        <v>2790</v>
      </c>
      <c r="B45" s="1451" t="s">
        <v>2790</v>
      </c>
      <c r="C45" s="1446" t="s">
        <v>88</v>
      </c>
      <c r="D45" s="1448"/>
      <c r="E45" s="1448"/>
      <c r="F45" s="1448"/>
      <c r="G45" s="1448"/>
      <c r="H45" s="1691">
        <f>SUM(H46:H61)</f>
        <v>2282564</v>
      </c>
      <c r="I45" s="1691">
        <f t="shared" ref="I45:AM45" si="28">SUM(I46:I61)</f>
        <v>1953291</v>
      </c>
      <c r="J45" s="1691">
        <f t="shared" si="28"/>
        <v>3000</v>
      </c>
      <c r="K45" s="1691">
        <f t="shared" si="28"/>
        <v>3000</v>
      </c>
      <c r="L45" s="1691">
        <f t="shared" si="28"/>
        <v>3000</v>
      </c>
      <c r="M45" s="1691">
        <f t="shared" si="28"/>
        <v>3000</v>
      </c>
      <c r="N45" s="1691">
        <f t="shared" si="28"/>
        <v>1957805</v>
      </c>
      <c r="O45" s="1691">
        <f t="shared" si="28"/>
        <v>597870</v>
      </c>
      <c r="P45" s="1691">
        <f t="shared" si="28"/>
        <v>1864511.5</v>
      </c>
      <c r="Q45" s="1691">
        <f t="shared" si="28"/>
        <v>1388870</v>
      </c>
      <c r="R45" s="1691">
        <f t="shared" si="28"/>
        <v>894910</v>
      </c>
      <c r="S45" s="1691">
        <f t="shared" si="28"/>
        <v>0</v>
      </c>
      <c r="T45" s="1691">
        <f t="shared" si="28"/>
        <v>1734780</v>
      </c>
      <c r="U45" s="1691">
        <f t="shared" si="28"/>
        <v>1492780</v>
      </c>
      <c r="V45" s="1691">
        <f t="shared" si="28"/>
        <v>379900</v>
      </c>
      <c r="W45" s="1691">
        <f t="shared" si="28"/>
        <v>0</v>
      </c>
      <c r="X45" s="1691">
        <f t="shared" si="28"/>
        <v>2114680</v>
      </c>
      <c r="Y45" s="1691">
        <f t="shared" si="28"/>
        <v>1872680</v>
      </c>
      <c r="Z45" s="1691">
        <f t="shared" si="28"/>
        <v>0</v>
      </c>
      <c r="AA45" s="1691">
        <f t="shared" si="28"/>
        <v>0</v>
      </c>
      <c r="AB45" s="1691">
        <f t="shared" si="28"/>
        <v>2089238</v>
      </c>
      <c r="AC45" s="1691">
        <f t="shared" si="28"/>
        <v>1847238</v>
      </c>
      <c r="AD45" s="1691">
        <f t="shared" si="28"/>
        <v>10000</v>
      </c>
      <c r="AE45" s="1691">
        <f t="shared" si="28"/>
        <v>-200000</v>
      </c>
      <c r="AF45" s="1691">
        <f t="shared" si="28"/>
        <v>1899238</v>
      </c>
      <c r="AG45" s="1691">
        <f>SUM(AG46:AG61)</f>
        <v>1657238</v>
      </c>
      <c r="AH45" s="1691">
        <f t="shared" si="28"/>
        <v>1643983</v>
      </c>
      <c r="AI45" s="1691">
        <f t="shared" si="28"/>
        <v>79396</v>
      </c>
      <c r="AJ45" s="1691">
        <f t="shared" si="28"/>
        <v>307147</v>
      </c>
      <c r="AK45" s="1691">
        <f t="shared" si="28"/>
        <v>355999</v>
      </c>
      <c r="AL45" s="1691">
        <f t="shared" si="28"/>
        <v>271866</v>
      </c>
      <c r="AM45" s="1691">
        <f t="shared" si="28"/>
        <v>629575</v>
      </c>
      <c r="AN45" s="1466"/>
      <c r="AO45" s="1466"/>
      <c r="AP45" s="1515">
        <f t="shared" si="3"/>
        <v>1</v>
      </c>
      <c r="AQ45" s="1515">
        <f t="shared" si="7"/>
        <v>1</v>
      </c>
      <c r="AR45" s="1870"/>
      <c r="AS45" s="1870">
        <f>V33-AS75</f>
        <v>672900</v>
      </c>
      <c r="AT45" s="1516"/>
      <c r="AU45" s="1516"/>
      <c r="AV45" s="1516"/>
      <c r="AW45" s="1516">
        <f t="shared" si="18"/>
        <v>0</v>
      </c>
      <c r="AX45" s="1516"/>
      <c r="AY45" s="1516">
        <f t="shared" si="20"/>
        <v>0</v>
      </c>
      <c r="AZ45" s="1516"/>
      <c r="BA45" s="1516">
        <f t="shared" si="22"/>
        <v>0</v>
      </c>
      <c r="BB45" s="1516"/>
      <c r="BC45" s="1516">
        <f t="shared" si="24"/>
        <v>0</v>
      </c>
      <c r="BD45" s="1872">
        <f t="shared" si="8"/>
        <v>1</v>
      </c>
    </row>
    <row r="46" spans="1:57" ht="60.75" customHeight="1" x14ac:dyDescent="0.3">
      <c r="A46" s="1457" t="s">
        <v>2791</v>
      </c>
      <c r="B46" s="1457" t="s">
        <v>2791</v>
      </c>
      <c r="C46" s="1458" t="s">
        <v>89</v>
      </c>
      <c r="D46" s="1465" t="s">
        <v>58</v>
      </c>
      <c r="E46" s="1465" t="s">
        <v>90</v>
      </c>
      <c r="F46" s="1465" t="s">
        <v>252</v>
      </c>
      <c r="G46" s="1388" t="s">
        <v>92</v>
      </c>
      <c r="H46" s="1459">
        <v>183323</v>
      </c>
      <c r="I46" s="1459">
        <v>128179</v>
      </c>
      <c r="J46" s="1460"/>
      <c r="K46" s="1460"/>
      <c r="L46" s="1460"/>
      <c r="M46" s="1460"/>
      <c r="N46" s="1460">
        <v>115000</v>
      </c>
      <c r="O46" s="1460">
        <f>N46</f>
        <v>115000</v>
      </c>
      <c r="P46" s="1460">
        <v>115000</v>
      </c>
      <c r="Q46" s="1460">
        <f>P46</f>
        <v>115000</v>
      </c>
      <c r="R46" s="1454"/>
      <c r="S46" s="1454"/>
      <c r="T46" s="1460">
        <v>115000</v>
      </c>
      <c r="U46" s="1460">
        <f>T46</f>
        <v>115000</v>
      </c>
      <c r="V46" s="1454"/>
      <c r="W46" s="1454"/>
      <c r="X46" s="1460">
        <v>115000</v>
      </c>
      <c r="Y46" s="1460">
        <f>X46</f>
        <v>115000</v>
      </c>
      <c r="Z46" s="1460"/>
      <c r="AA46" s="1460"/>
      <c r="AB46" s="1460">
        <v>125000</v>
      </c>
      <c r="AC46" s="1460">
        <v>125000</v>
      </c>
      <c r="AD46" s="1460"/>
      <c r="AE46" s="1460"/>
      <c r="AF46" s="1383">
        <f>AB46+AD46</f>
        <v>125000</v>
      </c>
      <c r="AG46" s="1383">
        <f t="shared" si="15"/>
        <v>125000</v>
      </c>
      <c r="AH46" s="1383">
        <f t="shared" si="25"/>
        <v>125000</v>
      </c>
      <c r="AI46" s="1383">
        <v>25000</v>
      </c>
      <c r="AJ46" s="1383">
        <v>100000</v>
      </c>
      <c r="AK46" s="1383"/>
      <c r="AL46" s="1383"/>
      <c r="AM46" s="1383"/>
      <c r="AN46" s="1717" t="s">
        <v>3478</v>
      </c>
      <c r="AO46" s="1717"/>
      <c r="AP46" s="1431">
        <f t="shared" si="3"/>
        <v>0</v>
      </c>
      <c r="AQ46" s="1431">
        <f t="shared" si="7"/>
        <v>1</v>
      </c>
      <c r="AR46" s="1434">
        <f t="shared" si="16"/>
        <v>0</v>
      </c>
      <c r="AS46" s="1434"/>
      <c r="AT46" s="1427">
        <f t="shared" ref="AT46:AT57" si="29">IF(AP46=0,1,0)</f>
        <v>1</v>
      </c>
      <c r="AV46" s="1427">
        <f t="shared" ref="AV46:AV57" si="30">IF(Q46=0,1,0)</f>
        <v>0</v>
      </c>
      <c r="AW46" s="1427">
        <f t="shared" si="18"/>
        <v>0</v>
      </c>
      <c r="AX46" s="1427">
        <f t="shared" ref="AX46:AX57" si="31">IF(O46=0,1,0)</f>
        <v>0</v>
      </c>
      <c r="AY46" s="1427">
        <f t="shared" si="20"/>
        <v>0</v>
      </c>
      <c r="AZ46" s="1427">
        <f t="shared" ref="AZ46:AZ55" si="32">IF(R46=0,0,1)</f>
        <v>0</v>
      </c>
      <c r="BA46" s="1427">
        <f t="shared" si="22"/>
        <v>0</v>
      </c>
      <c r="BB46" s="1427">
        <f t="shared" ref="BB46:BB57" si="33">IF(S46=0,0,1)</f>
        <v>0</v>
      </c>
      <c r="BC46" s="1427">
        <f t="shared" si="24"/>
        <v>0</v>
      </c>
      <c r="BD46" s="1436">
        <f t="shared" si="8"/>
        <v>1</v>
      </c>
    </row>
    <row r="47" spans="1:57" ht="122.25" customHeight="1" x14ac:dyDescent="0.3">
      <c r="A47" s="1457" t="s">
        <v>2792</v>
      </c>
      <c r="B47" s="1457"/>
      <c r="C47" s="1458" t="s">
        <v>94</v>
      </c>
      <c r="D47" s="1388" t="s">
        <v>95</v>
      </c>
      <c r="E47" s="1388" t="s">
        <v>96</v>
      </c>
      <c r="F47" s="1465" t="s">
        <v>91</v>
      </c>
      <c r="G47" s="1388" t="s">
        <v>896</v>
      </c>
      <c r="H47" s="1444">
        <f>I47</f>
        <v>43206</v>
      </c>
      <c r="I47" s="1459">
        <v>43206</v>
      </c>
      <c r="J47" s="1460"/>
      <c r="K47" s="1460"/>
      <c r="L47" s="1460"/>
      <c r="M47" s="1460"/>
      <c r="N47" s="1460">
        <f>O47</f>
        <v>31550</v>
      </c>
      <c r="O47" s="1460">
        <v>31550</v>
      </c>
      <c r="P47" s="1460">
        <f>Q47</f>
        <v>31550</v>
      </c>
      <c r="Q47" s="1460">
        <v>31550</v>
      </c>
      <c r="R47" s="1454">
        <v>10000</v>
      </c>
      <c r="S47" s="1454"/>
      <c r="T47" s="1460">
        <f>U47</f>
        <v>41550</v>
      </c>
      <c r="U47" s="1460">
        <v>41550</v>
      </c>
      <c r="V47" s="1454"/>
      <c r="W47" s="1454"/>
      <c r="X47" s="1460">
        <f>Y47</f>
        <v>41550</v>
      </c>
      <c r="Y47" s="1460">
        <v>41550</v>
      </c>
      <c r="Z47" s="1460">
        <v>0</v>
      </c>
      <c r="AA47" s="1460">
        <v>0</v>
      </c>
      <c r="AB47" s="1460">
        <v>41550</v>
      </c>
      <c r="AC47" s="1460">
        <v>41550</v>
      </c>
      <c r="AD47" s="1460"/>
      <c r="AE47" s="1460"/>
      <c r="AF47" s="1383">
        <f t="shared" si="14"/>
        <v>41550</v>
      </c>
      <c r="AG47" s="1383">
        <f t="shared" si="15"/>
        <v>41550</v>
      </c>
      <c r="AH47" s="1383">
        <f t="shared" si="25"/>
        <v>35756</v>
      </c>
      <c r="AI47" s="1383">
        <v>13000</v>
      </c>
      <c r="AJ47" s="1383">
        <v>13000</v>
      </c>
      <c r="AK47" s="1383">
        <v>9706</v>
      </c>
      <c r="AL47" s="1383">
        <v>50</v>
      </c>
      <c r="AM47" s="1383"/>
      <c r="AN47" s="1381"/>
      <c r="AO47" s="1381"/>
      <c r="AP47" s="1431">
        <f t="shared" si="3"/>
        <v>0</v>
      </c>
      <c r="AQ47" s="1431">
        <f t="shared" si="7"/>
        <v>1</v>
      </c>
      <c r="AR47" s="1434">
        <f t="shared" si="16"/>
        <v>0</v>
      </c>
      <c r="AS47" s="1434"/>
      <c r="AT47" s="1427">
        <f t="shared" si="29"/>
        <v>1</v>
      </c>
      <c r="AV47" s="1427">
        <f t="shared" si="30"/>
        <v>0</v>
      </c>
      <c r="AW47" s="1427">
        <f t="shared" si="18"/>
        <v>0</v>
      </c>
      <c r="AX47" s="1427">
        <f t="shared" si="31"/>
        <v>0</v>
      </c>
      <c r="AY47" s="1427">
        <f t="shared" si="20"/>
        <v>0</v>
      </c>
      <c r="AZ47" s="1427">
        <f t="shared" si="32"/>
        <v>1</v>
      </c>
      <c r="BA47" s="1427">
        <f t="shared" si="22"/>
        <v>10000</v>
      </c>
      <c r="BB47" s="1427">
        <f t="shared" si="33"/>
        <v>0</v>
      </c>
      <c r="BC47" s="1427">
        <f t="shared" si="24"/>
        <v>0</v>
      </c>
      <c r="BD47" s="1436">
        <f t="shared" si="8"/>
        <v>1</v>
      </c>
    </row>
    <row r="48" spans="1:57" ht="122.25" customHeight="1" x14ac:dyDescent="0.3">
      <c r="A48" s="1457" t="s">
        <v>2793</v>
      </c>
      <c r="B48" s="1457" t="s">
        <v>2792</v>
      </c>
      <c r="C48" s="1458" t="s">
        <v>98</v>
      </c>
      <c r="D48" s="1388" t="s">
        <v>99</v>
      </c>
      <c r="E48" s="1388" t="s">
        <v>100</v>
      </c>
      <c r="F48" s="1465" t="s">
        <v>101</v>
      </c>
      <c r="G48" s="1388" t="s">
        <v>2731</v>
      </c>
      <c r="H48" s="1444">
        <f>I48</f>
        <v>37942</v>
      </c>
      <c r="I48" s="1459">
        <v>37942</v>
      </c>
      <c r="J48" s="1460"/>
      <c r="K48" s="1460"/>
      <c r="L48" s="1460"/>
      <c r="M48" s="1460"/>
      <c r="N48" s="1460">
        <f>O48</f>
        <v>32800</v>
      </c>
      <c r="O48" s="1463">
        <v>32800</v>
      </c>
      <c r="P48" s="1460">
        <f>Q48</f>
        <v>32800</v>
      </c>
      <c r="Q48" s="1463">
        <v>32800</v>
      </c>
      <c r="R48" s="1454"/>
      <c r="S48" s="1454"/>
      <c r="T48" s="1460">
        <f>U48</f>
        <v>32800</v>
      </c>
      <c r="U48" s="1463">
        <v>32800</v>
      </c>
      <c r="V48" s="1454"/>
      <c r="W48" s="1454"/>
      <c r="X48" s="1460">
        <f>Y48</f>
        <v>32800</v>
      </c>
      <c r="Y48" s="1463">
        <v>32800</v>
      </c>
      <c r="Z48" s="1460">
        <v>0</v>
      </c>
      <c r="AA48" s="1460">
        <v>0</v>
      </c>
      <c r="AB48" s="1460">
        <v>29919</v>
      </c>
      <c r="AC48" s="1460">
        <v>29919</v>
      </c>
      <c r="AD48" s="1460"/>
      <c r="AE48" s="1525"/>
      <c r="AF48" s="1383">
        <f t="shared" si="14"/>
        <v>29919</v>
      </c>
      <c r="AG48" s="1383">
        <f t="shared" si="15"/>
        <v>29919</v>
      </c>
      <c r="AH48" s="1383">
        <f t="shared" si="25"/>
        <v>29500</v>
      </c>
      <c r="AI48" s="1383"/>
      <c r="AJ48" s="1383">
        <v>20000</v>
      </c>
      <c r="AK48" s="1383">
        <v>9500</v>
      </c>
      <c r="AL48" s="1383"/>
      <c r="AM48" s="1383"/>
      <c r="AN48" s="1464"/>
      <c r="AO48" s="1464"/>
      <c r="AP48" s="1431">
        <f t="shared" si="3"/>
        <v>0</v>
      </c>
      <c r="AQ48" s="1431">
        <f t="shared" si="7"/>
        <v>1</v>
      </c>
      <c r="AR48" s="1434">
        <f t="shared" si="16"/>
        <v>0</v>
      </c>
      <c r="AS48" s="1434"/>
      <c r="AT48" s="1427">
        <f t="shared" si="29"/>
        <v>1</v>
      </c>
      <c r="AV48" s="1427">
        <f t="shared" si="30"/>
        <v>0</v>
      </c>
      <c r="AW48" s="1427">
        <f t="shared" si="18"/>
        <v>0</v>
      </c>
      <c r="AX48" s="1427">
        <f t="shared" si="31"/>
        <v>0</v>
      </c>
      <c r="AY48" s="1427">
        <f t="shared" si="20"/>
        <v>0</v>
      </c>
      <c r="AZ48" s="1427">
        <f t="shared" si="32"/>
        <v>0</v>
      </c>
      <c r="BA48" s="1427">
        <f t="shared" si="22"/>
        <v>0</v>
      </c>
      <c r="BB48" s="1427">
        <f t="shared" si="33"/>
        <v>0</v>
      </c>
      <c r="BC48" s="1427">
        <f t="shared" si="24"/>
        <v>0</v>
      </c>
      <c r="BD48" s="1436">
        <f t="shared" si="8"/>
        <v>1</v>
      </c>
    </row>
    <row r="49" spans="1:56" ht="87" customHeight="1" x14ac:dyDescent="0.3">
      <c r="A49" s="1457" t="s">
        <v>2794</v>
      </c>
      <c r="B49" s="1457" t="s">
        <v>2793</v>
      </c>
      <c r="C49" s="1458" t="s">
        <v>103</v>
      </c>
      <c r="D49" s="1388" t="s">
        <v>104</v>
      </c>
      <c r="E49" s="1388" t="s">
        <v>105</v>
      </c>
      <c r="F49" s="1465" t="s">
        <v>248</v>
      </c>
      <c r="G49" s="1388" t="s">
        <v>2576</v>
      </c>
      <c r="H49" s="1444">
        <v>307750</v>
      </c>
      <c r="I49" s="1444">
        <v>307750</v>
      </c>
      <c r="J49" s="1460"/>
      <c r="K49" s="1460"/>
      <c r="L49" s="1460"/>
      <c r="M49" s="1460"/>
      <c r="N49" s="1460">
        <f>O49</f>
        <v>224890</v>
      </c>
      <c r="O49" s="1460">
        <v>224890</v>
      </c>
      <c r="P49" s="1460">
        <f>Q49</f>
        <v>224890</v>
      </c>
      <c r="Q49" s="1460">
        <v>224890</v>
      </c>
      <c r="R49" s="1454">
        <v>75110</v>
      </c>
      <c r="S49" s="1454"/>
      <c r="T49" s="1467">
        <f>U49</f>
        <v>300000</v>
      </c>
      <c r="U49" s="1467">
        <v>300000</v>
      </c>
      <c r="V49" s="1454"/>
      <c r="W49" s="1454"/>
      <c r="X49" s="1467">
        <f>Y49</f>
        <v>300000</v>
      </c>
      <c r="Y49" s="1467">
        <v>300000</v>
      </c>
      <c r="Z49" s="1460">
        <v>0</v>
      </c>
      <c r="AA49" s="1460">
        <v>0</v>
      </c>
      <c r="AB49" s="1460">
        <v>248430</v>
      </c>
      <c r="AC49" s="1460">
        <v>248430</v>
      </c>
      <c r="AD49" s="1460"/>
      <c r="AE49" s="1525"/>
      <c r="AF49" s="1383">
        <f t="shared" si="14"/>
        <v>248430</v>
      </c>
      <c r="AG49" s="1383">
        <f t="shared" si="15"/>
        <v>248430</v>
      </c>
      <c r="AH49" s="1383">
        <f t="shared" si="25"/>
        <v>245890</v>
      </c>
      <c r="AI49" s="1383"/>
      <c r="AJ49" s="1383">
        <v>123620</v>
      </c>
      <c r="AK49" s="1383">
        <v>101270</v>
      </c>
      <c r="AL49" s="1383">
        <v>21000</v>
      </c>
      <c r="AM49" s="1383"/>
      <c r="AN49" s="1381"/>
      <c r="AO49" s="1381"/>
      <c r="AP49" s="1431">
        <f t="shared" si="3"/>
        <v>0</v>
      </c>
      <c r="AQ49" s="1431">
        <f t="shared" si="7"/>
        <v>1</v>
      </c>
      <c r="AR49" s="1434">
        <f t="shared" si="16"/>
        <v>0</v>
      </c>
      <c r="AS49" s="1434"/>
      <c r="AT49" s="1427">
        <f t="shared" si="29"/>
        <v>1</v>
      </c>
      <c r="AV49" s="1427">
        <f t="shared" si="30"/>
        <v>0</v>
      </c>
      <c r="AW49" s="1427">
        <f t="shared" si="18"/>
        <v>0</v>
      </c>
      <c r="AX49" s="1427">
        <f t="shared" si="31"/>
        <v>0</v>
      </c>
      <c r="AY49" s="1427">
        <f t="shared" si="20"/>
        <v>0</v>
      </c>
      <c r="AZ49" s="1427">
        <f t="shared" si="32"/>
        <v>1</v>
      </c>
      <c r="BA49" s="1427">
        <f t="shared" si="22"/>
        <v>75110</v>
      </c>
      <c r="BB49" s="1427">
        <f t="shared" si="33"/>
        <v>0</v>
      </c>
      <c r="BC49" s="1427">
        <f t="shared" si="24"/>
        <v>0</v>
      </c>
      <c r="BD49" s="1436">
        <f t="shared" si="8"/>
        <v>1</v>
      </c>
    </row>
    <row r="50" spans="1:56" ht="117.75" customHeight="1" x14ac:dyDescent="0.3">
      <c r="A50" s="1457" t="s">
        <v>2795</v>
      </c>
      <c r="B50" s="1457" t="s">
        <v>2794</v>
      </c>
      <c r="C50" s="1458" t="s">
        <v>107</v>
      </c>
      <c r="D50" s="1388" t="s">
        <v>95</v>
      </c>
      <c r="E50" s="1388" t="s">
        <v>108</v>
      </c>
      <c r="F50" s="1465" t="s">
        <v>248</v>
      </c>
      <c r="G50" s="1388" t="s">
        <v>2732</v>
      </c>
      <c r="H50" s="1444">
        <f>I50</f>
        <v>89139</v>
      </c>
      <c r="I50" s="1459">
        <v>89139</v>
      </c>
      <c r="J50" s="1460"/>
      <c r="K50" s="1460"/>
      <c r="L50" s="1460"/>
      <c r="M50" s="1460"/>
      <c r="N50" s="1460">
        <f>O50</f>
        <v>80000</v>
      </c>
      <c r="O50" s="1463">
        <v>80000</v>
      </c>
      <c r="P50" s="1460">
        <f>Q50</f>
        <v>80000</v>
      </c>
      <c r="Q50" s="1463">
        <v>80000</v>
      </c>
      <c r="R50" s="1454"/>
      <c r="S50" s="1454"/>
      <c r="T50" s="1460">
        <f>U50</f>
        <v>80000</v>
      </c>
      <c r="U50" s="1463">
        <v>80000</v>
      </c>
      <c r="V50" s="1454"/>
      <c r="W50" s="1454"/>
      <c r="X50" s="1460">
        <f>Y50</f>
        <v>80000</v>
      </c>
      <c r="Y50" s="1463">
        <v>80000</v>
      </c>
      <c r="Z50" s="1460">
        <v>0</v>
      </c>
      <c r="AA50" s="1460">
        <v>0</v>
      </c>
      <c r="AB50" s="1460">
        <v>72696</v>
      </c>
      <c r="AC50" s="1460">
        <v>72696</v>
      </c>
      <c r="AD50" s="1460"/>
      <c r="AE50" s="1525"/>
      <c r="AF50" s="1383">
        <f t="shared" si="14"/>
        <v>72696</v>
      </c>
      <c r="AG50" s="1383">
        <f t="shared" si="15"/>
        <v>72696</v>
      </c>
      <c r="AH50" s="1383">
        <f t="shared" si="25"/>
        <v>65404</v>
      </c>
      <c r="AI50" s="1383"/>
      <c r="AJ50" s="1383">
        <v>30404</v>
      </c>
      <c r="AK50" s="1383">
        <v>35000</v>
      </c>
      <c r="AL50" s="1383"/>
      <c r="AM50" s="1383"/>
      <c r="AN50" s="1464"/>
      <c r="AO50" s="1464"/>
      <c r="AP50" s="1431">
        <f t="shared" si="3"/>
        <v>0</v>
      </c>
      <c r="AQ50" s="1431">
        <f t="shared" si="7"/>
        <v>1</v>
      </c>
      <c r="AR50" s="1434">
        <f t="shared" si="16"/>
        <v>0</v>
      </c>
      <c r="AS50" s="1434"/>
      <c r="AT50" s="1427">
        <f t="shared" si="29"/>
        <v>1</v>
      </c>
      <c r="AV50" s="1427">
        <f t="shared" si="30"/>
        <v>0</v>
      </c>
      <c r="AW50" s="1427">
        <f t="shared" si="18"/>
        <v>0</v>
      </c>
      <c r="AX50" s="1427">
        <f t="shared" si="31"/>
        <v>0</v>
      </c>
      <c r="AY50" s="1427">
        <f t="shared" si="20"/>
        <v>0</v>
      </c>
      <c r="AZ50" s="1427">
        <f t="shared" si="32"/>
        <v>0</v>
      </c>
      <c r="BA50" s="1427">
        <f t="shared" si="22"/>
        <v>0</v>
      </c>
      <c r="BB50" s="1427">
        <f t="shared" si="33"/>
        <v>0</v>
      </c>
      <c r="BC50" s="1427">
        <f t="shared" si="24"/>
        <v>0</v>
      </c>
      <c r="BD50" s="1436">
        <f t="shared" si="8"/>
        <v>1</v>
      </c>
    </row>
    <row r="51" spans="1:56" ht="96" customHeight="1" x14ac:dyDescent="0.3">
      <c r="A51" s="1457" t="s">
        <v>2796</v>
      </c>
      <c r="B51" s="1457"/>
      <c r="C51" s="1458" t="s">
        <v>111</v>
      </c>
      <c r="D51" s="1388" t="s">
        <v>112</v>
      </c>
      <c r="E51" s="1388" t="s">
        <v>113</v>
      </c>
      <c r="F51" s="1465" t="s">
        <v>101</v>
      </c>
      <c r="G51" s="1388" t="s">
        <v>901</v>
      </c>
      <c r="H51" s="1444">
        <f>I51</f>
        <v>48299</v>
      </c>
      <c r="I51" s="1459">
        <v>48299</v>
      </c>
      <c r="J51" s="1460"/>
      <c r="K51" s="1460"/>
      <c r="L51" s="1460"/>
      <c r="M51" s="1460"/>
      <c r="N51" s="1460">
        <f>O51</f>
        <v>26600</v>
      </c>
      <c r="O51" s="1444">
        <v>26600</v>
      </c>
      <c r="P51" s="1460">
        <f>Q51</f>
        <v>26600</v>
      </c>
      <c r="Q51" s="1444">
        <v>26600</v>
      </c>
      <c r="R51" s="1454">
        <v>18800</v>
      </c>
      <c r="S51" s="1454"/>
      <c r="T51" s="1467">
        <f>U51</f>
        <v>45400</v>
      </c>
      <c r="U51" s="1468">
        <v>45400</v>
      </c>
      <c r="V51" s="1454"/>
      <c r="W51" s="1454"/>
      <c r="X51" s="1467">
        <f>Y51</f>
        <v>45400</v>
      </c>
      <c r="Y51" s="1468">
        <v>45400</v>
      </c>
      <c r="Z51" s="1460">
        <v>0</v>
      </c>
      <c r="AA51" s="1460">
        <v>0</v>
      </c>
      <c r="AB51" s="1460">
        <v>45400</v>
      </c>
      <c r="AC51" s="1460">
        <v>45400</v>
      </c>
      <c r="AD51" s="1460">
        <v>10000</v>
      </c>
      <c r="AE51" s="1460"/>
      <c r="AF51" s="1383">
        <f t="shared" si="14"/>
        <v>55400</v>
      </c>
      <c r="AG51" s="1383">
        <f t="shared" si="15"/>
        <v>55400</v>
      </c>
      <c r="AH51" s="1383">
        <f t="shared" si="25"/>
        <v>26593</v>
      </c>
      <c r="AI51" s="1383"/>
      <c r="AJ51" s="1383">
        <v>9123</v>
      </c>
      <c r="AK51" s="1383">
        <v>17470</v>
      </c>
      <c r="AL51" s="1383"/>
      <c r="AM51" s="1383"/>
      <c r="AN51" s="1381"/>
      <c r="AO51" s="1381"/>
      <c r="AP51" s="1431">
        <f t="shared" si="3"/>
        <v>1</v>
      </c>
      <c r="AQ51" s="1431">
        <f t="shared" si="7"/>
        <v>1</v>
      </c>
      <c r="AR51" s="1434">
        <f t="shared" si="16"/>
        <v>1</v>
      </c>
      <c r="AS51" s="1434"/>
      <c r="AT51" s="1427">
        <f t="shared" si="29"/>
        <v>0</v>
      </c>
      <c r="AV51" s="1427">
        <f t="shared" si="30"/>
        <v>0</v>
      </c>
      <c r="AW51" s="1427">
        <f t="shared" si="18"/>
        <v>0</v>
      </c>
      <c r="AX51" s="1427">
        <f t="shared" si="31"/>
        <v>0</v>
      </c>
      <c r="AY51" s="1427">
        <f t="shared" si="20"/>
        <v>0</v>
      </c>
      <c r="AZ51" s="1427">
        <f t="shared" si="32"/>
        <v>1</v>
      </c>
      <c r="BA51" s="1427">
        <f t="shared" si="22"/>
        <v>18800</v>
      </c>
      <c r="BB51" s="1427">
        <f t="shared" si="33"/>
        <v>0</v>
      </c>
      <c r="BC51" s="1427">
        <f t="shared" si="24"/>
        <v>0</v>
      </c>
      <c r="BD51" s="1436">
        <f t="shared" si="8"/>
        <v>1</v>
      </c>
    </row>
    <row r="52" spans="1:56" ht="64.5" customHeight="1" x14ac:dyDescent="0.3">
      <c r="A52" s="1457" t="s">
        <v>2797</v>
      </c>
      <c r="B52" s="1457"/>
      <c r="C52" s="1458" t="s">
        <v>114</v>
      </c>
      <c r="D52" s="1388" t="s">
        <v>104</v>
      </c>
      <c r="E52" s="1388" t="s">
        <v>115</v>
      </c>
      <c r="F52" s="1465" t="s">
        <v>116</v>
      </c>
      <c r="G52" s="1388" t="s">
        <v>897</v>
      </c>
      <c r="H52" s="1383">
        <v>119655</v>
      </c>
      <c r="I52" s="1463">
        <v>5000</v>
      </c>
      <c r="J52" s="1460"/>
      <c r="K52" s="1460"/>
      <c r="L52" s="1460"/>
      <c r="M52" s="1460"/>
      <c r="N52" s="1463">
        <f>95000+O52</f>
        <v>100000</v>
      </c>
      <c r="O52" s="1463">
        <v>5000</v>
      </c>
      <c r="P52" s="1463">
        <f>95000+Q52</f>
        <v>100000</v>
      </c>
      <c r="Q52" s="1463">
        <v>5000</v>
      </c>
      <c r="R52" s="1454"/>
      <c r="S52" s="1454"/>
      <c r="T52" s="1463">
        <f>95000+U52</f>
        <v>100000</v>
      </c>
      <c r="U52" s="1463">
        <v>5000</v>
      </c>
      <c r="V52" s="1454"/>
      <c r="W52" s="1454"/>
      <c r="X52" s="1463">
        <f>95000+Y52</f>
        <v>100000</v>
      </c>
      <c r="Y52" s="1463">
        <v>5000</v>
      </c>
      <c r="Z52" s="1460"/>
      <c r="AA52" s="1460"/>
      <c r="AB52" s="1460">
        <v>100000</v>
      </c>
      <c r="AC52" s="1460">
        <v>5000</v>
      </c>
      <c r="AD52" s="1460"/>
      <c r="AE52" s="1460"/>
      <c r="AF52" s="1383">
        <f>AB52</f>
        <v>100000</v>
      </c>
      <c r="AG52" s="1383">
        <f t="shared" si="15"/>
        <v>5000</v>
      </c>
      <c r="AH52" s="1383">
        <f t="shared" si="25"/>
        <v>5000</v>
      </c>
      <c r="AI52" s="1383"/>
      <c r="AJ52" s="1383"/>
      <c r="AK52" s="1383">
        <v>5000</v>
      </c>
      <c r="AL52" s="1383"/>
      <c r="AM52" s="1383"/>
      <c r="AN52" s="1381"/>
      <c r="AO52" s="1381"/>
      <c r="AP52" s="1431">
        <f t="shared" si="3"/>
        <v>0</v>
      </c>
      <c r="AQ52" s="1431">
        <f t="shared" si="7"/>
        <v>1</v>
      </c>
      <c r="AR52" s="1434">
        <f t="shared" si="16"/>
        <v>0</v>
      </c>
      <c r="AS52" s="1434"/>
      <c r="AT52" s="1427">
        <f t="shared" si="29"/>
        <v>1</v>
      </c>
      <c r="AV52" s="1427">
        <f t="shared" si="30"/>
        <v>0</v>
      </c>
      <c r="AW52" s="1427">
        <f t="shared" si="18"/>
        <v>0</v>
      </c>
      <c r="AX52" s="1427">
        <f t="shared" si="31"/>
        <v>0</v>
      </c>
      <c r="AY52" s="1427">
        <f t="shared" si="20"/>
        <v>0</v>
      </c>
      <c r="AZ52" s="1427">
        <f t="shared" si="32"/>
        <v>0</v>
      </c>
      <c r="BA52" s="1427">
        <f t="shared" si="22"/>
        <v>0</v>
      </c>
      <c r="BB52" s="1427">
        <f t="shared" si="33"/>
        <v>0</v>
      </c>
      <c r="BC52" s="1427">
        <f t="shared" si="24"/>
        <v>0</v>
      </c>
      <c r="BD52" s="1436">
        <f t="shared" si="8"/>
        <v>1</v>
      </c>
    </row>
    <row r="53" spans="1:56" ht="56.25" x14ac:dyDescent="0.3">
      <c r="A53" s="1457" t="s">
        <v>2798</v>
      </c>
      <c r="B53" s="1457"/>
      <c r="C53" s="1458" t="s">
        <v>118</v>
      </c>
      <c r="D53" s="1879" t="s">
        <v>119</v>
      </c>
      <c r="E53" s="1388" t="s">
        <v>120</v>
      </c>
      <c r="F53" s="1465" t="s">
        <v>116</v>
      </c>
      <c r="G53" s="1388" t="s">
        <v>2430</v>
      </c>
      <c r="H53" s="1382">
        <v>108557</v>
      </c>
      <c r="I53" s="1463">
        <v>17000</v>
      </c>
      <c r="J53" s="1460"/>
      <c r="K53" s="1460"/>
      <c r="L53" s="1460"/>
      <c r="M53" s="1460"/>
      <c r="N53" s="1463">
        <f>77000+O53</f>
        <v>82000</v>
      </c>
      <c r="O53" s="1463">
        <v>5000</v>
      </c>
      <c r="P53" s="1463">
        <f>77000+Q53</f>
        <v>82000</v>
      </c>
      <c r="Q53" s="1463">
        <v>5000</v>
      </c>
      <c r="R53" s="1454"/>
      <c r="S53" s="1454"/>
      <c r="T53" s="1463">
        <f>77000+U53</f>
        <v>82000</v>
      </c>
      <c r="U53" s="1463">
        <v>5000</v>
      </c>
      <c r="V53" s="1454">
        <v>12000</v>
      </c>
      <c r="W53" s="1454"/>
      <c r="X53" s="1463">
        <f>77000+Y53</f>
        <v>94000</v>
      </c>
      <c r="Y53" s="1463">
        <f>V53+U53</f>
        <v>17000</v>
      </c>
      <c r="Z53" s="1460"/>
      <c r="AA53" s="1460"/>
      <c r="AB53" s="1460">
        <v>94000</v>
      </c>
      <c r="AC53" s="1460">
        <v>17000</v>
      </c>
      <c r="AD53" s="1460"/>
      <c r="AE53" s="1460"/>
      <c r="AF53" s="1383">
        <f>AB53</f>
        <v>94000</v>
      </c>
      <c r="AG53" s="1383">
        <f t="shared" si="15"/>
        <v>17000</v>
      </c>
      <c r="AH53" s="1383">
        <f t="shared" si="25"/>
        <v>17000</v>
      </c>
      <c r="AI53" s="1383"/>
      <c r="AJ53" s="1383"/>
      <c r="AK53" s="1383">
        <v>5000</v>
      </c>
      <c r="AL53" s="1383">
        <v>12000</v>
      </c>
      <c r="AM53" s="1383"/>
      <c r="AN53" s="1381"/>
      <c r="AO53" s="1381"/>
      <c r="AP53" s="1431">
        <f t="shared" si="3"/>
        <v>0</v>
      </c>
      <c r="AQ53" s="1431">
        <f t="shared" si="7"/>
        <v>1</v>
      </c>
      <c r="AR53" s="1434">
        <f t="shared" si="16"/>
        <v>0</v>
      </c>
      <c r="AS53" s="1434"/>
      <c r="AT53" s="1427">
        <f t="shared" si="29"/>
        <v>1</v>
      </c>
      <c r="AV53" s="1427">
        <f t="shared" si="30"/>
        <v>0</v>
      </c>
      <c r="AW53" s="1427">
        <f t="shared" si="18"/>
        <v>0</v>
      </c>
      <c r="AX53" s="1427">
        <f t="shared" si="31"/>
        <v>0</v>
      </c>
      <c r="AY53" s="1427">
        <f t="shared" si="20"/>
        <v>0</v>
      </c>
      <c r="AZ53" s="1427">
        <f t="shared" si="32"/>
        <v>0</v>
      </c>
      <c r="BA53" s="1427">
        <f t="shared" si="22"/>
        <v>0</v>
      </c>
      <c r="BB53" s="1427">
        <f t="shared" si="33"/>
        <v>0</v>
      </c>
      <c r="BC53" s="1427">
        <f t="shared" si="24"/>
        <v>0</v>
      </c>
      <c r="BD53" s="1436">
        <f t="shared" si="8"/>
        <v>1</v>
      </c>
    </row>
    <row r="54" spans="1:56" ht="63" customHeight="1" x14ac:dyDescent="0.3">
      <c r="A54" s="1457" t="s">
        <v>2799</v>
      </c>
      <c r="B54" s="1457"/>
      <c r="C54" s="1458" t="s">
        <v>122</v>
      </c>
      <c r="D54" s="1388" t="s">
        <v>112</v>
      </c>
      <c r="E54" s="1388" t="s">
        <v>123</v>
      </c>
      <c r="F54" s="1465" t="s">
        <v>116</v>
      </c>
      <c r="G54" s="1381" t="s">
        <v>2431</v>
      </c>
      <c r="H54" s="1382">
        <v>79207</v>
      </c>
      <c r="I54" s="1463">
        <v>5000</v>
      </c>
      <c r="J54" s="1460"/>
      <c r="K54" s="1460"/>
      <c r="L54" s="1460"/>
      <c r="M54" s="1460"/>
      <c r="N54" s="1463">
        <f>70000+O54</f>
        <v>75000</v>
      </c>
      <c r="O54" s="1463">
        <v>5000</v>
      </c>
      <c r="P54" s="1463">
        <f>70000+Q54</f>
        <v>75000</v>
      </c>
      <c r="Q54" s="1463">
        <v>5000</v>
      </c>
      <c r="R54" s="1454"/>
      <c r="S54" s="1454"/>
      <c r="T54" s="1463">
        <f>70000+U54</f>
        <v>75000</v>
      </c>
      <c r="U54" s="1463">
        <v>5000</v>
      </c>
      <c r="V54" s="1454"/>
      <c r="W54" s="1454"/>
      <c r="X54" s="1463">
        <f>70000+Y54</f>
        <v>75000</v>
      </c>
      <c r="Y54" s="1463">
        <v>5000</v>
      </c>
      <c r="Z54" s="1460"/>
      <c r="AA54" s="1460"/>
      <c r="AB54" s="1460">
        <v>75000</v>
      </c>
      <c r="AC54" s="1460">
        <v>5000</v>
      </c>
      <c r="AD54" s="1460"/>
      <c r="AE54" s="1460"/>
      <c r="AF54" s="1383">
        <f>AB54</f>
        <v>75000</v>
      </c>
      <c r="AG54" s="1383">
        <f t="shared" si="15"/>
        <v>5000</v>
      </c>
      <c r="AH54" s="1383">
        <f t="shared" si="25"/>
        <v>5000</v>
      </c>
      <c r="AI54" s="1383"/>
      <c r="AJ54" s="1383"/>
      <c r="AK54" s="1383">
        <v>5000</v>
      </c>
      <c r="AL54" s="1383"/>
      <c r="AM54" s="1383"/>
      <c r="AN54" s="1381"/>
      <c r="AO54" s="1381"/>
      <c r="AP54" s="1431">
        <f t="shared" si="3"/>
        <v>0</v>
      </c>
      <c r="AQ54" s="1431">
        <f t="shared" si="7"/>
        <v>1</v>
      </c>
      <c r="AR54" s="1434">
        <f t="shared" si="16"/>
        <v>0</v>
      </c>
      <c r="AS54" s="1434"/>
      <c r="AT54" s="1427">
        <f t="shared" si="29"/>
        <v>1</v>
      </c>
      <c r="AV54" s="1427">
        <f t="shared" si="30"/>
        <v>0</v>
      </c>
      <c r="AW54" s="1427">
        <f t="shared" si="18"/>
        <v>0</v>
      </c>
      <c r="AX54" s="1427">
        <f t="shared" si="31"/>
        <v>0</v>
      </c>
      <c r="AY54" s="1427">
        <f t="shared" si="20"/>
        <v>0</v>
      </c>
      <c r="AZ54" s="1427">
        <f t="shared" si="32"/>
        <v>0</v>
      </c>
      <c r="BA54" s="1427">
        <f t="shared" si="22"/>
        <v>0</v>
      </c>
      <c r="BB54" s="1427">
        <f t="shared" si="33"/>
        <v>0</v>
      </c>
      <c r="BC54" s="1427">
        <f t="shared" si="24"/>
        <v>0</v>
      </c>
      <c r="BD54" s="1436">
        <f t="shared" si="8"/>
        <v>1</v>
      </c>
    </row>
    <row r="55" spans="1:56" ht="135.75" customHeight="1" x14ac:dyDescent="0.3">
      <c r="A55" s="1457" t="s">
        <v>2800</v>
      </c>
      <c r="B55" s="1457"/>
      <c r="C55" s="1458" t="s">
        <v>125</v>
      </c>
      <c r="D55" s="1388" t="s">
        <v>126</v>
      </c>
      <c r="E55" s="1388" t="s">
        <v>127</v>
      </c>
      <c r="F55" s="1465" t="s">
        <v>116</v>
      </c>
      <c r="G55" s="1388" t="s">
        <v>128</v>
      </c>
      <c r="H55" s="1469">
        <v>1167935</v>
      </c>
      <c r="I55" s="1444">
        <f>H55</f>
        <v>1167935</v>
      </c>
      <c r="J55" s="1460"/>
      <c r="K55" s="1460"/>
      <c r="L55" s="1460"/>
      <c r="M55" s="1460"/>
      <c r="N55" s="1463">
        <f>H55</f>
        <v>1167935</v>
      </c>
      <c r="O55" s="1463">
        <v>50000</v>
      </c>
      <c r="P55" s="1463">
        <f>H55*0.9</f>
        <v>1051141.5</v>
      </c>
      <c r="Q55" s="1463">
        <v>817500</v>
      </c>
      <c r="R55" s="1463">
        <f>U55-O55</f>
        <v>767500</v>
      </c>
      <c r="S55" s="1463"/>
      <c r="T55" s="1463">
        <f>U55</f>
        <v>817500</v>
      </c>
      <c r="U55" s="1463">
        <v>817500</v>
      </c>
      <c r="V55" s="1463">
        <v>350400</v>
      </c>
      <c r="W55" s="1463"/>
      <c r="X55" s="1463">
        <f>Y55</f>
        <v>1167900</v>
      </c>
      <c r="Y55" s="1463">
        <f>V55+U55</f>
        <v>1167900</v>
      </c>
      <c r="Z55" s="1460"/>
      <c r="AA55" s="1460"/>
      <c r="AB55" s="1460">
        <v>1167900</v>
      </c>
      <c r="AC55" s="1460">
        <v>1167900</v>
      </c>
      <c r="AD55" s="1460"/>
      <c r="AE55" s="1915">
        <v>-200000</v>
      </c>
      <c r="AF55" s="1383">
        <f t="shared" si="14"/>
        <v>967900</v>
      </c>
      <c r="AG55" s="1383">
        <f t="shared" si="15"/>
        <v>967900</v>
      </c>
      <c r="AH55" s="1383">
        <f t="shared" si="25"/>
        <v>1012981</v>
      </c>
      <c r="AI55" s="1383"/>
      <c r="AJ55" s="1383"/>
      <c r="AK55" s="1383">
        <v>168053</v>
      </c>
      <c r="AL55" s="1383">
        <v>227316</v>
      </c>
      <c r="AM55" s="1383">
        <v>617612</v>
      </c>
      <c r="AN55" s="1381"/>
      <c r="AO55" s="1381"/>
      <c r="AP55" s="1431">
        <f t="shared" si="3"/>
        <v>1</v>
      </c>
      <c r="AQ55" s="1431">
        <f t="shared" si="7"/>
        <v>1</v>
      </c>
      <c r="AR55" s="1434">
        <f t="shared" si="16"/>
        <v>1</v>
      </c>
      <c r="AS55" s="1434"/>
      <c r="AT55" s="1427">
        <f t="shared" si="29"/>
        <v>0</v>
      </c>
      <c r="AV55" s="1427">
        <f t="shared" si="30"/>
        <v>0</v>
      </c>
      <c r="AW55" s="1427">
        <f t="shared" si="18"/>
        <v>0</v>
      </c>
      <c r="AX55" s="1427">
        <f t="shared" si="31"/>
        <v>0</v>
      </c>
      <c r="AY55" s="1427">
        <f t="shared" si="20"/>
        <v>0</v>
      </c>
      <c r="AZ55" s="1427">
        <f t="shared" si="32"/>
        <v>1</v>
      </c>
      <c r="BA55" s="1427">
        <f t="shared" si="22"/>
        <v>767500</v>
      </c>
      <c r="BB55" s="1427">
        <f t="shared" si="33"/>
        <v>0</v>
      </c>
      <c r="BC55" s="1427">
        <f t="shared" si="24"/>
        <v>0</v>
      </c>
      <c r="BD55" s="1436">
        <f t="shared" si="8"/>
        <v>1</v>
      </c>
    </row>
    <row r="56" spans="1:56" ht="102" customHeight="1" x14ac:dyDescent="0.3">
      <c r="A56" s="1457" t="s">
        <v>2801</v>
      </c>
      <c r="B56" s="1457"/>
      <c r="C56" s="1458" t="s">
        <v>130</v>
      </c>
      <c r="D56" s="1388" t="s">
        <v>131</v>
      </c>
      <c r="E56" s="1388" t="s">
        <v>132</v>
      </c>
      <c r="F56" s="1465" t="s">
        <v>116</v>
      </c>
      <c r="G56" s="1388" t="s">
        <v>133</v>
      </c>
      <c r="H56" s="1383">
        <f>I56</f>
        <v>14904</v>
      </c>
      <c r="I56" s="1463">
        <v>14904</v>
      </c>
      <c r="J56" s="1460"/>
      <c r="K56" s="1460"/>
      <c r="L56" s="1460"/>
      <c r="M56" s="1460"/>
      <c r="N56" s="1463"/>
      <c r="O56" s="1463"/>
      <c r="P56" s="1463">
        <f>Q56</f>
        <v>13500</v>
      </c>
      <c r="Q56" s="1463">
        <v>13500</v>
      </c>
      <c r="R56" s="1463">
        <v>13500</v>
      </c>
      <c r="S56" s="1463"/>
      <c r="T56" s="1463">
        <f>U56</f>
        <v>13500</v>
      </c>
      <c r="U56" s="1463">
        <v>13500</v>
      </c>
      <c r="V56" s="1463"/>
      <c r="W56" s="1463"/>
      <c r="X56" s="1463">
        <f>Y56</f>
        <v>13500</v>
      </c>
      <c r="Y56" s="1463">
        <v>13500</v>
      </c>
      <c r="Z56" s="1460"/>
      <c r="AA56" s="1460"/>
      <c r="AB56" s="1460">
        <v>13500</v>
      </c>
      <c r="AC56" s="1460">
        <v>13500</v>
      </c>
      <c r="AD56" s="1460"/>
      <c r="AE56" s="1460"/>
      <c r="AF56" s="1383">
        <f t="shared" si="14"/>
        <v>13500</v>
      </c>
      <c r="AG56" s="1383">
        <f t="shared" si="15"/>
        <v>13500</v>
      </c>
      <c r="AH56" s="1383">
        <f t="shared" si="25"/>
        <v>0</v>
      </c>
      <c r="AI56" s="1383"/>
      <c r="AJ56" s="1383"/>
      <c r="AK56" s="1383"/>
      <c r="AL56" s="1383"/>
      <c r="AM56" s="1383"/>
      <c r="AN56" s="1381"/>
      <c r="AO56" s="1381"/>
      <c r="AP56" s="1431">
        <f t="shared" si="3"/>
        <v>0</v>
      </c>
      <c r="AQ56" s="1431">
        <f t="shared" si="7"/>
        <v>1</v>
      </c>
      <c r="AR56" s="1434">
        <f t="shared" si="16"/>
        <v>0</v>
      </c>
      <c r="AS56" s="1434"/>
      <c r="AT56" s="1427">
        <f t="shared" si="29"/>
        <v>1</v>
      </c>
      <c r="AV56" s="1427">
        <f t="shared" si="30"/>
        <v>0</v>
      </c>
      <c r="AW56" s="1427">
        <f t="shared" si="18"/>
        <v>0</v>
      </c>
      <c r="AX56" s="1427">
        <f t="shared" si="31"/>
        <v>1</v>
      </c>
      <c r="AY56" s="1427">
        <f t="shared" si="20"/>
        <v>13500</v>
      </c>
      <c r="BB56" s="1427">
        <f t="shared" si="33"/>
        <v>0</v>
      </c>
      <c r="BC56" s="1427">
        <f t="shared" si="24"/>
        <v>0</v>
      </c>
      <c r="BD56" s="1436">
        <f t="shared" si="8"/>
        <v>1</v>
      </c>
    </row>
    <row r="57" spans="1:56" ht="81.75" customHeight="1" x14ac:dyDescent="0.3">
      <c r="A57" s="1457" t="s">
        <v>2802</v>
      </c>
      <c r="B57" s="1457" t="s">
        <v>2795</v>
      </c>
      <c r="C57" s="1458" t="s">
        <v>135</v>
      </c>
      <c r="D57" s="1388" t="s">
        <v>136</v>
      </c>
      <c r="E57" s="1388" t="s">
        <v>137</v>
      </c>
      <c r="F57" s="1465" t="s">
        <v>116</v>
      </c>
      <c r="G57" s="1381" t="s">
        <v>2434</v>
      </c>
      <c r="H57" s="1382">
        <v>14692</v>
      </c>
      <c r="I57" s="1382">
        <f>H57</f>
        <v>14692</v>
      </c>
      <c r="J57" s="1460"/>
      <c r="K57" s="1460"/>
      <c r="L57" s="1460"/>
      <c r="M57" s="1460"/>
      <c r="N57" s="1463"/>
      <c r="O57" s="1463"/>
      <c r="P57" s="1463">
        <f>Q57</f>
        <v>10000</v>
      </c>
      <c r="Q57" s="1463">
        <v>10000</v>
      </c>
      <c r="R57" s="1463">
        <v>10000</v>
      </c>
      <c r="S57" s="1463"/>
      <c r="T57" s="1463">
        <f>U57</f>
        <v>10000</v>
      </c>
      <c r="U57" s="1463">
        <v>10000</v>
      </c>
      <c r="V57" s="1463">
        <v>4000</v>
      </c>
      <c r="W57" s="1463"/>
      <c r="X57" s="1463">
        <f>Y57</f>
        <v>14000</v>
      </c>
      <c r="Y57" s="1463">
        <f>V57+U57</f>
        <v>14000</v>
      </c>
      <c r="Z57" s="1460"/>
      <c r="AA57" s="1460"/>
      <c r="AB57" s="1460">
        <v>11018</v>
      </c>
      <c r="AC57" s="1460">
        <v>11018</v>
      </c>
      <c r="AD57" s="1460"/>
      <c r="AE57" s="1525"/>
      <c r="AF57" s="1383">
        <f t="shared" si="14"/>
        <v>11018</v>
      </c>
      <c r="AG57" s="1383">
        <f t="shared" si="15"/>
        <v>11018</v>
      </c>
      <c r="AH57" s="1383">
        <f t="shared" si="25"/>
        <v>11018</v>
      </c>
      <c r="AI57" s="1383"/>
      <c r="AJ57" s="1383"/>
      <c r="AK57" s="1383"/>
      <c r="AL57" s="1383">
        <v>8000</v>
      </c>
      <c r="AM57" s="1383">
        <f>6000-2982</f>
        <v>3018</v>
      </c>
      <c r="AN57" s="1381"/>
      <c r="AO57" s="1381"/>
      <c r="AP57" s="1431">
        <f t="shared" si="3"/>
        <v>0</v>
      </c>
      <c r="AQ57" s="1431">
        <f t="shared" si="7"/>
        <v>1</v>
      </c>
      <c r="AR57" s="1434">
        <f t="shared" si="16"/>
        <v>0</v>
      </c>
      <c r="AS57" s="1434"/>
      <c r="AT57" s="1427">
        <f t="shared" si="29"/>
        <v>1</v>
      </c>
      <c r="AV57" s="1427">
        <f t="shared" si="30"/>
        <v>0</v>
      </c>
      <c r="AW57" s="1427">
        <f t="shared" si="18"/>
        <v>0</v>
      </c>
      <c r="AX57" s="1427">
        <f t="shared" si="31"/>
        <v>1</v>
      </c>
      <c r="AY57" s="1427">
        <f t="shared" si="20"/>
        <v>10000</v>
      </c>
      <c r="BB57" s="1427">
        <f t="shared" si="33"/>
        <v>0</v>
      </c>
      <c r="BC57" s="1427">
        <f t="shared" si="24"/>
        <v>0</v>
      </c>
      <c r="BD57" s="1436">
        <f t="shared" si="8"/>
        <v>1</v>
      </c>
    </row>
    <row r="58" spans="1:56" ht="63.75" customHeight="1" x14ac:dyDescent="0.3">
      <c r="A58" s="1457" t="s">
        <v>2803</v>
      </c>
      <c r="B58" s="1457" t="s">
        <v>2796</v>
      </c>
      <c r="C58" s="1458" t="s">
        <v>2154</v>
      </c>
      <c r="D58" s="1388" t="s">
        <v>95</v>
      </c>
      <c r="E58" s="1388" t="s">
        <v>2609</v>
      </c>
      <c r="F58" s="1388" t="s">
        <v>290</v>
      </c>
      <c r="G58" s="1388" t="s">
        <v>2608</v>
      </c>
      <c r="H58" s="1383">
        <f>I58</f>
        <v>13683</v>
      </c>
      <c r="I58" s="1444">
        <v>13683</v>
      </c>
      <c r="J58" s="1460"/>
      <c r="K58" s="1460"/>
      <c r="L58" s="1460"/>
      <c r="M58" s="1460"/>
      <c r="N58" s="1463"/>
      <c r="O58" s="1463"/>
      <c r="P58" s="1463"/>
      <c r="Q58" s="1463"/>
      <c r="R58" s="1463"/>
      <c r="S58" s="1454"/>
      <c r="T58" s="1463"/>
      <c r="U58" s="1463"/>
      <c r="V58" s="1463">
        <v>13500</v>
      </c>
      <c r="W58" s="1454"/>
      <c r="X58" s="1463">
        <f>Y58</f>
        <v>13500</v>
      </c>
      <c r="Y58" s="1463">
        <f>V58</f>
        <v>13500</v>
      </c>
      <c r="Z58" s="1460"/>
      <c r="AA58" s="1460"/>
      <c r="AB58" s="1460">
        <v>12445</v>
      </c>
      <c r="AC58" s="1460">
        <v>12445</v>
      </c>
      <c r="AD58" s="1460"/>
      <c r="AE58" s="1525"/>
      <c r="AF58" s="1383">
        <f t="shared" si="14"/>
        <v>12445</v>
      </c>
      <c r="AG58" s="1383">
        <f t="shared" si="15"/>
        <v>12445</v>
      </c>
      <c r="AH58" s="1383">
        <f t="shared" si="25"/>
        <v>12445</v>
      </c>
      <c r="AI58" s="1383"/>
      <c r="AJ58" s="1383"/>
      <c r="AK58" s="1383"/>
      <c r="AL58" s="1383">
        <v>3500</v>
      </c>
      <c r="AM58" s="1383">
        <f>10000-1055</f>
        <v>8945</v>
      </c>
      <c r="AN58" s="1381"/>
      <c r="AO58" s="1381"/>
      <c r="AP58" s="1431">
        <f t="shared" si="3"/>
        <v>0</v>
      </c>
      <c r="AQ58" s="1431">
        <f t="shared" si="7"/>
        <v>1</v>
      </c>
      <c r="AR58" s="1434"/>
      <c r="AS58" s="1434"/>
      <c r="BD58" s="1436">
        <f t="shared" si="8"/>
        <v>1</v>
      </c>
    </row>
    <row r="59" spans="1:56" ht="66.75" customHeight="1" x14ac:dyDescent="0.3">
      <c r="A59" s="1457" t="s">
        <v>2804</v>
      </c>
      <c r="B59" s="1457"/>
      <c r="C59" s="1460" t="s">
        <v>1982</v>
      </c>
      <c r="D59" s="1460" t="s">
        <v>205</v>
      </c>
      <c r="E59" s="1828" t="s">
        <v>1983</v>
      </c>
      <c r="F59" s="1460" t="s">
        <v>199</v>
      </c>
      <c r="G59" s="1460" t="s">
        <v>1984</v>
      </c>
      <c r="H59" s="1460" t="s">
        <v>1985</v>
      </c>
      <c r="I59" s="1460">
        <v>6290</v>
      </c>
      <c r="J59" s="1460">
        <v>3000</v>
      </c>
      <c r="K59" s="1460">
        <v>3000</v>
      </c>
      <c r="L59" s="1460">
        <v>3000</v>
      </c>
      <c r="M59" s="1460">
        <v>3000</v>
      </c>
      <c r="N59" s="1460">
        <v>1500</v>
      </c>
      <c r="O59" s="1460">
        <v>1500</v>
      </c>
      <c r="P59" s="1460">
        <v>1500</v>
      </c>
      <c r="Q59" s="1460">
        <v>1500</v>
      </c>
      <c r="R59" s="1460"/>
      <c r="S59" s="1460"/>
      <c r="T59" s="1460">
        <v>1500</v>
      </c>
      <c r="U59" s="1460">
        <v>1500</v>
      </c>
      <c r="V59" s="1460"/>
      <c r="W59" s="1460"/>
      <c r="X59" s="1460">
        <v>1500</v>
      </c>
      <c r="Y59" s="1460">
        <v>1500</v>
      </c>
      <c r="Z59" s="1460"/>
      <c r="AA59" s="1460"/>
      <c r="AB59" s="1460">
        <v>1500</v>
      </c>
      <c r="AC59" s="1460">
        <v>1500</v>
      </c>
      <c r="AD59" s="1460"/>
      <c r="AE59" s="1525"/>
      <c r="AF59" s="1383">
        <v>1500</v>
      </c>
      <c r="AG59" s="1383">
        <v>1500</v>
      </c>
      <c r="AH59" s="1383">
        <f t="shared" si="25"/>
        <v>1500</v>
      </c>
      <c r="AI59" s="1383">
        <v>1500</v>
      </c>
      <c r="AJ59" s="1383"/>
      <c r="AK59" s="1383"/>
      <c r="AL59" s="1383"/>
      <c r="AM59" s="1383"/>
      <c r="AN59" s="1717" t="s">
        <v>3477</v>
      </c>
      <c r="AO59" s="1381"/>
      <c r="AP59" s="1431">
        <f t="shared" si="3"/>
        <v>0</v>
      </c>
      <c r="AQ59" s="1431"/>
      <c r="AR59" s="1434"/>
      <c r="AS59" s="1434"/>
      <c r="BD59" s="1436"/>
    </row>
    <row r="60" spans="1:56" ht="101.25" customHeight="1" x14ac:dyDescent="0.3">
      <c r="A60" s="1457" t="s">
        <v>2805</v>
      </c>
      <c r="B60" s="1457"/>
      <c r="C60" s="1621" t="s">
        <v>2019</v>
      </c>
      <c r="D60" s="1608" t="s">
        <v>1987</v>
      </c>
      <c r="E60" s="1608" t="s">
        <v>2020</v>
      </c>
      <c r="F60" s="1646">
        <v>2014</v>
      </c>
      <c r="G60" s="1829" t="s">
        <v>2021</v>
      </c>
      <c r="H60" s="1666">
        <v>20534</v>
      </c>
      <c r="I60" s="1796">
        <f t="shared" ref="I60:I61" si="34">H60</f>
        <v>20534</v>
      </c>
      <c r="J60" s="1830"/>
      <c r="K60" s="1830"/>
      <c r="L60" s="1830"/>
      <c r="M60" s="1830"/>
      <c r="N60" s="1831">
        <v>20530</v>
      </c>
      <c r="O60" s="1796">
        <f t="shared" ref="O60" si="35">N60</f>
        <v>20530</v>
      </c>
      <c r="P60" s="1831">
        <v>20530</v>
      </c>
      <c r="Q60" s="1796">
        <f t="shared" ref="Q60" si="36">P60</f>
        <v>20530</v>
      </c>
      <c r="R60" s="1796"/>
      <c r="S60" s="1796"/>
      <c r="T60" s="1831">
        <v>20530</v>
      </c>
      <c r="U60" s="1796">
        <f t="shared" ref="U60" si="37">T60</f>
        <v>20530</v>
      </c>
      <c r="V60" s="1796"/>
      <c r="W60" s="1796"/>
      <c r="X60" s="1831">
        <f>Y60</f>
        <v>20530</v>
      </c>
      <c r="Y60" s="1831">
        <f t="shared" ref="Y60" si="38">U60+V60+W60</f>
        <v>20530</v>
      </c>
      <c r="Z60" s="1831"/>
      <c r="AA60" s="1831"/>
      <c r="AB60" s="1831">
        <v>20530</v>
      </c>
      <c r="AC60" s="1831">
        <v>20530</v>
      </c>
      <c r="AD60" s="1460"/>
      <c r="AE60" s="1525"/>
      <c r="AF60" s="1831">
        <f>AG60</f>
        <v>20530</v>
      </c>
      <c r="AG60" s="1831">
        <f t="shared" ref="AG60" si="39">AC60+AD60+AE60</f>
        <v>20530</v>
      </c>
      <c r="AH60" s="1383">
        <f t="shared" si="25"/>
        <v>20534</v>
      </c>
      <c r="AI60" s="1383">
        <v>20534</v>
      </c>
      <c r="AJ60" s="1383"/>
      <c r="AK60" s="1383"/>
      <c r="AL60" s="1383"/>
      <c r="AM60" s="1383"/>
      <c r="AN60" s="1717" t="s">
        <v>3477</v>
      </c>
      <c r="AO60" s="1381"/>
      <c r="AP60" s="1431">
        <f t="shared" si="3"/>
        <v>0</v>
      </c>
      <c r="AQ60" s="1431"/>
      <c r="AR60" s="1434"/>
      <c r="AS60" s="1434"/>
      <c r="BD60" s="1436"/>
    </row>
    <row r="61" spans="1:56" ht="67.5" customHeight="1" x14ac:dyDescent="0.3">
      <c r="A61" s="1457" t="s">
        <v>2806</v>
      </c>
      <c r="B61" s="1457"/>
      <c r="C61" s="1674" t="s">
        <v>2047</v>
      </c>
      <c r="D61" s="1608" t="s">
        <v>99</v>
      </c>
      <c r="E61" s="1608" t="s">
        <v>2741</v>
      </c>
      <c r="F61" s="1646" t="s">
        <v>97</v>
      </c>
      <c r="G61" s="1588" t="s">
        <v>2049</v>
      </c>
      <c r="H61" s="1587">
        <v>33738</v>
      </c>
      <c r="I61" s="1796">
        <f t="shared" si="34"/>
        <v>33738</v>
      </c>
      <c r="J61" s="1830"/>
      <c r="K61" s="1830"/>
      <c r="L61" s="1830"/>
      <c r="M61" s="1830"/>
      <c r="N61" s="1831"/>
      <c r="O61" s="1796"/>
      <c r="P61" s="1831"/>
      <c r="Q61" s="1796"/>
      <c r="R61" s="1796"/>
      <c r="S61" s="1796"/>
      <c r="T61" s="1831"/>
      <c r="U61" s="1796"/>
      <c r="V61" s="1796"/>
      <c r="W61" s="1796"/>
      <c r="X61" s="1831"/>
      <c r="Y61" s="1831"/>
      <c r="Z61" s="1831"/>
      <c r="AA61" s="1831"/>
      <c r="AB61" s="1796">
        <v>30350</v>
      </c>
      <c r="AC61" s="1796">
        <v>30350</v>
      </c>
      <c r="AD61" s="1460"/>
      <c r="AE61" s="1525"/>
      <c r="AF61" s="1796">
        <v>30350</v>
      </c>
      <c r="AG61" s="1796">
        <f t="shared" ref="AG61" si="40">AF61</f>
        <v>30350</v>
      </c>
      <c r="AH61" s="1383">
        <f t="shared" si="25"/>
        <v>30362</v>
      </c>
      <c r="AI61" s="1383">
        <v>19362</v>
      </c>
      <c r="AJ61" s="1383">
        <v>11000</v>
      </c>
      <c r="AK61" s="1383"/>
      <c r="AL61" s="1383"/>
      <c r="AM61" s="1383"/>
      <c r="AN61" s="1717" t="s">
        <v>3477</v>
      </c>
      <c r="AO61" s="1381"/>
      <c r="AP61" s="1431"/>
      <c r="AQ61" s="1431"/>
      <c r="AR61" s="1434"/>
      <c r="AS61" s="1434"/>
      <c r="BD61" s="1436"/>
    </row>
    <row r="62" spans="1:56" s="1517" customFormat="1" ht="42" customHeight="1" x14ac:dyDescent="0.3">
      <c r="A62" s="1451" t="s">
        <v>2807</v>
      </c>
      <c r="B62" s="1451" t="s">
        <v>2807</v>
      </c>
      <c r="C62" s="1446" t="s">
        <v>138</v>
      </c>
      <c r="D62" s="1470"/>
      <c r="E62" s="1470"/>
      <c r="F62" s="1471"/>
      <c r="G62" s="1471"/>
      <c r="H62" s="1472">
        <f>SUM(H63:H78)</f>
        <v>5367776</v>
      </c>
      <c r="I62" s="1472">
        <f t="shared" ref="I62:AM62" si="41">SUM(I63:I78)</f>
        <v>5078894</v>
      </c>
      <c r="J62" s="1472">
        <f t="shared" si="41"/>
        <v>0</v>
      </c>
      <c r="K62" s="1472">
        <f t="shared" si="41"/>
        <v>0</v>
      </c>
      <c r="L62" s="1472">
        <f t="shared" si="41"/>
        <v>0</v>
      </c>
      <c r="M62" s="1472">
        <f t="shared" si="41"/>
        <v>0</v>
      </c>
      <c r="N62" s="1472">
        <f t="shared" si="41"/>
        <v>575200</v>
      </c>
      <c r="O62" s="1472">
        <f t="shared" si="41"/>
        <v>403200</v>
      </c>
      <c r="P62" s="1472">
        <f t="shared" si="41"/>
        <v>577018.1</v>
      </c>
      <c r="Q62" s="1472">
        <f t="shared" si="41"/>
        <v>405018.1</v>
      </c>
      <c r="R62" s="1472">
        <f t="shared" si="41"/>
        <v>120000</v>
      </c>
      <c r="S62" s="1472">
        <f t="shared" si="41"/>
        <v>95200</v>
      </c>
      <c r="T62" s="1472">
        <f t="shared" si="41"/>
        <v>600000</v>
      </c>
      <c r="U62" s="1472">
        <f t="shared" si="41"/>
        <v>428000</v>
      </c>
      <c r="V62" s="1472">
        <f t="shared" si="41"/>
        <v>347000</v>
      </c>
      <c r="W62" s="1472">
        <f t="shared" si="41"/>
        <v>0</v>
      </c>
      <c r="X62" s="1472">
        <f t="shared" si="41"/>
        <v>1097000</v>
      </c>
      <c r="Y62" s="1472">
        <f t="shared" si="41"/>
        <v>775000</v>
      </c>
      <c r="Z62" s="1472">
        <f t="shared" si="41"/>
        <v>195000</v>
      </c>
      <c r="AA62" s="1472">
        <f t="shared" si="41"/>
        <v>0</v>
      </c>
      <c r="AB62" s="1472">
        <v>1226058</v>
      </c>
      <c r="AC62" s="1472">
        <v>1054058</v>
      </c>
      <c r="AD62" s="1472">
        <f t="shared" si="41"/>
        <v>228500</v>
      </c>
      <c r="AE62" s="1527">
        <f t="shared" si="41"/>
        <v>-38500</v>
      </c>
      <c r="AF62" s="1472">
        <f t="shared" si="41"/>
        <v>1416058</v>
      </c>
      <c r="AG62" s="1472">
        <f t="shared" si="41"/>
        <v>1244058</v>
      </c>
      <c r="AH62" s="1472">
        <f t="shared" si="41"/>
        <v>800000</v>
      </c>
      <c r="AI62" s="1472">
        <f t="shared" si="41"/>
        <v>0</v>
      </c>
      <c r="AJ62" s="1472">
        <f t="shared" si="41"/>
        <v>0</v>
      </c>
      <c r="AK62" s="1472">
        <f t="shared" si="41"/>
        <v>50000</v>
      </c>
      <c r="AL62" s="1472">
        <f t="shared" si="41"/>
        <v>333920</v>
      </c>
      <c r="AM62" s="1472">
        <f t="shared" si="41"/>
        <v>416080</v>
      </c>
      <c r="AN62" s="1473"/>
      <c r="AO62" s="1473"/>
      <c r="AP62" s="1515">
        <f t="shared" si="3"/>
        <v>1</v>
      </c>
      <c r="AQ62" s="1515">
        <f t="shared" si="7"/>
        <v>1</v>
      </c>
      <c r="AR62" s="1870"/>
      <c r="AS62" s="1870">
        <f>S62-R62</f>
        <v>-24800</v>
      </c>
      <c r="AT62" s="1871">
        <f>U62-O62</f>
        <v>24800</v>
      </c>
      <c r="AU62" s="1516"/>
      <c r="AV62" s="1516"/>
      <c r="AW62" s="1516">
        <f t="shared" ref="AW62:AW73" si="42">IF(AV62=1,O62,0)</f>
        <v>0</v>
      </c>
      <c r="AX62" s="1516"/>
      <c r="AY62" s="1516">
        <f t="shared" ref="AY62:AY73" si="43">IF(AX62=1,Q62,0)</f>
        <v>0</v>
      </c>
      <c r="AZ62" s="1516"/>
      <c r="BA62" s="1516">
        <f t="shared" ref="BA62:BA71" si="44">IF(AZ62=1,R62,0)</f>
        <v>0</v>
      </c>
      <c r="BB62" s="1516"/>
      <c r="BC62" s="1516">
        <f t="shared" ref="BC62:BC73" si="45">IF(BB62=1,S62,0)</f>
        <v>0</v>
      </c>
      <c r="BD62" s="1872">
        <f t="shared" si="8"/>
        <v>1</v>
      </c>
    </row>
    <row r="63" spans="1:56" ht="59.25" customHeight="1" x14ac:dyDescent="0.3">
      <c r="A63" s="1457" t="s">
        <v>2808</v>
      </c>
      <c r="B63" s="1457"/>
      <c r="C63" s="1458" t="s">
        <v>139</v>
      </c>
      <c r="D63" s="1388" t="s">
        <v>99</v>
      </c>
      <c r="E63" s="1388" t="s">
        <v>140</v>
      </c>
      <c r="F63" s="1465" t="s">
        <v>141</v>
      </c>
      <c r="G63" s="1381" t="s">
        <v>2432</v>
      </c>
      <c r="H63" s="1382">
        <v>131205</v>
      </c>
      <c r="I63" s="1463">
        <v>10000</v>
      </c>
      <c r="J63" s="1460"/>
      <c r="K63" s="1460"/>
      <c r="L63" s="1460"/>
      <c r="M63" s="1460"/>
      <c r="N63" s="1463">
        <f>90000+O63</f>
        <v>100000</v>
      </c>
      <c r="O63" s="1463">
        <v>10000</v>
      </c>
      <c r="P63" s="1463">
        <f>90000+Q63</f>
        <v>100000</v>
      </c>
      <c r="Q63" s="1463">
        <v>10000</v>
      </c>
      <c r="R63" s="1454"/>
      <c r="S63" s="1454"/>
      <c r="T63" s="1463">
        <f>90000+U63</f>
        <v>100000</v>
      </c>
      <c r="U63" s="1463">
        <v>10000</v>
      </c>
      <c r="V63" s="1454"/>
      <c r="W63" s="1454"/>
      <c r="X63" s="1463">
        <f>90000+Y63</f>
        <v>100000</v>
      </c>
      <c r="Y63" s="1463">
        <v>10000</v>
      </c>
      <c r="Z63" s="1460"/>
      <c r="AA63" s="1460"/>
      <c r="AB63" s="1460">
        <v>100000</v>
      </c>
      <c r="AC63" s="1460">
        <v>10000</v>
      </c>
      <c r="AD63" s="1460"/>
      <c r="AE63" s="1460"/>
      <c r="AF63" s="1383">
        <f>AB63</f>
        <v>100000</v>
      </c>
      <c r="AG63" s="1383">
        <f t="shared" si="15"/>
        <v>10000</v>
      </c>
      <c r="AH63" s="1383">
        <f t="shared" si="25"/>
        <v>10000</v>
      </c>
      <c r="AI63" s="1383"/>
      <c r="AJ63" s="1383"/>
      <c r="AK63" s="1383"/>
      <c r="AL63" s="1383">
        <v>10000</v>
      </c>
      <c r="AM63" s="1383"/>
      <c r="AN63" s="1381"/>
      <c r="AO63" s="1381"/>
      <c r="AP63" s="1431">
        <f t="shared" si="3"/>
        <v>0</v>
      </c>
      <c r="AQ63" s="1431">
        <f t="shared" si="7"/>
        <v>1</v>
      </c>
      <c r="AR63" s="1434">
        <f t="shared" si="16"/>
        <v>0</v>
      </c>
      <c r="AS63" s="1434"/>
      <c r="AT63" s="1427">
        <f t="shared" ref="AT63:AT73" si="46">IF(AP63=0,1,0)</f>
        <v>1</v>
      </c>
      <c r="AV63" s="1427">
        <f t="shared" ref="AV63:AV73" si="47">IF(Q63=0,1,0)</f>
        <v>0</v>
      </c>
      <c r="AW63" s="1427">
        <f t="shared" si="42"/>
        <v>0</v>
      </c>
      <c r="AX63" s="1427">
        <f t="shared" ref="AX63:AX73" si="48">IF(O63=0,1,0)</f>
        <v>0</v>
      </c>
      <c r="AY63" s="1427">
        <f t="shared" si="43"/>
        <v>0</v>
      </c>
      <c r="AZ63" s="1427">
        <f t="shared" ref="AZ63:AZ71" si="49">IF(R63=0,0,1)</f>
        <v>0</v>
      </c>
      <c r="BA63" s="1427">
        <f t="shared" si="44"/>
        <v>0</v>
      </c>
      <c r="BB63" s="1427">
        <f t="shared" ref="BB63:BB73" si="50">IF(S63=0,0,1)</f>
        <v>0</v>
      </c>
      <c r="BC63" s="1427">
        <f t="shared" si="45"/>
        <v>0</v>
      </c>
      <c r="BD63" s="1436">
        <f t="shared" si="8"/>
        <v>1</v>
      </c>
    </row>
    <row r="64" spans="1:56" ht="243" customHeight="1" x14ac:dyDescent="0.3">
      <c r="A64" s="1457" t="s">
        <v>2809</v>
      </c>
      <c r="B64" s="1457"/>
      <c r="C64" s="1458" t="s">
        <v>143</v>
      </c>
      <c r="D64" s="1388" t="s">
        <v>112</v>
      </c>
      <c r="E64" s="1388" t="s">
        <v>144</v>
      </c>
      <c r="F64" s="1465" t="s">
        <v>332</v>
      </c>
      <c r="G64" s="1381" t="s">
        <v>2749</v>
      </c>
      <c r="H64" s="1383">
        <v>517902</v>
      </c>
      <c r="I64" s="1444">
        <f>H64</f>
        <v>517902</v>
      </c>
      <c r="J64" s="1460"/>
      <c r="K64" s="1460"/>
      <c r="L64" s="1460"/>
      <c r="M64" s="1460"/>
      <c r="N64" s="1463">
        <f>O64</f>
        <v>130000</v>
      </c>
      <c r="O64" s="1463">
        <v>130000</v>
      </c>
      <c r="P64" s="1463">
        <f>Q64</f>
        <v>130000</v>
      </c>
      <c r="Q64" s="1463">
        <v>130000</v>
      </c>
      <c r="R64" s="1454">
        <v>70000</v>
      </c>
      <c r="S64" s="1454"/>
      <c r="T64" s="1474">
        <f>U64</f>
        <v>200000</v>
      </c>
      <c r="U64" s="1474">
        <f>Q64+R64</f>
        <v>200000</v>
      </c>
      <c r="V64" s="1454">
        <v>30000</v>
      </c>
      <c r="W64" s="1454"/>
      <c r="X64" s="1474">
        <f>Y64</f>
        <v>230000</v>
      </c>
      <c r="Y64" s="1474">
        <f>U64+V64</f>
        <v>230000</v>
      </c>
      <c r="Z64" s="1460">
        <v>50000</v>
      </c>
      <c r="AA64" s="1460"/>
      <c r="AB64" s="1460">
        <v>280000</v>
      </c>
      <c r="AC64" s="1460">
        <v>280000</v>
      </c>
      <c r="AD64" s="1460">
        <v>20000</v>
      </c>
      <c r="AE64" s="1460"/>
      <c r="AF64" s="1383">
        <f t="shared" si="14"/>
        <v>300000</v>
      </c>
      <c r="AG64" s="1383">
        <f t="shared" si="15"/>
        <v>300000</v>
      </c>
      <c r="AH64" s="1383">
        <f t="shared" si="25"/>
        <v>280000</v>
      </c>
      <c r="AI64" s="1383"/>
      <c r="AJ64" s="1383"/>
      <c r="AK64" s="1383">
        <v>50000</v>
      </c>
      <c r="AL64" s="1383">
        <v>140000</v>
      </c>
      <c r="AM64" s="1383">
        <f>40000+50000</f>
        <v>90000</v>
      </c>
      <c r="AN64" s="1381" t="s">
        <v>2724</v>
      </c>
      <c r="AO64" s="1381"/>
      <c r="AP64" s="1431">
        <f t="shared" si="3"/>
        <v>1</v>
      </c>
      <c r="AQ64" s="1431">
        <f t="shared" si="7"/>
        <v>1</v>
      </c>
      <c r="AR64" s="1434">
        <f t="shared" si="16"/>
        <v>1</v>
      </c>
      <c r="AS64" s="1434"/>
      <c r="AT64" s="1427">
        <f t="shared" si="46"/>
        <v>0</v>
      </c>
      <c r="AV64" s="1427">
        <f t="shared" si="47"/>
        <v>0</v>
      </c>
      <c r="AW64" s="1427">
        <f t="shared" si="42"/>
        <v>0</v>
      </c>
      <c r="AX64" s="1427">
        <f t="shared" si="48"/>
        <v>0</v>
      </c>
      <c r="AY64" s="1427">
        <f t="shared" si="43"/>
        <v>0</v>
      </c>
      <c r="AZ64" s="1427">
        <f t="shared" si="49"/>
        <v>1</v>
      </c>
      <c r="BA64" s="1427">
        <f t="shared" si="44"/>
        <v>70000</v>
      </c>
      <c r="BB64" s="1427">
        <f t="shared" si="50"/>
        <v>0</v>
      </c>
      <c r="BC64" s="1427">
        <f t="shared" si="45"/>
        <v>0</v>
      </c>
      <c r="BD64" s="1436">
        <f t="shared" si="8"/>
        <v>1</v>
      </c>
    </row>
    <row r="65" spans="1:56" ht="60.75" customHeight="1" x14ac:dyDescent="0.3">
      <c r="A65" s="1457" t="s">
        <v>2810</v>
      </c>
      <c r="B65" s="1457"/>
      <c r="C65" s="1458" t="s">
        <v>145</v>
      </c>
      <c r="D65" s="1388" t="s">
        <v>146</v>
      </c>
      <c r="E65" s="1388" t="s">
        <v>147</v>
      </c>
      <c r="F65" s="1465" t="s">
        <v>141</v>
      </c>
      <c r="G65" s="1388" t="s">
        <v>2433</v>
      </c>
      <c r="H65" s="1383">
        <v>399215</v>
      </c>
      <c r="I65" s="1444">
        <f>H65</f>
        <v>399215</v>
      </c>
      <c r="J65" s="1460"/>
      <c r="K65" s="1460"/>
      <c r="L65" s="1460"/>
      <c r="M65" s="1460"/>
      <c r="N65" s="1463">
        <f t="shared" ref="N65:N71" si="51">O65</f>
        <v>150000</v>
      </c>
      <c r="O65" s="1463">
        <v>150000</v>
      </c>
      <c r="P65" s="1463">
        <f>Q65</f>
        <v>150000</v>
      </c>
      <c r="Q65" s="1463">
        <v>150000</v>
      </c>
      <c r="R65" s="1454"/>
      <c r="S65" s="1454"/>
      <c r="T65" s="1463">
        <f>U65</f>
        <v>150000</v>
      </c>
      <c r="U65" s="1463">
        <v>150000</v>
      </c>
      <c r="V65" s="1454">
        <v>50000</v>
      </c>
      <c r="W65" s="1454"/>
      <c r="X65" s="1463">
        <v>200000</v>
      </c>
      <c r="Y65" s="1463">
        <v>200000</v>
      </c>
      <c r="Z65" s="1460"/>
      <c r="AA65" s="1460"/>
      <c r="AB65" s="1460">
        <v>200000</v>
      </c>
      <c r="AC65" s="1460">
        <v>200000</v>
      </c>
      <c r="AD65" s="1460">
        <v>20000</v>
      </c>
      <c r="AE65" s="1460"/>
      <c r="AF65" s="1383">
        <f t="shared" si="14"/>
        <v>220000</v>
      </c>
      <c r="AG65" s="1383">
        <f t="shared" si="15"/>
        <v>220000</v>
      </c>
      <c r="AH65" s="1383">
        <f t="shared" si="25"/>
        <v>200000</v>
      </c>
      <c r="AI65" s="1383"/>
      <c r="AJ65" s="1383"/>
      <c r="AK65" s="1383"/>
      <c r="AL65" s="1383">
        <v>150000</v>
      </c>
      <c r="AM65" s="1383">
        <v>50000</v>
      </c>
      <c r="AN65" s="1464"/>
      <c r="AO65" s="1464"/>
      <c r="AP65" s="1431">
        <f t="shared" si="3"/>
        <v>1</v>
      </c>
      <c r="AQ65" s="1431">
        <f t="shared" si="7"/>
        <v>1</v>
      </c>
      <c r="AR65" s="1434">
        <f t="shared" si="16"/>
        <v>1</v>
      </c>
      <c r="AS65" s="1434"/>
      <c r="AT65" s="1427">
        <f t="shared" si="46"/>
        <v>0</v>
      </c>
      <c r="AV65" s="1427">
        <f t="shared" si="47"/>
        <v>0</v>
      </c>
      <c r="AW65" s="1427">
        <f t="shared" si="42"/>
        <v>0</v>
      </c>
      <c r="AX65" s="1427">
        <f t="shared" si="48"/>
        <v>0</v>
      </c>
      <c r="AY65" s="1427">
        <f t="shared" si="43"/>
        <v>0</v>
      </c>
      <c r="AZ65" s="1427">
        <f t="shared" si="49"/>
        <v>0</v>
      </c>
      <c r="BA65" s="1427">
        <f t="shared" si="44"/>
        <v>0</v>
      </c>
      <c r="BB65" s="1427">
        <f t="shared" si="50"/>
        <v>0</v>
      </c>
      <c r="BC65" s="1427">
        <f t="shared" si="45"/>
        <v>0</v>
      </c>
      <c r="BD65" s="1436">
        <f t="shared" si="8"/>
        <v>1</v>
      </c>
    </row>
    <row r="66" spans="1:56" ht="78" customHeight="1" x14ac:dyDescent="0.3">
      <c r="A66" s="1457" t="s">
        <v>2811</v>
      </c>
      <c r="B66" s="1457"/>
      <c r="C66" s="1458" t="s">
        <v>2429</v>
      </c>
      <c r="D66" s="1879" t="s">
        <v>149</v>
      </c>
      <c r="E66" s="1388" t="s">
        <v>150</v>
      </c>
      <c r="F66" s="1465" t="s">
        <v>151</v>
      </c>
      <c r="G66" s="1388" t="s">
        <v>2428</v>
      </c>
      <c r="H66" s="1383">
        <v>119677</v>
      </c>
      <c r="I66" s="1463">
        <v>5000</v>
      </c>
      <c r="J66" s="1460"/>
      <c r="K66" s="1460"/>
      <c r="L66" s="1460"/>
      <c r="M66" s="1460"/>
      <c r="N66" s="1463">
        <f>37000+O66+45000</f>
        <v>87000</v>
      </c>
      <c r="O66" s="1463">
        <v>5000</v>
      </c>
      <c r="P66" s="1463">
        <f>37000+Q66+45000</f>
        <v>87000</v>
      </c>
      <c r="Q66" s="1463">
        <v>5000</v>
      </c>
      <c r="R66" s="1454"/>
      <c r="S66" s="1454"/>
      <c r="T66" s="1463">
        <f>37000+U66+45000</f>
        <v>87000</v>
      </c>
      <c r="U66" s="1463">
        <v>5000</v>
      </c>
      <c r="V66" s="1454"/>
      <c r="W66" s="1454"/>
      <c r="X66" s="1463">
        <f>37000+Y66+45000</f>
        <v>87000</v>
      </c>
      <c r="Y66" s="1463">
        <v>5000</v>
      </c>
      <c r="Z66" s="1460"/>
      <c r="AA66" s="1460"/>
      <c r="AB66" s="1460">
        <v>87000</v>
      </c>
      <c r="AC66" s="1460">
        <v>5000</v>
      </c>
      <c r="AD66" s="1460"/>
      <c r="AE66" s="1460"/>
      <c r="AF66" s="1383">
        <f>AB66</f>
        <v>87000</v>
      </c>
      <c r="AG66" s="1383">
        <f t="shared" si="15"/>
        <v>5000</v>
      </c>
      <c r="AH66" s="1383">
        <f t="shared" si="25"/>
        <v>5000</v>
      </c>
      <c r="AI66" s="1383"/>
      <c r="AJ66" s="1383"/>
      <c r="AK66" s="1383"/>
      <c r="AL66" s="1383">
        <v>5000</v>
      </c>
      <c r="AM66" s="1383"/>
      <c r="AN66" s="1381"/>
      <c r="AO66" s="1381"/>
      <c r="AP66" s="1431">
        <f t="shared" si="3"/>
        <v>0</v>
      </c>
      <c r="AQ66" s="1431">
        <f t="shared" si="7"/>
        <v>1</v>
      </c>
      <c r="AR66" s="1434">
        <f t="shared" si="16"/>
        <v>0</v>
      </c>
      <c r="AS66" s="1434"/>
      <c r="AT66" s="1427">
        <f t="shared" si="46"/>
        <v>1</v>
      </c>
      <c r="AV66" s="1427">
        <f t="shared" si="47"/>
        <v>0</v>
      </c>
      <c r="AW66" s="1427">
        <f t="shared" si="42"/>
        <v>0</v>
      </c>
      <c r="AX66" s="1427">
        <f t="shared" si="48"/>
        <v>0</v>
      </c>
      <c r="AY66" s="1427">
        <f t="shared" si="43"/>
        <v>0</v>
      </c>
      <c r="AZ66" s="1427">
        <f t="shared" si="49"/>
        <v>0</v>
      </c>
      <c r="BA66" s="1427">
        <f t="shared" si="44"/>
        <v>0</v>
      </c>
      <c r="BB66" s="1427">
        <f t="shared" si="50"/>
        <v>0</v>
      </c>
      <c r="BC66" s="1427">
        <f t="shared" si="45"/>
        <v>0</v>
      </c>
      <c r="BD66" s="1436">
        <f t="shared" si="8"/>
        <v>1</v>
      </c>
    </row>
    <row r="67" spans="1:56" ht="59.25" customHeight="1" x14ac:dyDescent="0.3">
      <c r="A67" s="1457" t="s">
        <v>2812</v>
      </c>
      <c r="B67" s="1457" t="s">
        <v>2808</v>
      </c>
      <c r="C67" s="1458" t="s">
        <v>153</v>
      </c>
      <c r="D67" s="1388" t="s">
        <v>95</v>
      </c>
      <c r="E67" s="1388" t="s">
        <v>154</v>
      </c>
      <c r="F67" s="1465" t="s">
        <v>155</v>
      </c>
      <c r="G67" s="1388" t="s">
        <v>2750</v>
      </c>
      <c r="H67" s="1383">
        <f t="shared" ref="H67:H71" si="52">I67</f>
        <v>199453</v>
      </c>
      <c r="I67" s="1444">
        <v>199453</v>
      </c>
      <c r="J67" s="1460"/>
      <c r="K67" s="1460"/>
      <c r="L67" s="1460"/>
      <c r="M67" s="1460"/>
      <c r="N67" s="1463">
        <f t="shared" si="51"/>
        <v>40000</v>
      </c>
      <c r="O67" s="1463">
        <v>40000</v>
      </c>
      <c r="P67" s="1463">
        <f>Q67</f>
        <v>5000</v>
      </c>
      <c r="Q67" s="1463">
        <v>5000</v>
      </c>
      <c r="R67" s="1463"/>
      <c r="S67" s="1454">
        <f t="shared" ref="S67:S68" si="53">O67-U67</f>
        <v>37600</v>
      </c>
      <c r="T67" s="1463">
        <f>U67</f>
        <v>2400</v>
      </c>
      <c r="U67" s="1463">
        <v>2400</v>
      </c>
      <c r="V67" s="1463">
        <v>20000</v>
      </c>
      <c r="W67" s="1454"/>
      <c r="X67" s="1463">
        <f>Y67</f>
        <v>22400</v>
      </c>
      <c r="Y67" s="1463">
        <f>V67+U67</f>
        <v>22400</v>
      </c>
      <c r="Z67" s="1460"/>
      <c r="AA67" s="1460"/>
      <c r="AB67" s="1460">
        <v>62400</v>
      </c>
      <c r="AC67" s="1460">
        <v>62400</v>
      </c>
      <c r="AD67" s="1460">
        <v>40000</v>
      </c>
      <c r="AE67" s="1460"/>
      <c r="AF67" s="1383">
        <f t="shared" si="14"/>
        <v>102400</v>
      </c>
      <c r="AG67" s="1383">
        <f t="shared" si="15"/>
        <v>102400</v>
      </c>
      <c r="AH67" s="1383">
        <f t="shared" si="25"/>
        <v>22400</v>
      </c>
      <c r="AI67" s="1383"/>
      <c r="AJ67" s="1383"/>
      <c r="AK67" s="1383"/>
      <c r="AL67" s="1383"/>
      <c r="AM67" s="1383">
        <v>22400</v>
      </c>
      <c r="AN67" s="1381"/>
      <c r="AO67" s="1381"/>
      <c r="AP67" s="1431">
        <f t="shared" si="3"/>
        <v>1</v>
      </c>
      <c r="AQ67" s="1431">
        <f t="shared" si="7"/>
        <v>1</v>
      </c>
      <c r="AR67" s="1434">
        <f t="shared" si="16"/>
        <v>1</v>
      </c>
      <c r="AS67" s="1434"/>
      <c r="AT67" s="1427">
        <f t="shared" si="46"/>
        <v>0</v>
      </c>
      <c r="AV67" s="1427">
        <f t="shared" si="47"/>
        <v>0</v>
      </c>
      <c r="AW67" s="1427">
        <f t="shared" si="42"/>
        <v>0</v>
      </c>
      <c r="AX67" s="1427">
        <f t="shared" si="48"/>
        <v>0</v>
      </c>
      <c r="AY67" s="1427">
        <f t="shared" si="43"/>
        <v>0</v>
      </c>
      <c r="AZ67" s="1427">
        <f t="shared" si="49"/>
        <v>0</v>
      </c>
      <c r="BA67" s="1427">
        <f t="shared" si="44"/>
        <v>0</v>
      </c>
      <c r="BB67" s="1427">
        <f t="shared" si="50"/>
        <v>1</v>
      </c>
      <c r="BC67" s="1427">
        <f t="shared" si="45"/>
        <v>37600</v>
      </c>
      <c r="BD67" s="1436">
        <f t="shared" si="8"/>
        <v>1</v>
      </c>
    </row>
    <row r="68" spans="1:56" ht="81" customHeight="1" x14ac:dyDescent="0.3">
      <c r="A68" s="1457" t="s">
        <v>2813</v>
      </c>
      <c r="B68" s="1457" t="s">
        <v>2809</v>
      </c>
      <c r="C68" s="1458" t="s">
        <v>2751</v>
      </c>
      <c r="D68" s="1388" t="s">
        <v>99</v>
      </c>
      <c r="E68" s="1388" t="s">
        <v>2734</v>
      </c>
      <c r="F68" s="1465" t="s">
        <v>168</v>
      </c>
      <c r="G68" s="1388" t="s">
        <v>2752</v>
      </c>
      <c r="H68" s="1383">
        <v>138000</v>
      </c>
      <c r="I68" s="1444">
        <v>85000</v>
      </c>
      <c r="J68" s="1460"/>
      <c r="K68" s="1460"/>
      <c r="L68" s="1460"/>
      <c r="M68" s="1460"/>
      <c r="N68" s="1463">
        <f t="shared" si="51"/>
        <v>56200</v>
      </c>
      <c r="O68" s="1463">
        <v>56200</v>
      </c>
      <c r="P68" s="1463">
        <f>Q68</f>
        <v>1200</v>
      </c>
      <c r="Q68" s="1463">
        <v>1200</v>
      </c>
      <c r="R68" s="1463"/>
      <c r="S68" s="1454">
        <f t="shared" si="53"/>
        <v>55000</v>
      </c>
      <c r="T68" s="1463">
        <f>U68</f>
        <v>1200</v>
      </c>
      <c r="U68" s="1463">
        <v>1200</v>
      </c>
      <c r="V68" s="1463">
        <v>15000</v>
      </c>
      <c r="W68" s="1454"/>
      <c r="X68" s="1463">
        <f>Y68</f>
        <v>16200</v>
      </c>
      <c r="Y68" s="1463">
        <f>V68+U68</f>
        <v>16200</v>
      </c>
      <c r="Z68" s="1460"/>
      <c r="AA68" s="1460"/>
      <c r="AB68" s="1460">
        <v>39955</v>
      </c>
      <c r="AC68" s="1460">
        <v>39955</v>
      </c>
      <c r="AD68" s="1460">
        <v>20000</v>
      </c>
      <c r="AE68" s="1460"/>
      <c r="AF68" s="1383">
        <f t="shared" si="14"/>
        <v>59955</v>
      </c>
      <c r="AG68" s="1383">
        <f t="shared" si="15"/>
        <v>59955</v>
      </c>
      <c r="AH68" s="1383">
        <f t="shared" si="25"/>
        <v>16200</v>
      </c>
      <c r="AI68" s="1383"/>
      <c r="AJ68" s="1383"/>
      <c r="AK68" s="1383"/>
      <c r="AL68" s="1383"/>
      <c r="AM68" s="1383">
        <v>16200</v>
      </c>
      <c r="AN68" s="1381"/>
      <c r="AO68" s="1381"/>
      <c r="AP68" s="1431">
        <f t="shared" si="3"/>
        <v>1</v>
      </c>
      <c r="AQ68" s="1431">
        <f t="shared" si="7"/>
        <v>1</v>
      </c>
      <c r="AR68" s="1434">
        <f t="shared" si="16"/>
        <v>1</v>
      </c>
      <c r="AS68" s="1434"/>
      <c r="AT68" s="1427">
        <f t="shared" si="46"/>
        <v>0</v>
      </c>
      <c r="AV68" s="1427">
        <f t="shared" si="47"/>
        <v>0</v>
      </c>
      <c r="AW68" s="1427">
        <f t="shared" si="42"/>
        <v>0</v>
      </c>
      <c r="AX68" s="1427">
        <f t="shared" si="48"/>
        <v>0</v>
      </c>
      <c r="AY68" s="1427">
        <f t="shared" si="43"/>
        <v>0</v>
      </c>
      <c r="AZ68" s="1427">
        <f t="shared" si="49"/>
        <v>0</v>
      </c>
      <c r="BA68" s="1427">
        <f t="shared" si="44"/>
        <v>0</v>
      </c>
      <c r="BB68" s="1427">
        <f t="shared" si="50"/>
        <v>1</v>
      </c>
      <c r="BC68" s="1427">
        <f t="shared" si="45"/>
        <v>55000</v>
      </c>
      <c r="BD68" s="1436">
        <f t="shared" si="8"/>
        <v>1</v>
      </c>
    </row>
    <row r="69" spans="1:56" ht="61.5" customHeight="1" x14ac:dyDescent="0.3">
      <c r="A69" s="1457" t="s">
        <v>2814</v>
      </c>
      <c r="B69" s="1457"/>
      <c r="C69" s="1458" t="s">
        <v>158</v>
      </c>
      <c r="D69" s="1388" t="s">
        <v>58</v>
      </c>
      <c r="E69" s="1388" t="s">
        <v>2735</v>
      </c>
      <c r="F69" s="1465" t="s">
        <v>165</v>
      </c>
      <c r="G69" s="1388" t="s">
        <v>2578</v>
      </c>
      <c r="H69" s="1383">
        <f t="shared" si="52"/>
        <v>499942</v>
      </c>
      <c r="I69" s="1444">
        <v>499942</v>
      </c>
      <c r="J69" s="1460"/>
      <c r="K69" s="1460"/>
      <c r="L69" s="1460"/>
      <c r="M69" s="1460"/>
      <c r="N69" s="1463">
        <f t="shared" si="51"/>
        <v>5000</v>
      </c>
      <c r="O69" s="1463">
        <v>5000</v>
      </c>
      <c r="P69" s="1463">
        <f t="shared" ref="P69:P71" si="54">Q69</f>
        <v>5000</v>
      </c>
      <c r="Q69" s="1463">
        <v>5000</v>
      </c>
      <c r="R69" s="1454"/>
      <c r="S69" s="1454"/>
      <c r="T69" s="1463">
        <f t="shared" ref="T69:T71" si="55">U69</f>
        <v>5000</v>
      </c>
      <c r="U69" s="1463">
        <v>5000</v>
      </c>
      <c r="V69" s="1454"/>
      <c r="W69" s="1454"/>
      <c r="X69" s="1463">
        <f t="shared" ref="X69" si="56">Y69</f>
        <v>5000</v>
      </c>
      <c r="Y69" s="1463">
        <v>5000</v>
      </c>
      <c r="Z69" s="1460"/>
      <c r="AA69" s="1460"/>
      <c r="AB69" s="1460">
        <v>5000</v>
      </c>
      <c r="AC69" s="1460">
        <v>5000</v>
      </c>
      <c r="AD69" s="1460"/>
      <c r="AE69" s="1460"/>
      <c r="AF69" s="1383">
        <f t="shared" si="14"/>
        <v>5000</v>
      </c>
      <c r="AG69" s="1383">
        <f t="shared" si="15"/>
        <v>5000</v>
      </c>
      <c r="AH69" s="1383">
        <f t="shared" si="25"/>
        <v>0</v>
      </c>
      <c r="AI69" s="1383"/>
      <c r="AJ69" s="1383"/>
      <c r="AK69" s="1383"/>
      <c r="AL69" s="1383"/>
      <c r="AM69" s="1383"/>
      <c r="AN69" s="1464"/>
      <c r="AO69" s="1464"/>
      <c r="AP69" s="1431">
        <f t="shared" si="3"/>
        <v>0</v>
      </c>
      <c r="AQ69" s="1431">
        <f t="shared" si="7"/>
        <v>1</v>
      </c>
      <c r="AR69" s="1434">
        <f t="shared" si="16"/>
        <v>0</v>
      </c>
      <c r="AS69" s="1434"/>
      <c r="AT69" s="1427">
        <f t="shared" si="46"/>
        <v>1</v>
      </c>
      <c r="AV69" s="1427">
        <f t="shared" si="47"/>
        <v>0</v>
      </c>
      <c r="AW69" s="1427">
        <f t="shared" si="42"/>
        <v>0</v>
      </c>
      <c r="AX69" s="1427">
        <f t="shared" si="48"/>
        <v>0</v>
      </c>
      <c r="AY69" s="1427">
        <f t="shared" si="43"/>
        <v>0</v>
      </c>
      <c r="AZ69" s="1427">
        <f t="shared" si="49"/>
        <v>0</v>
      </c>
      <c r="BA69" s="1427">
        <f t="shared" si="44"/>
        <v>0</v>
      </c>
      <c r="BB69" s="1427">
        <f t="shared" si="50"/>
        <v>0</v>
      </c>
      <c r="BC69" s="1427">
        <f t="shared" si="45"/>
        <v>0</v>
      </c>
      <c r="BD69" s="1436">
        <f t="shared" si="8"/>
        <v>1</v>
      </c>
    </row>
    <row r="70" spans="1:56" ht="78" customHeight="1" x14ac:dyDescent="0.3">
      <c r="A70" s="1457" t="s">
        <v>2815</v>
      </c>
      <c r="B70" s="1457"/>
      <c r="C70" s="1458" t="s">
        <v>2753</v>
      </c>
      <c r="D70" s="1388" t="s">
        <v>146</v>
      </c>
      <c r="E70" s="1388" t="s">
        <v>2736</v>
      </c>
      <c r="F70" s="1465" t="s">
        <v>172</v>
      </c>
      <c r="G70" s="1388" t="s">
        <v>2754</v>
      </c>
      <c r="H70" s="1383">
        <v>971955</v>
      </c>
      <c r="I70" s="1444">
        <f>H70</f>
        <v>971955</v>
      </c>
      <c r="J70" s="1460"/>
      <c r="K70" s="1460"/>
      <c r="L70" s="1460"/>
      <c r="M70" s="1460"/>
      <c r="N70" s="1463">
        <f t="shared" si="51"/>
        <v>5000</v>
      </c>
      <c r="O70" s="1463">
        <v>5000</v>
      </c>
      <c r="P70" s="1463">
        <f t="shared" si="54"/>
        <v>5000</v>
      </c>
      <c r="Q70" s="1463">
        <v>5000</v>
      </c>
      <c r="R70" s="1463"/>
      <c r="S70" s="1454">
        <f>O70-U70</f>
        <v>2600</v>
      </c>
      <c r="T70" s="1463">
        <f>U70</f>
        <v>2400</v>
      </c>
      <c r="U70" s="1463">
        <v>2400</v>
      </c>
      <c r="V70" s="1463">
        <v>28000</v>
      </c>
      <c r="W70" s="1454"/>
      <c r="X70" s="1463">
        <f>Y70</f>
        <v>30400</v>
      </c>
      <c r="Y70" s="1463">
        <f>V70+U70</f>
        <v>30400</v>
      </c>
      <c r="Z70" s="1460"/>
      <c r="AA70" s="1460"/>
      <c r="AB70" s="1460">
        <v>30400</v>
      </c>
      <c r="AC70" s="1460">
        <v>30400</v>
      </c>
      <c r="AD70" s="1460"/>
      <c r="AE70" s="1916">
        <v>-28500</v>
      </c>
      <c r="AF70" s="1383">
        <f t="shared" si="14"/>
        <v>1900</v>
      </c>
      <c r="AG70" s="1383">
        <f t="shared" si="15"/>
        <v>1900</v>
      </c>
      <c r="AH70" s="1383">
        <f t="shared" si="25"/>
        <v>30400</v>
      </c>
      <c r="AI70" s="1383"/>
      <c r="AJ70" s="1383"/>
      <c r="AK70" s="1383"/>
      <c r="AL70" s="1383"/>
      <c r="AM70" s="1383">
        <v>30400</v>
      </c>
      <c r="AN70" s="1381"/>
      <c r="AO70" s="1381"/>
      <c r="AP70" s="1431">
        <f t="shared" si="3"/>
        <v>1</v>
      </c>
      <c r="AQ70" s="1431">
        <f t="shared" si="7"/>
        <v>1</v>
      </c>
      <c r="AR70" s="1434">
        <f t="shared" si="16"/>
        <v>1</v>
      </c>
      <c r="AS70" s="1434"/>
      <c r="AT70" s="1427">
        <f t="shared" si="46"/>
        <v>0</v>
      </c>
      <c r="AV70" s="1427">
        <f t="shared" si="47"/>
        <v>0</v>
      </c>
      <c r="AW70" s="1427">
        <f t="shared" si="42"/>
        <v>0</v>
      </c>
      <c r="AX70" s="1427">
        <f t="shared" si="48"/>
        <v>0</v>
      </c>
      <c r="AY70" s="1427">
        <f t="shared" si="43"/>
        <v>0</v>
      </c>
      <c r="AZ70" s="1427">
        <f t="shared" si="49"/>
        <v>0</v>
      </c>
      <c r="BA70" s="1427">
        <f t="shared" si="44"/>
        <v>0</v>
      </c>
      <c r="BB70" s="1427">
        <f t="shared" si="50"/>
        <v>1</v>
      </c>
      <c r="BC70" s="1427">
        <f t="shared" si="45"/>
        <v>2600</v>
      </c>
      <c r="BD70" s="1436">
        <f t="shared" si="8"/>
        <v>1</v>
      </c>
    </row>
    <row r="71" spans="1:56" ht="61.5" customHeight="1" x14ac:dyDescent="0.3">
      <c r="A71" s="1457" t="s">
        <v>2816</v>
      </c>
      <c r="B71" s="1457" t="s">
        <v>2810</v>
      </c>
      <c r="C71" s="1458" t="s">
        <v>163</v>
      </c>
      <c r="D71" s="1388" t="s">
        <v>104</v>
      </c>
      <c r="E71" s="1388" t="s">
        <v>164</v>
      </c>
      <c r="F71" s="1465" t="s">
        <v>165</v>
      </c>
      <c r="G71" s="1388"/>
      <c r="H71" s="1383">
        <f t="shared" si="52"/>
        <v>446200</v>
      </c>
      <c r="I71" s="1444">
        <v>446200</v>
      </c>
      <c r="J71" s="1460"/>
      <c r="K71" s="1460"/>
      <c r="L71" s="1460"/>
      <c r="M71" s="1460"/>
      <c r="N71" s="1463">
        <f t="shared" si="51"/>
        <v>2000</v>
      </c>
      <c r="O71" s="1463">
        <v>2000</v>
      </c>
      <c r="P71" s="1463">
        <f t="shared" si="54"/>
        <v>2000</v>
      </c>
      <c r="Q71" s="1463">
        <v>2000</v>
      </c>
      <c r="R71" s="1454"/>
      <c r="S71" s="1454"/>
      <c r="T71" s="1463">
        <f t="shared" si="55"/>
        <v>2000</v>
      </c>
      <c r="U71" s="1463">
        <v>2000</v>
      </c>
      <c r="V71" s="1454"/>
      <c r="W71" s="1454"/>
      <c r="X71" s="1463">
        <f t="shared" ref="X71" si="57">Y71</f>
        <v>2000</v>
      </c>
      <c r="Y71" s="1463">
        <v>2000</v>
      </c>
      <c r="Z71" s="1460"/>
      <c r="AA71" s="1460"/>
      <c r="AB71" s="1460">
        <v>0</v>
      </c>
      <c r="AC71" s="1460">
        <v>0</v>
      </c>
      <c r="AD71" s="1460"/>
      <c r="AE71" s="1525"/>
      <c r="AF71" s="1383">
        <f t="shared" si="14"/>
        <v>0</v>
      </c>
      <c r="AG71" s="1383">
        <f t="shared" si="15"/>
        <v>0</v>
      </c>
      <c r="AH71" s="1383">
        <f t="shared" si="25"/>
        <v>0</v>
      </c>
      <c r="AI71" s="1383"/>
      <c r="AJ71" s="1383"/>
      <c r="AK71" s="1383"/>
      <c r="AL71" s="1383"/>
      <c r="AM71" s="1383"/>
      <c r="AN71" s="1381" t="s">
        <v>284</v>
      </c>
      <c r="AO71" s="1464"/>
      <c r="AP71" s="1431">
        <f t="shared" si="3"/>
        <v>0</v>
      </c>
      <c r="AQ71" s="1431">
        <f t="shared" si="7"/>
        <v>1</v>
      </c>
      <c r="AR71" s="1434">
        <f t="shared" si="16"/>
        <v>0</v>
      </c>
      <c r="AS71" s="1434"/>
      <c r="AT71" s="1427">
        <f t="shared" si="46"/>
        <v>1</v>
      </c>
      <c r="AV71" s="1427">
        <f t="shared" si="47"/>
        <v>0</v>
      </c>
      <c r="AW71" s="1427">
        <f t="shared" si="42"/>
        <v>0</v>
      </c>
      <c r="AX71" s="1427">
        <f t="shared" si="48"/>
        <v>0</v>
      </c>
      <c r="AY71" s="1427">
        <f t="shared" si="43"/>
        <v>0</v>
      </c>
      <c r="AZ71" s="1427">
        <f t="shared" si="49"/>
        <v>0</v>
      </c>
      <c r="BA71" s="1427">
        <f t="shared" si="44"/>
        <v>0</v>
      </c>
      <c r="BB71" s="1427">
        <f t="shared" si="50"/>
        <v>0</v>
      </c>
      <c r="BC71" s="1427">
        <f t="shared" si="45"/>
        <v>0</v>
      </c>
      <c r="BD71" s="1436">
        <f t="shared" si="8"/>
        <v>1</v>
      </c>
    </row>
    <row r="72" spans="1:56" ht="83.25" customHeight="1" x14ac:dyDescent="0.3">
      <c r="A72" s="1457" t="s">
        <v>2817</v>
      </c>
      <c r="B72" s="1457" t="s">
        <v>2811</v>
      </c>
      <c r="C72" s="1458" t="s">
        <v>166</v>
      </c>
      <c r="D72" s="1388" t="s">
        <v>167</v>
      </c>
      <c r="E72" s="1388" t="s">
        <v>2582</v>
      </c>
      <c r="F72" s="1388" t="s">
        <v>168</v>
      </c>
      <c r="G72" s="1388" t="s">
        <v>2568</v>
      </c>
      <c r="H72" s="1383">
        <v>90909</v>
      </c>
      <c r="I72" s="1444">
        <f>H72</f>
        <v>90909</v>
      </c>
      <c r="J72" s="1460"/>
      <c r="K72" s="1460"/>
      <c r="L72" s="1460"/>
      <c r="M72" s="1460"/>
      <c r="N72" s="1463"/>
      <c r="O72" s="1463"/>
      <c r="P72" s="1463">
        <f>Q72</f>
        <v>81818.100000000006</v>
      </c>
      <c r="Q72" s="1463">
        <f>I72*0.9</f>
        <v>81818.100000000006</v>
      </c>
      <c r="R72" s="1463">
        <v>20000</v>
      </c>
      <c r="S72" s="1454"/>
      <c r="T72" s="1474">
        <f>U72</f>
        <v>20000</v>
      </c>
      <c r="U72" s="1474">
        <v>20000</v>
      </c>
      <c r="V72" s="1463"/>
      <c r="W72" s="1454"/>
      <c r="X72" s="1474">
        <f>Y72</f>
        <v>20000</v>
      </c>
      <c r="Y72" s="1474">
        <v>20000</v>
      </c>
      <c r="Z72" s="1460"/>
      <c r="AA72" s="1460"/>
      <c r="AB72" s="1460">
        <v>40000</v>
      </c>
      <c r="AC72" s="1460">
        <v>40000</v>
      </c>
      <c r="AD72" s="1460"/>
      <c r="AE72" s="1460"/>
      <c r="AF72" s="1383">
        <f t="shared" si="14"/>
        <v>40000</v>
      </c>
      <c r="AG72" s="1383">
        <f t="shared" si="15"/>
        <v>40000</v>
      </c>
      <c r="AH72" s="1383">
        <f t="shared" si="25"/>
        <v>20000</v>
      </c>
      <c r="AI72" s="1383"/>
      <c r="AJ72" s="1383"/>
      <c r="AK72" s="1383"/>
      <c r="AL72" s="1383"/>
      <c r="AM72" s="1383">
        <v>20000</v>
      </c>
      <c r="AN72" s="1381"/>
      <c r="AO72" s="1381"/>
      <c r="AP72" s="1431">
        <f t="shared" si="3"/>
        <v>0</v>
      </c>
      <c r="AQ72" s="1431">
        <f t="shared" si="7"/>
        <v>1</v>
      </c>
      <c r="AR72" s="1434">
        <f t="shared" si="16"/>
        <v>0</v>
      </c>
      <c r="AS72" s="1434"/>
      <c r="AT72" s="1427">
        <f t="shared" si="46"/>
        <v>1</v>
      </c>
      <c r="AV72" s="1427">
        <f t="shared" si="47"/>
        <v>0</v>
      </c>
      <c r="AW72" s="1427">
        <f t="shared" si="42"/>
        <v>0</v>
      </c>
      <c r="AX72" s="1427">
        <f t="shared" si="48"/>
        <v>1</v>
      </c>
      <c r="AY72" s="1427">
        <f t="shared" si="43"/>
        <v>81818.100000000006</v>
      </c>
      <c r="BB72" s="1427">
        <f t="shared" si="50"/>
        <v>0</v>
      </c>
      <c r="BC72" s="1427">
        <f t="shared" si="45"/>
        <v>0</v>
      </c>
      <c r="BD72" s="1436">
        <f t="shared" si="8"/>
        <v>1</v>
      </c>
    </row>
    <row r="73" spans="1:56" ht="157.5" customHeight="1" x14ac:dyDescent="0.3">
      <c r="A73" s="1457" t="s">
        <v>2818</v>
      </c>
      <c r="B73" s="1457"/>
      <c r="C73" s="1458" t="s">
        <v>169</v>
      </c>
      <c r="D73" s="1388" t="s">
        <v>170</v>
      </c>
      <c r="E73" s="1388" t="s">
        <v>171</v>
      </c>
      <c r="F73" s="1388" t="s">
        <v>172</v>
      </c>
      <c r="G73" s="1388" t="s">
        <v>2440</v>
      </c>
      <c r="H73" s="1383">
        <v>699345</v>
      </c>
      <c r="I73" s="1383">
        <v>699345</v>
      </c>
      <c r="J73" s="1460"/>
      <c r="K73" s="1460"/>
      <c r="L73" s="1460"/>
      <c r="M73" s="1460"/>
      <c r="N73" s="1463"/>
      <c r="O73" s="1463"/>
      <c r="P73" s="1463">
        <f>Q73</f>
        <v>10000</v>
      </c>
      <c r="Q73" s="1463">
        <v>10000</v>
      </c>
      <c r="R73" s="1463">
        <f t="shared" ref="R73" si="58">U73-O73</f>
        <v>10000</v>
      </c>
      <c r="S73" s="1454"/>
      <c r="T73" s="1463">
        <f>U73</f>
        <v>10000</v>
      </c>
      <c r="U73" s="1463">
        <v>10000</v>
      </c>
      <c r="V73" s="1463">
        <v>150000</v>
      </c>
      <c r="W73" s="1454"/>
      <c r="X73" s="1463">
        <f>Y73+150000</f>
        <v>310000</v>
      </c>
      <c r="Y73" s="1463">
        <f>V73+U73</f>
        <v>160000</v>
      </c>
      <c r="Z73" s="1460">
        <v>135000</v>
      </c>
      <c r="AA73" s="1460"/>
      <c r="AB73" s="1460">
        <v>295000</v>
      </c>
      <c r="AC73" s="1460">
        <v>295000</v>
      </c>
      <c r="AD73" s="1460">
        <v>128500</v>
      </c>
      <c r="AE73" s="1460"/>
      <c r="AF73" s="1383">
        <f>AB73+AD73</f>
        <v>423500</v>
      </c>
      <c r="AG73" s="1383">
        <f t="shared" si="15"/>
        <v>423500</v>
      </c>
      <c r="AH73" s="1383">
        <f t="shared" si="25"/>
        <v>145000</v>
      </c>
      <c r="AI73" s="1383"/>
      <c r="AJ73" s="1383"/>
      <c r="AK73" s="1383"/>
      <c r="AL73" s="1383">
        <v>9000</v>
      </c>
      <c r="AM73" s="1383">
        <f>1000+135000</f>
        <v>136000</v>
      </c>
      <c r="AN73" s="1381" t="s">
        <v>2706</v>
      </c>
      <c r="AO73" s="1381"/>
      <c r="AP73" s="1431">
        <f t="shared" si="3"/>
        <v>1</v>
      </c>
      <c r="AQ73" s="1431">
        <f t="shared" si="7"/>
        <v>1</v>
      </c>
      <c r="AR73" s="1434">
        <f t="shared" si="16"/>
        <v>1</v>
      </c>
      <c r="AS73" s="1434"/>
      <c r="AT73" s="1427">
        <f t="shared" si="46"/>
        <v>0</v>
      </c>
      <c r="AV73" s="1427">
        <f t="shared" si="47"/>
        <v>0</v>
      </c>
      <c r="AW73" s="1427">
        <f t="shared" si="42"/>
        <v>0</v>
      </c>
      <c r="AX73" s="1427">
        <f t="shared" si="48"/>
        <v>1</v>
      </c>
      <c r="AY73" s="1427">
        <f t="shared" si="43"/>
        <v>10000</v>
      </c>
      <c r="BB73" s="1427">
        <f t="shared" si="50"/>
        <v>0</v>
      </c>
      <c r="BC73" s="1427">
        <f t="shared" si="45"/>
        <v>0</v>
      </c>
      <c r="BD73" s="1436">
        <f t="shared" si="8"/>
        <v>1</v>
      </c>
    </row>
    <row r="74" spans="1:56" ht="78" customHeight="1" x14ac:dyDescent="0.3">
      <c r="A74" s="1457" t="s">
        <v>2819</v>
      </c>
      <c r="B74" s="1457" t="s">
        <v>2812</v>
      </c>
      <c r="C74" s="1458" t="s">
        <v>902</v>
      </c>
      <c r="D74" s="1388"/>
      <c r="E74" s="1388"/>
      <c r="F74" s="1388" t="s">
        <v>168</v>
      </c>
      <c r="G74" s="1388" t="s">
        <v>2441</v>
      </c>
      <c r="H74" s="1383">
        <f>I74</f>
        <v>70000</v>
      </c>
      <c r="I74" s="1444">
        <v>70000</v>
      </c>
      <c r="J74" s="1460"/>
      <c r="K74" s="1460"/>
      <c r="L74" s="1460"/>
      <c r="M74" s="1460"/>
      <c r="N74" s="1463"/>
      <c r="O74" s="1463"/>
      <c r="P74" s="1463"/>
      <c r="Q74" s="1463"/>
      <c r="R74" s="1463">
        <f>U74-O74</f>
        <v>20000</v>
      </c>
      <c r="S74" s="1454"/>
      <c r="T74" s="1463">
        <f>R74+Q74</f>
        <v>20000</v>
      </c>
      <c r="U74" s="1463">
        <v>20000</v>
      </c>
      <c r="V74" s="1463"/>
      <c r="W74" s="1454"/>
      <c r="X74" s="1463">
        <f>V74+U74</f>
        <v>20000</v>
      </c>
      <c r="Y74" s="1463">
        <v>20000</v>
      </c>
      <c r="Z74" s="1460"/>
      <c r="AA74" s="1460"/>
      <c r="AB74" s="1460">
        <v>35303</v>
      </c>
      <c r="AC74" s="1460">
        <v>35303</v>
      </c>
      <c r="AD74" s="1460"/>
      <c r="AE74" s="1460"/>
      <c r="AF74" s="1383">
        <f t="shared" si="14"/>
        <v>35303</v>
      </c>
      <c r="AG74" s="1383">
        <f t="shared" si="15"/>
        <v>35303</v>
      </c>
      <c r="AH74" s="1383">
        <f t="shared" si="25"/>
        <v>20000</v>
      </c>
      <c r="AI74" s="1383"/>
      <c r="AJ74" s="1383"/>
      <c r="AK74" s="1383"/>
      <c r="AL74" s="1383">
        <v>19920</v>
      </c>
      <c r="AM74" s="1383">
        <v>80</v>
      </c>
      <c r="AN74" s="1381"/>
      <c r="AO74" s="1381"/>
      <c r="AP74" s="1431">
        <f t="shared" si="3"/>
        <v>0</v>
      </c>
      <c r="AQ74" s="1431">
        <f t="shared" si="7"/>
        <v>1</v>
      </c>
      <c r="AR74" s="1434"/>
      <c r="AS74" s="1434"/>
      <c r="BD74" s="1436">
        <f t="shared" si="8"/>
        <v>1</v>
      </c>
    </row>
    <row r="75" spans="1:56" ht="100.5" customHeight="1" x14ac:dyDescent="0.3">
      <c r="A75" s="1457" t="s">
        <v>2820</v>
      </c>
      <c r="B75" s="1457"/>
      <c r="C75" s="1458" t="s">
        <v>2225</v>
      </c>
      <c r="D75" s="1388" t="s">
        <v>230</v>
      </c>
      <c r="E75" s="1388" t="s">
        <v>113</v>
      </c>
      <c r="F75" s="1388" t="s">
        <v>1354</v>
      </c>
      <c r="G75" s="1388" t="s">
        <v>2559</v>
      </c>
      <c r="H75" s="1383">
        <v>48229</v>
      </c>
      <c r="I75" s="1444">
        <f>H75</f>
        <v>48229</v>
      </c>
      <c r="J75" s="1460"/>
      <c r="K75" s="1460"/>
      <c r="L75" s="1460"/>
      <c r="M75" s="1460"/>
      <c r="N75" s="1463"/>
      <c r="O75" s="1463"/>
      <c r="P75" s="1463"/>
      <c r="Q75" s="1463"/>
      <c r="R75" s="1463"/>
      <c r="S75" s="1454"/>
      <c r="T75" s="1463"/>
      <c r="U75" s="1463"/>
      <c r="V75" s="1463">
        <v>15000</v>
      </c>
      <c r="W75" s="1454"/>
      <c r="X75" s="1463">
        <v>15000</v>
      </c>
      <c r="Y75" s="1463">
        <v>15000</v>
      </c>
      <c r="Z75" s="1460"/>
      <c r="AA75" s="1460"/>
      <c r="AB75" s="1460">
        <v>15000</v>
      </c>
      <c r="AC75" s="1460">
        <v>15000</v>
      </c>
      <c r="AD75" s="1460"/>
      <c r="AE75" s="1460"/>
      <c r="AF75" s="1383">
        <f t="shared" si="14"/>
        <v>15000</v>
      </c>
      <c r="AG75" s="1383">
        <f t="shared" si="15"/>
        <v>15000</v>
      </c>
      <c r="AH75" s="1383">
        <f t="shared" si="25"/>
        <v>15000</v>
      </c>
      <c r="AI75" s="1383"/>
      <c r="AJ75" s="1383"/>
      <c r="AK75" s="1383"/>
      <c r="AL75" s="1383"/>
      <c r="AM75" s="1383">
        <v>15000</v>
      </c>
      <c r="AN75" s="1381"/>
      <c r="AO75" s="1381"/>
      <c r="AP75" s="1431">
        <f t="shared" si="3"/>
        <v>0</v>
      </c>
      <c r="AQ75" s="1431">
        <f t="shared" si="7"/>
        <v>1</v>
      </c>
      <c r="AR75" s="1434"/>
      <c r="AS75" s="1434">
        <f>SUM(V75:V77)</f>
        <v>54000</v>
      </c>
      <c r="BD75" s="1436">
        <f t="shared" si="8"/>
        <v>1</v>
      </c>
    </row>
    <row r="76" spans="1:56" ht="82.5" customHeight="1" x14ac:dyDescent="0.3">
      <c r="A76" s="1457" t="s">
        <v>2821</v>
      </c>
      <c r="B76" s="1457" t="s">
        <v>2813</v>
      </c>
      <c r="C76" s="1458" t="s">
        <v>2537</v>
      </c>
      <c r="D76" s="1388" t="s">
        <v>95</v>
      </c>
      <c r="E76" s="1388" t="s">
        <v>2599</v>
      </c>
      <c r="F76" s="1388" t="s">
        <v>168</v>
      </c>
      <c r="G76" s="1388" t="s">
        <v>2560</v>
      </c>
      <c r="H76" s="1383">
        <v>33477</v>
      </c>
      <c r="I76" s="1444">
        <v>33477</v>
      </c>
      <c r="J76" s="1460"/>
      <c r="K76" s="1460"/>
      <c r="L76" s="1460"/>
      <c r="M76" s="1460"/>
      <c r="N76" s="1463"/>
      <c r="O76" s="1463"/>
      <c r="P76" s="1463"/>
      <c r="Q76" s="1463"/>
      <c r="R76" s="1463"/>
      <c r="S76" s="1454"/>
      <c r="T76" s="1463"/>
      <c r="U76" s="1463"/>
      <c r="V76" s="1463">
        <v>25000</v>
      </c>
      <c r="W76" s="1454"/>
      <c r="X76" s="1463">
        <f>Y76</f>
        <v>25000</v>
      </c>
      <c r="Y76" s="1463">
        <f>V76</f>
        <v>25000</v>
      </c>
      <c r="Z76" s="1460"/>
      <c r="AA76" s="1460"/>
      <c r="AB76" s="1460">
        <v>12000</v>
      </c>
      <c r="AC76" s="1460">
        <v>12000</v>
      </c>
      <c r="AD76" s="1460"/>
      <c r="AE76" s="1525"/>
      <c r="AF76" s="1383">
        <f t="shared" si="14"/>
        <v>12000</v>
      </c>
      <c r="AG76" s="1383">
        <f t="shared" si="15"/>
        <v>12000</v>
      </c>
      <c r="AH76" s="1383">
        <f t="shared" si="25"/>
        <v>12000</v>
      </c>
      <c r="AI76" s="1383"/>
      <c r="AJ76" s="1383"/>
      <c r="AK76" s="1383"/>
      <c r="AL76" s="1383"/>
      <c r="AM76" s="1383">
        <f>25000-13000</f>
        <v>12000</v>
      </c>
      <c r="AN76" s="1381"/>
      <c r="AO76" s="1381"/>
      <c r="AP76" s="1431">
        <f t="shared" si="3"/>
        <v>0</v>
      </c>
      <c r="AQ76" s="1431">
        <f t="shared" si="7"/>
        <v>1</v>
      </c>
      <c r="AR76" s="1434"/>
      <c r="AS76" s="1434"/>
      <c r="BD76" s="1436">
        <f t="shared" si="8"/>
        <v>1</v>
      </c>
    </row>
    <row r="77" spans="1:56" ht="87" customHeight="1" x14ac:dyDescent="0.3">
      <c r="A77" s="1457" t="s">
        <v>2822</v>
      </c>
      <c r="B77" s="1457"/>
      <c r="C77" s="1458" t="s">
        <v>2492</v>
      </c>
      <c r="D77" s="1388" t="s">
        <v>205</v>
      </c>
      <c r="E77" s="1388"/>
      <c r="F77" s="1388" t="s">
        <v>168</v>
      </c>
      <c r="G77" s="1388" t="s">
        <v>2560</v>
      </c>
      <c r="H77" s="1383">
        <f>I77</f>
        <v>14953</v>
      </c>
      <c r="I77" s="1444">
        <v>14953</v>
      </c>
      <c r="J77" s="1460"/>
      <c r="K77" s="1460"/>
      <c r="L77" s="1460"/>
      <c r="M77" s="1460"/>
      <c r="N77" s="1463"/>
      <c r="O77" s="1463"/>
      <c r="P77" s="1463"/>
      <c r="Q77" s="1463"/>
      <c r="R77" s="1463"/>
      <c r="S77" s="1454"/>
      <c r="T77" s="1463"/>
      <c r="U77" s="1463"/>
      <c r="V77" s="1463">
        <v>14000</v>
      </c>
      <c r="W77" s="1454"/>
      <c r="X77" s="1463">
        <f>Y77</f>
        <v>14000</v>
      </c>
      <c r="Y77" s="1463">
        <f>V77</f>
        <v>14000</v>
      </c>
      <c r="Z77" s="1460"/>
      <c r="AA77" s="1460"/>
      <c r="AB77" s="1460">
        <v>14000</v>
      </c>
      <c r="AC77" s="1460">
        <v>14000</v>
      </c>
      <c r="AD77" s="1460"/>
      <c r="AE77" s="1460"/>
      <c r="AF77" s="1383">
        <f t="shared" si="14"/>
        <v>14000</v>
      </c>
      <c r="AG77" s="1383">
        <f t="shared" si="15"/>
        <v>14000</v>
      </c>
      <c r="AH77" s="1383">
        <f t="shared" si="25"/>
        <v>14000</v>
      </c>
      <c r="AI77" s="1383"/>
      <c r="AJ77" s="1383"/>
      <c r="AK77" s="1383"/>
      <c r="AL77" s="1383"/>
      <c r="AM77" s="1383">
        <v>14000</v>
      </c>
      <c r="AN77" s="1381"/>
      <c r="AO77" s="1381"/>
      <c r="AP77" s="1431">
        <f t="shared" si="3"/>
        <v>0</v>
      </c>
      <c r="AQ77" s="1431">
        <f t="shared" si="7"/>
        <v>1</v>
      </c>
      <c r="AR77" s="1434">
        <f>SUM(V64:V73)+SUM(V53:V57)</f>
        <v>659400</v>
      </c>
      <c r="AS77" s="1434"/>
      <c r="BD77" s="1436">
        <f t="shared" si="8"/>
        <v>1</v>
      </c>
    </row>
    <row r="78" spans="1:56" ht="141.75" customHeight="1" x14ac:dyDescent="0.3">
      <c r="A78" s="1457" t="s">
        <v>2823</v>
      </c>
      <c r="B78" s="1475"/>
      <c r="C78" s="1442" t="s">
        <v>2631</v>
      </c>
      <c r="D78" s="1388" t="s">
        <v>2633</v>
      </c>
      <c r="E78" s="1388" t="s">
        <v>2737</v>
      </c>
      <c r="F78" s="1388" t="s">
        <v>165</v>
      </c>
      <c r="G78" s="1388" t="s">
        <v>2756</v>
      </c>
      <c r="H78" s="1443">
        <v>987314</v>
      </c>
      <c r="I78" s="1444">
        <f>H78</f>
        <v>987314</v>
      </c>
      <c r="J78" s="1439"/>
      <c r="K78" s="1439"/>
      <c r="L78" s="1439"/>
      <c r="M78" s="1439"/>
      <c r="N78" s="1439"/>
      <c r="O78" s="1439"/>
      <c r="P78" s="1439"/>
      <c r="Q78" s="1439"/>
      <c r="R78" s="1439"/>
      <c r="S78" s="1439"/>
      <c r="T78" s="1439"/>
      <c r="U78" s="1439"/>
      <c r="V78" s="1439"/>
      <c r="W78" s="1439"/>
      <c r="X78" s="1439"/>
      <c r="Y78" s="1439"/>
      <c r="Z78" s="1460">
        <v>10000</v>
      </c>
      <c r="AA78" s="1439"/>
      <c r="AB78" s="1460">
        <v>10000</v>
      </c>
      <c r="AC78" s="1460">
        <v>10000</v>
      </c>
      <c r="AD78" s="1460"/>
      <c r="AE78" s="1916">
        <v>-10000</v>
      </c>
      <c r="AF78" s="1383">
        <f t="shared" si="14"/>
        <v>0</v>
      </c>
      <c r="AG78" s="1383">
        <f t="shared" si="15"/>
        <v>0</v>
      </c>
      <c r="AH78" s="1383">
        <f t="shared" si="25"/>
        <v>10000</v>
      </c>
      <c r="AI78" s="1383"/>
      <c r="AJ78" s="1383"/>
      <c r="AK78" s="1383"/>
      <c r="AL78" s="1383"/>
      <c r="AM78" s="1383">
        <v>10000</v>
      </c>
      <c r="AN78" s="1381" t="s">
        <v>2725</v>
      </c>
      <c r="AO78" s="1381"/>
      <c r="AP78" s="1431">
        <f t="shared" si="3"/>
        <v>1</v>
      </c>
      <c r="AQ78" s="1431"/>
      <c r="AR78" s="1434"/>
      <c r="AS78" s="1434"/>
      <c r="AT78" s="1435"/>
      <c r="BD78" s="1436"/>
    </row>
    <row r="79" spans="1:56" ht="42.75" customHeight="1" x14ac:dyDescent="0.3">
      <c r="A79" s="1437">
        <v>2</v>
      </c>
      <c r="B79" s="1437">
        <v>2</v>
      </c>
      <c r="C79" s="1438" t="s">
        <v>174</v>
      </c>
      <c r="D79" s="1381"/>
      <c r="E79" s="1381"/>
      <c r="F79" s="1381"/>
      <c r="G79" s="1381"/>
      <c r="H79" s="1439">
        <f t="shared" ref="H79:T79" si="59">H80+H95</f>
        <v>2533598</v>
      </c>
      <c r="I79" s="1439">
        <f t="shared" si="59"/>
        <v>1948598</v>
      </c>
      <c r="J79" s="1439">
        <f t="shared" si="59"/>
        <v>6460</v>
      </c>
      <c r="K79" s="1439">
        <f t="shared" si="59"/>
        <v>3460</v>
      </c>
      <c r="L79" s="1439">
        <f t="shared" si="59"/>
        <v>6460</v>
      </c>
      <c r="M79" s="1439">
        <f t="shared" si="59"/>
        <v>3460</v>
      </c>
      <c r="N79" s="1439">
        <f t="shared" si="59"/>
        <v>363589.2</v>
      </c>
      <c r="O79" s="1439">
        <f t="shared" si="59"/>
        <v>363589.2</v>
      </c>
      <c r="P79" s="1439">
        <f t="shared" si="59"/>
        <v>360000</v>
      </c>
      <c r="Q79" s="1439">
        <f t="shared" si="59"/>
        <v>360000</v>
      </c>
      <c r="R79" s="1439">
        <f t="shared" si="59"/>
        <v>49908</v>
      </c>
      <c r="S79" s="1439">
        <f t="shared" si="59"/>
        <v>84269.2</v>
      </c>
      <c r="T79" s="1439">
        <f t="shared" si="59"/>
        <v>922958</v>
      </c>
      <c r="U79" s="1439">
        <f>U80+U95</f>
        <v>337958</v>
      </c>
      <c r="V79" s="1439">
        <f t="shared" ref="V79:Y79" si="60">V80+V95</f>
        <v>200070</v>
      </c>
      <c r="W79" s="1439">
        <f t="shared" si="60"/>
        <v>53088</v>
      </c>
      <c r="X79" s="1439">
        <f t="shared" si="60"/>
        <v>1069940</v>
      </c>
      <c r="Y79" s="1439">
        <f t="shared" si="60"/>
        <v>484940</v>
      </c>
      <c r="Z79" s="1439">
        <v>91600</v>
      </c>
      <c r="AA79" s="1439">
        <v>0</v>
      </c>
      <c r="AB79" s="1439">
        <v>1191640</v>
      </c>
      <c r="AC79" s="1439">
        <v>606640</v>
      </c>
      <c r="AD79" s="1439">
        <f t="shared" ref="AD79:AF79" si="61">AD80+AD95</f>
        <v>0</v>
      </c>
      <c r="AE79" s="1856">
        <f t="shared" si="61"/>
        <v>0</v>
      </c>
      <c r="AF79" s="1439">
        <f t="shared" si="61"/>
        <v>1241640</v>
      </c>
      <c r="AG79" s="1439">
        <f t="shared" ref="AG79:AM79" si="62">AG80+AG95</f>
        <v>606640</v>
      </c>
      <c r="AH79" s="1439">
        <f t="shared" si="62"/>
        <v>505660</v>
      </c>
      <c r="AI79" s="1439">
        <f t="shared" si="62"/>
        <v>40381</v>
      </c>
      <c r="AJ79" s="1439">
        <f t="shared" si="62"/>
        <v>51565</v>
      </c>
      <c r="AK79" s="1439">
        <f t="shared" si="62"/>
        <v>51604</v>
      </c>
      <c r="AL79" s="1439">
        <f t="shared" si="62"/>
        <v>60360</v>
      </c>
      <c r="AM79" s="1439">
        <f t="shared" si="62"/>
        <v>301750</v>
      </c>
      <c r="AN79" s="1440"/>
      <c r="AO79" s="1440"/>
      <c r="AP79" s="1431">
        <f t="shared" si="3"/>
        <v>0</v>
      </c>
      <c r="AQ79" s="1431">
        <f t="shared" ref="AQ79:AQ91" si="63">IF(Y79=0,0,1)</f>
        <v>1</v>
      </c>
      <c r="AR79" s="1434"/>
      <c r="AS79" s="1434">
        <f>AJ84+AJ97+AJ98+AJ99+AJ100+AJ105+AJ106+AJ107+AJ108+AJ109+AJ110+AJ111+AJ112+AJ113+AJ114+AJ115+AJ116</f>
        <v>51565</v>
      </c>
      <c r="AT79" s="1435">
        <f>U79+V79-W79</f>
        <v>484940</v>
      </c>
      <c r="AW79" s="1427">
        <f t="shared" ref="AW79:AW84" si="64">IF(AV79=1,O79,0)</f>
        <v>0</v>
      </c>
      <c r="AY79" s="1427">
        <f t="shared" ref="AY79:AY84" si="65">IF(AX79=1,Q79,0)</f>
        <v>0</v>
      </c>
      <c r="BA79" s="1427">
        <f t="shared" ref="BA79:BA84" si="66">IF(AZ79=1,R79,0)</f>
        <v>0</v>
      </c>
      <c r="BC79" s="1427">
        <f t="shared" ref="BC79:BC84" si="67">IF(BB79=1,S79,0)</f>
        <v>0</v>
      </c>
      <c r="BD79" s="1436">
        <f t="shared" ref="BD79:BD91" si="68">IF(I79-Y79&gt;=0,1,0)</f>
        <v>1</v>
      </c>
    </row>
    <row r="80" spans="1:56" ht="63.75" customHeight="1" x14ac:dyDescent="0.3">
      <c r="A80" s="1827" t="s">
        <v>2825</v>
      </c>
      <c r="B80" s="1827" t="s">
        <v>2825</v>
      </c>
      <c r="C80" s="1446" t="s">
        <v>46</v>
      </c>
      <c r="D80" s="1447"/>
      <c r="E80" s="1447"/>
      <c r="F80" s="1448"/>
      <c r="G80" s="1448"/>
      <c r="H80" s="1449">
        <f t="shared" ref="H80:X80" si="69">H81</f>
        <v>794999</v>
      </c>
      <c r="I80" s="1449">
        <f t="shared" si="69"/>
        <v>794999</v>
      </c>
      <c r="J80" s="1449">
        <f t="shared" si="69"/>
        <v>6460</v>
      </c>
      <c r="K80" s="1449">
        <f t="shared" si="69"/>
        <v>3460</v>
      </c>
      <c r="L80" s="1449">
        <f t="shared" si="69"/>
        <v>6460</v>
      </c>
      <c r="M80" s="1449">
        <f t="shared" si="69"/>
        <v>3460</v>
      </c>
      <c r="N80" s="1449">
        <f t="shared" si="69"/>
        <v>37700</v>
      </c>
      <c r="O80" s="1449">
        <f t="shared" si="69"/>
        <v>37700</v>
      </c>
      <c r="P80" s="1449">
        <f t="shared" si="69"/>
        <v>39450</v>
      </c>
      <c r="Q80" s="1449">
        <f t="shared" si="69"/>
        <v>39450</v>
      </c>
      <c r="R80" s="1449">
        <f t="shared" si="69"/>
        <v>1750</v>
      </c>
      <c r="S80" s="1449">
        <f t="shared" si="69"/>
        <v>0</v>
      </c>
      <c r="T80" s="1449">
        <f t="shared" si="69"/>
        <v>39450</v>
      </c>
      <c r="U80" s="1449">
        <f t="shared" si="69"/>
        <v>39450</v>
      </c>
      <c r="V80" s="1449">
        <f t="shared" si="69"/>
        <v>0</v>
      </c>
      <c r="W80" s="1449">
        <f t="shared" si="69"/>
        <v>0</v>
      </c>
      <c r="X80" s="1449">
        <f t="shared" si="69"/>
        <v>39450</v>
      </c>
      <c r="Y80" s="1449">
        <f>Y81</f>
        <v>39450</v>
      </c>
      <c r="Z80" s="1449">
        <v>0</v>
      </c>
      <c r="AA80" s="1449">
        <v>0</v>
      </c>
      <c r="AB80" s="1449">
        <v>40624</v>
      </c>
      <c r="AC80" s="1449">
        <v>40624</v>
      </c>
      <c r="AD80" s="1449">
        <f t="shared" ref="AD80:AM80" si="70">AD81</f>
        <v>0</v>
      </c>
      <c r="AE80" s="1449">
        <f t="shared" si="70"/>
        <v>0</v>
      </c>
      <c r="AF80" s="1449">
        <f t="shared" si="70"/>
        <v>40624</v>
      </c>
      <c r="AG80" s="1449">
        <f t="shared" si="70"/>
        <v>40624</v>
      </c>
      <c r="AH80" s="1449">
        <f t="shared" si="70"/>
        <v>34392</v>
      </c>
      <c r="AI80" s="1449">
        <f t="shared" si="70"/>
        <v>11041</v>
      </c>
      <c r="AJ80" s="1449">
        <f t="shared" si="70"/>
        <v>4274</v>
      </c>
      <c r="AK80" s="1449">
        <f t="shared" si="70"/>
        <v>6495</v>
      </c>
      <c r="AL80" s="1449">
        <f t="shared" si="70"/>
        <v>9212</v>
      </c>
      <c r="AM80" s="1449">
        <f t="shared" si="70"/>
        <v>3370</v>
      </c>
      <c r="AN80" s="1450"/>
      <c r="AO80" s="1450"/>
      <c r="AP80" s="1431">
        <f t="shared" si="3"/>
        <v>0</v>
      </c>
      <c r="AQ80" s="1431">
        <f t="shared" si="63"/>
        <v>1</v>
      </c>
      <c r="AR80" s="1434"/>
      <c r="AS80" s="1434">
        <f>AS79-51565</f>
        <v>0</v>
      </c>
      <c r="AW80" s="1427">
        <f t="shared" si="64"/>
        <v>0</v>
      </c>
      <c r="AY80" s="1427">
        <f t="shared" si="65"/>
        <v>0</v>
      </c>
      <c r="BA80" s="1427">
        <f t="shared" si="66"/>
        <v>0</v>
      </c>
      <c r="BC80" s="1427">
        <f t="shared" si="67"/>
        <v>0</v>
      </c>
      <c r="BD80" s="1436">
        <f t="shared" si="68"/>
        <v>1</v>
      </c>
    </row>
    <row r="81" spans="1:57" ht="42" customHeight="1" x14ac:dyDescent="0.3">
      <c r="A81" s="1826"/>
      <c r="B81" s="1826"/>
      <c r="C81" s="1446" t="s">
        <v>48</v>
      </c>
      <c r="D81" s="1447"/>
      <c r="E81" s="1447"/>
      <c r="F81" s="1448"/>
      <c r="G81" s="1448"/>
      <c r="H81" s="1449">
        <f t="shared" ref="H81:T81" si="71">H84+H93+H94</f>
        <v>794999</v>
      </c>
      <c r="I81" s="1449">
        <f t="shared" si="71"/>
        <v>794999</v>
      </c>
      <c r="J81" s="1449">
        <f t="shared" si="71"/>
        <v>6460</v>
      </c>
      <c r="K81" s="1449">
        <f t="shared" si="71"/>
        <v>3460</v>
      </c>
      <c r="L81" s="1449">
        <f t="shared" si="71"/>
        <v>6460</v>
      </c>
      <c r="M81" s="1449">
        <f t="shared" si="71"/>
        <v>3460</v>
      </c>
      <c r="N81" s="1449">
        <f t="shared" si="71"/>
        <v>37700</v>
      </c>
      <c r="O81" s="1449">
        <f t="shared" si="71"/>
        <v>37700</v>
      </c>
      <c r="P81" s="1449">
        <f t="shared" si="71"/>
        <v>39450</v>
      </c>
      <c r="Q81" s="1449">
        <f t="shared" si="71"/>
        <v>39450</v>
      </c>
      <c r="R81" s="1449">
        <f t="shared" si="71"/>
        <v>1750</v>
      </c>
      <c r="S81" s="1449">
        <f t="shared" si="71"/>
        <v>0</v>
      </c>
      <c r="T81" s="1449">
        <f t="shared" si="71"/>
        <v>39450</v>
      </c>
      <c r="U81" s="1449">
        <f>U84+U93+U94</f>
        <v>39450</v>
      </c>
      <c r="V81" s="1449">
        <f t="shared" ref="V81:Y81" si="72">V84+V93+V94</f>
        <v>0</v>
      </c>
      <c r="W81" s="1449">
        <f t="shared" si="72"/>
        <v>0</v>
      </c>
      <c r="X81" s="1449">
        <f t="shared" si="72"/>
        <v>39450</v>
      </c>
      <c r="Y81" s="1449">
        <f t="shared" si="72"/>
        <v>39450</v>
      </c>
      <c r="Z81" s="1449">
        <v>0</v>
      </c>
      <c r="AA81" s="1449">
        <v>0</v>
      </c>
      <c r="AB81" s="1449">
        <v>40624</v>
      </c>
      <c r="AC81" s="1449">
        <v>40624</v>
      </c>
      <c r="AD81" s="1449">
        <f t="shared" ref="AD81:AF81" si="73">AD84+AD93+AD94</f>
        <v>0</v>
      </c>
      <c r="AE81" s="1449">
        <f t="shared" si="73"/>
        <v>0</v>
      </c>
      <c r="AF81" s="1449">
        <f t="shared" si="73"/>
        <v>40624</v>
      </c>
      <c r="AG81" s="1449">
        <f t="shared" ref="AG81:AM81" si="74">AG84+AG93+AG94</f>
        <v>40624</v>
      </c>
      <c r="AH81" s="1449">
        <f t="shared" si="74"/>
        <v>34392</v>
      </c>
      <c r="AI81" s="1449">
        <f t="shared" si="74"/>
        <v>11041</v>
      </c>
      <c r="AJ81" s="1449">
        <f t="shared" si="74"/>
        <v>4274</v>
      </c>
      <c r="AK81" s="1449">
        <f t="shared" si="74"/>
        <v>6495</v>
      </c>
      <c r="AL81" s="1449">
        <f t="shared" si="74"/>
        <v>9212</v>
      </c>
      <c r="AM81" s="1449">
        <f t="shared" si="74"/>
        <v>3370</v>
      </c>
      <c r="AN81" s="1450"/>
      <c r="AO81" s="1450"/>
      <c r="AP81" s="1431">
        <f t="shared" ref="AP81" si="75">IF(AG81-AC81=0,0,1)</f>
        <v>0</v>
      </c>
      <c r="AQ81" s="1431">
        <f t="shared" si="63"/>
        <v>1</v>
      </c>
      <c r="AR81" s="1434"/>
      <c r="AS81" s="1434"/>
      <c r="AW81" s="1427">
        <f t="shared" si="64"/>
        <v>0</v>
      </c>
      <c r="AY81" s="1427">
        <f t="shared" si="65"/>
        <v>0</v>
      </c>
      <c r="BA81" s="1427">
        <f t="shared" si="66"/>
        <v>0</v>
      </c>
      <c r="BC81" s="1427">
        <f t="shared" si="67"/>
        <v>0</v>
      </c>
      <c r="BD81" s="1436">
        <f t="shared" si="68"/>
        <v>1</v>
      </c>
    </row>
    <row r="82" spans="1:57" ht="25.5" customHeight="1" x14ac:dyDescent="0.3">
      <c r="A82" s="1825"/>
      <c r="B82" s="1451"/>
      <c r="C82" s="1446" t="s">
        <v>49</v>
      </c>
      <c r="D82" s="1452"/>
      <c r="E82" s="1452"/>
      <c r="F82" s="1381"/>
      <c r="G82" s="1381"/>
      <c r="H82" s="1453"/>
      <c r="I82" s="1453"/>
      <c r="J82" s="1453"/>
      <c r="K82" s="1453"/>
      <c r="L82" s="1453"/>
      <c r="M82" s="1453"/>
      <c r="N82" s="1453"/>
      <c r="O82" s="1453"/>
      <c r="P82" s="1453"/>
      <c r="Q82" s="1453"/>
      <c r="R82" s="1454"/>
      <c r="S82" s="1454"/>
      <c r="T82" s="1453"/>
      <c r="U82" s="1453"/>
      <c r="V82" s="1454"/>
      <c r="W82" s="1454"/>
      <c r="X82" s="1453"/>
      <c r="Y82" s="1453"/>
      <c r="Z82" s="1460"/>
      <c r="AA82" s="1460"/>
      <c r="AB82" s="1460">
        <v>0</v>
      </c>
      <c r="AC82" s="1460">
        <v>0</v>
      </c>
      <c r="AD82" s="1460"/>
      <c r="AE82" s="1460"/>
      <c r="AF82" s="1383">
        <f t="shared" si="14"/>
        <v>0</v>
      </c>
      <c r="AG82" s="1383">
        <f t="shared" si="15"/>
        <v>0</v>
      </c>
      <c r="AH82" s="1383">
        <f t="shared" si="25"/>
        <v>0</v>
      </c>
      <c r="AI82" s="1383"/>
      <c r="AJ82" s="1383"/>
      <c r="AK82" s="1383"/>
      <c r="AL82" s="1383"/>
      <c r="AM82" s="1383"/>
      <c r="AN82" s="1455"/>
      <c r="AO82" s="1455"/>
      <c r="AP82" s="1431">
        <f t="shared" ref="AP82:AP144" si="76">IF(AG82-AC82=0,0,1)</f>
        <v>0</v>
      </c>
      <c r="AQ82" s="1431">
        <f t="shared" si="63"/>
        <v>0</v>
      </c>
      <c r="AR82" s="1434"/>
      <c r="AS82" s="1434"/>
      <c r="AW82" s="1427">
        <f t="shared" si="64"/>
        <v>0</v>
      </c>
      <c r="AY82" s="1427">
        <f t="shared" si="65"/>
        <v>0</v>
      </c>
      <c r="BA82" s="1427">
        <f t="shared" si="66"/>
        <v>0</v>
      </c>
      <c r="BC82" s="1427">
        <f t="shared" si="67"/>
        <v>0</v>
      </c>
      <c r="BD82" s="1436">
        <f t="shared" si="68"/>
        <v>1</v>
      </c>
    </row>
    <row r="83" spans="1:57" ht="82.5" customHeight="1" x14ac:dyDescent="0.3">
      <c r="A83" s="1451" t="s">
        <v>2826</v>
      </c>
      <c r="B83" s="1451" t="s">
        <v>2826</v>
      </c>
      <c r="C83" s="1456" t="s">
        <v>50</v>
      </c>
      <c r="D83" s="1447"/>
      <c r="E83" s="1447"/>
      <c r="F83" s="1448"/>
      <c r="G83" s="1448"/>
      <c r="H83" s="1449"/>
      <c r="I83" s="1449"/>
      <c r="J83" s="1449"/>
      <c r="K83" s="1449"/>
      <c r="L83" s="1449"/>
      <c r="M83" s="1449"/>
      <c r="N83" s="1449"/>
      <c r="O83" s="1449"/>
      <c r="P83" s="1449"/>
      <c r="Q83" s="1449"/>
      <c r="R83" s="1454"/>
      <c r="S83" s="1454"/>
      <c r="T83" s="1449"/>
      <c r="U83" s="1449"/>
      <c r="V83" s="1454"/>
      <c r="W83" s="1454"/>
      <c r="X83" s="1449"/>
      <c r="Y83" s="1449"/>
      <c r="Z83" s="1449">
        <v>0</v>
      </c>
      <c r="AA83" s="1449">
        <v>0</v>
      </c>
      <c r="AB83" s="1449">
        <v>34574</v>
      </c>
      <c r="AC83" s="1449">
        <v>34574</v>
      </c>
      <c r="AD83" s="1449">
        <f t="shared" ref="AD83:AM83" si="77">AD84+AD130</f>
        <v>0</v>
      </c>
      <c r="AE83" s="1449">
        <f t="shared" si="77"/>
        <v>0</v>
      </c>
      <c r="AF83" s="1449">
        <f t="shared" si="77"/>
        <v>34574</v>
      </c>
      <c r="AG83" s="1449">
        <f>AC83</f>
        <v>34574</v>
      </c>
      <c r="AH83" s="1449">
        <f t="shared" si="77"/>
        <v>32944</v>
      </c>
      <c r="AI83" s="1449">
        <f t="shared" si="77"/>
        <v>7143</v>
      </c>
      <c r="AJ83" s="1449">
        <f t="shared" si="77"/>
        <v>4274</v>
      </c>
      <c r="AK83" s="1449">
        <f t="shared" si="77"/>
        <v>8945</v>
      </c>
      <c r="AL83" s="1449">
        <f t="shared" si="77"/>
        <v>9212</v>
      </c>
      <c r="AM83" s="1449">
        <f t="shared" si="77"/>
        <v>3370</v>
      </c>
      <c r="AN83" s="1450"/>
      <c r="AO83" s="1450"/>
      <c r="AP83" s="1431">
        <f t="shared" si="76"/>
        <v>0</v>
      </c>
      <c r="AQ83" s="1431">
        <f t="shared" si="63"/>
        <v>0</v>
      </c>
      <c r="AR83" s="1434"/>
      <c r="AS83" s="1434"/>
      <c r="AW83" s="1427">
        <f t="shared" si="64"/>
        <v>0</v>
      </c>
      <c r="AY83" s="1427">
        <f t="shared" si="65"/>
        <v>0</v>
      </c>
      <c r="BA83" s="1427">
        <f t="shared" si="66"/>
        <v>0</v>
      </c>
      <c r="BC83" s="1427">
        <f t="shared" si="67"/>
        <v>0</v>
      </c>
      <c r="BD83" s="1436">
        <f t="shared" si="68"/>
        <v>1</v>
      </c>
    </row>
    <row r="84" spans="1:57" ht="42" customHeight="1" x14ac:dyDescent="0.3">
      <c r="A84" s="1461" t="s">
        <v>2827</v>
      </c>
      <c r="B84" s="1461" t="s">
        <v>2827</v>
      </c>
      <c r="C84" s="1462" t="s">
        <v>175</v>
      </c>
      <c r="D84" s="1388" t="s">
        <v>176</v>
      </c>
      <c r="E84" s="1388"/>
      <c r="F84" s="1388" t="s">
        <v>91</v>
      </c>
      <c r="G84" s="1388"/>
      <c r="H84" s="1476">
        <f>SUM(H85:H91)</f>
        <v>772693</v>
      </c>
      <c r="I84" s="1476">
        <f>SUM(I85:I91)</f>
        <v>772693</v>
      </c>
      <c r="J84" s="1460"/>
      <c r="K84" s="1460"/>
      <c r="L84" s="1460"/>
      <c r="M84" s="1460"/>
      <c r="N84" s="1463">
        <f t="shared" ref="N84:N94" si="78">O84</f>
        <v>30500</v>
      </c>
      <c r="O84" s="1460">
        <v>30500</v>
      </c>
      <c r="P84" s="1463">
        <f t="shared" ref="P84:P94" si="79">Q84</f>
        <v>30500</v>
      </c>
      <c r="Q84" s="1460">
        <f>SUM(Q85:Q91)</f>
        <v>30500</v>
      </c>
      <c r="R84" s="1454"/>
      <c r="S84" s="1454"/>
      <c r="T84" s="1463">
        <f t="shared" ref="T84" si="80">U84</f>
        <v>30500</v>
      </c>
      <c r="U84" s="1460">
        <f>SUM(U85:U91)</f>
        <v>30500</v>
      </c>
      <c r="V84" s="1454"/>
      <c r="W84" s="1454"/>
      <c r="X84" s="1463">
        <f t="shared" ref="X84" si="81">Y84</f>
        <v>30500</v>
      </c>
      <c r="Y84" s="1460">
        <f>SUM(Y85:Y92)</f>
        <v>30500</v>
      </c>
      <c r="Z84" s="1460">
        <v>0</v>
      </c>
      <c r="AA84" s="1460">
        <v>0</v>
      </c>
      <c r="AB84" s="1460">
        <v>31674</v>
      </c>
      <c r="AC84" s="1460">
        <v>31674</v>
      </c>
      <c r="AD84" s="1460"/>
      <c r="AE84" s="1460"/>
      <c r="AF84" s="1383">
        <f t="shared" si="14"/>
        <v>31674</v>
      </c>
      <c r="AG84" s="1460">
        <f>AC84</f>
        <v>31674</v>
      </c>
      <c r="AH84" s="1383">
        <f t="shared" si="25"/>
        <v>30494</v>
      </c>
      <c r="AI84" s="1460">
        <v>7143</v>
      </c>
      <c r="AJ84" s="1460">
        <v>4274</v>
      </c>
      <c r="AK84" s="1460">
        <v>6495</v>
      </c>
      <c r="AL84" s="1460">
        <v>9212</v>
      </c>
      <c r="AM84" s="1460">
        <v>3370</v>
      </c>
      <c r="AN84" s="1450"/>
      <c r="AO84" s="1450"/>
      <c r="AP84" s="1431">
        <f t="shared" si="76"/>
        <v>0</v>
      </c>
      <c r="AQ84" s="1431">
        <f t="shared" si="63"/>
        <v>1</v>
      </c>
      <c r="AR84" s="1434">
        <f t="shared" si="16"/>
        <v>0</v>
      </c>
      <c r="AS84" s="1434"/>
      <c r="AT84" s="1427">
        <f>IF(AP84=0,1,0)</f>
        <v>1</v>
      </c>
      <c r="AV84" s="1427">
        <f>IF(Q84=0,1,0)</f>
        <v>0</v>
      </c>
      <c r="AW84" s="1427">
        <f t="shared" si="64"/>
        <v>0</v>
      </c>
      <c r="AX84" s="1427">
        <f>IF(O84=0,1,0)</f>
        <v>0</v>
      </c>
      <c r="AY84" s="1427">
        <f t="shared" si="65"/>
        <v>0</v>
      </c>
      <c r="AZ84" s="1427">
        <f>IF(R84=0,0,1)</f>
        <v>0</v>
      </c>
      <c r="BA84" s="1427">
        <f t="shared" si="66"/>
        <v>0</v>
      </c>
      <c r="BB84" s="1427">
        <f>IF(S84=0,0,1)</f>
        <v>0</v>
      </c>
      <c r="BC84" s="1427">
        <f t="shared" si="67"/>
        <v>0</v>
      </c>
      <c r="BD84" s="1436">
        <f t="shared" si="68"/>
        <v>1</v>
      </c>
    </row>
    <row r="85" spans="1:57" ht="80.25" customHeight="1" x14ac:dyDescent="0.3">
      <c r="A85" s="1457"/>
      <c r="B85" s="1457"/>
      <c r="C85" s="1477" t="s">
        <v>177</v>
      </c>
      <c r="D85" s="1470"/>
      <c r="E85" s="1388"/>
      <c r="F85" s="1388" t="s">
        <v>91</v>
      </c>
      <c r="G85" s="1388" t="s">
        <v>178</v>
      </c>
      <c r="H85" s="1478">
        <v>237682</v>
      </c>
      <c r="I85" s="1478">
        <v>237682</v>
      </c>
      <c r="J85" s="1460"/>
      <c r="K85" s="1460"/>
      <c r="L85" s="1460"/>
      <c r="M85" s="1460"/>
      <c r="N85" s="1479">
        <f t="shared" si="78"/>
        <v>6038</v>
      </c>
      <c r="O85" s="1480">
        <v>6038</v>
      </c>
      <c r="P85" s="1479"/>
      <c r="Q85" s="1480"/>
      <c r="R85" s="1454"/>
      <c r="S85" s="1454"/>
      <c r="T85" s="1479"/>
      <c r="U85" s="1480"/>
      <c r="V85" s="1454"/>
      <c r="W85" s="1454"/>
      <c r="X85" s="1479"/>
      <c r="Y85" s="1480"/>
      <c r="Z85" s="1460"/>
      <c r="AA85" s="1460"/>
      <c r="AB85" s="1460">
        <v>0</v>
      </c>
      <c r="AC85" s="1460">
        <v>0</v>
      </c>
      <c r="AD85" s="1460"/>
      <c r="AE85" s="1460"/>
      <c r="AF85" s="1383">
        <f t="shared" si="14"/>
        <v>0</v>
      </c>
      <c r="AG85" s="1383">
        <f t="shared" si="15"/>
        <v>0</v>
      </c>
      <c r="AH85" s="1383">
        <f t="shared" si="25"/>
        <v>0</v>
      </c>
      <c r="AI85" s="1383"/>
      <c r="AJ85" s="1383"/>
      <c r="AK85" s="1383"/>
      <c r="AL85" s="1383"/>
      <c r="AM85" s="1383"/>
      <c r="AN85" s="1464"/>
      <c r="AO85" s="1464"/>
      <c r="AP85" s="1431">
        <f t="shared" si="76"/>
        <v>0</v>
      </c>
      <c r="AQ85" s="1431">
        <f t="shared" si="63"/>
        <v>0</v>
      </c>
      <c r="AR85" s="1434"/>
      <c r="AS85" s="1434"/>
      <c r="BD85" s="1436">
        <f t="shared" si="68"/>
        <v>1</v>
      </c>
    </row>
    <row r="86" spans="1:57" ht="77.25" customHeight="1" x14ac:dyDescent="0.3">
      <c r="A86" s="1457"/>
      <c r="B86" s="1457"/>
      <c r="C86" s="1477" t="s">
        <v>179</v>
      </c>
      <c r="D86" s="1470"/>
      <c r="E86" s="1388"/>
      <c r="F86" s="1388" t="s">
        <v>180</v>
      </c>
      <c r="G86" s="1388" t="s">
        <v>181</v>
      </c>
      <c r="H86" s="1478">
        <v>431152</v>
      </c>
      <c r="I86" s="1478">
        <v>431152</v>
      </c>
      <c r="J86" s="1460"/>
      <c r="K86" s="1460"/>
      <c r="L86" s="1460"/>
      <c r="M86" s="1460"/>
      <c r="N86" s="1479">
        <f t="shared" si="78"/>
        <v>23865</v>
      </c>
      <c r="O86" s="1480">
        <v>23865</v>
      </c>
      <c r="P86" s="1479"/>
      <c r="Q86" s="1480"/>
      <c r="R86" s="1454"/>
      <c r="S86" s="1454"/>
      <c r="T86" s="1479"/>
      <c r="U86" s="1480"/>
      <c r="V86" s="1454"/>
      <c r="W86" s="1454"/>
      <c r="X86" s="1479"/>
      <c r="Y86" s="1480"/>
      <c r="Z86" s="1460"/>
      <c r="AA86" s="1460"/>
      <c r="AB86" s="1460">
        <v>0</v>
      </c>
      <c r="AC86" s="1460">
        <v>0</v>
      </c>
      <c r="AD86" s="1460"/>
      <c r="AE86" s="1460"/>
      <c r="AF86" s="1383">
        <f t="shared" si="14"/>
        <v>0</v>
      </c>
      <c r="AG86" s="1383">
        <f t="shared" si="15"/>
        <v>0</v>
      </c>
      <c r="AH86" s="1383">
        <f t="shared" si="25"/>
        <v>0</v>
      </c>
      <c r="AI86" s="1383"/>
      <c r="AJ86" s="1383"/>
      <c r="AK86" s="1383"/>
      <c r="AL86" s="1383"/>
      <c r="AM86" s="1383"/>
      <c r="AN86" s="1464"/>
      <c r="AO86" s="1464"/>
      <c r="AP86" s="1431">
        <f t="shared" si="76"/>
        <v>0</v>
      </c>
      <c r="AQ86" s="1431">
        <f t="shared" si="63"/>
        <v>0</v>
      </c>
      <c r="AR86" s="1434"/>
      <c r="AS86" s="1434"/>
      <c r="BD86" s="1436">
        <f t="shared" si="68"/>
        <v>1</v>
      </c>
    </row>
    <row r="87" spans="1:57" ht="66.75" customHeight="1" x14ac:dyDescent="0.3">
      <c r="A87" s="1457"/>
      <c r="B87" s="1457"/>
      <c r="C87" s="1477" t="s">
        <v>182</v>
      </c>
      <c r="D87" s="1470"/>
      <c r="E87" s="1388"/>
      <c r="F87" s="1388" t="s">
        <v>183</v>
      </c>
      <c r="G87" s="1388" t="s">
        <v>184</v>
      </c>
      <c r="H87" s="1478">
        <v>1492</v>
      </c>
      <c r="I87" s="1478">
        <v>1492</v>
      </c>
      <c r="J87" s="1481">
        <v>522</v>
      </c>
      <c r="K87" s="1481">
        <v>522</v>
      </c>
      <c r="L87" s="1481">
        <v>522</v>
      </c>
      <c r="M87" s="1481">
        <v>522</v>
      </c>
      <c r="N87" s="1479">
        <f t="shared" si="78"/>
        <v>582</v>
      </c>
      <c r="O87" s="1480">
        <v>582</v>
      </c>
      <c r="P87" s="1479">
        <f>Q87</f>
        <v>800</v>
      </c>
      <c r="Q87" s="1480">
        <v>800</v>
      </c>
      <c r="R87" s="1454"/>
      <c r="S87" s="1454"/>
      <c r="T87" s="1479">
        <f>U87</f>
        <v>800</v>
      </c>
      <c r="U87" s="1480">
        <v>800</v>
      </c>
      <c r="V87" s="1454"/>
      <c r="W87" s="1454"/>
      <c r="X87" s="1479">
        <f>Y87</f>
        <v>800</v>
      </c>
      <c r="Y87" s="1480">
        <v>800</v>
      </c>
      <c r="Z87" s="1460"/>
      <c r="AA87" s="1460"/>
      <c r="AB87" s="1481">
        <v>800</v>
      </c>
      <c r="AC87" s="1481">
        <v>800</v>
      </c>
      <c r="AD87" s="1481"/>
      <c r="AE87" s="1481"/>
      <c r="AF87" s="1383">
        <f t="shared" si="14"/>
        <v>800</v>
      </c>
      <c r="AG87" s="1383">
        <f t="shared" si="15"/>
        <v>800</v>
      </c>
      <c r="AH87" s="1383">
        <f t="shared" si="25"/>
        <v>0</v>
      </c>
      <c r="AI87" s="1383"/>
      <c r="AJ87" s="1383"/>
      <c r="AK87" s="1383"/>
      <c r="AL87" s="1383"/>
      <c r="AM87" s="1383"/>
      <c r="AN87" s="1464"/>
      <c r="AO87" s="1464"/>
      <c r="AP87" s="1431">
        <f t="shared" si="76"/>
        <v>0</v>
      </c>
      <c r="AQ87" s="1431">
        <f t="shared" si="63"/>
        <v>1</v>
      </c>
      <c r="AR87" s="1434"/>
      <c r="AS87" s="1434"/>
      <c r="BD87" s="1436">
        <f t="shared" si="68"/>
        <v>1</v>
      </c>
    </row>
    <row r="88" spans="1:57" ht="78" customHeight="1" x14ac:dyDescent="0.3">
      <c r="A88" s="1457"/>
      <c r="B88" s="1457"/>
      <c r="C88" s="1477" t="s">
        <v>185</v>
      </c>
      <c r="D88" s="1470"/>
      <c r="E88" s="1388"/>
      <c r="F88" s="1388" t="s">
        <v>180</v>
      </c>
      <c r="G88" s="1388" t="s">
        <v>186</v>
      </c>
      <c r="H88" s="1478">
        <v>64042</v>
      </c>
      <c r="I88" s="1478">
        <f>H88</f>
        <v>64042</v>
      </c>
      <c r="J88" s="1481">
        <f t="shared" ref="J88:L90" si="82">K88</f>
        <v>34045</v>
      </c>
      <c r="K88" s="1481">
        <v>34045</v>
      </c>
      <c r="L88" s="1481">
        <f t="shared" si="82"/>
        <v>34045</v>
      </c>
      <c r="M88" s="1481">
        <v>34045</v>
      </c>
      <c r="N88" s="1479"/>
      <c r="O88" s="1480"/>
      <c r="P88" s="1479">
        <f>Q88</f>
        <v>18000</v>
      </c>
      <c r="Q88" s="1480">
        <v>18000</v>
      </c>
      <c r="R88" s="1454"/>
      <c r="S88" s="1454"/>
      <c r="T88" s="1479">
        <f>U88</f>
        <v>18000</v>
      </c>
      <c r="U88" s="1480">
        <v>18000</v>
      </c>
      <c r="V88" s="1454"/>
      <c r="W88" s="1454"/>
      <c r="X88" s="1479">
        <f>Y88</f>
        <v>18000</v>
      </c>
      <c r="Y88" s="1480">
        <v>18000</v>
      </c>
      <c r="Z88" s="1460"/>
      <c r="AA88" s="1460"/>
      <c r="AB88" s="1481">
        <v>18000</v>
      </c>
      <c r="AC88" s="1481">
        <v>18000</v>
      </c>
      <c r="AD88" s="1481"/>
      <c r="AE88" s="1481"/>
      <c r="AF88" s="1383">
        <f t="shared" si="14"/>
        <v>18000</v>
      </c>
      <c r="AG88" s="1383">
        <f t="shared" si="15"/>
        <v>18000</v>
      </c>
      <c r="AH88" s="1383">
        <f t="shared" si="25"/>
        <v>0</v>
      </c>
      <c r="AI88" s="1383"/>
      <c r="AJ88" s="1383"/>
      <c r="AK88" s="1383"/>
      <c r="AL88" s="1383"/>
      <c r="AM88" s="1383"/>
      <c r="AN88" s="1464"/>
      <c r="AO88" s="1464"/>
      <c r="AP88" s="1431">
        <f t="shared" si="76"/>
        <v>0</v>
      </c>
      <c r="AQ88" s="1431">
        <f t="shared" si="63"/>
        <v>1</v>
      </c>
      <c r="AR88" s="1434"/>
      <c r="AS88" s="1434"/>
      <c r="BD88" s="1436">
        <f t="shared" si="68"/>
        <v>1</v>
      </c>
    </row>
    <row r="89" spans="1:57" ht="82.5" customHeight="1" x14ac:dyDescent="0.3">
      <c r="A89" s="1457"/>
      <c r="B89" s="1457"/>
      <c r="C89" s="1477" t="s">
        <v>187</v>
      </c>
      <c r="D89" s="1470"/>
      <c r="E89" s="1388"/>
      <c r="F89" s="1388" t="s">
        <v>180</v>
      </c>
      <c r="G89" s="1388" t="s">
        <v>188</v>
      </c>
      <c r="H89" s="1478">
        <v>15983</v>
      </c>
      <c r="I89" s="1478">
        <f t="shared" ref="I89:I91" si="83">H89</f>
        <v>15983</v>
      </c>
      <c r="J89" s="1481">
        <f t="shared" si="82"/>
        <v>11573</v>
      </c>
      <c r="K89" s="1481">
        <v>11573</v>
      </c>
      <c r="L89" s="1481">
        <f t="shared" si="82"/>
        <v>11573</v>
      </c>
      <c r="M89" s="1481">
        <v>11573</v>
      </c>
      <c r="N89" s="1479"/>
      <c r="O89" s="1480"/>
      <c r="P89" s="1479">
        <f t="shared" ref="P89:P90" si="84">Q89</f>
        <v>2800</v>
      </c>
      <c r="Q89" s="1480">
        <v>2800</v>
      </c>
      <c r="R89" s="1454"/>
      <c r="S89" s="1454"/>
      <c r="T89" s="1479">
        <f t="shared" ref="T89:T90" si="85">U89</f>
        <v>2800</v>
      </c>
      <c r="U89" s="1480">
        <v>2800</v>
      </c>
      <c r="V89" s="1454"/>
      <c r="W89" s="1454"/>
      <c r="X89" s="1479">
        <f t="shared" ref="X89:X90" si="86">Y89</f>
        <v>2800</v>
      </c>
      <c r="Y89" s="1480">
        <v>2800</v>
      </c>
      <c r="Z89" s="1460"/>
      <c r="AA89" s="1460"/>
      <c r="AB89" s="1481">
        <v>2800</v>
      </c>
      <c r="AC89" s="1481">
        <v>2800</v>
      </c>
      <c r="AD89" s="1481"/>
      <c r="AE89" s="1481"/>
      <c r="AF89" s="1383">
        <f t="shared" si="14"/>
        <v>2800</v>
      </c>
      <c r="AG89" s="1383">
        <f t="shared" si="15"/>
        <v>2800</v>
      </c>
      <c r="AH89" s="1383">
        <f t="shared" si="25"/>
        <v>0</v>
      </c>
      <c r="AI89" s="1383"/>
      <c r="AJ89" s="1383"/>
      <c r="AK89" s="1383"/>
      <c r="AL89" s="1383"/>
      <c r="AM89" s="1383"/>
      <c r="AN89" s="1464"/>
      <c r="AO89" s="1464"/>
      <c r="AP89" s="1431">
        <f t="shared" si="76"/>
        <v>0</v>
      </c>
      <c r="AQ89" s="1431">
        <f t="shared" si="63"/>
        <v>1</v>
      </c>
      <c r="AR89" s="1434"/>
      <c r="AS89" s="1434"/>
      <c r="BD89" s="1436">
        <f t="shared" si="68"/>
        <v>1</v>
      </c>
    </row>
    <row r="90" spans="1:57" ht="80.25" customHeight="1" x14ac:dyDescent="0.3">
      <c r="A90" s="1457"/>
      <c r="B90" s="1457"/>
      <c r="C90" s="1477" t="s">
        <v>189</v>
      </c>
      <c r="D90" s="1470"/>
      <c r="E90" s="1388"/>
      <c r="F90" s="1388" t="s">
        <v>180</v>
      </c>
      <c r="G90" s="1388" t="s">
        <v>190</v>
      </c>
      <c r="H90" s="1478">
        <v>20599</v>
      </c>
      <c r="I90" s="1478">
        <f t="shared" si="83"/>
        <v>20599</v>
      </c>
      <c r="J90" s="1481">
        <f t="shared" si="82"/>
        <v>9559</v>
      </c>
      <c r="K90" s="1481">
        <v>9559</v>
      </c>
      <c r="L90" s="1481">
        <f t="shared" si="82"/>
        <v>9559</v>
      </c>
      <c r="M90" s="1481">
        <v>9559</v>
      </c>
      <c r="N90" s="1479"/>
      <c r="O90" s="1480"/>
      <c r="P90" s="1479">
        <f t="shared" si="84"/>
        <v>8900</v>
      </c>
      <c r="Q90" s="1480">
        <v>8900</v>
      </c>
      <c r="R90" s="1454"/>
      <c r="S90" s="1454"/>
      <c r="T90" s="1479">
        <f t="shared" si="85"/>
        <v>8900</v>
      </c>
      <c r="U90" s="1480">
        <v>8900</v>
      </c>
      <c r="V90" s="1454"/>
      <c r="W90" s="1454"/>
      <c r="X90" s="1479">
        <f t="shared" si="86"/>
        <v>8900</v>
      </c>
      <c r="Y90" s="1480">
        <v>8900</v>
      </c>
      <c r="Z90" s="1460"/>
      <c r="AA90" s="1460"/>
      <c r="AB90" s="1481">
        <v>8900</v>
      </c>
      <c r="AC90" s="1481">
        <v>8900</v>
      </c>
      <c r="AD90" s="1481"/>
      <c r="AE90" s="1481"/>
      <c r="AF90" s="1383">
        <f t="shared" si="14"/>
        <v>8900</v>
      </c>
      <c r="AG90" s="1383">
        <f t="shared" si="15"/>
        <v>8900</v>
      </c>
      <c r="AH90" s="1383">
        <f t="shared" si="25"/>
        <v>0</v>
      </c>
      <c r="AI90" s="1383"/>
      <c r="AJ90" s="1383"/>
      <c r="AK90" s="1383"/>
      <c r="AL90" s="1383"/>
      <c r="AM90" s="1383"/>
      <c r="AN90" s="1464"/>
      <c r="AO90" s="1464"/>
      <c r="AP90" s="1431">
        <f t="shared" si="76"/>
        <v>0</v>
      </c>
      <c r="AQ90" s="1431">
        <f t="shared" si="63"/>
        <v>1</v>
      </c>
      <c r="AR90" s="1434"/>
      <c r="AS90" s="1434"/>
      <c r="BD90" s="1436">
        <f t="shared" si="68"/>
        <v>1</v>
      </c>
    </row>
    <row r="91" spans="1:57" ht="81.75" customHeight="1" x14ac:dyDescent="0.3">
      <c r="A91" s="1457"/>
      <c r="B91" s="1457"/>
      <c r="C91" s="1477" t="s">
        <v>191</v>
      </c>
      <c r="D91" s="1470"/>
      <c r="E91" s="1388"/>
      <c r="F91" s="1388" t="s">
        <v>180</v>
      </c>
      <c r="G91" s="1388" t="s">
        <v>192</v>
      </c>
      <c r="H91" s="1478">
        <v>1743</v>
      </c>
      <c r="I91" s="1478">
        <f t="shared" si="83"/>
        <v>1743</v>
      </c>
      <c r="J91" s="1481">
        <f>K91</f>
        <v>1688</v>
      </c>
      <c r="K91" s="1481">
        <v>1688</v>
      </c>
      <c r="L91" s="1481">
        <f>M91</f>
        <v>1688</v>
      </c>
      <c r="M91" s="1481">
        <v>1688</v>
      </c>
      <c r="N91" s="1479"/>
      <c r="O91" s="1480"/>
      <c r="P91" s="1479"/>
      <c r="Q91" s="1480"/>
      <c r="R91" s="1454"/>
      <c r="S91" s="1454"/>
      <c r="T91" s="1479"/>
      <c r="U91" s="1480"/>
      <c r="V91" s="1454"/>
      <c r="W91" s="1454"/>
      <c r="X91" s="1479"/>
      <c r="Y91" s="1480"/>
      <c r="Z91" s="1460"/>
      <c r="AA91" s="1460"/>
      <c r="AB91" s="1460">
        <v>0</v>
      </c>
      <c r="AC91" s="1460">
        <v>0</v>
      </c>
      <c r="AD91" s="1460"/>
      <c r="AE91" s="1460"/>
      <c r="AF91" s="1383">
        <f t="shared" si="14"/>
        <v>0</v>
      </c>
      <c r="AG91" s="1383">
        <f t="shared" si="15"/>
        <v>0</v>
      </c>
      <c r="AH91" s="1383">
        <f t="shared" si="25"/>
        <v>0</v>
      </c>
      <c r="AI91" s="1383"/>
      <c r="AJ91" s="1383"/>
      <c r="AK91" s="1383"/>
      <c r="AL91" s="1383"/>
      <c r="AM91" s="1383"/>
      <c r="AN91" s="1464"/>
      <c r="AO91" s="1464"/>
      <c r="AP91" s="1431">
        <f t="shared" si="76"/>
        <v>0</v>
      </c>
      <c r="AQ91" s="1431">
        <f t="shared" si="63"/>
        <v>0</v>
      </c>
      <c r="AR91" s="1434"/>
      <c r="AS91" s="1434"/>
      <c r="BD91" s="1436">
        <f t="shared" si="68"/>
        <v>1</v>
      </c>
    </row>
    <row r="92" spans="1:57" ht="50.25" customHeight="1" x14ac:dyDescent="0.3">
      <c r="A92" s="1457"/>
      <c r="B92" s="1461" t="s">
        <v>3459</v>
      </c>
      <c r="C92" s="1477" t="s">
        <v>2729</v>
      </c>
      <c r="D92" s="1470"/>
      <c r="E92" s="1388"/>
      <c r="F92" s="1388"/>
      <c r="G92" s="1388"/>
      <c r="H92" s="1478"/>
      <c r="I92" s="1478"/>
      <c r="J92" s="1481"/>
      <c r="K92" s="1481"/>
      <c r="L92" s="1481"/>
      <c r="M92" s="1481"/>
      <c r="N92" s="1479"/>
      <c r="O92" s="1480"/>
      <c r="P92" s="1479"/>
      <c r="Q92" s="1480"/>
      <c r="R92" s="1454"/>
      <c r="S92" s="1454"/>
      <c r="T92" s="1479"/>
      <c r="U92" s="1480"/>
      <c r="V92" s="1454"/>
      <c r="W92" s="1454"/>
      <c r="X92" s="1479"/>
      <c r="Y92" s="1480"/>
      <c r="Z92" s="1460"/>
      <c r="AA92" s="1460"/>
      <c r="AB92" s="1460">
        <v>1174</v>
      </c>
      <c r="AC92" s="1460">
        <v>1174</v>
      </c>
      <c r="AD92" s="1460"/>
      <c r="AE92" s="1460"/>
      <c r="AF92" s="1383">
        <f t="shared" si="14"/>
        <v>1174</v>
      </c>
      <c r="AG92" s="1383">
        <f>AC92</f>
        <v>1174</v>
      </c>
      <c r="AH92" s="1383">
        <f t="shared" si="25"/>
        <v>0</v>
      </c>
      <c r="AI92" s="1383"/>
      <c r="AJ92" s="1383"/>
      <c r="AK92" s="1383"/>
      <c r="AL92" s="1383"/>
      <c r="AM92" s="1383"/>
      <c r="AN92" s="1381" t="s">
        <v>2730</v>
      </c>
      <c r="AO92" s="1381"/>
      <c r="AP92" s="1431">
        <f t="shared" si="76"/>
        <v>0</v>
      </c>
      <c r="AQ92" s="1431"/>
      <c r="AR92" s="1434"/>
      <c r="AS92" s="1434"/>
      <c r="BD92" s="1436"/>
    </row>
    <row r="93" spans="1:57" ht="136.5" customHeight="1" x14ac:dyDescent="0.3">
      <c r="A93" s="1461" t="s">
        <v>2828</v>
      </c>
      <c r="B93" s="1457"/>
      <c r="C93" s="1462" t="s">
        <v>193</v>
      </c>
      <c r="D93" s="1388" t="s">
        <v>194</v>
      </c>
      <c r="E93" s="1388" t="s">
        <v>195</v>
      </c>
      <c r="F93" s="1482" t="s">
        <v>72</v>
      </c>
      <c r="G93" s="1388" t="s">
        <v>196</v>
      </c>
      <c r="H93" s="1476">
        <f>I93</f>
        <v>14678</v>
      </c>
      <c r="I93" s="1476">
        <v>14678</v>
      </c>
      <c r="J93" s="1460">
        <f>K93</f>
        <v>3460</v>
      </c>
      <c r="K93" s="1476">
        <v>3460</v>
      </c>
      <c r="L93" s="1460">
        <f>M93</f>
        <v>3460</v>
      </c>
      <c r="M93" s="1460">
        <f>K93</f>
        <v>3460</v>
      </c>
      <c r="N93" s="1463">
        <f t="shared" si="78"/>
        <v>3900</v>
      </c>
      <c r="O93" s="1460">
        <v>3900</v>
      </c>
      <c r="P93" s="1463">
        <f t="shared" si="79"/>
        <v>4650</v>
      </c>
      <c r="Q93" s="1460">
        <v>4650</v>
      </c>
      <c r="R93" s="1454">
        <f>U93-O93</f>
        <v>750</v>
      </c>
      <c r="S93" s="1454"/>
      <c r="T93" s="1463">
        <f t="shared" ref="T93:T94" si="87">U93</f>
        <v>4650</v>
      </c>
      <c r="U93" s="1460">
        <v>4650</v>
      </c>
      <c r="V93" s="1454"/>
      <c r="W93" s="1454"/>
      <c r="X93" s="1463">
        <f t="shared" ref="X93:X94" si="88">Y93</f>
        <v>4650</v>
      </c>
      <c r="Y93" s="1460">
        <v>4650</v>
      </c>
      <c r="Z93" s="1460">
        <v>0</v>
      </c>
      <c r="AA93" s="1460">
        <v>0</v>
      </c>
      <c r="AB93" s="1460">
        <v>4650</v>
      </c>
      <c r="AC93" s="1460">
        <v>4650</v>
      </c>
      <c r="AD93" s="1460"/>
      <c r="AE93" s="1460"/>
      <c r="AF93" s="1383">
        <f t="shared" si="14"/>
        <v>4650</v>
      </c>
      <c r="AG93" s="1383">
        <f t="shared" si="15"/>
        <v>4650</v>
      </c>
      <c r="AH93" s="1383">
        <f t="shared" si="25"/>
        <v>3898</v>
      </c>
      <c r="AI93" s="1383">
        <v>3898</v>
      </c>
      <c r="AJ93" s="1383"/>
      <c r="AK93" s="1383"/>
      <c r="AL93" s="1383"/>
      <c r="AM93" s="1383"/>
      <c r="AN93" s="1381"/>
      <c r="AO93" s="1381"/>
      <c r="AP93" s="1431">
        <f t="shared" si="76"/>
        <v>0</v>
      </c>
      <c r="AQ93" s="1431">
        <f t="shared" ref="AQ93:AQ124" si="89">IF(Y93=0,0,1)</f>
        <v>1</v>
      </c>
      <c r="AR93" s="1434">
        <f t="shared" si="16"/>
        <v>0</v>
      </c>
      <c r="AS93" s="1434"/>
      <c r="AT93" s="1427">
        <f>IF(AP93=0,1,0)</f>
        <v>1</v>
      </c>
      <c r="AV93" s="1427">
        <f>IF(Q93=0,1,0)</f>
        <v>0</v>
      </c>
      <c r="AW93" s="1427">
        <f t="shared" ref="AW93:AW108" si="90">IF(AV93=1,O93,0)</f>
        <v>0</v>
      </c>
      <c r="AX93" s="1427">
        <f>IF(O93=0,1,0)</f>
        <v>0</v>
      </c>
      <c r="AY93" s="1427">
        <f t="shared" ref="AY93:AY124" si="91">IF(AX93=1,Q93,0)</f>
        <v>0</v>
      </c>
      <c r="AZ93" s="1427">
        <f>IF(R93=0,0,1)</f>
        <v>1</v>
      </c>
      <c r="BA93" s="1427">
        <f t="shared" ref="BA93:BA140" si="92">IF(AZ93=1,R93,0)</f>
        <v>750</v>
      </c>
      <c r="BB93" s="1427">
        <f>IF(S93=0,0,1)</f>
        <v>0</v>
      </c>
      <c r="BC93" s="1427">
        <f t="shared" ref="BC93:BC108" si="93">IF(BB93=1,S93,0)</f>
        <v>0</v>
      </c>
      <c r="BD93" s="1436">
        <f t="shared" ref="BD93:BD124" si="94">IF(I93-Y93&gt;=0,1,0)</f>
        <v>1</v>
      </c>
    </row>
    <row r="94" spans="1:57" ht="63.75" customHeight="1" x14ac:dyDescent="0.3">
      <c r="A94" s="1461" t="s">
        <v>2829</v>
      </c>
      <c r="B94" s="1457"/>
      <c r="C94" s="1462" t="s">
        <v>197</v>
      </c>
      <c r="D94" s="1388" t="s">
        <v>58</v>
      </c>
      <c r="E94" s="1388" t="s">
        <v>198</v>
      </c>
      <c r="F94" s="1482" t="s">
        <v>199</v>
      </c>
      <c r="G94" s="1388" t="s">
        <v>200</v>
      </c>
      <c r="H94" s="1476">
        <v>7628</v>
      </c>
      <c r="I94" s="1476">
        <v>7628</v>
      </c>
      <c r="J94" s="1460">
        <v>3000</v>
      </c>
      <c r="K94" s="1476"/>
      <c r="L94" s="1460">
        <v>3000</v>
      </c>
      <c r="M94" s="1460"/>
      <c r="N94" s="1463">
        <f t="shared" si="78"/>
        <v>3300</v>
      </c>
      <c r="O94" s="1460">
        <v>3300</v>
      </c>
      <c r="P94" s="1463">
        <f t="shared" si="79"/>
        <v>4300</v>
      </c>
      <c r="Q94" s="1460">
        <v>4300</v>
      </c>
      <c r="R94" s="1454">
        <f>U94-O94</f>
        <v>1000</v>
      </c>
      <c r="S94" s="1454"/>
      <c r="T94" s="1463">
        <f t="shared" si="87"/>
        <v>4300</v>
      </c>
      <c r="U94" s="1460">
        <v>4300</v>
      </c>
      <c r="V94" s="1454"/>
      <c r="W94" s="1454"/>
      <c r="X94" s="1463">
        <f t="shared" si="88"/>
        <v>4300</v>
      </c>
      <c r="Y94" s="1460">
        <v>4300</v>
      </c>
      <c r="Z94" s="1460">
        <v>0</v>
      </c>
      <c r="AA94" s="1460">
        <v>0</v>
      </c>
      <c r="AB94" s="1460">
        <v>4300</v>
      </c>
      <c r="AC94" s="1460">
        <v>4300</v>
      </c>
      <c r="AD94" s="1460"/>
      <c r="AE94" s="1460"/>
      <c r="AF94" s="1383">
        <f t="shared" si="14"/>
        <v>4300</v>
      </c>
      <c r="AG94" s="1383">
        <f t="shared" si="15"/>
        <v>4300</v>
      </c>
      <c r="AH94" s="1383">
        <f t="shared" si="25"/>
        <v>0</v>
      </c>
      <c r="AI94" s="1383"/>
      <c r="AJ94" s="1383"/>
      <c r="AK94" s="1383"/>
      <c r="AL94" s="1383"/>
      <c r="AM94" s="1383"/>
      <c r="AN94" s="1381"/>
      <c r="AO94" s="1381"/>
      <c r="AP94" s="1431">
        <f t="shared" si="76"/>
        <v>0</v>
      </c>
      <c r="AQ94" s="1431">
        <f t="shared" si="89"/>
        <v>1</v>
      </c>
      <c r="AR94" s="1434">
        <f t="shared" si="16"/>
        <v>0</v>
      </c>
      <c r="AS94" s="1434"/>
      <c r="AT94" s="1427">
        <f>IF(AP94=0,1,0)</f>
        <v>1</v>
      </c>
      <c r="AV94" s="1427">
        <f>IF(Q94=0,1,0)</f>
        <v>0</v>
      </c>
      <c r="AW94" s="1427">
        <f t="shared" si="90"/>
        <v>0</v>
      </c>
      <c r="AX94" s="1427">
        <f>IF(O94=0,1,0)</f>
        <v>0</v>
      </c>
      <c r="AY94" s="1427">
        <f t="shared" si="91"/>
        <v>0</v>
      </c>
      <c r="AZ94" s="1427">
        <f>IF(R94=0,0,1)</f>
        <v>1</v>
      </c>
      <c r="BA94" s="1427">
        <f t="shared" si="92"/>
        <v>1000</v>
      </c>
      <c r="BB94" s="1427">
        <f>IF(S94=0,0,1)</f>
        <v>0</v>
      </c>
      <c r="BC94" s="1427">
        <f t="shared" si="93"/>
        <v>0</v>
      </c>
      <c r="BD94" s="1436">
        <f t="shared" si="94"/>
        <v>1</v>
      </c>
    </row>
    <row r="95" spans="1:57" ht="60.75" customHeight="1" x14ac:dyDescent="0.3">
      <c r="A95" s="1827" t="s">
        <v>2830</v>
      </c>
      <c r="B95" s="1827" t="s">
        <v>2830</v>
      </c>
      <c r="C95" s="1446" t="s">
        <v>86</v>
      </c>
      <c r="D95" s="1447"/>
      <c r="E95" s="1447"/>
      <c r="F95" s="1448"/>
      <c r="G95" s="1448"/>
      <c r="H95" s="1449">
        <f t="shared" ref="H95:X95" si="95">H96+H149</f>
        <v>1738599</v>
      </c>
      <c r="I95" s="1449">
        <f t="shared" si="95"/>
        <v>1153599</v>
      </c>
      <c r="J95" s="1449">
        <f t="shared" si="95"/>
        <v>0</v>
      </c>
      <c r="K95" s="1449">
        <f t="shared" si="95"/>
        <v>0</v>
      </c>
      <c r="L95" s="1449">
        <f t="shared" si="95"/>
        <v>0</v>
      </c>
      <c r="M95" s="1449">
        <f t="shared" si="95"/>
        <v>0</v>
      </c>
      <c r="N95" s="1449">
        <f t="shared" si="95"/>
        <v>325889.2</v>
      </c>
      <c r="O95" s="1449">
        <f t="shared" si="95"/>
        <v>325889.2</v>
      </c>
      <c r="P95" s="1449">
        <f t="shared" si="95"/>
        <v>320550</v>
      </c>
      <c r="Q95" s="1449">
        <f t="shared" si="95"/>
        <v>320550</v>
      </c>
      <c r="R95" s="1449">
        <f t="shared" si="95"/>
        <v>48158</v>
      </c>
      <c r="S95" s="1449">
        <f t="shared" si="95"/>
        <v>84269.2</v>
      </c>
      <c r="T95" s="1449">
        <f t="shared" si="95"/>
        <v>883508</v>
      </c>
      <c r="U95" s="1449">
        <f t="shared" si="95"/>
        <v>298508</v>
      </c>
      <c r="V95" s="1449">
        <f t="shared" si="95"/>
        <v>200070</v>
      </c>
      <c r="W95" s="1449">
        <f t="shared" si="95"/>
        <v>53088</v>
      </c>
      <c r="X95" s="1449">
        <f t="shared" si="95"/>
        <v>1030490</v>
      </c>
      <c r="Y95" s="1449">
        <f>Y96+Y149</f>
        <v>445490</v>
      </c>
      <c r="Z95" s="1449">
        <v>91600</v>
      </c>
      <c r="AA95" s="1449">
        <v>0</v>
      </c>
      <c r="AB95" s="1449">
        <v>1151016</v>
      </c>
      <c r="AC95" s="1449">
        <v>566016</v>
      </c>
      <c r="AD95" s="1449">
        <f t="shared" ref="AD95:AM95" si="96">AD96+AD149</f>
        <v>0</v>
      </c>
      <c r="AE95" s="1526">
        <f t="shared" si="96"/>
        <v>0</v>
      </c>
      <c r="AF95" s="1449">
        <f t="shared" si="96"/>
        <v>1201016</v>
      </c>
      <c r="AG95" s="1449">
        <f t="shared" si="96"/>
        <v>566016</v>
      </c>
      <c r="AH95" s="1449">
        <f t="shared" si="96"/>
        <v>471268</v>
      </c>
      <c r="AI95" s="1449">
        <f t="shared" si="96"/>
        <v>29340</v>
      </c>
      <c r="AJ95" s="1449">
        <f t="shared" si="96"/>
        <v>47291</v>
      </c>
      <c r="AK95" s="1449">
        <f t="shared" si="96"/>
        <v>45109</v>
      </c>
      <c r="AL95" s="1449">
        <f t="shared" si="96"/>
        <v>51148</v>
      </c>
      <c r="AM95" s="1449">
        <f t="shared" si="96"/>
        <v>298380</v>
      </c>
      <c r="AN95" s="1450"/>
      <c r="AO95" s="1450"/>
      <c r="AP95" s="1431">
        <f t="shared" si="76"/>
        <v>0</v>
      </c>
      <c r="AQ95" s="1431">
        <f t="shared" si="89"/>
        <v>1</v>
      </c>
      <c r="AR95" s="1434"/>
      <c r="AS95" s="1434"/>
      <c r="AT95" s="1435"/>
      <c r="AW95" s="1427">
        <f t="shared" si="90"/>
        <v>0</v>
      </c>
      <c r="AY95" s="1427">
        <f t="shared" si="91"/>
        <v>0</v>
      </c>
      <c r="BA95" s="1427">
        <f t="shared" si="92"/>
        <v>0</v>
      </c>
      <c r="BC95" s="1427">
        <f t="shared" si="93"/>
        <v>0</v>
      </c>
      <c r="BD95" s="1436">
        <f t="shared" si="94"/>
        <v>1</v>
      </c>
    </row>
    <row r="96" spans="1:57" ht="68.25" customHeight="1" x14ac:dyDescent="0.3">
      <c r="A96" s="1826" t="s">
        <v>2831</v>
      </c>
      <c r="B96" s="1826" t="s">
        <v>2831</v>
      </c>
      <c r="C96" s="1446" t="s">
        <v>88</v>
      </c>
      <c r="D96" s="1448"/>
      <c r="E96" s="1448"/>
      <c r="F96" s="1448"/>
      <c r="G96" s="1448"/>
      <c r="H96" s="1449">
        <f t="shared" ref="H96:M96" si="97">SUM(H97:H148)</f>
        <v>516100</v>
      </c>
      <c r="I96" s="1449">
        <f t="shared" si="97"/>
        <v>516100</v>
      </c>
      <c r="J96" s="1449">
        <f t="shared" si="97"/>
        <v>0</v>
      </c>
      <c r="K96" s="1449">
        <f t="shared" si="97"/>
        <v>0</v>
      </c>
      <c r="L96" s="1449">
        <f t="shared" si="97"/>
        <v>0</v>
      </c>
      <c r="M96" s="1449">
        <f t="shared" si="97"/>
        <v>0</v>
      </c>
      <c r="N96" s="1449">
        <f t="shared" ref="N96:S96" si="98">SUM(N97:N143)</f>
        <v>301770</v>
      </c>
      <c r="O96" s="1449">
        <f t="shared" si="98"/>
        <v>301770</v>
      </c>
      <c r="P96" s="1449">
        <f t="shared" si="98"/>
        <v>299962</v>
      </c>
      <c r="Q96" s="1449">
        <f t="shared" si="98"/>
        <v>299962</v>
      </c>
      <c r="R96" s="1449">
        <f t="shared" si="98"/>
        <v>42700</v>
      </c>
      <c r="S96" s="1449">
        <f t="shared" si="98"/>
        <v>75280</v>
      </c>
      <c r="T96" s="1449">
        <f t="shared" ref="T96:Y96" si="99">SUM(T97:T148)</f>
        <v>277920</v>
      </c>
      <c r="U96" s="1449">
        <f t="shared" si="99"/>
        <v>277920</v>
      </c>
      <c r="V96" s="1449">
        <f t="shared" si="99"/>
        <v>57070</v>
      </c>
      <c r="W96" s="1449">
        <f t="shared" si="99"/>
        <v>32500</v>
      </c>
      <c r="X96" s="1449">
        <f t="shared" si="99"/>
        <v>302490</v>
      </c>
      <c r="Y96" s="1449">
        <f t="shared" si="99"/>
        <v>302490</v>
      </c>
      <c r="Z96" s="1449">
        <v>0</v>
      </c>
      <c r="AA96" s="1449">
        <v>0</v>
      </c>
      <c r="AB96" s="1449">
        <v>281916</v>
      </c>
      <c r="AC96" s="1449">
        <v>281916</v>
      </c>
      <c r="AD96" s="1449">
        <f t="shared" ref="AD96:AM96" si="100">SUM(AD97:AD148)</f>
        <v>0</v>
      </c>
      <c r="AE96" s="1526">
        <f t="shared" si="100"/>
        <v>0</v>
      </c>
      <c r="AF96" s="1449">
        <f t="shared" si="100"/>
        <v>281916</v>
      </c>
      <c r="AG96" s="1449">
        <f t="shared" si="100"/>
        <v>281916</v>
      </c>
      <c r="AH96" s="1449">
        <f t="shared" si="100"/>
        <v>237168</v>
      </c>
      <c r="AI96" s="1449">
        <f t="shared" si="100"/>
        <v>29340</v>
      </c>
      <c r="AJ96" s="1449">
        <f t="shared" si="100"/>
        <v>47291</v>
      </c>
      <c r="AK96" s="1449">
        <f t="shared" si="100"/>
        <v>45109</v>
      </c>
      <c r="AL96" s="1449">
        <f t="shared" si="100"/>
        <v>51148</v>
      </c>
      <c r="AM96" s="1449">
        <f t="shared" si="100"/>
        <v>64280</v>
      </c>
      <c r="AN96" s="1466"/>
      <c r="AO96" s="1466"/>
      <c r="AP96" s="1431">
        <f t="shared" si="76"/>
        <v>0</v>
      </c>
      <c r="AQ96" s="1431">
        <f t="shared" si="89"/>
        <v>1</v>
      </c>
      <c r="AR96" s="1434"/>
      <c r="AS96" s="1434"/>
      <c r="AW96" s="1427">
        <f t="shared" si="90"/>
        <v>0</v>
      </c>
      <c r="AY96" s="1427">
        <f t="shared" si="91"/>
        <v>0</v>
      </c>
      <c r="BA96" s="1427">
        <f t="shared" si="92"/>
        <v>0</v>
      </c>
      <c r="BC96" s="1427">
        <f t="shared" si="93"/>
        <v>0</v>
      </c>
      <c r="BD96" s="1436">
        <f t="shared" si="94"/>
        <v>1</v>
      </c>
      <c r="BE96" s="1331">
        <v>293990</v>
      </c>
    </row>
    <row r="97" spans="1:57" ht="120.75" customHeight="1" x14ac:dyDescent="0.3">
      <c r="A97" s="1461" t="s">
        <v>2832</v>
      </c>
      <c r="B97" s="1457"/>
      <c r="C97" s="1458" t="s">
        <v>201</v>
      </c>
      <c r="D97" s="1388" t="s">
        <v>202</v>
      </c>
      <c r="E97" s="1388" t="s">
        <v>203</v>
      </c>
      <c r="F97" s="1388" t="s">
        <v>97</v>
      </c>
      <c r="G97" s="1388" t="s">
        <v>899</v>
      </c>
      <c r="H97" s="1476">
        <f>I97</f>
        <v>8560</v>
      </c>
      <c r="I97" s="1444">
        <v>8560</v>
      </c>
      <c r="J97" s="1460"/>
      <c r="K97" s="1460"/>
      <c r="L97" s="1460"/>
      <c r="M97" s="1460"/>
      <c r="N97" s="1463">
        <f>O97</f>
        <v>7500</v>
      </c>
      <c r="O97" s="1463">
        <v>7500</v>
      </c>
      <c r="P97" s="1463">
        <f>Q97</f>
        <v>8000</v>
      </c>
      <c r="Q97" s="1463">
        <v>8000</v>
      </c>
      <c r="R97" s="1463">
        <f t="shared" ref="R97" si="101">U97-O97</f>
        <v>500</v>
      </c>
      <c r="S97" s="1463"/>
      <c r="T97" s="1463">
        <f>U97</f>
        <v>8000</v>
      </c>
      <c r="U97" s="1463">
        <v>8000</v>
      </c>
      <c r="V97" s="1463"/>
      <c r="W97" s="1463"/>
      <c r="X97" s="1463">
        <f>Y97</f>
        <v>8000</v>
      </c>
      <c r="Y97" s="1463">
        <v>8000</v>
      </c>
      <c r="Z97" s="1460">
        <v>0</v>
      </c>
      <c r="AA97" s="1460">
        <v>0</v>
      </c>
      <c r="AB97" s="1460">
        <v>8000</v>
      </c>
      <c r="AC97" s="1460">
        <v>8000</v>
      </c>
      <c r="AD97" s="1460"/>
      <c r="AE97" s="1460"/>
      <c r="AF97" s="1383">
        <f t="shared" si="14"/>
        <v>8000</v>
      </c>
      <c r="AG97" s="1383">
        <f t="shared" si="15"/>
        <v>8000</v>
      </c>
      <c r="AH97" s="1383">
        <f t="shared" si="25"/>
        <v>7700</v>
      </c>
      <c r="AI97" s="1383">
        <v>6000</v>
      </c>
      <c r="AJ97" s="1383">
        <v>1700</v>
      </c>
      <c r="AK97" s="1383"/>
      <c r="AL97" s="1383"/>
      <c r="AM97" s="1383"/>
      <c r="AN97" s="1381"/>
      <c r="AO97" s="1381"/>
      <c r="AP97" s="1431">
        <f t="shared" si="76"/>
        <v>0</v>
      </c>
      <c r="AQ97" s="1431">
        <f t="shared" si="89"/>
        <v>1</v>
      </c>
      <c r="AR97" s="1434">
        <f t="shared" si="16"/>
        <v>0</v>
      </c>
      <c r="AS97" s="1434"/>
      <c r="AT97" s="1427">
        <f t="shared" ref="AT97:AT143" si="102">IF(AP97=0,1,0)</f>
        <v>1</v>
      </c>
      <c r="AV97" s="1427">
        <f t="shared" ref="AV97:AV108" si="103">IF(Q97=0,1,0)</f>
        <v>0</v>
      </c>
      <c r="AW97" s="1427">
        <f t="shared" si="90"/>
        <v>0</v>
      </c>
      <c r="AX97" s="1427">
        <f t="shared" ref="AX97:AX143" si="104">IF(O97=0,1,0)</f>
        <v>0</v>
      </c>
      <c r="AY97" s="1427">
        <f t="shared" si="91"/>
        <v>0</v>
      </c>
      <c r="AZ97" s="1427">
        <f t="shared" ref="AZ97:AZ140" si="105">IF(R97=0,0,1)</f>
        <v>1</v>
      </c>
      <c r="BA97" s="1427">
        <f t="shared" si="92"/>
        <v>500</v>
      </c>
      <c r="BB97" s="1427">
        <f t="shared" ref="BB97:BB108" si="106">IF(S97=0,0,1)</f>
        <v>0</v>
      </c>
      <c r="BC97" s="1427">
        <f t="shared" si="93"/>
        <v>0</v>
      </c>
      <c r="BD97" s="1436">
        <f t="shared" si="94"/>
        <v>1</v>
      </c>
      <c r="BE97" s="1331">
        <v>1</v>
      </c>
    </row>
    <row r="98" spans="1:57" ht="60.75" customHeight="1" x14ac:dyDescent="0.3">
      <c r="A98" s="1461" t="s">
        <v>2833</v>
      </c>
      <c r="B98" s="1457"/>
      <c r="C98" s="1458" t="s">
        <v>204</v>
      </c>
      <c r="D98" s="1388" t="s">
        <v>205</v>
      </c>
      <c r="E98" s="1388" t="s">
        <v>206</v>
      </c>
      <c r="F98" s="1388" t="s">
        <v>97</v>
      </c>
      <c r="G98" s="1388" t="s">
        <v>207</v>
      </c>
      <c r="H98" s="1476">
        <v>26895</v>
      </c>
      <c r="I98" s="1444">
        <f t="shared" ref="I98:I104" si="107">H98</f>
        <v>26895</v>
      </c>
      <c r="J98" s="1460"/>
      <c r="K98" s="1460"/>
      <c r="L98" s="1460"/>
      <c r="M98" s="1460"/>
      <c r="N98" s="1463">
        <f t="shared" ref="N98:N104" si="108">O98</f>
        <v>5500</v>
      </c>
      <c r="O98" s="1463">
        <v>5500</v>
      </c>
      <c r="P98" s="1463">
        <f t="shared" ref="P98:P104" si="109">Q98</f>
        <v>5500</v>
      </c>
      <c r="Q98" s="1463">
        <v>5500</v>
      </c>
      <c r="R98" s="1463"/>
      <c r="S98" s="1463"/>
      <c r="T98" s="1463">
        <f t="shared" ref="T98:T104" si="110">U98</f>
        <v>5500</v>
      </c>
      <c r="U98" s="1463">
        <v>5500</v>
      </c>
      <c r="V98" s="1463"/>
      <c r="W98" s="1463"/>
      <c r="X98" s="1463">
        <f t="shared" ref="X98:X104" si="111">Y98</f>
        <v>5500</v>
      </c>
      <c r="Y98" s="1463">
        <v>5500</v>
      </c>
      <c r="Z98" s="1460">
        <v>0</v>
      </c>
      <c r="AA98" s="1460">
        <v>0</v>
      </c>
      <c r="AB98" s="1460">
        <v>5500</v>
      </c>
      <c r="AC98" s="1460">
        <v>5500</v>
      </c>
      <c r="AD98" s="1460"/>
      <c r="AE98" s="1460"/>
      <c r="AF98" s="1383">
        <f t="shared" si="14"/>
        <v>5500</v>
      </c>
      <c r="AG98" s="1383">
        <f t="shared" si="15"/>
        <v>5500</v>
      </c>
      <c r="AH98" s="1383">
        <f t="shared" si="25"/>
        <v>4740</v>
      </c>
      <c r="AI98" s="1383">
        <v>3740</v>
      </c>
      <c r="AJ98" s="1383">
        <v>1000</v>
      </c>
      <c r="AK98" s="1383"/>
      <c r="AL98" s="1383"/>
      <c r="AM98" s="1383"/>
      <c r="AN98" s="1464"/>
      <c r="AO98" s="1464"/>
      <c r="AP98" s="1431">
        <f t="shared" si="76"/>
        <v>0</v>
      </c>
      <c r="AQ98" s="1431">
        <f t="shared" si="89"/>
        <v>1</v>
      </c>
      <c r="AR98" s="1434">
        <f t="shared" si="16"/>
        <v>0</v>
      </c>
      <c r="AS98" s="1434"/>
      <c r="AT98" s="1427">
        <f t="shared" si="102"/>
        <v>1</v>
      </c>
      <c r="AV98" s="1427">
        <f t="shared" si="103"/>
        <v>0</v>
      </c>
      <c r="AW98" s="1427">
        <f t="shared" si="90"/>
        <v>0</v>
      </c>
      <c r="AX98" s="1427">
        <f t="shared" si="104"/>
        <v>0</v>
      </c>
      <c r="AY98" s="1427">
        <f t="shared" si="91"/>
        <v>0</v>
      </c>
      <c r="AZ98" s="1427">
        <f t="shared" si="105"/>
        <v>0</v>
      </c>
      <c r="BA98" s="1427">
        <f t="shared" si="92"/>
        <v>0</v>
      </c>
      <c r="BB98" s="1427">
        <f t="shared" si="106"/>
        <v>0</v>
      </c>
      <c r="BC98" s="1427">
        <f t="shared" si="93"/>
        <v>0</v>
      </c>
      <c r="BD98" s="1436">
        <f t="shared" si="94"/>
        <v>1</v>
      </c>
      <c r="BE98" s="1331">
        <v>2</v>
      </c>
    </row>
    <row r="99" spans="1:57" ht="61.5" customHeight="1" x14ac:dyDescent="0.3">
      <c r="A99" s="1461" t="s">
        <v>2834</v>
      </c>
      <c r="B99" s="1457"/>
      <c r="C99" s="1458" t="s">
        <v>208</v>
      </c>
      <c r="D99" s="1388" t="s">
        <v>194</v>
      </c>
      <c r="E99" s="1388" t="s">
        <v>209</v>
      </c>
      <c r="F99" s="1388" t="s">
        <v>183</v>
      </c>
      <c r="G99" s="1388" t="s">
        <v>210</v>
      </c>
      <c r="H99" s="1476">
        <v>24984</v>
      </c>
      <c r="I99" s="1444">
        <f t="shared" si="107"/>
        <v>24984</v>
      </c>
      <c r="J99" s="1460"/>
      <c r="K99" s="1460"/>
      <c r="L99" s="1460"/>
      <c r="M99" s="1460"/>
      <c r="N99" s="1463">
        <f t="shared" si="108"/>
        <v>20500</v>
      </c>
      <c r="O99" s="1463">
        <v>20500</v>
      </c>
      <c r="P99" s="1463">
        <f t="shared" si="109"/>
        <v>12500</v>
      </c>
      <c r="Q99" s="1463">
        <v>12500</v>
      </c>
      <c r="R99" s="1463"/>
      <c r="S99" s="1463">
        <f>O99-U99</f>
        <v>8000</v>
      </c>
      <c r="T99" s="1463">
        <f t="shared" si="110"/>
        <v>12500</v>
      </c>
      <c r="U99" s="1463">
        <v>12500</v>
      </c>
      <c r="V99" s="1463"/>
      <c r="W99" s="1463"/>
      <c r="X99" s="1463">
        <f t="shared" si="111"/>
        <v>12500</v>
      </c>
      <c r="Y99" s="1463">
        <v>12500</v>
      </c>
      <c r="Z99" s="1460">
        <v>0</v>
      </c>
      <c r="AA99" s="1460">
        <v>0</v>
      </c>
      <c r="AB99" s="1460">
        <v>12500</v>
      </c>
      <c r="AC99" s="1460">
        <v>12500</v>
      </c>
      <c r="AD99" s="1460"/>
      <c r="AE99" s="1460"/>
      <c r="AF99" s="1383">
        <f t="shared" si="14"/>
        <v>12500</v>
      </c>
      <c r="AG99" s="1383">
        <f t="shared" si="15"/>
        <v>12500</v>
      </c>
      <c r="AH99" s="1383">
        <f t="shared" si="25"/>
        <v>6200</v>
      </c>
      <c r="AI99" s="1383">
        <v>6000</v>
      </c>
      <c r="AJ99" s="1383">
        <v>200</v>
      </c>
      <c r="AK99" s="1383"/>
      <c r="AL99" s="1383"/>
      <c r="AM99" s="1383"/>
      <c r="AN99" s="1381"/>
      <c r="AO99" s="1381"/>
      <c r="AP99" s="1431">
        <f t="shared" si="76"/>
        <v>0</v>
      </c>
      <c r="AQ99" s="1431">
        <f t="shared" si="89"/>
        <v>1</v>
      </c>
      <c r="AR99" s="1434">
        <f t="shared" si="16"/>
        <v>0</v>
      </c>
      <c r="AS99" s="1434"/>
      <c r="AT99" s="1427">
        <f t="shared" si="102"/>
        <v>1</v>
      </c>
      <c r="AV99" s="1427">
        <f t="shared" si="103"/>
        <v>0</v>
      </c>
      <c r="AW99" s="1427">
        <f t="shared" si="90"/>
        <v>0</v>
      </c>
      <c r="AX99" s="1427">
        <f t="shared" si="104"/>
        <v>0</v>
      </c>
      <c r="AY99" s="1427">
        <f t="shared" si="91"/>
        <v>0</v>
      </c>
      <c r="AZ99" s="1427">
        <f t="shared" si="105"/>
        <v>0</v>
      </c>
      <c r="BA99" s="1427">
        <f t="shared" si="92"/>
        <v>0</v>
      </c>
      <c r="BB99" s="1427">
        <f t="shared" si="106"/>
        <v>1</v>
      </c>
      <c r="BC99" s="1427">
        <f t="shared" si="93"/>
        <v>8000</v>
      </c>
      <c r="BD99" s="1436">
        <f t="shared" si="94"/>
        <v>1</v>
      </c>
      <c r="BE99" s="1331">
        <v>3</v>
      </c>
    </row>
    <row r="100" spans="1:57" ht="61.5" customHeight="1" x14ac:dyDescent="0.3">
      <c r="A100" s="1461" t="s">
        <v>2835</v>
      </c>
      <c r="B100" s="1457"/>
      <c r="C100" s="1458" t="s">
        <v>212</v>
      </c>
      <c r="D100" s="1388" t="s">
        <v>146</v>
      </c>
      <c r="E100" s="1388" t="s">
        <v>213</v>
      </c>
      <c r="F100" s="1388" t="s">
        <v>199</v>
      </c>
      <c r="G100" s="1388" t="s">
        <v>214</v>
      </c>
      <c r="H100" s="1476">
        <v>3945</v>
      </c>
      <c r="I100" s="1444">
        <f t="shared" si="107"/>
        <v>3945</v>
      </c>
      <c r="J100" s="1460"/>
      <c r="K100" s="1460"/>
      <c r="L100" s="1460"/>
      <c r="M100" s="1460"/>
      <c r="N100" s="1463">
        <f t="shared" si="108"/>
        <v>3750</v>
      </c>
      <c r="O100" s="1463">
        <v>3750</v>
      </c>
      <c r="P100" s="1463">
        <f t="shared" si="109"/>
        <v>3750</v>
      </c>
      <c r="Q100" s="1463">
        <v>3750</v>
      </c>
      <c r="R100" s="1463"/>
      <c r="S100" s="1463"/>
      <c r="T100" s="1463">
        <f t="shared" si="110"/>
        <v>3750</v>
      </c>
      <c r="U100" s="1463">
        <v>3750</v>
      </c>
      <c r="V100" s="1463"/>
      <c r="W100" s="1463"/>
      <c r="X100" s="1463">
        <f t="shared" si="111"/>
        <v>3750</v>
      </c>
      <c r="Y100" s="1463">
        <v>3750</v>
      </c>
      <c r="Z100" s="1460">
        <v>0</v>
      </c>
      <c r="AA100" s="1460">
        <v>0</v>
      </c>
      <c r="AB100" s="1460">
        <v>3750</v>
      </c>
      <c r="AC100" s="1460">
        <v>3750</v>
      </c>
      <c r="AD100" s="1460"/>
      <c r="AE100" s="1460"/>
      <c r="AF100" s="1383">
        <f t="shared" ref="AF100:AF163" si="112">AG100</f>
        <v>3750</v>
      </c>
      <c r="AG100" s="1383">
        <f t="shared" ref="AG100:AG163" si="113">AC100+AD100+AE100</f>
        <v>3750</v>
      </c>
      <c r="AH100" s="1383">
        <f t="shared" si="25"/>
        <v>3650</v>
      </c>
      <c r="AI100" s="1383">
        <v>2000</v>
      </c>
      <c r="AJ100" s="1383">
        <v>1650</v>
      </c>
      <c r="AK100" s="1383"/>
      <c r="AL100" s="1383"/>
      <c r="AM100" s="1383"/>
      <c r="AN100" s="1464"/>
      <c r="AO100" s="1464"/>
      <c r="AP100" s="1431">
        <f t="shared" si="76"/>
        <v>0</v>
      </c>
      <c r="AQ100" s="1431">
        <f t="shared" si="89"/>
        <v>1</v>
      </c>
      <c r="AR100" s="1434">
        <f t="shared" si="16"/>
        <v>0</v>
      </c>
      <c r="AS100" s="1434"/>
      <c r="AT100" s="1427">
        <f t="shared" si="102"/>
        <v>1</v>
      </c>
      <c r="AV100" s="1427">
        <f t="shared" si="103"/>
        <v>0</v>
      </c>
      <c r="AW100" s="1427">
        <f t="shared" si="90"/>
        <v>0</v>
      </c>
      <c r="AX100" s="1427">
        <f t="shared" si="104"/>
        <v>0</v>
      </c>
      <c r="AY100" s="1427">
        <f t="shared" si="91"/>
        <v>0</v>
      </c>
      <c r="AZ100" s="1427">
        <f t="shared" si="105"/>
        <v>0</v>
      </c>
      <c r="BA100" s="1427">
        <f t="shared" si="92"/>
        <v>0</v>
      </c>
      <c r="BB100" s="1427">
        <f t="shared" si="106"/>
        <v>0</v>
      </c>
      <c r="BC100" s="1427">
        <f t="shared" si="93"/>
        <v>0</v>
      </c>
      <c r="BD100" s="1436">
        <f t="shared" si="94"/>
        <v>1</v>
      </c>
      <c r="BE100" s="1331">
        <v>4</v>
      </c>
    </row>
    <row r="101" spans="1:57" ht="139.5" customHeight="1" x14ac:dyDescent="0.3">
      <c r="A101" s="1461" t="s">
        <v>2836</v>
      </c>
      <c r="B101" s="1457"/>
      <c r="C101" s="1442" t="s">
        <v>215</v>
      </c>
      <c r="D101" s="1388" t="s">
        <v>216</v>
      </c>
      <c r="E101" s="1388" t="s">
        <v>217</v>
      </c>
      <c r="F101" s="1388" t="s">
        <v>199</v>
      </c>
      <c r="G101" s="1388" t="s">
        <v>218</v>
      </c>
      <c r="H101" s="1443">
        <v>4185</v>
      </c>
      <c r="I101" s="1444">
        <f t="shared" si="107"/>
        <v>4185</v>
      </c>
      <c r="J101" s="1460"/>
      <c r="K101" s="1460"/>
      <c r="L101" s="1460"/>
      <c r="M101" s="1460"/>
      <c r="N101" s="1463">
        <f t="shared" si="108"/>
        <v>3650</v>
      </c>
      <c r="O101" s="1463">
        <v>3650</v>
      </c>
      <c r="P101" s="1463">
        <f t="shared" si="109"/>
        <v>3650</v>
      </c>
      <c r="Q101" s="1463">
        <v>3650</v>
      </c>
      <c r="R101" s="1463"/>
      <c r="S101" s="1463"/>
      <c r="T101" s="1463">
        <f t="shared" si="110"/>
        <v>3650</v>
      </c>
      <c r="U101" s="1463">
        <v>3650</v>
      </c>
      <c r="V101" s="1463"/>
      <c r="W101" s="1463"/>
      <c r="X101" s="1463">
        <f t="shared" si="111"/>
        <v>3650</v>
      </c>
      <c r="Y101" s="1463">
        <v>3650</v>
      </c>
      <c r="Z101" s="1460">
        <v>0</v>
      </c>
      <c r="AA101" s="1460">
        <v>0</v>
      </c>
      <c r="AB101" s="1460">
        <v>3650</v>
      </c>
      <c r="AC101" s="1460">
        <v>3650</v>
      </c>
      <c r="AD101" s="1460"/>
      <c r="AE101" s="1460"/>
      <c r="AF101" s="1383">
        <f t="shared" si="112"/>
        <v>3650</v>
      </c>
      <c r="AG101" s="1383">
        <f t="shared" si="113"/>
        <v>3650</v>
      </c>
      <c r="AH101" s="1383">
        <f t="shared" si="25"/>
        <v>3500</v>
      </c>
      <c r="AI101" s="1383">
        <v>3500</v>
      </c>
      <c r="AJ101" s="1383"/>
      <c r="AK101" s="1383"/>
      <c r="AL101" s="1383"/>
      <c r="AM101" s="1383"/>
      <c r="AN101" s="1464"/>
      <c r="AO101" s="1464">
        <v>94</v>
      </c>
      <c r="AP101" s="1431">
        <f t="shared" si="76"/>
        <v>0</v>
      </c>
      <c r="AQ101" s="1431">
        <f t="shared" si="89"/>
        <v>1</v>
      </c>
      <c r="AR101" s="1434">
        <f t="shared" si="16"/>
        <v>0</v>
      </c>
      <c r="AS101" s="1434"/>
      <c r="AT101" s="1427">
        <f t="shared" si="102"/>
        <v>1</v>
      </c>
      <c r="AV101" s="1427">
        <f t="shared" si="103"/>
        <v>0</v>
      </c>
      <c r="AW101" s="1427">
        <f t="shared" si="90"/>
        <v>0</v>
      </c>
      <c r="AX101" s="1427">
        <f t="shared" si="104"/>
        <v>0</v>
      </c>
      <c r="AY101" s="1427">
        <f t="shared" si="91"/>
        <v>0</v>
      </c>
      <c r="AZ101" s="1427">
        <f t="shared" si="105"/>
        <v>0</v>
      </c>
      <c r="BA101" s="1427">
        <f t="shared" si="92"/>
        <v>0</v>
      </c>
      <c r="BB101" s="1427">
        <f t="shared" si="106"/>
        <v>0</v>
      </c>
      <c r="BC101" s="1427">
        <f t="shared" si="93"/>
        <v>0</v>
      </c>
      <c r="BD101" s="1436">
        <f t="shared" si="94"/>
        <v>1</v>
      </c>
      <c r="BE101" s="1331">
        <v>5</v>
      </c>
    </row>
    <row r="102" spans="1:57" ht="63" customHeight="1" x14ac:dyDescent="0.3">
      <c r="A102" s="1461" t="s">
        <v>2837</v>
      </c>
      <c r="B102" s="1457"/>
      <c r="C102" s="1442" t="s">
        <v>219</v>
      </c>
      <c r="D102" s="1388" t="s">
        <v>216</v>
      </c>
      <c r="E102" s="1388" t="s">
        <v>220</v>
      </c>
      <c r="F102" s="1388">
        <v>2016</v>
      </c>
      <c r="G102" s="1388" t="s">
        <v>221</v>
      </c>
      <c r="H102" s="1443">
        <v>932</v>
      </c>
      <c r="I102" s="1444">
        <f t="shared" si="107"/>
        <v>932</v>
      </c>
      <c r="J102" s="1460"/>
      <c r="K102" s="1460"/>
      <c r="L102" s="1460"/>
      <c r="M102" s="1460"/>
      <c r="N102" s="1463">
        <f t="shared" si="108"/>
        <v>900</v>
      </c>
      <c r="O102" s="1463">
        <v>900</v>
      </c>
      <c r="P102" s="1463">
        <f t="shared" si="109"/>
        <v>900</v>
      </c>
      <c r="Q102" s="1463">
        <v>900</v>
      </c>
      <c r="R102" s="1463"/>
      <c r="S102" s="1463"/>
      <c r="T102" s="1463">
        <f t="shared" si="110"/>
        <v>900</v>
      </c>
      <c r="U102" s="1463">
        <v>900</v>
      </c>
      <c r="V102" s="1463"/>
      <c r="W102" s="1463"/>
      <c r="X102" s="1463">
        <f t="shared" si="111"/>
        <v>900</v>
      </c>
      <c r="Y102" s="1463">
        <v>900</v>
      </c>
      <c r="Z102" s="1460">
        <v>0</v>
      </c>
      <c r="AA102" s="1460">
        <v>0</v>
      </c>
      <c r="AB102" s="1460">
        <v>900</v>
      </c>
      <c r="AC102" s="1460">
        <v>900</v>
      </c>
      <c r="AD102" s="1460"/>
      <c r="AE102" s="1460"/>
      <c r="AF102" s="1383">
        <f t="shared" si="112"/>
        <v>900</v>
      </c>
      <c r="AG102" s="1383">
        <f t="shared" si="113"/>
        <v>900</v>
      </c>
      <c r="AH102" s="1383">
        <f t="shared" si="25"/>
        <v>800</v>
      </c>
      <c r="AI102" s="1383">
        <v>800</v>
      </c>
      <c r="AJ102" s="1383"/>
      <c r="AK102" s="1383"/>
      <c r="AL102" s="1383"/>
      <c r="AM102" s="1383"/>
      <c r="AN102" s="1464"/>
      <c r="AO102" s="1464">
        <v>32</v>
      </c>
      <c r="AP102" s="1431">
        <f t="shared" si="76"/>
        <v>0</v>
      </c>
      <c r="AQ102" s="1431">
        <f t="shared" si="89"/>
        <v>1</v>
      </c>
      <c r="AR102" s="1434">
        <f t="shared" si="16"/>
        <v>0</v>
      </c>
      <c r="AS102" s="1434"/>
      <c r="AT102" s="1427">
        <f t="shared" si="102"/>
        <v>1</v>
      </c>
      <c r="AV102" s="1427">
        <f t="shared" si="103"/>
        <v>0</v>
      </c>
      <c r="AW102" s="1427">
        <f t="shared" si="90"/>
        <v>0</v>
      </c>
      <c r="AX102" s="1427">
        <f t="shared" si="104"/>
        <v>0</v>
      </c>
      <c r="AY102" s="1427">
        <f t="shared" si="91"/>
        <v>0</v>
      </c>
      <c r="AZ102" s="1427">
        <f t="shared" si="105"/>
        <v>0</v>
      </c>
      <c r="BA102" s="1427">
        <f t="shared" si="92"/>
        <v>0</v>
      </c>
      <c r="BB102" s="1427">
        <f t="shared" si="106"/>
        <v>0</v>
      </c>
      <c r="BC102" s="1427">
        <f t="shared" si="93"/>
        <v>0</v>
      </c>
      <c r="BD102" s="1436">
        <f t="shared" si="94"/>
        <v>1</v>
      </c>
      <c r="BE102" s="1331">
        <v>6</v>
      </c>
    </row>
    <row r="103" spans="1:57" ht="140.25" customHeight="1" x14ac:dyDescent="0.3">
      <c r="A103" s="1461" t="s">
        <v>2838</v>
      </c>
      <c r="B103" s="1457"/>
      <c r="C103" s="1442" t="s">
        <v>222</v>
      </c>
      <c r="D103" s="1388" t="s">
        <v>216</v>
      </c>
      <c r="E103" s="1388" t="s">
        <v>223</v>
      </c>
      <c r="F103" s="1388">
        <v>2016</v>
      </c>
      <c r="G103" s="1388" t="s">
        <v>224</v>
      </c>
      <c r="H103" s="1443">
        <v>8241</v>
      </c>
      <c r="I103" s="1444">
        <f t="shared" si="107"/>
        <v>8241</v>
      </c>
      <c r="J103" s="1460"/>
      <c r="K103" s="1460"/>
      <c r="L103" s="1460"/>
      <c r="M103" s="1460"/>
      <c r="N103" s="1463">
        <f t="shared" si="108"/>
        <v>7500</v>
      </c>
      <c r="O103" s="1383">
        <v>7500</v>
      </c>
      <c r="P103" s="1463">
        <f t="shared" si="109"/>
        <v>7500</v>
      </c>
      <c r="Q103" s="1383">
        <v>7500</v>
      </c>
      <c r="R103" s="1463"/>
      <c r="S103" s="1463"/>
      <c r="T103" s="1463">
        <f t="shared" si="110"/>
        <v>7500</v>
      </c>
      <c r="U103" s="1383">
        <v>7500</v>
      </c>
      <c r="V103" s="1463"/>
      <c r="W103" s="1463"/>
      <c r="X103" s="1463">
        <f t="shared" si="111"/>
        <v>7500</v>
      </c>
      <c r="Y103" s="1383">
        <v>7500</v>
      </c>
      <c r="Z103" s="1460">
        <v>0</v>
      </c>
      <c r="AA103" s="1460">
        <v>0</v>
      </c>
      <c r="AB103" s="1460">
        <v>7500</v>
      </c>
      <c r="AC103" s="1460">
        <v>7500</v>
      </c>
      <c r="AD103" s="1460"/>
      <c r="AE103" s="1460"/>
      <c r="AF103" s="1383">
        <f t="shared" si="112"/>
        <v>7500</v>
      </c>
      <c r="AG103" s="1383">
        <f t="shared" si="113"/>
        <v>7500</v>
      </c>
      <c r="AH103" s="1383">
        <f t="shared" si="25"/>
        <v>7300</v>
      </c>
      <c r="AI103" s="1383">
        <v>7300</v>
      </c>
      <c r="AJ103" s="1383"/>
      <c r="AK103" s="1383"/>
      <c r="AL103" s="1383"/>
      <c r="AM103" s="1383"/>
      <c r="AN103" s="1464"/>
      <c r="AO103" s="1464">
        <v>600</v>
      </c>
      <c r="AP103" s="1431">
        <f t="shared" si="76"/>
        <v>0</v>
      </c>
      <c r="AQ103" s="1431">
        <f t="shared" si="89"/>
        <v>1</v>
      </c>
      <c r="AR103" s="1434">
        <f t="shared" si="16"/>
        <v>0</v>
      </c>
      <c r="AS103" s="1434"/>
      <c r="AT103" s="1427">
        <f t="shared" si="102"/>
        <v>1</v>
      </c>
      <c r="AV103" s="1427">
        <f t="shared" si="103"/>
        <v>0</v>
      </c>
      <c r="AW103" s="1427">
        <f t="shared" si="90"/>
        <v>0</v>
      </c>
      <c r="AX103" s="1427">
        <f t="shared" si="104"/>
        <v>0</v>
      </c>
      <c r="AY103" s="1427">
        <f t="shared" si="91"/>
        <v>0</v>
      </c>
      <c r="AZ103" s="1427">
        <f t="shared" si="105"/>
        <v>0</v>
      </c>
      <c r="BA103" s="1427">
        <f t="shared" si="92"/>
        <v>0</v>
      </c>
      <c r="BB103" s="1427">
        <f t="shared" si="106"/>
        <v>0</v>
      </c>
      <c r="BC103" s="1427">
        <f t="shared" si="93"/>
        <v>0</v>
      </c>
      <c r="BD103" s="1436">
        <f t="shared" si="94"/>
        <v>1</v>
      </c>
      <c r="BE103" s="1331">
        <v>7</v>
      </c>
    </row>
    <row r="104" spans="1:57" ht="81.75" customHeight="1" x14ac:dyDescent="0.3">
      <c r="A104" s="1461" t="s">
        <v>2839</v>
      </c>
      <c r="B104" s="1457" t="s">
        <v>2832</v>
      </c>
      <c r="C104" s="1442" t="s">
        <v>225</v>
      </c>
      <c r="D104" s="1388" t="s">
        <v>176</v>
      </c>
      <c r="E104" s="1388"/>
      <c r="F104" s="1388" t="s">
        <v>91</v>
      </c>
      <c r="G104" s="1388"/>
      <c r="H104" s="1443">
        <v>33000</v>
      </c>
      <c r="I104" s="1444">
        <f t="shared" si="107"/>
        <v>33000</v>
      </c>
      <c r="J104" s="1460"/>
      <c r="K104" s="1460"/>
      <c r="L104" s="1460"/>
      <c r="M104" s="1460"/>
      <c r="N104" s="1463">
        <f t="shared" si="108"/>
        <v>30000</v>
      </c>
      <c r="O104" s="1463">
        <v>30000</v>
      </c>
      <c r="P104" s="1463">
        <f t="shared" si="109"/>
        <v>30000</v>
      </c>
      <c r="Q104" s="1463">
        <v>30000</v>
      </c>
      <c r="R104" s="1463"/>
      <c r="S104" s="1463">
        <f>O104-U104</f>
        <v>20000</v>
      </c>
      <c r="T104" s="1463">
        <f t="shared" si="110"/>
        <v>10000</v>
      </c>
      <c r="U104" s="1463">
        <v>10000</v>
      </c>
      <c r="V104" s="1463"/>
      <c r="W104" s="1463"/>
      <c r="X104" s="1463">
        <f t="shared" si="111"/>
        <v>10000</v>
      </c>
      <c r="Y104" s="1463">
        <v>10000</v>
      </c>
      <c r="Z104" s="1460">
        <v>0</v>
      </c>
      <c r="AA104" s="1460">
        <v>0</v>
      </c>
      <c r="AB104" s="1460">
        <v>4920</v>
      </c>
      <c r="AC104" s="1460">
        <v>4920</v>
      </c>
      <c r="AD104" s="1460"/>
      <c r="AE104" s="1525"/>
      <c r="AF104" s="1383">
        <f t="shared" si="112"/>
        <v>4920</v>
      </c>
      <c r="AG104" s="1383">
        <f t="shared" si="113"/>
        <v>4920</v>
      </c>
      <c r="AH104" s="1383">
        <f t="shared" si="25"/>
        <v>0</v>
      </c>
      <c r="AI104" s="1383"/>
      <c r="AJ104" s="1383"/>
      <c r="AK104" s="1383"/>
      <c r="AL104" s="1383"/>
      <c r="AM104" s="1383">
        <f>5080-5080</f>
        <v>0</v>
      </c>
      <c r="AN104" s="1381"/>
      <c r="AO104" s="1381"/>
      <c r="AP104" s="1431">
        <f t="shared" si="76"/>
        <v>0</v>
      </c>
      <c r="AQ104" s="1431">
        <f t="shared" si="89"/>
        <v>1</v>
      </c>
      <c r="AR104" s="1434">
        <f t="shared" si="16"/>
        <v>0</v>
      </c>
      <c r="AS104" s="1434"/>
      <c r="AT104" s="1427">
        <f t="shared" si="102"/>
        <v>1</v>
      </c>
      <c r="AV104" s="1427">
        <f t="shared" si="103"/>
        <v>0</v>
      </c>
      <c r="AW104" s="1427">
        <f t="shared" si="90"/>
        <v>0</v>
      </c>
      <c r="AX104" s="1427">
        <f t="shared" si="104"/>
        <v>0</v>
      </c>
      <c r="AY104" s="1427">
        <f t="shared" si="91"/>
        <v>0</v>
      </c>
      <c r="AZ104" s="1427">
        <f t="shared" si="105"/>
        <v>0</v>
      </c>
      <c r="BA104" s="1427">
        <f t="shared" si="92"/>
        <v>0</v>
      </c>
      <c r="BB104" s="1427">
        <f t="shared" si="106"/>
        <v>1</v>
      </c>
      <c r="BC104" s="1427">
        <f t="shared" si="93"/>
        <v>20000</v>
      </c>
      <c r="BD104" s="1436">
        <f t="shared" si="94"/>
        <v>1</v>
      </c>
      <c r="BE104" s="1331">
        <v>8</v>
      </c>
    </row>
    <row r="105" spans="1:57" ht="78" customHeight="1" x14ac:dyDescent="0.3">
      <c r="A105" s="1461" t="s">
        <v>2840</v>
      </c>
      <c r="B105" s="1457"/>
      <c r="C105" s="1442" t="s">
        <v>226</v>
      </c>
      <c r="D105" s="1388" t="s">
        <v>146</v>
      </c>
      <c r="E105" s="1388" t="s">
        <v>227</v>
      </c>
      <c r="F105" s="1388" t="s">
        <v>109</v>
      </c>
      <c r="G105" s="1388" t="s">
        <v>228</v>
      </c>
      <c r="H105" s="1444">
        <v>4331</v>
      </c>
      <c r="I105" s="1444">
        <f>H105</f>
        <v>4331</v>
      </c>
      <c r="J105" s="1460"/>
      <c r="K105" s="1460"/>
      <c r="L105" s="1460"/>
      <c r="M105" s="1460"/>
      <c r="N105" s="1463">
        <f>O105</f>
        <v>4100</v>
      </c>
      <c r="O105" s="1460">
        <v>4100</v>
      </c>
      <c r="P105" s="1463">
        <f>Q105</f>
        <v>4100</v>
      </c>
      <c r="Q105" s="1460">
        <v>4100</v>
      </c>
      <c r="R105" s="1463"/>
      <c r="S105" s="1463"/>
      <c r="T105" s="1463">
        <f>U105</f>
        <v>4100</v>
      </c>
      <c r="U105" s="1460">
        <v>4100</v>
      </c>
      <c r="V105" s="1463"/>
      <c r="W105" s="1463"/>
      <c r="X105" s="1463">
        <f>Y105</f>
        <v>4100</v>
      </c>
      <c r="Y105" s="1460">
        <v>4100</v>
      </c>
      <c r="Z105" s="1460">
        <v>0</v>
      </c>
      <c r="AA105" s="1460">
        <v>0</v>
      </c>
      <c r="AB105" s="1460">
        <v>4100</v>
      </c>
      <c r="AC105" s="1460">
        <v>4100</v>
      </c>
      <c r="AD105" s="1460"/>
      <c r="AE105" s="1460"/>
      <c r="AF105" s="1383">
        <f t="shared" si="112"/>
        <v>4100</v>
      </c>
      <c r="AG105" s="1383">
        <f t="shared" si="113"/>
        <v>4100</v>
      </c>
      <c r="AH105" s="1383">
        <f t="shared" ref="AH105:AH168" si="114">SUM(AI105:AM105)</f>
        <v>3800</v>
      </c>
      <c r="AI105" s="1383"/>
      <c r="AJ105" s="1383">
        <v>3200</v>
      </c>
      <c r="AK105" s="1383">
        <v>600</v>
      </c>
      <c r="AL105" s="1383"/>
      <c r="AM105" s="1383"/>
      <c r="AN105" s="1464"/>
      <c r="AO105" s="1464"/>
      <c r="AP105" s="1431">
        <f t="shared" si="76"/>
        <v>0</v>
      </c>
      <c r="AQ105" s="1431">
        <f t="shared" si="89"/>
        <v>1</v>
      </c>
      <c r="AR105" s="1434">
        <f t="shared" si="16"/>
        <v>0</v>
      </c>
      <c r="AS105" s="1434"/>
      <c r="AT105" s="1427">
        <f t="shared" si="102"/>
        <v>1</v>
      </c>
      <c r="AV105" s="1427">
        <f t="shared" si="103"/>
        <v>0</v>
      </c>
      <c r="AW105" s="1427">
        <f t="shared" si="90"/>
        <v>0</v>
      </c>
      <c r="AX105" s="1427">
        <f t="shared" si="104"/>
        <v>0</v>
      </c>
      <c r="AY105" s="1427">
        <f t="shared" si="91"/>
        <v>0</v>
      </c>
      <c r="AZ105" s="1427">
        <f t="shared" si="105"/>
        <v>0</v>
      </c>
      <c r="BA105" s="1427">
        <f t="shared" si="92"/>
        <v>0</v>
      </c>
      <c r="BB105" s="1427">
        <f t="shared" si="106"/>
        <v>0</v>
      </c>
      <c r="BC105" s="1427">
        <f t="shared" si="93"/>
        <v>0</v>
      </c>
      <c r="BD105" s="1436">
        <f t="shared" si="94"/>
        <v>1</v>
      </c>
      <c r="BE105" s="1331">
        <v>9</v>
      </c>
    </row>
    <row r="106" spans="1:57" ht="61.5" customHeight="1" x14ac:dyDescent="0.3">
      <c r="A106" s="1461" t="s">
        <v>2841</v>
      </c>
      <c r="B106" s="1457"/>
      <c r="C106" s="1442" t="s">
        <v>229</v>
      </c>
      <c r="D106" s="1388" t="s">
        <v>230</v>
      </c>
      <c r="E106" s="1388" t="s">
        <v>231</v>
      </c>
      <c r="F106" s="1388">
        <v>2017</v>
      </c>
      <c r="G106" s="1388" t="s">
        <v>232</v>
      </c>
      <c r="H106" s="1444">
        <v>4687</v>
      </c>
      <c r="I106" s="1444">
        <f t="shared" ref="I106:I116" si="115">H106</f>
        <v>4687</v>
      </c>
      <c r="J106" s="1460"/>
      <c r="K106" s="1460"/>
      <c r="L106" s="1460"/>
      <c r="M106" s="1460"/>
      <c r="N106" s="1463">
        <f t="shared" ref="N106:N116" si="116">O106</f>
        <v>4400</v>
      </c>
      <c r="O106" s="1460">
        <v>4400</v>
      </c>
      <c r="P106" s="1463">
        <f t="shared" ref="P106:P116" si="117">Q106</f>
        <v>4400</v>
      </c>
      <c r="Q106" s="1460">
        <v>4400</v>
      </c>
      <c r="R106" s="1463"/>
      <c r="S106" s="1463"/>
      <c r="T106" s="1463">
        <f t="shared" ref="T106:T116" si="118">U106</f>
        <v>4400</v>
      </c>
      <c r="U106" s="1460">
        <v>4400</v>
      </c>
      <c r="V106" s="1463"/>
      <c r="W106" s="1463"/>
      <c r="X106" s="1463">
        <f t="shared" ref="X106:X116" si="119">Y106</f>
        <v>4400</v>
      </c>
      <c r="Y106" s="1460">
        <v>4400</v>
      </c>
      <c r="Z106" s="1460">
        <v>0</v>
      </c>
      <c r="AA106" s="1460">
        <v>0</v>
      </c>
      <c r="AB106" s="1460">
        <v>4400</v>
      </c>
      <c r="AC106" s="1460">
        <v>4400</v>
      </c>
      <c r="AD106" s="1460"/>
      <c r="AE106" s="1460"/>
      <c r="AF106" s="1383">
        <f t="shared" si="112"/>
        <v>4400</v>
      </c>
      <c r="AG106" s="1383">
        <f t="shared" si="113"/>
        <v>4400</v>
      </c>
      <c r="AH106" s="1383">
        <f t="shared" si="114"/>
        <v>3500</v>
      </c>
      <c r="AI106" s="1383"/>
      <c r="AJ106" s="1383">
        <v>3500</v>
      </c>
      <c r="AK106" s="1383"/>
      <c r="AL106" s="1383"/>
      <c r="AM106" s="1383"/>
      <c r="AN106" s="1464"/>
      <c r="AO106" s="1464"/>
      <c r="AP106" s="1431">
        <f t="shared" si="76"/>
        <v>0</v>
      </c>
      <c r="AQ106" s="1431">
        <f t="shared" si="89"/>
        <v>1</v>
      </c>
      <c r="AR106" s="1434">
        <f t="shared" si="16"/>
        <v>0</v>
      </c>
      <c r="AS106" s="1434"/>
      <c r="AT106" s="1427">
        <f t="shared" si="102"/>
        <v>1</v>
      </c>
      <c r="AV106" s="1427">
        <f t="shared" si="103"/>
        <v>0</v>
      </c>
      <c r="AW106" s="1427">
        <f t="shared" si="90"/>
        <v>0</v>
      </c>
      <c r="AX106" s="1427">
        <f t="shared" si="104"/>
        <v>0</v>
      </c>
      <c r="AY106" s="1427">
        <f t="shared" si="91"/>
        <v>0</v>
      </c>
      <c r="AZ106" s="1427">
        <f t="shared" si="105"/>
        <v>0</v>
      </c>
      <c r="BA106" s="1427">
        <f t="shared" si="92"/>
        <v>0</v>
      </c>
      <c r="BB106" s="1427">
        <f t="shared" si="106"/>
        <v>0</v>
      </c>
      <c r="BC106" s="1427">
        <f t="shared" si="93"/>
        <v>0</v>
      </c>
      <c r="BD106" s="1436">
        <f t="shared" si="94"/>
        <v>1</v>
      </c>
      <c r="BE106" s="1331">
        <v>10</v>
      </c>
    </row>
    <row r="107" spans="1:57" ht="79.5" customHeight="1" x14ac:dyDescent="0.3">
      <c r="A107" s="1461" t="s">
        <v>2842</v>
      </c>
      <c r="B107" s="1457"/>
      <c r="C107" s="1442" t="s">
        <v>233</v>
      </c>
      <c r="D107" s="1388" t="s">
        <v>230</v>
      </c>
      <c r="E107" s="1388" t="s">
        <v>234</v>
      </c>
      <c r="F107" s="1388" t="s">
        <v>109</v>
      </c>
      <c r="G107" s="1388" t="s">
        <v>235</v>
      </c>
      <c r="H107" s="1444">
        <v>3967</v>
      </c>
      <c r="I107" s="1444">
        <f t="shared" si="115"/>
        <v>3967</v>
      </c>
      <c r="J107" s="1460"/>
      <c r="K107" s="1460"/>
      <c r="L107" s="1460"/>
      <c r="M107" s="1460"/>
      <c r="N107" s="1463">
        <f t="shared" si="116"/>
        <v>3700</v>
      </c>
      <c r="O107" s="1460">
        <v>3700</v>
      </c>
      <c r="P107" s="1463">
        <f t="shared" si="117"/>
        <v>3700</v>
      </c>
      <c r="Q107" s="1460">
        <v>3700</v>
      </c>
      <c r="R107" s="1463"/>
      <c r="S107" s="1463"/>
      <c r="T107" s="1463">
        <f t="shared" si="118"/>
        <v>3700</v>
      </c>
      <c r="U107" s="1460">
        <v>3700</v>
      </c>
      <c r="V107" s="1463"/>
      <c r="W107" s="1463"/>
      <c r="X107" s="1463">
        <f t="shared" si="119"/>
        <v>3700</v>
      </c>
      <c r="Y107" s="1460">
        <v>3700</v>
      </c>
      <c r="Z107" s="1460">
        <v>0</v>
      </c>
      <c r="AA107" s="1460">
        <v>0</v>
      </c>
      <c r="AB107" s="1460">
        <v>3700</v>
      </c>
      <c r="AC107" s="1460">
        <v>3700</v>
      </c>
      <c r="AD107" s="1460"/>
      <c r="AE107" s="1460"/>
      <c r="AF107" s="1383">
        <f t="shared" si="112"/>
        <v>3700</v>
      </c>
      <c r="AG107" s="1383">
        <f t="shared" si="113"/>
        <v>3700</v>
      </c>
      <c r="AH107" s="1383">
        <f t="shared" si="114"/>
        <v>3400</v>
      </c>
      <c r="AI107" s="1383"/>
      <c r="AJ107" s="1383">
        <v>3000</v>
      </c>
      <c r="AK107" s="1383">
        <v>400</v>
      </c>
      <c r="AL107" s="1383"/>
      <c r="AM107" s="1383"/>
      <c r="AN107" s="1464"/>
      <c r="AO107" s="1464"/>
      <c r="AP107" s="1431">
        <f t="shared" si="76"/>
        <v>0</v>
      </c>
      <c r="AQ107" s="1431">
        <f t="shared" si="89"/>
        <v>1</v>
      </c>
      <c r="AR107" s="1434">
        <f t="shared" si="16"/>
        <v>0</v>
      </c>
      <c r="AS107" s="1434"/>
      <c r="AT107" s="1427">
        <f t="shared" si="102"/>
        <v>1</v>
      </c>
      <c r="AV107" s="1427">
        <f t="shared" si="103"/>
        <v>0</v>
      </c>
      <c r="AW107" s="1427">
        <f t="shared" si="90"/>
        <v>0</v>
      </c>
      <c r="AX107" s="1427">
        <f t="shared" si="104"/>
        <v>0</v>
      </c>
      <c r="AY107" s="1427">
        <f t="shared" si="91"/>
        <v>0</v>
      </c>
      <c r="AZ107" s="1427">
        <f t="shared" si="105"/>
        <v>0</v>
      </c>
      <c r="BA107" s="1427">
        <f t="shared" si="92"/>
        <v>0</v>
      </c>
      <c r="BB107" s="1427">
        <f t="shared" si="106"/>
        <v>0</v>
      </c>
      <c r="BC107" s="1427">
        <f t="shared" si="93"/>
        <v>0</v>
      </c>
      <c r="BD107" s="1436">
        <f t="shared" si="94"/>
        <v>1</v>
      </c>
      <c r="BE107" s="1331">
        <v>11</v>
      </c>
    </row>
    <row r="108" spans="1:57" ht="60.75" customHeight="1" x14ac:dyDescent="0.3">
      <c r="A108" s="1461" t="s">
        <v>2843</v>
      </c>
      <c r="B108" s="1457"/>
      <c r="C108" s="1442" t="s">
        <v>236</v>
      </c>
      <c r="D108" s="1388" t="s">
        <v>146</v>
      </c>
      <c r="E108" s="1388" t="s">
        <v>237</v>
      </c>
      <c r="F108" s="1388" t="s">
        <v>109</v>
      </c>
      <c r="G108" s="1388" t="s">
        <v>238</v>
      </c>
      <c r="H108" s="1444">
        <v>14971</v>
      </c>
      <c r="I108" s="1444">
        <f t="shared" si="115"/>
        <v>14971</v>
      </c>
      <c r="J108" s="1460"/>
      <c r="K108" s="1460"/>
      <c r="L108" s="1460"/>
      <c r="M108" s="1460"/>
      <c r="N108" s="1463">
        <f t="shared" si="116"/>
        <v>14800</v>
      </c>
      <c r="O108" s="1460">
        <v>14800</v>
      </c>
      <c r="P108" s="1463">
        <f t="shared" si="117"/>
        <v>14800</v>
      </c>
      <c r="Q108" s="1460">
        <v>14800</v>
      </c>
      <c r="R108" s="1463"/>
      <c r="S108" s="1463"/>
      <c r="T108" s="1463">
        <f t="shared" si="118"/>
        <v>14800</v>
      </c>
      <c r="U108" s="1460">
        <v>14800</v>
      </c>
      <c r="V108" s="1463"/>
      <c r="W108" s="1463"/>
      <c r="X108" s="1463">
        <f t="shared" si="119"/>
        <v>14800</v>
      </c>
      <c r="Y108" s="1460">
        <v>14800</v>
      </c>
      <c r="Z108" s="1460">
        <v>0</v>
      </c>
      <c r="AA108" s="1460">
        <v>0</v>
      </c>
      <c r="AB108" s="1460">
        <v>14800</v>
      </c>
      <c r="AC108" s="1460">
        <v>14800</v>
      </c>
      <c r="AD108" s="1460"/>
      <c r="AE108" s="1460"/>
      <c r="AF108" s="1383">
        <f t="shared" si="112"/>
        <v>14800</v>
      </c>
      <c r="AG108" s="1383">
        <f t="shared" si="113"/>
        <v>14800</v>
      </c>
      <c r="AH108" s="1383">
        <f t="shared" si="114"/>
        <v>11400</v>
      </c>
      <c r="AI108" s="1383"/>
      <c r="AJ108" s="1383">
        <v>8400</v>
      </c>
      <c r="AK108" s="1383">
        <v>3000</v>
      </c>
      <c r="AL108" s="1383"/>
      <c r="AM108" s="1383"/>
      <c r="AN108" s="1464"/>
      <c r="AO108" s="1464"/>
      <c r="AP108" s="1431">
        <f t="shared" si="76"/>
        <v>0</v>
      </c>
      <c r="AQ108" s="1431">
        <f t="shared" si="89"/>
        <v>1</v>
      </c>
      <c r="AR108" s="1434">
        <f t="shared" si="16"/>
        <v>0</v>
      </c>
      <c r="AS108" s="1434"/>
      <c r="AT108" s="1427">
        <f t="shared" si="102"/>
        <v>1</v>
      </c>
      <c r="AV108" s="1427">
        <f t="shared" si="103"/>
        <v>0</v>
      </c>
      <c r="AW108" s="1427">
        <f t="shared" si="90"/>
        <v>0</v>
      </c>
      <c r="AX108" s="1427">
        <f t="shared" si="104"/>
        <v>0</v>
      </c>
      <c r="AY108" s="1427">
        <f t="shared" si="91"/>
        <v>0</v>
      </c>
      <c r="AZ108" s="1427">
        <f t="shared" si="105"/>
        <v>0</v>
      </c>
      <c r="BA108" s="1427">
        <f t="shared" si="92"/>
        <v>0</v>
      </c>
      <c r="BB108" s="1427">
        <f t="shared" si="106"/>
        <v>0</v>
      </c>
      <c r="BC108" s="1427">
        <f t="shared" si="93"/>
        <v>0</v>
      </c>
      <c r="BD108" s="1436">
        <f t="shared" si="94"/>
        <v>1</v>
      </c>
      <c r="BE108" s="1331">
        <v>12</v>
      </c>
    </row>
    <row r="109" spans="1:57" ht="61.5" customHeight="1" x14ac:dyDescent="0.3">
      <c r="A109" s="1461" t="s">
        <v>2844</v>
      </c>
      <c r="B109" s="1457"/>
      <c r="C109" s="1442" t="s">
        <v>239</v>
      </c>
      <c r="D109" s="1388" t="s">
        <v>194</v>
      </c>
      <c r="E109" s="1388" t="s">
        <v>240</v>
      </c>
      <c r="F109" s="1388" t="s">
        <v>109</v>
      </c>
      <c r="G109" s="1388" t="s">
        <v>241</v>
      </c>
      <c r="H109" s="1444">
        <v>7204</v>
      </c>
      <c r="I109" s="1444">
        <f t="shared" si="115"/>
        <v>7204</v>
      </c>
      <c r="J109" s="1460"/>
      <c r="K109" s="1460"/>
      <c r="L109" s="1460"/>
      <c r="M109" s="1460"/>
      <c r="N109" s="1463">
        <f t="shared" si="116"/>
        <v>7100</v>
      </c>
      <c r="O109" s="1460">
        <v>7100</v>
      </c>
      <c r="P109" s="1463">
        <f t="shared" si="117"/>
        <v>524</v>
      </c>
      <c r="Q109" s="1460">
        <v>524</v>
      </c>
      <c r="R109" s="1463"/>
      <c r="S109" s="1463">
        <f>O109-U109</f>
        <v>7100</v>
      </c>
      <c r="T109" s="1463">
        <f t="shared" si="118"/>
        <v>0</v>
      </c>
      <c r="U109" s="1460"/>
      <c r="V109" s="1463"/>
      <c r="W109" s="1463"/>
      <c r="X109" s="1463">
        <f t="shared" si="119"/>
        <v>0</v>
      </c>
      <c r="Y109" s="1460"/>
      <c r="Z109" s="1460">
        <v>0</v>
      </c>
      <c r="AA109" s="1460">
        <v>0</v>
      </c>
      <c r="AB109" s="1460">
        <v>0</v>
      </c>
      <c r="AC109" s="1460">
        <v>0</v>
      </c>
      <c r="AD109" s="1460"/>
      <c r="AE109" s="1460"/>
      <c r="AF109" s="1383">
        <f t="shared" si="112"/>
        <v>0</v>
      </c>
      <c r="AG109" s="1383">
        <f t="shared" si="113"/>
        <v>0</v>
      </c>
      <c r="AH109" s="1383">
        <f t="shared" si="114"/>
        <v>267</v>
      </c>
      <c r="AI109" s="1383"/>
      <c r="AJ109" s="1383">
        <v>267</v>
      </c>
      <c r="AK109" s="1383"/>
      <c r="AL109" s="1383"/>
      <c r="AM109" s="1383"/>
      <c r="AN109" s="1381"/>
      <c r="AO109" s="1381"/>
      <c r="AP109" s="1431">
        <f t="shared" si="76"/>
        <v>0</v>
      </c>
      <c r="AQ109" s="1431">
        <f t="shared" si="89"/>
        <v>0</v>
      </c>
      <c r="AR109" s="1434">
        <f t="shared" si="16"/>
        <v>0</v>
      </c>
      <c r="AS109" s="1434"/>
      <c r="AT109" s="1427">
        <f t="shared" si="102"/>
        <v>1</v>
      </c>
      <c r="AV109" s="1427">
        <v>1</v>
      </c>
      <c r="AW109" s="1435">
        <f>S109</f>
        <v>7100</v>
      </c>
      <c r="AX109" s="1427">
        <f t="shared" si="104"/>
        <v>0</v>
      </c>
      <c r="AY109" s="1427">
        <f t="shared" si="91"/>
        <v>0</v>
      </c>
      <c r="AZ109" s="1427">
        <f t="shared" si="105"/>
        <v>0</v>
      </c>
      <c r="BA109" s="1427">
        <f t="shared" si="92"/>
        <v>0</v>
      </c>
      <c r="BD109" s="1436">
        <f t="shared" si="94"/>
        <v>1</v>
      </c>
    </row>
    <row r="110" spans="1:57" ht="60.75" customHeight="1" x14ac:dyDescent="0.3">
      <c r="A110" s="1461" t="s">
        <v>2845</v>
      </c>
      <c r="B110" s="1457"/>
      <c r="C110" s="1442" t="s">
        <v>243</v>
      </c>
      <c r="D110" s="1388" t="s">
        <v>99</v>
      </c>
      <c r="E110" s="1388" t="s">
        <v>244</v>
      </c>
      <c r="F110" s="1388" t="s">
        <v>109</v>
      </c>
      <c r="G110" s="1388" t="s">
        <v>245</v>
      </c>
      <c r="H110" s="1444">
        <v>9266</v>
      </c>
      <c r="I110" s="1444">
        <f t="shared" si="115"/>
        <v>9266</v>
      </c>
      <c r="J110" s="1460"/>
      <c r="K110" s="1460"/>
      <c r="L110" s="1460"/>
      <c r="M110" s="1460"/>
      <c r="N110" s="1463">
        <f t="shared" si="116"/>
        <v>8500</v>
      </c>
      <c r="O110" s="1460">
        <v>8500</v>
      </c>
      <c r="P110" s="1463">
        <f t="shared" si="117"/>
        <v>8500</v>
      </c>
      <c r="Q110" s="1460">
        <v>8500</v>
      </c>
      <c r="R110" s="1463"/>
      <c r="S110" s="1463"/>
      <c r="T110" s="1463">
        <f t="shared" si="118"/>
        <v>8500</v>
      </c>
      <c r="U110" s="1460">
        <v>8500</v>
      </c>
      <c r="V110" s="1463"/>
      <c r="W110" s="1463"/>
      <c r="X110" s="1463">
        <f t="shared" si="119"/>
        <v>8500</v>
      </c>
      <c r="Y110" s="1460">
        <v>8500</v>
      </c>
      <c r="Z110" s="1460">
        <v>0</v>
      </c>
      <c r="AA110" s="1460">
        <v>0</v>
      </c>
      <c r="AB110" s="1460">
        <v>8500</v>
      </c>
      <c r="AC110" s="1460">
        <v>8500</v>
      </c>
      <c r="AD110" s="1460"/>
      <c r="AE110" s="1460"/>
      <c r="AF110" s="1383">
        <f t="shared" si="112"/>
        <v>8500</v>
      </c>
      <c r="AG110" s="1383">
        <f t="shared" si="113"/>
        <v>8500</v>
      </c>
      <c r="AH110" s="1383">
        <f t="shared" si="114"/>
        <v>4398</v>
      </c>
      <c r="AI110" s="1383"/>
      <c r="AJ110" s="1383">
        <v>3884</v>
      </c>
      <c r="AK110" s="1383">
        <v>514</v>
      </c>
      <c r="AL110" s="1383"/>
      <c r="AM110" s="1383"/>
      <c r="AN110" s="1464"/>
      <c r="AO110" s="1464"/>
      <c r="AP110" s="1431">
        <f t="shared" si="76"/>
        <v>0</v>
      </c>
      <c r="AQ110" s="1431">
        <f t="shared" si="89"/>
        <v>1</v>
      </c>
      <c r="AR110" s="1434">
        <f t="shared" si="16"/>
        <v>0</v>
      </c>
      <c r="AS110" s="1434"/>
      <c r="AT110" s="1427">
        <f t="shared" si="102"/>
        <v>1</v>
      </c>
      <c r="AV110" s="1427">
        <f t="shared" ref="AV110:AV118" si="120">IF(Q110=0,1,0)</f>
        <v>0</v>
      </c>
      <c r="AW110" s="1427">
        <f t="shared" ref="AW110:AW118" si="121">IF(AV110=1,O110,0)</f>
        <v>0</v>
      </c>
      <c r="AX110" s="1427">
        <f t="shared" si="104"/>
        <v>0</v>
      </c>
      <c r="AY110" s="1427">
        <f t="shared" si="91"/>
        <v>0</v>
      </c>
      <c r="AZ110" s="1427">
        <f t="shared" si="105"/>
        <v>0</v>
      </c>
      <c r="BA110" s="1427">
        <f t="shared" si="92"/>
        <v>0</v>
      </c>
      <c r="BB110" s="1427">
        <f t="shared" ref="BB110:BB116" si="122">IF(S110=0,0,1)</f>
        <v>0</v>
      </c>
      <c r="BC110" s="1427">
        <f t="shared" ref="BC110:BC116" si="123">IF(BB110=1,S110,0)</f>
        <v>0</v>
      </c>
      <c r="BD110" s="1436">
        <f t="shared" si="94"/>
        <v>1</v>
      </c>
      <c r="BE110" s="1331">
        <v>13</v>
      </c>
    </row>
    <row r="111" spans="1:57" ht="62.25" customHeight="1" x14ac:dyDescent="0.3">
      <c r="A111" s="1461" t="s">
        <v>2846</v>
      </c>
      <c r="B111" s="1457"/>
      <c r="C111" s="1442" t="s">
        <v>246</v>
      </c>
      <c r="D111" s="1388" t="s">
        <v>52</v>
      </c>
      <c r="E111" s="1388" t="s">
        <v>247</v>
      </c>
      <c r="F111" s="1388" t="s">
        <v>248</v>
      </c>
      <c r="G111" s="1388" t="s">
        <v>249</v>
      </c>
      <c r="H111" s="1444">
        <v>14857</v>
      </c>
      <c r="I111" s="1444">
        <f t="shared" si="115"/>
        <v>14857</v>
      </c>
      <c r="J111" s="1460"/>
      <c r="K111" s="1460"/>
      <c r="L111" s="1460"/>
      <c r="M111" s="1460"/>
      <c r="N111" s="1463">
        <f t="shared" si="116"/>
        <v>13500</v>
      </c>
      <c r="O111" s="1460">
        <v>13500</v>
      </c>
      <c r="P111" s="1463">
        <f t="shared" si="117"/>
        <v>13500</v>
      </c>
      <c r="Q111" s="1460">
        <v>13500</v>
      </c>
      <c r="R111" s="1463"/>
      <c r="S111" s="1463"/>
      <c r="T111" s="1463">
        <f t="shared" si="118"/>
        <v>13500</v>
      </c>
      <c r="U111" s="1460">
        <v>13500</v>
      </c>
      <c r="V111" s="1463"/>
      <c r="W111" s="1463"/>
      <c r="X111" s="1463">
        <f t="shared" si="119"/>
        <v>13500</v>
      </c>
      <c r="Y111" s="1460">
        <v>13500</v>
      </c>
      <c r="Z111" s="1460">
        <v>0</v>
      </c>
      <c r="AA111" s="1460">
        <v>0</v>
      </c>
      <c r="AB111" s="1460">
        <v>13500</v>
      </c>
      <c r="AC111" s="1460">
        <v>13500</v>
      </c>
      <c r="AD111" s="1460"/>
      <c r="AE111" s="1460"/>
      <c r="AF111" s="1383">
        <f t="shared" si="112"/>
        <v>13500</v>
      </c>
      <c r="AG111" s="1383">
        <f t="shared" si="113"/>
        <v>13500</v>
      </c>
      <c r="AH111" s="1383">
        <f t="shared" si="114"/>
        <v>7900</v>
      </c>
      <c r="AI111" s="1383"/>
      <c r="AJ111" s="1383">
        <v>4700</v>
      </c>
      <c r="AK111" s="1383">
        <v>3200</v>
      </c>
      <c r="AL111" s="1383"/>
      <c r="AM111" s="1383"/>
      <c r="AN111" s="1464"/>
      <c r="AO111" s="1464"/>
      <c r="AP111" s="1431">
        <f t="shared" si="76"/>
        <v>0</v>
      </c>
      <c r="AQ111" s="1431">
        <f t="shared" si="89"/>
        <v>1</v>
      </c>
      <c r="AR111" s="1434">
        <f t="shared" si="16"/>
        <v>0</v>
      </c>
      <c r="AS111" s="1434"/>
      <c r="AT111" s="1427">
        <f t="shared" si="102"/>
        <v>1</v>
      </c>
      <c r="AV111" s="1427">
        <f t="shared" si="120"/>
        <v>0</v>
      </c>
      <c r="AW111" s="1427">
        <f t="shared" si="121"/>
        <v>0</v>
      </c>
      <c r="AX111" s="1427">
        <f t="shared" si="104"/>
        <v>0</v>
      </c>
      <c r="AY111" s="1427">
        <f t="shared" si="91"/>
        <v>0</v>
      </c>
      <c r="AZ111" s="1427">
        <f t="shared" si="105"/>
        <v>0</v>
      </c>
      <c r="BA111" s="1427">
        <f t="shared" si="92"/>
        <v>0</v>
      </c>
      <c r="BB111" s="1427">
        <f t="shared" si="122"/>
        <v>0</v>
      </c>
      <c r="BC111" s="1427">
        <f t="shared" si="123"/>
        <v>0</v>
      </c>
      <c r="BD111" s="1436">
        <f t="shared" si="94"/>
        <v>1</v>
      </c>
      <c r="BE111" s="1331">
        <v>14</v>
      </c>
    </row>
    <row r="112" spans="1:57" ht="63.75" customHeight="1" x14ac:dyDescent="0.3">
      <c r="A112" s="1461" t="s">
        <v>2847</v>
      </c>
      <c r="B112" s="1457"/>
      <c r="C112" s="1442" t="s">
        <v>250</v>
      </c>
      <c r="D112" s="1388" t="s">
        <v>58</v>
      </c>
      <c r="E112" s="1388" t="s">
        <v>251</v>
      </c>
      <c r="F112" s="1388" t="s">
        <v>252</v>
      </c>
      <c r="G112" s="1388" t="s">
        <v>253</v>
      </c>
      <c r="H112" s="1444">
        <v>6441</v>
      </c>
      <c r="I112" s="1444">
        <f t="shared" si="115"/>
        <v>6441</v>
      </c>
      <c r="J112" s="1460"/>
      <c r="K112" s="1460"/>
      <c r="L112" s="1460"/>
      <c r="M112" s="1460"/>
      <c r="N112" s="1463">
        <f t="shared" si="116"/>
        <v>6200</v>
      </c>
      <c r="O112" s="1460">
        <v>6200</v>
      </c>
      <c r="P112" s="1463">
        <f t="shared" si="117"/>
        <v>6200</v>
      </c>
      <c r="Q112" s="1460">
        <v>6200</v>
      </c>
      <c r="R112" s="1463"/>
      <c r="S112" s="1463"/>
      <c r="T112" s="1463">
        <f t="shared" si="118"/>
        <v>6200</v>
      </c>
      <c r="U112" s="1460">
        <v>6200</v>
      </c>
      <c r="V112" s="1463"/>
      <c r="W112" s="1463"/>
      <c r="X112" s="1463">
        <f t="shared" si="119"/>
        <v>6200</v>
      </c>
      <c r="Y112" s="1460">
        <v>6200</v>
      </c>
      <c r="Z112" s="1460">
        <v>0</v>
      </c>
      <c r="AA112" s="1460">
        <v>0</v>
      </c>
      <c r="AB112" s="1460">
        <v>6200</v>
      </c>
      <c r="AC112" s="1460">
        <v>6200</v>
      </c>
      <c r="AD112" s="1460"/>
      <c r="AE112" s="1460"/>
      <c r="AF112" s="1383">
        <f t="shared" si="112"/>
        <v>6200</v>
      </c>
      <c r="AG112" s="1383">
        <f t="shared" si="113"/>
        <v>6200</v>
      </c>
      <c r="AH112" s="1383">
        <f t="shared" si="114"/>
        <v>4390</v>
      </c>
      <c r="AI112" s="1383"/>
      <c r="AJ112" s="1383">
        <v>40</v>
      </c>
      <c r="AK112" s="1383">
        <v>4350</v>
      </c>
      <c r="AL112" s="1383"/>
      <c r="AM112" s="1383"/>
      <c r="AN112" s="1464"/>
      <c r="AO112" s="1464"/>
      <c r="AP112" s="1431">
        <f t="shared" si="76"/>
        <v>0</v>
      </c>
      <c r="AQ112" s="1431">
        <f t="shared" si="89"/>
        <v>1</v>
      </c>
      <c r="AR112" s="1434">
        <f t="shared" si="16"/>
        <v>0</v>
      </c>
      <c r="AS112" s="1434"/>
      <c r="AT112" s="1427">
        <f t="shared" si="102"/>
        <v>1</v>
      </c>
      <c r="AV112" s="1427">
        <f t="shared" si="120"/>
        <v>0</v>
      </c>
      <c r="AW112" s="1427">
        <f t="shared" si="121"/>
        <v>0</v>
      </c>
      <c r="AX112" s="1427">
        <f t="shared" si="104"/>
        <v>0</v>
      </c>
      <c r="AY112" s="1427">
        <f t="shared" si="91"/>
        <v>0</v>
      </c>
      <c r="AZ112" s="1427">
        <f t="shared" si="105"/>
        <v>0</v>
      </c>
      <c r="BA112" s="1427">
        <f t="shared" si="92"/>
        <v>0</v>
      </c>
      <c r="BB112" s="1427">
        <f t="shared" si="122"/>
        <v>0</v>
      </c>
      <c r="BC112" s="1427">
        <f t="shared" si="123"/>
        <v>0</v>
      </c>
      <c r="BD112" s="1436">
        <f t="shared" si="94"/>
        <v>1</v>
      </c>
      <c r="BE112" s="1331">
        <v>15</v>
      </c>
    </row>
    <row r="113" spans="1:57" ht="60.75" customHeight="1" x14ac:dyDescent="0.3">
      <c r="A113" s="1461" t="s">
        <v>2848</v>
      </c>
      <c r="B113" s="1457"/>
      <c r="C113" s="1442" t="s">
        <v>254</v>
      </c>
      <c r="D113" s="1388" t="s">
        <v>58</v>
      </c>
      <c r="E113" s="1388" t="s">
        <v>255</v>
      </c>
      <c r="F113" s="1388" t="s">
        <v>252</v>
      </c>
      <c r="G113" s="1388" t="s">
        <v>256</v>
      </c>
      <c r="H113" s="1444">
        <v>8740</v>
      </c>
      <c r="I113" s="1444">
        <f t="shared" si="115"/>
        <v>8740</v>
      </c>
      <c r="J113" s="1460"/>
      <c r="K113" s="1460"/>
      <c r="L113" s="1460"/>
      <c r="M113" s="1460"/>
      <c r="N113" s="1463">
        <f t="shared" si="116"/>
        <v>8400</v>
      </c>
      <c r="O113" s="1460">
        <v>8400</v>
      </c>
      <c r="P113" s="1463">
        <f t="shared" si="117"/>
        <v>8400</v>
      </c>
      <c r="Q113" s="1460">
        <v>8400</v>
      </c>
      <c r="R113" s="1463"/>
      <c r="S113" s="1463"/>
      <c r="T113" s="1463">
        <f t="shared" si="118"/>
        <v>8400</v>
      </c>
      <c r="U113" s="1460">
        <v>8400</v>
      </c>
      <c r="V113" s="1463"/>
      <c r="W113" s="1463"/>
      <c r="X113" s="1463">
        <f t="shared" si="119"/>
        <v>8400</v>
      </c>
      <c r="Y113" s="1460">
        <v>8400</v>
      </c>
      <c r="Z113" s="1460">
        <v>0</v>
      </c>
      <c r="AA113" s="1460">
        <v>0</v>
      </c>
      <c r="AB113" s="1460">
        <v>8400</v>
      </c>
      <c r="AC113" s="1460">
        <v>8400</v>
      </c>
      <c r="AD113" s="1460"/>
      <c r="AE113" s="1460"/>
      <c r="AF113" s="1383">
        <f t="shared" si="112"/>
        <v>8400</v>
      </c>
      <c r="AG113" s="1383">
        <f t="shared" si="113"/>
        <v>8400</v>
      </c>
      <c r="AH113" s="1383">
        <f t="shared" si="114"/>
        <v>7370</v>
      </c>
      <c r="AI113" s="1383"/>
      <c r="AJ113" s="1383">
        <v>6500</v>
      </c>
      <c r="AK113" s="1383">
        <v>870</v>
      </c>
      <c r="AL113" s="1383"/>
      <c r="AM113" s="1383"/>
      <c r="AN113" s="1464"/>
      <c r="AO113" s="1464"/>
      <c r="AP113" s="1431">
        <f t="shared" si="76"/>
        <v>0</v>
      </c>
      <c r="AQ113" s="1431">
        <f t="shared" si="89"/>
        <v>1</v>
      </c>
      <c r="AR113" s="1434">
        <f t="shared" ref="AR113:AR182" si="124">AP113</f>
        <v>0</v>
      </c>
      <c r="AS113" s="1434"/>
      <c r="AT113" s="1427">
        <f t="shared" si="102"/>
        <v>1</v>
      </c>
      <c r="AV113" s="1427">
        <f t="shared" si="120"/>
        <v>0</v>
      </c>
      <c r="AW113" s="1427">
        <f t="shared" si="121"/>
        <v>0</v>
      </c>
      <c r="AX113" s="1427">
        <f t="shared" si="104"/>
        <v>0</v>
      </c>
      <c r="AY113" s="1427">
        <f t="shared" si="91"/>
        <v>0</v>
      </c>
      <c r="AZ113" s="1427">
        <f t="shared" si="105"/>
        <v>0</v>
      </c>
      <c r="BA113" s="1427">
        <f t="shared" si="92"/>
        <v>0</v>
      </c>
      <c r="BB113" s="1427">
        <f t="shared" si="122"/>
        <v>0</v>
      </c>
      <c r="BC113" s="1427">
        <f t="shared" si="123"/>
        <v>0</v>
      </c>
      <c r="BD113" s="1436">
        <f t="shared" si="94"/>
        <v>1</v>
      </c>
      <c r="BE113" s="1331">
        <v>16</v>
      </c>
    </row>
    <row r="114" spans="1:57" ht="61.5" customHeight="1" x14ac:dyDescent="0.3">
      <c r="A114" s="1461" t="s">
        <v>2849</v>
      </c>
      <c r="B114" s="1457"/>
      <c r="C114" s="1442" t="s">
        <v>257</v>
      </c>
      <c r="D114" s="1388" t="s">
        <v>258</v>
      </c>
      <c r="E114" s="1388" t="s">
        <v>259</v>
      </c>
      <c r="F114" s="1388">
        <v>2017</v>
      </c>
      <c r="G114" s="1388" t="s">
        <v>260</v>
      </c>
      <c r="H114" s="1443">
        <v>4000</v>
      </c>
      <c r="I114" s="1444">
        <f t="shared" si="115"/>
        <v>4000</v>
      </c>
      <c r="J114" s="1460"/>
      <c r="K114" s="1460"/>
      <c r="L114" s="1460"/>
      <c r="M114" s="1460"/>
      <c r="N114" s="1463">
        <f t="shared" si="116"/>
        <v>4000</v>
      </c>
      <c r="O114" s="1460">
        <v>4000</v>
      </c>
      <c r="P114" s="1463">
        <f t="shared" si="117"/>
        <v>4000</v>
      </c>
      <c r="Q114" s="1460">
        <v>4000</v>
      </c>
      <c r="R114" s="1463"/>
      <c r="S114" s="1463"/>
      <c r="T114" s="1463">
        <f t="shared" si="118"/>
        <v>4000</v>
      </c>
      <c r="U114" s="1460">
        <v>4000</v>
      </c>
      <c r="V114" s="1463"/>
      <c r="W114" s="1463"/>
      <c r="X114" s="1463">
        <f t="shared" si="119"/>
        <v>4000</v>
      </c>
      <c r="Y114" s="1460">
        <v>4000</v>
      </c>
      <c r="Z114" s="1460">
        <v>0</v>
      </c>
      <c r="AA114" s="1460">
        <v>0</v>
      </c>
      <c r="AB114" s="1460">
        <v>4000</v>
      </c>
      <c r="AC114" s="1460">
        <v>4000</v>
      </c>
      <c r="AD114" s="1460"/>
      <c r="AE114" s="1460"/>
      <c r="AF114" s="1383">
        <f t="shared" si="112"/>
        <v>4000</v>
      </c>
      <c r="AG114" s="1383">
        <f t="shared" si="113"/>
        <v>4000</v>
      </c>
      <c r="AH114" s="1383">
        <f t="shared" si="114"/>
        <v>3400</v>
      </c>
      <c r="AI114" s="1383"/>
      <c r="AJ114" s="1383">
        <v>3400</v>
      </c>
      <c r="AK114" s="1383"/>
      <c r="AL114" s="1383"/>
      <c r="AM114" s="1383"/>
      <c r="AN114" s="1464"/>
      <c r="AO114" s="1464"/>
      <c r="AP114" s="1431">
        <f t="shared" si="76"/>
        <v>0</v>
      </c>
      <c r="AQ114" s="1431">
        <f t="shared" si="89"/>
        <v>1</v>
      </c>
      <c r="AR114" s="1434">
        <f t="shared" si="124"/>
        <v>0</v>
      </c>
      <c r="AS114" s="1434"/>
      <c r="AT114" s="1427">
        <f t="shared" si="102"/>
        <v>1</v>
      </c>
      <c r="AV114" s="1427">
        <f t="shared" si="120"/>
        <v>0</v>
      </c>
      <c r="AW114" s="1427">
        <f t="shared" si="121"/>
        <v>0</v>
      </c>
      <c r="AX114" s="1427">
        <f t="shared" si="104"/>
        <v>0</v>
      </c>
      <c r="AY114" s="1427">
        <f t="shared" si="91"/>
        <v>0</v>
      </c>
      <c r="AZ114" s="1427">
        <f t="shared" si="105"/>
        <v>0</v>
      </c>
      <c r="BA114" s="1427">
        <f t="shared" si="92"/>
        <v>0</v>
      </c>
      <c r="BB114" s="1427">
        <f t="shared" si="122"/>
        <v>0</v>
      </c>
      <c r="BC114" s="1427">
        <f t="shared" si="123"/>
        <v>0</v>
      </c>
      <c r="BD114" s="1436">
        <f t="shared" si="94"/>
        <v>1</v>
      </c>
      <c r="BE114" s="1331">
        <v>17</v>
      </c>
    </row>
    <row r="115" spans="1:57" ht="140.25" customHeight="1" x14ac:dyDescent="0.3">
      <c r="A115" s="1461" t="s">
        <v>2850</v>
      </c>
      <c r="B115" s="1457" t="s">
        <v>2833</v>
      </c>
      <c r="C115" s="1442" t="s">
        <v>261</v>
      </c>
      <c r="D115" s="1388" t="s">
        <v>52</v>
      </c>
      <c r="E115" s="1388" t="s">
        <v>262</v>
      </c>
      <c r="F115" s="1388">
        <v>2017</v>
      </c>
      <c r="G115" s="1388" t="s">
        <v>263</v>
      </c>
      <c r="H115" s="1443">
        <v>5118</v>
      </c>
      <c r="I115" s="1444">
        <f t="shared" si="115"/>
        <v>5118</v>
      </c>
      <c r="J115" s="1460"/>
      <c r="K115" s="1460"/>
      <c r="L115" s="1460"/>
      <c r="M115" s="1460"/>
      <c r="N115" s="1463">
        <f t="shared" si="116"/>
        <v>4800</v>
      </c>
      <c r="O115" s="1460">
        <v>4800</v>
      </c>
      <c r="P115" s="1463">
        <f t="shared" si="117"/>
        <v>4800</v>
      </c>
      <c r="Q115" s="1460">
        <v>4800</v>
      </c>
      <c r="R115" s="1463"/>
      <c r="S115" s="1463"/>
      <c r="T115" s="1463">
        <f t="shared" si="118"/>
        <v>4800</v>
      </c>
      <c r="U115" s="1460">
        <v>4800</v>
      </c>
      <c r="V115" s="1463"/>
      <c r="W115" s="1463"/>
      <c r="X115" s="1463">
        <f t="shared" si="119"/>
        <v>4800</v>
      </c>
      <c r="Y115" s="1460">
        <v>4800</v>
      </c>
      <c r="Z115" s="1460">
        <v>0</v>
      </c>
      <c r="AA115" s="1460">
        <v>0</v>
      </c>
      <c r="AB115" s="1460">
        <v>4736</v>
      </c>
      <c r="AC115" s="1460">
        <v>4736</v>
      </c>
      <c r="AD115" s="1460"/>
      <c r="AE115" s="1525"/>
      <c r="AF115" s="1383">
        <f t="shared" si="112"/>
        <v>4736</v>
      </c>
      <c r="AG115" s="1383">
        <f t="shared" si="113"/>
        <v>4736</v>
      </c>
      <c r="AH115" s="1383">
        <f t="shared" si="114"/>
        <v>4000</v>
      </c>
      <c r="AI115" s="1383"/>
      <c r="AJ115" s="1383">
        <v>4000</v>
      </c>
      <c r="AK115" s="1383"/>
      <c r="AL115" s="1383"/>
      <c r="AM115" s="1383"/>
      <c r="AN115" s="1464"/>
      <c r="AO115" s="1464"/>
      <c r="AP115" s="1431">
        <f t="shared" si="76"/>
        <v>0</v>
      </c>
      <c r="AQ115" s="1431">
        <f t="shared" si="89"/>
        <v>1</v>
      </c>
      <c r="AR115" s="1434">
        <f t="shared" si="124"/>
        <v>0</v>
      </c>
      <c r="AS115" s="1434"/>
      <c r="AT115" s="1427">
        <f t="shared" si="102"/>
        <v>1</v>
      </c>
      <c r="AV115" s="1427">
        <f t="shared" si="120"/>
        <v>0</v>
      </c>
      <c r="AW115" s="1427">
        <f t="shared" si="121"/>
        <v>0</v>
      </c>
      <c r="AX115" s="1427">
        <f t="shared" si="104"/>
        <v>0</v>
      </c>
      <c r="AY115" s="1427">
        <f t="shared" si="91"/>
        <v>0</v>
      </c>
      <c r="AZ115" s="1427">
        <f t="shared" si="105"/>
        <v>0</v>
      </c>
      <c r="BA115" s="1427">
        <f t="shared" si="92"/>
        <v>0</v>
      </c>
      <c r="BB115" s="1427">
        <f t="shared" si="122"/>
        <v>0</v>
      </c>
      <c r="BC115" s="1427">
        <f t="shared" si="123"/>
        <v>0</v>
      </c>
      <c r="BD115" s="1436">
        <f t="shared" si="94"/>
        <v>1</v>
      </c>
      <c r="BE115" s="1331">
        <v>18</v>
      </c>
    </row>
    <row r="116" spans="1:57" ht="80.25" customHeight="1" x14ac:dyDescent="0.3">
      <c r="A116" s="1461" t="s">
        <v>2851</v>
      </c>
      <c r="B116" s="1457"/>
      <c r="C116" s="1442" t="s">
        <v>264</v>
      </c>
      <c r="D116" s="1388" t="s">
        <v>52</v>
      </c>
      <c r="E116" s="1388" t="s">
        <v>265</v>
      </c>
      <c r="F116" s="1388">
        <v>2017</v>
      </c>
      <c r="G116" s="1388" t="s">
        <v>260</v>
      </c>
      <c r="H116" s="1443">
        <v>2302</v>
      </c>
      <c r="I116" s="1444">
        <f t="shared" si="115"/>
        <v>2302</v>
      </c>
      <c r="J116" s="1460"/>
      <c r="K116" s="1460"/>
      <c r="L116" s="1460"/>
      <c r="M116" s="1460"/>
      <c r="N116" s="1463">
        <f t="shared" si="116"/>
        <v>2200</v>
      </c>
      <c r="O116" s="1460">
        <v>2200</v>
      </c>
      <c r="P116" s="1463">
        <f t="shared" si="117"/>
        <v>2200</v>
      </c>
      <c r="Q116" s="1460">
        <v>2200</v>
      </c>
      <c r="R116" s="1463"/>
      <c r="S116" s="1463"/>
      <c r="T116" s="1463">
        <f t="shared" si="118"/>
        <v>2200</v>
      </c>
      <c r="U116" s="1460">
        <v>2200</v>
      </c>
      <c r="V116" s="1463"/>
      <c r="W116" s="1463"/>
      <c r="X116" s="1463">
        <f t="shared" si="119"/>
        <v>2200</v>
      </c>
      <c r="Y116" s="1460">
        <v>2200</v>
      </c>
      <c r="Z116" s="1460">
        <v>0</v>
      </c>
      <c r="AA116" s="1460">
        <v>0</v>
      </c>
      <c r="AB116" s="1460">
        <v>2200</v>
      </c>
      <c r="AC116" s="1460">
        <v>2200</v>
      </c>
      <c r="AD116" s="1460"/>
      <c r="AE116" s="1460"/>
      <c r="AF116" s="1383">
        <f t="shared" si="112"/>
        <v>2200</v>
      </c>
      <c r="AG116" s="1383">
        <f t="shared" si="113"/>
        <v>2200</v>
      </c>
      <c r="AH116" s="1383">
        <f t="shared" si="114"/>
        <v>1850</v>
      </c>
      <c r="AI116" s="1383"/>
      <c r="AJ116" s="1383">
        <v>1850</v>
      </c>
      <c r="AK116" s="1383"/>
      <c r="AL116" s="1383"/>
      <c r="AM116" s="1383"/>
      <c r="AN116" s="1464"/>
      <c r="AO116" s="1464"/>
      <c r="AP116" s="1431">
        <f t="shared" si="76"/>
        <v>0</v>
      </c>
      <c r="AQ116" s="1431">
        <f t="shared" si="89"/>
        <v>1</v>
      </c>
      <c r="AR116" s="1434">
        <f t="shared" si="124"/>
        <v>0</v>
      </c>
      <c r="AS116" s="1434"/>
      <c r="AT116" s="1427">
        <f t="shared" si="102"/>
        <v>1</v>
      </c>
      <c r="AV116" s="1427">
        <f t="shared" si="120"/>
        <v>0</v>
      </c>
      <c r="AW116" s="1427">
        <f t="shared" si="121"/>
        <v>0</v>
      </c>
      <c r="AX116" s="1427">
        <f t="shared" si="104"/>
        <v>0</v>
      </c>
      <c r="AY116" s="1427">
        <f t="shared" si="91"/>
        <v>0</v>
      </c>
      <c r="AZ116" s="1427">
        <f t="shared" si="105"/>
        <v>0</v>
      </c>
      <c r="BA116" s="1427">
        <f t="shared" si="92"/>
        <v>0</v>
      </c>
      <c r="BB116" s="1427">
        <f t="shared" si="122"/>
        <v>0</v>
      </c>
      <c r="BC116" s="1427">
        <f t="shared" si="123"/>
        <v>0</v>
      </c>
      <c r="BD116" s="1436">
        <f t="shared" si="94"/>
        <v>1</v>
      </c>
      <c r="BE116" s="1331">
        <v>19</v>
      </c>
    </row>
    <row r="117" spans="1:57" ht="60.75" customHeight="1" x14ac:dyDescent="0.3">
      <c r="A117" s="1461" t="s">
        <v>2852</v>
      </c>
      <c r="B117" s="1457"/>
      <c r="C117" s="1442" t="s">
        <v>266</v>
      </c>
      <c r="D117" s="1388" t="s">
        <v>99</v>
      </c>
      <c r="E117" s="1388" t="s">
        <v>267</v>
      </c>
      <c r="F117" s="1388" t="s">
        <v>109</v>
      </c>
      <c r="G117" s="1388"/>
      <c r="H117" s="1444">
        <v>14500</v>
      </c>
      <c r="I117" s="1444">
        <f>H117</f>
        <v>14500</v>
      </c>
      <c r="J117" s="1460"/>
      <c r="K117" s="1460"/>
      <c r="L117" s="1460"/>
      <c r="M117" s="1460"/>
      <c r="N117" s="1463">
        <f>O117</f>
        <v>14000</v>
      </c>
      <c r="O117" s="1460">
        <v>14000</v>
      </c>
      <c r="P117" s="1463">
        <f>Q117</f>
        <v>0</v>
      </c>
      <c r="Q117" s="1460"/>
      <c r="R117" s="1463"/>
      <c r="S117" s="1463">
        <f>O117-U117</f>
        <v>14000</v>
      </c>
      <c r="T117" s="1463">
        <f>U117</f>
        <v>0</v>
      </c>
      <c r="U117" s="1460"/>
      <c r="V117" s="1463"/>
      <c r="W117" s="1463"/>
      <c r="X117" s="1463">
        <f>Y117</f>
        <v>0</v>
      </c>
      <c r="Y117" s="1460"/>
      <c r="Z117" s="1460">
        <v>0</v>
      </c>
      <c r="AA117" s="1460">
        <v>0</v>
      </c>
      <c r="AB117" s="1460">
        <v>0</v>
      </c>
      <c r="AC117" s="1460">
        <v>0</v>
      </c>
      <c r="AD117" s="1460"/>
      <c r="AE117" s="1460"/>
      <c r="AF117" s="1383">
        <f t="shared" si="112"/>
        <v>0</v>
      </c>
      <c r="AG117" s="1383">
        <f t="shared" si="113"/>
        <v>0</v>
      </c>
      <c r="AH117" s="1383">
        <f t="shared" si="114"/>
        <v>0</v>
      </c>
      <c r="AI117" s="1383"/>
      <c r="AJ117" s="1383"/>
      <c r="AK117" s="1383"/>
      <c r="AL117" s="1383"/>
      <c r="AM117" s="1383"/>
      <c r="AN117" s="1381"/>
      <c r="AO117" s="1381"/>
      <c r="AP117" s="1431">
        <f t="shared" si="76"/>
        <v>0</v>
      </c>
      <c r="AQ117" s="1431">
        <f t="shared" si="89"/>
        <v>0</v>
      </c>
      <c r="AR117" s="1434">
        <f t="shared" si="124"/>
        <v>0</v>
      </c>
      <c r="AS117" s="1434"/>
      <c r="AT117" s="1427">
        <f t="shared" si="102"/>
        <v>1</v>
      </c>
      <c r="AV117" s="1427">
        <f t="shared" si="120"/>
        <v>1</v>
      </c>
      <c r="AW117" s="1427">
        <f t="shared" si="121"/>
        <v>14000</v>
      </c>
      <c r="AX117" s="1427">
        <f t="shared" si="104"/>
        <v>0</v>
      </c>
      <c r="AY117" s="1427">
        <f t="shared" si="91"/>
        <v>0</v>
      </c>
      <c r="AZ117" s="1427">
        <f t="shared" si="105"/>
        <v>0</v>
      </c>
      <c r="BA117" s="1427">
        <f t="shared" si="92"/>
        <v>0</v>
      </c>
      <c r="BD117" s="1436">
        <f t="shared" si="94"/>
        <v>1</v>
      </c>
    </row>
    <row r="118" spans="1:57" ht="99" customHeight="1" x14ac:dyDescent="0.3">
      <c r="A118" s="1461" t="s">
        <v>2853</v>
      </c>
      <c r="B118" s="1457"/>
      <c r="C118" s="1442" t="s">
        <v>269</v>
      </c>
      <c r="D118" s="1388" t="s">
        <v>58</v>
      </c>
      <c r="E118" s="1388" t="s">
        <v>270</v>
      </c>
      <c r="F118" s="1388" t="s">
        <v>116</v>
      </c>
      <c r="G118" s="1388" t="s">
        <v>3462</v>
      </c>
      <c r="H118" s="1444">
        <v>36191</v>
      </c>
      <c r="I118" s="1444">
        <f t="shared" ref="I118:I140" si="125">H118</f>
        <v>36191</v>
      </c>
      <c r="J118" s="1460"/>
      <c r="K118" s="1460"/>
      <c r="L118" s="1460"/>
      <c r="M118" s="1460"/>
      <c r="N118" s="1463">
        <f t="shared" ref="N118:N138" si="126">O118</f>
        <v>22700</v>
      </c>
      <c r="O118" s="1460">
        <v>22700</v>
      </c>
      <c r="P118" s="1463">
        <f t="shared" ref="P118:P125" si="127">Q118</f>
        <v>22700</v>
      </c>
      <c r="Q118" s="1460">
        <v>22700</v>
      </c>
      <c r="R118" s="1454"/>
      <c r="S118" s="1454"/>
      <c r="T118" s="1463">
        <f t="shared" ref="T118" si="128">U118</f>
        <v>22700</v>
      </c>
      <c r="U118" s="1460">
        <v>22700</v>
      </c>
      <c r="V118" s="1454">
        <v>8000</v>
      </c>
      <c r="W118" s="1454"/>
      <c r="X118" s="1463">
        <v>30700</v>
      </c>
      <c r="Y118" s="1460">
        <v>30700</v>
      </c>
      <c r="Z118" s="1460"/>
      <c r="AA118" s="1460"/>
      <c r="AB118" s="1460">
        <v>30700</v>
      </c>
      <c r="AC118" s="1460">
        <v>30700</v>
      </c>
      <c r="AD118" s="1460"/>
      <c r="AE118" s="1460"/>
      <c r="AF118" s="1383">
        <f t="shared" si="112"/>
        <v>30700</v>
      </c>
      <c r="AG118" s="1383">
        <f t="shared" si="113"/>
        <v>30700</v>
      </c>
      <c r="AH118" s="1383">
        <f t="shared" si="114"/>
        <v>30700</v>
      </c>
      <c r="AI118" s="1383"/>
      <c r="AJ118" s="1383"/>
      <c r="AK118" s="1383">
        <v>5250</v>
      </c>
      <c r="AL118" s="1383">
        <v>17450</v>
      </c>
      <c r="AM118" s="1383">
        <v>8000</v>
      </c>
      <c r="AN118" s="1381"/>
      <c r="AO118" s="1381"/>
      <c r="AP118" s="1431">
        <f t="shared" si="76"/>
        <v>0</v>
      </c>
      <c r="AQ118" s="1431">
        <f t="shared" si="89"/>
        <v>1</v>
      </c>
      <c r="AR118" s="1434">
        <f t="shared" si="124"/>
        <v>0</v>
      </c>
      <c r="AS118" s="1434"/>
      <c r="AT118" s="1427">
        <f t="shared" si="102"/>
        <v>1</v>
      </c>
      <c r="AV118" s="1427">
        <f t="shared" si="120"/>
        <v>0</v>
      </c>
      <c r="AW118" s="1427">
        <f t="shared" si="121"/>
        <v>0</v>
      </c>
      <c r="AX118" s="1427">
        <f t="shared" si="104"/>
        <v>0</v>
      </c>
      <c r="AY118" s="1427">
        <f t="shared" si="91"/>
        <v>0</v>
      </c>
      <c r="AZ118" s="1427">
        <f t="shared" si="105"/>
        <v>0</v>
      </c>
      <c r="BA118" s="1427">
        <f t="shared" si="92"/>
        <v>0</v>
      </c>
      <c r="BB118" s="1427">
        <f>IF(S118=0,0,1)</f>
        <v>0</v>
      </c>
      <c r="BC118" s="1427">
        <f>IF(BB118=1,S118,0)</f>
        <v>0</v>
      </c>
      <c r="BD118" s="1436">
        <f t="shared" si="94"/>
        <v>1</v>
      </c>
      <c r="BE118" s="1331">
        <v>20</v>
      </c>
    </row>
    <row r="119" spans="1:57" ht="56.25" x14ac:dyDescent="0.3">
      <c r="A119" s="1461" t="s">
        <v>2854</v>
      </c>
      <c r="B119" s="1457"/>
      <c r="C119" s="1442" t="s">
        <v>271</v>
      </c>
      <c r="D119" s="1388" t="s">
        <v>205</v>
      </c>
      <c r="E119" s="1388" t="s">
        <v>272</v>
      </c>
      <c r="F119" s="1388" t="s">
        <v>109</v>
      </c>
      <c r="G119" s="1388"/>
      <c r="H119" s="1444">
        <v>1300</v>
      </c>
      <c r="I119" s="1444">
        <f t="shared" si="125"/>
        <v>1300</v>
      </c>
      <c r="J119" s="1460"/>
      <c r="K119" s="1460"/>
      <c r="L119" s="1460"/>
      <c r="M119" s="1460"/>
      <c r="N119" s="1463">
        <f t="shared" si="126"/>
        <v>1100</v>
      </c>
      <c r="O119" s="1460">
        <v>1100</v>
      </c>
      <c r="P119" s="1463"/>
      <c r="Q119" s="1460"/>
      <c r="R119" s="1463"/>
      <c r="S119" s="1463">
        <f>O119-U119</f>
        <v>1100</v>
      </c>
      <c r="T119" s="1463"/>
      <c r="U119" s="1460"/>
      <c r="V119" s="1463"/>
      <c r="W119" s="1463"/>
      <c r="X119" s="1463"/>
      <c r="Y119" s="1460"/>
      <c r="Z119" s="1460"/>
      <c r="AA119" s="1460"/>
      <c r="AB119" s="1460">
        <v>0</v>
      </c>
      <c r="AC119" s="1460">
        <v>0</v>
      </c>
      <c r="AD119" s="1460"/>
      <c r="AE119" s="1460"/>
      <c r="AF119" s="1383">
        <f t="shared" si="112"/>
        <v>0</v>
      </c>
      <c r="AG119" s="1383">
        <f t="shared" si="113"/>
        <v>0</v>
      </c>
      <c r="AH119" s="1383">
        <f t="shared" si="114"/>
        <v>0</v>
      </c>
      <c r="AI119" s="1383"/>
      <c r="AJ119" s="1383"/>
      <c r="AK119" s="1383"/>
      <c r="AL119" s="1383"/>
      <c r="AM119" s="1383"/>
      <c r="AN119" s="1381"/>
      <c r="AO119" s="1381"/>
      <c r="AP119" s="1431">
        <f t="shared" si="76"/>
        <v>0</v>
      </c>
      <c r="AQ119" s="1431">
        <f t="shared" si="89"/>
        <v>0</v>
      </c>
      <c r="AR119" s="1434">
        <f t="shared" si="124"/>
        <v>0</v>
      </c>
      <c r="AS119" s="1434"/>
      <c r="AT119" s="1427">
        <f t="shared" si="102"/>
        <v>1</v>
      </c>
      <c r="AV119" s="1427">
        <v>1</v>
      </c>
      <c r="AW119" s="1435">
        <f>S119</f>
        <v>1100</v>
      </c>
      <c r="AX119" s="1427">
        <f t="shared" si="104"/>
        <v>0</v>
      </c>
      <c r="AY119" s="1427">
        <f t="shared" si="91"/>
        <v>0</v>
      </c>
      <c r="AZ119" s="1427">
        <f t="shared" si="105"/>
        <v>0</v>
      </c>
      <c r="BA119" s="1427">
        <f t="shared" si="92"/>
        <v>0</v>
      </c>
      <c r="BD119" s="1436">
        <f t="shared" si="94"/>
        <v>1</v>
      </c>
    </row>
    <row r="120" spans="1:57" ht="80.25" customHeight="1" x14ac:dyDescent="0.3">
      <c r="A120" s="1461" t="s">
        <v>2855</v>
      </c>
      <c r="B120" s="1457"/>
      <c r="C120" s="1442" t="s">
        <v>273</v>
      </c>
      <c r="D120" s="1388" t="s">
        <v>205</v>
      </c>
      <c r="E120" s="1388" t="s">
        <v>274</v>
      </c>
      <c r="F120" s="1388" t="s">
        <v>109</v>
      </c>
      <c r="G120" s="1388" t="s">
        <v>2442</v>
      </c>
      <c r="H120" s="1444">
        <v>1500</v>
      </c>
      <c r="I120" s="1444">
        <f t="shared" si="125"/>
        <v>1500</v>
      </c>
      <c r="J120" s="1460"/>
      <c r="K120" s="1460"/>
      <c r="L120" s="1460"/>
      <c r="M120" s="1460"/>
      <c r="N120" s="1463">
        <f t="shared" si="126"/>
        <v>1350</v>
      </c>
      <c r="O120" s="1460">
        <v>1350</v>
      </c>
      <c r="P120" s="1463">
        <f t="shared" si="127"/>
        <v>1350</v>
      </c>
      <c r="Q120" s="1460">
        <v>1350</v>
      </c>
      <c r="R120" s="1463"/>
      <c r="S120" s="1463"/>
      <c r="T120" s="1463">
        <f t="shared" ref="T120:T123" si="129">U120</f>
        <v>1350</v>
      </c>
      <c r="U120" s="1460">
        <v>1350</v>
      </c>
      <c r="V120" s="1463"/>
      <c r="W120" s="1463"/>
      <c r="X120" s="1463">
        <f t="shared" ref="X120:X123" si="130">Y120</f>
        <v>1350</v>
      </c>
      <c r="Y120" s="1460">
        <v>1350</v>
      </c>
      <c r="Z120" s="1460"/>
      <c r="AA120" s="1460"/>
      <c r="AB120" s="1460">
        <v>1350</v>
      </c>
      <c r="AC120" s="1460">
        <v>1350</v>
      </c>
      <c r="AD120" s="1460"/>
      <c r="AE120" s="1460"/>
      <c r="AF120" s="1383">
        <f t="shared" si="112"/>
        <v>1350</v>
      </c>
      <c r="AG120" s="1383">
        <f t="shared" si="113"/>
        <v>1350</v>
      </c>
      <c r="AH120" s="1383">
        <f t="shared" si="114"/>
        <v>1000</v>
      </c>
      <c r="AI120" s="1383"/>
      <c r="AJ120" s="1383"/>
      <c r="AK120" s="1383">
        <v>1000</v>
      </c>
      <c r="AL120" s="1383"/>
      <c r="AM120" s="1383"/>
      <c r="AN120" s="1464"/>
      <c r="AO120" s="1464"/>
      <c r="AP120" s="1431">
        <f t="shared" si="76"/>
        <v>0</v>
      </c>
      <c r="AQ120" s="1431">
        <f t="shared" si="89"/>
        <v>1</v>
      </c>
      <c r="AR120" s="1434">
        <f t="shared" si="124"/>
        <v>0</v>
      </c>
      <c r="AS120" s="1434"/>
      <c r="AT120" s="1427">
        <f t="shared" si="102"/>
        <v>1</v>
      </c>
      <c r="AV120" s="1427">
        <f t="shared" ref="AV120:AV143" si="131">IF(Q120=0,1,0)</f>
        <v>0</v>
      </c>
      <c r="AW120" s="1427">
        <f t="shared" ref="AW120:AW143" si="132">IF(AV120=1,O120,0)</f>
        <v>0</v>
      </c>
      <c r="AX120" s="1427">
        <f t="shared" si="104"/>
        <v>0</v>
      </c>
      <c r="AY120" s="1427">
        <f t="shared" si="91"/>
        <v>0</v>
      </c>
      <c r="AZ120" s="1427">
        <f t="shared" si="105"/>
        <v>0</v>
      </c>
      <c r="BA120" s="1427">
        <f t="shared" si="92"/>
        <v>0</v>
      </c>
      <c r="BB120" s="1427">
        <f>IF(S120=0,0,1)</f>
        <v>0</v>
      </c>
      <c r="BC120" s="1427">
        <f>IF(BB120=1,S120,0)</f>
        <v>0</v>
      </c>
      <c r="BD120" s="1436">
        <f t="shared" si="94"/>
        <v>1</v>
      </c>
      <c r="BE120" s="1331">
        <v>21</v>
      </c>
    </row>
    <row r="121" spans="1:57" ht="81.75" customHeight="1" x14ac:dyDescent="0.3">
      <c r="A121" s="1461" t="s">
        <v>2856</v>
      </c>
      <c r="B121" s="1457"/>
      <c r="C121" s="1442" t="s">
        <v>275</v>
      </c>
      <c r="D121" s="1388" t="s">
        <v>58</v>
      </c>
      <c r="E121" s="1388" t="s">
        <v>276</v>
      </c>
      <c r="F121" s="1388">
        <v>2018</v>
      </c>
      <c r="G121" s="1388" t="s">
        <v>2443</v>
      </c>
      <c r="H121" s="1444">
        <v>1700</v>
      </c>
      <c r="I121" s="1444">
        <f t="shared" si="125"/>
        <v>1700</v>
      </c>
      <c r="J121" s="1460"/>
      <c r="K121" s="1460"/>
      <c r="L121" s="1483"/>
      <c r="M121" s="1460"/>
      <c r="N121" s="1463">
        <f t="shared" si="126"/>
        <v>1550</v>
      </c>
      <c r="O121" s="1460">
        <v>1550</v>
      </c>
      <c r="P121" s="1463">
        <f t="shared" si="127"/>
        <v>1550</v>
      </c>
      <c r="Q121" s="1460">
        <v>1550</v>
      </c>
      <c r="R121" s="1463"/>
      <c r="S121" s="1463"/>
      <c r="T121" s="1463">
        <f t="shared" si="129"/>
        <v>1550</v>
      </c>
      <c r="U121" s="1460">
        <v>1550</v>
      </c>
      <c r="V121" s="1463"/>
      <c r="W121" s="1463"/>
      <c r="X121" s="1463">
        <f t="shared" si="130"/>
        <v>1550</v>
      </c>
      <c r="Y121" s="1460">
        <v>1550</v>
      </c>
      <c r="Z121" s="1460"/>
      <c r="AA121" s="1460"/>
      <c r="AB121" s="1460">
        <v>1550</v>
      </c>
      <c r="AC121" s="1460">
        <v>1550</v>
      </c>
      <c r="AD121" s="1460"/>
      <c r="AE121" s="1460"/>
      <c r="AF121" s="1383">
        <f t="shared" si="112"/>
        <v>1550</v>
      </c>
      <c r="AG121" s="1383">
        <f t="shared" si="113"/>
        <v>1550</v>
      </c>
      <c r="AH121" s="1383">
        <f t="shared" si="114"/>
        <v>1400</v>
      </c>
      <c r="AI121" s="1383"/>
      <c r="AJ121" s="1383"/>
      <c r="AK121" s="1383">
        <v>1400</v>
      </c>
      <c r="AL121" s="1383"/>
      <c r="AM121" s="1383"/>
      <c r="AN121" s="1464"/>
      <c r="AO121" s="1464"/>
      <c r="AP121" s="1431">
        <f t="shared" si="76"/>
        <v>0</v>
      </c>
      <c r="AQ121" s="1431">
        <f t="shared" si="89"/>
        <v>1</v>
      </c>
      <c r="AR121" s="1434">
        <f t="shared" si="124"/>
        <v>0</v>
      </c>
      <c r="AS121" s="1434"/>
      <c r="AT121" s="1427">
        <f t="shared" si="102"/>
        <v>1</v>
      </c>
      <c r="AV121" s="1427">
        <f t="shared" si="131"/>
        <v>0</v>
      </c>
      <c r="AW121" s="1427">
        <f t="shared" si="132"/>
        <v>0</v>
      </c>
      <c r="AX121" s="1427">
        <f t="shared" si="104"/>
        <v>0</v>
      </c>
      <c r="AY121" s="1427">
        <f t="shared" si="91"/>
        <v>0</v>
      </c>
      <c r="AZ121" s="1427">
        <f t="shared" si="105"/>
        <v>0</v>
      </c>
      <c r="BA121" s="1427">
        <f t="shared" si="92"/>
        <v>0</v>
      </c>
      <c r="BB121" s="1427">
        <f>IF(S121=0,0,1)</f>
        <v>0</v>
      </c>
      <c r="BC121" s="1427">
        <f>IF(BB121=1,S121,0)</f>
        <v>0</v>
      </c>
      <c r="BD121" s="1436">
        <f t="shared" si="94"/>
        <v>1</v>
      </c>
      <c r="BE121" s="1331">
        <v>22</v>
      </c>
    </row>
    <row r="122" spans="1:57" ht="61.5" customHeight="1" x14ac:dyDescent="0.3">
      <c r="A122" s="1461" t="s">
        <v>2857</v>
      </c>
      <c r="B122" s="1457"/>
      <c r="C122" s="1442" t="s">
        <v>277</v>
      </c>
      <c r="D122" s="1388" t="s">
        <v>146</v>
      </c>
      <c r="E122" s="1388" t="s">
        <v>278</v>
      </c>
      <c r="F122" s="1388" t="s">
        <v>116</v>
      </c>
      <c r="G122" s="1388" t="s">
        <v>900</v>
      </c>
      <c r="H122" s="1444">
        <f>I122</f>
        <v>10993</v>
      </c>
      <c r="I122" s="1444">
        <v>10993</v>
      </c>
      <c r="J122" s="1460"/>
      <c r="K122" s="1460"/>
      <c r="L122" s="1460"/>
      <c r="M122" s="1460"/>
      <c r="N122" s="1463">
        <f t="shared" si="126"/>
        <v>9160</v>
      </c>
      <c r="O122" s="1460">
        <v>9160</v>
      </c>
      <c r="P122" s="1463">
        <f t="shared" si="127"/>
        <v>9160</v>
      </c>
      <c r="Q122" s="1460">
        <v>9160</v>
      </c>
      <c r="R122" s="1463"/>
      <c r="S122" s="1463"/>
      <c r="T122" s="1463">
        <f t="shared" si="129"/>
        <v>9160</v>
      </c>
      <c r="U122" s="1460">
        <v>9160</v>
      </c>
      <c r="V122" s="1463"/>
      <c r="W122" s="1463"/>
      <c r="X122" s="1463">
        <f t="shared" si="130"/>
        <v>9160</v>
      </c>
      <c r="Y122" s="1460">
        <v>9160</v>
      </c>
      <c r="Z122" s="1460"/>
      <c r="AA122" s="1460"/>
      <c r="AB122" s="1460">
        <v>9160</v>
      </c>
      <c r="AC122" s="1460">
        <v>9160</v>
      </c>
      <c r="AD122" s="1460"/>
      <c r="AE122" s="1460"/>
      <c r="AF122" s="1383">
        <f t="shared" si="112"/>
        <v>9160</v>
      </c>
      <c r="AG122" s="1383">
        <f t="shared" si="113"/>
        <v>9160</v>
      </c>
      <c r="AH122" s="1383">
        <f t="shared" si="114"/>
        <v>9350</v>
      </c>
      <c r="AI122" s="1383"/>
      <c r="AJ122" s="1383"/>
      <c r="AK122" s="1383">
        <v>9350</v>
      </c>
      <c r="AL122" s="1383"/>
      <c r="AM122" s="1383"/>
      <c r="AN122" s="1381"/>
      <c r="AO122" s="1464"/>
      <c r="AP122" s="1431">
        <f t="shared" si="76"/>
        <v>0</v>
      </c>
      <c r="AQ122" s="1431">
        <f t="shared" si="89"/>
        <v>1</v>
      </c>
      <c r="AR122" s="1434">
        <f t="shared" si="124"/>
        <v>0</v>
      </c>
      <c r="AS122" s="1434"/>
      <c r="AT122" s="1427">
        <f t="shared" si="102"/>
        <v>1</v>
      </c>
      <c r="AV122" s="1427">
        <f t="shared" si="131"/>
        <v>0</v>
      </c>
      <c r="AW122" s="1427">
        <f t="shared" si="132"/>
        <v>0</v>
      </c>
      <c r="AX122" s="1427">
        <f t="shared" si="104"/>
        <v>0</v>
      </c>
      <c r="AY122" s="1427">
        <f t="shared" si="91"/>
        <v>0</v>
      </c>
      <c r="AZ122" s="1427">
        <f t="shared" si="105"/>
        <v>0</v>
      </c>
      <c r="BA122" s="1427">
        <f t="shared" si="92"/>
        <v>0</v>
      </c>
      <c r="BB122" s="1427">
        <f>IF(S122=0,0,1)</f>
        <v>0</v>
      </c>
      <c r="BC122" s="1427">
        <f>IF(BB122=1,S122,0)</f>
        <v>0</v>
      </c>
      <c r="BD122" s="1436">
        <f t="shared" si="94"/>
        <v>1</v>
      </c>
      <c r="BE122" s="1331">
        <v>23</v>
      </c>
    </row>
    <row r="123" spans="1:57" ht="79.5" customHeight="1" x14ac:dyDescent="0.3">
      <c r="A123" s="1461" t="s">
        <v>2858</v>
      </c>
      <c r="B123" s="1457"/>
      <c r="C123" s="1442" t="s">
        <v>279</v>
      </c>
      <c r="D123" s="1388" t="s">
        <v>146</v>
      </c>
      <c r="E123" s="1388" t="s">
        <v>280</v>
      </c>
      <c r="F123" s="1388" t="s">
        <v>116</v>
      </c>
      <c r="G123" s="1388" t="s">
        <v>2444</v>
      </c>
      <c r="H123" s="1443">
        <v>3600</v>
      </c>
      <c r="I123" s="1444">
        <f t="shared" si="125"/>
        <v>3600</v>
      </c>
      <c r="J123" s="1460"/>
      <c r="K123" s="1460"/>
      <c r="L123" s="1460"/>
      <c r="M123" s="1460"/>
      <c r="N123" s="1463">
        <f t="shared" si="126"/>
        <v>3300</v>
      </c>
      <c r="O123" s="1460">
        <v>3300</v>
      </c>
      <c r="P123" s="1463">
        <f t="shared" si="127"/>
        <v>3300</v>
      </c>
      <c r="Q123" s="1460">
        <v>3300</v>
      </c>
      <c r="R123" s="1463"/>
      <c r="S123" s="1463"/>
      <c r="T123" s="1463">
        <f t="shared" si="129"/>
        <v>3300</v>
      </c>
      <c r="U123" s="1460">
        <v>3300</v>
      </c>
      <c r="V123" s="1463"/>
      <c r="W123" s="1463"/>
      <c r="X123" s="1463">
        <f t="shared" si="130"/>
        <v>3300</v>
      </c>
      <c r="Y123" s="1460">
        <v>3300</v>
      </c>
      <c r="Z123" s="1460"/>
      <c r="AA123" s="1460"/>
      <c r="AB123" s="1460">
        <v>3300</v>
      </c>
      <c r="AC123" s="1460">
        <v>3300</v>
      </c>
      <c r="AD123" s="1460"/>
      <c r="AE123" s="1460"/>
      <c r="AF123" s="1383">
        <f t="shared" si="112"/>
        <v>3300</v>
      </c>
      <c r="AG123" s="1383">
        <f t="shared" si="113"/>
        <v>3300</v>
      </c>
      <c r="AH123" s="1383">
        <f t="shared" si="114"/>
        <v>2240</v>
      </c>
      <c r="AI123" s="1383"/>
      <c r="AJ123" s="1383"/>
      <c r="AK123" s="1383">
        <v>2240</v>
      </c>
      <c r="AL123" s="1383"/>
      <c r="AM123" s="1383"/>
      <c r="AN123" s="1464"/>
      <c r="AO123" s="1464"/>
      <c r="AP123" s="1431">
        <f t="shared" si="76"/>
        <v>0</v>
      </c>
      <c r="AQ123" s="1431">
        <f t="shared" si="89"/>
        <v>1</v>
      </c>
      <c r="AR123" s="1434">
        <f t="shared" si="124"/>
        <v>0</v>
      </c>
      <c r="AS123" s="1434"/>
      <c r="AT123" s="1427">
        <f t="shared" si="102"/>
        <v>1</v>
      </c>
      <c r="AV123" s="1427">
        <f t="shared" si="131"/>
        <v>0</v>
      </c>
      <c r="AW123" s="1427">
        <f t="shared" si="132"/>
        <v>0</v>
      </c>
      <c r="AX123" s="1427">
        <f t="shared" si="104"/>
        <v>0</v>
      </c>
      <c r="AY123" s="1427">
        <f t="shared" si="91"/>
        <v>0</v>
      </c>
      <c r="AZ123" s="1427">
        <f t="shared" si="105"/>
        <v>0</v>
      </c>
      <c r="BA123" s="1427">
        <f t="shared" si="92"/>
        <v>0</v>
      </c>
      <c r="BB123" s="1427">
        <f>IF(S123=0,0,1)</f>
        <v>0</v>
      </c>
      <c r="BC123" s="1427">
        <f>IF(BB123=1,S123,0)</f>
        <v>0</v>
      </c>
      <c r="BD123" s="1436">
        <f t="shared" si="94"/>
        <v>1</v>
      </c>
      <c r="BE123" s="1331">
        <v>24</v>
      </c>
    </row>
    <row r="124" spans="1:57" ht="61.5" customHeight="1" x14ac:dyDescent="0.3">
      <c r="A124" s="1461" t="s">
        <v>2859</v>
      </c>
      <c r="B124" s="1457"/>
      <c r="C124" s="1462" t="s">
        <v>281</v>
      </c>
      <c r="D124" s="1388" t="s">
        <v>99</v>
      </c>
      <c r="E124" s="1388" t="s">
        <v>282</v>
      </c>
      <c r="F124" s="1482" t="s">
        <v>199</v>
      </c>
      <c r="G124" s="1388" t="s">
        <v>283</v>
      </c>
      <c r="H124" s="1476">
        <v>1705</v>
      </c>
      <c r="I124" s="1476">
        <v>1705</v>
      </c>
      <c r="J124" s="1460"/>
      <c r="K124" s="1476"/>
      <c r="L124" s="1460"/>
      <c r="M124" s="1460"/>
      <c r="N124" s="1463">
        <f t="shared" si="126"/>
        <v>1620</v>
      </c>
      <c r="O124" s="1460">
        <v>1620</v>
      </c>
      <c r="P124" s="1463"/>
      <c r="Q124" s="1460"/>
      <c r="R124" s="1463"/>
      <c r="S124" s="1463">
        <f>O124-U124</f>
        <v>1620</v>
      </c>
      <c r="T124" s="1463"/>
      <c r="U124" s="1460"/>
      <c r="V124" s="1463"/>
      <c r="W124" s="1463"/>
      <c r="X124" s="1463"/>
      <c r="Y124" s="1460"/>
      <c r="Z124" s="1460"/>
      <c r="AA124" s="1460"/>
      <c r="AB124" s="1460">
        <v>0</v>
      </c>
      <c r="AC124" s="1460">
        <v>0</v>
      </c>
      <c r="AD124" s="1460"/>
      <c r="AE124" s="1460"/>
      <c r="AF124" s="1383">
        <f t="shared" si="112"/>
        <v>0</v>
      </c>
      <c r="AG124" s="1383">
        <f t="shared" si="113"/>
        <v>0</v>
      </c>
      <c r="AH124" s="1383">
        <f t="shared" si="114"/>
        <v>0</v>
      </c>
      <c r="AI124" s="1383"/>
      <c r="AJ124" s="1383"/>
      <c r="AK124" s="1383"/>
      <c r="AL124" s="1383"/>
      <c r="AM124" s="1383"/>
      <c r="AN124" s="1381"/>
      <c r="AO124" s="1381"/>
      <c r="AP124" s="1431">
        <f t="shared" si="76"/>
        <v>0</v>
      </c>
      <c r="AQ124" s="1431">
        <f t="shared" si="89"/>
        <v>0</v>
      </c>
      <c r="AR124" s="1434">
        <f t="shared" si="124"/>
        <v>0</v>
      </c>
      <c r="AS124" s="1434"/>
      <c r="AT124" s="1427">
        <f t="shared" si="102"/>
        <v>1</v>
      </c>
      <c r="AV124" s="1427">
        <f t="shared" si="131"/>
        <v>1</v>
      </c>
      <c r="AW124" s="1427">
        <f t="shared" si="132"/>
        <v>1620</v>
      </c>
      <c r="AX124" s="1427">
        <f t="shared" si="104"/>
        <v>0</v>
      </c>
      <c r="AY124" s="1427">
        <f t="shared" si="91"/>
        <v>0</v>
      </c>
      <c r="AZ124" s="1427">
        <f t="shared" si="105"/>
        <v>0</v>
      </c>
      <c r="BA124" s="1427">
        <f t="shared" si="92"/>
        <v>0</v>
      </c>
      <c r="BD124" s="1436">
        <f t="shared" si="94"/>
        <v>1</v>
      </c>
    </row>
    <row r="125" spans="1:57" ht="82.5" customHeight="1" x14ac:dyDescent="0.3">
      <c r="A125" s="1461" t="s">
        <v>2860</v>
      </c>
      <c r="B125" s="1457"/>
      <c r="C125" s="1442" t="s">
        <v>285</v>
      </c>
      <c r="D125" s="1388" t="s">
        <v>286</v>
      </c>
      <c r="E125" s="1388" t="s">
        <v>287</v>
      </c>
      <c r="F125" s="1388" t="s">
        <v>332</v>
      </c>
      <c r="G125" s="1388"/>
      <c r="H125" s="1444">
        <f>I125</f>
        <v>52000</v>
      </c>
      <c r="I125" s="1444">
        <v>52000</v>
      </c>
      <c r="J125" s="1460"/>
      <c r="K125" s="1460"/>
      <c r="L125" s="1460"/>
      <c r="M125" s="1460"/>
      <c r="N125" s="1463">
        <f t="shared" si="126"/>
        <v>25000</v>
      </c>
      <c r="O125" s="1460">
        <v>25000</v>
      </c>
      <c r="P125" s="1463">
        <f t="shared" si="127"/>
        <v>25000</v>
      </c>
      <c r="Q125" s="1460">
        <v>25000</v>
      </c>
      <c r="R125" s="1463"/>
      <c r="S125" s="1463"/>
      <c r="T125" s="1463">
        <f t="shared" ref="T125" si="133">U125</f>
        <v>25000</v>
      </c>
      <c r="U125" s="1460">
        <v>25000</v>
      </c>
      <c r="V125" s="1463"/>
      <c r="W125" s="1463">
        <v>23500</v>
      </c>
      <c r="X125" s="1463">
        <f t="shared" ref="X125" si="134">Y125</f>
        <v>1500</v>
      </c>
      <c r="Y125" s="1460">
        <f>U125-W125</f>
        <v>1500</v>
      </c>
      <c r="Z125" s="1460"/>
      <c r="AA125" s="1460"/>
      <c r="AB125" s="1460">
        <v>1500</v>
      </c>
      <c r="AC125" s="1460">
        <v>1500</v>
      </c>
      <c r="AD125" s="1460"/>
      <c r="AE125" s="1460"/>
      <c r="AF125" s="1383">
        <f t="shared" si="112"/>
        <v>1500</v>
      </c>
      <c r="AG125" s="1383">
        <f t="shared" si="113"/>
        <v>1500</v>
      </c>
      <c r="AH125" s="1383">
        <f t="shared" si="114"/>
        <v>0</v>
      </c>
      <c r="AI125" s="1383"/>
      <c r="AJ125" s="1383"/>
      <c r="AK125" s="1383"/>
      <c r="AL125" s="1383"/>
      <c r="AM125" s="1383"/>
      <c r="AN125" s="1381"/>
      <c r="AO125" s="1381"/>
      <c r="AP125" s="1431">
        <f t="shared" si="76"/>
        <v>0</v>
      </c>
      <c r="AQ125" s="1431">
        <f t="shared" ref="AQ125:AQ151" si="135">IF(Y125=0,0,1)</f>
        <v>1</v>
      </c>
      <c r="AR125" s="1434">
        <f t="shared" si="124"/>
        <v>0</v>
      </c>
      <c r="AS125" s="1434"/>
      <c r="AT125" s="1427">
        <f t="shared" si="102"/>
        <v>1</v>
      </c>
      <c r="AV125" s="1427">
        <f t="shared" si="131"/>
        <v>0</v>
      </c>
      <c r="AW125" s="1427">
        <f t="shared" si="132"/>
        <v>0</v>
      </c>
      <c r="AX125" s="1427">
        <f t="shared" si="104"/>
        <v>0</v>
      </c>
      <c r="AY125" s="1427">
        <f t="shared" ref="AY125:AY143" si="136">IF(AX125=1,Q125,0)</f>
        <v>0</v>
      </c>
      <c r="AZ125" s="1427">
        <f t="shared" si="105"/>
        <v>0</v>
      </c>
      <c r="BA125" s="1427">
        <f t="shared" si="92"/>
        <v>0</v>
      </c>
      <c r="BB125" s="1427">
        <f>IF(S125=0,0,1)</f>
        <v>0</v>
      </c>
      <c r="BC125" s="1427">
        <f>IF(BB125=1,S125,0)</f>
        <v>0</v>
      </c>
      <c r="BD125" s="1436">
        <f t="shared" ref="BD125:BD152" si="137">IF(I125-Y125&gt;=0,1,0)</f>
        <v>1</v>
      </c>
      <c r="BE125" s="1331">
        <v>25</v>
      </c>
    </row>
    <row r="126" spans="1:57" ht="39.75" customHeight="1" x14ac:dyDescent="0.3">
      <c r="A126" s="1461" t="s">
        <v>2861</v>
      </c>
      <c r="B126" s="1457"/>
      <c r="C126" s="1442" t="s">
        <v>288</v>
      </c>
      <c r="D126" s="1388" t="s">
        <v>58</v>
      </c>
      <c r="E126" s="1388" t="s">
        <v>289</v>
      </c>
      <c r="F126" s="1388" t="s">
        <v>290</v>
      </c>
      <c r="G126" s="1388"/>
      <c r="H126" s="1443">
        <v>4000</v>
      </c>
      <c r="I126" s="1444">
        <f>H126</f>
        <v>4000</v>
      </c>
      <c r="J126" s="1460"/>
      <c r="K126" s="1460"/>
      <c r="L126" s="1460"/>
      <c r="M126" s="1460"/>
      <c r="N126" s="1463">
        <f>O126</f>
        <v>3600</v>
      </c>
      <c r="O126" s="1460">
        <v>3600</v>
      </c>
      <c r="P126" s="1463"/>
      <c r="Q126" s="1460"/>
      <c r="R126" s="1463"/>
      <c r="S126" s="1463">
        <f>O126-U126</f>
        <v>3600</v>
      </c>
      <c r="T126" s="1463"/>
      <c r="U126" s="1460"/>
      <c r="V126" s="1463"/>
      <c r="W126" s="1463"/>
      <c r="X126" s="1463"/>
      <c r="Y126" s="1460"/>
      <c r="Z126" s="1460"/>
      <c r="AA126" s="1460"/>
      <c r="AB126" s="1460">
        <v>0</v>
      </c>
      <c r="AC126" s="1460">
        <v>0</v>
      </c>
      <c r="AD126" s="1460"/>
      <c r="AE126" s="1460"/>
      <c r="AF126" s="1383">
        <f t="shared" si="112"/>
        <v>0</v>
      </c>
      <c r="AG126" s="1383">
        <f t="shared" si="113"/>
        <v>0</v>
      </c>
      <c r="AH126" s="1383">
        <f t="shared" si="114"/>
        <v>0</v>
      </c>
      <c r="AI126" s="1383"/>
      <c r="AJ126" s="1383"/>
      <c r="AK126" s="1383"/>
      <c r="AL126" s="1383"/>
      <c r="AM126" s="1383"/>
      <c r="AN126" s="1381"/>
      <c r="AO126" s="1381"/>
      <c r="AP126" s="1431">
        <f t="shared" si="76"/>
        <v>0</v>
      </c>
      <c r="AQ126" s="1431">
        <f t="shared" si="135"/>
        <v>0</v>
      </c>
      <c r="AR126" s="1434">
        <f t="shared" si="124"/>
        <v>0</v>
      </c>
      <c r="AS126" s="1434"/>
      <c r="AT126" s="1427">
        <f t="shared" si="102"/>
        <v>1</v>
      </c>
      <c r="AV126" s="1427">
        <f t="shared" si="131"/>
        <v>1</v>
      </c>
      <c r="AW126" s="1427">
        <f t="shared" si="132"/>
        <v>3600</v>
      </c>
      <c r="AX126" s="1427">
        <f t="shared" si="104"/>
        <v>0</v>
      </c>
      <c r="AY126" s="1427">
        <f t="shared" si="136"/>
        <v>0</v>
      </c>
      <c r="AZ126" s="1427">
        <f t="shared" si="105"/>
        <v>0</v>
      </c>
      <c r="BA126" s="1427">
        <f t="shared" si="92"/>
        <v>0</v>
      </c>
      <c r="BD126" s="1436">
        <f t="shared" si="137"/>
        <v>1</v>
      </c>
    </row>
    <row r="127" spans="1:57" ht="63.75" customHeight="1" x14ac:dyDescent="0.3">
      <c r="A127" s="1461" t="s">
        <v>2862</v>
      </c>
      <c r="B127" s="1457" t="s">
        <v>2834</v>
      </c>
      <c r="C127" s="1442" t="s">
        <v>292</v>
      </c>
      <c r="D127" s="1388" t="s">
        <v>58</v>
      </c>
      <c r="E127" s="1388" t="s">
        <v>293</v>
      </c>
      <c r="F127" s="1388" t="s">
        <v>116</v>
      </c>
      <c r="G127" s="1388" t="s">
        <v>294</v>
      </c>
      <c r="H127" s="1443">
        <v>42026</v>
      </c>
      <c r="I127" s="1444">
        <f t="shared" si="125"/>
        <v>42026</v>
      </c>
      <c r="J127" s="1460"/>
      <c r="K127" s="1460"/>
      <c r="L127" s="1460"/>
      <c r="M127" s="1460"/>
      <c r="N127" s="1463">
        <v>12200</v>
      </c>
      <c r="O127" s="1460">
        <f>N127</f>
        <v>12200</v>
      </c>
      <c r="P127" s="1463">
        <f>Q127</f>
        <v>25000</v>
      </c>
      <c r="Q127" s="1460">
        <v>25000</v>
      </c>
      <c r="R127" s="1463">
        <f t="shared" ref="R127:R128" si="138">U127-O127</f>
        <v>12800</v>
      </c>
      <c r="S127" s="1463"/>
      <c r="T127" s="1463">
        <f>U127</f>
        <v>25000</v>
      </c>
      <c r="U127" s="1460">
        <v>25000</v>
      </c>
      <c r="V127" s="1463">
        <v>3000</v>
      </c>
      <c r="W127" s="1463"/>
      <c r="X127" s="1463">
        <f>Y127</f>
        <v>28000</v>
      </c>
      <c r="Y127" s="1460">
        <v>28000</v>
      </c>
      <c r="Z127" s="1460"/>
      <c r="AA127" s="1460"/>
      <c r="AB127" s="1460">
        <v>37500</v>
      </c>
      <c r="AC127" s="1460">
        <v>37500</v>
      </c>
      <c r="AD127" s="1460"/>
      <c r="AE127" s="1460"/>
      <c r="AF127" s="1383">
        <f t="shared" si="112"/>
        <v>37500</v>
      </c>
      <c r="AG127" s="1383">
        <f t="shared" si="113"/>
        <v>37500</v>
      </c>
      <c r="AH127" s="1383">
        <f t="shared" si="114"/>
        <v>27999</v>
      </c>
      <c r="AI127" s="1383"/>
      <c r="AJ127" s="1383"/>
      <c r="AK127" s="1383">
        <v>6600</v>
      </c>
      <c r="AL127" s="1383">
        <v>5119</v>
      </c>
      <c r="AM127" s="1383">
        <v>16280</v>
      </c>
      <c r="AN127" s="1381"/>
      <c r="AO127" s="1381"/>
      <c r="AP127" s="1431">
        <f t="shared" si="76"/>
        <v>0</v>
      </c>
      <c r="AQ127" s="1431">
        <f t="shared" si="135"/>
        <v>1</v>
      </c>
      <c r="AR127" s="1434">
        <f t="shared" si="124"/>
        <v>0</v>
      </c>
      <c r="AS127" s="1434"/>
      <c r="AT127" s="1427">
        <f t="shared" si="102"/>
        <v>1</v>
      </c>
      <c r="AV127" s="1427">
        <f t="shared" si="131"/>
        <v>0</v>
      </c>
      <c r="AW127" s="1427">
        <f t="shared" si="132"/>
        <v>0</v>
      </c>
      <c r="AX127" s="1427">
        <f t="shared" si="104"/>
        <v>0</v>
      </c>
      <c r="AY127" s="1427">
        <f t="shared" si="136"/>
        <v>0</v>
      </c>
      <c r="AZ127" s="1427">
        <f t="shared" si="105"/>
        <v>1</v>
      </c>
      <c r="BA127" s="1427">
        <f t="shared" si="92"/>
        <v>12800</v>
      </c>
      <c r="BB127" s="1427">
        <f>IF(S127=0,0,1)</f>
        <v>0</v>
      </c>
      <c r="BC127" s="1427">
        <f>IF(BB127=1,S127,0)</f>
        <v>0</v>
      </c>
      <c r="BD127" s="1436">
        <f t="shared" si="137"/>
        <v>1</v>
      </c>
      <c r="BE127" s="1331">
        <v>26</v>
      </c>
    </row>
    <row r="128" spans="1:57" ht="63" customHeight="1" x14ac:dyDescent="0.3">
      <c r="A128" s="1461" t="s">
        <v>2863</v>
      </c>
      <c r="B128" s="1457" t="s">
        <v>2835</v>
      </c>
      <c r="C128" s="1442" t="s">
        <v>295</v>
      </c>
      <c r="D128" s="1388" t="s">
        <v>58</v>
      </c>
      <c r="E128" s="1388" t="s">
        <v>296</v>
      </c>
      <c r="F128" s="1388" t="s">
        <v>116</v>
      </c>
      <c r="G128" s="1388" t="s">
        <v>297</v>
      </c>
      <c r="H128" s="1443">
        <v>14460</v>
      </c>
      <c r="I128" s="1444">
        <f t="shared" si="125"/>
        <v>14460</v>
      </c>
      <c r="J128" s="1460"/>
      <c r="K128" s="1460"/>
      <c r="L128" s="1460"/>
      <c r="M128" s="1460"/>
      <c r="N128" s="1463">
        <v>7550</v>
      </c>
      <c r="O128" s="1460">
        <f>N128</f>
        <v>7550</v>
      </c>
      <c r="P128" s="1463">
        <f>Q128</f>
        <v>13500</v>
      </c>
      <c r="Q128" s="1460">
        <v>13500</v>
      </c>
      <c r="R128" s="1463">
        <f t="shared" si="138"/>
        <v>5950</v>
      </c>
      <c r="S128" s="1463"/>
      <c r="T128" s="1463">
        <f>U128</f>
        <v>13500</v>
      </c>
      <c r="U128" s="1460">
        <v>13500</v>
      </c>
      <c r="V128" s="1463"/>
      <c r="W128" s="1463"/>
      <c r="X128" s="1463">
        <f>Y128</f>
        <v>13500</v>
      </c>
      <c r="Y128" s="1460">
        <v>13500</v>
      </c>
      <c r="Z128" s="1460"/>
      <c r="AA128" s="1460"/>
      <c r="AB128" s="1460">
        <v>13250</v>
      </c>
      <c r="AC128" s="1460">
        <v>13250</v>
      </c>
      <c r="AD128" s="1460"/>
      <c r="AE128" s="1525"/>
      <c r="AF128" s="1383">
        <f t="shared" si="112"/>
        <v>13250</v>
      </c>
      <c r="AG128" s="1383">
        <f t="shared" si="113"/>
        <v>13250</v>
      </c>
      <c r="AH128" s="1383">
        <f t="shared" si="114"/>
        <v>13235</v>
      </c>
      <c r="AI128" s="1383"/>
      <c r="AJ128" s="1383"/>
      <c r="AK128" s="1383">
        <v>3885</v>
      </c>
      <c r="AL128" s="1383">
        <v>8880</v>
      </c>
      <c r="AM128" s="1383">
        <f>720-250</f>
        <v>470</v>
      </c>
      <c r="AN128" s="1381"/>
      <c r="AO128" s="1381"/>
      <c r="AP128" s="1431">
        <f t="shared" si="76"/>
        <v>0</v>
      </c>
      <c r="AQ128" s="1431">
        <f t="shared" si="135"/>
        <v>1</v>
      </c>
      <c r="AR128" s="1434">
        <f t="shared" si="124"/>
        <v>0</v>
      </c>
      <c r="AS128" s="1434"/>
      <c r="AT128" s="1427">
        <f t="shared" si="102"/>
        <v>1</v>
      </c>
      <c r="AV128" s="1427">
        <f t="shared" si="131"/>
        <v>0</v>
      </c>
      <c r="AW128" s="1427">
        <f t="shared" si="132"/>
        <v>0</v>
      </c>
      <c r="AX128" s="1427">
        <f t="shared" si="104"/>
        <v>0</v>
      </c>
      <c r="AY128" s="1427">
        <f t="shared" si="136"/>
        <v>0</v>
      </c>
      <c r="AZ128" s="1427">
        <f t="shared" si="105"/>
        <v>1</v>
      </c>
      <c r="BA128" s="1427">
        <f t="shared" si="92"/>
        <v>5950</v>
      </c>
      <c r="BB128" s="1427">
        <f>IF(S128=0,0,1)</f>
        <v>0</v>
      </c>
      <c r="BC128" s="1427">
        <f>IF(BB128=1,S128,0)</f>
        <v>0</v>
      </c>
      <c r="BD128" s="1436">
        <f t="shared" si="137"/>
        <v>1</v>
      </c>
      <c r="BE128" s="1331">
        <v>27</v>
      </c>
    </row>
    <row r="129" spans="1:57" ht="42" customHeight="1" x14ac:dyDescent="0.3">
      <c r="A129" s="1461" t="s">
        <v>2864</v>
      </c>
      <c r="B129" s="1457"/>
      <c r="C129" s="1442" t="s">
        <v>301</v>
      </c>
      <c r="D129" s="1388" t="s">
        <v>205</v>
      </c>
      <c r="E129" s="1388" t="s">
        <v>302</v>
      </c>
      <c r="F129" s="1388" t="s">
        <v>116</v>
      </c>
      <c r="G129" s="1388"/>
      <c r="H129" s="1443">
        <f>I129</f>
        <v>9500</v>
      </c>
      <c r="I129" s="1444">
        <f>9500</f>
        <v>9500</v>
      </c>
      <c r="J129" s="1460"/>
      <c r="K129" s="1460"/>
      <c r="L129" s="1460"/>
      <c r="M129" s="1460"/>
      <c r="N129" s="1463">
        <v>8000</v>
      </c>
      <c r="O129" s="1460">
        <f>N129</f>
        <v>8000</v>
      </c>
      <c r="P129" s="1463">
        <f>Q129</f>
        <v>9148</v>
      </c>
      <c r="Q129" s="1460">
        <v>9148</v>
      </c>
      <c r="R129" s="1463"/>
      <c r="S129" s="1463">
        <f>O129-U129</f>
        <v>8000</v>
      </c>
      <c r="T129" s="1463"/>
      <c r="U129" s="1460"/>
      <c r="V129" s="1463"/>
      <c r="W129" s="1463"/>
      <c r="X129" s="1463"/>
      <c r="Y129" s="1460"/>
      <c r="Z129" s="1460"/>
      <c r="AA129" s="1460"/>
      <c r="AB129" s="1460">
        <v>0</v>
      </c>
      <c r="AC129" s="1460">
        <v>0</v>
      </c>
      <c r="AD129" s="1460"/>
      <c r="AE129" s="1460"/>
      <c r="AF129" s="1383">
        <f t="shared" si="112"/>
        <v>0</v>
      </c>
      <c r="AG129" s="1383">
        <f t="shared" si="113"/>
        <v>0</v>
      </c>
      <c r="AH129" s="1383">
        <f t="shared" si="114"/>
        <v>0</v>
      </c>
      <c r="AI129" s="1383"/>
      <c r="AJ129" s="1383"/>
      <c r="AK129" s="1383"/>
      <c r="AL129" s="1383"/>
      <c r="AM129" s="1383"/>
      <c r="AN129" s="1381"/>
      <c r="AO129" s="1381"/>
      <c r="AP129" s="1431">
        <f t="shared" si="76"/>
        <v>0</v>
      </c>
      <c r="AQ129" s="1431">
        <f t="shared" si="135"/>
        <v>0</v>
      </c>
      <c r="AR129" s="1434">
        <f t="shared" si="124"/>
        <v>0</v>
      </c>
      <c r="AS129" s="1434"/>
      <c r="AT129" s="1427">
        <f t="shared" si="102"/>
        <v>1</v>
      </c>
      <c r="AV129" s="1427">
        <f t="shared" si="131"/>
        <v>0</v>
      </c>
      <c r="AW129" s="1427">
        <f t="shared" si="132"/>
        <v>0</v>
      </c>
      <c r="AX129" s="1427">
        <f t="shared" si="104"/>
        <v>0</v>
      </c>
      <c r="AY129" s="1427">
        <f t="shared" si="136"/>
        <v>0</v>
      </c>
      <c r="AZ129" s="1427">
        <f t="shared" si="105"/>
        <v>0</v>
      </c>
      <c r="BA129" s="1427">
        <f t="shared" si="92"/>
        <v>0</v>
      </c>
      <c r="BB129" s="1427">
        <f>IF(S129=0,0,1)</f>
        <v>1</v>
      </c>
      <c r="BC129" s="1427">
        <f>IF(BB129=1,S129,0)</f>
        <v>8000</v>
      </c>
      <c r="BD129" s="1436">
        <f t="shared" si="137"/>
        <v>1</v>
      </c>
    </row>
    <row r="130" spans="1:57" ht="64.5" customHeight="1" x14ac:dyDescent="0.3">
      <c r="A130" s="1461" t="s">
        <v>2865</v>
      </c>
      <c r="B130" s="1457"/>
      <c r="C130" s="1442" t="s">
        <v>303</v>
      </c>
      <c r="D130" s="1388" t="s">
        <v>230</v>
      </c>
      <c r="E130" s="1388" t="s">
        <v>304</v>
      </c>
      <c r="F130" s="1388" t="s">
        <v>116</v>
      </c>
      <c r="G130" s="1388" t="s">
        <v>305</v>
      </c>
      <c r="H130" s="1443">
        <f>I130</f>
        <v>3135</v>
      </c>
      <c r="I130" s="1444">
        <v>3135</v>
      </c>
      <c r="J130" s="1460"/>
      <c r="K130" s="1460"/>
      <c r="L130" s="1460"/>
      <c r="M130" s="1460"/>
      <c r="N130" s="1463">
        <v>1500</v>
      </c>
      <c r="O130" s="1460">
        <f>N130</f>
        <v>1500</v>
      </c>
      <c r="P130" s="1463">
        <f>Q130</f>
        <v>2900</v>
      </c>
      <c r="Q130" s="1460">
        <v>2900</v>
      </c>
      <c r="R130" s="1463">
        <f t="shared" ref="R130" si="139">U130-O130</f>
        <v>1400</v>
      </c>
      <c r="S130" s="1463"/>
      <c r="T130" s="1463">
        <f>U130</f>
        <v>2900</v>
      </c>
      <c r="U130" s="1460">
        <v>2900</v>
      </c>
      <c r="V130" s="1463"/>
      <c r="W130" s="1463"/>
      <c r="X130" s="1463">
        <f>Y130</f>
        <v>2900</v>
      </c>
      <c r="Y130" s="1460">
        <v>2900</v>
      </c>
      <c r="Z130" s="1460"/>
      <c r="AA130" s="1460"/>
      <c r="AB130" s="1460">
        <v>2900</v>
      </c>
      <c r="AC130" s="1460">
        <v>2900</v>
      </c>
      <c r="AD130" s="1460"/>
      <c r="AE130" s="1460"/>
      <c r="AF130" s="1383">
        <f t="shared" si="112"/>
        <v>2900</v>
      </c>
      <c r="AG130" s="1383">
        <f t="shared" si="113"/>
        <v>2900</v>
      </c>
      <c r="AH130" s="1383">
        <f t="shared" si="114"/>
        <v>2450</v>
      </c>
      <c r="AI130" s="1383"/>
      <c r="AJ130" s="1383"/>
      <c r="AK130" s="1383">
        <v>2450</v>
      </c>
      <c r="AL130" s="1383"/>
      <c r="AM130" s="1383"/>
      <c r="AN130" s="1381"/>
      <c r="AO130" s="1381"/>
      <c r="AP130" s="1431">
        <f t="shared" si="76"/>
        <v>0</v>
      </c>
      <c r="AQ130" s="1431">
        <f t="shared" si="135"/>
        <v>1</v>
      </c>
      <c r="AR130" s="1434">
        <f t="shared" si="124"/>
        <v>0</v>
      </c>
      <c r="AS130" s="1434"/>
      <c r="AT130" s="1427">
        <f t="shared" si="102"/>
        <v>1</v>
      </c>
      <c r="AV130" s="1427">
        <f t="shared" si="131"/>
        <v>0</v>
      </c>
      <c r="AW130" s="1427">
        <f t="shared" si="132"/>
        <v>0</v>
      </c>
      <c r="AX130" s="1427">
        <f t="shared" si="104"/>
        <v>0</v>
      </c>
      <c r="AY130" s="1427">
        <f t="shared" si="136"/>
        <v>0</v>
      </c>
      <c r="AZ130" s="1427">
        <f t="shared" si="105"/>
        <v>1</v>
      </c>
      <c r="BA130" s="1427">
        <f t="shared" si="92"/>
        <v>1400</v>
      </c>
      <c r="BB130" s="1427">
        <f>IF(S130=0,0,1)</f>
        <v>0</v>
      </c>
      <c r="BC130" s="1427">
        <f>IF(BB130=1,S130,0)</f>
        <v>0</v>
      </c>
      <c r="BD130" s="1436">
        <f t="shared" si="137"/>
        <v>1</v>
      </c>
      <c r="BE130" s="1331">
        <v>28</v>
      </c>
    </row>
    <row r="131" spans="1:57" ht="48.75" customHeight="1" x14ac:dyDescent="0.3">
      <c r="A131" s="1461" t="s">
        <v>2866</v>
      </c>
      <c r="B131" s="1457"/>
      <c r="C131" s="1442" t="s">
        <v>306</v>
      </c>
      <c r="D131" s="1388" t="s">
        <v>52</v>
      </c>
      <c r="E131" s="1388" t="s">
        <v>307</v>
      </c>
      <c r="F131" s="1388" t="s">
        <v>116</v>
      </c>
      <c r="G131" s="1388"/>
      <c r="H131" s="1443">
        <v>1060</v>
      </c>
      <c r="I131" s="1444">
        <f t="shared" si="125"/>
        <v>1060</v>
      </c>
      <c r="J131" s="1460"/>
      <c r="K131" s="1460"/>
      <c r="L131" s="1460"/>
      <c r="M131" s="1460"/>
      <c r="N131" s="1463">
        <f t="shared" si="126"/>
        <v>1000</v>
      </c>
      <c r="O131" s="1460">
        <v>1000</v>
      </c>
      <c r="P131" s="1463"/>
      <c r="Q131" s="1460"/>
      <c r="R131" s="1463"/>
      <c r="S131" s="1463">
        <f>O131-U131</f>
        <v>1000</v>
      </c>
      <c r="T131" s="1463"/>
      <c r="U131" s="1460"/>
      <c r="V131" s="1463"/>
      <c r="W131" s="1463"/>
      <c r="X131" s="1463"/>
      <c r="Y131" s="1460"/>
      <c r="Z131" s="1460"/>
      <c r="AA131" s="1460"/>
      <c r="AB131" s="1460">
        <v>0</v>
      </c>
      <c r="AC131" s="1460">
        <v>0</v>
      </c>
      <c r="AD131" s="1460"/>
      <c r="AE131" s="1460"/>
      <c r="AF131" s="1383">
        <f t="shared" si="112"/>
        <v>0</v>
      </c>
      <c r="AG131" s="1383">
        <f t="shared" si="113"/>
        <v>0</v>
      </c>
      <c r="AH131" s="1383">
        <f t="shared" si="114"/>
        <v>0</v>
      </c>
      <c r="AI131" s="1383"/>
      <c r="AJ131" s="1383"/>
      <c r="AK131" s="1383"/>
      <c r="AL131" s="1383"/>
      <c r="AM131" s="1383"/>
      <c r="AN131" s="1381"/>
      <c r="AO131" s="1381"/>
      <c r="AP131" s="1431">
        <f t="shared" si="76"/>
        <v>0</v>
      </c>
      <c r="AQ131" s="1431">
        <f t="shared" si="135"/>
        <v>0</v>
      </c>
      <c r="AR131" s="1434">
        <f t="shared" si="124"/>
        <v>0</v>
      </c>
      <c r="AS131" s="1434"/>
      <c r="AT131" s="1427">
        <f t="shared" si="102"/>
        <v>1</v>
      </c>
      <c r="AV131" s="1427">
        <f t="shared" si="131"/>
        <v>1</v>
      </c>
      <c r="AW131" s="1427">
        <f t="shared" si="132"/>
        <v>1000</v>
      </c>
      <c r="AX131" s="1427">
        <f t="shared" si="104"/>
        <v>0</v>
      </c>
      <c r="AY131" s="1427">
        <f t="shared" si="136"/>
        <v>0</v>
      </c>
      <c r="AZ131" s="1427">
        <f t="shared" si="105"/>
        <v>0</v>
      </c>
      <c r="BA131" s="1427">
        <f t="shared" si="92"/>
        <v>0</v>
      </c>
      <c r="BD131" s="1436">
        <f t="shared" si="137"/>
        <v>1</v>
      </c>
    </row>
    <row r="132" spans="1:57" ht="61.5" customHeight="1" x14ac:dyDescent="0.3">
      <c r="A132" s="1461" t="s">
        <v>2867</v>
      </c>
      <c r="B132" s="1457"/>
      <c r="C132" s="1442" t="s">
        <v>308</v>
      </c>
      <c r="D132" s="1388" t="s">
        <v>146</v>
      </c>
      <c r="E132" s="1388" t="s">
        <v>309</v>
      </c>
      <c r="F132" s="1388" t="s">
        <v>116</v>
      </c>
      <c r="G132" s="1388"/>
      <c r="H132" s="1443">
        <v>3746</v>
      </c>
      <c r="I132" s="1444">
        <f t="shared" si="125"/>
        <v>3746</v>
      </c>
      <c r="J132" s="1460"/>
      <c r="K132" s="1460"/>
      <c r="L132" s="1460"/>
      <c r="M132" s="1460"/>
      <c r="N132" s="1463">
        <f t="shared" si="126"/>
        <v>3500</v>
      </c>
      <c r="O132" s="1460">
        <v>3500</v>
      </c>
      <c r="P132" s="1463">
        <f t="shared" ref="P132:P137" si="140">Q132</f>
        <v>3500</v>
      </c>
      <c r="Q132" s="1460">
        <v>3500</v>
      </c>
      <c r="R132" s="1463"/>
      <c r="S132" s="1463">
        <f>O132-U132</f>
        <v>3500</v>
      </c>
      <c r="T132" s="1463"/>
      <c r="U132" s="1460"/>
      <c r="V132" s="1463"/>
      <c r="W132" s="1463"/>
      <c r="X132" s="1463"/>
      <c r="Y132" s="1460"/>
      <c r="Z132" s="1460"/>
      <c r="AA132" s="1460"/>
      <c r="AB132" s="1460">
        <v>0</v>
      </c>
      <c r="AC132" s="1460">
        <v>0</v>
      </c>
      <c r="AD132" s="1460"/>
      <c r="AE132" s="1460"/>
      <c r="AF132" s="1383">
        <f t="shared" si="112"/>
        <v>0</v>
      </c>
      <c r="AG132" s="1383">
        <f t="shared" si="113"/>
        <v>0</v>
      </c>
      <c r="AH132" s="1383">
        <f t="shared" si="114"/>
        <v>0</v>
      </c>
      <c r="AI132" s="1383"/>
      <c r="AJ132" s="1383"/>
      <c r="AK132" s="1383"/>
      <c r="AL132" s="1383"/>
      <c r="AM132" s="1383"/>
      <c r="AN132" s="1381"/>
      <c r="AO132" s="1381"/>
      <c r="AP132" s="1431">
        <f t="shared" si="76"/>
        <v>0</v>
      </c>
      <c r="AQ132" s="1431">
        <f t="shared" si="135"/>
        <v>0</v>
      </c>
      <c r="AR132" s="1434">
        <f t="shared" si="124"/>
        <v>0</v>
      </c>
      <c r="AS132" s="1434"/>
      <c r="AT132" s="1427">
        <f t="shared" si="102"/>
        <v>1</v>
      </c>
      <c r="AV132" s="1427">
        <f t="shared" si="131"/>
        <v>0</v>
      </c>
      <c r="AW132" s="1427">
        <f t="shared" si="132"/>
        <v>0</v>
      </c>
      <c r="AX132" s="1427">
        <f t="shared" si="104"/>
        <v>0</v>
      </c>
      <c r="AY132" s="1427">
        <f t="shared" si="136"/>
        <v>0</v>
      </c>
      <c r="AZ132" s="1427">
        <f t="shared" si="105"/>
        <v>0</v>
      </c>
      <c r="BA132" s="1427">
        <f t="shared" si="92"/>
        <v>0</v>
      </c>
      <c r="BB132" s="1427">
        <f>IF(S132=0,0,1)</f>
        <v>1</v>
      </c>
      <c r="BC132" s="1427">
        <f>IF(BB132=1,S132,0)</f>
        <v>3500</v>
      </c>
      <c r="BD132" s="1436">
        <f t="shared" si="137"/>
        <v>1</v>
      </c>
    </row>
    <row r="133" spans="1:57" ht="63.75" customHeight="1" x14ac:dyDescent="0.3">
      <c r="A133" s="1461" t="s">
        <v>2868</v>
      </c>
      <c r="B133" s="1457" t="s">
        <v>2836</v>
      </c>
      <c r="C133" s="1442" t="s">
        <v>310</v>
      </c>
      <c r="D133" s="1388" t="s">
        <v>52</v>
      </c>
      <c r="E133" s="1388" t="s">
        <v>311</v>
      </c>
      <c r="F133" s="1388" t="s">
        <v>290</v>
      </c>
      <c r="G133" s="1388" t="s">
        <v>2318</v>
      </c>
      <c r="H133" s="1443">
        <f>I133</f>
        <v>13557</v>
      </c>
      <c r="I133" s="1444">
        <v>13557</v>
      </c>
      <c r="J133" s="1460"/>
      <c r="K133" s="1460"/>
      <c r="L133" s="1460"/>
      <c r="M133" s="1460"/>
      <c r="N133" s="1463">
        <f t="shared" si="126"/>
        <v>9500</v>
      </c>
      <c r="O133" s="1460">
        <v>9500</v>
      </c>
      <c r="P133" s="1463">
        <f t="shared" si="140"/>
        <v>12900</v>
      </c>
      <c r="Q133" s="1460">
        <v>12900</v>
      </c>
      <c r="R133" s="1463">
        <f>U133-O133</f>
        <v>3400</v>
      </c>
      <c r="S133" s="1463"/>
      <c r="T133" s="1463">
        <f t="shared" ref="T133" si="141">U133</f>
        <v>12900</v>
      </c>
      <c r="U133" s="1460">
        <v>12900</v>
      </c>
      <c r="V133" s="1463"/>
      <c r="W133" s="1463"/>
      <c r="X133" s="1463">
        <f t="shared" ref="X133" si="142">Y133</f>
        <v>12900</v>
      </c>
      <c r="Y133" s="1460">
        <v>12900</v>
      </c>
      <c r="Z133" s="1460"/>
      <c r="AA133" s="1460"/>
      <c r="AB133" s="1460">
        <v>11270</v>
      </c>
      <c r="AC133" s="1460">
        <v>11270</v>
      </c>
      <c r="AD133" s="1460"/>
      <c r="AE133" s="1525"/>
      <c r="AF133" s="1383">
        <f t="shared" si="112"/>
        <v>11270</v>
      </c>
      <c r="AG133" s="1383">
        <f t="shared" si="113"/>
        <v>11270</v>
      </c>
      <c r="AH133" s="1383">
        <f t="shared" si="114"/>
        <v>11270</v>
      </c>
      <c r="AI133" s="1383"/>
      <c r="AJ133" s="1383"/>
      <c r="AK133" s="1383"/>
      <c r="AL133" s="1383">
        <v>8150</v>
      </c>
      <c r="AM133" s="1383">
        <f>4750-1630</f>
        <v>3120</v>
      </c>
      <c r="AN133" s="1381"/>
      <c r="AO133" s="1381"/>
      <c r="AP133" s="1431">
        <f t="shared" si="76"/>
        <v>0</v>
      </c>
      <c r="AQ133" s="1431">
        <f t="shared" si="135"/>
        <v>1</v>
      </c>
      <c r="AR133" s="1434">
        <f t="shared" si="124"/>
        <v>0</v>
      </c>
      <c r="AS133" s="1434"/>
      <c r="AT133" s="1427">
        <f t="shared" si="102"/>
        <v>1</v>
      </c>
      <c r="AV133" s="1427">
        <f t="shared" si="131"/>
        <v>0</v>
      </c>
      <c r="AW133" s="1427">
        <f t="shared" si="132"/>
        <v>0</v>
      </c>
      <c r="AX133" s="1427">
        <f t="shared" si="104"/>
        <v>0</v>
      </c>
      <c r="AY133" s="1427">
        <f t="shared" si="136"/>
        <v>0</v>
      </c>
      <c r="AZ133" s="1427">
        <f t="shared" si="105"/>
        <v>1</v>
      </c>
      <c r="BA133" s="1427">
        <f t="shared" si="92"/>
        <v>3400</v>
      </c>
      <c r="BB133" s="1427">
        <f>IF(S133=0,0,1)</f>
        <v>0</v>
      </c>
      <c r="BC133" s="1427">
        <f>IF(BB133=1,S133,0)</f>
        <v>0</v>
      </c>
      <c r="BD133" s="1436">
        <f t="shared" si="137"/>
        <v>1</v>
      </c>
      <c r="BE133" s="1331">
        <v>29</v>
      </c>
    </row>
    <row r="134" spans="1:57" ht="48" customHeight="1" x14ac:dyDescent="0.3">
      <c r="A134" s="1461" t="s">
        <v>2869</v>
      </c>
      <c r="B134" s="1457"/>
      <c r="C134" s="1442" t="s">
        <v>312</v>
      </c>
      <c r="D134" s="1388" t="s">
        <v>104</v>
      </c>
      <c r="E134" s="1388" t="s">
        <v>313</v>
      </c>
      <c r="F134" s="1388" t="s">
        <v>116</v>
      </c>
      <c r="G134" s="1388"/>
      <c r="H134" s="1443">
        <v>1755</v>
      </c>
      <c r="I134" s="1444">
        <f t="shared" si="125"/>
        <v>1755</v>
      </c>
      <c r="J134" s="1460"/>
      <c r="K134" s="1460"/>
      <c r="L134" s="1460"/>
      <c r="M134" s="1460"/>
      <c r="N134" s="1463">
        <f t="shared" si="126"/>
        <v>1650</v>
      </c>
      <c r="O134" s="1460">
        <v>1650</v>
      </c>
      <c r="P134" s="1463"/>
      <c r="Q134" s="1460"/>
      <c r="R134" s="1463"/>
      <c r="S134" s="1463">
        <f>O134-U134</f>
        <v>1650</v>
      </c>
      <c r="T134" s="1463"/>
      <c r="U134" s="1460"/>
      <c r="V134" s="1463"/>
      <c r="W134" s="1463"/>
      <c r="X134" s="1463"/>
      <c r="Y134" s="1460"/>
      <c r="Z134" s="1460"/>
      <c r="AA134" s="1460"/>
      <c r="AB134" s="1460">
        <v>0</v>
      </c>
      <c r="AC134" s="1460">
        <v>0</v>
      </c>
      <c r="AD134" s="1460"/>
      <c r="AE134" s="1460"/>
      <c r="AF134" s="1383">
        <f t="shared" si="112"/>
        <v>0</v>
      </c>
      <c r="AG134" s="1383">
        <f t="shared" si="113"/>
        <v>0</v>
      </c>
      <c r="AH134" s="1383">
        <f t="shared" si="114"/>
        <v>0</v>
      </c>
      <c r="AI134" s="1383"/>
      <c r="AJ134" s="1383"/>
      <c r="AK134" s="1383"/>
      <c r="AL134" s="1383"/>
      <c r="AM134" s="1383"/>
      <c r="AN134" s="1381"/>
      <c r="AO134" s="1381"/>
      <c r="AP134" s="1431">
        <f t="shared" si="76"/>
        <v>0</v>
      </c>
      <c r="AQ134" s="1431">
        <f t="shared" si="135"/>
        <v>0</v>
      </c>
      <c r="AR134" s="1434">
        <f t="shared" si="124"/>
        <v>0</v>
      </c>
      <c r="AS134" s="1434"/>
      <c r="AT134" s="1427">
        <f t="shared" si="102"/>
        <v>1</v>
      </c>
      <c r="AV134" s="1427">
        <f t="shared" si="131"/>
        <v>1</v>
      </c>
      <c r="AW134" s="1427">
        <f t="shared" si="132"/>
        <v>1650</v>
      </c>
      <c r="AX134" s="1427">
        <f t="shared" si="104"/>
        <v>0</v>
      </c>
      <c r="AY134" s="1427">
        <f t="shared" si="136"/>
        <v>0</v>
      </c>
      <c r="AZ134" s="1427">
        <f t="shared" si="105"/>
        <v>0</v>
      </c>
      <c r="BA134" s="1427">
        <f t="shared" si="92"/>
        <v>0</v>
      </c>
      <c r="BD134" s="1436">
        <f t="shared" si="137"/>
        <v>1</v>
      </c>
    </row>
    <row r="135" spans="1:57" ht="77.25" customHeight="1" x14ac:dyDescent="0.3">
      <c r="A135" s="1461" t="s">
        <v>2870</v>
      </c>
      <c r="B135" s="1457" t="s">
        <v>2837</v>
      </c>
      <c r="C135" s="1442" t="s">
        <v>314</v>
      </c>
      <c r="D135" s="1388" t="s">
        <v>112</v>
      </c>
      <c r="E135" s="1388" t="s">
        <v>315</v>
      </c>
      <c r="F135" s="1388" t="s">
        <v>290</v>
      </c>
      <c r="G135" s="1388" t="s">
        <v>2445</v>
      </c>
      <c r="H135" s="1443">
        <v>1340</v>
      </c>
      <c r="I135" s="1444">
        <f t="shared" si="125"/>
        <v>1340</v>
      </c>
      <c r="J135" s="1460"/>
      <c r="K135" s="1460"/>
      <c r="L135" s="1460"/>
      <c r="M135" s="1460"/>
      <c r="N135" s="1463">
        <f t="shared" si="126"/>
        <v>1250</v>
      </c>
      <c r="O135" s="1460">
        <v>1250</v>
      </c>
      <c r="P135" s="1463">
        <f t="shared" si="140"/>
        <v>1250</v>
      </c>
      <c r="Q135" s="1460">
        <v>1250</v>
      </c>
      <c r="R135" s="1454"/>
      <c r="S135" s="1454"/>
      <c r="T135" s="1463">
        <f t="shared" ref="T135" si="143">U135</f>
        <v>1250</v>
      </c>
      <c r="U135" s="1460">
        <v>1250</v>
      </c>
      <c r="V135" s="1454"/>
      <c r="W135" s="1454"/>
      <c r="X135" s="1463">
        <f t="shared" ref="X135" si="144">Y135</f>
        <v>1250</v>
      </c>
      <c r="Y135" s="1460">
        <v>1250</v>
      </c>
      <c r="Z135" s="1460"/>
      <c r="AA135" s="1460"/>
      <c r="AB135" s="1460">
        <v>1000</v>
      </c>
      <c r="AC135" s="1460">
        <v>1000</v>
      </c>
      <c r="AD135" s="1460"/>
      <c r="AE135" s="1525"/>
      <c r="AF135" s="1383">
        <f t="shared" si="112"/>
        <v>1000</v>
      </c>
      <c r="AG135" s="1383">
        <f t="shared" si="113"/>
        <v>1000</v>
      </c>
      <c r="AH135" s="1383">
        <f t="shared" si="114"/>
        <v>1000</v>
      </c>
      <c r="AI135" s="1383"/>
      <c r="AJ135" s="1383"/>
      <c r="AK135" s="1383"/>
      <c r="AL135" s="1383">
        <v>1000</v>
      </c>
      <c r="AM135" s="1383">
        <f>250-250</f>
        <v>0</v>
      </c>
      <c r="AN135" s="1464"/>
      <c r="AO135" s="1464"/>
      <c r="AP135" s="1431">
        <f t="shared" si="76"/>
        <v>0</v>
      </c>
      <c r="AQ135" s="1431">
        <f t="shared" si="135"/>
        <v>1</v>
      </c>
      <c r="AR135" s="1434">
        <f t="shared" si="124"/>
        <v>0</v>
      </c>
      <c r="AS135" s="1434"/>
      <c r="AT135" s="1427">
        <f t="shared" si="102"/>
        <v>1</v>
      </c>
      <c r="AV135" s="1427">
        <f t="shared" si="131"/>
        <v>0</v>
      </c>
      <c r="AW135" s="1427">
        <f t="shared" si="132"/>
        <v>0</v>
      </c>
      <c r="AX135" s="1427">
        <f t="shared" si="104"/>
        <v>0</v>
      </c>
      <c r="AY135" s="1427">
        <f t="shared" si="136"/>
        <v>0</v>
      </c>
      <c r="AZ135" s="1427">
        <f t="shared" si="105"/>
        <v>0</v>
      </c>
      <c r="BA135" s="1427">
        <f t="shared" si="92"/>
        <v>0</v>
      </c>
      <c r="BB135" s="1427">
        <f>IF(S135=0,0,1)</f>
        <v>0</v>
      </c>
      <c r="BC135" s="1427">
        <f>IF(BB135=1,S135,0)</f>
        <v>0</v>
      </c>
      <c r="BD135" s="1436">
        <f t="shared" si="137"/>
        <v>1</v>
      </c>
      <c r="BE135" s="1331">
        <v>30</v>
      </c>
    </row>
    <row r="136" spans="1:57" ht="49.5" customHeight="1" x14ac:dyDescent="0.3">
      <c r="A136" s="1461" t="s">
        <v>2871</v>
      </c>
      <c r="B136" s="1457"/>
      <c r="C136" s="1442" t="s">
        <v>316</v>
      </c>
      <c r="D136" s="1388" t="s">
        <v>52</v>
      </c>
      <c r="E136" s="1388" t="s">
        <v>315</v>
      </c>
      <c r="F136" s="1388" t="s">
        <v>290</v>
      </c>
      <c r="G136" s="1388"/>
      <c r="H136" s="1443">
        <v>1340</v>
      </c>
      <c r="I136" s="1444">
        <f t="shared" si="125"/>
        <v>1340</v>
      </c>
      <c r="J136" s="1460"/>
      <c r="K136" s="1460"/>
      <c r="L136" s="1460"/>
      <c r="M136" s="1460"/>
      <c r="N136" s="1463">
        <f t="shared" si="126"/>
        <v>1250</v>
      </c>
      <c r="O136" s="1460">
        <v>1250</v>
      </c>
      <c r="P136" s="1463"/>
      <c r="Q136" s="1460"/>
      <c r="R136" s="1463"/>
      <c r="S136" s="1463">
        <f>O136-U136</f>
        <v>1250</v>
      </c>
      <c r="T136" s="1463"/>
      <c r="U136" s="1460"/>
      <c r="V136" s="1463"/>
      <c r="W136" s="1463"/>
      <c r="X136" s="1463"/>
      <c r="Y136" s="1460"/>
      <c r="Z136" s="1460"/>
      <c r="AA136" s="1460"/>
      <c r="AB136" s="1460">
        <v>0</v>
      </c>
      <c r="AC136" s="1460">
        <v>0</v>
      </c>
      <c r="AD136" s="1460"/>
      <c r="AE136" s="1525"/>
      <c r="AF136" s="1383">
        <f t="shared" si="112"/>
        <v>0</v>
      </c>
      <c r="AG136" s="1383">
        <f t="shared" si="113"/>
        <v>0</v>
      </c>
      <c r="AH136" s="1383">
        <f t="shared" si="114"/>
        <v>0</v>
      </c>
      <c r="AI136" s="1383"/>
      <c r="AJ136" s="1383"/>
      <c r="AK136" s="1383"/>
      <c r="AL136" s="1383"/>
      <c r="AM136" s="1383"/>
      <c r="AN136" s="1381"/>
      <c r="AO136" s="1381"/>
      <c r="AP136" s="1431">
        <f t="shared" si="76"/>
        <v>0</v>
      </c>
      <c r="AQ136" s="1431">
        <f t="shared" si="135"/>
        <v>0</v>
      </c>
      <c r="AR136" s="1434">
        <f t="shared" si="124"/>
        <v>0</v>
      </c>
      <c r="AS136" s="1434"/>
      <c r="AT136" s="1427">
        <f t="shared" si="102"/>
        <v>1</v>
      </c>
      <c r="AV136" s="1427">
        <f t="shared" si="131"/>
        <v>1</v>
      </c>
      <c r="AW136" s="1427">
        <f t="shared" si="132"/>
        <v>1250</v>
      </c>
      <c r="AX136" s="1427">
        <f t="shared" si="104"/>
        <v>0</v>
      </c>
      <c r="AY136" s="1427">
        <f t="shared" si="136"/>
        <v>0</v>
      </c>
      <c r="AZ136" s="1427">
        <f t="shared" si="105"/>
        <v>0</v>
      </c>
      <c r="BA136" s="1427">
        <f t="shared" si="92"/>
        <v>0</v>
      </c>
      <c r="BD136" s="1436">
        <f t="shared" si="137"/>
        <v>1</v>
      </c>
    </row>
    <row r="137" spans="1:57" ht="84" customHeight="1" x14ac:dyDescent="0.3">
      <c r="A137" s="1461" t="s">
        <v>2872</v>
      </c>
      <c r="B137" s="1457"/>
      <c r="C137" s="1442" t="s">
        <v>317</v>
      </c>
      <c r="D137" s="1388" t="s">
        <v>58</v>
      </c>
      <c r="E137" s="1388" t="s">
        <v>318</v>
      </c>
      <c r="F137" s="1388" t="s">
        <v>290</v>
      </c>
      <c r="G137" s="1388" t="s">
        <v>2446</v>
      </c>
      <c r="H137" s="1443">
        <v>1050</v>
      </c>
      <c r="I137" s="1444">
        <f t="shared" si="125"/>
        <v>1050</v>
      </c>
      <c r="J137" s="1460"/>
      <c r="K137" s="1460"/>
      <c r="L137" s="1460"/>
      <c r="M137" s="1460"/>
      <c r="N137" s="1463">
        <f t="shared" si="126"/>
        <v>1000</v>
      </c>
      <c r="O137" s="1460">
        <v>1000</v>
      </c>
      <c r="P137" s="1463">
        <f t="shared" si="140"/>
        <v>1000</v>
      </c>
      <c r="Q137" s="1460">
        <v>1000</v>
      </c>
      <c r="R137" s="1463"/>
      <c r="S137" s="1463"/>
      <c r="T137" s="1463">
        <f t="shared" ref="T137" si="145">U137</f>
        <v>1000</v>
      </c>
      <c r="U137" s="1460">
        <v>1000</v>
      </c>
      <c r="V137" s="1463"/>
      <c r="W137" s="1463"/>
      <c r="X137" s="1463">
        <f t="shared" ref="X137" si="146">Y137</f>
        <v>1000</v>
      </c>
      <c r="Y137" s="1460">
        <v>1000</v>
      </c>
      <c r="Z137" s="1460"/>
      <c r="AA137" s="1460"/>
      <c r="AB137" s="1460">
        <v>1000</v>
      </c>
      <c r="AC137" s="1460">
        <v>1000</v>
      </c>
      <c r="AD137" s="1460"/>
      <c r="AE137" s="1525"/>
      <c r="AF137" s="1383">
        <f t="shared" si="112"/>
        <v>1000</v>
      </c>
      <c r="AG137" s="1383">
        <f t="shared" si="113"/>
        <v>1000</v>
      </c>
      <c r="AH137" s="1383">
        <f t="shared" si="114"/>
        <v>779</v>
      </c>
      <c r="AI137" s="1383"/>
      <c r="AJ137" s="1383"/>
      <c r="AK137" s="1383"/>
      <c r="AL137" s="1383">
        <v>779</v>
      </c>
      <c r="AM137" s="1383"/>
      <c r="AN137" s="1464"/>
      <c r="AO137" s="1464"/>
      <c r="AP137" s="1431">
        <f t="shared" si="76"/>
        <v>0</v>
      </c>
      <c r="AQ137" s="1431">
        <f t="shared" si="135"/>
        <v>1</v>
      </c>
      <c r="AR137" s="1434">
        <f t="shared" si="124"/>
        <v>0</v>
      </c>
      <c r="AS137" s="1434"/>
      <c r="AT137" s="1427">
        <f t="shared" si="102"/>
        <v>1</v>
      </c>
      <c r="AV137" s="1427">
        <f t="shared" si="131"/>
        <v>0</v>
      </c>
      <c r="AW137" s="1427">
        <f t="shared" si="132"/>
        <v>0</v>
      </c>
      <c r="AX137" s="1427">
        <f t="shared" si="104"/>
        <v>0</v>
      </c>
      <c r="AY137" s="1427">
        <f t="shared" si="136"/>
        <v>0</v>
      </c>
      <c r="AZ137" s="1427">
        <f t="shared" si="105"/>
        <v>0</v>
      </c>
      <c r="BA137" s="1427">
        <f t="shared" si="92"/>
        <v>0</v>
      </c>
      <c r="BB137" s="1427">
        <f>IF(S137=0,0,1)</f>
        <v>0</v>
      </c>
      <c r="BC137" s="1427">
        <f>IF(BB137=1,S137,0)</f>
        <v>0</v>
      </c>
      <c r="BD137" s="1436">
        <f t="shared" si="137"/>
        <v>1</v>
      </c>
      <c r="BE137" s="1331">
        <v>31</v>
      </c>
    </row>
    <row r="138" spans="1:57" ht="48" customHeight="1" x14ac:dyDescent="0.3">
      <c r="A138" s="1461" t="s">
        <v>2873</v>
      </c>
      <c r="B138" s="1457"/>
      <c r="C138" s="1442" t="s">
        <v>319</v>
      </c>
      <c r="D138" s="1388" t="s">
        <v>99</v>
      </c>
      <c r="E138" s="1388" t="s">
        <v>320</v>
      </c>
      <c r="F138" s="1388" t="s">
        <v>290</v>
      </c>
      <c r="G138" s="1388"/>
      <c r="H138" s="1443">
        <v>1160</v>
      </c>
      <c r="I138" s="1444">
        <f t="shared" si="125"/>
        <v>1160</v>
      </c>
      <c r="J138" s="1460"/>
      <c r="K138" s="1460"/>
      <c r="L138" s="1460"/>
      <c r="M138" s="1460"/>
      <c r="N138" s="1463">
        <f t="shared" si="126"/>
        <v>1100</v>
      </c>
      <c r="O138" s="1460">
        <v>1100</v>
      </c>
      <c r="P138" s="1463"/>
      <c r="Q138" s="1460"/>
      <c r="R138" s="1463"/>
      <c r="S138" s="1463">
        <f>O138-U138</f>
        <v>1100</v>
      </c>
      <c r="T138" s="1463"/>
      <c r="U138" s="1460"/>
      <c r="V138" s="1463"/>
      <c r="W138" s="1463"/>
      <c r="X138" s="1463"/>
      <c r="Y138" s="1460"/>
      <c r="Z138" s="1460"/>
      <c r="AA138" s="1460"/>
      <c r="AB138" s="1460">
        <v>0</v>
      </c>
      <c r="AC138" s="1460">
        <v>0</v>
      </c>
      <c r="AD138" s="1460"/>
      <c r="AE138" s="1525"/>
      <c r="AF138" s="1383">
        <f t="shared" si="112"/>
        <v>0</v>
      </c>
      <c r="AG138" s="1383">
        <f t="shared" si="113"/>
        <v>0</v>
      </c>
      <c r="AH138" s="1383">
        <f t="shared" si="114"/>
        <v>0</v>
      </c>
      <c r="AI138" s="1383"/>
      <c r="AJ138" s="1383"/>
      <c r="AK138" s="1383"/>
      <c r="AL138" s="1383"/>
      <c r="AM138" s="1383"/>
      <c r="AN138" s="1381"/>
      <c r="AO138" s="1381"/>
      <c r="AP138" s="1431">
        <f t="shared" si="76"/>
        <v>0</v>
      </c>
      <c r="AQ138" s="1431">
        <f t="shared" si="135"/>
        <v>0</v>
      </c>
      <c r="AR138" s="1434">
        <f t="shared" si="124"/>
        <v>0</v>
      </c>
      <c r="AS138" s="1434"/>
      <c r="AT138" s="1427">
        <f t="shared" si="102"/>
        <v>1</v>
      </c>
      <c r="AV138" s="1427">
        <f t="shared" si="131"/>
        <v>1</v>
      </c>
      <c r="AW138" s="1427">
        <f t="shared" si="132"/>
        <v>1100</v>
      </c>
      <c r="AX138" s="1427">
        <f t="shared" si="104"/>
        <v>0</v>
      </c>
      <c r="AY138" s="1427">
        <f t="shared" si="136"/>
        <v>0</v>
      </c>
      <c r="AZ138" s="1427">
        <f t="shared" si="105"/>
        <v>0</v>
      </c>
      <c r="BA138" s="1427">
        <f t="shared" si="92"/>
        <v>0</v>
      </c>
      <c r="BD138" s="1436">
        <f t="shared" si="137"/>
        <v>1</v>
      </c>
    </row>
    <row r="139" spans="1:57" ht="48" customHeight="1" x14ac:dyDescent="0.3">
      <c r="A139" s="1461" t="s">
        <v>2874</v>
      </c>
      <c r="B139" s="1457"/>
      <c r="C139" s="1442" t="s">
        <v>321</v>
      </c>
      <c r="D139" s="1388" t="s">
        <v>205</v>
      </c>
      <c r="E139" s="1388" t="s">
        <v>322</v>
      </c>
      <c r="F139" s="1388" t="s">
        <v>290</v>
      </c>
      <c r="G139" s="1388"/>
      <c r="H139" s="1443">
        <v>3700</v>
      </c>
      <c r="I139" s="1444">
        <f>H139</f>
        <v>3700</v>
      </c>
      <c r="J139" s="1460"/>
      <c r="K139" s="1460"/>
      <c r="L139" s="1460"/>
      <c r="M139" s="1460"/>
      <c r="N139" s="1463">
        <f>O139</f>
        <v>3360</v>
      </c>
      <c r="O139" s="1460">
        <v>3360</v>
      </c>
      <c r="P139" s="1463"/>
      <c r="Q139" s="1460"/>
      <c r="R139" s="1463"/>
      <c r="S139" s="1463">
        <f>O139-U139</f>
        <v>3360</v>
      </c>
      <c r="T139" s="1463"/>
      <c r="U139" s="1460"/>
      <c r="V139" s="1463"/>
      <c r="W139" s="1463"/>
      <c r="X139" s="1463"/>
      <c r="Y139" s="1460"/>
      <c r="Z139" s="1460"/>
      <c r="AA139" s="1460"/>
      <c r="AB139" s="1460">
        <v>0</v>
      </c>
      <c r="AC139" s="1460">
        <v>0</v>
      </c>
      <c r="AD139" s="1460"/>
      <c r="AE139" s="1525"/>
      <c r="AF139" s="1383">
        <f t="shared" si="112"/>
        <v>0</v>
      </c>
      <c r="AG139" s="1383">
        <f t="shared" si="113"/>
        <v>0</v>
      </c>
      <c r="AH139" s="1383">
        <f t="shared" si="114"/>
        <v>0</v>
      </c>
      <c r="AI139" s="1383"/>
      <c r="AJ139" s="1383"/>
      <c r="AK139" s="1383"/>
      <c r="AL139" s="1383"/>
      <c r="AM139" s="1383"/>
      <c r="AN139" s="1381"/>
      <c r="AO139" s="1381"/>
      <c r="AP139" s="1431">
        <f t="shared" si="76"/>
        <v>0</v>
      </c>
      <c r="AQ139" s="1431">
        <f t="shared" si="135"/>
        <v>0</v>
      </c>
      <c r="AR139" s="1434">
        <f t="shared" si="124"/>
        <v>0</v>
      </c>
      <c r="AS139" s="1434"/>
      <c r="AT139" s="1427">
        <f t="shared" si="102"/>
        <v>1</v>
      </c>
      <c r="AV139" s="1427">
        <f t="shared" si="131"/>
        <v>1</v>
      </c>
      <c r="AW139" s="1427">
        <f t="shared" si="132"/>
        <v>3360</v>
      </c>
      <c r="AX139" s="1427">
        <f t="shared" si="104"/>
        <v>0</v>
      </c>
      <c r="AY139" s="1427">
        <f t="shared" si="136"/>
        <v>0</v>
      </c>
      <c r="AZ139" s="1427">
        <f t="shared" si="105"/>
        <v>0</v>
      </c>
      <c r="BA139" s="1427">
        <f t="shared" si="92"/>
        <v>0</v>
      </c>
      <c r="BD139" s="1436">
        <f t="shared" si="137"/>
        <v>1</v>
      </c>
    </row>
    <row r="140" spans="1:57" ht="63" customHeight="1" x14ac:dyDescent="0.3">
      <c r="A140" s="1461" t="s">
        <v>2875</v>
      </c>
      <c r="B140" s="1457" t="s">
        <v>2838</v>
      </c>
      <c r="C140" s="1442" t="s">
        <v>323</v>
      </c>
      <c r="D140" s="1388" t="s">
        <v>52</v>
      </c>
      <c r="E140" s="1388" t="s">
        <v>322</v>
      </c>
      <c r="F140" s="1388" t="s">
        <v>290</v>
      </c>
      <c r="G140" s="1388" t="s">
        <v>2447</v>
      </c>
      <c r="H140" s="1443">
        <v>5000</v>
      </c>
      <c r="I140" s="1444">
        <f t="shared" si="125"/>
        <v>5000</v>
      </c>
      <c r="J140" s="1460"/>
      <c r="K140" s="1460"/>
      <c r="L140" s="1460"/>
      <c r="M140" s="1460"/>
      <c r="N140" s="1463">
        <v>4530</v>
      </c>
      <c r="O140" s="1463">
        <v>4530</v>
      </c>
      <c r="P140" s="1463">
        <v>4530</v>
      </c>
      <c r="Q140" s="1463">
        <v>4530</v>
      </c>
      <c r="R140" s="1463"/>
      <c r="S140" s="1463"/>
      <c r="T140" s="1463">
        <v>4530</v>
      </c>
      <c r="U140" s="1463">
        <v>4530</v>
      </c>
      <c r="V140" s="1463"/>
      <c r="W140" s="1463"/>
      <c r="X140" s="1463">
        <v>4530</v>
      </c>
      <c r="Y140" s="1463">
        <v>4530</v>
      </c>
      <c r="Z140" s="1460"/>
      <c r="AA140" s="1460"/>
      <c r="AB140" s="1460">
        <v>3910</v>
      </c>
      <c r="AC140" s="1460">
        <v>3910</v>
      </c>
      <c r="AD140" s="1460"/>
      <c r="AE140" s="1525"/>
      <c r="AF140" s="1383">
        <f t="shared" si="112"/>
        <v>3910</v>
      </c>
      <c r="AG140" s="1383">
        <f t="shared" si="113"/>
        <v>3910</v>
      </c>
      <c r="AH140" s="1383">
        <f t="shared" si="114"/>
        <v>3910</v>
      </c>
      <c r="AI140" s="1383"/>
      <c r="AJ140" s="1383"/>
      <c r="AK140" s="1383"/>
      <c r="AL140" s="1383">
        <v>3020</v>
      </c>
      <c r="AM140" s="1383">
        <f>1510-620</f>
        <v>890</v>
      </c>
      <c r="AN140" s="1464"/>
      <c r="AO140" s="1464"/>
      <c r="AP140" s="1431">
        <f t="shared" si="76"/>
        <v>0</v>
      </c>
      <c r="AQ140" s="1431">
        <f t="shared" si="135"/>
        <v>1</v>
      </c>
      <c r="AR140" s="1434">
        <f t="shared" si="124"/>
        <v>0</v>
      </c>
      <c r="AS140" s="1434"/>
      <c r="AT140" s="1427">
        <f t="shared" si="102"/>
        <v>1</v>
      </c>
      <c r="AV140" s="1427">
        <f t="shared" si="131"/>
        <v>0</v>
      </c>
      <c r="AW140" s="1427">
        <f t="shared" si="132"/>
        <v>0</v>
      </c>
      <c r="AX140" s="1427">
        <f t="shared" si="104"/>
        <v>0</v>
      </c>
      <c r="AY140" s="1427">
        <f t="shared" si="136"/>
        <v>0</v>
      </c>
      <c r="AZ140" s="1427">
        <f t="shared" si="105"/>
        <v>0</v>
      </c>
      <c r="BA140" s="1427">
        <f t="shared" si="92"/>
        <v>0</v>
      </c>
      <c r="BB140" s="1427">
        <f>IF(S140=0,0,1)</f>
        <v>0</v>
      </c>
      <c r="BC140" s="1427">
        <f>IF(BB140=1,S140,0)</f>
        <v>0</v>
      </c>
      <c r="BD140" s="1436">
        <f t="shared" si="137"/>
        <v>1</v>
      </c>
      <c r="BE140" s="1331">
        <v>32</v>
      </c>
    </row>
    <row r="141" spans="1:57" ht="66" customHeight="1" x14ac:dyDescent="0.3">
      <c r="A141" s="1461" t="s">
        <v>2876</v>
      </c>
      <c r="B141" s="1457" t="s">
        <v>2839</v>
      </c>
      <c r="C141" s="1442" t="s">
        <v>2128</v>
      </c>
      <c r="D141" s="1388" t="s">
        <v>99</v>
      </c>
      <c r="E141" s="1388" t="s">
        <v>324</v>
      </c>
      <c r="F141" s="1388" t="s">
        <v>290</v>
      </c>
      <c r="G141" s="1388" t="s">
        <v>2129</v>
      </c>
      <c r="H141" s="1443">
        <f>I141</f>
        <v>3988</v>
      </c>
      <c r="I141" s="1444">
        <v>3988</v>
      </c>
      <c r="J141" s="1460"/>
      <c r="K141" s="1460"/>
      <c r="L141" s="1460"/>
      <c r="M141" s="1460"/>
      <c r="N141" s="1463"/>
      <c r="O141" s="1463"/>
      <c r="P141" s="1463">
        <f>Q141</f>
        <v>1100</v>
      </c>
      <c r="Q141" s="1463">
        <v>1100</v>
      </c>
      <c r="R141" s="1463">
        <f t="shared" ref="R141:R143" si="147">U141-O141</f>
        <v>3500</v>
      </c>
      <c r="S141" s="1463"/>
      <c r="T141" s="1463">
        <f>U141</f>
        <v>3500</v>
      </c>
      <c r="U141" s="1463">
        <v>3500</v>
      </c>
      <c r="V141" s="1463"/>
      <c r="W141" s="1463"/>
      <c r="X141" s="1463">
        <f>Y141</f>
        <v>3500</v>
      </c>
      <c r="Y141" s="1463">
        <v>3500</v>
      </c>
      <c r="Z141" s="1460"/>
      <c r="AA141" s="1460"/>
      <c r="AB141" s="1460">
        <v>3300</v>
      </c>
      <c r="AC141" s="1460">
        <v>3300</v>
      </c>
      <c r="AD141" s="1460"/>
      <c r="AE141" s="1525"/>
      <c r="AF141" s="1383">
        <f t="shared" si="112"/>
        <v>3300</v>
      </c>
      <c r="AG141" s="1383">
        <f t="shared" si="113"/>
        <v>3300</v>
      </c>
      <c r="AH141" s="1383">
        <f t="shared" si="114"/>
        <v>3300</v>
      </c>
      <c r="AI141" s="1383"/>
      <c r="AJ141" s="1383"/>
      <c r="AK141" s="1383"/>
      <c r="AL141" s="1383">
        <v>2400</v>
      </c>
      <c r="AM141" s="1383">
        <f>1100-200</f>
        <v>900</v>
      </c>
      <c r="AN141" s="1381"/>
      <c r="AO141" s="1381"/>
      <c r="AP141" s="1431">
        <f t="shared" si="76"/>
        <v>0</v>
      </c>
      <c r="AQ141" s="1431">
        <f t="shared" si="135"/>
        <v>1</v>
      </c>
      <c r="AR141" s="1434">
        <f t="shared" si="124"/>
        <v>0</v>
      </c>
      <c r="AS141" s="1434"/>
      <c r="AT141" s="1427">
        <f t="shared" si="102"/>
        <v>1</v>
      </c>
      <c r="AV141" s="1427">
        <f t="shared" si="131"/>
        <v>0</v>
      </c>
      <c r="AW141" s="1427">
        <f t="shared" si="132"/>
        <v>0</v>
      </c>
      <c r="AX141" s="1427">
        <f t="shared" si="104"/>
        <v>1</v>
      </c>
      <c r="AY141" s="1427">
        <f t="shared" si="136"/>
        <v>1100</v>
      </c>
      <c r="BB141" s="1427">
        <f>IF(S141=0,0,1)</f>
        <v>0</v>
      </c>
      <c r="BC141" s="1427">
        <f>IF(BB141=1,S141,0)</f>
        <v>0</v>
      </c>
      <c r="BD141" s="1436">
        <f t="shared" si="137"/>
        <v>1</v>
      </c>
      <c r="BE141" s="1331">
        <v>33</v>
      </c>
    </row>
    <row r="142" spans="1:57" ht="66.75" customHeight="1" x14ac:dyDescent="0.3">
      <c r="A142" s="1461" t="s">
        <v>2877</v>
      </c>
      <c r="B142" s="1457" t="s">
        <v>2840</v>
      </c>
      <c r="C142" s="1442" t="s">
        <v>325</v>
      </c>
      <c r="D142" s="1388" t="s">
        <v>205</v>
      </c>
      <c r="E142" s="1388" t="s">
        <v>326</v>
      </c>
      <c r="F142" s="1388" t="s">
        <v>290</v>
      </c>
      <c r="G142" s="1388" t="s">
        <v>2319</v>
      </c>
      <c r="H142" s="1443">
        <f t="shared" ref="H142:H143" si="148">I142</f>
        <v>6799</v>
      </c>
      <c r="I142" s="1444">
        <v>6799</v>
      </c>
      <c r="J142" s="1460"/>
      <c r="K142" s="1460"/>
      <c r="L142" s="1460"/>
      <c r="M142" s="1460"/>
      <c r="N142" s="1463"/>
      <c r="O142" s="1463"/>
      <c r="P142" s="1463">
        <f t="shared" ref="P142:P143" si="149">Q142</f>
        <v>6150</v>
      </c>
      <c r="Q142" s="1463">
        <v>6150</v>
      </c>
      <c r="R142" s="1463">
        <f t="shared" si="147"/>
        <v>6150</v>
      </c>
      <c r="S142" s="1463"/>
      <c r="T142" s="1463">
        <f t="shared" ref="T142:T143" si="150">U142</f>
        <v>6150</v>
      </c>
      <c r="U142" s="1463">
        <v>6150</v>
      </c>
      <c r="V142" s="1463"/>
      <c r="W142" s="1463"/>
      <c r="X142" s="1463">
        <f t="shared" ref="X142:X143" si="151">Y142</f>
        <v>6150</v>
      </c>
      <c r="Y142" s="1463">
        <v>6150</v>
      </c>
      <c r="Z142" s="1460"/>
      <c r="AA142" s="1460"/>
      <c r="AB142" s="1460">
        <v>5320</v>
      </c>
      <c r="AC142" s="1460">
        <v>5320</v>
      </c>
      <c r="AD142" s="1460"/>
      <c r="AE142" s="1525"/>
      <c r="AF142" s="1383">
        <f t="shared" si="112"/>
        <v>5320</v>
      </c>
      <c r="AG142" s="1383">
        <f t="shared" si="113"/>
        <v>5320</v>
      </c>
      <c r="AH142" s="1383">
        <f t="shared" si="114"/>
        <v>5320</v>
      </c>
      <c r="AI142" s="1383"/>
      <c r="AJ142" s="1383"/>
      <c r="AK142" s="1383"/>
      <c r="AL142" s="1383">
        <v>4350</v>
      </c>
      <c r="AM142" s="1383">
        <f>1800-830</f>
        <v>970</v>
      </c>
      <c r="AN142" s="1381"/>
      <c r="AO142" s="1381"/>
      <c r="AP142" s="1431">
        <f t="shared" si="76"/>
        <v>0</v>
      </c>
      <c r="AQ142" s="1431">
        <f t="shared" si="135"/>
        <v>1</v>
      </c>
      <c r="AR142" s="1434">
        <f t="shared" si="124"/>
        <v>0</v>
      </c>
      <c r="AS142" s="1434"/>
      <c r="AT142" s="1427">
        <f t="shared" si="102"/>
        <v>1</v>
      </c>
      <c r="AV142" s="1427">
        <f t="shared" si="131"/>
        <v>0</v>
      </c>
      <c r="AW142" s="1427">
        <f t="shared" si="132"/>
        <v>0</v>
      </c>
      <c r="AX142" s="1427">
        <f t="shared" si="104"/>
        <v>1</v>
      </c>
      <c r="AY142" s="1427">
        <f t="shared" si="136"/>
        <v>6150</v>
      </c>
      <c r="BB142" s="1427">
        <f>IF(S142=0,0,1)</f>
        <v>0</v>
      </c>
      <c r="BC142" s="1427">
        <f>IF(BB142=1,S142,0)</f>
        <v>0</v>
      </c>
      <c r="BD142" s="1436">
        <f t="shared" si="137"/>
        <v>1</v>
      </c>
      <c r="BE142" s="1331">
        <v>34</v>
      </c>
    </row>
    <row r="143" spans="1:57" ht="44.25" customHeight="1" x14ac:dyDescent="0.3">
      <c r="A143" s="1461" t="s">
        <v>2878</v>
      </c>
      <c r="B143" s="1457"/>
      <c r="C143" s="1442" t="s">
        <v>327</v>
      </c>
      <c r="D143" s="1388" t="s">
        <v>146</v>
      </c>
      <c r="E143" s="1388" t="s">
        <v>328</v>
      </c>
      <c r="F143" s="1388" t="s">
        <v>290</v>
      </c>
      <c r="G143" s="1388"/>
      <c r="H143" s="1443">
        <f t="shared" si="148"/>
        <v>12000</v>
      </c>
      <c r="I143" s="1444">
        <v>12000</v>
      </c>
      <c r="J143" s="1460"/>
      <c r="K143" s="1460"/>
      <c r="L143" s="1460"/>
      <c r="M143" s="1460"/>
      <c r="N143" s="1463"/>
      <c r="O143" s="1463"/>
      <c r="P143" s="1463">
        <f t="shared" si="149"/>
        <v>9000</v>
      </c>
      <c r="Q143" s="1463">
        <v>9000</v>
      </c>
      <c r="R143" s="1463">
        <f t="shared" si="147"/>
        <v>9000</v>
      </c>
      <c r="S143" s="1463"/>
      <c r="T143" s="1463">
        <f t="shared" si="150"/>
        <v>9000</v>
      </c>
      <c r="U143" s="1463">
        <v>9000</v>
      </c>
      <c r="V143" s="1463"/>
      <c r="W143" s="1463">
        <v>9000</v>
      </c>
      <c r="X143" s="1463">
        <f t="shared" si="151"/>
        <v>0</v>
      </c>
      <c r="Y143" s="1463">
        <f>U143-W143</f>
        <v>0</v>
      </c>
      <c r="Z143" s="1460"/>
      <c r="AA143" s="1460"/>
      <c r="AB143" s="1460">
        <v>0</v>
      </c>
      <c r="AC143" s="1460">
        <v>0</v>
      </c>
      <c r="AD143" s="1460"/>
      <c r="AE143" s="1460"/>
      <c r="AF143" s="1383">
        <f t="shared" si="112"/>
        <v>0</v>
      </c>
      <c r="AG143" s="1383">
        <f t="shared" si="113"/>
        <v>0</v>
      </c>
      <c r="AH143" s="1383">
        <f t="shared" si="114"/>
        <v>0</v>
      </c>
      <c r="AI143" s="1383"/>
      <c r="AJ143" s="1383"/>
      <c r="AK143" s="1383"/>
      <c r="AL143" s="1383"/>
      <c r="AM143" s="1383"/>
      <c r="AN143" s="1381"/>
      <c r="AO143" s="1381"/>
      <c r="AP143" s="1431">
        <f t="shared" si="76"/>
        <v>0</v>
      </c>
      <c r="AQ143" s="1431">
        <f t="shared" si="135"/>
        <v>0</v>
      </c>
      <c r="AR143" s="1434">
        <f t="shared" si="124"/>
        <v>0</v>
      </c>
      <c r="AS143" s="1434"/>
      <c r="AT143" s="1427">
        <f t="shared" si="102"/>
        <v>1</v>
      </c>
      <c r="AV143" s="1427">
        <f t="shared" si="131"/>
        <v>0</v>
      </c>
      <c r="AW143" s="1427">
        <f t="shared" si="132"/>
        <v>0</v>
      </c>
      <c r="AX143" s="1427">
        <f t="shared" si="104"/>
        <v>1</v>
      </c>
      <c r="AY143" s="1427">
        <f t="shared" si="136"/>
        <v>9000</v>
      </c>
      <c r="BB143" s="1427">
        <f>IF(S143=0,0,1)</f>
        <v>0</v>
      </c>
      <c r="BC143" s="1427">
        <f>IF(BB143=1,S143,0)</f>
        <v>0</v>
      </c>
      <c r="BD143" s="1436">
        <f t="shared" si="137"/>
        <v>1</v>
      </c>
    </row>
    <row r="144" spans="1:57" ht="138.75" customHeight="1" x14ac:dyDescent="0.3">
      <c r="A144" s="1461" t="s">
        <v>2879</v>
      </c>
      <c r="B144" s="1457" t="s">
        <v>2841</v>
      </c>
      <c r="C144" s="1442" t="s">
        <v>2398</v>
      </c>
      <c r="D144" s="1388" t="s">
        <v>2498</v>
      </c>
      <c r="E144" s="1388"/>
      <c r="F144" s="1388" t="s">
        <v>168</v>
      </c>
      <c r="G144" s="1388" t="s">
        <v>2561</v>
      </c>
      <c r="H144" s="1443">
        <v>13352</v>
      </c>
      <c r="I144" s="1444">
        <f>H144</f>
        <v>13352</v>
      </c>
      <c r="J144" s="1460"/>
      <c r="K144" s="1460"/>
      <c r="L144" s="1460"/>
      <c r="M144" s="1460"/>
      <c r="N144" s="1463"/>
      <c r="O144" s="1463"/>
      <c r="P144" s="1463"/>
      <c r="Q144" s="1463"/>
      <c r="R144" s="1463"/>
      <c r="S144" s="1463"/>
      <c r="T144" s="1463">
        <v>8730</v>
      </c>
      <c r="U144" s="1463">
        <v>8730</v>
      </c>
      <c r="V144" s="1463">
        <v>3500</v>
      </c>
      <c r="W144" s="1463"/>
      <c r="X144" s="1463">
        <f>Y144</f>
        <v>12230</v>
      </c>
      <c r="Y144" s="1463">
        <f>U144+V144</f>
        <v>12230</v>
      </c>
      <c r="Z144" s="1460"/>
      <c r="AA144" s="1460"/>
      <c r="AB144" s="1460">
        <v>4230</v>
      </c>
      <c r="AC144" s="1460">
        <v>4230</v>
      </c>
      <c r="AD144" s="1460"/>
      <c r="AE144" s="1525"/>
      <c r="AF144" s="1383">
        <f t="shared" si="112"/>
        <v>4230</v>
      </c>
      <c r="AG144" s="1383">
        <f t="shared" si="113"/>
        <v>4230</v>
      </c>
      <c r="AH144" s="1383">
        <f t="shared" si="114"/>
        <v>4230</v>
      </c>
      <c r="AI144" s="1383"/>
      <c r="AJ144" s="1383"/>
      <c r="AK144" s="1383"/>
      <c r="AL144" s="1383"/>
      <c r="AM144" s="1383">
        <f>12230-8000</f>
        <v>4230</v>
      </c>
      <c r="AN144" s="1381"/>
      <c r="AO144" s="1381"/>
      <c r="AP144" s="1431">
        <f t="shared" si="76"/>
        <v>0</v>
      </c>
      <c r="AQ144" s="1431">
        <f t="shared" si="135"/>
        <v>1</v>
      </c>
      <c r="AR144" s="1434"/>
      <c r="AS144" s="1434"/>
      <c r="BD144" s="1436">
        <f t="shared" si="137"/>
        <v>1</v>
      </c>
      <c r="BE144" s="1331">
        <v>35</v>
      </c>
    </row>
    <row r="145" spans="1:57" ht="154.5" customHeight="1" x14ac:dyDescent="0.3">
      <c r="A145" s="1461" t="s">
        <v>2880</v>
      </c>
      <c r="B145" s="1457" t="s">
        <v>2842</v>
      </c>
      <c r="C145" s="1442" t="s">
        <v>2399</v>
      </c>
      <c r="D145" s="1388" t="s">
        <v>2499</v>
      </c>
      <c r="E145" s="1388"/>
      <c r="F145" s="1388" t="s">
        <v>168</v>
      </c>
      <c r="G145" s="1388" t="s">
        <v>2562</v>
      </c>
      <c r="H145" s="1443">
        <v>14902</v>
      </c>
      <c r="I145" s="1444">
        <v>14902</v>
      </c>
      <c r="J145" s="1460"/>
      <c r="K145" s="1460"/>
      <c r="L145" s="1460"/>
      <c r="M145" s="1460"/>
      <c r="N145" s="1463"/>
      <c r="O145" s="1463"/>
      <c r="P145" s="1463"/>
      <c r="Q145" s="1463"/>
      <c r="R145" s="1463"/>
      <c r="S145" s="1463"/>
      <c r="T145" s="1463"/>
      <c r="U145" s="1463"/>
      <c r="V145" s="1463">
        <v>12600</v>
      </c>
      <c r="W145" s="1463"/>
      <c r="X145" s="1463">
        <f t="shared" ref="X145:X147" si="152">Y145</f>
        <v>12600</v>
      </c>
      <c r="Y145" s="1463">
        <f t="shared" ref="Y145:Y147" si="153">U145+V145</f>
        <v>12600</v>
      </c>
      <c r="Z145" s="1460"/>
      <c r="AA145" s="1460"/>
      <c r="AB145" s="1460">
        <v>9900</v>
      </c>
      <c r="AC145" s="1460">
        <v>9900</v>
      </c>
      <c r="AD145" s="1460"/>
      <c r="AE145" s="1525"/>
      <c r="AF145" s="1383">
        <f t="shared" si="112"/>
        <v>9900</v>
      </c>
      <c r="AG145" s="1383">
        <f t="shared" si="113"/>
        <v>9900</v>
      </c>
      <c r="AH145" s="1383">
        <f t="shared" si="114"/>
        <v>9900</v>
      </c>
      <c r="AI145" s="1383"/>
      <c r="AJ145" s="1383"/>
      <c r="AK145" s="1383"/>
      <c r="AL145" s="1383"/>
      <c r="AM145" s="1383">
        <f>12600-2700</f>
        <v>9900</v>
      </c>
      <c r="AN145" s="1381"/>
      <c r="AO145" s="1381"/>
      <c r="AP145" s="1431">
        <f t="shared" ref="AP145:AP208" si="154">IF(AG145-AC145=0,0,1)</f>
        <v>0</v>
      </c>
      <c r="AQ145" s="1431">
        <f t="shared" si="135"/>
        <v>1</v>
      </c>
      <c r="AR145" s="1434"/>
      <c r="AS145" s="1434"/>
      <c r="BD145" s="1436">
        <f t="shared" si="137"/>
        <v>1</v>
      </c>
      <c r="BE145" s="1331">
        <v>36</v>
      </c>
    </row>
    <row r="146" spans="1:57" ht="141.75" customHeight="1" x14ac:dyDescent="0.3">
      <c r="A146" s="1461" t="s">
        <v>2881</v>
      </c>
      <c r="B146" s="1457" t="s">
        <v>2843</v>
      </c>
      <c r="C146" s="1442" t="s">
        <v>2400</v>
      </c>
      <c r="D146" s="1388" t="s">
        <v>2500</v>
      </c>
      <c r="E146" s="1388"/>
      <c r="F146" s="1388" t="s">
        <v>168</v>
      </c>
      <c r="G146" s="1388" t="s">
        <v>2563</v>
      </c>
      <c r="H146" s="1443">
        <v>8164</v>
      </c>
      <c r="I146" s="1444">
        <v>8164</v>
      </c>
      <c r="J146" s="1460"/>
      <c r="K146" s="1460"/>
      <c r="L146" s="1460"/>
      <c r="M146" s="1460"/>
      <c r="N146" s="1463"/>
      <c r="O146" s="1463"/>
      <c r="P146" s="1463"/>
      <c r="Q146" s="1463"/>
      <c r="R146" s="1463"/>
      <c r="S146" s="1463"/>
      <c r="T146" s="1463"/>
      <c r="U146" s="1463"/>
      <c r="V146" s="1463">
        <v>6120</v>
      </c>
      <c r="W146" s="1463"/>
      <c r="X146" s="1463">
        <f t="shared" si="152"/>
        <v>6120</v>
      </c>
      <c r="Y146" s="1463">
        <f t="shared" si="153"/>
        <v>6120</v>
      </c>
      <c r="Z146" s="1460"/>
      <c r="AA146" s="1460"/>
      <c r="AB146" s="1460">
        <v>2920</v>
      </c>
      <c r="AC146" s="1460">
        <v>2920</v>
      </c>
      <c r="AD146" s="1460"/>
      <c r="AE146" s="1525"/>
      <c r="AF146" s="1383">
        <f t="shared" si="112"/>
        <v>2920</v>
      </c>
      <c r="AG146" s="1383">
        <f t="shared" si="113"/>
        <v>2920</v>
      </c>
      <c r="AH146" s="1383">
        <f t="shared" si="114"/>
        <v>2920</v>
      </c>
      <c r="AI146" s="1383"/>
      <c r="AJ146" s="1383"/>
      <c r="AK146" s="1383"/>
      <c r="AL146" s="1383"/>
      <c r="AM146" s="1383">
        <f>6120-3200</f>
        <v>2920</v>
      </c>
      <c r="AN146" s="1381"/>
      <c r="AO146" s="1381"/>
      <c r="AP146" s="1431">
        <f t="shared" si="154"/>
        <v>0</v>
      </c>
      <c r="AQ146" s="1431">
        <f t="shared" si="135"/>
        <v>1</v>
      </c>
      <c r="AR146" s="1434"/>
      <c r="AS146" s="1434"/>
      <c r="BD146" s="1436">
        <f t="shared" si="137"/>
        <v>1</v>
      </c>
      <c r="BE146" s="1331">
        <v>37</v>
      </c>
    </row>
    <row r="147" spans="1:57" ht="140.25" customHeight="1" x14ac:dyDescent="0.3">
      <c r="A147" s="1461" t="s">
        <v>2882</v>
      </c>
      <c r="B147" s="1457" t="s">
        <v>2844</v>
      </c>
      <c r="C147" s="1442" t="s">
        <v>2401</v>
      </c>
      <c r="D147" s="1388" t="s">
        <v>2501</v>
      </c>
      <c r="E147" s="1388"/>
      <c r="F147" s="1388" t="s">
        <v>168</v>
      </c>
      <c r="G147" s="1388" t="s">
        <v>2564</v>
      </c>
      <c r="H147" s="1443">
        <v>14956</v>
      </c>
      <c r="I147" s="1444">
        <f>H147</f>
        <v>14956</v>
      </c>
      <c r="J147" s="1460"/>
      <c r="K147" s="1460"/>
      <c r="L147" s="1460"/>
      <c r="M147" s="1460"/>
      <c r="N147" s="1463"/>
      <c r="O147" s="1463"/>
      <c r="P147" s="1463"/>
      <c r="Q147" s="1463"/>
      <c r="R147" s="1463"/>
      <c r="S147" s="1463"/>
      <c r="T147" s="1463"/>
      <c r="U147" s="1463"/>
      <c r="V147" s="1463">
        <v>11250</v>
      </c>
      <c r="W147" s="1463"/>
      <c r="X147" s="1463">
        <f t="shared" si="152"/>
        <v>11250</v>
      </c>
      <c r="Y147" s="1463">
        <f t="shared" si="153"/>
        <v>11250</v>
      </c>
      <c r="Z147" s="1460"/>
      <c r="AA147" s="1460"/>
      <c r="AB147" s="1460">
        <v>10300</v>
      </c>
      <c r="AC147" s="1460">
        <v>10300</v>
      </c>
      <c r="AD147" s="1460"/>
      <c r="AE147" s="1525"/>
      <c r="AF147" s="1383">
        <f t="shared" si="112"/>
        <v>10300</v>
      </c>
      <c r="AG147" s="1383">
        <f t="shared" si="113"/>
        <v>10300</v>
      </c>
      <c r="AH147" s="1383">
        <f t="shared" si="114"/>
        <v>10300</v>
      </c>
      <c r="AI147" s="1383"/>
      <c r="AJ147" s="1383"/>
      <c r="AK147" s="1383"/>
      <c r="AL147" s="1383"/>
      <c r="AM147" s="1383">
        <f>11250-950</f>
        <v>10300</v>
      </c>
      <c r="AN147" s="1381"/>
      <c r="AO147" s="1381"/>
      <c r="AP147" s="1431">
        <f t="shared" si="154"/>
        <v>0</v>
      </c>
      <c r="AQ147" s="1431">
        <f t="shared" si="135"/>
        <v>1</v>
      </c>
      <c r="AR147" s="1434"/>
      <c r="AS147" s="1434"/>
      <c r="BD147" s="1436">
        <f t="shared" si="137"/>
        <v>1</v>
      </c>
      <c r="BE147" s="1331">
        <v>38</v>
      </c>
    </row>
    <row r="148" spans="1:57" ht="138.75" customHeight="1" x14ac:dyDescent="0.3">
      <c r="A148" s="1461" t="s">
        <v>2883</v>
      </c>
      <c r="B148" s="1457" t="s">
        <v>2845</v>
      </c>
      <c r="C148" s="1442" t="s">
        <v>2566</v>
      </c>
      <c r="D148" s="1388" t="s">
        <v>136</v>
      </c>
      <c r="E148" s="1388"/>
      <c r="F148" s="1388" t="s">
        <v>168</v>
      </c>
      <c r="G148" s="1388" t="s">
        <v>2565</v>
      </c>
      <c r="H148" s="1443">
        <v>14995</v>
      </c>
      <c r="I148" s="1444">
        <f>H148</f>
        <v>14995</v>
      </c>
      <c r="J148" s="1460"/>
      <c r="K148" s="1460"/>
      <c r="L148" s="1460"/>
      <c r="M148" s="1460"/>
      <c r="N148" s="1463"/>
      <c r="O148" s="1463"/>
      <c r="P148" s="1463"/>
      <c r="Q148" s="1463"/>
      <c r="R148" s="1463"/>
      <c r="S148" s="1463"/>
      <c r="T148" s="1463"/>
      <c r="U148" s="1463"/>
      <c r="V148" s="1463">
        <v>12600</v>
      </c>
      <c r="W148" s="1463"/>
      <c r="X148" s="1463">
        <f>Y148</f>
        <v>12600</v>
      </c>
      <c r="Y148" s="1463">
        <f>V148</f>
        <v>12600</v>
      </c>
      <c r="Z148" s="1460"/>
      <c r="AA148" s="1460"/>
      <c r="AB148" s="1460">
        <v>6300</v>
      </c>
      <c r="AC148" s="1460">
        <v>6300</v>
      </c>
      <c r="AD148" s="1460"/>
      <c r="AE148" s="1525"/>
      <c r="AF148" s="1383">
        <f t="shared" si="112"/>
        <v>6300</v>
      </c>
      <c r="AG148" s="1383">
        <f t="shared" si="113"/>
        <v>6300</v>
      </c>
      <c r="AH148" s="1383">
        <f t="shared" si="114"/>
        <v>6300</v>
      </c>
      <c r="AI148" s="1383"/>
      <c r="AJ148" s="1383"/>
      <c r="AK148" s="1383"/>
      <c r="AL148" s="1383"/>
      <c r="AM148" s="1383">
        <f>12600-6300</f>
        <v>6300</v>
      </c>
      <c r="AN148" s="1381"/>
      <c r="AO148" s="1381"/>
      <c r="AP148" s="1431">
        <f t="shared" si="154"/>
        <v>0</v>
      </c>
      <c r="AQ148" s="1431">
        <f t="shared" si="135"/>
        <v>1</v>
      </c>
      <c r="AR148" s="1434"/>
      <c r="AS148" s="1434"/>
      <c r="BD148" s="1436">
        <f t="shared" si="137"/>
        <v>1</v>
      </c>
      <c r="BE148" s="1331">
        <v>39</v>
      </c>
    </row>
    <row r="149" spans="1:57" ht="41.25" customHeight="1" x14ac:dyDescent="0.3">
      <c r="A149" s="1826" t="s">
        <v>2884</v>
      </c>
      <c r="B149" s="1826" t="s">
        <v>2884</v>
      </c>
      <c r="C149" s="1446" t="s">
        <v>138</v>
      </c>
      <c r="D149" s="1447"/>
      <c r="E149" s="1447"/>
      <c r="F149" s="1448"/>
      <c r="G149" s="1448"/>
      <c r="H149" s="1449">
        <f t="shared" ref="H149:X149" si="155">SUM(H150:H153)</f>
        <v>1222499</v>
      </c>
      <c r="I149" s="1449">
        <f t="shared" si="155"/>
        <v>637499</v>
      </c>
      <c r="J149" s="1449">
        <f t="shared" si="155"/>
        <v>0</v>
      </c>
      <c r="K149" s="1449">
        <f t="shared" si="155"/>
        <v>0</v>
      </c>
      <c r="L149" s="1449">
        <f t="shared" si="155"/>
        <v>0</v>
      </c>
      <c r="M149" s="1449">
        <f t="shared" si="155"/>
        <v>0</v>
      </c>
      <c r="N149" s="1449">
        <f t="shared" si="155"/>
        <v>24119.200000000001</v>
      </c>
      <c r="O149" s="1449">
        <f t="shared" si="155"/>
        <v>24119.200000000001</v>
      </c>
      <c r="P149" s="1449">
        <f t="shared" si="155"/>
        <v>20588</v>
      </c>
      <c r="Q149" s="1449">
        <f t="shared" si="155"/>
        <v>20588</v>
      </c>
      <c r="R149" s="1449">
        <f t="shared" si="155"/>
        <v>5458</v>
      </c>
      <c r="S149" s="1449">
        <f t="shared" si="155"/>
        <v>8989.2000000000007</v>
      </c>
      <c r="T149" s="1449">
        <f t="shared" si="155"/>
        <v>605588</v>
      </c>
      <c r="U149" s="1449">
        <f t="shared" si="155"/>
        <v>20588</v>
      </c>
      <c r="V149" s="1449">
        <f t="shared" si="155"/>
        <v>143000</v>
      </c>
      <c r="W149" s="1449">
        <f t="shared" si="155"/>
        <v>20588</v>
      </c>
      <c r="X149" s="1449">
        <f t="shared" si="155"/>
        <v>728000</v>
      </c>
      <c r="Y149" s="1449">
        <f>SUM(Y150:Y153)</f>
        <v>143000</v>
      </c>
      <c r="Z149" s="1449">
        <v>91600</v>
      </c>
      <c r="AA149" s="1449">
        <v>0</v>
      </c>
      <c r="AB149" s="1449">
        <v>869100</v>
      </c>
      <c r="AC149" s="1449">
        <v>284100</v>
      </c>
      <c r="AD149" s="1449"/>
      <c r="AE149" s="1526"/>
      <c r="AF149" s="1449">
        <f t="shared" ref="AF149:AM149" si="156">SUM(AF150:AF153)</f>
        <v>919100</v>
      </c>
      <c r="AG149" s="1449">
        <f t="shared" si="156"/>
        <v>284100</v>
      </c>
      <c r="AH149" s="1449">
        <f t="shared" si="156"/>
        <v>234100</v>
      </c>
      <c r="AI149" s="1449">
        <f t="shared" si="156"/>
        <v>0</v>
      </c>
      <c r="AJ149" s="1449">
        <f t="shared" si="156"/>
        <v>0</v>
      </c>
      <c r="AK149" s="1449">
        <f t="shared" si="156"/>
        <v>0</v>
      </c>
      <c r="AL149" s="1449">
        <f t="shared" si="156"/>
        <v>0</v>
      </c>
      <c r="AM149" s="1449">
        <f t="shared" si="156"/>
        <v>234100</v>
      </c>
      <c r="AN149" s="1450"/>
      <c r="AO149" s="1450"/>
      <c r="AP149" s="1431">
        <f t="shared" si="154"/>
        <v>0</v>
      </c>
      <c r="AQ149" s="1431">
        <f t="shared" si="135"/>
        <v>1</v>
      </c>
      <c r="AR149" s="1434"/>
      <c r="AS149" s="1434"/>
      <c r="AW149" s="1427">
        <f>IF(AV149=1,O149,0)</f>
        <v>0</v>
      </c>
      <c r="AY149" s="1427">
        <f>IF(AX149=1,Q149,0)</f>
        <v>0</v>
      </c>
      <c r="BA149" s="1427">
        <f>IF(AZ149=1,R149,0)</f>
        <v>0</v>
      </c>
      <c r="BC149" s="1427">
        <f>IF(BB149=1,S149,0)</f>
        <v>0</v>
      </c>
      <c r="BD149" s="1436">
        <f t="shared" si="137"/>
        <v>1</v>
      </c>
    </row>
    <row r="150" spans="1:57" ht="98.25" customHeight="1" x14ac:dyDescent="0.3">
      <c r="A150" s="1461" t="s">
        <v>2885</v>
      </c>
      <c r="B150" s="1457" t="s">
        <v>3246</v>
      </c>
      <c r="C150" s="1442" t="s">
        <v>2514</v>
      </c>
      <c r="D150" s="1388" t="s">
        <v>2502</v>
      </c>
      <c r="E150" s="1388" t="s">
        <v>2615</v>
      </c>
      <c r="F150" s="1388" t="s">
        <v>168</v>
      </c>
      <c r="G150" s="1388" t="s">
        <v>2587</v>
      </c>
      <c r="H150" s="1443">
        <f t="shared" ref="H150" si="157">I150</f>
        <v>10526</v>
      </c>
      <c r="I150" s="1444">
        <v>10526</v>
      </c>
      <c r="J150" s="1449"/>
      <c r="K150" s="1449"/>
      <c r="L150" s="1449"/>
      <c r="M150" s="1449"/>
      <c r="N150" s="1449"/>
      <c r="O150" s="1449"/>
      <c r="P150" s="1449"/>
      <c r="Q150" s="1449"/>
      <c r="R150" s="1449"/>
      <c r="S150" s="1449"/>
      <c r="T150" s="1449"/>
      <c r="U150" s="1449"/>
      <c r="V150" s="1463">
        <v>8900</v>
      </c>
      <c r="W150" s="1449"/>
      <c r="X150" s="1463">
        <f>Y150</f>
        <v>8900</v>
      </c>
      <c r="Y150" s="1463">
        <f>V150</f>
        <v>8900</v>
      </c>
      <c r="Z150" s="1449"/>
      <c r="AA150" s="1449"/>
      <c r="AB150" s="1460">
        <v>8400</v>
      </c>
      <c r="AC150" s="1460">
        <v>8400</v>
      </c>
      <c r="AD150" s="1460"/>
      <c r="AE150" s="1525"/>
      <c r="AF150" s="1383">
        <f t="shared" si="112"/>
        <v>8400</v>
      </c>
      <c r="AG150" s="1383">
        <f t="shared" si="113"/>
        <v>8400</v>
      </c>
      <c r="AH150" s="1383">
        <f t="shared" si="114"/>
        <v>8400</v>
      </c>
      <c r="AI150" s="1383"/>
      <c r="AJ150" s="1383"/>
      <c r="AK150" s="1383"/>
      <c r="AL150" s="1383"/>
      <c r="AM150" s="1383">
        <v>8400</v>
      </c>
      <c r="AN150" s="1381"/>
      <c r="AO150" s="1381"/>
      <c r="AP150" s="1431">
        <f t="shared" si="154"/>
        <v>0</v>
      </c>
      <c r="AQ150" s="1431">
        <f t="shared" si="135"/>
        <v>1</v>
      </c>
      <c r="AR150" s="1434"/>
      <c r="AS150" s="1434"/>
      <c r="BD150" s="1436">
        <f t="shared" si="137"/>
        <v>1</v>
      </c>
      <c r="BE150" s="1331">
        <v>40</v>
      </c>
    </row>
    <row r="151" spans="1:57" ht="80.25" customHeight="1" x14ac:dyDescent="0.3">
      <c r="A151" s="1461" t="s">
        <v>2886</v>
      </c>
      <c r="B151" s="1457"/>
      <c r="C151" s="1442" t="s">
        <v>2162</v>
      </c>
      <c r="D151" s="1388" t="s">
        <v>52</v>
      </c>
      <c r="E151" s="1388" t="s">
        <v>299</v>
      </c>
      <c r="F151" s="1388" t="s">
        <v>168</v>
      </c>
      <c r="G151" s="1388" t="s">
        <v>2579</v>
      </c>
      <c r="H151" s="1443">
        <f>I151</f>
        <v>9988</v>
      </c>
      <c r="I151" s="1444">
        <v>9988</v>
      </c>
      <c r="J151" s="1460"/>
      <c r="K151" s="1460"/>
      <c r="L151" s="1460"/>
      <c r="M151" s="1460"/>
      <c r="N151" s="1463">
        <f>I151*0.9</f>
        <v>8989.2000000000007</v>
      </c>
      <c r="O151" s="1460">
        <f>N151</f>
        <v>8989.2000000000007</v>
      </c>
      <c r="P151" s="1463"/>
      <c r="Q151" s="1460"/>
      <c r="R151" s="1463"/>
      <c r="S151" s="1463">
        <f>O151-U151</f>
        <v>8989.2000000000007</v>
      </c>
      <c r="T151" s="1463"/>
      <c r="U151" s="1460"/>
      <c r="V151" s="1463">
        <v>5100</v>
      </c>
      <c r="W151" s="1463"/>
      <c r="X151" s="1463">
        <f>Y151</f>
        <v>5100</v>
      </c>
      <c r="Y151" s="1460">
        <f>V151+U151</f>
        <v>5100</v>
      </c>
      <c r="Z151" s="1460"/>
      <c r="AA151" s="1460"/>
      <c r="AB151" s="1460">
        <v>5100</v>
      </c>
      <c r="AC151" s="1460">
        <v>5100</v>
      </c>
      <c r="AD151" s="1460"/>
      <c r="AE151" s="1460"/>
      <c r="AF151" s="1383">
        <f t="shared" si="112"/>
        <v>5100</v>
      </c>
      <c r="AG151" s="1383">
        <f t="shared" si="113"/>
        <v>5100</v>
      </c>
      <c r="AH151" s="1383">
        <f t="shared" si="114"/>
        <v>5100</v>
      </c>
      <c r="AI151" s="1383"/>
      <c r="AJ151" s="1383"/>
      <c r="AK151" s="1383"/>
      <c r="AL151" s="1383"/>
      <c r="AM151" s="1383">
        <v>5100</v>
      </c>
      <c r="AN151" s="1381"/>
      <c r="AO151" s="1381"/>
      <c r="AP151" s="1431">
        <f t="shared" si="154"/>
        <v>0</v>
      </c>
      <c r="AQ151" s="1431">
        <f t="shared" si="135"/>
        <v>1</v>
      </c>
      <c r="AR151" s="1434">
        <f>AP151</f>
        <v>0</v>
      </c>
      <c r="AS151" s="1434"/>
      <c r="AT151" s="1427">
        <f>IF(AP151=0,1,0)</f>
        <v>1</v>
      </c>
      <c r="AV151" s="1427">
        <f>IF(Q151=0,1,0)</f>
        <v>1</v>
      </c>
      <c r="AW151" s="1427">
        <f>IF(AV151=1,O151,0)</f>
        <v>8989.2000000000007</v>
      </c>
      <c r="AX151" s="1427">
        <f>IF(O151=0,1,0)</f>
        <v>0</v>
      </c>
      <c r="AY151" s="1427">
        <f>IF(AX151=1,Q151,0)</f>
        <v>0</v>
      </c>
      <c r="AZ151" s="1427">
        <f>IF(R151=0,0,1)</f>
        <v>0</v>
      </c>
      <c r="BA151" s="1427">
        <f>IF(AZ151=1,R151,0)</f>
        <v>0</v>
      </c>
      <c r="BD151" s="1436">
        <f t="shared" si="137"/>
        <v>1</v>
      </c>
      <c r="BE151" s="1331">
        <v>41</v>
      </c>
    </row>
    <row r="152" spans="1:57" ht="39.75" customHeight="1" x14ac:dyDescent="0.3">
      <c r="A152" s="1461" t="s">
        <v>2887</v>
      </c>
      <c r="B152" s="1457"/>
      <c r="C152" s="1442" t="s">
        <v>329</v>
      </c>
      <c r="D152" s="1388" t="s">
        <v>330</v>
      </c>
      <c r="E152" s="1388" t="s">
        <v>331</v>
      </c>
      <c r="F152" s="1388" t="s">
        <v>332</v>
      </c>
      <c r="G152" s="1388"/>
      <c r="H152" s="1443">
        <v>54258</v>
      </c>
      <c r="I152" s="1444">
        <f>H152</f>
        <v>54258</v>
      </c>
      <c r="J152" s="1460"/>
      <c r="K152" s="1460"/>
      <c r="L152" s="1460"/>
      <c r="M152" s="1460"/>
      <c r="N152" s="1463">
        <f>O152</f>
        <v>15130</v>
      </c>
      <c r="O152" s="1463">
        <f>20950+4500-4050-870-5400</f>
        <v>15130</v>
      </c>
      <c r="P152" s="1463">
        <f>Q152</f>
        <v>20588</v>
      </c>
      <c r="Q152" s="1463">
        <f>20535+53</f>
        <v>20588</v>
      </c>
      <c r="R152" s="1454">
        <f>U152-O152</f>
        <v>5458</v>
      </c>
      <c r="S152" s="1454"/>
      <c r="T152" s="1463">
        <f>U152</f>
        <v>20588</v>
      </c>
      <c r="U152" s="1463">
        <f>20535+53</f>
        <v>20588</v>
      </c>
      <c r="V152" s="1454"/>
      <c r="W152" s="1454">
        <v>20588</v>
      </c>
      <c r="X152" s="1463">
        <f>Y152</f>
        <v>0</v>
      </c>
      <c r="Y152" s="1463">
        <f>U152-W152</f>
        <v>0</v>
      </c>
      <c r="Z152" s="1449"/>
      <c r="AA152" s="1449"/>
      <c r="AB152" s="1460">
        <v>0</v>
      </c>
      <c r="AC152" s="1460">
        <v>0</v>
      </c>
      <c r="AD152" s="1460"/>
      <c r="AE152" s="1460"/>
      <c r="AF152" s="1383">
        <f t="shared" si="112"/>
        <v>0</v>
      </c>
      <c r="AG152" s="1383">
        <f t="shared" si="113"/>
        <v>0</v>
      </c>
      <c r="AH152" s="1383">
        <f t="shared" si="114"/>
        <v>0</v>
      </c>
      <c r="AI152" s="1383"/>
      <c r="AJ152" s="1383"/>
      <c r="AK152" s="1383"/>
      <c r="AL152" s="1383"/>
      <c r="AM152" s="1383"/>
      <c r="AN152" s="1381"/>
      <c r="AO152" s="1381"/>
      <c r="AP152" s="1431">
        <f t="shared" si="154"/>
        <v>0</v>
      </c>
      <c r="AQ152" s="1431">
        <v>1</v>
      </c>
      <c r="AR152" s="1434">
        <f t="shared" si="124"/>
        <v>0</v>
      </c>
      <c r="AS152" s="1434"/>
      <c r="AT152" s="1427">
        <f>IF(AP152=0,1,0)</f>
        <v>1</v>
      </c>
      <c r="AV152" s="1427">
        <f>IF(Q152=0,1,0)</f>
        <v>0</v>
      </c>
      <c r="AW152" s="1427">
        <f>IF(AV152=1,O152,0)</f>
        <v>0</v>
      </c>
      <c r="AX152" s="1427">
        <f>IF(O152=0,1,0)</f>
        <v>0</v>
      </c>
      <c r="AY152" s="1427">
        <f>IF(AX152=1,Q152,0)</f>
        <v>0</v>
      </c>
      <c r="AZ152" s="1427">
        <f>IF(R152=0,0,1)</f>
        <v>1</v>
      </c>
      <c r="BA152" s="1427">
        <f>IF(AZ152=1,R152,0)</f>
        <v>5458</v>
      </c>
      <c r="BB152" s="1427">
        <f>IF(S152=0,0,1)</f>
        <v>0</v>
      </c>
      <c r="BC152" s="1427">
        <f>IF(BB152=1,S152,0)</f>
        <v>0</v>
      </c>
      <c r="BD152" s="1436">
        <f t="shared" si="137"/>
        <v>1</v>
      </c>
    </row>
    <row r="153" spans="1:57" ht="138.75" customHeight="1" x14ac:dyDescent="0.3">
      <c r="A153" s="1461" t="s">
        <v>2888</v>
      </c>
      <c r="B153" s="1457" t="s">
        <v>2885</v>
      </c>
      <c r="C153" s="1442" t="s">
        <v>2622</v>
      </c>
      <c r="D153" s="1388" t="s">
        <v>2623</v>
      </c>
      <c r="E153" s="1388" t="s">
        <v>2624</v>
      </c>
      <c r="F153" s="1388" t="s">
        <v>332</v>
      </c>
      <c r="G153" s="1388" t="s">
        <v>2705</v>
      </c>
      <c r="H153" s="1443">
        <v>1147727</v>
      </c>
      <c r="I153" s="1444">
        <f>H153-585000</f>
        <v>562727</v>
      </c>
      <c r="J153" s="1460"/>
      <c r="K153" s="1460"/>
      <c r="L153" s="1460"/>
      <c r="M153" s="1460"/>
      <c r="N153" s="1463"/>
      <c r="O153" s="1463"/>
      <c r="P153" s="1463"/>
      <c r="Q153" s="1463"/>
      <c r="R153" s="1454"/>
      <c r="S153" s="1454"/>
      <c r="T153" s="1463">
        <v>585000</v>
      </c>
      <c r="U153" s="1463"/>
      <c r="V153" s="1454">
        <v>129000</v>
      </c>
      <c r="W153" s="1454"/>
      <c r="X153" s="1463">
        <f>Y153+585000</f>
        <v>714000</v>
      </c>
      <c r="Y153" s="1463">
        <f>V153</f>
        <v>129000</v>
      </c>
      <c r="Z153" s="1463">
        <v>91600</v>
      </c>
      <c r="AA153" s="1449"/>
      <c r="AB153" s="1463">
        <v>855600</v>
      </c>
      <c r="AC153" s="1460">
        <v>270600</v>
      </c>
      <c r="AD153" s="1460"/>
      <c r="AE153" s="1460"/>
      <c r="AF153" s="1383">
        <f>AB153+50000</f>
        <v>905600</v>
      </c>
      <c r="AG153" s="1383">
        <f t="shared" si="113"/>
        <v>270600</v>
      </c>
      <c r="AH153" s="1383">
        <f t="shared" si="114"/>
        <v>220600</v>
      </c>
      <c r="AI153" s="1383"/>
      <c r="AJ153" s="1383"/>
      <c r="AK153" s="1383"/>
      <c r="AL153" s="1383"/>
      <c r="AM153" s="1383">
        <v>220600</v>
      </c>
      <c r="AN153" s="1381" t="s">
        <v>2762</v>
      </c>
      <c r="AO153" s="1381"/>
      <c r="AP153" s="1431">
        <f t="shared" si="154"/>
        <v>0</v>
      </c>
      <c r="AQ153" s="1431"/>
      <c r="AR153" s="1434"/>
      <c r="AS153" s="1434"/>
      <c r="BD153" s="1436"/>
    </row>
    <row r="154" spans="1:57" ht="30.75" customHeight="1" x14ac:dyDescent="0.3">
      <c r="A154" s="1846">
        <v>3</v>
      </c>
      <c r="B154" s="1846">
        <v>3</v>
      </c>
      <c r="C154" s="1438" t="s">
        <v>334</v>
      </c>
      <c r="D154" s="1381"/>
      <c r="E154" s="1381"/>
      <c r="F154" s="1381"/>
      <c r="G154" s="1381"/>
      <c r="H154" s="1439">
        <f t="shared" ref="H154:AA154" si="158">H155+H166</f>
        <v>1456152</v>
      </c>
      <c r="I154" s="1439">
        <f t="shared" si="158"/>
        <v>1254561</v>
      </c>
      <c r="J154" s="1439">
        <f t="shared" si="158"/>
        <v>350090</v>
      </c>
      <c r="K154" s="1439">
        <f t="shared" si="158"/>
        <v>350090</v>
      </c>
      <c r="L154" s="1439">
        <f t="shared" si="158"/>
        <v>341390</v>
      </c>
      <c r="M154" s="1439">
        <f t="shared" si="158"/>
        <v>341390</v>
      </c>
      <c r="N154" s="1439">
        <f t="shared" si="158"/>
        <v>640259</v>
      </c>
      <c r="O154" s="1439">
        <f t="shared" si="158"/>
        <v>510000</v>
      </c>
      <c r="P154" s="1439">
        <f t="shared" si="158"/>
        <v>630120</v>
      </c>
      <c r="Q154" s="1439">
        <f t="shared" si="158"/>
        <v>607920</v>
      </c>
      <c r="R154" s="1439">
        <f t="shared" si="158"/>
        <v>74370</v>
      </c>
      <c r="S154" s="1439">
        <f t="shared" si="158"/>
        <v>1450</v>
      </c>
      <c r="T154" s="1439">
        <f t="shared" si="158"/>
        <v>605120</v>
      </c>
      <c r="U154" s="1439">
        <f t="shared" si="158"/>
        <v>582920</v>
      </c>
      <c r="V154" s="1439">
        <f t="shared" si="158"/>
        <v>104200</v>
      </c>
      <c r="W154" s="1439">
        <f t="shared" si="158"/>
        <v>0</v>
      </c>
      <c r="X154" s="1439">
        <f t="shared" si="158"/>
        <v>709320</v>
      </c>
      <c r="Y154" s="1439">
        <f t="shared" si="158"/>
        <v>687120</v>
      </c>
      <c r="Z154" s="1439">
        <f t="shared" si="158"/>
        <v>0</v>
      </c>
      <c r="AA154" s="1439">
        <f t="shared" si="158"/>
        <v>0</v>
      </c>
      <c r="AB154" s="1439">
        <v>688311</v>
      </c>
      <c r="AC154" s="1439">
        <v>668480</v>
      </c>
      <c r="AD154" s="1439">
        <f t="shared" ref="AD154:AM154" si="159">AD155+AD166</f>
        <v>0</v>
      </c>
      <c r="AE154" s="1856">
        <f t="shared" si="159"/>
        <v>0</v>
      </c>
      <c r="AF154" s="1439">
        <f t="shared" si="159"/>
        <v>688311</v>
      </c>
      <c r="AG154" s="1439">
        <f t="shared" si="159"/>
        <v>668480</v>
      </c>
      <c r="AH154" s="1439">
        <f t="shared" si="159"/>
        <v>652347</v>
      </c>
      <c r="AI154" s="1439">
        <f t="shared" si="159"/>
        <v>155946</v>
      </c>
      <c r="AJ154" s="1439">
        <f t="shared" si="159"/>
        <v>75397</v>
      </c>
      <c r="AK154" s="1439">
        <f t="shared" si="159"/>
        <v>93205</v>
      </c>
      <c r="AL154" s="1439">
        <f t="shared" si="159"/>
        <v>164999</v>
      </c>
      <c r="AM154" s="1439">
        <f t="shared" si="159"/>
        <v>162800</v>
      </c>
      <c r="AN154" s="1440"/>
      <c r="AO154" s="1440"/>
      <c r="AP154" s="1431">
        <f t="shared" si="154"/>
        <v>0</v>
      </c>
      <c r="AQ154" s="1431">
        <f t="shared" ref="AQ154:AQ185" si="160">IF(Y154=0,0,1)</f>
        <v>1</v>
      </c>
      <c r="AR154" s="1434"/>
      <c r="AS154" s="1434">
        <f>AJ159+AJ161+AJ162+AJ163+AJ164+AJ168+AJ169+AJ170+AJ171+AJ185</f>
        <v>75397</v>
      </c>
      <c r="AT154" s="1435">
        <f>U154+V154-W154</f>
        <v>687120</v>
      </c>
      <c r="AW154" s="1427">
        <f t="shared" ref="AW154:AW182" si="161">IF(AV154=1,O154,0)</f>
        <v>0</v>
      </c>
      <c r="AY154" s="1427">
        <f t="shared" ref="AY154:AY182" si="162">IF(AX154=1,Q154,0)</f>
        <v>0</v>
      </c>
      <c r="BA154" s="1427">
        <f t="shared" ref="BA154:BA181" si="163">IF(AZ154=1,R154,0)</f>
        <v>0</v>
      </c>
      <c r="BC154" s="1427">
        <f t="shared" ref="BC154:BC182" si="164">IF(BB154=1,S154,0)</f>
        <v>0</v>
      </c>
      <c r="BD154" s="1436">
        <f t="shared" ref="BD154:BD185" si="165">IF(I154-Y154&gt;=0,1,0)</f>
        <v>1</v>
      </c>
    </row>
    <row r="155" spans="1:57" ht="63" customHeight="1" x14ac:dyDescent="0.3">
      <c r="A155" s="1827" t="s">
        <v>2889</v>
      </c>
      <c r="B155" s="1827" t="s">
        <v>2889</v>
      </c>
      <c r="C155" s="1446" t="s">
        <v>46</v>
      </c>
      <c r="D155" s="1447"/>
      <c r="E155" s="1447"/>
      <c r="F155" s="1448"/>
      <c r="G155" s="1448"/>
      <c r="H155" s="1449">
        <f>H156</f>
        <v>797014</v>
      </c>
      <c r="I155" s="1449">
        <f t="shared" ref="I155:AM155" si="166">I156</f>
        <v>665601</v>
      </c>
      <c r="J155" s="1449">
        <f t="shared" si="166"/>
        <v>350090</v>
      </c>
      <c r="K155" s="1449">
        <f t="shared" si="166"/>
        <v>350090</v>
      </c>
      <c r="L155" s="1449">
        <f t="shared" si="166"/>
        <v>341390</v>
      </c>
      <c r="M155" s="1449">
        <f t="shared" si="166"/>
        <v>341390</v>
      </c>
      <c r="N155" s="1449">
        <f t="shared" si="166"/>
        <v>295529</v>
      </c>
      <c r="O155" s="1449">
        <f t="shared" si="166"/>
        <v>165270</v>
      </c>
      <c r="P155" s="1449">
        <f t="shared" si="166"/>
        <v>165270</v>
      </c>
      <c r="Q155" s="1449">
        <f t="shared" si="166"/>
        <v>165270</v>
      </c>
      <c r="R155" s="1449">
        <f t="shared" si="166"/>
        <v>0</v>
      </c>
      <c r="S155" s="1449">
        <f t="shared" si="166"/>
        <v>0</v>
      </c>
      <c r="T155" s="1449">
        <f t="shared" si="166"/>
        <v>165270</v>
      </c>
      <c r="U155" s="1449">
        <f t="shared" si="166"/>
        <v>165270</v>
      </c>
      <c r="V155" s="1449">
        <f t="shared" si="166"/>
        <v>0</v>
      </c>
      <c r="W155" s="1449">
        <f t="shared" si="166"/>
        <v>0</v>
      </c>
      <c r="X155" s="1449">
        <f t="shared" si="166"/>
        <v>165270</v>
      </c>
      <c r="Y155" s="1449">
        <f t="shared" si="166"/>
        <v>165270</v>
      </c>
      <c r="Z155" s="1449">
        <v>0</v>
      </c>
      <c r="AA155" s="1449">
        <v>0</v>
      </c>
      <c r="AB155" s="1449">
        <v>166148</v>
      </c>
      <c r="AC155" s="1449">
        <v>166148</v>
      </c>
      <c r="AD155" s="1449">
        <f t="shared" si="166"/>
        <v>0</v>
      </c>
      <c r="AE155" s="1704">
        <f t="shared" si="166"/>
        <v>0</v>
      </c>
      <c r="AF155" s="1449">
        <f t="shared" si="166"/>
        <v>166148</v>
      </c>
      <c r="AG155" s="1449">
        <f t="shared" si="166"/>
        <v>166148</v>
      </c>
      <c r="AH155" s="1449">
        <f t="shared" si="166"/>
        <v>155196</v>
      </c>
      <c r="AI155" s="1449">
        <f t="shared" si="166"/>
        <v>117946</v>
      </c>
      <c r="AJ155" s="1449">
        <f t="shared" si="166"/>
        <v>35950</v>
      </c>
      <c r="AK155" s="1449">
        <f t="shared" si="166"/>
        <v>1300</v>
      </c>
      <c r="AL155" s="1449">
        <f t="shared" si="166"/>
        <v>0</v>
      </c>
      <c r="AM155" s="1449">
        <f t="shared" si="166"/>
        <v>0</v>
      </c>
      <c r="AN155" s="1450"/>
      <c r="AO155" s="1450"/>
      <c r="AP155" s="1431">
        <f t="shared" si="154"/>
        <v>0</v>
      </c>
      <c r="AQ155" s="1431">
        <f t="shared" si="160"/>
        <v>1</v>
      </c>
      <c r="AR155" s="1434"/>
      <c r="AS155" s="1434"/>
      <c r="AW155" s="1427">
        <f t="shared" si="161"/>
        <v>0</v>
      </c>
      <c r="AY155" s="1427">
        <f t="shared" si="162"/>
        <v>0</v>
      </c>
      <c r="BA155" s="1427">
        <f t="shared" si="163"/>
        <v>0</v>
      </c>
      <c r="BC155" s="1427">
        <f t="shared" si="164"/>
        <v>0</v>
      </c>
      <c r="BD155" s="1436">
        <f t="shared" si="165"/>
        <v>1</v>
      </c>
    </row>
    <row r="156" spans="1:57" ht="41.25" customHeight="1" x14ac:dyDescent="0.3">
      <c r="A156" s="1826"/>
      <c r="B156" s="1826"/>
      <c r="C156" s="1446" t="s">
        <v>48</v>
      </c>
      <c r="D156" s="1447"/>
      <c r="E156" s="1447"/>
      <c r="F156" s="1448"/>
      <c r="G156" s="1448"/>
      <c r="H156" s="1449">
        <f>SUM(H159:H165)</f>
        <v>797014</v>
      </c>
      <c r="I156" s="1449">
        <f t="shared" ref="I156:X156" si="167">SUM(I159:I165)</f>
        <v>665601</v>
      </c>
      <c r="J156" s="1449">
        <f t="shared" si="167"/>
        <v>350090</v>
      </c>
      <c r="K156" s="1449">
        <f t="shared" si="167"/>
        <v>350090</v>
      </c>
      <c r="L156" s="1449">
        <f t="shared" si="167"/>
        <v>341390</v>
      </c>
      <c r="M156" s="1449">
        <f t="shared" si="167"/>
        <v>341390</v>
      </c>
      <c r="N156" s="1449">
        <f t="shared" si="167"/>
        <v>295529</v>
      </c>
      <c r="O156" s="1449">
        <f t="shared" si="167"/>
        <v>165270</v>
      </c>
      <c r="P156" s="1449">
        <f t="shared" si="167"/>
        <v>165270</v>
      </c>
      <c r="Q156" s="1449">
        <f t="shared" si="167"/>
        <v>165270</v>
      </c>
      <c r="R156" s="1449">
        <f t="shared" si="167"/>
        <v>0</v>
      </c>
      <c r="S156" s="1449">
        <f t="shared" si="167"/>
        <v>0</v>
      </c>
      <c r="T156" s="1449">
        <f t="shared" si="167"/>
        <v>165270</v>
      </c>
      <c r="U156" s="1449">
        <f t="shared" si="167"/>
        <v>165270</v>
      </c>
      <c r="V156" s="1449">
        <f t="shared" si="167"/>
        <v>0</v>
      </c>
      <c r="W156" s="1449">
        <f t="shared" si="167"/>
        <v>0</v>
      </c>
      <c r="X156" s="1449">
        <f t="shared" si="167"/>
        <v>165270</v>
      </c>
      <c r="Y156" s="1449">
        <f>SUM(Y159:Y165)</f>
        <v>165270</v>
      </c>
      <c r="Z156" s="1449">
        <v>0</v>
      </c>
      <c r="AA156" s="1449">
        <v>0</v>
      </c>
      <c r="AB156" s="1449">
        <v>166148</v>
      </c>
      <c r="AC156" s="1449">
        <v>166148</v>
      </c>
      <c r="AD156" s="1449">
        <f t="shared" ref="AD156:AM156" si="168">SUM(AD159:AD165)</f>
        <v>0</v>
      </c>
      <c r="AE156" s="1691">
        <f t="shared" si="168"/>
        <v>0</v>
      </c>
      <c r="AF156" s="1449">
        <f t="shared" si="168"/>
        <v>166148</v>
      </c>
      <c r="AG156" s="1449">
        <f t="shared" si="168"/>
        <v>166148</v>
      </c>
      <c r="AH156" s="1449">
        <f t="shared" si="168"/>
        <v>155196</v>
      </c>
      <c r="AI156" s="1449">
        <f t="shared" si="168"/>
        <v>117946</v>
      </c>
      <c r="AJ156" s="1449">
        <f t="shared" si="168"/>
        <v>35950</v>
      </c>
      <c r="AK156" s="1449">
        <f t="shared" si="168"/>
        <v>1300</v>
      </c>
      <c r="AL156" s="1449">
        <f t="shared" si="168"/>
        <v>0</v>
      </c>
      <c r="AM156" s="1449">
        <f t="shared" si="168"/>
        <v>0</v>
      </c>
      <c r="AN156" s="1450"/>
      <c r="AO156" s="1450"/>
      <c r="AP156" s="1431">
        <f t="shared" si="154"/>
        <v>0</v>
      </c>
      <c r="AQ156" s="1431">
        <f t="shared" si="160"/>
        <v>1</v>
      </c>
      <c r="AR156" s="1434"/>
      <c r="AS156" s="1434"/>
      <c r="AW156" s="1427">
        <f t="shared" si="161"/>
        <v>0</v>
      </c>
      <c r="AY156" s="1427">
        <f t="shared" si="162"/>
        <v>0</v>
      </c>
      <c r="BA156" s="1427">
        <f t="shared" si="163"/>
        <v>0</v>
      </c>
      <c r="BC156" s="1427">
        <f t="shared" si="164"/>
        <v>0</v>
      </c>
      <c r="BD156" s="1436">
        <f t="shared" si="165"/>
        <v>1</v>
      </c>
    </row>
    <row r="157" spans="1:57" ht="22.5" customHeight="1" x14ac:dyDescent="0.3">
      <c r="A157" s="1825"/>
      <c r="B157" s="1451"/>
      <c r="C157" s="1446" t="s">
        <v>49</v>
      </c>
      <c r="D157" s="1452"/>
      <c r="E157" s="1452"/>
      <c r="F157" s="1381"/>
      <c r="G157" s="1381"/>
      <c r="H157" s="1453"/>
      <c r="I157" s="1453"/>
      <c r="J157" s="1453"/>
      <c r="K157" s="1453"/>
      <c r="L157" s="1453"/>
      <c r="M157" s="1453"/>
      <c r="N157" s="1453"/>
      <c r="O157" s="1453"/>
      <c r="P157" s="1453"/>
      <c r="Q157" s="1453"/>
      <c r="R157" s="1454"/>
      <c r="S157" s="1454"/>
      <c r="T157" s="1453"/>
      <c r="U157" s="1453"/>
      <c r="V157" s="1454"/>
      <c r="W157" s="1454"/>
      <c r="X157" s="1453"/>
      <c r="Y157" s="1453"/>
      <c r="Z157" s="1463"/>
      <c r="AA157" s="1463"/>
      <c r="AB157" s="1463">
        <v>0</v>
      </c>
      <c r="AC157" s="1463">
        <v>0</v>
      </c>
      <c r="AD157" s="1463"/>
      <c r="AE157" s="1463"/>
      <c r="AF157" s="1383">
        <f t="shared" si="112"/>
        <v>0</v>
      </c>
      <c r="AG157" s="1383">
        <f t="shared" si="113"/>
        <v>0</v>
      </c>
      <c r="AH157" s="1383">
        <f t="shared" si="114"/>
        <v>0</v>
      </c>
      <c r="AI157" s="1383"/>
      <c r="AJ157" s="1383"/>
      <c r="AK157" s="1383"/>
      <c r="AL157" s="1383"/>
      <c r="AM157" s="1383"/>
      <c r="AN157" s="1455"/>
      <c r="AO157" s="1455"/>
      <c r="AP157" s="1431">
        <f t="shared" si="154"/>
        <v>0</v>
      </c>
      <c r="AQ157" s="1431">
        <f t="shared" si="160"/>
        <v>0</v>
      </c>
      <c r="AR157" s="1434"/>
      <c r="AS157" s="1434"/>
      <c r="AW157" s="1427">
        <f t="shared" si="161"/>
        <v>0</v>
      </c>
      <c r="AY157" s="1427">
        <f t="shared" si="162"/>
        <v>0</v>
      </c>
      <c r="BA157" s="1427">
        <f t="shared" si="163"/>
        <v>0</v>
      </c>
      <c r="BC157" s="1427">
        <f t="shared" si="164"/>
        <v>0</v>
      </c>
      <c r="BD157" s="1436">
        <f t="shared" si="165"/>
        <v>1</v>
      </c>
    </row>
    <row r="158" spans="1:57" ht="78" x14ac:dyDescent="0.3">
      <c r="A158" s="1827" t="s">
        <v>2890</v>
      </c>
      <c r="B158" s="1827" t="s">
        <v>2890</v>
      </c>
      <c r="C158" s="1456" t="s">
        <v>50</v>
      </c>
      <c r="D158" s="1447"/>
      <c r="E158" s="1447"/>
      <c r="F158" s="1448"/>
      <c r="G158" s="1448"/>
      <c r="H158" s="1449"/>
      <c r="I158" s="1449"/>
      <c r="J158" s="1449"/>
      <c r="K158" s="1449"/>
      <c r="L158" s="1449"/>
      <c r="M158" s="1449"/>
      <c r="N158" s="1449"/>
      <c r="O158" s="1449"/>
      <c r="P158" s="1449"/>
      <c r="Q158" s="1449"/>
      <c r="R158" s="1454"/>
      <c r="S158" s="1454"/>
      <c r="T158" s="1449"/>
      <c r="U158" s="1449"/>
      <c r="V158" s="1454"/>
      <c r="W158" s="1454"/>
      <c r="X158" s="1449"/>
      <c r="Y158" s="1449"/>
      <c r="Z158" s="1460"/>
      <c r="AA158" s="1460"/>
      <c r="AB158" s="1460">
        <v>0</v>
      </c>
      <c r="AC158" s="1460">
        <v>0</v>
      </c>
      <c r="AD158" s="1460"/>
      <c r="AE158" s="1460"/>
      <c r="AF158" s="1383">
        <f t="shared" si="112"/>
        <v>0</v>
      </c>
      <c r="AG158" s="1383">
        <f t="shared" si="113"/>
        <v>0</v>
      </c>
      <c r="AH158" s="1383">
        <f t="shared" si="114"/>
        <v>0</v>
      </c>
      <c r="AI158" s="1383"/>
      <c r="AJ158" s="1383"/>
      <c r="AK158" s="1383"/>
      <c r="AL158" s="1383"/>
      <c r="AM158" s="1383"/>
      <c r="AN158" s="1450"/>
      <c r="AO158" s="1450"/>
      <c r="AP158" s="1431">
        <f t="shared" si="154"/>
        <v>0</v>
      </c>
      <c r="AQ158" s="1431">
        <f t="shared" si="160"/>
        <v>0</v>
      </c>
      <c r="AR158" s="1434"/>
      <c r="AS158" s="1434"/>
      <c r="AW158" s="1427">
        <f t="shared" si="161"/>
        <v>0</v>
      </c>
      <c r="AY158" s="1427">
        <f t="shared" si="162"/>
        <v>0</v>
      </c>
      <c r="BA158" s="1427">
        <f t="shared" si="163"/>
        <v>0</v>
      </c>
      <c r="BC158" s="1427">
        <f t="shared" si="164"/>
        <v>0</v>
      </c>
      <c r="BD158" s="1436">
        <f t="shared" si="165"/>
        <v>1</v>
      </c>
    </row>
    <row r="159" spans="1:57" ht="58.5" customHeight="1" x14ac:dyDescent="0.3">
      <c r="A159" s="1847" t="s">
        <v>2891</v>
      </c>
      <c r="B159" s="1847" t="s">
        <v>2891</v>
      </c>
      <c r="C159" s="1458" t="s">
        <v>335</v>
      </c>
      <c r="D159" s="1388" t="s">
        <v>336</v>
      </c>
      <c r="E159" s="1388" t="s">
        <v>337</v>
      </c>
      <c r="F159" s="1388" t="s">
        <v>338</v>
      </c>
      <c r="G159" s="1388" t="s">
        <v>339</v>
      </c>
      <c r="H159" s="1463">
        <v>279000</v>
      </c>
      <c r="I159" s="1444">
        <f>H159</f>
        <v>279000</v>
      </c>
      <c r="J159" s="1460">
        <f>K159</f>
        <v>102000</v>
      </c>
      <c r="K159" s="1460">
        <v>102000</v>
      </c>
      <c r="L159" s="1460">
        <f>M159</f>
        <v>102000</v>
      </c>
      <c r="M159" s="1460">
        <v>102000</v>
      </c>
      <c r="N159" s="1463">
        <f>O159</f>
        <v>72000</v>
      </c>
      <c r="O159" s="1460">
        <v>72000</v>
      </c>
      <c r="P159" s="1463">
        <f>Q159</f>
        <v>72000</v>
      </c>
      <c r="Q159" s="1460">
        <v>72000</v>
      </c>
      <c r="R159" s="1454"/>
      <c r="S159" s="1454"/>
      <c r="T159" s="1463">
        <f>U159</f>
        <v>72000</v>
      </c>
      <c r="U159" s="1460">
        <v>72000</v>
      </c>
      <c r="V159" s="1454"/>
      <c r="W159" s="1454"/>
      <c r="X159" s="1463">
        <f>Y159</f>
        <v>72000</v>
      </c>
      <c r="Y159" s="1460">
        <v>72000</v>
      </c>
      <c r="Z159" s="1460">
        <v>0</v>
      </c>
      <c r="AA159" s="1460">
        <v>0</v>
      </c>
      <c r="AB159" s="1460">
        <v>70000</v>
      </c>
      <c r="AC159" s="1460">
        <v>70000</v>
      </c>
      <c r="AD159" s="1460"/>
      <c r="AE159" s="1525"/>
      <c r="AF159" s="1383">
        <f t="shared" si="112"/>
        <v>70000</v>
      </c>
      <c r="AG159" s="1383">
        <f t="shared" si="113"/>
        <v>70000</v>
      </c>
      <c r="AH159" s="1383">
        <f t="shared" si="114"/>
        <v>68646</v>
      </c>
      <c r="AI159" s="1383">
        <v>53146</v>
      </c>
      <c r="AJ159" s="1383">
        <v>15500</v>
      </c>
      <c r="AK159" s="1383"/>
      <c r="AL159" s="1383"/>
      <c r="AM159" s="1383"/>
      <c r="AN159" s="1464"/>
      <c r="AO159" s="1464"/>
      <c r="AP159" s="1431">
        <f t="shared" si="154"/>
        <v>0</v>
      </c>
      <c r="AQ159" s="1431">
        <f t="shared" si="160"/>
        <v>1</v>
      </c>
      <c r="AR159" s="1434">
        <f t="shared" si="124"/>
        <v>0</v>
      </c>
      <c r="AS159" s="1434"/>
      <c r="AT159" s="1427">
        <f t="shared" ref="AT159:AT165" si="169">IF(AP159=0,1,0)</f>
        <v>1</v>
      </c>
      <c r="AV159" s="1427">
        <f t="shared" ref="AV159:AV165" si="170">IF(Q159=0,1,0)</f>
        <v>0</v>
      </c>
      <c r="AW159" s="1427">
        <f t="shared" si="161"/>
        <v>0</v>
      </c>
      <c r="AX159" s="1427">
        <f t="shared" ref="AX159:AX165" si="171">IF(O159=0,1,0)</f>
        <v>0</v>
      </c>
      <c r="AY159" s="1427">
        <f t="shared" si="162"/>
        <v>0</v>
      </c>
      <c r="AZ159" s="1427">
        <f t="shared" ref="AZ159:AZ165" si="172">IF(R159=0,0,1)</f>
        <v>0</v>
      </c>
      <c r="BA159" s="1427">
        <f t="shared" si="163"/>
        <v>0</v>
      </c>
      <c r="BB159" s="1427">
        <f t="shared" ref="BB159:BB165" si="173">IF(S159=0,0,1)</f>
        <v>0</v>
      </c>
      <c r="BC159" s="1427">
        <f t="shared" si="164"/>
        <v>0</v>
      </c>
      <c r="BD159" s="1436">
        <f t="shared" si="165"/>
        <v>1</v>
      </c>
    </row>
    <row r="160" spans="1:57" ht="60.75" customHeight="1" x14ac:dyDescent="0.3">
      <c r="A160" s="1847" t="s">
        <v>2892</v>
      </c>
      <c r="B160" s="1457"/>
      <c r="C160" s="1458" t="s">
        <v>340</v>
      </c>
      <c r="D160" s="1388" t="s">
        <v>341</v>
      </c>
      <c r="E160" s="1388" t="s">
        <v>342</v>
      </c>
      <c r="F160" s="1388" t="s">
        <v>338</v>
      </c>
      <c r="G160" s="1388" t="s">
        <v>343</v>
      </c>
      <c r="H160" s="1463">
        <v>97718</v>
      </c>
      <c r="I160" s="1444">
        <f t="shared" ref="I160:I165" si="174">H160</f>
        <v>97718</v>
      </c>
      <c r="J160" s="1460">
        <f t="shared" ref="J160:L165" si="175">K160</f>
        <v>45000</v>
      </c>
      <c r="K160" s="1460">
        <v>45000</v>
      </c>
      <c r="L160" s="1460">
        <f t="shared" si="175"/>
        <v>45000</v>
      </c>
      <c r="M160" s="1460">
        <v>45000</v>
      </c>
      <c r="N160" s="1463">
        <f t="shared" ref="N160:N165" si="176">O160</f>
        <v>33600</v>
      </c>
      <c r="O160" s="1460">
        <v>33600</v>
      </c>
      <c r="P160" s="1463">
        <f t="shared" ref="P160:P165" si="177">Q160</f>
        <v>33600</v>
      </c>
      <c r="Q160" s="1460">
        <v>33600</v>
      </c>
      <c r="R160" s="1454"/>
      <c r="S160" s="1454"/>
      <c r="T160" s="1463">
        <f t="shared" ref="T160:T161" si="178">U160</f>
        <v>33600</v>
      </c>
      <c r="U160" s="1460">
        <v>33600</v>
      </c>
      <c r="V160" s="1454"/>
      <c r="W160" s="1454"/>
      <c r="X160" s="1463">
        <f t="shared" ref="X160:X161" si="179">Y160</f>
        <v>33600</v>
      </c>
      <c r="Y160" s="1460">
        <v>33600</v>
      </c>
      <c r="Z160" s="1460">
        <v>0</v>
      </c>
      <c r="AA160" s="1460">
        <v>0</v>
      </c>
      <c r="AB160" s="1460">
        <v>33600</v>
      </c>
      <c r="AC160" s="1460">
        <v>33600</v>
      </c>
      <c r="AD160" s="1460"/>
      <c r="AE160" s="1460"/>
      <c r="AF160" s="1383">
        <f t="shared" si="112"/>
        <v>33600</v>
      </c>
      <c r="AG160" s="1383">
        <f t="shared" si="113"/>
        <v>33600</v>
      </c>
      <c r="AH160" s="1383">
        <f t="shared" si="114"/>
        <v>27000</v>
      </c>
      <c r="AI160" s="1383">
        <v>27000</v>
      </c>
      <c r="AJ160" s="1383"/>
      <c r="AK160" s="1383"/>
      <c r="AL160" s="1383"/>
      <c r="AM160" s="1383"/>
      <c r="AN160" s="1464"/>
      <c r="AO160" s="1464"/>
      <c r="AP160" s="1431">
        <f t="shared" si="154"/>
        <v>0</v>
      </c>
      <c r="AQ160" s="1431">
        <f t="shared" si="160"/>
        <v>1</v>
      </c>
      <c r="AR160" s="1434">
        <f t="shared" si="124"/>
        <v>0</v>
      </c>
      <c r="AS160" s="1434"/>
      <c r="AT160" s="1427">
        <f t="shared" si="169"/>
        <v>1</v>
      </c>
      <c r="AV160" s="1427">
        <f t="shared" si="170"/>
        <v>0</v>
      </c>
      <c r="AW160" s="1427">
        <f t="shared" si="161"/>
        <v>0</v>
      </c>
      <c r="AX160" s="1427">
        <f t="shared" si="171"/>
        <v>0</v>
      </c>
      <c r="AY160" s="1427">
        <f t="shared" si="162"/>
        <v>0</v>
      </c>
      <c r="AZ160" s="1427">
        <f t="shared" si="172"/>
        <v>0</v>
      </c>
      <c r="BA160" s="1427">
        <f t="shared" si="163"/>
        <v>0</v>
      </c>
      <c r="BB160" s="1427">
        <f t="shared" si="173"/>
        <v>0</v>
      </c>
      <c r="BC160" s="1427">
        <f t="shared" si="164"/>
        <v>0</v>
      </c>
      <c r="BD160" s="1436">
        <f t="shared" si="165"/>
        <v>1</v>
      </c>
    </row>
    <row r="161" spans="1:56" ht="80.25" customHeight="1" x14ac:dyDescent="0.3">
      <c r="A161" s="1847" t="s">
        <v>2893</v>
      </c>
      <c r="B161" s="1457"/>
      <c r="C161" s="1458" t="s">
        <v>344</v>
      </c>
      <c r="D161" s="1388" t="s">
        <v>336</v>
      </c>
      <c r="E161" s="1388" t="s">
        <v>345</v>
      </c>
      <c r="F161" s="1388" t="s">
        <v>346</v>
      </c>
      <c r="G161" s="1484" t="s">
        <v>347</v>
      </c>
      <c r="H161" s="1463">
        <v>76072</v>
      </c>
      <c r="I161" s="1444">
        <f t="shared" si="174"/>
        <v>76072</v>
      </c>
      <c r="J161" s="1460">
        <f t="shared" si="175"/>
        <v>51931</v>
      </c>
      <c r="K161" s="1460">
        <v>51931</v>
      </c>
      <c r="L161" s="1460">
        <f t="shared" si="175"/>
        <v>51931</v>
      </c>
      <c r="M161" s="1460">
        <v>51931</v>
      </c>
      <c r="N161" s="1463">
        <f t="shared" si="176"/>
        <v>17200</v>
      </c>
      <c r="O161" s="1460">
        <v>17200</v>
      </c>
      <c r="P161" s="1463">
        <f t="shared" si="177"/>
        <v>17200</v>
      </c>
      <c r="Q161" s="1460">
        <v>17200</v>
      </c>
      <c r="R161" s="1454"/>
      <c r="S161" s="1454"/>
      <c r="T161" s="1463">
        <f t="shared" si="178"/>
        <v>17200</v>
      </c>
      <c r="U161" s="1460">
        <v>17200</v>
      </c>
      <c r="V161" s="1454"/>
      <c r="W161" s="1454"/>
      <c r="X161" s="1463">
        <f t="shared" si="179"/>
        <v>17200</v>
      </c>
      <c r="Y161" s="1460">
        <v>17200</v>
      </c>
      <c r="Z161" s="1460">
        <v>0</v>
      </c>
      <c r="AA161" s="1460">
        <v>0</v>
      </c>
      <c r="AB161" s="1460">
        <v>17200</v>
      </c>
      <c r="AC161" s="1460">
        <v>17200</v>
      </c>
      <c r="AD161" s="1460"/>
      <c r="AE161" s="1460"/>
      <c r="AF161" s="1383">
        <f t="shared" si="112"/>
        <v>17200</v>
      </c>
      <c r="AG161" s="1383">
        <f t="shared" si="113"/>
        <v>17200</v>
      </c>
      <c r="AH161" s="1383">
        <f t="shared" si="114"/>
        <v>17700</v>
      </c>
      <c r="AI161" s="1383">
        <v>11000</v>
      </c>
      <c r="AJ161" s="1383">
        <v>6700</v>
      </c>
      <c r="AK161" s="1383"/>
      <c r="AL161" s="1383"/>
      <c r="AM161" s="1383"/>
      <c r="AN161" s="1464"/>
      <c r="AO161" s="1464"/>
      <c r="AP161" s="1431">
        <f t="shared" si="154"/>
        <v>0</v>
      </c>
      <c r="AQ161" s="1431">
        <f t="shared" si="160"/>
        <v>1</v>
      </c>
      <c r="AR161" s="1434">
        <f t="shared" si="124"/>
        <v>0</v>
      </c>
      <c r="AS161" s="1434"/>
      <c r="AT161" s="1427">
        <f t="shared" si="169"/>
        <v>1</v>
      </c>
      <c r="AV161" s="1427">
        <f t="shared" si="170"/>
        <v>0</v>
      </c>
      <c r="AW161" s="1427">
        <f t="shared" si="161"/>
        <v>0</v>
      </c>
      <c r="AX161" s="1427">
        <f t="shared" si="171"/>
        <v>0</v>
      </c>
      <c r="AY161" s="1427">
        <f t="shared" si="162"/>
        <v>0</v>
      </c>
      <c r="AZ161" s="1427">
        <f t="shared" si="172"/>
        <v>0</v>
      </c>
      <c r="BA161" s="1427">
        <f t="shared" si="163"/>
        <v>0</v>
      </c>
      <c r="BB161" s="1427">
        <f t="shared" si="173"/>
        <v>0</v>
      </c>
      <c r="BC161" s="1427">
        <f t="shared" si="164"/>
        <v>0</v>
      </c>
      <c r="BD161" s="1436">
        <f t="shared" si="165"/>
        <v>1</v>
      </c>
    </row>
    <row r="162" spans="1:56" ht="141" customHeight="1" x14ac:dyDescent="0.3">
      <c r="A162" s="1847" t="s">
        <v>2894</v>
      </c>
      <c r="B162" s="1457"/>
      <c r="C162" s="1458" t="s">
        <v>348</v>
      </c>
      <c r="D162" s="1388" t="s">
        <v>336</v>
      </c>
      <c r="E162" s="1388" t="s">
        <v>349</v>
      </c>
      <c r="F162" s="1388" t="s">
        <v>338</v>
      </c>
      <c r="G162" s="1388" t="s">
        <v>350</v>
      </c>
      <c r="H162" s="1463">
        <v>149094</v>
      </c>
      <c r="I162" s="1444">
        <v>17681</v>
      </c>
      <c r="J162" s="1460">
        <f t="shared" si="175"/>
        <v>10000</v>
      </c>
      <c r="K162" s="1460">
        <v>10000</v>
      </c>
      <c r="L162" s="1460">
        <f t="shared" si="175"/>
        <v>1300</v>
      </c>
      <c r="M162" s="1460">
        <v>1300</v>
      </c>
      <c r="N162" s="1463">
        <f>130259+O162</f>
        <v>137959</v>
      </c>
      <c r="O162" s="1460">
        <v>7700</v>
      </c>
      <c r="P162" s="1463">
        <f>Q162</f>
        <v>7700</v>
      </c>
      <c r="Q162" s="1460">
        <f>O162</f>
        <v>7700</v>
      </c>
      <c r="R162" s="1454"/>
      <c r="S162" s="1454"/>
      <c r="T162" s="1463">
        <f>U162</f>
        <v>7700</v>
      </c>
      <c r="U162" s="1460">
        <f>Q162</f>
        <v>7700</v>
      </c>
      <c r="V162" s="1454"/>
      <c r="W162" s="1454"/>
      <c r="X162" s="1463">
        <f>Y162</f>
        <v>7700</v>
      </c>
      <c r="Y162" s="1460">
        <f>U162</f>
        <v>7700</v>
      </c>
      <c r="Z162" s="1460">
        <v>0</v>
      </c>
      <c r="AA162" s="1460">
        <v>0</v>
      </c>
      <c r="AB162" s="1460">
        <v>7700</v>
      </c>
      <c r="AC162" s="1460">
        <v>7700</v>
      </c>
      <c r="AD162" s="1460"/>
      <c r="AE162" s="1460"/>
      <c r="AF162" s="1383">
        <f t="shared" si="112"/>
        <v>7700</v>
      </c>
      <c r="AG162" s="1383">
        <f t="shared" si="113"/>
        <v>7700</v>
      </c>
      <c r="AH162" s="1383">
        <f t="shared" si="114"/>
        <v>13750</v>
      </c>
      <c r="AI162" s="1383">
        <v>7000</v>
      </c>
      <c r="AJ162" s="1383">
        <v>5450</v>
      </c>
      <c r="AK162" s="1383">
        <v>1300</v>
      </c>
      <c r="AL162" s="1383"/>
      <c r="AM162" s="1383"/>
      <c r="AN162" s="1381"/>
      <c r="AO162" s="1381"/>
      <c r="AP162" s="1431">
        <f t="shared" si="154"/>
        <v>0</v>
      </c>
      <c r="AQ162" s="1431">
        <f t="shared" si="160"/>
        <v>1</v>
      </c>
      <c r="AR162" s="1434">
        <f t="shared" si="124"/>
        <v>0</v>
      </c>
      <c r="AS162" s="1434"/>
      <c r="AT162" s="1427">
        <f t="shared" si="169"/>
        <v>1</v>
      </c>
      <c r="AV162" s="1427">
        <f t="shared" si="170"/>
        <v>0</v>
      </c>
      <c r="AW162" s="1427">
        <f t="shared" si="161"/>
        <v>0</v>
      </c>
      <c r="AX162" s="1427">
        <f t="shared" si="171"/>
        <v>0</v>
      </c>
      <c r="AY162" s="1427">
        <f t="shared" si="162"/>
        <v>0</v>
      </c>
      <c r="AZ162" s="1427">
        <f t="shared" si="172"/>
        <v>0</v>
      </c>
      <c r="BA162" s="1427">
        <f t="shared" si="163"/>
        <v>0</v>
      </c>
      <c r="BB162" s="1427">
        <f t="shared" si="173"/>
        <v>0</v>
      </c>
      <c r="BC162" s="1427">
        <f t="shared" si="164"/>
        <v>0</v>
      </c>
      <c r="BD162" s="1436">
        <f t="shared" si="165"/>
        <v>1</v>
      </c>
    </row>
    <row r="163" spans="1:56" ht="60.75" customHeight="1" x14ac:dyDescent="0.3">
      <c r="A163" s="1847" t="s">
        <v>2895</v>
      </c>
      <c r="B163" s="1457"/>
      <c r="C163" s="1458" t="s">
        <v>352</v>
      </c>
      <c r="D163" s="1388" t="s">
        <v>99</v>
      </c>
      <c r="E163" s="1388" t="s">
        <v>353</v>
      </c>
      <c r="F163" s="1388" t="s">
        <v>346</v>
      </c>
      <c r="G163" s="1388" t="s">
        <v>354</v>
      </c>
      <c r="H163" s="1460">
        <v>39343</v>
      </c>
      <c r="I163" s="1444">
        <f t="shared" si="174"/>
        <v>39343</v>
      </c>
      <c r="J163" s="1460">
        <f t="shared" si="175"/>
        <v>25402</v>
      </c>
      <c r="K163" s="1460">
        <v>25402</v>
      </c>
      <c r="L163" s="1460">
        <f t="shared" si="175"/>
        <v>25402</v>
      </c>
      <c r="M163" s="1460">
        <v>25402</v>
      </c>
      <c r="N163" s="1463">
        <f t="shared" si="176"/>
        <v>13000</v>
      </c>
      <c r="O163" s="1460">
        <v>13000</v>
      </c>
      <c r="P163" s="1463">
        <f t="shared" si="177"/>
        <v>13000</v>
      </c>
      <c r="Q163" s="1460">
        <v>13000</v>
      </c>
      <c r="R163" s="1454"/>
      <c r="S163" s="1454"/>
      <c r="T163" s="1463">
        <f t="shared" ref="T163:T165" si="180">U163</f>
        <v>13000</v>
      </c>
      <c r="U163" s="1460">
        <v>13000</v>
      </c>
      <c r="V163" s="1454"/>
      <c r="W163" s="1454"/>
      <c r="X163" s="1463">
        <f t="shared" ref="X163:X165" si="181">Y163</f>
        <v>13000</v>
      </c>
      <c r="Y163" s="1460">
        <v>13000</v>
      </c>
      <c r="Z163" s="1460">
        <v>0</v>
      </c>
      <c r="AA163" s="1460">
        <v>0</v>
      </c>
      <c r="AB163" s="1460">
        <v>13000</v>
      </c>
      <c r="AC163" s="1460">
        <v>13000</v>
      </c>
      <c r="AD163" s="1460"/>
      <c r="AE163" s="1460"/>
      <c r="AF163" s="1383">
        <f t="shared" si="112"/>
        <v>13000</v>
      </c>
      <c r="AG163" s="1383">
        <f t="shared" si="113"/>
        <v>13000</v>
      </c>
      <c r="AH163" s="1383">
        <f t="shared" si="114"/>
        <v>12600</v>
      </c>
      <c r="AI163" s="1383">
        <v>9300</v>
      </c>
      <c r="AJ163" s="1383">
        <v>3300</v>
      </c>
      <c r="AK163" s="1383"/>
      <c r="AL163" s="1383"/>
      <c r="AM163" s="1383"/>
      <c r="AN163" s="1464"/>
      <c r="AO163" s="1464"/>
      <c r="AP163" s="1431">
        <f t="shared" si="154"/>
        <v>0</v>
      </c>
      <c r="AQ163" s="1431">
        <f t="shared" si="160"/>
        <v>1</v>
      </c>
      <c r="AR163" s="1434">
        <f t="shared" si="124"/>
        <v>0</v>
      </c>
      <c r="AS163" s="1434"/>
      <c r="AT163" s="1427">
        <f t="shared" si="169"/>
        <v>1</v>
      </c>
      <c r="AV163" s="1427">
        <f t="shared" si="170"/>
        <v>0</v>
      </c>
      <c r="AW163" s="1427">
        <f t="shared" si="161"/>
        <v>0</v>
      </c>
      <c r="AX163" s="1427">
        <f t="shared" si="171"/>
        <v>0</v>
      </c>
      <c r="AY163" s="1427">
        <f t="shared" si="162"/>
        <v>0</v>
      </c>
      <c r="AZ163" s="1427">
        <f t="shared" si="172"/>
        <v>0</v>
      </c>
      <c r="BA163" s="1427">
        <f t="shared" si="163"/>
        <v>0</v>
      </c>
      <c r="BB163" s="1427">
        <f t="shared" si="173"/>
        <v>0</v>
      </c>
      <c r="BC163" s="1427">
        <f t="shared" si="164"/>
        <v>0</v>
      </c>
      <c r="BD163" s="1436">
        <f t="shared" si="165"/>
        <v>1</v>
      </c>
    </row>
    <row r="164" spans="1:56" ht="60.75" customHeight="1" x14ac:dyDescent="0.3">
      <c r="A164" s="1847" t="s">
        <v>2896</v>
      </c>
      <c r="B164" s="1457"/>
      <c r="C164" s="1458" t="s">
        <v>355</v>
      </c>
      <c r="D164" s="1388" t="s">
        <v>112</v>
      </c>
      <c r="E164" s="1388" t="s">
        <v>353</v>
      </c>
      <c r="F164" s="1388" t="s">
        <v>346</v>
      </c>
      <c r="G164" s="1388" t="s">
        <v>356</v>
      </c>
      <c r="H164" s="1460">
        <v>38049</v>
      </c>
      <c r="I164" s="1444">
        <f t="shared" si="174"/>
        <v>38049</v>
      </c>
      <c r="J164" s="1460">
        <f t="shared" si="175"/>
        <v>19108</v>
      </c>
      <c r="K164" s="1460">
        <v>19108</v>
      </c>
      <c r="L164" s="1460">
        <f t="shared" si="175"/>
        <v>19108</v>
      </c>
      <c r="M164" s="1460">
        <v>19108</v>
      </c>
      <c r="N164" s="1463">
        <f t="shared" si="176"/>
        <v>15770</v>
      </c>
      <c r="O164" s="1460">
        <v>15770</v>
      </c>
      <c r="P164" s="1463">
        <f t="shared" si="177"/>
        <v>15770</v>
      </c>
      <c r="Q164" s="1460">
        <v>15770</v>
      </c>
      <c r="R164" s="1454"/>
      <c r="S164" s="1454"/>
      <c r="T164" s="1463">
        <f t="shared" si="180"/>
        <v>15770</v>
      </c>
      <c r="U164" s="1460">
        <v>15770</v>
      </c>
      <c r="V164" s="1454"/>
      <c r="W164" s="1454"/>
      <c r="X164" s="1463">
        <f t="shared" si="181"/>
        <v>15770</v>
      </c>
      <c r="Y164" s="1460">
        <v>15770</v>
      </c>
      <c r="Z164" s="1460">
        <v>0</v>
      </c>
      <c r="AA164" s="1460">
        <v>0</v>
      </c>
      <c r="AB164" s="1460">
        <v>15770</v>
      </c>
      <c r="AC164" s="1460">
        <v>15770</v>
      </c>
      <c r="AD164" s="1460"/>
      <c r="AE164" s="1460"/>
      <c r="AF164" s="1383">
        <f t="shared" ref="AF164:AF224" si="182">AG164</f>
        <v>15770</v>
      </c>
      <c r="AG164" s="1383">
        <f t="shared" ref="AG164:AG225" si="183">AC164+AD164+AE164</f>
        <v>15770</v>
      </c>
      <c r="AH164" s="1383">
        <f t="shared" si="114"/>
        <v>15500</v>
      </c>
      <c r="AI164" s="1383">
        <v>10500</v>
      </c>
      <c r="AJ164" s="1383">
        <v>5000</v>
      </c>
      <c r="AK164" s="1383"/>
      <c r="AL164" s="1383"/>
      <c r="AM164" s="1383"/>
      <c r="AN164" s="1464"/>
      <c r="AO164" s="1464"/>
      <c r="AP164" s="1431">
        <f t="shared" si="154"/>
        <v>0</v>
      </c>
      <c r="AQ164" s="1431">
        <f t="shared" si="160"/>
        <v>1</v>
      </c>
      <c r="AR164" s="1434">
        <f t="shared" si="124"/>
        <v>0</v>
      </c>
      <c r="AS164" s="1434"/>
      <c r="AT164" s="1427">
        <f t="shared" si="169"/>
        <v>1</v>
      </c>
      <c r="AV164" s="1427">
        <f t="shared" si="170"/>
        <v>0</v>
      </c>
      <c r="AW164" s="1427">
        <f t="shared" si="161"/>
        <v>0</v>
      </c>
      <c r="AX164" s="1427">
        <f t="shared" si="171"/>
        <v>0</v>
      </c>
      <c r="AY164" s="1427">
        <f t="shared" si="162"/>
        <v>0</v>
      </c>
      <c r="AZ164" s="1427">
        <f t="shared" si="172"/>
        <v>0</v>
      </c>
      <c r="BA164" s="1427">
        <f t="shared" si="163"/>
        <v>0</v>
      </c>
      <c r="BB164" s="1427">
        <f t="shared" si="173"/>
        <v>0</v>
      </c>
      <c r="BC164" s="1427">
        <f t="shared" si="164"/>
        <v>0</v>
      </c>
      <c r="BD164" s="1436">
        <f t="shared" si="165"/>
        <v>1</v>
      </c>
    </row>
    <row r="165" spans="1:56" ht="71.25" customHeight="1" x14ac:dyDescent="0.3">
      <c r="A165" s="1847" t="s">
        <v>2897</v>
      </c>
      <c r="B165" s="1847" t="s">
        <v>2892</v>
      </c>
      <c r="C165" s="1442" t="s">
        <v>357</v>
      </c>
      <c r="D165" s="1388" t="s">
        <v>176</v>
      </c>
      <c r="E165" s="1388" t="s">
        <v>358</v>
      </c>
      <c r="F165" s="1388" t="s">
        <v>346</v>
      </c>
      <c r="G165" s="1388" t="s">
        <v>359</v>
      </c>
      <c r="H165" s="1460">
        <v>117738</v>
      </c>
      <c r="I165" s="1444">
        <f t="shared" si="174"/>
        <v>117738</v>
      </c>
      <c r="J165" s="1460">
        <f t="shared" si="175"/>
        <v>96649</v>
      </c>
      <c r="K165" s="1460">
        <v>96649</v>
      </c>
      <c r="L165" s="1460">
        <f t="shared" si="175"/>
        <v>96649</v>
      </c>
      <c r="M165" s="1460">
        <v>96649</v>
      </c>
      <c r="N165" s="1463">
        <f t="shared" si="176"/>
        <v>6000</v>
      </c>
      <c r="O165" s="1460">
        <v>6000</v>
      </c>
      <c r="P165" s="1463">
        <f t="shared" si="177"/>
        <v>6000</v>
      </c>
      <c r="Q165" s="1460">
        <v>6000</v>
      </c>
      <c r="R165" s="1454"/>
      <c r="S165" s="1454"/>
      <c r="T165" s="1463">
        <f t="shared" si="180"/>
        <v>6000</v>
      </c>
      <c r="U165" s="1460">
        <v>6000</v>
      </c>
      <c r="V165" s="1454"/>
      <c r="W165" s="1454"/>
      <c r="X165" s="1463">
        <f t="shared" si="181"/>
        <v>6000</v>
      </c>
      <c r="Y165" s="1460">
        <v>6000</v>
      </c>
      <c r="Z165" s="1460">
        <v>0</v>
      </c>
      <c r="AA165" s="1460">
        <v>0</v>
      </c>
      <c r="AB165" s="1460">
        <v>8878</v>
      </c>
      <c r="AC165" s="1460">
        <v>8878</v>
      </c>
      <c r="AD165" s="1460"/>
      <c r="AE165" s="1460"/>
      <c r="AF165" s="1383">
        <f t="shared" si="182"/>
        <v>8878</v>
      </c>
      <c r="AG165" s="1383">
        <f t="shared" si="183"/>
        <v>8878</v>
      </c>
      <c r="AH165" s="1383">
        <f t="shared" si="114"/>
        <v>0</v>
      </c>
      <c r="AI165" s="1383"/>
      <c r="AJ165" s="1383"/>
      <c r="AK165" s="1383"/>
      <c r="AL165" s="1383"/>
      <c r="AM165" s="1383"/>
      <c r="AN165" s="1464"/>
      <c r="AO165" s="1464"/>
      <c r="AP165" s="1431">
        <f t="shared" si="154"/>
        <v>0</v>
      </c>
      <c r="AQ165" s="1431">
        <f t="shared" si="160"/>
        <v>1</v>
      </c>
      <c r="AR165" s="1434">
        <f t="shared" si="124"/>
        <v>0</v>
      </c>
      <c r="AS165" s="1434"/>
      <c r="AT165" s="1427">
        <f t="shared" si="169"/>
        <v>1</v>
      </c>
      <c r="AV165" s="1427">
        <f t="shared" si="170"/>
        <v>0</v>
      </c>
      <c r="AW165" s="1427">
        <f t="shared" si="161"/>
        <v>0</v>
      </c>
      <c r="AX165" s="1427">
        <f t="shared" si="171"/>
        <v>0</v>
      </c>
      <c r="AY165" s="1427">
        <f t="shared" si="162"/>
        <v>0</v>
      </c>
      <c r="AZ165" s="1427">
        <f t="shared" si="172"/>
        <v>0</v>
      </c>
      <c r="BA165" s="1427">
        <f t="shared" si="163"/>
        <v>0</v>
      </c>
      <c r="BB165" s="1427">
        <f t="shared" si="173"/>
        <v>0</v>
      </c>
      <c r="BC165" s="1427">
        <f t="shared" si="164"/>
        <v>0</v>
      </c>
      <c r="BD165" s="1436">
        <f t="shared" si="165"/>
        <v>1</v>
      </c>
    </row>
    <row r="166" spans="1:56" ht="63.75" customHeight="1" x14ac:dyDescent="0.3">
      <c r="A166" s="1827" t="s">
        <v>2898</v>
      </c>
      <c r="B166" s="1827" t="s">
        <v>2898</v>
      </c>
      <c r="C166" s="1446" t="s">
        <v>86</v>
      </c>
      <c r="D166" s="1447"/>
      <c r="E166" s="1447"/>
      <c r="F166" s="1448"/>
      <c r="G166" s="1448"/>
      <c r="H166" s="1449">
        <f>H167+H184</f>
        <v>659138</v>
      </c>
      <c r="I166" s="1449">
        <f>I167+I184</f>
        <v>588960</v>
      </c>
      <c r="J166" s="1449"/>
      <c r="K166" s="1449"/>
      <c r="L166" s="1449"/>
      <c r="M166" s="1449"/>
      <c r="N166" s="1449">
        <f t="shared" ref="N166:Y166" si="184">N167+N184</f>
        <v>344730</v>
      </c>
      <c r="O166" s="1449">
        <f t="shared" si="184"/>
        <v>344730</v>
      </c>
      <c r="P166" s="1449">
        <f t="shared" si="184"/>
        <v>464850</v>
      </c>
      <c r="Q166" s="1449">
        <f t="shared" si="184"/>
        <v>442650</v>
      </c>
      <c r="R166" s="1449">
        <f t="shared" si="184"/>
        <v>74370</v>
      </c>
      <c r="S166" s="1449">
        <f t="shared" si="184"/>
        <v>1450</v>
      </c>
      <c r="T166" s="1449">
        <f t="shared" si="184"/>
        <v>439850</v>
      </c>
      <c r="U166" s="1449">
        <f t="shared" si="184"/>
        <v>417650</v>
      </c>
      <c r="V166" s="1449">
        <f t="shared" si="184"/>
        <v>104200</v>
      </c>
      <c r="W166" s="1449">
        <f t="shared" si="184"/>
        <v>0</v>
      </c>
      <c r="X166" s="1449">
        <f t="shared" si="184"/>
        <v>544050</v>
      </c>
      <c r="Y166" s="1449">
        <f t="shared" si="184"/>
        <v>521850</v>
      </c>
      <c r="Z166" s="1449">
        <v>0</v>
      </c>
      <c r="AA166" s="1449">
        <v>0</v>
      </c>
      <c r="AB166" s="1449">
        <v>522163</v>
      </c>
      <c r="AC166" s="1449">
        <v>502332</v>
      </c>
      <c r="AD166" s="1449">
        <f t="shared" ref="AD166:AM166" si="185">AD167+AD184</f>
        <v>0</v>
      </c>
      <c r="AE166" s="1526">
        <f t="shared" si="185"/>
        <v>0</v>
      </c>
      <c r="AF166" s="1449">
        <f t="shared" si="185"/>
        <v>522163</v>
      </c>
      <c r="AG166" s="1449">
        <f t="shared" si="185"/>
        <v>502332</v>
      </c>
      <c r="AH166" s="1449">
        <f t="shared" si="185"/>
        <v>497151</v>
      </c>
      <c r="AI166" s="1449">
        <f t="shared" si="185"/>
        <v>38000</v>
      </c>
      <c r="AJ166" s="1449">
        <f t="shared" si="185"/>
        <v>39447</v>
      </c>
      <c r="AK166" s="1449">
        <f t="shared" si="185"/>
        <v>91905</v>
      </c>
      <c r="AL166" s="1449">
        <f t="shared" si="185"/>
        <v>164999</v>
      </c>
      <c r="AM166" s="1449">
        <f t="shared" si="185"/>
        <v>162800</v>
      </c>
      <c r="AN166" s="1450"/>
      <c r="AO166" s="1450"/>
      <c r="AP166" s="1431">
        <f t="shared" si="154"/>
        <v>0</v>
      </c>
      <c r="AQ166" s="1431">
        <f t="shared" si="160"/>
        <v>1</v>
      </c>
      <c r="AR166" s="1434"/>
      <c r="AS166" s="1434"/>
      <c r="AW166" s="1427">
        <f t="shared" si="161"/>
        <v>0</v>
      </c>
      <c r="AY166" s="1427">
        <f t="shared" si="162"/>
        <v>0</v>
      </c>
      <c r="BA166" s="1427">
        <f t="shared" si="163"/>
        <v>0</v>
      </c>
      <c r="BC166" s="1427">
        <f t="shared" si="164"/>
        <v>0</v>
      </c>
      <c r="BD166" s="1436">
        <f t="shared" si="165"/>
        <v>1</v>
      </c>
    </row>
    <row r="167" spans="1:56" ht="67.5" customHeight="1" x14ac:dyDescent="0.3">
      <c r="A167" s="1827" t="s">
        <v>2899</v>
      </c>
      <c r="B167" s="1827" t="s">
        <v>2899</v>
      </c>
      <c r="C167" s="1446" t="s">
        <v>88</v>
      </c>
      <c r="D167" s="1448"/>
      <c r="E167" s="1448"/>
      <c r="F167" s="1448"/>
      <c r="G167" s="1448"/>
      <c r="H167" s="1449">
        <f t="shared" ref="H167:M167" si="186">SUM(H168:H183)</f>
        <v>459859</v>
      </c>
      <c r="I167" s="1449">
        <f t="shared" si="186"/>
        <v>386681</v>
      </c>
      <c r="J167" s="1449">
        <f t="shared" si="186"/>
        <v>0</v>
      </c>
      <c r="K167" s="1449">
        <f t="shared" si="186"/>
        <v>0</v>
      </c>
      <c r="L167" s="1449">
        <f t="shared" si="186"/>
        <v>0</v>
      </c>
      <c r="M167" s="1449">
        <f t="shared" si="186"/>
        <v>0</v>
      </c>
      <c r="N167" s="1449">
        <f t="shared" ref="N167:S167" si="187">SUM(N168:N182)</f>
        <v>339650</v>
      </c>
      <c r="O167" s="1449">
        <f t="shared" si="187"/>
        <v>339650</v>
      </c>
      <c r="P167" s="1449">
        <f t="shared" si="187"/>
        <v>361850</v>
      </c>
      <c r="Q167" s="1449">
        <f t="shared" si="187"/>
        <v>339650</v>
      </c>
      <c r="R167" s="1449">
        <f t="shared" si="187"/>
        <v>1450</v>
      </c>
      <c r="S167" s="1449">
        <f t="shared" si="187"/>
        <v>1450</v>
      </c>
      <c r="T167" s="1449">
        <f t="shared" ref="T167:Y167" si="188">SUM(T168:T183)</f>
        <v>361850</v>
      </c>
      <c r="U167" s="1449">
        <f t="shared" si="188"/>
        <v>339650</v>
      </c>
      <c r="V167" s="1449">
        <f t="shared" si="188"/>
        <v>14200</v>
      </c>
      <c r="W167" s="1449">
        <f t="shared" si="188"/>
        <v>0</v>
      </c>
      <c r="X167" s="1449">
        <f t="shared" si="188"/>
        <v>376050</v>
      </c>
      <c r="Y167" s="1449">
        <f t="shared" si="188"/>
        <v>353850</v>
      </c>
      <c r="Z167" s="1449">
        <v>0</v>
      </c>
      <c r="AA167" s="1449">
        <v>0</v>
      </c>
      <c r="AB167" s="1449">
        <v>371762</v>
      </c>
      <c r="AC167" s="1449">
        <v>351931</v>
      </c>
      <c r="AD167" s="1449">
        <f t="shared" ref="AD167:AM167" si="189">SUM(AD168:AD183)</f>
        <v>0</v>
      </c>
      <c r="AE167" s="1526">
        <f t="shared" si="189"/>
        <v>0</v>
      </c>
      <c r="AF167" s="1449">
        <f t="shared" si="189"/>
        <v>371762</v>
      </c>
      <c r="AG167" s="1449">
        <f t="shared" si="189"/>
        <v>351931</v>
      </c>
      <c r="AH167" s="1449">
        <f t="shared" si="189"/>
        <v>346750</v>
      </c>
      <c r="AI167" s="1449">
        <f t="shared" si="189"/>
        <v>38000</v>
      </c>
      <c r="AJ167" s="1449">
        <f t="shared" si="189"/>
        <v>39316</v>
      </c>
      <c r="AK167" s="1449">
        <f t="shared" si="189"/>
        <v>91770</v>
      </c>
      <c r="AL167" s="1449">
        <f t="shared" si="189"/>
        <v>144864</v>
      </c>
      <c r="AM167" s="1449">
        <f t="shared" si="189"/>
        <v>32800</v>
      </c>
      <c r="AN167" s="1466"/>
      <c r="AO167" s="1466"/>
      <c r="AP167" s="1431">
        <f t="shared" si="154"/>
        <v>0</v>
      </c>
      <c r="AQ167" s="1431">
        <f t="shared" si="160"/>
        <v>1</v>
      </c>
      <c r="AR167" s="1434"/>
      <c r="AS167" s="1434"/>
      <c r="AW167" s="1427">
        <f t="shared" si="161"/>
        <v>0</v>
      </c>
      <c r="AY167" s="1427">
        <f t="shared" si="162"/>
        <v>0</v>
      </c>
      <c r="BA167" s="1427">
        <f t="shared" si="163"/>
        <v>0</v>
      </c>
      <c r="BC167" s="1427">
        <f t="shared" si="164"/>
        <v>0</v>
      </c>
      <c r="BD167" s="1436">
        <f t="shared" si="165"/>
        <v>1</v>
      </c>
    </row>
    <row r="168" spans="1:56" ht="60.75" customHeight="1" x14ac:dyDescent="0.3">
      <c r="A168" s="1847" t="s">
        <v>2900</v>
      </c>
      <c r="B168" s="1457"/>
      <c r="C168" s="1458" t="s">
        <v>360</v>
      </c>
      <c r="D168" s="1388" t="s">
        <v>361</v>
      </c>
      <c r="E168" s="1388" t="s">
        <v>362</v>
      </c>
      <c r="F168" s="1388" t="s">
        <v>97</v>
      </c>
      <c r="G168" s="1388" t="s">
        <v>363</v>
      </c>
      <c r="H168" s="1459">
        <v>53932</v>
      </c>
      <c r="I168" s="1444">
        <f>H168</f>
        <v>53932</v>
      </c>
      <c r="J168" s="1460"/>
      <c r="K168" s="1460"/>
      <c r="L168" s="1460"/>
      <c r="M168" s="1460"/>
      <c r="N168" s="1463">
        <f t="shared" ref="N168:N181" si="190">O168</f>
        <v>48850</v>
      </c>
      <c r="O168" s="1460">
        <v>48850</v>
      </c>
      <c r="P168" s="1463">
        <f t="shared" ref="P168:P181" si="191">Q168</f>
        <v>48850</v>
      </c>
      <c r="Q168" s="1460">
        <v>48850</v>
      </c>
      <c r="R168" s="1454"/>
      <c r="S168" s="1454"/>
      <c r="T168" s="1463">
        <f t="shared" ref="T168:T181" si="192">U168</f>
        <v>48850</v>
      </c>
      <c r="U168" s="1460">
        <v>48850</v>
      </c>
      <c r="V168" s="1454"/>
      <c r="W168" s="1454"/>
      <c r="X168" s="1463">
        <f t="shared" ref="X168:X181" si="193">Y168</f>
        <v>48850</v>
      </c>
      <c r="Y168" s="1460">
        <v>48850</v>
      </c>
      <c r="Z168" s="1460"/>
      <c r="AA168" s="1460"/>
      <c r="AB168" s="1460">
        <v>48850</v>
      </c>
      <c r="AC168" s="1460">
        <v>48850</v>
      </c>
      <c r="AD168" s="1460"/>
      <c r="AE168" s="1460"/>
      <c r="AF168" s="1383">
        <f t="shared" si="182"/>
        <v>48850</v>
      </c>
      <c r="AG168" s="1383">
        <f t="shared" si="183"/>
        <v>48850</v>
      </c>
      <c r="AH168" s="1383">
        <f t="shared" si="114"/>
        <v>50466</v>
      </c>
      <c r="AI168" s="1383">
        <v>31000</v>
      </c>
      <c r="AJ168" s="1383">
        <v>19466</v>
      </c>
      <c r="AK168" s="1383"/>
      <c r="AL168" s="1383"/>
      <c r="AM168" s="1383"/>
      <c r="AN168" s="1464"/>
      <c r="AO168" s="1464"/>
      <c r="AP168" s="1431">
        <f t="shared" si="154"/>
        <v>0</v>
      </c>
      <c r="AQ168" s="1431">
        <f t="shared" si="160"/>
        <v>1</v>
      </c>
      <c r="AR168" s="1434">
        <f t="shared" si="124"/>
        <v>0</v>
      </c>
      <c r="AS168" s="1434"/>
      <c r="AT168" s="1427">
        <f t="shared" ref="AT168:AT182" si="194">IF(AP168=0,1,0)</f>
        <v>1</v>
      </c>
      <c r="AV168" s="1427">
        <f t="shared" ref="AV168:AV182" si="195">IF(Q168=0,1,0)</f>
        <v>0</v>
      </c>
      <c r="AW168" s="1427">
        <f t="shared" si="161"/>
        <v>0</v>
      </c>
      <c r="AX168" s="1427">
        <f t="shared" ref="AX168:AX182" si="196">IF(O168=0,1,0)</f>
        <v>0</v>
      </c>
      <c r="AY168" s="1427">
        <f t="shared" si="162"/>
        <v>0</v>
      </c>
      <c r="AZ168" s="1427">
        <f t="shared" ref="AZ168:AZ181" si="197">IF(R168=0,0,1)</f>
        <v>0</v>
      </c>
      <c r="BA168" s="1427">
        <f t="shared" si="163"/>
        <v>0</v>
      </c>
      <c r="BB168" s="1427">
        <f t="shared" ref="BB168:BB182" si="198">IF(S168=0,0,1)</f>
        <v>0</v>
      </c>
      <c r="BC168" s="1427">
        <f t="shared" si="164"/>
        <v>0</v>
      </c>
      <c r="BD168" s="1436">
        <f t="shared" si="165"/>
        <v>1</v>
      </c>
    </row>
    <row r="169" spans="1:56" ht="63" customHeight="1" x14ac:dyDescent="0.3">
      <c r="A169" s="1847" t="s">
        <v>2901</v>
      </c>
      <c r="B169" s="1457"/>
      <c r="C169" s="1458" t="s">
        <v>364</v>
      </c>
      <c r="D169" s="1388" t="s">
        <v>336</v>
      </c>
      <c r="E169" s="1388" t="s">
        <v>365</v>
      </c>
      <c r="F169" s="1388">
        <v>2016</v>
      </c>
      <c r="G169" s="1388" t="s">
        <v>366</v>
      </c>
      <c r="H169" s="1459">
        <v>10978</v>
      </c>
      <c r="I169" s="1444">
        <f>H169</f>
        <v>10978</v>
      </c>
      <c r="J169" s="1460"/>
      <c r="K169" s="1460"/>
      <c r="L169" s="1460"/>
      <c r="M169" s="1460"/>
      <c r="N169" s="1463">
        <f t="shared" si="190"/>
        <v>10460</v>
      </c>
      <c r="O169" s="1460">
        <v>10460</v>
      </c>
      <c r="P169" s="1463">
        <f t="shared" si="191"/>
        <v>10460</v>
      </c>
      <c r="Q169" s="1460">
        <v>10460</v>
      </c>
      <c r="R169" s="1454"/>
      <c r="S169" s="1454"/>
      <c r="T169" s="1463">
        <f t="shared" si="192"/>
        <v>10460</v>
      </c>
      <c r="U169" s="1460">
        <v>10460</v>
      </c>
      <c r="V169" s="1454"/>
      <c r="W169" s="1454"/>
      <c r="X169" s="1463">
        <f t="shared" si="193"/>
        <v>10460</v>
      </c>
      <c r="Y169" s="1460">
        <v>10460</v>
      </c>
      <c r="Z169" s="1460"/>
      <c r="AA169" s="1460"/>
      <c r="AB169" s="1460">
        <v>10460</v>
      </c>
      <c r="AC169" s="1460">
        <v>10460</v>
      </c>
      <c r="AD169" s="1460"/>
      <c r="AE169" s="1460"/>
      <c r="AF169" s="1383">
        <f t="shared" si="182"/>
        <v>10460</v>
      </c>
      <c r="AG169" s="1383">
        <f t="shared" si="183"/>
        <v>10460</v>
      </c>
      <c r="AH169" s="1383">
        <f t="shared" ref="AH169:AH232" si="199">SUM(AI169:AM169)</f>
        <v>8350</v>
      </c>
      <c r="AI169" s="1383">
        <v>7000</v>
      </c>
      <c r="AJ169" s="1383">
        <v>1350</v>
      </c>
      <c r="AK169" s="1383"/>
      <c r="AL169" s="1383"/>
      <c r="AM169" s="1383"/>
      <c r="AN169" s="1464"/>
      <c r="AO169" s="1464"/>
      <c r="AP169" s="1431">
        <f t="shared" si="154"/>
        <v>0</v>
      </c>
      <c r="AQ169" s="1431">
        <f t="shared" si="160"/>
        <v>1</v>
      </c>
      <c r="AR169" s="1434">
        <f t="shared" si="124"/>
        <v>0</v>
      </c>
      <c r="AS169" s="1434"/>
      <c r="AT169" s="1427">
        <f t="shared" si="194"/>
        <v>1</v>
      </c>
      <c r="AV169" s="1427">
        <f t="shared" si="195"/>
        <v>0</v>
      </c>
      <c r="AW169" s="1427">
        <f t="shared" si="161"/>
        <v>0</v>
      </c>
      <c r="AX169" s="1427">
        <f t="shared" si="196"/>
        <v>0</v>
      </c>
      <c r="AY169" s="1427">
        <f t="shared" si="162"/>
        <v>0</v>
      </c>
      <c r="AZ169" s="1427">
        <f t="shared" si="197"/>
        <v>0</v>
      </c>
      <c r="BA169" s="1427">
        <f t="shared" si="163"/>
        <v>0</v>
      </c>
      <c r="BB169" s="1427">
        <f t="shared" si="198"/>
        <v>0</v>
      </c>
      <c r="BC169" s="1427">
        <f t="shared" si="164"/>
        <v>0</v>
      </c>
      <c r="BD169" s="1436">
        <f t="shared" si="165"/>
        <v>1</v>
      </c>
    </row>
    <row r="170" spans="1:56" ht="117.75" customHeight="1" x14ac:dyDescent="0.3">
      <c r="A170" s="1847" t="s">
        <v>2902</v>
      </c>
      <c r="B170" s="1457" t="s">
        <v>2900</v>
      </c>
      <c r="C170" s="1458" t="s">
        <v>367</v>
      </c>
      <c r="D170" s="1388" t="s">
        <v>194</v>
      </c>
      <c r="E170" s="1388" t="s">
        <v>368</v>
      </c>
      <c r="F170" s="1388" t="s">
        <v>109</v>
      </c>
      <c r="G170" s="1388" t="s">
        <v>369</v>
      </c>
      <c r="H170" s="1459">
        <v>44954</v>
      </c>
      <c r="I170" s="1444">
        <f>H170</f>
        <v>44954</v>
      </c>
      <c r="J170" s="1460"/>
      <c r="K170" s="1460"/>
      <c r="L170" s="1460"/>
      <c r="M170" s="1460"/>
      <c r="N170" s="1463">
        <f t="shared" si="190"/>
        <v>40340</v>
      </c>
      <c r="O170" s="1460">
        <v>40340</v>
      </c>
      <c r="P170" s="1463">
        <f t="shared" si="191"/>
        <v>40340</v>
      </c>
      <c r="Q170" s="1460">
        <v>40340</v>
      </c>
      <c r="R170" s="1454"/>
      <c r="S170" s="1454"/>
      <c r="T170" s="1463">
        <f t="shared" si="192"/>
        <v>40340</v>
      </c>
      <c r="U170" s="1460">
        <v>40340</v>
      </c>
      <c r="V170" s="1454">
        <v>700</v>
      </c>
      <c r="W170" s="1454"/>
      <c r="X170" s="1463">
        <f t="shared" si="193"/>
        <v>41040</v>
      </c>
      <c r="Y170" s="1460">
        <f>V170+U170</f>
        <v>41040</v>
      </c>
      <c r="Z170" s="1460"/>
      <c r="AA170" s="1460"/>
      <c r="AB170" s="1460">
        <v>40523</v>
      </c>
      <c r="AC170" s="1460">
        <v>40523</v>
      </c>
      <c r="AD170" s="1460"/>
      <c r="AE170" s="1525"/>
      <c r="AF170" s="1383">
        <f t="shared" si="182"/>
        <v>40523</v>
      </c>
      <c r="AG170" s="1383">
        <f t="shared" si="183"/>
        <v>40523</v>
      </c>
      <c r="AH170" s="1383">
        <f t="shared" si="199"/>
        <v>37900</v>
      </c>
      <c r="AI170" s="1383"/>
      <c r="AJ170" s="1383">
        <v>14000</v>
      </c>
      <c r="AK170" s="1383">
        <v>11900</v>
      </c>
      <c r="AL170" s="1383">
        <v>12000</v>
      </c>
      <c r="AM170" s="1383"/>
      <c r="AN170" s="1381"/>
      <c r="AO170" s="1381"/>
      <c r="AP170" s="1431">
        <f t="shared" si="154"/>
        <v>0</v>
      </c>
      <c r="AQ170" s="1431">
        <f t="shared" si="160"/>
        <v>1</v>
      </c>
      <c r="AR170" s="1434">
        <f t="shared" si="124"/>
        <v>0</v>
      </c>
      <c r="AS170" s="1434"/>
      <c r="AT170" s="1427">
        <f t="shared" si="194"/>
        <v>1</v>
      </c>
      <c r="AV170" s="1427">
        <f t="shared" si="195"/>
        <v>0</v>
      </c>
      <c r="AW170" s="1427">
        <f t="shared" si="161"/>
        <v>0</v>
      </c>
      <c r="AX170" s="1427">
        <f t="shared" si="196"/>
        <v>0</v>
      </c>
      <c r="AY170" s="1427">
        <f t="shared" si="162"/>
        <v>0</v>
      </c>
      <c r="AZ170" s="1427">
        <f t="shared" si="197"/>
        <v>0</v>
      </c>
      <c r="BA170" s="1427">
        <f t="shared" si="163"/>
        <v>0</v>
      </c>
      <c r="BB170" s="1427">
        <f t="shared" si="198"/>
        <v>0</v>
      </c>
      <c r="BC170" s="1427">
        <f t="shared" si="164"/>
        <v>0</v>
      </c>
      <c r="BD170" s="1436">
        <f t="shared" si="165"/>
        <v>1</v>
      </c>
    </row>
    <row r="171" spans="1:56" ht="81.75" customHeight="1" x14ac:dyDescent="0.3">
      <c r="A171" s="1847" t="s">
        <v>2903</v>
      </c>
      <c r="B171" s="1457"/>
      <c r="C171" s="1442" t="s">
        <v>370</v>
      </c>
      <c r="D171" s="1388" t="s">
        <v>336</v>
      </c>
      <c r="E171" s="1388" t="s">
        <v>371</v>
      </c>
      <c r="F171" s="1388" t="s">
        <v>109</v>
      </c>
      <c r="G171" s="1388" t="s">
        <v>372</v>
      </c>
      <c r="H171" s="1444">
        <v>5980</v>
      </c>
      <c r="I171" s="1444">
        <f>H171</f>
        <v>5980</v>
      </c>
      <c r="J171" s="1460"/>
      <c r="K171" s="1460"/>
      <c r="L171" s="1460"/>
      <c r="M171" s="1460"/>
      <c r="N171" s="1463">
        <f t="shared" si="190"/>
        <v>5700</v>
      </c>
      <c r="O171" s="1460">
        <v>5700</v>
      </c>
      <c r="P171" s="1463">
        <f t="shared" si="191"/>
        <v>5700</v>
      </c>
      <c r="Q171" s="1460">
        <v>5700</v>
      </c>
      <c r="R171" s="1454"/>
      <c r="S171" s="1454"/>
      <c r="T171" s="1463">
        <f t="shared" si="192"/>
        <v>5700</v>
      </c>
      <c r="U171" s="1460">
        <v>5700</v>
      </c>
      <c r="V171" s="1454"/>
      <c r="W171" s="1454"/>
      <c r="X171" s="1463">
        <f t="shared" si="193"/>
        <v>5700</v>
      </c>
      <c r="Y171" s="1460">
        <v>5700</v>
      </c>
      <c r="Z171" s="1460"/>
      <c r="AA171" s="1460"/>
      <c r="AB171" s="1460">
        <v>5700</v>
      </c>
      <c r="AC171" s="1460">
        <v>5700</v>
      </c>
      <c r="AD171" s="1460"/>
      <c r="AE171" s="1460"/>
      <c r="AF171" s="1383">
        <f t="shared" si="182"/>
        <v>5700</v>
      </c>
      <c r="AG171" s="1383">
        <f t="shared" si="183"/>
        <v>5700</v>
      </c>
      <c r="AH171" s="1383">
        <f t="shared" si="199"/>
        <v>5700</v>
      </c>
      <c r="AI171" s="1383"/>
      <c r="AJ171" s="1383">
        <v>4500</v>
      </c>
      <c r="AK171" s="1383">
        <v>1200</v>
      </c>
      <c r="AL171" s="1383"/>
      <c r="AM171" s="1383"/>
      <c r="AN171" s="1464"/>
      <c r="AO171" s="1464">
        <v>43</v>
      </c>
      <c r="AP171" s="1431">
        <f t="shared" si="154"/>
        <v>0</v>
      </c>
      <c r="AQ171" s="1431">
        <f t="shared" si="160"/>
        <v>1</v>
      </c>
      <c r="AR171" s="1434">
        <f t="shared" si="124"/>
        <v>0</v>
      </c>
      <c r="AS171" s="1434"/>
      <c r="AT171" s="1427">
        <f t="shared" si="194"/>
        <v>1</v>
      </c>
      <c r="AV171" s="1427">
        <f t="shared" si="195"/>
        <v>0</v>
      </c>
      <c r="AW171" s="1427">
        <f t="shared" si="161"/>
        <v>0</v>
      </c>
      <c r="AX171" s="1427">
        <f t="shared" si="196"/>
        <v>0</v>
      </c>
      <c r="AY171" s="1427">
        <f t="shared" si="162"/>
        <v>0</v>
      </c>
      <c r="AZ171" s="1427">
        <f t="shared" si="197"/>
        <v>0</v>
      </c>
      <c r="BA171" s="1427">
        <f t="shared" si="163"/>
        <v>0</v>
      </c>
      <c r="BB171" s="1427">
        <f t="shared" si="198"/>
        <v>0</v>
      </c>
      <c r="BC171" s="1427">
        <f t="shared" si="164"/>
        <v>0</v>
      </c>
      <c r="BD171" s="1436">
        <f t="shared" si="165"/>
        <v>1</v>
      </c>
    </row>
    <row r="172" spans="1:56" ht="59.25" customHeight="1" x14ac:dyDescent="0.3">
      <c r="A172" s="1847" t="s">
        <v>2904</v>
      </c>
      <c r="B172" s="1457"/>
      <c r="C172" s="1458" t="s">
        <v>373</v>
      </c>
      <c r="D172" s="1388" t="s">
        <v>336</v>
      </c>
      <c r="E172" s="1388"/>
      <c r="F172" s="1388" t="s">
        <v>116</v>
      </c>
      <c r="G172" s="1388" t="s">
        <v>374</v>
      </c>
      <c r="H172" s="1459">
        <v>126957</v>
      </c>
      <c r="I172" s="1444">
        <f>H172-50978</f>
        <v>75979</v>
      </c>
      <c r="J172" s="1460"/>
      <c r="K172" s="1460"/>
      <c r="L172" s="1460"/>
      <c r="M172" s="1460"/>
      <c r="N172" s="1463">
        <f t="shared" si="190"/>
        <v>60000</v>
      </c>
      <c r="O172" s="1463">
        <v>60000</v>
      </c>
      <c r="P172" s="1463">
        <f t="shared" si="191"/>
        <v>60000</v>
      </c>
      <c r="Q172" s="1463">
        <v>60000</v>
      </c>
      <c r="R172" s="1454"/>
      <c r="S172" s="1454"/>
      <c r="T172" s="1463">
        <f t="shared" si="192"/>
        <v>60000</v>
      </c>
      <c r="U172" s="1463">
        <v>60000</v>
      </c>
      <c r="V172" s="1454"/>
      <c r="W172" s="1454"/>
      <c r="X172" s="1463">
        <f t="shared" si="193"/>
        <v>60000</v>
      </c>
      <c r="Y172" s="1463">
        <v>60000</v>
      </c>
      <c r="Z172" s="1460"/>
      <c r="AA172" s="1460"/>
      <c r="AB172" s="1460">
        <v>60000</v>
      </c>
      <c r="AC172" s="1460">
        <v>60000</v>
      </c>
      <c r="AD172" s="1460"/>
      <c r="AE172" s="1460"/>
      <c r="AF172" s="1383">
        <f t="shared" si="182"/>
        <v>60000</v>
      </c>
      <c r="AG172" s="1383">
        <f t="shared" si="183"/>
        <v>60000</v>
      </c>
      <c r="AH172" s="1383">
        <f t="shared" si="199"/>
        <v>60000</v>
      </c>
      <c r="AI172" s="1383"/>
      <c r="AJ172" s="1383"/>
      <c r="AK172" s="1383">
        <v>19000</v>
      </c>
      <c r="AL172" s="1383">
        <v>38000</v>
      </c>
      <c r="AM172" s="1383">
        <v>3000</v>
      </c>
      <c r="AN172" s="1388"/>
      <c r="AO172" s="1388"/>
      <c r="AP172" s="1431">
        <f t="shared" si="154"/>
        <v>0</v>
      </c>
      <c r="AQ172" s="1431">
        <f t="shared" si="160"/>
        <v>1</v>
      </c>
      <c r="AR172" s="1434">
        <f t="shared" si="124"/>
        <v>0</v>
      </c>
      <c r="AS172" s="1434"/>
      <c r="AT172" s="1427">
        <f t="shared" si="194"/>
        <v>1</v>
      </c>
      <c r="AV172" s="1427">
        <f t="shared" si="195"/>
        <v>0</v>
      </c>
      <c r="AW172" s="1427">
        <f t="shared" si="161"/>
        <v>0</v>
      </c>
      <c r="AX172" s="1427">
        <f t="shared" si="196"/>
        <v>0</v>
      </c>
      <c r="AY172" s="1427">
        <f t="shared" si="162"/>
        <v>0</v>
      </c>
      <c r="AZ172" s="1427">
        <f t="shared" si="197"/>
        <v>0</v>
      </c>
      <c r="BA172" s="1427">
        <f t="shared" si="163"/>
        <v>0</v>
      </c>
      <c r="BB172" s="1427">
        <f t="shared" si="198"/>
        <v>0</v>
      </c>
      <c r="BC172" s="1427">
        <f t="shared" si="164"/>
        <v>0</v>
      </c>
      <c r="BD172" s="1436">
        <f t="shared" si="165"/>
        <v>1</v>
      </c>
    </row>
    <row r="173" spans="1:56" ht="115.5" customHeight="1" x14ac:dyDescent="0.3">
      <c r="A173" s="1847" t="s">
        <v>2905</v>
      </c>
      <c r="B173" s="1457"/>
      <c r="C173" s="1442" t="s">
        <v>376</v>
      </c>
      <c r="D173" s="1388" t="s">
        <v>377</v>
      </c>
      <c r="E173" s="1388" t="s">
        <v>378</v>
      </c>
      <c r="F173" s="1388" t="s">
        <v>116</v>
      </c>
      <c r="G173" s="1388" t="s">
        <v>379</v>
      </c>
      <c r="H173" s="1444">
        <v>8646</v>
      </c>
      <c r="I173" s="1444">
        <v>8646</v>
      </c>
      <c r="J173" s="1460"/>
      <c r="K173" s="1460"/>
      <c r="L173" s="1460"/>
      <c r="M173" s="1460"/>
      <c r="N173" s="1463">
        <f t="shared" si="190"/>
        <v>8000</v>
      </c>
      <c r="O173" s="1460">
        <v>8000</v>
      </c>
      <c r="P173" s="1463">
        <f t="shared" si="191"/>
        <v>8000</v>
      </c>
      <c r="Q173" s="1460">
        <v>8000</v>
      </c>
      <c r="R173" s="1454"/>
      <c r="S173" s="1454"/>
      <c r="T173" s="1463">
        <f t="shared" si="192"/>
        <v>8000</v>
      </c>
      <c r="U173" s="1460">
        <v>8000</v>
      </c>
      <c r="V173" s="1454"/>
      <c r="W173" s="1454"/>
      <c r="X173" s="1463">
        <f t="shared" si="193"/>
        <v>8000</v>
      </c>
      <c r="Y173" s="1460">
        <v>8000</v>
      </c>
      <c r="Z173" s="1460"/>
      <c r="AA173" s="1460"/>
      <c r="AB173" s="1460">
        <v>8000</v>
      </c>
      <c r="AC173" s="1460">
        <v>8000</v>
      </c>
      <c r="AD173" s="1460"/>
      <c r="AE173" s="1460"/>
      <c r="AF173" s="1383">
        <f t="shared" si="182"/>
        <v>8000</v>
      </c>
      <c r="AG173" s="1383">
        <f t="shared" si="183"/>
        <v>8000</v>
      </c>
      <c r="AH173" s="1383">
        <f t="shared" si="199"/>
        <v>7864</v>
      </c>
      <c r="AI173" s="1383"/>
      <c r="AJ173" s="1383"/>
      <c r="AK173" s="1383">
        <v>7500</v>
      </c>
      <c r="AL173" s="1383">
        <v>364</v>
      </c>
      <c r="AM173" s="1383"/>
      <c r="AN173" s="1464"/>
      <c r="AO173" s="1464">
        <v>95</v>
      </c>
      <c r="AP173" s="1431">
        <f t="shared" si="154"/>
        <v>0</v>
      </c>
      <c r="AQ173" s="1431">
        <f t="shared" si="160"/>
        <v>1</v>
      </c>
      <c r="AR173" s="1434">
        <f t="shared" si="124"/>
        <v>0</v>
      </c>
      <c r="AS173" s="1434"/>
      <c r="AT173" s="1427">
        <f t="shared" si="194"/>
        <v>1</v>
      </c>
      <c r="AV173" s="1427">
        <f t="shared" si="195"/>
        <v>0</v>
      </c>
      <c r="AW173" s="1427">
        <f t="shared" si="161"/>
        <v>0</v>
      </c>
      <c r="AX173" s="1427">
        <f t="shared" si="196"/>
        <v>0</v>
      </c>
      <c r="AY173" s="1427">
        <f t="shared" si="162"/>
        <v>0</v>
      </c>
      <c r="AZ173" s="1427">
        <f t="shared" si="197"/>
        <v>0</v>
      </c>
      <c r="BA173" s="1427">
        <f t="shared" si="163"/>
        <v>0</v>
      </c>
      <c r="BB173" s="1427">
        <f t="shared" si="198"/>
        <v>0</v>
      </c>
      <c r="BC173" s="1427">
        <f t="shared" si="164"/>
        <v>0</v>
      </c>
      <c r="BD173" s="1436">
        <f t="shared" si="165"/>
        <v>1</v>
      </c>
    </row>
    <row r="174" spans="1:56" ht="56.25" x14ac:dyDescent="0.3">
      <c r="A174" s="1847" t="s">
        <v>2906</v>
      </c>
      <c r="B174" s="1457" t="s">
        <v>2901</v>
      </c>
      <c r="C174" s="1458" t="s">
        <v>380</v>
      </c>
      <c r="D174" s="1388" t="s">
        <v>194</v>
      </c>
      <c r="E174" s="1470"/>
      <c r="F174" s="1388" t="s">
        <v>116</v>
      </c>
      <c r="G174" s="1388" t="s">
        <v>2448</v>
      </c>
      <c r="H174" s="1459">
        <v>7400</v>
      </c>
      <c r="I174" s="1444">
        <f t="shared" ref="I174:I181" si="200">H174</f>
        <v>7400</v>
      </c>
      <c r="J174" s="1460"/>
      <c r="K174" s="1460"/>
      <c r="L174" s="1460"/>
      <c r="M174" s="1460"/>
      <c r="N174" s="1463">
        <f t="shared" si="190"/>
        <v>7000</v>
      </c>
      <c r="O174" s="1460">
        <v>7000</v>
      </c>
      <c r="P174" s="1463">
        <f t="shared" si="191"/>
        <v>7000</v>
      </c>
      <c r="Q174" s="1460">
        <v>7000</v>
      </c>
      <c r="R174" s="1454"/>
      <c r="S174" s="1454"/>
      <c r="T174" s="1463">
        <f t="shared" si="192"/>
        <v>7000</v>
      </c>
      <c r="U174" s="1460">
        <v>7000</v>
      </c>
      <c r="V174" s="1454"/>
      <c r="W174" s="1454"/>
      <c r="X174" s="1463">
        <f t="shared" si="193"/>
        <v>7000</v>
      </c>
      <c r="Y174" s="1460">
        <v>7000</v>
      </c>
      <c r="Z174" s="1460"/>
      <c r="AA174" s="1460"/>
      <c r="AB174" s="1460">
        <v>6398</v>
      </c>
      <c r="AC174" s="1460">
        <v>6398</v>
      </c>
      <c r="AD174" s="1460"/>
      <c r="AE174" s="1525"/>
      <c r="AF174" s="1383">
        <f t="shared" si="182"/>
        <v>6398</v>
      </c>
      <c r="AG174" s="1383">
        <f t="shared" si="183"/>
        <v>6398</v>
      </c>
      <c r="AH174" s="1383">
        <f t="shared" si="199"/>
        <v>5800</v>
      </c>
      <c r="AI174" s="1383"/>
      <c r="AJ174" s="1383"/>
      <c r="AK174" s="1383">
        <v>5800</v>
      </c>
      <c r="AL174" s="1383"/>
      <c r="AM174" s="1383"/>
      <c r="AN174" s="1464"/>
      <c r="AO174" s="1464"/>
      <c r="AP174" s="1431">
        <f t="shared" si="154"/>
        <v>0</v>
      </c>
      <c r="AQ174" s="1431">
        <f t="shared" si="160"/>
        <v>1</v>
      </c>
      <c r="AR174" s="1434">
        <f t="shared" si="124"/>
        <v>0</v>
      </c>
      <c r="AS174" s="1434"/>
      <c r="AT174" s="1427">
        <f t="shared" si="194"/>
        <v>1</v>
      </c>
      <c r="AV174" s="1427">
        <f t="shared" si="195"/>
        <v>0</v>
      </c>
      <c r="AW174" s="1427">
        <f t="shared" si="161"/>
        <v>0</v>
      </c>
      <c r="AX174" s="1427">
        <f t="shared" si="196"/>
        <v>0</v>
      </c>
      <c r="AY174" s="1427">
        <f t="shared" si="162"/>
        <v>0</v>
      </c>
      <c r="AZ174" s="1427">
        <f t="shared" si="197"/>
        <v>0</v>
      </c>
      <c r="BA174" s="1427">
        <f t="shared" si="163"/>
        <v>0</v>
      </c>
      <c r="BB174" s="1427">
        <f t="shared" si="198"/>
        <v>0</v>
      </c>
      <c r="BC174" s="1427">
        <f t="shared" si="164"/>
        <v>0</v>
      </c>
      <c r="BD174" s="1436">
        <f t="shared" si="165"/>
        <v>1</v>
      </c>
    </row>
    <row r="175" spans="1:56" ht="59.25" customHeight="1" x14ac:dyDescent="0.3">
      <c r="A175" s="1847" t="s">
        <v>2907</v>
      </c>
      <c r="B175" s="1457"/>
      <c r="C175" s="1458" t="s">
        <v>381</v>
      </c>
      <c r="D175" s="1388" t="s">
        <v>52</v>
      </c>
      <c r="E175" s="1470"/>
      <c r="F175" s="1388" t="s">
        <v>116</v>
      </c>
      <c r="G175" s="1388" t="s">
        <v>2449</v>
      </c>
      <c r="H175" s="1459">
        <v>7400</v>
      </c>
      <c r="I175" s="1444">
        <f t="shared" si="200"/>
        <v>7400</v>
      </c>
      <c r="J175" s="1460"/>
      <c r="K175" s="1460"/>
      <c r="L175" s="1460"/>
      <c r="M175" s="1460"/>
      <c r="N175" s="1463">
        <f t="shared" si="190"/>
        <v>7000</v>
      </c>
      <c r="O175" s="1460">
        <v>7000</v>
      </c>
      <c r="P175" s="1463">
        <f t="shared" si="191"/>
        <v>7000</v>
      </c>
      <c r="Q175" s="1460">
        <v>7000</v>
      </c>
      <c r="R175" s="1454"/>
      <c r="S175" s="1454"/>
      <c r="T175" s="1463">
        <f t="shared" si="192"/>
        <v>7000</v>
      </c>
      <c r="U175" s="1460">
        <v>7000</v>
      </c>
      <c r="V175" s="1454"/>
      <c r="W175" s="1454"/>
      <c r="X175" s="1463">
        <f t="shared" si="193"/>
        <v>7000</v>
      </c>
      <c r="Y175" s="1460">
        <v>7000</v>
      </c>
      <c r="Z175" s="1460"/>
      <c r="AA175" s="1460"/>
      <c r="AB175" s="1460">
        <v>7000</v>
      </c>
      <c r="AC175" s="1460">
        <v>7000</v>
      </c>
      <c r="AD175" s="1460"/>
      <c r="AE175" s="1460"/>
      <c r="AF175" s="1383">
        <f t="shared" si="182"/>
        <v>7000</v>
      </c>
      <c r="AG175" s="1383">
        <f t="shared" si="183"/>
        <v>7000</v>
      </c>
      <c r="AH175" s="1383">
        <f t="shared" si="199"/>
        <v>6070</v>
      </c>
      <c r="AI175" s="1383"/>
      <c r="AJ175" s="1383"/>
      <c r="AK175" s="1383">
        <v>6070</v>
      </c>
      <c r="AL175" s="1383"/>
      <c r="AM175" s="1383"/>
      <c r="AN175" s="1464"/>
      <c r="AO175" s="1464"/>
      <c r="AP175" s="1431">
        <f t="shared" si="154"/>
        <v>0</v>
      </c>
      <c r="AQ175" s="1431">
        <f t="shared" si="160"/>
        <v>1</v>
      </c>
      <c r="AR175" s="1434">
        <f t="shared" si="124"/>
        <v>0</v>
      </c>
      <c r="AS175" s="1434"/>
      <c r="AT175" s="1427">
        <f t="shared" si="194"/>
        <v>1</v>
      </c>
      <c r="AV175" s="1427">
        <f t="shared" si="195"/>
        <v>0</v>
      </c>
      <c r="AW175" s="1427">
        <f t="shared" si="161"/>
        <v>0</v>
      </c>
      <c r="AX175" s="1427">
        <f t="shared" si="196"/>
        <v>0</v>
      </c>
      <c r="AY175" s="1427">
        <f t="shared" si="162"/>
        <v>0</v>
      </c>
      <c r="AZ175" s="1427">
        <f t="shared" si="197"/>
        <v>0</v>
      </c>
      <c r="BA175" s="1427">
        <f t="shared" si="163"/>
        <v>0</v>
      </c>
      <c r="BB175" s="1427">
        <f t="shared" si="198"/>
        <v>0</v>
      </c>
      <c r="BC175" s="1427">
        <f t="shared" si="164"/>
        <v>0</v>
      </c>
      <c r="BD175" s="1436">
        <f t="shared" si="165"/>
        <v>1</v>
      </c>
    </row>
    <row r="176" spans="1:56" ht="58.5" customHeight="1" x14ac:dyDescent="0.3">
      <c r="A176" s="1847" t="s">
        <v>2908</v>
      </c>
      <c r="B176" s="1457"/>
      <c r="C176" s="1458" t="s">
        <v>382</v>
      </c>
      <c r="D176" s="1388" t="s">
        <v>52</v>
      </c>
      <c r="E176" s="1470"/>
      <c r="F176" s="1388" t="s">
        <v>116</v>
      </c>
      <c r="G176" s="1388" t="s">
        <v>2450</v>
      </c>
      <c r="H176" s="1459">
        <v>3500</v>
      </c>
      <c r="I176" s="1444">
        <f t="shared" si="200"/>
        <v>3500</v>
      </c>
      <c r="J176" s="1460"/>
      <c r="K176" s="1460"/>
      <c r="L176" s="1460"/>
      <c r="M176" s="1460"/>
      <c r="N176" s="1463">
        <f t="shared" si="190"/>
        <v>3500</v>
      </c>
      <c r="O176" s="1460">
        <v>3500</v>
      </c>
      <c r="P176" s="1463">
        <f t="shared" si="191"/>
        <v>3500</v>
      </c>
      <c r="Q176" s="1460">
        <v>3500</v>
      </c>
      <c r="R176" s="1454"/>
      <c r="S176" s="1454"/>
      <c r="T176" s="1463">
        <f t="shared" si="192"/>
        <v>3500</v>
      </c>
      <c r="U176" s="1460">
        <v>3500</v>
      </c>
      <c r="V176" s="1454"/>
      <c r="W176" s="1454"/>
      <c r="X176" s="1463">
        <f t="shared" si="193"/>
        <v>3500</v>
      </c>
      <c r="Y176" s="1460">
        <v>3500</v>
      </c>
      <c r="Z176" s="1460"/>
      <c r="AA176" s="1460"/>
      <c r="AB176" s="1460">
        <v>3500</v>
      </c>
      <c r="AC176" s="1460">
        <v>3500</v>
      </c>
      <c r="AD176" s="1460"/>
      <c r="AE176" s="1460"/>
      <c r="AF176" s="1383">
        <f t="shared" si="182"/>
        <v>3500</v>
      </c>
      <c r="AG176" s="1383">
        <f t="shared" si="183"/>
        <v>3500</v>
      </c>
      <c r="AH176" s="1383">
        <f t="shared" si="199"/>
        <v>2800</v>
      </c>
      <c r="AI176" s="1383"/>
      <c r="AJ176" s="1383"/>
      <c r="AK176" s="1383">
        <v>2800</v>
      </c>
      <c r="AL176" s="1383"/>
      <c r="AM176" s="1383"/>
      <c r="AN176" s="1464"/>
      <c r="AO176" s="1464"/>
      <c r="AP176" s="1431">
        <f t="shared" si="154"/>
        <v>0</v>
      </c>
      <c r="AQ176" s="1431">
        <f t="shared" si="160"/>
        <v>1</v>
      </c>
      <c r="AR176" s="1434">
        <f t="shared" si="124"/>
        <v>0</v>
      </c>
      <c r="AS176" s="1434"/>
      <c r="AT176" s="1427">
        <f t="shared" si="194"/>
        <v>1</v>
      </c>
      <c r="AV176" s="1427">
        <f t="shared" si="195"/>
        <v>0</v>
      </c>
      <c r="AW176" s="1427">
        <f t="shared" si="161"/>
        <v>0</v>
      </c>
      <c r="AX176" s="1427">
        <f t="shared" si="196"/>
        <v>0</v>
      </c>
      <c r="AY176" s="1427">
        <f t="shared" si="162"/>
        <v>0</v>
      </c>
      <c r="AZ176" s="1427">
        <f t="shared" si="197"/>
        <v>0</v>
      </c>
      <c r="BA176" s="1427">
        <f t="shared" si="163"/>
        <v>0</v>
      </c>
      <c r="BB176" s="1427">
        <f t="shared" si="198"/>
        <v>0</v>
      </c>
      <c r="BC176" s="1427">
        <f t="shared" si="164"/>
        <v>0</v>
      </c>
      <c r="BD176" s="1436">
        <f t="shared" si="165"/>
        <v>1</v>
      </c>
    </row>
    <row r="177" spans="1:56" ht="58.5" customHeight="1" x14ac:dyDescent="0.3">
      <c r="A177" s="1847" t="s">
        <v>2909</v>
      </c>
      <c r="B177" s="1457"/>
      <c r="C177" s="1458" t="s">
        <v>383</v>
      </c>
      <c r="D177" s="1388" t="s">
        <v>58</v>
      </c>
      <c r="E177" s="1470"/>
      <c r="F177" s="1388" t="s">
        <v>116</v>
      </c>
      <c r="G177" s="1388" t="s">
        <v>2451</v>
      </c>
      <c r="H177" s="1459">
        <v>2000</v>
      </c>
      <c r="I177" s="1444">
        <f t="shared" si="200"/>
        <v>2000</v>
      </c>
      <c r="J177" s="1460"/>
      <c r="K177" s="1460"/>
      <c r="L177" s="1460"/>
      <c r="M177" s="1460"/>
      <c r="N177" s="1463">
        <f t="shared" si="190"/>
        <v>1800</v>
      </c>
      <c r="O177" s="1460">
        <v>1800</v>
      </c>
      <c r="P177" s="1463">
        <f t="shared" si="191"/>
        <v>1800</v>
      </c>
      <c r="Q177" s="1460">
        <v>1800</v>
      </c>
      <c r="R177" s="1454"/>
      <c r="S177" s="1454"/>
      <c r="T177" s="1463">
        <f t="shared" si="192"/>
        <v>1800</v>
      </c>
      <c r="U177" s="1460">
        <v>1800</v>
      </c>
      <c r="V177" s="1454"/>
      <c r="W177" s="1454"/>
      <c r="X177" s="1463">
        <f t="shared" si="193"/>
        <v>1800</v>
      </c>
      <c r="Y177" s="1460">
        <v>1800</v>
      </c>
      <c r="Z177" s="1460"/>
      <c r="AA177" s="1460"/>
      <c r="AB177" s="1460">
        <v>1800</v>
      </c>
      <c r="AC177" s="1460">
        <v>1800</v>
      </c>
      <c r="AD177" s="1460"/>
      <c r="AE177" s="1460"/>
      <c r="AF177" s="1383">
        <f t="shared" si="182"/>
        <v>1800</v>
      </c>
      <c r="AG177" s="1383">
        <f t="shared" si="183"/>
        <v>1800</v>
      </c>
      <c r="AH177" s="1383">
        <f t="shared" si="199"/>
        <v>1500</v>
      </c>
      <c r="AI177" s="1383"/>
      <c r="AJ177" s="1383"/>
      <c r="AK177" s="1383">
        <v>1500</v>
      </c>
      <c r="AL177" s="1383"/>
      <c r="AM177" s="1383"/>
      <c r="AN177" s="1464"/>
      <c r="AO177" s="1464"/>
      <c r="AP177" s="1431">
        <f t="shared" si="154"/>
        <v>0</v>
      </c>
      <c r="AQ177" s="1431">
        <f t="shared" si="160"/>
        <v>1</v>
      </c>
      <c r="AR177" s="1434">
        <f t="shared" si="124"/>
        <v>0</v>
      </c>
      <c r="AS177" s="1434"/>
      <c r="AT177" s="1427">
        <f t="shared" si="194"/>
        <v>1</v>
      </c>
      <c r="AV177" s="1427">
        <f t="shared" si="195"/>
        <v>0</v>
      </c>
      <c r="AW177" s="1427">
        <f t="shared" si="161"/>
        <v>0</v>
      </c>
      <c r="AX177" s="1427">
        <f t="shared" si="196"/>
        <v>0</v>
      </c>
      <c r="AY177" s="1427">
        <f t="shared" si="162"/>
        <v>0</v>
      </c>
      <c r="AZ177" s="1427">
        <f t="shared" si="197"/>
        <v>0</v>
      </c>
      <c r="BA177" s="1427">
        <f t="shared" si="163"/>
        <v>0</v>
      </c>
      <c r="BB177" s="1427">
        <f t="shared" si="198"/>
        <v>0</v>
      </c>
      <c r="BC177" s="1427">
        <f t="shared" si="164"/>
        <v>0</v>
      </c>
      <c r="BD177" s="1436">
        <f t="shared" si="165"/>
        <v>1</v>
      </c>
    </row>
    <row r="178" spans="1:56" ht="75" x14ac:dyDescent="0.3">
      <c r="A178" s="1847" t="s">
        <v>2910</v>
      </c>
      <c r="B178" s="1457"/>
      <c r="C178" s="1458" t="s">
        <v>384</v>
      </c>
      <c r="D178" s="1388" t="s">
        <v>336</v>
      </c>
      <c r="E178" s="1470"/>
      <c r="F178" s="1388" t="s">
        <v>116</v>
      </c>
      <c r="G178" s="1388" t="s">
        <v>2452</v>
      </c>
      <c r="H178" s="1459">
        <v>81517</v>
      </c>
      <c r="I178" s="1444">
        <f t="shared" si="200"/>
        <v>81517</v>
      </c>
      <c r="J178" s="1460"/>
      <c r="K178" s="1460"/>
      <c r="L178" s="1460"/>
      <c r="M178" s="1460"/>
      <c r="N178" s="1463">
        <f t="shared" si="190"/>
        <v>80000</v>
      </c>
      <c r="O178" s="1460">
        <v>80000</v>
      </c>
      <c r="P178" s="1463">
        <f t="shared" si="191"/>
        <v>78550</v>
      </c>
      <c r="Q178" s="1460">
        <f>79000-450</f>
        <v>78550</v>
      </c>
      <c r="R178" s="1454"/>
      <c r="S178" s="1454">
        <f>O178-U178</f>
        <v>1450</v>
      </c>
      <c r="T178" s="1463">
        <f t="shared" si="192"/>
        <v>78550</v>
      </c>
      <c r="U178" s="1460">
        <f>79000-450</f>
        <v>78550</v>
      </c>
      <c r="V178" s="1454"/>
      <c r="W178" s="1454"/>
      <c r="X178" s="1463">
        <f t="shared" si="193"/>
        <v>78550</v>
      </c>
      <c r="Y178" s="1460">
        <f>79000-450</f>
        <v>78550</v>
      </c>
      <c r="Z178" s="1460"/>
      <c r="AA178" s="1460"/>
      <c r="AB178" s="1460">
        <v>78550</v>
      </c>
      <c r="AC178" s="1460">
        <v>78550</v>
      </c>
      <c r="AD178" s="1460"/>
      <c r="AE178" s="1460"/>
      <c r="AF178" s="1383">
        <f t="shared" si="182"/>
        <v>78550</v>
      </c>
      <c r="AG178" s="1383">
        <f t="shared" si="183"/>
        <v>78550</v>
      </c>
      <c r="AH178" s="1383">
        <f t="shared" si="199"/>
        <v>87550</v>
      </c>
      <c r="AI178" s="1383"/>
      <c r="AJ178" s="1383"/>
      <c r="AK178" s="1383">
        <v>24000</v>
      </c>
      <c r="AL178" s="1383">
        <v>60400</v>
      </c>
      <c r="AM178" s="1383">
        <v>3150</v>
      </c>
      <c r="AN178" s="1381"/>
      <c r="AO178" s="1381"/>
      <c r="AP178" s="1431">
        <f t="shared" si="154"/>
        <v>0</v>
      </c>
      <c r="AQ178" s="1431">
        <f t="shared" si="160"/>
        <v>1</v>
      </c>
      <c r="AR178" s="1434">
        <f t="shared" si="124"/>
        <v>0</v>
      </c>
      <c r="AS178" s="1434"/>
      <c r="AT178" s="1427">
        <f t="shared" si="194"/>
        <v>1</v>
      </c>
      <c r="AV178" s="1427">
        <f t="shared" si="195"/>
        <v>0</v>
      </c>
      <c r="AW178" s="1427">
        <f t="shared" si="161"/>
        <v>0</v>
      </c>
      <c r="AX178" s="1427">
        <f t="shared" si="196"/>
        <v>0</v>
      </c>
      <c r="AY178" s="1427">
        <f t="shared" si="162"/>
        <v>0</v>
      </c>
      <c r="AZ178" s="1427">
        <f t="shared" si="197"/>
        <v>0</v>
      </c>
      <c r="BA178" s="1427">
        <f t="shared" si="163"/>
        <v>0</v>
      </c>
      <c r="BB178" s="1427">
        <f t="shared" si="198"/>
        <v>1</v>
      </c>
      <c r="BC178" s="1427">
        <f t="shared" si="164"/>
        <v>1450</v>
      </c>
      <c r="BD178" s="1436">
        <f t="shared" si="165"/>
        <v>1</v>
      </c>
    </row>
    <row r="179" spans="1:56" ht="114" customHeight="1" x14ac:dyDescent="0.3">
      <c r="A179" s="1847" t="s">
        <v>2911</v>
      </c>
      <c r="B179" s="1457"/>
      <c r="C179" s="1458" t="s">
        <v>385</v>
      </c>
      <c r="D179" s="1388" t="s">
        <v>336</v>
      </c>
      <c r="E179" s="1388" t="s">
        <v>386</v>
      </c>
      <c r="F179" s="1388" t="s">
        <v>116</v>
      </c>
      <c r="G179" s="1388" t="s">
        <v>2453</v>
      </c>
      <c r="H179" s="1459">
        <v>18000</v>
      </c>
      <c r="I179" s="1444">
        <f t="shared" si="200"/>
        <v>18000</v>
      </c>
      <c r="J179" s="1460"/>
      <c r="K179" s="1460"/>
      <c r="L179" s="1460"/>
      <c r="M179" s="1460"/>
      <c r="N179" s="1463">
        <f t="shared" si="190"/>
        <v>18000</v>
      </c>
      <c r="O179" s="1460">
        <v>18000</v>
      </c>
      <c r="P179" s="1463">
        <f t="shared" si="191"/>
        <v>18000</v>
      </c>
      <c r="Q179" s="1460">
        <v>18000</v>
      </c>
      <c r="R179" s="1454"/>
      <c r="S179" s="1454"/>
      <c r="T179" s="1463">
        <f t="shared" si="192"/>
        <v>18000</v>
      </c>
      <c r="U179" s="1460">
        <v>18000</v>
      </c>
      <c r="V179" s="1454"/>
      <c r="W179" s="1454"/>
      <c r="X179" s="1463">
        <f t="shared" si="193"/>
        <v>18000</v>
      </c>
      <c r="Y179" s="1460">
        <v>18000</v>
      </c>
      <c r="Z179" s="1460"/>
      <c r="AA179" s="1460"/>
      <c r="AB179" s="1460">
        <v>18000</v>
      </c>
      <c r="AC179" s="1460">
        <v>18000</v>
      </c>
      <c r="AD179" s="1460"/>
      <c r="AE179" s="1460"/>
      <c r="AF179" s="1383">
        <f t="shared" si="182"/>
        <v>18000</v>
      </c>
      <c r="AG179" s="1383">
        <f t="shared" si="183"/>
        <v>18000</v>
      </c>
      <c r="AH179" s="1383">
        <f t="shared" si="199"/>
        <v>17000</v>
      </c>
      <c r="AI179" s="1383"/>
      <c r="AJ179" s="1383"/>
      <c r="AK179" s="1383">
        <v>12000</v>
      </c>
      <c r="AL179" s="1383">
        <v>5000</v>
      </c>
      <c r="AM179" s="1383"/>
      <c r="AN179" s="1464"/>
      <c r="AO179" s="1464"/>
      <c r="AP179" s="1431">
        <f t="shared" si="154"/>
        <v>0</v>
      </c>
      <c r="AQ179" s="1431">
        <f t="shared" si="160"/>
        <v>1</v>
      </c>
      <c r="AR179" s="1434">
        <f t="shared" si="124"/>
        <v>0</v>
      </c>
      <c r="AS179" s="1434"/>
      <c r="AT179" s="1427">
        <f t="shared" si="194"/>
        <v>1</v>
      </c>
      <c r="AV179" s="1427">
        <f t="shared" si="195"/>
        <v>0</v>
      </c>
      <c r="AW179" s="1427">
        <f t="shared" si="161"/>
        <v>0</v>
      </c>
      <c r="AX179" s="1427">
        <f t="shared" si="196"/>
        <v>0</v>
      </c>
      <c r="AY179" s="1427">
        <f t="shared" si="162"/>
        <v>0</v>
      </c>
      <c r="AZ179" s="1427">
        <f t="shared" si="197"/>
        <v>0</v>
      </c>
      <c r="BA179" s="1427">
        <f t="shared" si="163"/>
        <v>0</v>
      </c>
      <c r="BB179" s="1427">
        <f t="shared" si="198"/>
        <v>0</v>
      </c>
      <c r="BC179" s="1427">
        <f t="shared" si="164"/>
        <v>0</v>
      </c>
      <c r="BD179" s="1436">
        <f t="shared" si="165"/>
        <v>1</v>
      </c>
    </row>
    <row r="180" spans="1:56" ht="59.25" customHeight="1" x14ac:dyDescent="0.3">
      <c r="A180" s="1847" t="s">
        <v>2912</v>
      </c>
      <c r="B180" s="1457"/>
      <c r="C180" s="1458" t="s">
        <v>387</v>
      </c>
      <c r="D180" s="1388" t="s">
        <v>336</v>
      </c>
      <c r="E180" s="1471"/>
      <c r="F180" s="1388" t="s">
        <v>290</v>
      </c>
      <c r="G180" s="1388" t="s">
        <v>2454</v>
      </c>
      <c r="H180" s="1459">
        <v>30000</v>
      </c>
      <c r="I180" s="1444">
        <f t="shared" si="200"/>
        <v>30000</v>
      </c>
      <c r="J180" s="1460"/>
      <c r="K180" s="1460"/>
      <c r="L180" s="1460"/>
      <c r="M180" s="1460"/>
      <c r="N180" s="1463">
        <f t="shared" si="190"/>
        <v>30000</v>
      </c>
      <c r="O180" s="1460">
        <v>30000</v>
      </c>
      <c r="P180" s="1463">
        <f t="shared" si="191"/>
        <v>30000</v>
      </c>
      <c r="Q180" s="1460">
        <v>30000</v>
      </c>
      <c r="R180" s="1454"/>
      <c r="S180" s="1454"/>
      <c r="T180" s="1463">
        <f t="shared" si="192"/>
        <v>30000</v>
      </c>
      <c r="U180" s="1460">
        <v>30000</v>
      </c>
      <c r="V180" s="1454"/>
      <c r="W180" s="1454"/>
      <c r="X180" s="1463">
        <f t="shared" si="193"/>
        <v>30000</v>
      </c>
      <c r="Y180" s="1460">
        <v>30000</v>
      </c>
      <c r="Z180" s="1460"/>
      <c r="AA180" s="1460"/>
      <c r="AB180" s="1460">
        <v>30000</v>
      </c>
      <c r="AC180" s="1460">
        <v>30000</v>
      </c>
      <c r="AD180" s="1460"/>
      <c r="AE180" s="1460"/>
      <c r="AF180" s="1383">
        <f t="shared" si="182"/>
        <v>30000</v>
      </c>
      <c r="AG180" s="1383">
        <f t="shared" si="183"/>
        <v>30000</v>
      </c>
      <c r="AH180" s="1383">
        <f t="shared" si="199"/>
        <v>23000</v>
      </c>
      <c r="AI180" s="1383"/>
      <c r="AJ180" s="1383"/>
      <c r="AK180" s="1383"/>
      <c r="AL180" s="1383">
        <v>10000</v>
      </c>
      <c r="AM180" s="1383">
        <v>13000</v>
      </c>
      <c r="AN180" s="1464"/>
      <c r="AO180" s="1464"/>
      <c r="AP180" s="1431">
        <f t="shared" si="154"/>
        <v>0</v>
      </c>
      <c r="AQ180" s="1431">
        <f t="shared" si="160"/>
        <v>1</v>
      </c>
      <c r="AR180" s="1434">
        <f t="shared" si="124"/>
        <v>0</v>
      </c>
      <c r="AS180" s="1434"/>
      <c r="AT180" s="1427">
        <f t="shared" si="194"/>
        <v>1</v>
      </c>
      <c r="AV180" s="1427">
        <f t="shared" si="195"/>
        <v>0</v>
      </c>
      <c r="AW180" s="1427">
        <f t="shared" si="161"/>
        <v>0</v>
      </c>
      <c r="AX180" s="1427">
        <f t="shared" si="196"/>
        <v>0</v>
      </c>
      <c r="AY180" s="1427">
        <f t="shared" si="162"/>
        <v>0</v>
      </c>
      <c r="AZ180" s="1427">
        <f t="shared" si="197"/>
        <v>0</v>
      </c>
      <c r="BA180" s="1427">
        <f t="shared" si="163"/>
        <v>0</v>
      </c>
      <c r="BB180" s="1427">
        <f t="shared" si="198"/>
        <v>0</v>
      </c>
      <c r="BC180" s="1427">
        <f t="shared" si="164"/>
        <v>0</v>
      </c>
      <c r="BD180" s="1436">
        <f t="shared" si="165"/>
        <v>1</v>
      </c>
    </row>
    <row r="181" spans="1:56" ht="61.5" customHeight="1" x14ac:dyDescent="0.3">
      <c r="A181" s="1847" t="s">
        <v>2913</v>
      </c>
      <c r="B181" s="1457" t="s">
        <v>2902</v>
      </c>
      <c r="C181" s="1458" t="s">
        <v>388</v>
      </c>
      <c r="D181" s="1388" t="s">
        <v>176</v>
      </c>
      <c r="E181" s="1471"/>
      <c r="F181" s="1388" t="s">
        <v>290</v>
      </c>
      <c r="G181" s="1388" t="s">
        <v>2455</v>
      </c>
      <c r="H181" s="1459">
        <v>20000</v>
      </c>
      <c r="I181" s="1444">
        <f t="shared" si="200"/>
        <v>20000</v>
      </c>
      <c r="J181" s="1460"/>
      <c r="K181" s="1460"/>
      <c r="L181" s="1460"/>
      <c r="M181" s="1460"/>
      <c r="N181" s="1463">
        <f t="shared" si="190"/>
        <v>19000</v>
      </c>
      <c r="O181" s="1460">
        <v>19000</v>
      </c>
      <c r="P181" s="1463">
        <f t="shared" si="191"/>
        <v>19000</v>
      </c>
      <c r="Q181" s="1460">
        <v>19000</v>
      </c>
      <c r="R181" s="1454"/>
      <c r="S181" s="1454"/>
      <c r="T181" s="1463">
        <f t="shared" si="192"/>
        <v>19000</v>
      </c>
      <c r="U181" s="1460">
        <v>19000</v>
      </c>
      <c r="V181" s="1454"/>
      <c r="W181" s="1454"/>
      <c r="X181" s="1463">
        <f t="shared" si="193"/>
        <v>19000</v>
      </c>
      <c r="Y181" s="1460">
        <v>19000</v>
      </c>
      <c r="Z181" s="1460"/>
      <c r="AA181" s="1460"/>
      <c r="AB181" s="1460">
        <v>18650</v>
      </c>
      <c r="AC181" s="1460">
        <v>18650</v>
      </c>
      <c r="AD181" s="1460"/>
      <c r="AE181" s="1525"/>
      <c r="AF181" s="1383">
        <f t="shared" si="182"/>
        <v>18650</v>
      </c>
      <c r="AG181" s="1383">
        <f t="shared" si="183"/>
        <v>18650</v>
      </c>
      <c r="AH181" s="1383">
        <f t="shared" si="199"/>
        <v>18650</v>
      </c>
      <c r="AI181" s="1383"/>
      <c r="AJ181" s="1383"/>
      <c r="AK181" s="1383"/>
      <c r="AL181" s="1383">
        <v>18500</v>
      </c>
      <c r="AM181" s="1383">
        <f>500-350</f>
        <v>150</v>
      </c>
      <c r="AN181" s="1464"/>
      <c r="AO181" s="1464"/>
      <c r="AP181" s="1431">
        <f t="shared" si="154"/>
        <v>0</v>
      </c>
      <c r="AQ181" s="1431">
        <f t="shared" si="160"/>
        <v>1</v>
      </c>
      <c r="AR181" s="1434">
        <f t="shared" si="124"/>
        <v>0</v>
      </c>
      <c r="AS181" s="1434"/>
      <c r="AT181" s="1427">
        <f t="shared" si="194"/>
        <v>1</v>
      </c>
      <c r="AV181" s="1427">
        <f t="shared" si="195"/>
        <v>0</v>
      </c>
      <c r="AW181" s="1427">
        <f t="shared" si="161"/>
        <v>0</v>
      </c>
      <c r="AX181" s="1427">
        <f t="shared" si="196"/>
        <v>0</v>
      </c>
      <c r="AY181" s="1427">
        <f t="shared" si="162"/>
        <v>0</v>
      </c>
      <c r="AZ181" s="1427">
        <f t="shared" si="197"/>
        <v>0</v>
      </c>
      <c r="BA181" s="1427">
        <f t="shared" si="163"/>
        <v>0</v>
      </c>
      <c r="BB181" s="1427">
        <f t="shared" si="198"/>
        <v>0</v>
      </c>
      <c r="BC181" s="1427">
        <f t="shared" si="164"/>
        <v>0</v>
      </c>
      <c r="BD181" s="1436">
        <f t="shared" si="165"/>
        <v>1</v>
      </c>
    </row>
    <row r="182" spans="1:56" ht="93.75" x14ac:dyDescent="0.3">
      <c r="A182" s="1847" t="s">
        <v>2914</v>
      </c>
      <c r="B182" s="1457" t="s">
        <v>2903</v>
      </c>
      <c r="C182" s="1458" t="s">
        <v>389</v>
      </c>
      <c r="D182" s="1388" t="s">
        <v>70</v>
      </c>
      <c r="E182" s="1388"/>
      <c r="F182" s="1388" t="s">
        <v>116</v>
      </c>
      <c r="G182" s="1388" t="s">
        <v>390</v>
      </c>
      <c r="H182" s="1444">
        <v>23650</v>
      </c>
      <c r="I182" s="1476">
        <v>1450</v>
      </c>
      <c r="J182" s="1460"/>
      <c r="K182" s="1460"/>
      <c r="L182" s="1460"/>
      <c r="M182" s="1460"/>
      <c r="N182" s="1463"/>
      <c r="O182" s="1460"/>
      <c r="P182" s="1463">
        <v>23650</v>
      </c>
      <c r="Q182" s="1460">
        <f>I182</f>
        <v>1450</v>
      </c>
      <c r="R182" s="1454">
        <f>U182</f>
        <v>1450</v>
      </c>
      <c r="S182" s="1454"/>
      <c r="T182" s="1463">
        <v>23650</v>
      </c>
      <c r="U182" s="1460">
        <v>1450</v>
      </c>
      <c r="V182" s="1454"/>
      <c r="W182" s="1454"/>
      <c r="X182" s="1463">
        <v>23650</v>
      </c>
      <c r="Y182" s="1460">
        <v>1450</v>
      </c>
      <c r="Z182" s="1460"/>
      <c r="AA182" s="1460"/>
      <c r="AB182" s="1460">
        <v>20831</v>
      </c>
      <c r="AC182" s="1460">
        <v>1000</v>
      </c>
      <c r="AD182" s="1460"/>
      <c r="AE182" s="1525"/>
      <c r="AF182" s="1383">
        <v>20831</v>
      </c>
      <c r="AG182" s="1383">
        <f t="shared" si="183"/>
        <v>1000</v>
      </c>
      <c r="AH182" s="1383">
        <f t="shared" si="199"/>
        <v>600</v>
      </c>
      <c r="AI182" s="1383"/>
      <c r="AJ182" s="1383"/>
      <c r="AK182" s="1383"/>
      <c r="AL182" s="1383">
        <v>600</v>
      </c>
      <c r="AM182" s="1383"/>
      <c r="AN182" s="1381"/>
      <c r="AO182" s="1381"/>
      <c r="AP182" s="1431">
        <f t="shared" si="154"/>
        <v>0</v>
      </c>
      <c r="AQ182" s="1431">
        <f t="shared" si="160"/>
        <v>1</v>
      </c>
      <c r="AR182" s="1434">
        <f t="shared" si="124"/>
        <v>0</v>
      </c>
      <c r="AS182" s="1434"/>
      <c r="AT182" s="1427">
        <f t="shared" si="194"/>
        <v>1</v>
      </c>
      <c r="AV182" s="1427">
        <f t="shared" si="195"/>
        <v>0</v>
      </c>
      <c r="AW182" s="1427">
        <f t="shared" si="161"/>
        <v>0</v>
      </c>
      <c r="AX182" s="1427">
        <f t="shared" si="196"/>
        <v>1</v>
      </c>
      <c r="AY182" s="1427">
        <f t="shared" si="162"/>
        <v>1450</v>
      </c>
      <c r="BB182" s="1427">
        <f t="shared" si="198"/>
        <v>0</v>
      </c>
      <c r="BC182" s="1427">
        <f t="shared" si="164"/>
        <v>0</v>
      </c>
      <c r="BD182" s="1436">
        <f t="shared" si="165"/>
        <v>1</v>
      </c>
    </row>
    <row r="183" spans="1:56" ht="80.25" customHeight="1" x14ac:dyDescent="0.3">
      <c r="A183" s="1847" t="s">
        <v>2915</v>
      </c>
      <c r="B183" s="1457"/>
      <c r="C183" s="1458" t="s">
        <v>2347</v>
      </c>
      <c r="D183" s="1388" t="s">
        <v>146</v>
      </c>
      <c r="E183" s="1388" t="s">
        <v>2598</v>
      </c>
      <c r="F183" s="1388" t="s">
        <v>290</v>
      </c>
      <c r="G183" s="1388" t="s">
        <v>2557</v>
      </c>
      <c r="H183" s="1444">
        <f>I183</f>
        <v>14945</v>
      </c>
      <c r="I183" s="1476">
        <v>14945</v>
      </c>
      <c r="J183" s="1460"/>
      <c r="K183" s="1460"/>
      <c r="L183" s="1460"/>
      <c r="M183" s="1460"/>
      <c r="N183" s="1463"/>
      <c r="O183" s="1460"/>
      <c r="P183" s="1463"/>
      <c r="Q183" s="1460"/>
      <c r="R183" s="1454"/>
      <c r="S183" s="1454"/>
      <c r="T183" s="1463"/>
      <c r="U183" s="1460"/>
      <c r="V183" s="1454">
        <v>13500</v>
      </c>
      <c r="W183" s="1454"/>
      <c r="X183" s="1463">
        <f>Y183</f>
        <v>13500</v>
      </c>
      <c r="Y183" s="1460">
        <f>V183</f>
        <v>13500</v>
      </c>
      <c r="Z183" s="1460"/>
      <c r="AA183" s="1460"/>
      <c r="AB183" s="1460">
        <v>13500</v>
      </c>
      <c r="AC183" s="1460">
        <v>13500</v>
      </c>
      <c r="AD183" s="1460"/>
      <c r="AE183" s="1460"/>
      <c r="AF183" s="1383">
        <f t="shared" si="182"/>
        <v>13500</v>
      </c>
      <c r="AG183" s="1383">
        <f t="shared" si="183"/>
        <v>13500</v>
      </c>
      <c r="AH183" s="1383">
        <f t="shared" si="199"/>
        <v>13500</v>
      </c>
      <c r="AI183" s="1383"/>
      <c r="AJ183" s="1383"/>
      <c r="AK183" s="1383"/>
      <c r="AL183" s="1383"/>
      <c r="AM183" s="1383">
        <v>13500</v>
      </c>
      <c r="AN183" s="1381"/>
      <c r="AO183" s="1381"/>
      <c r="AP183" s="1431">
        <f t="shared" si="154"/>
        <v>0</v>
      </c>
      <c r="AQ183" s="1431">
        <f t="shared" si="160"/>
        <v>1</v>
      </c>
      <c r="AR183" s="1434"/>
      <c r="AS183" s="1434"/>
      <c r="BD183" s="1436">
        <f t="shared" si="165"/>
        <v>1</v>
      </c>
    </row>
    <row r="184" spans="1:56" ht="39" x14ac:dyDescent="0.3">
      <c r="A184" s="1827" t="s">
        <v>2916</v>
      </c>
      <c r="B184" s="1827" t="s">
        <v>2916</v>
      </c>
      <c r="C184" s="1446" t="s">
        <v>138</v>
      </c>
      <c r="D184" s="1470"/>
      <c r="E184" s="1470"/>
      <c r="F184" s="1471"/>
      <c r="G184" s="1471"/>
      <c r="H184" s="1485">
        <f>SUM(H185:H187)</f>
        <v>199279</v>
      </c>
      <c r="I184" s="1485">
        <f t="shared" ref="I184:Y184" si="201">SUM(I185:I187)</f>
        <v>202279</v>
      </c>
      <c r="J184" s="1485">
        <f t="shared" si="201"/>
        <v>0</v>
      </c>
      <c r="K184" s="1485">
        <f t="shared" si="201"/>
        <v>0</v>
      </c>
      <c r="L184" s="1485">
        <f t="shared" si="201"/>
        <v>0</v>
      </c>
      <c r="M184" s="1485">
        <f t="shared" si="201"/>
        <v>0</v>
      </c>
      <c r="N184" s="1485">
        <f t="shared" si="201"/>
        <v>5080</v>
      </c>
      <c r="O184" s="1485">
        <f t="shared" si="201"/>
        <v>5080</v>
      </c>
      <c r="P184" s="1485">
        <f t="shared" si="201"/>
        <v>103000</v>
      </c>
      <c r="Q184" s="1485">
        <f t="shared" si="201"/>
        <v>103000</v>
      </c>
      <c r="R184" s="1485">
        <f t="shared" si="201"/>
        <v>72920</v>
      </c>
      <c r="S184" s="1485">
        <f t="shared" si="201"/>
        <v>0</v>
      </c>
      <c r="T184" s="1485">
        <f t="shared" si="201"/>
        <v>78000</v>
      </c>
      <c r="U184" s="1485">
        <f t="shared" si="201"/>
        <v>78000</v>
      </c>
      <c r="V184" s="1485">
        <f t="shared" si="201"/>
        <v>90000</v>
      </c>
      <c r="W184" s="1485">
        <f t="shared" si="201"/>
        <v>0</v>
      </c>
      <c r="X184" s="1485">
        <f t="shared" si="201"/>
        <v>168000</v>
      </c>
      <c r="Y184" s="1485">
        <f t="shared" si="201"/>
        <v>168000</v>
      </c>
      <c r="Z184" s="1486"/>
      <c r="AA184" s="1486"/>
      <c r="AB184" s="1485">
        <v>150401</v>
      </c>
      <c r="AC184" s="1485">
        <v>150401</v>
      </c>
      <c r="AD184" s="1485">
        <f t="shared" ref="AD184:AM184" si="202">SUM(AD185:AD187)</f>
        <v>0</v>
      </c>
      <c r="AE184" s="1528">
        <f t="shared" si="202"/>
        <v>0</v>
      </c>
      <c r="AF184" s="1485">
        <f t="shared" si="202"/>
        <v>150401</v>
      </c>
      <c r="AG184" s="1485">
        <f t="shared" si="202"/>
        <v>150401</v>
      </c>
      <c r="AH184" s="1485">
        <f t="shared" si="202"/>
        <v>150401</v>
      </c>
      <c r="AI184" s="1485">
        <f t="shared" si="202"/>
        <v>0</v>
      </c>
      <c r="AJ184" s="1485">
        <f t="shared" si="202"/>
        <v>131</v>
      </c>
      <c r="AK184" s="1485">
        <f t="shared" si="202"/>
        <v>135</v>
      </c>
      <c r="AL184" s="1485">
        <f t="shared" si="202"/>
        <v>20135</v>
      </c>
      <c r="AM184" s="1485">
        <f t="shared" si="202"/>
        <v>130000</v>
      </c>
      <c r="AN184" s="1473"/>
      <c r="AO184" s="1473"/>
      <c r="AP184" s="1431">
        <f t="shared" si="154"/>
        <v>0</v>
      </c>
      <c r="AQ184" s="1431">
        <f t="shared" si="160"/>
        <v>1</v>
      </c>
      <c r="AR184" s="1434"/>
      <c r="AS184" s="1434"/>
      <c r="AW184" s="1427">
        <f>IF(AV184=1,O184,0)</f>
        <v>0</v>
      </c>
      <c r="AY184" s="1427">
        <f>IF(AX184=1,Q184,0)</f>
        <v>0</v>
      </c>
      <c r="BA184" s="1427">
        <f>IF(AZ184=1,R184,0)</f>
        <v>0</v>
      </c>
      <c r="BC184" s="1427">
        <f>IF(BB184=1,S184,0)</f>
        <v>0</v>
      </c>
      <c r="BD184" s="1436">
        <f t="shared" si="165"/>
        <v>1</v>
      </c>
    </row>
    <row r="185" spans="1:56" ht="140.25" customHeight="1" x14ac:dyDescent="0.3">
      <c r="A185" s="1847" t="s">
        <v>2917</v>
      </c>
      <c r="B185" s="1847" t="s">
        <v>2917</v>
      </c>
      <c r="C185" s="1458" t="s">
        <v>392</v>
      </c>
      <c r="D185" s="1388" t="s">
        <v>176</v>
      </c>
      <c r="E185" s="1388" t="s">
        <v>393</v>
      </c>
      <c r="F185" s="1388" t="s">
        <v>394</v>
      </c>
      <c r="G185" s="1388" t="s">
        <v>395</v>
      </c>
      <c r="H185" s="1443"/>
      <c r="I185" s="1444">
        <v>3000</v>
      </c>
      <c r="J185" s="1460"/>
      <c r="K185" s="1460"/>
      <c r="L185" s="1460"/>
      <c r="M185" s="1460"/>
      <c r="N185" s="1463">
        <f>O185</f>
        <v>3000</v>
      </c>
      <c r="O185" s="1460">
        <v>3000</v>
      </c>
      <c r="P185" s="1463">
        <f>Q185</f>
        <v>3000</v>
      </c>
      <c r="Q185" s="1460">
        <v>3000</v>
      </c>
      <c r="R185" s="1454"/>
      <c r="S185" s="1454"/>
      <c r="T185" s="1463">
        <f>U185</f>
        <v>3000</v>
      </c>
      <c r="U185" s="1460">
        <v>3000</v>
      </c>
      <c r="V185" s="1454"/>
      <c r="W185" s="1454"/>
      <c r="X185" s="1463">
        <f>Y185</f>
        <v>3000</v>
      </c>
      <c r="Y185" s="1460">
        <v>3000</v>
      </c>
      <c r="Z185" s="1460"/>
      <c r="AA185" s="1460"/>
      <c r="AB185" s="1460">
        <v>401</v>
      </c>
      <c r="AC185" s="1460">
        <v>401</v>
      </c>
      <c r="AD185" s="1460"/>
      <c r="AE185" s="1525"/>
      <c r="AF185" s="1383">
        <f t="shared" si="182"/>
        <v>401</v>
      </c>
      <c r="AG185" s="1383">
        <f t="shared" si="183"/>
        <v>401</v>
      </c>
      <c r="AH185" s="1383">
        <f t="shared" si="199"/>
        <v>401</v>
      </c>
      <c r="AI185" s="1383"/>
      <c r="AJ185" s="1383">
        <v>131</v>
      </c>
      <c r="AK185" s="1383">
        <v>135</v>
      </c>
      <c r="AL185" s="1383">
        <v>135</v>
      </c>
      <c r="AM185" s="1383">
        <f>2599-2599</f>
        <v>0</v>
      </c>
      <c r="AN185" s="1381"/>
      <c r="AO185" s="1381"/>
      <c r="AP185" s="1431">
        <f t="shared" si="154"/>
        <v>0</v>
      </c>
      <c r="AQ185" s="1431">
        <f t="shared" si="160"/>
        <v>1</v>
      </c>
      <c r="AR185" s="1434">
        <f t="shared" ref="AR185:AR216" si="203">AP185</f>
        <v>0</v>
      </c>
      <c r="AS185" s="1434"/>
      <c r="AT185" s="1427">
        <f>IF(AP185=0,1,0)</f>
        <v>1</v>
      </c>
      <c r="AV185" s="1427">
        <f>IF(Q185=0,1,0)</f>
        <v>0</v>
      </c>
      <c r="AW185" s="1427">
        <f>IF(AV185=1,O185,0)</f>
        <v>0</v>
      </c>
      <c r="AX185" s="1427">
        <f>IF(O185=0,1,0)</f>
        <v>0</v>
      </c>
      <c r="AY185" s="1427">
        <f>IF(AX185=1,Q185,0)</f>
        <v>0</v>
      </c>
      <c r="AZ185" s="1427">
        <f>IF(R185=0,0,1)</f>
        <v>0</v>
      </c>
      <c r="BA185" s="1427">
        <f>IF(AZ185=1,R185,0)</f>
        <v>0</v>
      </c>
      <c r="BB185" s="1427">
        <f>IF(S185=0,0,1)</f>
        <v>0</v>
      </c>
      <c r="BC185" s="1427">
        <f>IF(BB185=1,S185,0)</f>
        <v>0</v>
      </c>
      <c r="BD185" s="1436">
        <f t="shared" si="165"/>
        <v>1</v>
      </c>
    </row>
    <row r="186" spans="1:56" ht="55.5" customHeight="1" x14ac:dyDescent="0.3">
      <c r="A186" s="1847" t="s">
        <v>2918</v>
      </c>
      <c r="B186" s="1847" t="s">
        <v>2918</v>
      </c>
      <c r="C186" s="1442" t="s">
        <v>397</v>
      </c>
      <c r="D186" s="1388" t="s">
        <v>336</v>
      </c>
      <c r="E186" s="1388" t="s">
        <v>398</v>
      </c>
      <c r="F186" s="1388" t="s">
        <v>151</v>
      </c>
      <c r="G186" s="1388"/>
      <c r="H186" s="1444">
        <f>I186</f>
        <v>99279</v>
      </c>
      <c r="I186" s="1444">
        <v>99279</v>
      </c>
      <c r="J186" s="1460"/>
      <c r="K186" s="1460"/>
      <c r="L186" s="1460"/>
      <c r="M186" s="1460"/>
      <c r="N186" s="1463">
        <f>O186</f>
        <v>2080</v>
      </c>
      <c r="O186" s="1460">
        <v>2080</v>
      </c>
      <c r="P186" s="1463">
        <f>Q186</f>
        <v>100000</v>
      </c>
      <c r="Q186" s="1460">
        <v>100000</v>
      </c>
      <c r="R186" s="1454">
        <f>U186-O186</f>
        <v>72920</v>
      </c>
      <c r="S186" s="1454"/>
      <c r="T186" s="1474">
        <f>U186</f>
        <v>75000</v>
      </c>
      <c r="U186" s="1467">
        <v>75000</v>
      </c>
      <c r="V186" s="1454"/>
      <c r="W186" s="1454"/>
      <c r="X186" s="1474">
        <f>Y186</f>
        <v>75000</v>
      </c>
      <c r="Y186" s="1467">
        <v>75000</v>
      </c>
      <c r="Z186" s="1460"/>
      <c r="AA186" s="1460"/>
      <c r="AB186" s="1460">
        <v>60000</v>
      </c>
      <c r="AC186" s="1460">
        <v>60000</v>
      </c>
      <c r="AD186" s="1460"/>
      <c r="AE186" s="1525"/>
      <c r="AF186" s="1383">
        <f t="shared" si="182"/>
        <v>60000</v>
      </c>
      <c r="AG186" s="1383">
        <f t="shared" si="183"/>
        <v>60000</v>
      </c>
      <c r="AH186" s="1383">
        <f t="shared" si="199"/>
        <v>60000</v>
      </c>
      <c r="AI186" s="1383"/>
      <c r="AJ186" s="1383"/>
      <c r="AK186" s="1383"/>
      <c r="AL186" s="1383">
        <v>20000</v>
      </c>
      <c r="AM186" s="1383">
        <f>55000-15000</f>
        <v>40000</v>
      </c>
      <c r="AN186" s="1381"/>
      <c r="AO186" s="1381"/>
      <c r="AP186" s="1431">
        <f t="shared" si="154"/>
        <v>0</v>
      </c>
      <c r="AQ186" s="1431">
        <f t="shared" ref="AQ186:AQ217" si="204">IF(Y186=0,0,1)</f>
        <v>1</v>
      </c>
      <c r="AR186" s="1434">
        <f t="shared" si="203"/>
        <v>0</v>
      </c>
      <c r="AS186" s="1434"/>
      <c r="AT186" s="1427">
        <f>IF(AP186=0,1,0)</f>
        <v>1</v>
      </c>
      <c r="AV186" s="1427">
        <f>IF(Q186=0,1,0)</f>
        <v>0</v>
      </c>
      <c r="AW186" s="1427">
        <f>IF(AV186=1,O186,0)</f>
        <v>0</v>
      </c>
      <c r="AX186" s="1427">
        <f>IF(O186=0,1,0)</f>
        <v>0</v>
      </c>
      <c r="AY186" s="1427">
        <f>IF(AX186=1,Q186,0)</f>
        <v>0</v>
      </c>
      <c r="AZ186" s="1427">
        <f>IF(R186=0,0,1)</f>
        <v>1</v>
      </c>
      <c r="BA186" s="1427">
        <f>IF(AZ186=1,R186,0)</f>
        <v>72920</v>
      </c>
      <c r="BB186" s="1427">
        <f>IF(S186=0,0,1)</f>
        <v>0</v>
      </c>
      <c r="BC186" s="1427">
        <f>IF(BB186=1,S186,0)</f>
        <v>0</v>
      </c>
      <c r="BD186" s="1436">
        <f t="shared" ref="BD186:BD217" si="205">IF(I186-Y186&gt;=0,1,0)</f>
        <v>1</v>
      </c>
    </row>
    <row r="187" spans="1:56" ht="81" customHeight="1" x14ac:dyDescent="0.3">
      <c r="A187" s="1847" t="s">
        <v>2919</v>
      </c>
      <c r="B187" s="1457"/>
      <c r="C187" s="1458" t="s">
        <v>2323</v>
      </c>
      <c r="D187" s="1388" t="s">
        <v>176</v>
      </c>
      <c r="E187" s="1388"/>
      <c r="F187" s="1388" t="s">
        <v>168</v>
      </c>
      <c r="G187" s="1388" t="s">
        <v>2569</v>
      </c>
      <c r="H187" s="1444">
        <f>I187</f>
        <v>100000</v>
      </c>
      <c r="I187" s="1476">
        <v>100000</v>
      </c>
      <c r="J187" s="1460"/>
      <c r="K187" s="1460"/>
      <c r="L187" s="1460"/>
      <c r="M187" s="1460"/>
      <c r="N187" s="1463"/>
      <c r="O187" s="1460"/>
      <c r="P187" s="1463"/>
      <c r="Q187" s="1460"/>
      <c r="R187" s="1454"/>
      <c r="S187" s="1454"/>
      <c r="T187" s="1463"/>
      <c r="U187" s="1460"/>
      <c r="V187" s="1454">
        <v>90000</v>
      </c>
      <c r="W187" s="1454"/>
      <c r="X187" s="1463">
        <f>Y187</f>
        <v>90000</v>
      </c>
      <c r="Y187" s="1460">
        <f>V187</f>
        <v>90000</v>
      </c>
      <c r="Z187" s="1460"/>
      <c r="AA187" s="1460"/>
      <c r="AB187" s="1460">
        <v>90000</v>
      </c>
      <c r="AC187" s="1460">
        <v>90000</v>
      </c>
      <c r="AD187" s="1460"/>
      <c r="AE187" s="1460"/>
      <c r="AF187" s="1383">
        <f t="shared" si="182"/>
        <v>90000</v>
      </c>
      <c r="AG187" s="1383">
        <f t="shared" si="183"/>
        <v>90000</v>
      </c>
      <c r="AH187" s="1383">
        <f t="shared" si="199"/>
        <v>90000</v>
      </c>
      <c r="AI187" s="1383"/>
      <c r="AJ187" s="1383"/>
      <c r="AK187" s="1383"/>
      <c r="AL187" s="1383"/>
      <c r="AM187" s="1383">
        <v>90000</v>
      </c>
      <c r="AN187" s="1381"/>
      <c r="AO187" s="1381"/>
      <c r="AP187" s="1431">
        <f t="shared" si="154"/>
        <v>0</v>
      </c>
      <c r="AQ187" s="1431">
        <f t="shared" si="204"/>
        <v>1</v>
      </c>
      <c r="AR187" s="1434"/>
      <c r="AS187" s="1434"/>
      <c r="BD187" s="1436">
        <f t="shared" si="205"/>
        <v>1</v>
      </c>
    </row>
    <row r="188" spans="1:56" s="1858" customFormat="1" ht="49.5" customHeight="1" x14ac:dyDescent="0.25">
      <c r="A188" s="1846">
        <v>4</v>
      </c>
      <c r="B188" s="1846">
        <v>4</v>
      </c>
      <c r="C188" s="1438" t="s">
        <v>400</v>
      </c>
      <c r="D188" s="1381"/>
      <c r="E188" s="1381"/>
      <c r="F188" s="1381"/>
      <c r="G188" s="1381"/>
      <c r="H188" s="1439">
        <f>H189+H197</f>
        <v>596695</v>
      </c>
      <c r="I188" s="1439">
        <f t="shared" ref="I188:U188" si="206">I189+I197</f>
        <v>530695</v>
      </c>
      <c r="J188" s="1439">
        <f t="shared" si="206"/>
        <v>68340</v>
      </c>
      <c r="K188" s="1439">
        <f t="shared" si="206"/>
        <v>68340</v>
      </c>
      <c r="L188" s="1439">
        <f t="shared" si="206"/>
        <v>68340</v>
      </c>
      <c r="M188" s="1439">
        <f t="shared" si="206"/>
        <v>68340</v>
      </c>
      <c r="N188" s="1439">
        <f t="shared" si="206"/>
        <v>267500.40000000002</v>
      </c>
      <c r="O188" s="1439">
        <f t="shared" si="206"/>
        <v>267500.40000000002</v>
      </c>
      <c r="P188" s="1439">
        <f t="shared" si="206"/>
        <v>328240</v>
      </c>
      <c r="Q188" s="1439">
        <f t="shared" si="206"/>
        <v>285040</v>
      </c>
      <c r="R188" s="1439">
        <f t="shared" si="206"/>
        <v>61850</v>
      </c>
      <c r="S188" s="1439">
        <f t="shared" si="206"/>
        <v>16810.400000000001</v>
      </c>
      <c r="T188" s="1439">
        <f t="shared" si="206"/>
        <v>355740</v>
      </c>
      <c r="U188" s="1439">
        <f t="shared" si="206"/>
        <v>312540</v>
      </c>
      <c r="V188" s="1439">
        <f>V189+V197</f>
        <v>25120</v>
      </c>
      <c r="W188" s="1439">
        <f t="shared" ref="W188:Y188" si="207">W189+W197</f>
        <v>13000</v>
      </c>
      <c r="X188" s="1439">
        <f t="shared" si="207"/>
        <v>383860</v>
      </c>
      <c r="Y188" s="1439">
        <f t="shared" si="207"/>
        <v>322660</v>
      </c>
      <c r="Z188" s="1439">
        <v>0</v>
      </c>
      <c r="AA188" s="1439">
        <v>0</v>
      </c>
      <c r="AB188" s="1439">
        <v>363358</v>
      </c>
      <c r="AC188" s="1439">
        <v>302158</v>
      </c>
      <c r="AD188" s="1439">
        <f t="shared" ref="AD188:AM188" si="208">AD189+AD197</f>
        <v>3300</v>
      </c>
      <c r="AE188" s="1856">
        <f t="shared" si="208"/>
        <v>0</v>
      </c>
      <c r="AF188" s="1439">
        <f t="shared" si="208"/>
        <v>366658</v>
      </c>
      <c r="AG188" s="1439">
        <f t="shared" si="208"/>
        <v>305458</v>
      </c>
      <c r="AH188" s="1439">
        <f t="shared" si="208"/>
        <v>295015</v>
      </c>
      <c r="AI188" s="1439">
        <f t="shared" si="208"/>
        <v>87639</v>
      </c>
      <c r="AJ188" s="1439">
        <f t="shared" si="208"/>
        <v>65550</v>
      </c>
      <c r="AK188" s="1439">
        <f t="shared" si="208"/>
        <v>57400</v>
      </c>
      <c r="AL188" s="1439">
        <f t="shared" si="208"/>
        <v>45362</v>
      </c>
      <c r="AM188" s="1439">
        <f t="shared" si="208"/>
        <v>39064</v>
      </c>
      <c r="AN188" s="1440"/>
      <c r="AO188" s="1440"/>
      <c r="AP188" s="1431">
        <f t="shared" si="154"/>
        <v>1</v>
      </c>
      <c r="AQ188" s="1431">
        <f t="shared" si="204"/>
        <v>1</v>
      </c>
      <c r="AR188" s="1434">
        <f>U188+V188-W188</f>
        <v>324660</v>
      </c>
      <c r="AS188" s="1434">
        <f>AJ199+AJ202+AJ203+AJ204+AJ205+AJ207+AJ208</f>
        <v>65550</v>
      </c>
      <c r="AT188" s="1435">
        <f>U188+V188-W188</f>
        <v>324660</v>
      </c>
      <c r="AU188" s="1427"/>
      <c r="AV188" s="1427"/>
      <c r="AW188" s="1427">
        <f t="shared" ref="AW188:AW223" si="209">IF(AV188=1,O188,0)</f>
        <v>0</v>
      </c>
      <c r="AX188" s="1427"/>
      <c r="AY188" s="1427">
        <f t="shared" ref="AY188:AY223" si="210">IF(AX188=1,Q188,0)</f>
        <v>0</v>
      </c>
      <c r="AZ188" s="1427"/>
      <c r="BA188" s="1427">
        <f t="shared" ref="BA188:BA215" si="211">IF(AZ188=1,R188,0)</f>
        <v>0</v>
      </c>
      <c r="BB188" s="1427"/>
      <c r="BC188" s="1427">
        <f t="shared" ref="BC188:BC223" si="212">IF(BB188=1,S188,0)</f>
        <v>0</v>
      </c>
      <c r="BD188" s="1857">
        <f t="shared" si="205"/>
        <v>1</v>
      </c>
    </row>
    <row r="189" spans="1:56" ht="63" customHeight="1" x14ac:dyDescent="0.3">
      <c r="A189" s="1827" t="s">
        <v>2920</v>
      </c>
      <c r="B189" s="1827"/>
      <c r="C189" s="1446" t="s">
        <v>46</v>
      </c>
      <c r="D189" s="1447"/>
      <c r="E189" s="1447"/>
      <c r="F189" s="1448"/>
      <c r="G189" s="1448"/>
      <c r="H189" s="1449">
        <f>H190</f>
        <v>140596</v>
      </c>
      <c r="I189" s="1449">
        <f t="shared" ref="I189:AM189" si="213">I190</f>
        <v>140596</v>
      </c>
      <c r="J189" s="1449">
        <f t="shared" si="213"/>
        <v>68340</v>
      </c>
      <c r="K189" s="1449">
        <f t="shared" si="213"/>
        <v>68340</v>
      </c>
      <c r="L189" s="1449">
        <f t="shared" si="213"/>
        <v>68340</v>
      </c>
      <c r="M189" s="1449">
        <f t="shared" si="213"/>
        <v>68340</v>
      </c>
      <c r="N189" s="1449">
        <f t="shared" si="213"/>
        <v>39950</v>
      </c>
      <c r="O189" s="1449">
        <f t="shared" si="213"/>
        <v>39950</v>
      </c>
      <c r="P189" s="1449">
        <f t="shared" si="213"/>
        <v>28460</v>
      </c>
      <c r="Q189" s="1449">
        <f t="shared" si="213"/>
        <v>28460</v>
      </c>
      <c r="R189" s="1449">
        <f t="shared" si="213"/>
        <v>0</v>
      </c>
      <c r="S189" s="1449">
        <f t="shared" si="213"/>
        <v>11490</v>
      </c>
      <c r="T189" s="1449">
        <f t="shared" si="213"/>
        <v>28460</v>
      </c>
      <c r="U189" s="1449">
        <f t="shared" si="213"/>
        <v>28460</v>
      </c>
      <c r="V189" s="1449">
        <f t="shared" si="213"/>
        <v>0</v>
      </c>
      <c r="W189" s="1449">
        <f t="shared" si="213"/>
        <v>0</v>
      </c>
      <c r="X189" s="1449">
        <f t="shared" si="213"/>
        <v>28460</v>
      </c>
      <c r="Y189" s="1449">
        <f t="shared" si="213"/>
        <v>28460</v>
      </c>
      <c r="Z189" s="1439">
        <v>0</v>
      </c>
      <c r="AA189" s="1439">
        <v>0</v>
      </c>
      <c r="AB189" s="1439">
        <v>28460</v>
      </c>
      <c r="AC189" s="1439">
        <v>28460</v>
      </c>
      <c r="AD189" s="1439">
        <f t="shared" si="213"/>
        <v>0</v>
      </c>
      <c r="AE189" s="1439">
        <f t="shared" si="213"/>
        <v>0</v>
      </c>
      <c r="AF189" s="1439">
        <f t="shared" si="213"/>
        <v>28460</v>
      </c>
      <c r="AG189" s="1439">
        <f t="shared" si="213"/>
        <v>28460</v>
      </c>
      <c r="AH189" s="1439">
        <f t="shared" si="213"/>
        <v>24109</v>
      </c>
      <c r="AI189" s="1439">
        <f t="shared" si="213"/>
        <v>24109</v>
      </c>
      <c r="AJ189" s="1439">
        <f t="shared" si="213"/>
        <v>0</v>
      </c>
      <c r="AK189" s="1439">
        <f t="shared" si="213"/>
        <v>0</v>
      </c>
      <c r="AL189" s="1439">
        <f t="shared" si="213"/>
        <v>0</v>
      </c>
      <c r="AM189" s="1439">
        <f t="shared" si="213"/>
        <v>0</v>
      </c>
      <c r="AN189" s="1450"/>
      <c r="AO189" s="1450"/>
      <c r="AP189" s="1431">
        <f t="shared" si="154"/>
        <v>0</v>
      </c>
      <c r="AQ189" s="1431">
        <f t="shared" si="204"/>
        <v>1</v>
      </c>
      <c r="AR189" s="1434"/>
      <c r="AS189" s="1434"/>
      <c r="AW189" s="1427">
        <f t="shared" si="209"/>
        <v>0</v>
      </c>
      <c r="AY189" s="1427">
        <f t="shared" si="210"/>
        <v>0</v>
      </c>
      <c r="BA189" s="1427">
        <f t="shared" si="211"/>
        <v>0</v>
      </c>
      <c r="BC189" s="1427">
        <f t="shared" si="212"/>
        <v>0</v>
      </c>
      <c r="BD189" s="1436">
        <f t="shared" si="205"/>
        <v>1</v>
      </c>
    </row>
    <row r="190" spans="1:56" ht="43.5" customHeight="1" x14ac:dyDescent="0.3">
      <c r="A190" s="1826"/>
      <c r="B190" s="1826"/>
      <c r="C190" s="1446" t="s">
        <v>48</v>
      </c>
      <c r="D190" s="1447"/>
      <c r="E190" s="1447"/>
      <c r="F190" s="1448"/>
      <c r="G190" s="1448"/>
      <c r="H190" s="1449">
        <f t="shared" ref="H190:W190" si="214">SUM(H193:H196)</f>
        <v>140596</v>
      </c>
      <c r="I190" s="1449">
        <f t="shared" si="214"/>
        <v>140596</v>
      </c>
      <c r="J190" s="1449">
        <f t="shared" si="214"/>
        <v>68340</v>
      </c>
      <c r="K190" s="1449">
        <f t="shared" si="214"/>
        <v>68340</v>
      </c>
      <c r="L190" s="1449">
        <f t="shared" si="214"/>
        <v>68340</v>
      </c>
      <c r="M190" s="1449">
        <f t="shared" si="214"/>
        <v>68340</v>
      </c>
      <c r="N190" s="1449">
        <f t="shared" si="214"/>
        <v>39950</v>
      </c>
      <c r="O190" s="1449">
        <f t="shared" si="214"/>
        <v>39950</v>
      </c>
      <c r="P190" s="1449">
        <f t="shared" si="214"/>
        <v>28460</v>
      </c>
      <c r="Q190" s="1449">
        <f t="shared" si="214"/>
        <v>28460</v>
      </c>
      <c r="R190" s="1449">
        <f t="shared" si="214"/>
        <v>0</v>
      </c>
      <c r="S190" s="1449">
        <f t="shared" si="214"/>
        <v>11490</v>
      </c>
      <c r="T190" s="1449">
        <f t="shared" si="214"/>
        <v>28460</v>
      </c>
      <c r="U190" s="1449">
        <f t="shared" si="214"/>
        <v>28460</v>
      </c>
      <c r="V190" s="1449">
        <f t="shared" si="214"/>
        <v>0</v>
      </c>
      <c r="W190" s="1449">
        <f t="shared" si="214"/>
        <v>0</v>
      </c>
      <c r="X190" s="1449">
        <f>SUM(X193:X196)</f>
        <v>28460</v>
      </c>
      <c r="Y190" s="1449">
        <f>SUM(Y193:Y196)</f>
        <v>28460</v>
      </c>
      <c r="Z190" s="1439">
        <v>0</v>
      </c>
      <c r="AA190" s="1439">
        <v>0</v>
      </c>
      <c r="AB190" s="1449">
        <v>28460</v>
      </c>
      <c r="AC190" s="1449">
        <v>28460</v>
      </c>
      <c r="AD190" s="1449">
        <f t="shared" ref="AD190:AM190" si="215">SUM(AD193:AD196)</f>
        <v>0</v>
      </c>
      <c r="AE190" s="1449">
        <f t="shared" si="215"/>
        <v>0</v>
      </c>
      <c r="AF190" s="1449">
        <f t="shared" si="215"/>
        <v>28460</v>
      </c>
      <c r="AG190" s="1449">
        <f t="shared" si="215"/>
        <v>28460</v>
      </c>
      <c r="AH190" s="1449">
        <f t="shared" si="215"/>
        <v>24109</v>
      </c>
      <c r="AI190" s="1449">
        <f t="shared" si="215"/>
        <v>24109</v>
      </c>
      <c r="AJ190" s="1449">
        <f t="shared" si="215"/>
        <v>0</v>
      </c>
      <c r="AK190" s="1449">
        <f t="shared" si="215"/>
        <v>0</v>
      </c>
      <c r="AL190" s="1449">
        <f t="shared" si="215"/>
        <v>0</v>
      </c>
      <c r="AM190" s="1449">
        <f t="shared" si="215"/>
        <v>0</v>
      </c>
      <c r="AN190" s="1450"/>
      <c r="AO190" s="1450"/>
      <c r="AP190" s="1431">
        <f t="shared" si="154"/>
        <v>0</v>
      </c>
      <c r="AQ190" s="1431">
        <f t="shared" si="204"/>
        <v>1</v>
      </c>
      <c r="AR190" s="1434"/>
      <c r="AS190" s="1434"/>
      <c r="AW190" s="1427">
        <f t="shared" si="209"/>
        <v>0</v>
      </c>
      <c r="AY190" s="1427">
        <f t="shared" si="210"/>
        <v>0</v>
      </c>
      <c r="BA190" s="1427">
        <f t="shared" si="211"/>
        <v>0</v>
      </c>
      <c r="BC190" s="1427">
        <f t="shared" si="212"/>
        <v>0</v>
      </c>
      <c r="BD190" s="1436">
        <f t="shared" si="205"/>
        <v>1</v>
      </c>
    </row>
    <row r="191" spans="1:56" ht="22.5" customHeight="1" x14ac:dyDescent="0.3">
      <c r="A191" s="1825"/>
      <c r="B191" s="1451"/>
      <c r="C191" s="1446" t="s">
        <v>49</v>
      </c>
      <c r="D191" s="1452"/>
      <c r="E191" s="1452"/>
      <c r="F191" s="1381"/>
      <c r="G191" s="1381"/>
      <c r="H191" s="1453"/>
      <c r="I191" s="1453"/>
      <c r="J191" s="1453"/>
      <c r="K191" s="1453"/>
      <c r="L191" s="1453"/>
      <c r="M191" s="1453"/>
      <c r="N191" s="1453"/>
      <c r="O191" s="1453"/>
      <c r="P191" s="1453"/>
      <c r="Q191" s="1453"/>
      <c r="R191" s="1454"/>
      <c r="S191" s="1454"/>
      <c r="T191" s="1453"/>
      <c r="U191" s="1453"/>
      <c r="V191" s="1454"/>
      <c r="W191" s="1454"/>
      <c r="X191" s="1453"/>
      <c r="Y191" s="1453"/>
      <c r="Z191" s="1383"/>
      <c r="AA191" s="1383"/>
      <c r="AB191" s="1383">
        <v>0</v>
      </c>
      <c r="AC191" s="1383">
        <v>0</v>
      </c>
      <c r="AD191" s="1383"/>
      <c r="AE191" s="1383"/>
      <c r="AF191" s="1383">
        <f t="shared" si="182"/>
        <v>0</v>
      </c>
      <c r="AG191" s="1383">
        <f t="shared" si="183"/>
        <v>0</v>
      </c>
      <c r="AH191" s="1383">
        <f t="shared" si="199"/>
        <v>0</v>
      </c>
      <c r="AI191" s="1383"/>
      <c r="AJ191" s="1383"/>
      <c r="AK191" s="1383"/>
      <c r="AL191" s="1383"/>
      <c r="AM191" s="1383"/>
      <c r="AN191" s="1455"/>
      <c r="AO191" s="1455"/>
      <c r="AP191" s="1431">
        <f t="shared" si="154"/>
        <v>0</v>
      </c>
      <c r="AQ191" s="1431">
        <f t="shared" si="204"/>
        <v>0</v>
      </c>
      <c r="AR191" s="1434"/>
      <c r="AS191" s="1434"/>
      <c r="AW191" s="1427">
        <f t="shared" si="209"/>
        <v>0</v>
      </c>
      <c r="AY191" s="1427">
        <f t="shared" si="210"/>
        <v>0</v>
      </c>
      <c r="BA191" s="1427">
        <f t="shared" si="211"/>
        <v>0</v>
      </c>
      <c r="BC191" s="1427">
        <f t="shared" si="212"/>
        <v>0</v>
      </c>
      <c r="BD191" s="1436">
        <f t="shared" si="205"/>
        <v>1</v>
      </c>
    </row>
    <row r="192" spans="1:56" ht="78" x14ac:dyDescent="0.3">
      <c r="A192" s="1451" t="s">
        <v>2921</v>
      </c>
      <c r="B192" s="1451"/>
      <c r="C192" s="1456" t="s">
        <v>50</v>
      </c>
      <c r="D192" s="1447"/>
      <c r="E192" s="1447"/>
      <c r="F192" s="1448"/>
      <c r="G192" s="1448"/>
      <c r="H192" s="1449"/>
      <c r="I192" s="1449"/>
      <c r="J192" s="1449"/>
      <c r="K192" s="1449"/>
      <c r="L192" s="1449"/>
      <c r="M192" s="1449"/>
      <c r="N192" s="1449"/>
      <c r="O192" s="1449"/>
      <c r="P192" s="1449"/>
      <c r="Q192" s="1449"/>
      <c r="R192" s="1454"/>
      <c r="S192" s="1454"/>
      <c r="T192" s="1449"/>
      <c r="U192" s="1449"/>
      <c r="V192" s="1454"/>
      <c r="W192" s="1454"/>
      <c r="X192" s="1449"/>
      <c r="Y192" s="1449"/>
      <c r="Z192" s="1460"/>
      <c r="AA192" s="1460"/>
      <c r="AB192" s="1460">
        <v>0</v>
      </c>
      <c r="AC192" s="1460">
        <v>0</v>
      </c>
      <c r="AD192" s="1460"/>
      <c r="AE192" s="1460"/>
      <c r="AF192" s="1383">
        <f t="shared" si="182"/>
        <v>0</v>
      </c>
      <c r="AG192" s="1383">
        <f t="shared" si="183"/>
        <v>0</v>
      </c>
      <c r="AH192" s="1383">
        <f t="shared" si="199"/>
        <v>0</v>
      </c>
      <c r="AI192" s="1383"/>
      <c r="AJ192" s="1383"/>
      <c r="AK192" s="1383"/>
      <c r="AL192" s="1383"/>
      <c r="AM192" s="1383"/>
      <c r="AN192" s="1450"/>
      <c r="AO192" s="1450"/>
      <c r="AP192" s="1431">
        <f t="shared" si="154"/>
        <v>0</v>
      </c>
      <c r="AQ192" s="1431">
        <f t="shared" si="204"/>
        <v>0</v>
      </c>
      <c r="AR192" s="1434"/>
      <c r="AS192" s="1434"/>
      <c r="AW192" s="1427">
        <f t="shared" si="209"/>
        <v>0</v>
      </c>
      <c r="AY192" s="1427">
        <f t="shared" si="210"/>
        <v>0</v>
      </c>
      <c r="BA192" s="1427">
        <f t="shared" si="211"/>
        <v>0</v>
      </c>
      <c r="BC192" s="1427">
        <f t="shared" si="212"/>
        <v>0</v>
      </c>
      <c r="BD192" s="1436">
        <f t="shared" si="205"/>
        <v>1</v>
      </c>
    </row>
    <row r="193" spans="1:56" ht="58.5" customHeight="1" x14ac:dyDescent="0.3">
      <c r="A193" s="1461" t="s">
        <v>2922</v>
      </c>
      <c r="B193" s="1457"/>
      <c r="C193" s="1458" t="s">
        <v>401</v>
      </c>
      <c r="D193" s="1388" t="s">
        <v>336</v>
      </c>
      <c r="E193" s="1388" t="s">
        <v>402</v>
      </c>
      <c r="F193" s="1388" t="s">
        <v>72</v>
      </c>
      <c r="G193" s="1388" t="s">
        <v>403</v>
      </c>
      <c r="H193" s="1476">
        <v>69804</v>
      </c>
      <c r="I193" s="1444">
        <f>H193</f>
        <v>69804</v>
      </c>
      <c r="J193" s="1460">
        <f>K193</f>
        <v>44500</v>
      </c>
      <c r="K193" s="1460">
        <v>44500</v>
      </c>
      <c r="L193" s="1460">
        <f>M193</f>
        <v>44500</v>
      </c>
      <c r="M193" s="1460">
        <v>44500</v>
      </c>
      <c r="N193" s="1463">
        <f>O193</f>
        <v>8200</v>
      </c>
      <c r="O193" s="1460">
        <v>8200</v>
      </c>
      <c r="P193" s="1463">
        <f>Q193</f>
        <v>2500</v>
      </c>
      <c r="Q193" s="1460">
        <v>2500</v>
      </c>
      <c r="R193" s="1454"/>
      <c r="S193" s="1454">
        <f>O193-U193</f>
        <v>5700</v>
      </c>
      <c r="T193" s="1463">
        <f>U193</f>
        <v>2500</v>
      </c>
      <c r="U193" s="1460">
        <v>2500</v>
      </c>
      <c r="V193" s="1454"/>
      <c r="W193" s="1454"/>
      <c r="X193" s="1463">
        <f>Y193</f>
        <v>2500</v>
      </c>
      <c r="Y193" s="1460">
        <v>2500</v>
      </c>
      <c r="Z193" s="1460">
        <v>0</v>
      </c>
      <c r="AA193" s="1460">
        <v>0</v>
      </c>
      <c r="AB193" s="1460">
        <v>2500</v>
      </c>
      <c r="AC193" s="1460">
        <v>2500</v>
      </c>
      <c r="AD193" s="1460"/>
      <c r="AE193" s="1460"/>
      <c r="AF193" s="1383">
        <f t="shared" si="182"/>
        <v>2500</v>
      </c>
      <c r="AG193" s="1383">
        <f t="shared" si="183"/>
        <v>2500</v>
      </c>
      <c r="AH193" s="1383">
        <f t="shared" si="199"/>
        <v>691</v>
      </c>
      <c r="AI193" s="1383">
        <v>691</v>
      </c>
      <c r="AJ193" s="1383"/>
      <c r="AK193" s="1383"/>
      <c r="AL193" s="1383"/>
      <c r="AM193" s="1383"/>
      <c r="AN193" s="1381"/>
      <c r="AO193" s="1381"/>
      <c r="AP193" s="1431">
        <f t="shared" si="154"/>
        <v>0</v>
      </c>
      <c r="AQ193" s="1431">
        <f t="shared" si="204"/>
        <v>1</v>
      </c>
      <c r="AR193" s="1434">
        <f t="shared" si="203"/>
        <v>0</v>
      </c>
      <c r="AS193" s="1434"/>
      <c r="AT193" s="1427">
        <f>IF(AP193=0,1,0)</f>
        <v>1</v>
      </c>
      <c r="AV193" s="1427">
        <f>IF(Q193=0,1,0)</f>
        <v>0</v>
      </c>
      <c r="AW193" s="1427">
        <f t="shared" si="209"/>
        <v>0</v>
      </c>
      <c r="AX193" s="1427">
        <f>IF(O193=0,1,0)</f>
        <v>0</v>
      </c>
      <c r="AY193" s="1427">
        <f t="shared" si="210"/>
        <v>0</v>
      </c>
      <c r="AZ193" s="1427">
        <f>IF(R193=0,0,1)</f>
        <v>0</v>
      </c>
      <c r="BA193" s="1427">
        <f t="shared" si="211"/>
        <v>0</v>
      </c>
      <c r="BB193" s="1427">
        <f>IF(S193=0,0,1)</f>
        <v>1</v>
      </c>
      <c r="BC193" s="1427">
        <f t="shared" si="212"/>
        <v>5700</v>
      </c>
      <c r="BD193" s="1436">
        <f t="shared" si="205"/>
        <v>1</v>
      </c>
    </row>
    <row r="194" spans="1:56" ht="60" customHeight="1" x14ac:dyDescent="0.3">
      <c r="A194" s="1461" t="s">
        <v>2923</v>
      </c>
      <c r="B194" s="1457"/>
      <c r="C194" s="1458" t="s">
        <v>405</v>
      </c>
      <c r="D194" s="1388" t="s">
        <v>336</v>
      </c>
      <c r="E194" s="1388" t="s">
        <v>406</v>
      </c>
      <c r="F194" s="1388" t="s">
        <v>72</v>
      </c>
      <c r="G194" s="1388" t="s">
        <v>407</v>
      </c>
      <c r="H194" s="1476">
        <v>24083</v>
      </c>
      <c r="I194" s="1444">
        <f>H194</f>
        <v>24083</v>
      </c>
      <c r="J194" s="1460">
        <f t="shared" ref="J194:L196" si="216">K194</f>
        <v>10340</v>
      </c>
      <c r="K194" s="1460">
        <v>10340</v>
      </c>
      <c r="L194" s="1460">
        <f t="shared" si="216"/>
        <v>10340</v>
      </c>
      <c r="M194" s="1460">
        <v>10340</v>
      </c>
      <c r="N194" s="1463">
        <f>O194</f>
        <v>9700</v>
      </c>
      <c r="O194" s="1460">
        <v>9700</v>
      </c>
      <c r="P194" s="1463">
        <f>Q194</f>
        <v>9630</v>
      </c>
      <c r="Q194" s="1460">
        <v>9630</v>
      </c>
      <c r="R194" s="1454"/>
      <c r="S194" s="1454">
        <f t="shared" ref="S194:S196" si="217">O194-U194</f>
        <v>70</v>
      </c>
      <c r="T194" s="1463">
        <f>U194</f>
        <v>9630</v>
      </c>
      <c r="U194" s="1460">
        <v>9630</v>
      </c>
      <c r="V194" s="1454"/>
      <c r="W194" s="1454"/>
      <c r="X194" s="1463">
        <f>Y194</f>
        <v>9630</v>
      </c>
      <c r="Y194" s="1460">
        <v>9630</v>
      </c>
      <c r="Z194" s="1460">
        <v>0</v>
      </c>
      <c r="AA194" s="1460">
        <v>0</v>
      </c>
      <c r="AB194" s="1460">
        <v>9630</v>
      </c>
      <c r="AC194" s="1460">
        <v>9630</v>
      </c>
      <c r="AD194" s="1460"/>
      <c r="AE194" s="1460"/>
      <c r="AF194" s="1383">
        <f t="shared" si="182"/>
        <v>9630</v>
      </c>
      <c r="AG194" s="1383">
        <f t="shared" si="183"/>
        <v>9630</v>
      </c>
      <c r="AH194" s="1383">
        <f t="shared" si="199"/>
        <v>9660</v>
      </c>
      <c r="AI194" s="1383">
        <v>9660</v>
      </c>
      <c r="AJ194" s="1383"/>
      <c r="AK194" s="1383"/>
      <c r="AL194" s="1383"/>
      <c r="AM194" s="1383"/>
      <c r="AN194" s="1381"/>
      <c r="AO194" s="1381"/>
      <c r="AP194" s="1431">
        <f t="shared" si="154"/>
        <v>0</v>
      </c>
      <c r="AQ194" s="1431">
        <f t="shared" si="204"/>
        <v>1</v>
      </c>
      <c r="AR194" s="1434">
        <f t="shared" si="203"/>
        <v>0</v>
      </c>
      <c r="AS194" s="1434"/>
      <c r="AT194" s="1427">
        <f>IF(AP194=0,1,0)</f>
        <v>1</v>
      </c>
      <c r="AV194" s="1427">
        <f>IF(Q194=0,1,0)</f>
        <v>0</v>
      </c>
      <c r="AW194" s="1427">
        <f t="shared" si="209"/>
        <v>0</v>
      </c>
      <c r="AX194" s="1427">
        <f>IF(O194=0,1,0)</f>
        <v>0</v>
      </c>
      <c r="AY194" s="1427">
        <f t="shared" si="210"/>
        <v>0</v>
      </c>
      <c r="AZ194" s="1427">
        <f>IF(R194=0,0,1)</f>
        <v>0</v>
      </c>
      <c r="BA194" s="1427">
        <f t="shared" si="211"/>
        <v>0</v>
      </c>
      <c r="BB194" s="1427">
        <f>IF(S194=0,0,1)</f>
        <v>1</v>
      </c>
      <c r="BC194" s="1427">
        <f t="shared" si="212"/>
        <v>70</v>
      </c>
      <c r="BD194" s="1436">
        <f t="shared" si="205"/>
        <v>1</v>
      </c>
    </row>
    <row r="195" spans="1:56" ht="75" x14ac:dyDescent="0.3">
      <c r="A195" s="1461" t="s">
        <v>2924</v>
      </c>
      <c r="B195" s="1457"/>
      <c r="C195" s="1458" t="s">
        <v>408</v>
      </c>
      <c r="D195" s="1388" t="s">
        <v>99</v>
      </c>
      <c r="E195" s="1388" t="s">
        <v>409</v>
      </c>
      <c r="F195" s="1388" t="s">
        <v>72</v>
      </c>
      <c r="G195" s="1388" t="s">
        <v>410</v>
      </c>
      <c r="H195" s="1476">
        <v>31326</v>
      </c>
      <c r="I195" s="1444">
        <f>H195</f>
        <v>31326</v>
      </c>
      <c r="J195" s="1460">
        <f t="shared" si="216"/>
        <v>8000</v>
      </c>
      <c r="K195" s="1460">
        <v>8000</v>
      </c>
      <c r="L195" s="1460">
        <f t="shared" si="216"/>
        <v>8000</v>
      </c>
      <c r="M195" s="1460">
        <v>8000</v>
      </c>
      <c r="N195" s="1463">
        <f>O195</f>
        <v>16400</v>
      </c>
      <c r="O195" s="1460">
        <v>16400</v>
      </c>
      <c r="P195" s="1463">
        <f>Q195</f>
        <v>12210</v>
      </c>
      <c r="Q195" s="1460">
        <v>12210</v>
      </c>
      <c r="R195" s="1454"/>
      <c r="S195" s="1454">
        <f t="shared" si="217"/>
        <v>4190</v>
      </c>
      <c r="T195" s="1463">
        <f>U195</f>
        <v>12210</v>
      </c>
      <c r="U195" s="1460">
        <v>12210</v>
      </c>
      <c r="V195" s="1454"/>
      <c r="W195" s="1454"/>
      <c r="X195" s="1463">
        <f>Y195</f>
        <v>12210</v>
      </c>
      <c r="Y195" s="1460">
        <v>12210</v>
      </c>
      <c r="Z195" s="1460">
        <v>0</v>
      </c>
      <c r="AA195" s="1460">
        <v>0</v>
      </c>
      <c r="AB195" s="1460">
        <v>12210</v>
      </c>
      <c r="AC195" s="1460">
        <v>12210</v>
      </c>
      <c r="AD195" s="1460"/>
      <c r="AE195" s="1460"/>
      <c r="AF195" s="1383">
        <f t="shared" si="182"/>
        <v>12210</v>
      </c>
      <c r="AG195" s="1383">
        <f t="shared" si="183"/>
        <v>12210</v>
      </c>
      <c r="AH195" s="1383">
        <f t="shared" si="199"/>
        <v>9618</v>
      </c>
      <c r="AI195" s="1383">
        <v>9618</v>
      </c>
      <c r="AJ195" s="1383"/>
      <c r="AK195" s="1383"/>
      <c r="AL195" s="1383"/>
      <c r="AM195" s="1383"/>
      <c r="AN195" s="1381"/>
      <c r="AO195" s="1381"/>
      <c r="AP195" s="1431">
        <f t="shared" si="154"/>
        <v>0</v>
      </c>
      <c r="AQ195" s="1431">
        <f t="shared" si="204"/>
        <v>1</v>
      </c>
      <c r="AR195" s="1434">
        <f t="shared" si="203"/>
        <v>0</v>
      </c>
      <c r="AS195" s="1434"/>
      <c r="AT195" s="1427">
        <f>IF(AP195=0,1,0)</f>
        <v>1</v>
      </c>
      <c r="AV195" s="1427">
        <f>IF(Q195=0,1,0)</f>
        <v>0</v>
      </c>
      <c r="AW195" s="1427">
        <f t="shared" si="209"/>
        <v>0</v>
      </c>
      <c r="AX195" s="1427">
        <f>IF(O195=0,1,0)</f>
        <v>0</v>
      </c>
      <c r="AY195" s="1427">
        <f t="shared" si="210"/>
        <v>0</v>
      </c>
      <c r="AZ195" s="1427">
        <f>IF(R195=0,0,1)</f>
        <v>0</v>
      </c>
      <c r="BA195" s="1427">
        <f t="shared" si="211"/>
        <v>0</v>
      </c>
      <c r="BB195" s="1427">
        <f>IF(S195=0,0,1)</f>
        <v>1</v>
      </c>
      <c r="BC195" s="1427">
        <f t="shared" si="212"/>
        <v>4190</v>
      </c>
      <c r="BD195" s="1436">
        <f t="shared" si="205"/>
        <v>1</v>
      </c>
    </row>
    <row r="196" spans="1:56" ht="75" x14ac:dyDescent="0.3">
      <c r="A196" s="1461" t="s">
        <v>2925</v>
      </c>
      <c r="B196" s="1457"/>
      <c r="C196" s="1458" t="s">
        <v>411</v>
      </c>
      <c r="D196" s="1388" t="s">
        <v>194</v>
      </c>
      <c r="E196" s="1388" t="s">
        <v>412</v>
      </c>
      <c r="F196" s="1388" t="s">
        <v>72</v>
      </c>
      <c r="G196" s="1388" t="s">
        <v>413</v>
      </c>
      <c r="H196" s="1476">
        <v>15383</v>
      </c>
      <c r="I196" s="1444">
        <f>H196</f>
        <v>15383</v>
      </c>
      <c r="J196" s="1460">
        <f t="shared" si="216"/>
        <v>5500</v>
      </c>
      <c r="K196" s="1460">
        <v>5500</v>
      </c>
      <c r="L196" s="1460">
        <f t="shared" si="216"/>
        <v>5500</v>
      </c>
      <c r="M196" s="1460">
        <v>5500</v>
      </c>
      <c r="N196" s="1463">
        <f>O196</f>
        <v>5650</v>
      </c>
      <c r="O196" s="1460">
        <v>5650</v>
      </c>
      <c r="P196" s="1463">
        <f>Q196</f>
        <v>4120</v>
      </c>
      <c r="Q196" s="1460">
        <v>4120</v>
      </c>
      <c r="R196" s="1454"/>
      <c r="S196" s="1454">
        <f t="shared" si="217"/>
        <v>1530</v>
      </c>
      <c r="T196" s="1463">
        <f>U196</f>
        <v>4120</v>
      </c>
      <c r="U196" s="1460">
        <v>4120</v>
      </c>
      <c r="V196" s="1454"/>
      <c r="W196" s="1454"/>
      <c r="X196" s="1463">
        <f>Y196</f>
        <v>4120</v>
      </c>
      <c r="Y196" s="1460">
        <v>4120</v>
      </c>
      <c r="Z196" s="1460">
        <v>0</v>
      </c>
      <c r="AA196" s="1460">
        <v>0</v>
      </c>
      <c r="AB196" s="1460">
        <v>4120</v>
      </c>
      <c r="AC196" s="1460">
        <v>4120</v>
      </c>
      <c r="AD196" s="1460"/>
      <c r="AE196" s="1460"/>
      <c r="AF196" s="1383">
        <f t="shared" si="182"/>
        <v>4120</v>
      </c>
      <c r="AG196" s="1383">
        <f t="shared" si="183"/>
        <v>4120</v>
      </c>
      <c r="AH196" s="1383">
        <f t="shared" si="199"/>
        <v>4140</v>
      </c>
      <c r="AI196" s="1383">
        <v>4140</v>
      </c>
      <c r="AJ196" s="1383"/>
      <c r="AK196" s="1383"/>
      <c r="AL196" s="1383"/>
      <c r="AM196" s="1383"/>
      <c r="AN196" s="1381"/>
      <c r="AO196" s="1381"/>
      <c r="AP196" s="1431">
        <f t="shared" si="154"/>
        <v>0</v>
      </c>
      <c r="AQ196" s="1431">
        <f t="shared" si="204"/>
        <v>1</v>
      </c>
      <c r="AR196" s="1434">
        <f t="shared" si="203"/>
        <v>0</v>
      </c>
      <c r="AS196" s="1434"/>
      <c r="AT196" s="1427">
        <f>IF(AP196=0,1,0)</f>
        <v>1</v>
      </c>
      <c r="AV196" s="1427">
        <f>IF(Q196=0,1,0)</f>
        <v>0</v>
      </c>
      <c r="AW196" s="1427">
        <f t="shared" si="209"/>
        <v>0</v>
      </c>
      <c r="AX196" s="1427">
        <f>IF(O196=0,1,0)</f>
        <v>0</v>
      </c>
      <c r="AY196" s="1427">
        <f t="shared" si="210"/>
        <v>0</v>
      </c>
      <c r="AZ196" s="1427">
        <f>IF(R196=0,0,1)</f>
        <v>0</v>
      </c>
      <c r="BA196" s="1427">
        <f t="shared" si="211"/>
        <v>0</v>
      </c>
      <c r="BB196" s="1427">
        <f>IF(S196=0,0,1)</f>
        <v>1</v>
      </c>
      <c r="BC196" s="1427">
        <f t="shared" si="212"/>
        <v>1530</v>
      </c>
      <c r="BD196" s="1436">
        <f t="shared" si="205"/>
        <v>1</v>
      </c>
    </row>
    <row r="197" spans="1:56" s="1487" customFormat="1" ht="58.5" x14ac:dyDescent="0.3">
      <c r="A197" s="1827" t="s">
        <v>2926</v>
      </c>
      <c r="B197" s="1827" t="s">
        <v>2926</v>
      </c>
      <c r="C197" s="1446" t="s">
        <v>86</v>
      </c>
      <c r="D197" s="1447"/>
      <c r="E197" s="1447"/>
      <c r="F197" s="1448"/>
      <c r="G197" s="1448"/>
      <c r="H197" s="1449">
        <f>H198+H219</f>
        <v>456099</v>
      </c>
      <c r="I197" s="1449">
        <f>I198+I219</f>
        <v>390099</v>
      </c>
      <c r="J197" s="1449"/>
      <c r="K197" s="1449"/>
      <c r="L197" s="1449"/>
      <c r="M197" s="1449"/>
      <c r="N197" s="1449">
        <f t="shared" ref="N197:U197" si="218">N198+N219</f>
        <v>227550.4</v>
      </c>
      <c r="O197" s="1449">
        <f t="shared" si="218"/>
        <v>227550.4</v>
      </c>
      <c r="P197" s="1449">
        <f t="shared" si="218"/>
        <v>299780</v>
      </c>
      <c r="Q197" s="1449">
        <f t="shared" si="218"/>
        <v>256580</v>
      </c>
      <c r="R197" s="1449">
        <f t="shared" si="218"/>
        <v>61850</v>
      </c>
      <c r="S197" s="1449">
        <f t="shared" si="218"/>
        <v>5320.4</v>
      </c>
      <c r="T197" s="1449">
        <f t="shared" si="218"/>
        <v>327280</v>
      </c>
      <c r="U197" s="1449">
        <f t="shared" si="218"/>
        <v>284080</v>
      </c>
      <c r="V197" s="1449">
        <f t="shared" ref="V197:Y197" si="219">V198+V219</f>
        <v>25120</v>
      </c>
      <c r="W197" s="1449">
        <f t="shared" si="219"/>
        <v>13000</v>
      </c>
      <c r="X197" s="1449">
        <f t="shared" si="219"/>
        <v>355400</v>
      </c>
      <c r="Y197" s="1449">
        <f t="shared" si="219"/>
        <v>294200</v>
      </c>
      <c r="Z197" s="1449">
        <v>0</v>
      </c>
      <c r="AA197" s="1449">
        <v>0</v>
      </c>
      <c r="AB197" s="1449">
        <v>334898</v>
      </c>
      <c r="AC197" s="1449">
        <v>273698</v>
      </c>
      <c r="AD197" s="1449">
        <f t="shared" ref="AD197:AM197" si="220">AD198+AD219</f>
        <v>3300</v>
      </c>
      <c r="AE197" s="1526">
        <f t="shared" si="220"/>
        <v>0</v>
      </c>
      <c r="AF197" s="1449">
        <f t="shared" si="220"/>
        <v>338198</v>
      </c>
      <c r="AG197" s="1449">
        <f t="shared" si="220"/>
        <v>276998</v>
      </c>
      <c r="AH197" s="1449">
        <f t="shared" si="220"/>
        <v>270906</v>
      </c>
      <c r="AI197" s="1449">
        <f t="shared" si="220"/>
        <v>63530</v>
      </c>
      <c r="AJ197" s="1449">
        <f t="shared" si="220"/>
        <v>65550</v>
      </c>
      <c r="AK197" s="1449">
        <f t="shared" si="220"/>
        <v>57400</v>
      </c>
      <c r="AL197" s="1449">
        <f t="shared" si="220"/>
        <v>45362</v>
      </c>
      <c r="AM197" s="1449">
        <f t="shared" si="220"/>
        <v>39064</v>
      </c>
      <c r="AN197" s="1449"/>
      <c r="AO197" s="1449"/>
      <c r="AP197" s="1431">
        <f t="shared" si="154"/>
        <v>1</v>
      </c>
      <c r="AQ197" s="1431">
        <f t="shared" si="204"/>
        <v>1</v>
      </c>
      <c r="AS197" s="1488"/>
      <c r="AT197" s="1488"/>
      <c r="AW197" s="1487">
        <f t="shared" si="209"/>
        <v>0</v>
      </c>
      <c r="AY197" s="1487">
        <f t="shared" si="210"/>
        <v>0</v>
      </c>
      <c r="BA197" s="1487">
        <f t="shared" si="211"/>
        <v>0</v>
      </c>
      <c r="BC197" s="1487">
        <f t="shared" si="212"/>
        <v>0</v>
      </c>
      <c r="BD197" s="1436">
        <f t="shared" si="205"/>
        <v>1</v>
      </c>
    </row>
    <row r="198" spans="1:56" ht="78" x14ac:dyDescent="0.3">
      <c r="A198" s="1826" t="s">
        <v>2927</v>
      </c>
      <c r="B198" s="1826" t="s">
        <v>2927</v>
      </c>
      <c r="C198" s="1446" t="s">
        <v>88</v>
      </c>
      <c r="D198" s="1448"/>
      <c r="E198" s="1448"/>
      <c r="F198" s="1448"/>
      <c r="G198" s="1448"/>
      <c r="H198" s="1449">
        <f t="shared" ref="H198:X198" si="221">SUM(H199:H218)</f>
        <v>346955</v>
      </c>
      <c r="I198" s="1449">
        <f t="shared" si="221"/>
        <v>298955</v>
      </c>
      <c r="J198" s="1449">
        <f t="shared" si="221"/>
        <v>0</v>
      </c>
      <c r="K198" s="1449">
        <f t="shared" si="221"/>
        <v>0</v>
      </c>
      <c r="L198" s="1449">
        <f t="shared" si="221"/>
        <v>0</v>
      </c>
      <c r="M198" s="1449">
        <f t="shared" si="221"/>
        <v>0</v>
      </c>
      <c r="N198" s="1449">
        <f t="shared" si="221"/>
        <v>216670.4</v>
      </c>
      <c r="O198" s="1449">
        <f t="shared" si="221"/>
        <v>216670.4</v>
      </c>
      <c r="P198" s="1449">
        <f t="shared" si="221"/>
        <v>274900</v>
      </c>
      <c r="Q198" s="1449">
        <f t="shared" si="221"/>
        <v>231700</v>
      </c>
      <c r="R198" s="1449">
        <f t="shared" si="221"/>
        <v>47850</v>
      </c>
      <c r="S198" s="1449">
        <f t="shared" si="221"/>
        <v>5320.4</v>
      </c>
      <c r="T198" s="1449">
        <f t="shared" si="221"/>
        <v>302400</v>
      </c>
      <c r="U198" s="1449">
        <f t="shared" si="221"/>
        <v>259200</v>
      </c>
      <c r="V198" s="1449"/>
      <c r="W198" s="1449">
        <f t="shared" si="221"/>
        <v>0</v>
      </c>
      <c r="X198" s="1449">
        <f t="shared" si="221"/>
        <v>302400</v>
      </c>
      <c r="Y198" s="1449">
        <f>SUM(Y199:Y218)</f>
        <v>259200</v>
      </c>
      <c r="Z198" s="1449">
        <v>0</v>
      </c>
      <c r="AA198" s="1449">
        <v>0</v>
      </c>
      <c r="AB198" s="1449">
        <v>281248</v>
      </c>
      <c r="AC198" s="1449">
        <v>238048</v>
      </c>
      <c r="AD198" s="1449">
        <f t="shared" ref="AD198:AM198" si="222">SUM(AD199:AD218)</f>
        <v>0</v>
      </c>
      <c r="AE198" s="1526">
        <f t="shared" si="222"/>
        <v>0</v>
      </c>
      <c r="AF198" s="1449">
        <f t="shared" si="222"/>
        <v>281248</v>
      </c>
      <c r="AG198" s="1449">
        <f t="shared" si="222"/>
        <v>238048</v>
      </c>
      <c r="AH198" s="1449">
        <f t="shared" si="222"/>
        <v>240116</v>
      </c>
      <c r="AI198" s="1449">
        <f t="shared" si="222"/>
        <v>63530</v>
      </c>
      <c r="AJ198" s="1449">
        <f t="shared" si="222"/>
        <v>65550</v>
      </c>
      <c r="AK198" s="1449">
        <f t="shared" si="222"/>
        <v>57400</v>
      </c>
      <c r="AL198" s="1449">
        <f t="shared" si="222"/>
        <v>36682</v>
      </c>
      <c r="AM198" s="1449">
        <f t="shared" si="222"/>
        <v>16954</v>
      </c>
      <c r="AN198" s="1466"/>
      <c r="AO198" s="1466"/>
      <c r="AP198" s="1431">
        <f t="shared" si="154"/>
        <v>0</v>
      </c>
      <c r="AQ198" s="1431">
        <f t="shared" si="204"/>
        <v>1</v>
      </c>
      <c r="AR198" s="1434"/>
      <c r="AS198" s="1434"/>
      <c r="AT198" s="1435"/>
      <c r="AW198" s="1427">
        <f t="shared" si="209"/>
        <v>0</v>
      </c>
      <c r="AY198" s="1427">
        <f t="shared" si="210"/>
        <v>0</v>
      </c>
      <c r="BA198" s="1427">
        <f t="shared" si="211"/>
        <v>0</v>
      </c>
      <c r="BC198" s="1427">
        <f t="shared" si="212"/>
        <v>0</v>
      </c>
      <c r="BD198" s="1436">
        <f t="shared" si="205"/>
        <v>1</v>
      </c>
    </row>
    <row r="199" spans="1:56" ht="56.25" x14ac:dyDescent="0.3">
      <c r="A199" s="1461" t="s">
        <v>2928</v>
      </c>
      <c r="B199" s="1461" t="s">
        <v>2928</v>
      </c>
      <c r="C199" s="1458" t="s">
        <v>415</v>
      </c>
      <c r="D199" s="1388" t="s">
        <v>416</v>
      </c>
      <c r="E199" s="1388" t="s">
        <v>417</v>
      </c>
      <c r="F199" s="1388" t="s">
        <v>91</v>
      </c>
      <c r="G199" s="1388" t="s">
        <v>418</v>
      </c>
      <c r="H199" s="1476">
        <v>149563</v>
      </c>
      <c r="I199" s="1383">
        <f>H199</f>
        <v>149563</v>
      </c>
      <c r="J199" s="1383"/>
      <c r="K199" s="1383"/>
      <c r="L199" s="1383"/>
      <c r="M199" s="1383"/>
      <c r="N199" s="1383">
        <v>122450</v>
      </c>
      <c r="O199" s="1460">
        <v>122450</v>
      </c>
      <c r="P199" s="1383">
        <v>122450</v>
      </c>
      <c r="Q199" s="1460">
        <v>122450</v>
      </c>
      <c r="R199" s="1454"/>
      <c r="S199" s="1454"/>
      <c r="T199" s="1463">
        <f t="shared" ref="T199:U214" si="223">P199</f>
        <v>122450</v>
      </c>
      <c r="U199" s="1463">
        <f t="shared" si="223"/>
        <v>122450</v>
      </c>
      <c r="V199" s="1454"/>
      <c r="W199" s="1454"/>
      <c r="X199" s="1463">
        <f t="shared" ref="X199:X214" si="224">T199</f>
        <v>122450</v>
      </c>
      <c r="Y199" s="1463">
        <f t="shared" ref="Y199:Y214" si="225">U199</f>
        <v>122450</v>
      </c>
      <c r="Z199" s="1460">
        <v>0</v>
      </c>
      <c r="AA199" s="1460">
        <v>0</v>
      </c>
      <c r="AB199" s="1460">
        <v>118650</v>
      </c>
      <c r="AC199" s="1460">
        <v>118650</v>
      </c>
      <c r="AD199" s="1460"/>
      <c r="AE199" s="1525"/>
      <c r="AF199" s="1383">
        <f t="shared" si="182"/>
        <v>118650</v>
      </c>
      <c r="AG199" s="1383">
        <f t="shared" si="183"/>
        <v>118650</v>
      </c>
      <c r="AH199" s="1383">
        <f t="shared" si="199"/>
        <v>118650</v>
      </c>
      <c r="AI199" s="1383">
        <v>39500</v>
      </c>
      <c r="AJ199" s="1383">
        <v>36000</v>
      </c>
      <c r="AK199" s="1383">
        <v>34000</v>
      </c>
      <c r="AL199" s="1383">
        <v>6000</v>
      </c>
      <c r="AM199" s="1383">
        <v>3150</v>
      </c>
      <c r="AN199" s="1464"/>
      <c r="AO199" s="1440"/>
      <c r="AP199" s="1431">
        <f t="shared" si="154"/>
        <v>0</v>
      </c>
      <c r="AQ199" s="1431">
        <f t="shared" si="204"/>
        <v>1</v>
      </c>
      <c r="AR199" s="1434">
        <f t="shared" si="203"/>
        <v>0</v>
      </c>
      <c r="AS199" s="1434"/>
      <c r="AT199" s="1427">
        <f t="shared" ref="AT199:AT216" si="226">IF(AP199=0,1,0)</f>
        <v>1</v>
      </c>
      <c r="AV199" s="1427">
        <f t="shared" ref="AV199:AV218" si="227">IF(Q199=0,1,0)</f>
        <v>0</v>
      </c>
      <c r="AW199" s="1427">
        <f t="shared" si="209"/>
        <v>0</v>
      </c>
      <c r="AX199" s="1427">
        <f t="shared" ref="AX199:AX218" si="228">IF(O199=0,1,0)</f>
        <v>0</v>
      </c>
      <c r="AY199" s="1427">
        <f t="shared" si="210"/>
        <v>0</v>
      </c>
      <c r="AZ199" s="1427">
        <f t="shared" ref="AZ199:AZ215" si="229">IF(R199=0,0,1)</f>
        <v>0</v>
      </c>
      <c r="BA199" s="1427">
        <f t="shared" si="211"/>
        <v>0</v>
      </c>
      <c r="BB199" s="1427">
        <f t="shared" ref="BB199:BB218" si="230">IF(S199=0,0,1)</f>
        <v>0</v>
      </c>
      <c r="BC199" s="1427">
        <f t="shared" si="212"/>
        <v>0</v>
      </c>
      <c r="BD199" s="1436">
        <f t="shared" si="205"/>
        <v>1</v>
      </c>
    </row>
    <row r="200" spans="1:56" ht="75" x14ac:dyDescent="0.3">
      <c r="A200" s="1461" t="s">
        <v>2929</v>
      </c>
      <c r="B200" s="1461"/>
      <c r="C200" s="1458" t="s">
        <v>420</v>
      </c>
      <c r="D200" s="1388" t="s">
        <v>104</v>
      </c>
      <c r="E200" s="1388" t="s">
        <v>421</v>
      </c>
      <c r="F200" s="1388">
        <v>2016</v>
      </c>
      <c r="G200" s="1388" t="s">
        <v>422</v>
      </c>
      <c r="H200" s="1476">
        <v>5538</v>
      </c>
      <c r="I200" s="1383">
        <f t="shared" ref="I200:I206" si="231">H200</f>
        <v>5538</v>
      </c>
      <c r="J200" s="1383"/>
      <c r="K200" s="1383"/>
      <c r="L200" s="1383"/>
      <c r="M200" s="1383"/>
      <c r="N200" s="1383">
        <v>5000</v>
      </c>
      <c r="O200" s="1460">
        <f>N200</f>
        <v>5000</v>
      </c>
      <c r="P200" s="1383">
        <v>5000</v>
      </c>
      <c r="Q200" s="1460">
        <f>P200</f>
        <v>5000</v>
      </c>
      <c r="R200" s="1454"/>
      <c r="S200" s="1454"/>
      <c r="T200" s="1463">
        <f t="shared" si="223"/>
        <v>5000</v>
      </c>
      <c r="U200" s="1463">
        <f t="shared" si="223"/>
        <v>5000</v>
      </c>
      <c r="V200" s="1454"/>
      <c r="W200" s="1454"/>
      <c r="X200" s="1463">
        <f t="shared" si="224"/>
        <v>5000</v>
      </c>
      <c r="Y200" s="1463">
        <f t="shared" si="225"/>
        <v>5000</v>
      </c>
      <c r="Z200" s="1460">
        <v>0</v>
      </c>
      <c r="AA200" s="1460">
        <v>0</v>
      </c>
      <c r="AB200" s="1460">
        <v>5000</v>
      </c>
      <c r="AC200" s="1460">
        <v>5000</v>
      </c>
      <c r="AD200" s="1460"/>
      <c r="AE200" s="1460"/>
      <c r="AF200" s="1383">
        <f t="shared" si="182"/>
        <v>5000</v>
      </c>
      <c r="AG200" s="1383">
        <f t="shared" si="183"/>
        <v>5000</v>
      </c>
      <c r="AH200" s="1383">
        <f t="shared" si="199"/>
        <v>5000</v>
      </c>
      <c r="AI200" s="1383">
        <v>5000</v>
      </c>
      <c r="AJ200" s="1383"/>
      <c r="AK200" s="1383"/>
      <c r="AL200" s="1383"/>
      <c r="AM200" s="1383"/>
      <c r="AN200" s="1440"/>
      <c r="AO200" s="1440"/>
      <c r="AP200" s="1431">
        <f t="shared" si="154"/>
        <v>0</v>
      </c>
      <c r="AQ200" s="1431">
        <f t="shared" si="204"/>
        <v>1</v>
      </c>
      <c r="AR200" s="1434">
        <f t="shared" si="203"/>
        <v>0</v>
      </c>
      <c r="AS200" s="1434"/>
      <c r="AT200" s="1427">
        <f t="shared" si="226"/>
        <v>1</v>
      </c>
      <c r="AV200" s="1427">
        <f t="shared" si="227"/>
        <v>0</v>
      </c>
      <c r="AW200" s="1427">
        <f t="shared" si="209"/>
        <v>0</v>
      </c>
      <c r="AX200" s="1427">
        <f t="shared" si="228"/>
        <v>0</v>
      </c>
      <c r="AY200" s="1427">
        <f t="shared" si="210"/>
        <v>0</v>
      </c>
      <c r="AZ200" s="1427">
        <f t="shared" si="229"/>
        <v>0</v>
      </c>
      <c r="BA200" s="1427">
        <f t="shared" si="211"/>
        <v>0</v>
      </c>
      <c r="BB200" s="1427">
        <f t="shared" si="230"/>
        <v>0</v>
      </c>
      <c r="BC200" s="1427">
        <f t="shared" si="212"/>
        <v>0</v>
      </c>
      <c r="BD200" s="1436">
        <f t="shared" si="205"/>
        <v>1</v>
      </c>
    </row>
    <row r="201" spans="1:56" ht="131.25" x14ac:dyDescent="0.3">
      <c r="A201" s="1461" t="s">
        <v>2930</v>
      </c>
      <c r="B201" s="1461"/>
      <c r="C201" s="1458" t="s">
        <v>424</v>
      </c>
      <c r="D201" s="1388" t="s">
        <v>95</v>
      </c>
      <c r="E201" s="1458" t="s">
        <v>425</v>
      </c>
      <c r="F201" s="1388">
        <v>2016</v>
      </c>
      <c r="G201" s="1388" t="s">
        <v>426</v>
      </c>
      <c r="H201" s="1476">
        <v>1756</v>
      </c>
      <c r="I201" s="1383">
        <f t="shared" si="231"/>
        <v>1756</v>
      </c>
      <c r="J201" s="1383"/>
      <c r="K201" s="1383"/>
      <c r="L201" s="1383"/>
      <c r="M201" s="1383"/>
      <c r="N201" s="1383">
        <f>H201*0.9</f>
        <v>1580.4</v>
      </c>
      <c r="O201" s="1460">
        <f>N201</f>
        <v>1580.4</v>
      </c>
      <c r="P201" s="1383">
        <f>Q201</f>
        <v>1420</v>
      </c>
      <c r="Q201" s="1460">
        <v>1420</v>
      </c>
      <c r="R201" s="1454"/>
      <c r="S201" s="1454">
        <f>O201-U201</f>
        <v>160.40000000000009</v>
      </c>
      <c r="T201" s="1463">
        <f t="shared" si="223"/>
        <v>1420</v>
      </c>
      <c r="U201" s="1463">
        <f t="shared" si="223"/>
        <v>1420</v>
      </c>
      <c r="V201" s="1454"/>
      <c r="W201" s="1454"/>
      <c r="X201" s="1463">
        <f t="shared" si="224"/>
        <v>1420</v>
      </c>
      <c r="Y201" s="1463">
        <f t="shared" si="225"/>
        <v>1420</v>
      </c>
      <c r="Z201" s="1460">
        <v>0</v>
      </c>
      <c r="AA201" s="1460">
        <v>0</v>
      </c>
      <c r="AB201" s="1460">
        <v>1420</v>
      </c>
      <c r="AC201" s="1460">
        <v>1420</v>
      </c>
      <c r="AD201" s="1460"/>
      <c r="AE201" s="1460"/>
      <c r="AF201" s="1383">
        <f t="shared" si="182"/>
        <v>1420</v>
      </c>
      <c r="AG201" s="1383">
        <f t="shared" si="183"/>
        <v>1420</v>
      </c>
      <c r="AH201" s="1383">
        <f t="shared" si="199"/>
        <v>1630</v>
      </c>
      <c r="AI201" s="1383">
        <v>1630</v>
      </c>
      <c r="AJ201" s="1383"/>
      <c r="AK201" s="1383"/>
      <c r="AL201" s="1383"/>
      <c r="AM201" s="1383"/>
      <c r="AN201" s="1489"/>
      <c r="AO201" s="1489"/>
      <c r="AP201" s="1431">
        <f t="shared" si="154"/>
        <v>0</v>
      </c>
      <c r="AQ201" s="1431">
        <f t="shared" si="204"/>
        <v>1</v>
      </c>
      <c r="AR201" s="1434">
        <f t="shared" si="203"/>
        <v>0</v>
      </c>
      <c r="AS201" s="1434"/>
      <c r="AT201" s="1427">
        <f t="shared" si="226"/>
        <v>1</v>
      </c>
      <c r="AV201" s="1427">
        <f t="shared" si="227"/>
        <v>0</v>
      </c>
      <c r="AW201" s="1427">
        <f t="shared" si="209"/>
        <v>0</v>
      </c>
      <c r="AX201" s="1427">
        <f t="shared" si="228"/>
        <v>0</v>
      </c>
      <c r="AY201" s="1427">
        <f t="shared" si="210"/>
        <v>0</v>
      </c>
      <c r="AZ201" s="1427">
        <f t="shared" si="229"/>
        <v>0</v>
      </c>
      <c r="BA201" s="1427">
        <f t="shared" si="211"/>
        <v>0</v>
      </c>
      <c r="BB201" s="1427">
        <f t="shared" si="230"/>
        <v>1</v>
      </c>
      <c r="BC201" s="1427">
        <f t="shared" si="212"/>
        <v>160.40000000000009</v>
      </c>
      <c r="BD201" s="1436">
        <f t="shared" si="205"/>
        <v>1</v>
      </c>
    </row>
    <row r="202" spans="1:56" ht="75" x14ac:dyDescent="0.3">
      <c r="A202" s="1461" t="s">
        <v>2931</v>
      </c>
      <c r="B202" s="1461"/>
      <c r="C202" s="1458" t="s">
        <v>428</v>
      </c>
      <c r="D202" s="1388" t="s">
        <v>95</v>
      </c>
      <c r="E202" s="1458" t="s">
        <v>429</v>
      </c>
      <c r="F202" s="1388" t="s">
        <v>97</v>
      </c>
      <c r="G202" s="1388" t="s">
        <v>430</v>
      </c>
      <c r="H202" s="1460">
        <v>2163</v>
      </c>
      <c r="I202" s="1383">
        <f t="shared" si="231"/>
        <v>2163</v>
      </c>
      <c r="J202" s="1383"/>
      <c r="K202" s="1383"/>
      <c r="L202" s="1383"/>
      <c r="M202" s="1383"/>
      <c r="N202" s="1383">
        <v>1950</v>
      </c>
      <c r="O202" s="1460">
        <f>N202</f>
        <v>1950</v>
      </c>
      <c r="P202" s="1383">
        <v>1950</v>
      </c>
      <c r="Q202" s="1460">
        <f>P202</f>
        <v>1950</v>
      </c>
      <c r="R202" s="1454"/>
      <c r="S202" s="1454"/>
      <c r="T202" s="1463">
        <f t="shared" si="223"/>
        <v>1950</v>
      </c>
      <c r="U202" s="1463">
        <f t="shared" si="223"/>
        <v>1950</v>
      </c>
      <c r="V202" s="1454"/>
      <c r="W202" s="1454"/>
      <c r="X202" s="1463">
        <f t="shared" si="224"/>
        <v>1950</v>
      </c>
      <c r="Y202" s="1463">
        <f t="shared" si="225"/>
        <v>1950</v>
      </c>
      <c r="Z202" s="1460">
        <v>0</v>
      </c>
      <c r="AA202" s="1460">
        <v>0</v>
      </c>
      <c r="AB202" s="1460">
        <v>1950</v>
      </c>
      <c r="AC202" s="1460">
        <v>1950</v>
      </c>
      <c r="AD202" s="1460"/>
      <c r="AE202" s="1460"/>
      <c r="AF202" s="1383">
        <f t="shared" si="182"/>
        <v>1950</v>
      </c>
      <c r="AG202" s="1383">
        <f t="shared" si="183"/>
        <v>1950</v>
      </c>
      <c r="AH202" s="1383">
        <f t="shared" si="199"/>
        <v>1950</v>
      </c>
      <c r="AI202" s="1383">
        <v>1000</v>
      </c>
      <c r="AJ202" s="1383">
        <v>950</v>
      </c>
      <c r="AK202" s="1383"/>
      <c r="AL202" s="1383"/>
      <c r="AM202" s="1383"/>
      <c r="AN202" s="1440"/>
      <c r="AO202" s="1440"/>
      <c r="AP202" s="1431">
        <f t="shared" si="154"/>
        <v>0</v>
      </c>
      <c r="AQ202" s="1431">
        <f t="shared" si="204"/>
        <v>1</v>
      </c>
      <c r="AR202" s="1434">
        <f t="shared" si="203"/>
        <v>0</v>
      </c>
      <c r="AS202" s="1434"/>
      <c r="AT202" s="1427">
        <f t="shared" si="226"/>
        <v>1</v>
      </c>
      <c r="AV202" s="1427">
        <f t="shared" si="227"/>
        <v>0</v>
      </c>
      <c r="AW202" s="1427">
        <f t="shared" si="209"/>
        <v>0</v>
      </c>
      <c r="AX202" s="1427">
        <f t="shared" si="228"/>
        <v>0</v>
      </c>
      <c r="AY202" s="1427">
        <f t="shared" si="210"/>
        <v>0</v>
      </c>
      <c r="AZ202" s="1427">
        <f t="shared" si="229"/>
        <v>0</v>
      </c>
      <c r="BA202" s="1427">
        <f t="shared" si="211"/>
        <v>0</v>
      </c>
      <c r="BB202" s="1427">
        <f t="shared" si="230"/>
        <v>0</v>
      </c>
      <c r="BC202" s="1427">
        <f t="shared" si="212"/>
        <v>0</v>
      </c>
      <c r="BD202" s="1436">
        <f t="shared" si="205"/>
        <v>1</v>
      </c>
    </row>
    <row r="203" spans="1:56" ht="56.25" x14ac:dyDescent="0.3">
      <c r="A203" s="1461" t="s">
        <v>2932</v>
      </c>
      <c r="B203" s="1461"/>
      <c r="C203" s="1458" t="s">
        <v>432</v>
      </c>
      <c r="D203" s="1388" t="s">
        <v>194</v>
      </c>
      <c r="E203" s="1388" t="s">
        <v>433</v>
      </c>
      <c r="F203" s="1388" t="s">
        <v>97</v>
      </c>
      <c r="G203" s="1388" t="s">
        <v>434</v>
      </c>
      <c r="H203" s="1476">
        <v>13954</v>
      </c>
      <c r="I203" s="1383">
        <f t="shared" si="231"/>
        <v>13954</v>
      </c>
      <c r="J203" s="1383"/>
      <c r="K203" s="1383"/>
      <c r="L203" s="1383"/>
      <c r="M203" s="1383"/>
      <c r="N203" s="1383">
        <v>12560</v>
      </c>
      <c r="O203" s="1460">
        <f>N203</f>
        <v>12560</v>
      </c>
      <c r="P203" s="1383">
        <v>12560</v>
      </c>
      <c r="Q203" s="1460">
        <f>P203</f>
        <v>12560</v>
      </c>
      <c r="R203" s="1454"/>
      <c r="S203" s="1454"/>
      <c r="T203" s="1463">
        <f t="shared" si="223"/>
        <v>12560</v>
      </c>
      <c r="U203" s="1463">
        <f t="shared" si="223"/>
        <v>12560</v>
      </c>
      <c r="V203" s="1454"/>
      <c r="W203" s="1454"/>
      <c r="X203" s="1463">
        <f t="shared" si="224"/>
        <v>12560</v>
      </c>
      <c r="Y203" s="1463">
        <f t="shared" si="225"/>
        <v>12560</v>
      </c>
      <c r="Z203" s="1460">
        <v>0</v>
      </c>
      <c r="AA203" s="1460">
        <v>0</v>
      </c>
      <c r="AB203" s="1460">
        <v>12560</v>
      </c>
      <c r="AC203" s="1460">
        <v>12560</v>
      </c>
      <c r="AD203" s="1460"/>
      <c r="AE203" s="1525"/>
      <c r="AF203" s="1383">
        <f t="shared" si="182"/>
        <v>12560</v>
      </c>
      <c r="AG203" s="1383">
        <f t="shared" si="183"/>
        <v>12560</v>
      </c>
      <c r="AH203" s="1383">
        <f t="shared" si="199"/>
        <v>14200</v>
      </c>
      <c r="AI203" s="1383">
        <v>4000</v>
      </c>
      <c r="AJ203" s="1383">
        <v>10200</v>
      </c>
      <c r="AK203" s="1383"/>
      <c r="AL203" s="1383"/>
      <c r="AM203" s="1383"/>
      <c r="AN203" s="1440"/>
      <c r="AO203" s="1440"/>
      <c r="AP203" s="1431">
        <f t="shared" si="154"/>
        <v>0</v>
      </c>
      <c r="AQ203" s="1431">
        <f t="shared" si="204"/>
        <v>1</v>
      </c>
      <c r="AR203" s="1434">
        <f t="shared" si="203"/>
        <v>0</v>
      </c>
      <c r="AS203" s="1434"/>
      <c r="AT203" s="1427">
        <f t="shared" si="226"/>
        <v>1</v>
      </c>
      <c r="AV203" s="1427">
        <f t="shared" si="227"/>
        <v>0</v>
      </c>
      <c r="AW203" s="1427">
        <f t="shared" si="209"/>
        <v>0</v>
      </c>
      <c r="AX203" s="1427">
        <f t="shared" si="228"/>
        <v>0</v>
      </c>
      <c r="AY203" s="1427">
        <f t="shared" si="210"/>
        <v>0</v>
      </c>
      <c r="AZ203" s="1427">
        <f t="shared" si="229"/>
        <v>0</v>
      </c>
      <c r="BA203" s="1427">
        <f t="shared" si="211"/>
        <v>0</v>
      </c>
      <c r="BB203" s="1427">
        <f t="shared" si="230"/>
        <v>0</v>
      </c>
      <c r="BC203" s="1427">
        <f t="shared" si="212"/>
        <v>0</v>
      </c>
      <c r="BD203" s="1436">
        <f t="shared" si="205"/>
        <v>1</v>
      </c>
    </row>
    <row r="204" spans="1:56" ht="75" x14ac:dyDescent="0.3">
      <c r="A204" s="1461" t="s">
        <v>2933</v>
      </c>
      <c r="B204" s="1461"/>
      <c r="C204" s="1458" t="s">
        <v>436</v>
      </c>
      <c r="D204" s="1388" t="s">
        <v>437</v>
      </c>
      <c r="E204" s="1388" t="s">
        <v>438</v>
      </c>
      <c r="F204" s="1388">
        <v>2016</v>
      </c>
      <c r="G204" s="1388" t="s">
        <v>439</v>
      </c>
      <c r="H204" s="1476">
        <v>10083</v>
      </c>
      <c r="I204" s="1383">
        <f t="shared" si="231"/>
        <v>10083</v>
      </c>
      <c r="J204" s="1383"/>
      <c r="K204" s="1383"/>
      <c r="L204" s="1383"/>
      <c r="M204" s="1383"/>
      <c r="N204" s="1383">
        <v>9100</v>
      </c>
      <c r="O204" s="1460">
        <v>9100</v>
      </c>
      <c r="P204" s="1383">
        <f>Q204</f>
        <v>9100</v>
      </c>
      <c r="Q204" s="1460">
        <f>O204</f>
        <v>9100</v>
      </c>
      <c r="R204" s="1454"/>
      <c r="S204" s="1454"/>
      <c r="T204" s="1463">
        <f t="shared" si="223"/>
        <v>9100</v>
      </c>
      <c r="U204" s="1463">
        <f t="shared" si="223"/>
        <v>9100</v>
      </c>
      <c r="V204" s="1454"/>
      <c r="W204" s="1454"/>
      <c r="X204" s="1463">
        <f t="shared" si="224"/>
        <v>9100</v>
      </c>
      <c r="Y204" s="1463">
        <f t="shared" si="225"/>
        <v>9100</v>
      </c>
      <c r="Z204" s="1460">
        <v>0</v>
      </c>
      <c r="AA204" s="1460">
        <v>0</v>
      </c>
      <c r="AB204" s="1460">
        <v>9100</v>
      </c>
      <c r="AC204" s="1460">
        <v>9100</v>
      </c>
      <c r="AD204" s="1460"/>
      <c r="AE204" s="1460"/>
      <c r="AF204" s="1383">
        <f t="shared" si="182"/>
        <v>9100</v>
      </c>
      <c r="AG204" s="1383">
        <f t="shared" si="183"/>
        <v>9100</v>
      </c>
      <c r="AH204" s="1383">
        <f t="shared" si="199"/>
        <v>10540</v>
      </c>
      <c r="AI204" s="1383">
        <v>8000</v>
      </c>
      <c r="AJ204" s="1383">
        <v>2540</v>
      </c>
      <c r="AK204" s="1383"/>
      <c r="AL204" s="1383"/>
      <c r="AM204" s="1383"/>
      <c r="AN204" s="1440"/>
      <c r="AO204" s="1440"/>
      <c r="AP204" s="1431">
        <f t="shared" si="154"/>
        <v>0</v>
      </c>
      <c r="AQ204" s="1431">
        <f t="shared" si="204"/>
        <v>1</v>
      </c>
      <c r="AR204" s="1434">
        <f t="shared" si="203"/>
        <v>0</v>
      </c>
      <c r="AS204" s="1434"/>
      <c r="AT204" s="1427">
        <f t="shared" si="226"/>
        <v>1</v>
      </c>
      <c r="AV204" s="1427">
        <f t="shared" si="227"/>
        <v>0</v>
      </c>
      <c r="AW204" s="1427">
        <f t="shared" si="209"/>
        <v>0</v>
      </c>
      <c r="AX204" s="1427">
        <f t="shared" si="228"/>
        <v>0</v>
      </c>
      <c r="AY204" s="1427">
        <f t="shared" si="210"/>
        <v>0</v>
      </c>
      <c r="AZ204" s="1427">
        <f t="shared" si="229"/>
        <v>0</v>
      </c>
      <c r="BA204" s="1427">
        <f t="shared" si="211"/>
        <v>0</v>
      </c>
      <c r="BB204" s="1427">
        <f t="shared" si="230"/>
        <v>0</v>
      </c>
      <c r="BC204" s="1427">
        <f t="shared" si="212"/>
        <v>0</v>
      </c>
      <c r="BD204" s="1436">
        <f t="shared" si="205"/>
        <v>1</v>
      </c>
    </row>
    <row r="205" spans="1:56" ht="150" x14ac:dyDescent="0.3">
      <c r="A205" s="1461" t="s">
        <v>2934</v>
      </c>
      <c r="B205" s="1461"/>
      <c r="C205" s="1458" t="s">
        <v>441</v>
      </c>
      <c r="D205" s="1388" t="s">
        <v>442</v>
      </c>
      <c r="E205" s="1388" t="s">
        <v>443</v>
      </c>
      <c r="F205" s="1388" t="s">
        <v>97</v>
      </c>
      <c r="G205" s="1388" t="s">
        <v>444</v>
      </c>
      <c r="H205" s="1460">
        <v>4900</v>
      </c>
      <c r="I205" s="1383">
        <f t="shared" si="231"/>
        <v>4900</v>
      </c>
      <c r="J205" s="1383"/>
      <c r="K205" s="1383"/>
      <c r="L205" s="1383"/>
      <c r="M205" s="1383"/>
      <c r="N205" s="1383">
        <v>4400</v>
      </c>
      <c r="O205" s="1460">
        <f t="shared" ref="O205:O214" si="232">N205</f>
        <v>4400</v>
      </c>
      <c r="P205" s="1383">
        <f>Q205</f>
        <v>4400</v>
      </c>
      <c r="Q205" s="1460">
        <v>4400</v>
      </c>
      <c r="R205" s="1454"/>
      <c r="S205" s="1454"/>
      <c r="T205" s="1463">
        <f t="shared" si="223"/>
        <v>4400</v>
      </c>
      <c r="U205" s="1463">
        <f t="shared" si="223"/>
        <v>4400</v>
      </c>
      <c r="V205" s="1454"/>
      <c r="W205" s="1454"/>
      <c r="X205" s="1463">
        <f t="shared" si="224"/>
        <v>4400</v>
      </c>
      <c r="Y205" s="1463">
        <f t="shared" si="225"/>
        <v>4400</v>
      </c>
      <c r="Z205" s="1460">
        <v>0</v>
      </c>
      <c r="AA205" s="1460">
        <v>0</v>
      </c>
      <c r="AB205" s="1460">
        <v>4400</v>
      </c>
      <c r="AC205" s="1460">
        <v>4400</v>
      </c>
      <c r="AD205" s="1460"/>
      <c r="AE205" s="1460"/>
      <c r="AF205" s="1383">
        <f t="shared" si="182"/>
        <v>4400</v>
      </c>
      <c r="AG205" s="1383">
        <f t="shared" si="183"/>
        <v>4400</v>
      </c>
      <c r="AH205" s="1383">
        <f t="shared" si="199"/>
        <v>6760</v>
      </c>
      <c r="AI205" s="1383">
        <v>2400</v>
      </c>
      <c r="AJ205" s="1383">
        <v>4360</v>
      </c>
      <c r="AK205" s="1383"/>
      <c r="AL205" s="1383"/>
      <c r="AM205" s="1383"/>
      <c r="AN205" s="1440"/>
      <c r="AO205" s="1440"/>
      <c r="AP205" s="1431">
        <f t="shared" si="154"/>
        <v>0</v>
      </c>
      <c r="AQ205" s="1431">
        <f t="shared" si="204"/>
        <v>1</v>
      </c>
      <c r="AR205" s="1434">
        <f t="shared" si="203"/>
        <v>0</v>
      </c>
      <c r="AS205" s="1434"/>
      <c r="AT205" s="1427">
        <f t="shared" si="226"/>
        <v>1</v>
      </c>
      <c r="AV205" s="1427">
        <f t="shared" si="227"/>
        <v>0</v>
      </c>
      <c r="AW205" s="1427">
        <f t="shared" si="209"/>
        <v>0</v>
      </c>
      <c r="AX205" s="1427">
        <f t="shared" si="228"/>
        <v>0</v>
      </c>
      <c r="AY205" s="1427">
        <f t="shared" si="210"/>
        <v>0</v>
      </c>
      <c r="AZ205" s="1427">
        <f t="shared" si="229"/>
        <v>0</v>
      </c>
      <c r="BA205" s="1427">
        <f t="shared" si="211"/>
        <v>0</v>
      </c>
      <c r="BB205" s="1427">
        <f t="shared" si="230"/>
        <v>0</v>
      </c>
      <c r="BC205" s="1427">
        <f t="shared" si="212"/>
        <v>0</v>
      </c>
      <c r="BD205" s="1436">
        <f t="shared" si="205"/>
        <v>1</v>
      </c>
    </row>
    <row r="206" spans="1:56" ht="56.25" x14ac:dyDescent="0.3">
      <c r="A206" s="1461" t="s">
        <v>2935</v>
      </c>
      <c r="B206" s="1461"/>
      <c r="C206" s="1458" t="s">
        <v>446</v>
      </c>
      <c r="D206" s="1388" t="s">
        <v>447</v>
      </c>
      <c r="E206" s="1388" t="s">
        <v>448</v>
      </c>
      <c r="F206" s="1388" t="s">
        <v>97</v>
      </c>
      <c r="G206" s="1388" t="s">
        <v>449</v>
      </c>
      <c r="H206" s="1460">
        <v>2788</v>
      </c>
      <c r="I206" s="1383">
        <f t="shared" si="231"/>
        <v>2788</v>
      </c>
      <c r="J206" s="1383"/>
      <c r="K206" s="1383"/>
      <c r="L206" s="1383"/>
      <c r="M206" s="1383"/>
      <c r="N206" s="1383">
        <v>2500</v>
      </c>
      <c r="O206" s="1460">
        <f t="shared" si="232"/>
        <v>2500</v>
      </c>
      <c r="P206" s="1383">
        <v>2500</v>
      </c>
      <c r="Q206" s="1460">
        <f t="shared" ref="Q206:Q214" si="233">P206</f>
        <v>2500</v>
      </c>
      <c r="R206" s="1454"/>
      <c r="S206" s="1454"/>
      <c r="T206" s="1463">
        <f t="shared" si="223"/>
        <v>2500</v>
      </c>
      <c r="U206" s="1463">
        <f t="shared" si="223"/>
        <v>2500</v>
      </c>
      <c r="V206" s="1454"/>
      <c r="W206" s="1454"/>
      <c r="X206" s="1463">
        <f t="shared" si="224"/>
        <v>2500</v>
      </c>
      <c r="Y206" s="1463">
        <f t="shared" si="225"/>
        <v>2500</v>
      </c>
      <c r="Z206" s="1460">
        <v>0</v>
      </c>
      <c r="AA206" s="1460">
        <v>0</v>
      </c>
      <c r="AB206" s="1460">
        <v>2500</v>
      </c>
      <c r="AC206" s="1460">
        <v>2500</v>
      </c>
      <c r="AD206" s="1460"/>
      <c r="AE206" s="1460"/>
      <c r="AF206" s="1383">
        <f t="shared" si="182"/>
        <v>2500</v>
      </c>
      <c r="AG206" s="1383">
        <f t="shared" si="183"/>
        <v>2500</v>
      </c>
      <c r="AH206" s="1383">
        <f t="shared" si="199"/>
        <v>2000</v>
      </c>
      <c r="AI206" s="1383">
        <v>2000</v>
      </c>
      <c r="AJ206" s="1383"/>
      <c r="AK206" s="1383"/>
      <c r="AL206" s="1383"/>
      <c r="AM206" s="1383"/>
      <c r="AN206" s="1440"/>
      <c r="AO206" s="1440"/>
      <c r="AP206" s="1431">
        <f t="shared" si="154"/>
        <v>0</v>
      </c>
      <c r="AQ206" s="1431">
        <f t="shared" si="204"/>
        <v>1</v>
      </c>
      <c r="AR206" s="1434">
        <f t="shared" si="203"/>
        <v>0</v>
      </c>
      <c r="AS206" s="1434"/>
      <c r="AT206" s="1427">
        <f t="shared" si="226"/>
        <v>1</v>
      </c>
      <c r="AV206" s="1427">
        <f t="shared" si="227"/>
        <v>0</v>
      </c>
      <c r="AW206" s="1427">
        <f t="shared" si="209"/>
        <v>0</v>
      </c>
      <c r="AX206" s="1427">
        <f t="shared" si="228"/>
        <v>0</v>
      </c>
      <c r="AY206" s="1427">
        <f t="shared" si="210"/>
        <v>0</v>
      </c>
      <c r="AZ206" s="1427">
        <f t="shared" si="229"/>
        <v>0</v>
      </c>
      <c r="BA206" s="1427">
        <f t="shared" si="211"/>
        <v>0</v>
      </c>
      <c r="BB206" s="1427">
        <f t="shared" si="230"/>
        <v>0</v>
      </c>
      <c r="BC206" s="1427">
        <f t="shared" si="212"/>
        <v>0</v>
      </c>
      <c r="BD206" s="1436">
        <f t="shared" si="205"/>
        <v>1</v>
      </c>
    </row>
    <row r="207" spans="1:56" ht="64.5" customHeight="1" x14ac:dyDescent="0.3">
      <c r="A207" s="1461" t="s">
        <v>2936</v>
      </c>
      <c r="B207" s="1461"/>
      <c r="C207" s="1458" t="s">
        <v>451</v>
      </c>
      <c r="D207" s="1388" t="s">
        <v>95</v>
      </c>
      <c r="E207" s="1388" t="s">
        <v>452</v>
      </c>
      <c r="F207" s="1388" t="s">
        <v>97</v>
      </c>
      <c r="G207" s="1388" t="s">
        <v>453</v>
      </c>
      <c r="H207" s="1443">
        <f t="shared" ref="H207:H214" si="234">I207</f>
        <v>1917</v>
      </c>
      <c r="I207" s="1460">
        <v>1917</v>
      </c>
      <c r="J207" s="1460"/>
      <c r="K207" s="1460"/>
      <c r="L207" s="1460"/>
      <c r="M207" s="1460"/>
      <c r="N207" s="1463">
        <v>1720</v>
      </c>
      <c r="O207" s="1460">
        <f t="shared" si="232"/>
        <v>1720</v>
      </c>
      <c r="P207" s="1463">
        <v>1720</v>
      </c>
      <c r="Q207" s="1460">
        <f t="shared" si="233"/>
        <v>1720</v>
      </c>
      <c r="R207" s="1454"/>
      <c r="S207" s="1454"/>
      <c r="T207" s="1463">
        <f t="shared" si="223"/>
        <v>1720</v>
      </c>
      <c r="U207" s="1463">
        <f t="shared" si="223"/>
        <v>1720</v>
      </c>
      <c r="V207" s="1454"/>
      <c r="W207" s="1454"/>
      <c r="X207" s="1463">
        <f t="shared" si="224"/>
        <v>1720</v>
      </c>
      <c r="Y207" s="1463">
        <f t="shared" si="225"/>
        <v>1720</v>
      </c>
      <c r="Z207" s="1460">
        <v>0</v>
      </c>
      <c r="AA207" s="1460">
        <v>0</v>
      </c>
      <c r="AB207" s="1460">
        <v>1720</v>
      </c>
      <c r="AC207" s="1460">
        <v>1720</v>
      </c>
      <c r="AD207" s="1460"/>
      <c r="AE207" s="1460"/>
      <c r="AF207" s="1383">
        <f t="shared" si="182"/>
        <v>1720</v>
      </c>
      <c r="AG207" s="1383">
        <f t="shared" si="183"/>
        <v>1720</v>
      </c>
      <c r="AH207" s="1383">
        <f t="shared" si="199"/>
        <v>1500</v>
      </c>
      <c r="AI207" s="1383"/>
      <c r="AJ207" s="1383">
        <v>1500</v>
      </c>
      <c r="AK207" s="1383"/>
      <c r="AL207" s="1383"/>
      <c r="AM207" s="1383"/>
      <c r="AN207" s="1464"/>
      <c r="AO207" s="1464">
        <v>87</v>
      </c>
      <c r="AP207" s="1431">
        <f t="shared" si="154"/>
        <v>0</v>
      </c>
      <c r="AQ207" s="1431">
        <f t="shared" si="204"/>
        <v>1</v>
      </c>
      <c r="AR207" s="1434">
        <f t="shared" si="203"/>
        <v>0</v>
      </c>
      <c r="AS207" s="1434"/>
      <c r="AT207" s="1427">
        <f t="shared" si="226"/>
        <v>1</v>
      </c>
      <c r="AV207" s="1427">
        <f t="shared" si="227"/>
        <v>0</v>
      </c>
      <c r="AW207" s="1427">
        <f t="shared" si="209"/>
        <v>0</v>
      </c>
      <c r="AX207" s="1427">
        <f t="shared" si="228"/>
        <v>0</v>
      </c>
      <c r="AY207" s="1427">
        <f t="shared" si="210"/>
        <v>0</v>
      </c>
      <c r="AZ207" s="1427">
        <f t="shared" si="229"/>
        <v>0</v>
      </c>
      <c r="BA207" s="1427">
        <f t="shared" si="211"/>
        <v>0</v>
      </c>
      <c r="BB207" s="1427">
        <f t="shared" si="230"/>
        <v>0</v>
      </c>
      <c r="BC207" s="1427">
        <f t="shared" si="212"/>
        <v>0</v>
      </c>
      <c r="BD207" s="1436">
        <f t="shared" si="205"/>
        <v>1</v>
      </c>
    </row>
    <row r="208" spans="1:56" ht="63" customHeight="1" x14ac:dyDescent="0.3">
      <c r="A208" s="1461" t="s">
        <v>2937</v>
      </c>
      <c r="B208" s="1461"/>
      <c r="C208" s="1458" t="s">
        <v>455</v>
      </c>
      <c r="D208" s="1388" t="s">
        <v>58</v>
      </c>
      <c r="E208" s="1388" t="s">
        <v>456</v>
      </c>
      <c r="F208" s="1388" t="s">
        <v>109</v>
      </c>
      <c r="G208" s="1388" t="s">
        <v>457</v>
      </c>
      <c r="H208" s="1443">
        <f t="shared" si="234"/>
        <v>18026</v>
      </c>
      <c r="I208" s="1476">
        <v>18026</v>
      </c>
      <c r="J208" s="1460"/>
      <c r="K208" s="1460"/>
      <c r="L208" s="1460"/>
      <c r="M208" s="1460"/>
      <c r="N208" s="1463">
        <v>16200</v>
      </c>
      <c r="O208" s="1460">
        <f t="shared" si="232"/>
        <v>16200</v>
      </c>
      <c r="P208" s="1463">
        <v>16200</v>
      </c>
      <c r="Q208" s="1460">
        <f t="shared" si="233"/>
        <v>16200</v>
      </c>
      <c r="R208" s="1454"/>
      <c r="S208" s="1454"/>
      <c r="T208" s="1463">
        <f t="shared" si="223"/>
        <v>16200</v>
      </c>
      <c r="U208" s="1463">
        <f t="shared" si="223"/>
        <v>16200</v>
      </c>
      <c r="V208" s="1454"/>
      <c r="W208" s="1454"/>
      <c r="X208" s="1463">
        <f t="shared" si="224"/>
        <v>16200</v>
      </c>
      <c r="Y208" s="1463">
        <f t="shared" si="225"/>
        <v>16200</v>
      </c>
      <c r="Z208" s="1460">
        <v>0</v>
      </c>
      <c r="AA208" s="1460">
        <v>0</v>
      </c>
      <c r="AB208" s="1460">
        <v>16200</v>
      </c>
      <c r="AC208" s="1460">
        <v>16200</v>
      </c>
      <c r="AD208" s="1460"/>
      <c r="AE208" s="1460"/>
      <c r="AF208" s="1383">
        <f t="shared" si="182"/>
        <v>16200</v>
      </c>
      <c r="AG208" s="1383">
        <f t="shared" si="183"/>
        <v>16200</v>
      </c>
      <c r="AH208" s="1383">
        <f t="shared" si="199"/>
        <v>15500</v>
      </c>
      <c r="AI208" s="1383"/>
      <c r="AJ208" s="1383">
        <v>10000</v>
      </c>
      <c r="AK208" s="1383">
        <v>5500</v>
      </c>
      <c r="AL208" s="1383"/>
      <c r="AM208" s="1383"/>
      <c r="AN208" s="1464"/>
      <c r="AO208" s="1464"/>
      <c r="AP208" s="1431">
        <f t="shared" si="154"/>
        <v>0</v>
      </c>
      <c r="AQ208" s="1431">
        <f t="shared" si="204"/>
        <v>1</v>
      </c>
      <c r="AR208" s="1434">
        <f t="shared" si="203"/>
        <v>0</v>
      </c>
      <c r="AS208" s="1434"/>
      <c r="AT208" s="1427">
        <f t="shared" si="226"/>
        <v>1</v>
      </c>
      <c r="AV208" s="1427">
        <f t="shared" si="227"/>
        <v>0</v>
      </c>
      <c r="AW208" s="1427">
        <f t="shared" si="209"/>
        <v>0</v>
      </c>
      <c r="AX208" s="1427">
        <f t="shared" si="228"/>
        <v>0</v>
      </c>
      <c r="AY208" s="1427">
        <f t="shared" si="210"/>
        <v>0</v>
      </c>
      <c r="AZ208" s="1427">
        <f t="shared" si="229"/>
        <v>0</v>
      </c>
      <c r="BA208" s="1427">
        <f t="shared" si="211"/>
        <v>0</v>
      </c>
      <c r="BB208" s="1427">
        <f t="shared" si="230"/>
        <v>0</v>
      </c>
      <c r="BC208" s="1427">
        <f t="shared" si="212"/>
        <v>0</v>
      </c>
      <c r="BD208" s="1436">
        <f t="shared" si="205"/>
        <v>1</v>
      </c>
    </row>
    <row r="209" spans="1:56" ht="128.25" customHeight="1" x14ac:dyDescent="0.3">
      <c r="A209" s="1461" t="s">
        <v>2938</v>
      </c>
      <c r="B209" s="1461" t="s">
        <v>2929</v>
      </c>
      <c r="C209" s="1458" t="s">
        <v>459</v>
      </c>
      <c r="D209" s="1388" t="s">
        <v>460</v>
      </c>
      <c r="E209" s="1388" t="s">
        <v>2703</v>
      </c>
      <c r="F209" s="1465" t="s">
        <v>461</v>
      </c>
      <c r="G209" s="1388" t="s">
        <v>462</v>
      </c>
      <c r="H209" s="1443">
        <f t="shared" si="234"/>
        <v>3949</v>
      </c>
      <c r="I209" s="1476">
        <v>3949</v>
      </c>
      <c r="J209" s="1460"/>
      <c r="K209" s="1460"/>
      <c r="L209" s="1460"/>
      <c r="M209" s="1460"/>
      <c r="N209" s="1463">
        <v>4200</v>
      </c>
      <c r="O209" s="1460">
        <f t="shared" si="232"/>
        <v>4200</v>
      </c>
      <c r="P209" s="1463">
        <f>Q209</f>
        <v>3550</v>
      </c>
      <c r="Q209" s="1460">
        <v>3550</v>
      </c>
      <c r="R209" s="1454"/>
      <c r="S209" s="1454">
        <f>O209-U209</f>
        <v>650</v>
      </c>
      <c r="T209" s="1463">
        <f t="shared" si="223"/>
        <v>3550</v>
      </c>
      <c r="U209" s="1463">
        <f t="shared" si="223"/>
        <v>3550</v>
      </c>
      <c r="V209" s="1454"/>
      <c r="W209" s="1454"/>
      <c r="X209" s="1463">
        <f t="shared" si="224"/>
        <v>3550</v>
      </c>
      <c r="Y209" s="1463">
        <f t="shared" si="225"/>
        <v>3550</v>
      </c>
      <c r="Z209" s="1460">
        <v>0</v>
      </c>
      <c r="AA209" s="1460">
        <v>0</v>
      </c>
      <c r="AB209" s="1460">
        <v>3090</v>
      </c>
      <c r="AC209" s="1460">
        <v>3090</v>
      </c>
      <c r="AD209" s="1460"/>
      <c r="AE209" s="1525"/>
      <c r="AF209" s="1383">
        <f t="shared" si="182"/>
        <v>3090</v>
      </c>
      <c r="AG209" s="1383">
        <f t="shared" si="183"/>
        <v>3090</v>
      </c>
      <c r="AH209" s="1383">
        <f t="shared" si="199"/>
        <v>3090</v>
      </c>
      <c r="AI209" s="1383"/>
      <c r="AJ209" s="1383"/>
      <c r="AK209" s="1383">
        <v>3000</v>
      </c>
      <c r="AL209" s="1383">
        <v>90</v>
      </c>
      <c r="AM209" s="1383"/>
      <c r="AN209" s="1489"/>
      <c r="AO209" s="1489">
        <v>460</v>
      </c>
      <c r="AP209" s="1431">
        <f t="shared" ref="AP209:AP272" si="235">IF(AG209-AC209=0,0,1)</f>
        <v>0</v>
      </c>
      <c r="AQ209" s="1431">
        <f t="shared" si="204"/>
        <v>1</v>
      </c>
      <c r="AR209" s="1434">
        <f t="shared" si="203"/>
        <v>0</v>
      </c>
      <c r="AS209" s="1434"/>
      <c r="AT209" s="1427">
        <f t="shared" si="226"/>
        <v>1</v>
      </c>
      <c r="AV209" s="1427">
        <f t="shared" si="227"/>
        <v>0</v>
      </c>
      <c r="AW209" s="1427">
        <f t="shared" si="209"/>
        <v>0</v>
      </c>
      <c r="AX209" s="1427">
        <f t="shared" si="228"/>
        <v>0</v>
      </c>
      <c r="AY209" s="1427">
        <f t="shared" si="210"/>
        <v>0</v>
      </c>
      <c r="AZ209" s="1427">
        <f t="shared" si="229"/>
        <v>0</v>
      </c>
      <c r="BA209" s="1427">
        <f t="shared" si="211"/>
        <v>0</v>
      </c>
      <c r="BB209" s="1427">
        <f t="shared" si="230"/>
        <v>1</v>
      </c>
      <c r="BC209" s="1427">
        <f t="shared" si="212"/>
        <v>650</v>
      </c>
      <c r="BD209" s="1436">
        <f t="shared" si="205"/>
        <v>1</v>
      </c>
    </row>
    <row r="210" spans="1:56" ht="333" customHeight="1" x14ac:dyDescent="0.3">
      <c r="A210" s="1461" t="s">
        <v>2939</v>
      </c>
      <c r="B210" s="1461" t="s">
        <v>2930</v>
      </c>
      <c r="C210" s="1458" t="s">
        <v>464</v>
      </c>
      <c r="D210" s="1388" t="s">
        <v>465</v>
      </c>
      <c r="E210" s="1388" t="s">
        <v>466</v>
      </c>
      <c r="F210" s="1465" t="s">
        <v>461</v>
      </c>
      <c r="G210" s="1388" t="s">
        <v>467</v>
      </c>
      <c r="H210" s="1443">
        <f t="shared" si="234"/>
        <v>3390</v>
      </c>
      <c r="I210" s="1476">
        <v>3390</v>
      </c>
      <c r="J210" s="1460"/>
      <c r="K210" s="1460"/>
      <c r="L210" s="1460"/>
      <c r="M210" s="1460"/>
      <c r="N210" s="1463">
        <v>2700</v>
      </c>
      <c r="O210" s="1460">
        <f t="shared" si="232"/>
        <v>2700</v>
      </c>
      <c r="P210" s="1460">
        <f>Q210</f>
        <v>3050</v>
      </c>
      <c r="Q210" s="1460">
        <v>3050</v>
      </c>
      <c r="R210" s="1454">
        <f>U210-O210</f>
        <v>350</v>
      </c>
      <c r="S210" s="1454"/>
      <c r="T210" s="1463">
        <f t="shared" si="223"/>
        <v>3050</v>
      </c>
      <c r="U210" s="1463">
        <f t="shared" si="223"/>
        <v>3050</v>
      </c>
      <c r="V210" s="1454"/>
      <c r="W210" s="1454"/>
      <c r="X210" s="1463">
        <f t="shared" si="224"/>
        <v>3050</v>
      </c>
      <c r="Y210" s="1463">
        <f t="shared" si="225"/>
        <v>3050</v>
      </c>
      <c r="Z210" s="1460">
        <v>0</v>
      </c>
      <c r="AA210" s="1460">
        <v>0</v>
      </c>
      <c r="AB210" s="1460">
        <v>2864</v>
      </c>
      <c r="AC210" s="1460">
        <v>2864</v>
      </c>
      <c r="AD210" s="1460"/>
      <c r="AE210" s="1525"/>
      <c r="AF210" s="1383">
        <f t="shared" si="182"/>
        <v>2864</v>
      </c>
      <c r="AG210" s="1383">
        <f t="shared" si="183"/>
        <v>2864</v>
      </c>
      <c r="AH210" s="1383">
        <f t="shared" si="199"/>
        <v>2700</v>
      </c>
      <c r="AI210" s="1383"/>
      <c r="AJ210" s="1383"/>
      <c r="AK210" s="1383">
        <v>2700</v>
      </c>
      <c r="AL210" s="1383"/>
      <c r="AM210" s="1383"/>
      <c r="AN210" s="1489"/>
      <c r="AO210" s="1489"/>
      <c r="AP210" s="1431">
        <f t="shared" si="235"/>
        <v>0</v>
      </c>
      <c r="AQ210" s="1431">
        <f t="shared" si="204"/>
        <v>1</v>
      </c>
      <c r="AR210" s="1434">
        <f t="shared" si="203"/>
        <v>0</v>
      </c>
      <c r="AS210" s="1434"/>
      <c r="AT210" s="1427">
        <f t="shared" si="226"/>
        <v>1</v>
      </c>
      <c r="AV210" s="1427">
        <f t="shared" si="227"/>
        <v>0</v>
      </c>
      <c r="AW210" s="1427">
        <f t="shared" si="209"/>
        <v>0</v>
      </c>
      <c r="AX210" s="1427">
        <f t="shared" si="228"/>
        <v>0</v>
      </c>
      <c r="AY210" s="1427">
        <f t="shared" si="210"/>
        <v>0</v>
      </c>
      <c r="AZ210" s="1427">
        <f t="shared" si="229"/>
        <v>1</v>
      </c>
      <c r="BA210" s="1427">
        <f t="shared" si="211"/>
        <v>350</v>
      </c>
      <c r="BB210" s="1427">
        <f t="shared" si="230"/>
        <v>0</v>
      </c>
      <c r="BC210" s="1427">
        <f t="shared" si="212"/>
        <v>0</v>
      </c>
      <c r="BD210" s="1436">
        <f t="shared" si="205"/>
        <v>1</v>
      </c>
    </row>
    <row r="211" spans="1:56" ht="98.25" customHeight="1" x14ac:dyDescent="0.3">
      <c r="A211" s="1461" t="s">
        <v>2940</v>
      </c>
      <c r="B211" s="1461" t="s">
        <v>2931</v>
      </c>
      <c r="C211" s="1458" t="s">
        <v>469</v>
      </c>
      <c r="D211" s="1388"/>
      <c r="E211" s="1388" t="s">
        <v>2618</v>
      </c>
      <c r="F211" s="1465" t="s">
        <v>461</v>
      </c>
      <c r="G211" s="1388" t="s">
        <v>471</v>
      </c>
      <c r="H211" s="1443">
        <f t="shared" si="234"/>
        <v>2233</v>
      </c>
      <c r="I211" s="1476">
        <v>2233</v>
      </c>
      <c r="J211" s="1460"/>
      <c r="K211" s="1460"/>
      <c r="L211" s="1460"/>
      <c r="M211" s="1460"/>
      <c r="N211" s="1463">
        <f>O211</f>
        <v>4950</v>
      </c>
      <c r="O211" s="1460">
        <v>4950</v>
      </c>
      <c r="P211" s="1463">
        <f>Q211</f>
        <v>2000</v>
      </c>
      <c r="Q211" s="1460">
        <v>2000</v>
      </c>
      <c r="R211" s="1454"/>
      <c r="S211" s="1454">
        <f>O211-U211</f>
        <v>2950</v>
      </c>
      <c r="T211" s="1463">
        <f t="shared" si="223"/>
        <v>2000</v>
      </c>
      <c r="U211" s="1463">
        <f t="shared" si="223"/>
        <v>2000</v>
      </c>
      <c r="V211" s="1454"/>
      <c r="W211" s="1454"/>
      <c r="X211" s="1463">
        <f t="shared" si="224"/>
        <v>2000</v>
      </c>
      <c r="Y211" s="1463">
        <f t="shared" si="225"/>
        <v>2000</v>
      </c>
      <c r="Z211" s="1460">
        <v>0</v>
      </c>
      <c r="AA211" s="1460">
        <v>0</v>
      </c>
      <c r="AB211" s="1460">
        <v>1907</v>
      </c>
      <c r="AC211" s="1460">
        <v>1907</v>
      </c>
      <c r="AD211" s="1460"/>
      <c r="AE211" s="1525"/>
      <c r="AF211" s="1383">
        <f t="shared" si="182"/>
        <v>1907</v>
      </c>
      <c r="AG211" s="1383">
        <f t="shared" si="183"/>
        <v>1907</v>
      </c>
      <c r="AH211" s="1383">
        <f t="shared" si="199"/>
        <v>1800</v>
      </c>
      <c r="AI211" s="1383"/>
      <c r="AJ211" s="1383"/>
      <c r="AK211" s="1383">
        <v>1800</v>
      </c>
      <c r="AL211" s="1383"/>
      <c r="AM211" s="1383"/>
      <c r="AN211" s="1489"/>
      <c r="AO211" s="1489"/>
      <c r="AP211" s="1431">
        <f t="shared" si="235"/>
        <v>0</v>
      </c>
      <c r="AQ211" s="1431">
        <f t="shared" si="204"/>
        <v>1</v>
      </c>
      <c r="AR211" s="1434">
        <f t="shared" si="203"/>
        <v>0</v>
      </c>
      <c r="AS211" s="1434"/>
      <c r="AT211" s="1427">
        <f t="shared" si="226"/>
        <v>1</v>
      </c>
      <c r="AV211" s="1427">
        <f t="shared" si="227"/>
        <v>0</v>
      </c>
      <c r="AW211" s="1427">
        <f t="shared" si="209"/>
        <v>0</v>
      </c>
      <c r="AX211" s="1427">
        <f t="shared" si="228"/>
        <v>0</v>
      </c>
      <c r="AY211" s="1427">
        <f t="shared" si="210"/>
        <v>0</v>
      </c>
      <c r="AZ211" s="1427">
        <f t="shared" si="229"/>
        <v>0</v>
      </c>
      <c r="BA211" s="1427">
        <f t="shared" si="211"/>
        <v>0</v>
      </c>
      <c r="BB211" s="1427">
        <f t="shared" si="230"/>
        <v>1</v>
      </c>
      <c r="BC211" s="1427">
        <f t="shared" si="212"/>
        <v>2950</v>
      </c>
      <c r="BD211" s="1436">
        <f t="shared" si="205"/>
        <v>1</v>
      </c>
    </row>
    <row r="212" spans="1:56" ht="60.75" customHeight="1" x14ac:dyDescent="0.3">
      <c r="A212" s="1461" t="s">
        <v>2941</v>
      </c>
      <c r="B212" s="1461" t="s">
        <v>2932</v>
      </c>
      <c r="C212" s="1458" t="s">
        <v>473</v>
      </c>
      <c r="D212" s="1388"/>
      <c r="E212" s="1388" t="s">
        <v>474</v>
      </c>
      <c r="F212" s="1465" t="s">
        <v>461</v>
      </c>
      <c r="G212" s="1388" t="s">
        <v>475</v>
      </c>
      <c r="H212" s="1443">
        <f t="shared" si="234"/>
        <v>3149</v>
      </c>
      <c r="I212" s="1476">
        <v>3149</v>
      </c>
      <c r="J212" s="1460"/>
      <c r="K212" s="1460"/>
      <c r="L212" s="1460"/>
      <c r="M212" s="1460"/>
      <c r="N212" s="1463">
        <f>O212</f>
        <v>3960</v>
      </c>
      <c r="O212" s="1460">
        <v>3960</v>
      </c>
      <c r="P212" s="1463">
        <f>Q212</f>
        <v>2850</v>
      </c>
      <c r="Q212" s="1460">
        <v>2850</v>
      </c>
      <c r="R212" s="1454"/>
      <c r="S212" s="1454">
        <f>O212-U212</f>
        <v>1110</v>
      </c>
      <c r="T212" s="1463">
        <f t="shared" si="223"/>
        <v>2850</v>
      </c>
      <c r="U212" s="1463">
        <f t="shared" si="223"/>
        <v>2850</v>
      </c>
      <c r="V212" s="1454"/>
      <c r="W212" s="1454"/>
      <c r="X212" s="1463">
        <f t="shared" si="224"/>
        <v>2850</v>
      </c>
      <c r="Y212" s="1463">
        <f t="shared" si="225"/>
        <v>2850</v>
      </c>
      <c r="Z212" s="1460">
        <v>0</v>
      </c>
      <c r="AA212" s="1460">
        <v>0</v>
      </c>
      <c r="AB212" s="1460">
        <v>2674</v>
      </c>
      <c r="AC212" s="1460">
        <v>2674</v>
      </c>
      <c r="AD212" s="1460"/>
      <c r="AE212" s="1525"/>
      <c r="AF212" s="1383">
        <f t="shared" si="182"/>
        <v>2674</v>
      </c>
      <c r="AG212" s="1383">
        <f t="shared" si="183"/>
        <v>2674</v>
      </c>
      <c r="AH212" s="1383">
        <f t="shared" si="199"/>
        <v>2400</v>
      </c>
      <c r="AI212" s="1383"/>
      <c r="AJ212" s="1383"/>
      <c r="AK212" s="1383">
        <v>2400</v>
      </c>
      <c r="AL212" s="1383"/>
      <c r="AM212" s="1383"/>
      <c r="AN212" s="1489"/>
      <c r="AO212" s="1489"/>
      <c r="AP212" s="1431">
        <f t="shared" si="235"/>
        <v>0</v>
      </c>
      <c r="AQ212" s="1431">
        <f t="shared" si="204"/>
        <v>1</v>
      </c>
      <c r="AR212" s="1434">
        <f t="shared" si="203"/>
        <v>0</v>
      </c>
      <c r="AS212" s="1434"/>
      <c r="AT212" s="1427">
        <f t="shared" si="226"/>
        <v>1</v>
      </c>
      <c r="AV212" s="1427">
        <f t="shared" si="227"/>
        <v>0</v>
      </c>
      <c r="AW212" s="1427">
        <f t="shared" si="209"/>
        <v>0</v>
      </c>
      <c r="AX212" s="1427">
        <f t="shared" si="228"/>
        <v>0</v>
      </c>
      <c r="AY212" s="1427">
        <f t="shared" si="210"/>
        <v>0</v>
      </c>
      <c r="AZ212" s="1427">
        <f t="shared" si="229"/>
        <v>0</v>
      </c>
      <c r="BA212" s="1427">
        <f t="shared" si="211"/>
        <v>0</v>
      </c>
      <c r="BB212" s="1427">
        <f t="shared" si="230"/>
        <v>1</v>
      </c>
      <c r="BC212" s="1427">
        <f t="shared" si="212"/>
        <v>1110</v>
      </c>
      <c r="BD212" s="1436">
        <f t="shared" si="205"/>
        <v>1</v>
      </c>
    </row>
    <row r="213" spans="1:56" ht="78" customHeight="1" x14ac:dyDescent="0.3">
      <c r="A213" s="1461" t="s">
        <v>2942</v>
      </c>
      <c r="B213" s="1461" t="s">
        <v>2933</v>
      </c>
      <c r="C213" s="1442" t="s">
        <v>477</v>
      </c>
      <c r="D213" s="1388" t="s">
        <v>478</v>
      </c>
      <c r="E213" s="1388" t="s">
        <v>479</v>
      </c>
      <c r="F213" s="1465" t="s">
        <v>461</v>
      </c>
      <c r="G213" s="1388" t="s">
        <v>480</v>
      </c>
      <c r="H213" s="1444">
        <f t="shared" si="234"/>
        <v>5920</v>
      </c>
      <c r="I213" s="1476">
        <v>5920</v>
      </c>
      <c r="J213" s="1460"/>
      <c r="K213" s="1460"/>
      <c r="L213" s="1460"/>
      <c r="M213" s="1460"/>
      <c r="N213" s="1463">
        <f>O213</f>
        <v>5400</v>
      </c>
      <c r="O213" s="1460">
        <v>5400</v>
      </c>
      <c r="P213" s="1463">
        <f>N213</f>
        <v>5400</v>
      </c>
      <c r="Q213" s="1460">
        <f>O213</f>
        <v>5400</v>
      </c>
      <c r="R213" s="1454"/>
      <c r="S213" s="1454"/>
      <c r="T213" s="1463">
        <f t="shared" si="223"/>
        <v>5400</v>
      </c>
      <c r="U213" s="1463">
        <f t="shared" si="223"/>
        <v>5400</v>
      </c>
      <c r="V213" s="1454"/>
      <c r="W213" s="1454"/>
      <c r="X213" s="1463">
        <f t="shared" si="224"/>
        <v>5400</v>
      </c>
      <c r="Y213" s="1463">
        <f t="shared" si="225"/>
        <v>5400</v>
      </c>
      <c r="Z213" s="1460">
        <v>0</v>
      </c>
      <c r="AA213" s="1460">
        <v>0</v>
      </c>
      <c r="AB213" s="1460">
        <v>5613</v>
      </c>
      <c r="AC213" s="1460">
        <v>5613</v>
      </c>
      <c r="AD213" s="1460"/>
      <c r="AE213" s="1460"/>
      <c r="AF213" s="1383">
        <f t="shared" si="182"/>
        <v>5613</v>
      </c>
      <c r="AG213" s="1383">
        <f t="shared" si="183"/>
        <v>5613</v>
      </c>
      <c r="AH213" s="1383">
        <f t="shared" si="199"/>
        <v>5400</v>
      </c>
      <c r="AI213" s="1383"/>
      <c r="AJ213" s="1383"/>
      <c r="AK213" s="1383">
        <v>4500</v>
      </c>
      <c r="AL213" s="1383">
        <v>900</v>
      </c>
      <c r="AM213" s="1383"/>
      <c r="AN213" s="1464"/>
      <c r="AO213" s="1464"/>
      <c r="AP213" s="1431">
        <f t="shared" si="235"/>
        <v>0</v>
      </c>
      <c r="AQ213" s="1431">
        <f t="shared" si="204"/>
        <v>1</v>
      </c>
      <c r="AR213" s="1434">
        <f t="shared" si="203"/>
        <v>0</v>
      </c>
      <c r="AS213" s="1434"/>
      <c r="AT213" s="1427">
        <f t="shared" si="226"/>
        <v>1</v>
      </c>
      <c r="AV213" s="1427">
        <f t="shared" si="227"/>
        <v>0</v>
      </c>
      <c r="AW213" s="1427">
        <f t="shared" si="209"/>
        <v>0</v>
      </c>
      <c r="AX213" s="1427">
        <f t="shared" si="228"/>
        <v>0</v>
      </c>
      <c r="AY213" s="1427">
        <f t="shared" si="210"/>
        <v>0</v>
      </c>
      <c r="AZ213" s="1427">
        <f t="shared" si="229"/>
        <v>0</v>
      </c>
      <c r="BA213" s="1427">
        <f t="shared" si="211"/>
        <v>0</v>
      </c>
      <c r="BB213" s="1427">
        <f t="shared" si="230"/>
        <v>0</v>
      </c>
      <c r="BC213" s="1427">
        <f t="shared" si="212"/>
        <v>0</v>
      </c>
      <c r="BD213" s="1436">
        <f t="shared" si="205"/>
        <v>1</v>
      </c>
    </row>
    <row r="214" spans="1:56" ht="60.75" customHeight="1" x14ac:dyDescent="0.3">
      <c r="A214" s="1461" t="s">
        <v>2943</v>
      </c>
      <c r="B214" s="1461"/>
      <c r="C214" s="1458" t="s">
        <v>482</v>
      </c>
      <c r="D214" s="1388" t="s">
        <v>95</v>
      </c>
      <c r="E214" s="1388" t="s">
        <v>479</v>
      </c>
      <c r="F214" s="1465" t="s">
        <v>116</v>
      </c>
      <c r="G214" s="1388" t="s">
        <v>483</v>
      </c>
      <c r="H214" s="1443">
        <f t="shared" si="234"/>
        <v>12821</v>
      </c>
      <c r="I214" s="1476">
        <v>12821</v>
      </c>
      <c r="J214" s="1460"/>
      <c r="K214" s="1460"/>
      <c r="L214" s="1460"/>
      <c r="M214" s="1460"/>
      <c r="N214" s="1463">
        <v>11500</v>
      </c>
      <c r="O214" s="1460">
        <f t="shared" si="232"/>
        <v>11500</v>
      </c>
      <c r="P214" s="1463">
        <v>11500</v>
      </c>
      <c r="Q214" s="1460">
        <f t="shared" si="233"/>
        <v>11500</v>
      </c>
      <c r="R214" s="1454"/>
      <c r="S214" s="1454"/>
      <c r="T214" s="1463">
        <f t="shared" si="223"/>
        <v>11500</v>
      </c>
      <c r="U214" s="1463">
        <f t="shared" si="223"/>
        <v>11500</v>
      </c>
      <c r="V214" s="1454"/>
      <c r="W214" s="1454"/>
      <c r="X214" s="1463">
        <f t="shared" si="224"/>
        <v>11500</v>
      </c>
      <c r="Y214" s="1463">
        <f t="shared" si="225"/>
        <v>11500</v>
      </c>
      <c r="Z214" s="1460">
        <v>0</v>
      </c>
      <c r="AA214" s="1460">
        <v>0</v>
      </c>
      <c r="AB214" s="1460">
        <v>11500</v>
      </c>
      <c r="AC214" s="1460">
        <v>11500</v>
      </c>
      <c r="AD214" s="1460"/>
      <c r="AE214" s="1460"/>
      <c r="AF214" s="1383">
        <f t="shared" si="182"/>
        <v>11500</v>
      </c>
      <c r="AG214" s="1383">
        <f t="shared" si="183"/>
        <v>11500</v>
      </c>
      <c r="AH214" s="1383">
        <f t="shared" si="199"/>
        <v>10800</v>
      </c>
      <c r="AI214" s="1383"/>
      <c r="AJ214" s="1383"/>
      <c r="AK214" s="1383">
        <v>3500</v>
      </c>
      <c r="AL214" s="1383">
        <v>7000</v>
      </c>
      <c r="AM214" s="1383">
        <v>300</v>
      </c>
      <c r="AN214" s="1464"/>
      <c r="AO214" s="1464"/>
      <c r="AP214" s="1431">
        <f t="shared" si="235"/>
        <v>0</v>
      </c>
      <c r="AQ214" s="1431">
        <f t="shared" si="204"/>
        <v>1</v>
      </c>
      <c r="AR214" s="1434">
        <f t="shared" si="203"/>
        <v>0</v>
      </c>
      <c r="AS214" s="1434"/>
      <c r="AT214" s="1427">
        <f t="shared" si="226"/>
        <v>1</v>
      </c>
      <c r="AV214" s="1427">
        <f t="shared" si="227"/>
        <v>0</v>
      </c>
      <c r="AW214" s="1427">
        <f t="shared" si="209"/>
        <v>0</v>
      </c>
      <c r="AX214" s="1427">
        <f t="shared" si="228"/>
        <v>0</v>
      </c>
      <c r="AY214" s="1427">
        <f t="shared" si="210"/>
        <v>0</v>
      </c>
      <c r="AZ214" s="1427">
        <f t="shared" si="229"/>
        <v>0</v>
      </c>
      <c r="BA214" s="1427">
        <f t="shared" si="211"/>
        <v>0</v>
      </c>
      <c r="BB214" s="1427">
        <f t="shared" si="230"/>
        <v>0</v>
      </c>
      <c r="BC214" s="1427">
        <f t="shared" si="212"/>
        <v>0</v>
      </c>
      <c r="BD214" s="1436">
        <f t="shared" si="205"/>
        <v>1</v>
      </c>
    </row>
    <row r="215" spans="1:56" ht="83.25" customHeight="1" x14ac:dyDescent="0.3">
      <c r="A215" s="1461" t="s">
        <v>2944</v>
      </c>
      <c r="B215" s="1461"/>
      <c r="C215" s="1458" t="s">
        <v>485</v>
      </c>
      <c r="D215" s="1388" t="s">
        <v>146</v>
      </c>
      <c r="E215" s="1388" t="s">
        <v>479</v>
      </c>
      <c r="F215" s="1388" t="s">
        <v>290</v>
      </c>
      <c r="G215" s="1388" t="s">
        <v>2457</v>
      </c>
      <c r="H215" s="1476">
        <v>5000</v>
      </c>
      <c r="I215" s="1476">
        <f t="shared" ref="I215" si="236">H215</f>
        <v>5000</v>
      </c>
      <c r="J215" s="1460"/>
      <c r="K215" s="1460"/>
      <c r="L215" s="1460"/>
      <c r="M215" s="1460"/>
      <c r="N215" s="1463">
        <f>H215*0.9</f>
        <v>4500</v>
      </c>
      <c r="O215" s="1463">
        <f>I215*0.9</f>
        <v>4500</v>
      </c>
      <c r="P215" s="1463">
        <f>N215*0.9</f>
        <v>4050</v>
      </c>
      <c r="Q215" s="1463">
        <f>O215*0.9</f>
        <v>4050</v>
      </c>
      <c r="R215" s="1454"/>
      <c r="S215" s="1454">
        <f>O215-U215</f>
        <v>450</v>
      </c>
      <c r="T215" s="1463">
        <f>P215</f>
        <v>4050</v>
      </c>
      <c r="U215" s="1463">
        <f>Q215</f>
        <v>4050</v>
      </c>
      <c r="V215" s="1454"/>
      <c r="W215" s="1454"/>
      <c r="X215" s="1463">
        <f>T215</f>
        <v>4050</v>
      </c>
      <c r="Y215" s="1463">
        <f>U215</f>
        <v>4050</v>
      </c>
      <c r="Z215" s="1460"/>
      <c r="AA215" s="1460"/>
      <c r="AB215" s="1460">
        <v>4050</v>
      </c>
      <c r="AC215" s="1460">
        <v>4050</v>
      </c>
      <c r="AD215" s="1460"/>
      <c r="AE215" s="1460"/>
      <c r="AF215" s="1383">
        <f t="shared" si="182"/>
        <v>4050</v>
      </c>
      <c r="AG215" s="1383">
        <f t="shared" si="183"/>
        <v>4050</v>
      </c>
      <c r="AH215" s="1383">
        <f t="shared" si="199"/>
        <v>4050</v>
      </c>
      <c r="AI215" s="1383"/>
      <c r="AJ215" s="1383"/>
      <c r="AK215" s="1383"/>
      <c r="AL215" s="1383">
        <v>3800</v>
      </c>
      <c r="AM215" s="1383">
        <v>250</v>
      </c>
      <c r="AN215" s="1489"/>
      <c r="AO215" s="1489"/>
      <c r="AP215" s="1431">
        <f t="shared" si="235"/>
        <v>0</v>
      </c>
      <c r="AQ215" s="1431">
        <f t="shared" si="204"/>
        <v>1</v>
      </c>
      <c r="AR215" s="1434">
        <f t="shared" si="203"/>
        <v>0</v>
      </c>
      <c r="AS215" s="1434"/>
      <c r="AT215" s="1427">
        <f t="shared" si="226"/>
        <v>1</v>
      </c>
      <c r="AV215" s="1427">
        <f t="shared" si="227"/>
        <v>0</v>
      </c>
      <c r="AW215" s="1427">
        <f t="shared" si="209"/>
        <v>0</v>
      </c>
      <c r="AX215" s="1427">
        <f t="shared" si="228"/>
        <v>0</v>
      </c>
      <c r="AY215" s="1427">
        <f t="shared" si="210"/>
        <v>0</v>
      </c>
      <c r="AZ215" s="1427">
        <f t="shared" si="229"/>
        <v>0</v>
      </c>
      <c r="BA215" s="1427">
        <f t="shared" si="211"/>
        <v>0</v>
      </c>
      <c r="BB215" s="1427">
        <f t="shared" si="230"/>
        <v>1</v>
      </c>
      <c r="BC215" s="1427">
        <f t="shared" si="212"/>
        <v>450</v>
      </c>
      <c r="BD215" s="1436">
        <f t="shared" si="205"/>
        <v>1</v>
      </c>
    </row>
    <row r="216" spans="1:56" ht="194.25" customHeight="1" x14ac:dyDescent="0.3">
      <c r="A216" s="1461" t="s">
        <v>2945</v>
      </c>
      <c r="B216" s="1461" t="s">
        <v>2934</v>
      </c>
      <c r="C216" s="1442" t="s">
        <v>486</v>
      </c>
      <c r="D216" s="1879" t="s">
        <v>487</v>
      </c>
      <c r="E216" s="1387" t="s">
        <v>488</v>
      </c>
      <c r="F216" s="1387" t="s">
        <v>101</v>
      </c>
      <c r="G216" s="1388" t="s">
        <v>2456</v>
      </c>
      <c r="H216" s="1383">
        <v>68000</v>
      </c>
      <c r="I216" s="1383">
        <v>20000</v>
      </c>
      <c r="J216" s="1460"/>
      <c r="K216" s="1460"/>
      <c r="L216" s="1460"/>
      <c r="M216" s="1460"/>
      <c r="N216" s="1463"/>
      <c r="O216" s="1460"/>
      <c r="P216" s="1463">
        <f>48000*0.9+Q216</f>
        <v>63200</v>
      </c>
      <c r="Q216" s="1460">
        <f>I216</f>
        <v>20000</v>
      </c>
      <c r="R216" s="1454">
        <f>U216</f>
        <v>20000</v>
      </c>
      <c r="S216" s="1454"/>
      <c r="T216" s="1463">
        <f>48000*0.9+U216</f>
        <v>63200</v>
      </c>
      <c r="U216" s="1460">
        <v>20000</v>
      </c>
      <c r="V216" s="1454"/>
      <c r="W216" s="1454"/>
      <c r="X216" s="1463">
        <f>48000*0.9+Y216</f>
        <v>63200</v>
      </c>
      <c r="Y216" s="1460">
        <v>20000</v>
      </c>
      <c r="Z216" s="1460"/>
      <c r="AA216" s="1460"/>
      <c r="AB216" s="1460">
        <v>49050</v>
      </c>
      <c r="AC216" s="1460">
        <v>5850</v>
      </c>
      <c r="AD216" s="1460"/>
      <c r="AE216" s="1525"/>
      <c r="AF216" s="1383">
        <v>49050</v>
      </c>
      <c r="AG216" s="1383">
        <f t="shared" si="183"/>
        <v>5850</v>
      </c>
      <c r="AH216" s="1383">
        <f t="shared" si="199"/>
        <v>5846</v>
      </c>
      <c r="AI216" s="1383"/>
      <c r="AJ216" s="1383"/>
      <c r="AK216" s="1383"/>
      <c r="AL216" s="1383">
        <v>5846</v>
      </c>
      <c r="AM216" s="1383">
        <f>14150-14150</f>
        <v>0</v>
      </c>
      <c r="AN216" s="1381"/>
      <c r="AO216" s="1381"/>
      <c r="AP216" s="1431">
        <f t="shared" si="235"/>
        <v>0</v>
      </c>
      <c r="AQ216" s="1431">
        <f t="shared" si="204"/>
        <v>1</v>
      </c>
      <c r="AR216" s="1434">
        <f t="shared" si="203"/>
        <v>0</v>
      </c>
      <c r="AS216" s="1434"/>
      <c r="AT216" s="1427">
        <f t="shared" si="226"/>
        <v>1</v>
      </c>
      <c r="AV216" s="1427">
        <f t="shared" si="227"/>
        <v>0</v>
      </c>
      <c r="AW216" s="1427">
        <f t="shared" si="209"/>
        <v>0</v>
      </c>
      <c r="AX216" s="1427">
        <f t="shared" si="228"/>
        <v>1</v>
      </c>
      <c r="AY216" s="1427">
        <f t="shared" si="210"/>
        <v>20000</v>
      </c>
      <c r="BB216" s="1427">
        <f t="shared" si="230"/>
        <v>0</v>
      </c>
      <c r="BC216" s="1427">
        <f t="shared" si="212"/>
        <v>0</v>
      </c>
      <c r="BD216" s="1436">
        <f t="shared" si="205"/>
        <v>1</v>
      </c>
    </row>
    <row r="217" spans="1:56" ht="79.5" customHeight="1" x14ac:dyDescent="0.3">
      <c r="A217" s="1461" t="s">
        <v>2946</v>
      </c>
      <c r="B217" s="1461" t="s">
        <v>2935</v>
      </c>
      <c r="C217" s="1458" t="s">
        <v>496</v>
      </c>
      <c r="D217" s="1388" t="s">
        <v>104</v>
      </c>
      <c r="E217" s="1388"/>
      <c r="F217" s="1388" t="s">
        <v>290</v>
      </c>
      <c r="G217" s="1388" t="s">
        <v>2458</v>
      </c>
      <c r="H217" s="1476">
        <f>I217</f>
        <v>24354</v>
      </c>
      <c r="I217" s="1476">
        <v>24354</v>
      </c>
      <c r="J217" s="1460"/>
      <c r="K217" s="1460"/>
      <c r="L217" s="1460"/>
      <c r="M217" s="1460"/>
      <c r="N217" s="1463">
        <v>1000</v>
      </c>
      <c r="O217" s="1460">
        <f>N217</f>
        <v>1000</v>
      </c>
      <c r="P217" s="1463">
        <v>1000</v>
      </c>
      <c r="Q217" s="1460">
        <f>P217</f>
        <v>1000</v>
      </c>
      <c r="R217" s="1454">
        <v>21500</v>
      </c>
      <c r="S217" s="1454"/>
      <c r="T217" s="1463">
        <f>U217</f>
        <v>22500</v>
      </c>
      <c r="U217" s="1460">
        <f>R217+Q217</f>
        <v>22500</v>
      </c>
      <c r="V217" s="1454"/>
      <c r="W217" s="1454"/>
      <c r="X217" s="1463">
        <f>Y217</f>
        <v>22500</v>
      </c>
      <c r="Y217" s="1460">
        <f>V217+U217</f>
        <v>22500</v>
      </c>
      <c r="Z217" s="1460"/>
      <c r="AA217" s="1460"/>
      <c r="AB217" s="1460">
        <v>20500</v>
      </c>
      <c r="AC217" s="1460">
        <v>20500</v>
      </c>
      <c r="AD217" s="1460"/>
      <c r="AE217" s="1525"/>
      <c r="AF217" s="1383">
        <f t="shared" si="182"/>
        <v>20500</v>
      </c>
      <c r="AG217" s="1383">
        <f t="shared" si="183"/>
        <v>20500</v>
      </c>
      <c r="AH217" s="1383">
        <f t="shared" si="199"/>
        <v>20500</v>
      </c>
      <c r="AI217" s="1383"/>
      <c r="AJ217" s="1383"/>
      <c r="AK217" s="1383"/>
      <c r="AL217" s="1383">
        <v>7800</v>
      </c>
      <c r="AM217" s="1383">
        <f>14700-2000</f>
        <v>12700</v>
      </c>
      <c r="AN217" s="1381"/>
      <c r="AO217" s="1381"/>
      <c r="AP217" s="1431">
        <f t="shared" si="235"/>
        <v>0</v>
      </c>
      <c r="AQ217" s="1431">
        <f t="shared" si="204"/>
        <v>1</v>
      </c>
      <c r="AR217" s="1434">
        <f>AP217</f>
        <v>0</v>
      </c>
      <c r="AS217" s="1434"/>
      <c r="AT217" s="1427">
        <f>IF(AP217=0,1,0)</f>
        <v>1</v>
      </c>
      <c r="AV217" s="1427">
        <f t="shared" si="227"/>
        <v>0</v>
      </c>
      <c r="AW217" s="1427">
        <f t="shared" si="209"/>
        <v>0</v>
      </c>
      <c r="AX217" s="1427">
        <f t="shared" si="228"/>
        <v>0</v>
      </c>
      <c r="AY217" s="1427">
        <f t="shared" si="210"/>
        <v>0</v>
      </c>
      <c r="AZ217" s="1427">
        <f>IF(R217=0,0,1)</f>
        <v>1</v>
      </c>
      <c r="BA217" s="1427">
        <f>IF(AZ217=1,R217,0)</f>
        <v>21500</v>
      </c>
      <c r="BB217" s="1427">
        <f t="shared" si="230"/>
        <v>0</v>
      </c>
      <c r="BC217" s="1427">
        <f t="shared" si="212"/>
        <v>0</v>
      </c>
      <c r="BD217" s="1436">
        <f t="shared" si="205"/>
        <v>1</v>
      </c>
    </row>
    <row r="218" spans="1:56" ht="78" customHeight="1" x14ac:dyDescent="0.3">
      <c r="A218" s="1461" t="s">
        <v>2947</v>
      </c>
      <c r="B218" s="1461" t="s">
        <v>2936</v>
      </c>
      <c r="C218" s="1442" t="s">
        <v>499</v>
      </c>
      <c r="D218" s="1388" t="s">
        <v>230</v>
      </c>
      <c r="E218" s="1388" t="s">
        <v>479</v>
      </c>
      <c r="F218" s="1388" t="s">
        <v>290</v>
      </c>
      <c r="G218" s="1388" t="s">
        <v>2459</v>
      </c>
      <c r="H218" s="1444">
        <f>I218</f>
        <v>7451</v>
      </c>
      <c r="I218" s="1476">
        <v>7451</v>
      </c>
      <c r="J218" s="1460"/>
      <c r="K218" s="1460"/>
      <c r="L218" s="1460"/>
      <c r="M218" s="1460"/>
      <c r="N218" s="1463">
        <v>1000</v>
      </c>
      <c r="O218" s="1460">
        <f>N218</f>
        <v>1000</v>
      </c>
      <c r="P218" s="1463">
        <v>1000</v>
      </c>
      <c r="Q218" s="1460">
        <f>P218</f>
        <v>1000</v>
      </c>
      <c r="R218" s="1454">
        <v>6000</v>
      </c>
      <c r="S218" s="1454"/>
      <c r="T218" s="1463">
        <f t="shared" ref="T218" si="237">U218</f>
        <v>7000</v>
      </c>
      <c r="U218" s="1460">
        <f t="shared" ref="U218" si="238">R218+Q218</f>
        <v>7000</v>
      </c>
      <c r="V218" s="1454"/>
      <c r="W218" s="1454"/>
      <c r="X218" s="1463">
        <f t="shared" ref="X218" si="239">Y218</f>
        <v>7000</v>
      </c>
      <c r="Y218" s="1460">
        <f t="shared" ref="Y218" si="240">V218+U218</f>
        <v>7000</v>
      </c>
      <c r="Z218" s="1460"/>
      <c r="AA218" s="1460"/>
      <c r="AB218" s="1460">
        <v>6500</v>
      </c>
      <c r="AC218" s="1460">
        <v>6500</v>
      </c>
      <c r="AD218" s="1460"/>
      <c r="AE218" s="1525"/>
      <c r="AF218" s="1383">
        <f t="shared" si="182"/>
        <v>6500</v>
      </c>
      <c r="AG218" s="1383">
        <f t="shared" si="183"/>
        <v>6500</v>
      </c>
      <c r="AH218" s="1383">
        <f t="shared" si="199"/>
        <v>5800</v>
      </c>
      <c r="AI218" s="1383"/>
      <c r="AJ218" s="1383"/>
      <c r="AK218" s="1383"/>
      <c r="AL218" s="1383">
        <v>5246</v>
      </c>
      <c r="AM218" s="1383">
        <f>1754-1200</f>
        <v>554</v>
      </c>
      <c r="AN218" s="1381"/>
      <c r="AO218" s="1381"/>
      <c r="AP218" s="1431">
        <f t="shared" si="235"/>
        <v>0</v>
      </c>
      <c r="AQ218" s="1431">
        <f t="shared" ref="AQ218:AQ249" si="241">IF(Y218=0,0,1)</f>
        <v>1</v>
      </c>
      <c r="AR218" s="1434">
        <f>AP218</f>
        <v>0</v>
      </c>
      <c r="AS218" s="1434"/>
      <c r="AT218" s="1427">
        <f>IF(AP218=0,1,0)</f>
        <v>1</v>
      </c>
      <c r="AV218" s="1427">
        <f t="shared" si="227"/>
        <v>0</v>
      </c>
      <c r="AW218" s="1427">
        <f t="shared" si="209"/>
        <v>0</v>
      </c>
      <c r="AX218" s="1427">
        <f t="shared" si="228"/>
        <v>0</v>
      </c>
      <c r="AY218" s="1427">
        <f t="shared" si="210"/>
        <v>0</v>
      </c>
      <c r="AZ218" s="1427">
        <f>IF(R218=0,0,1)</f>
        <v>1</v>
      </c>
      <c r="BA218" s="1427">
        <f>IF(AZ218=1,R218,0)</f>
        <v>6000</v>
      </c>
      <c r="BB218" s="1427">
        <f t="shared" si="230"/>
        <v>0</v>
      </c>
      <c r="BC218" s="1427">
        <f t="shared" si="212"/>
        <v>0</v>
      </c>
      <c r="BD218" s="1436">
        <f t="shared" ref="BD218:BD249" si="242">IF(I218-Y218&gt;=0,1,0)</f>
        <v>1</v>
      </c>
    </row>
    <row r="219" spans="1:56" ht="42" customHeight="1" x14ac:dyDescent="0.3">
      <c r="A219" s="1826" t="s">
        <v>2948</v>
      </c>
      <c r="B219" s="1826" t="s">
        <v>3460</v>
      </c>
      <c r="C219" s="1446" t="s">
        <v>138</v>
      </c>
      <c r="D219" s="1470"/>
      <c r="E219" s="1470"/>
      <c r="F219" s="1471"/>
      <c r="G219" s="1471"/>
      <c r="H219" s="1485">
        <f t="shared" ref="H219:M219" si="243">SUM(H220:H225)</f>
        <v>109144</v>
      </c>
      <c r="I219" s="1485">
        <f t="shared" si="243"/>
        <v>91144</v>
      </c>
      <c r="J219" s="1485">
        <f t="shared" si="243"/>
        <v>0</v>
      </c>
      <c r="K219" s="1485">
        <f t="shared" si="243"/>
        <v>0</v>
      </c>
      <c r="L219" s="1485">
        <f t="shared" si="243"/>
        <v>0</v>
      </c>
      <c r="M219" s="1485">
        <f t="shared" si="243"/>
        <v>0</v>
      </c>
      <c r="N219" s="1485">
        <f t="shared" ref="N219:S219" si="244">SUM(N220:N224)</f>
        <v>10880</v>
      </c>
      <c r="O219" s="1485">
        <f t="shared" si="244"/>
        <v>10880</v>
      </c>
      <c r="P219" s="1485">
        <f t="shared" si="244"/>
        <v>24880</v>
      </c>
      <c r="Q219" s="1485">
        <f t="shared" si="244"/>
        <v>24880</v>
      </c>
      <c r="R219" s="1485">
        <f t="shared" si="244"/>
        <v>14000</v>
      </c>
      <c r="S219" s="1485">
        <f t="shared" si="244"/>
        <v>0</v>
      </c>
      <c r="T219" s="1485">
        <f t="shared" ref="T219:X219" si="245">SUM(T220:T225)</f>
        <v>24880</v>
      </c>
      <c r="U219" s="1485">
        <f t="shared" si="245"/>
        <v>24880</v>
      </c>
      <c r="V219" s="1485">
        <f t="shared" si="245"/>
        <v>25120</v>
      </c>
      <c r="W219" s="1485">
        <f t="shared" si="245"/>
        <v>13000</v>
      </c>
      <c r="X219" s="1485">
        <f t="shared" si="245"/>
        <v>53000</v>
      </c>
      <c r="Y219" s="1485">
        <f>SUM(Y220:Y225)</f>
        <v>35000</v>
      </c>
      <c r="Z219" s="1485">
        <v>0</v>
      </c>
      <c r="AA219" s="1485">
        <v>0</v>
      </c>
      <c r="AB219" s="1485">
        <v>53650</v>
      </c>
      <c r="AC219" s="1485">
        <v>35650</v>
      </c>
      <c r="AD219" s="1485">
        <f t="shared" ref="AD219:AM219" si="246">SUM(AD220:AD225)</f>
        <v>3300</v>
      </c>
      <c r="AE219" s="1835">
        <f t="shared" si="246"/>
        <v>0</v>
      </c>
      <c r="AF219" s="1485">
        <f t="shared" si="246"/>
        <v>56950</v>
      </c>
      <c r="AG219" s="1485">
        <f t="shared" si="246"/>
        <v>38950</v>
      </c>
      <c r="AH219" s="1485">
        <f t="shared" si="246"/>
        <v>30790</v>
      </c>
      <c r="AI219" s="1485">
        <f t="shared" si="246"/>
        <v>0</v>
      </c>
      <c r="AJ219" s="1485">
        <f t="shared" si="246"/>
        <v>0</v>
      </c>
      <c r="AK219" s="1485">
        <f t="shared" si="246"/>
        <v>0</v>
      </c>
      <c r="AL219" s="1485">
        <f t="shared" si="246"/>
        <v>8680</v>
      </c>
      <c r="AM219" s="1485">
        <f t="shared" si="246"/>
        <v>22110</v>
      </c>
      <c r="AN219" s="1473"/>
      <c r="AO219" s="1473"/>
      <c r="AP219" s="1431">
        <f t="shared" si="235"/>
        <v>1</v>
      </c>
      <c r="AQ219" s="1431">
        <f t="shared" si="241"/>
        <v>1</v>
      </c>
      <c r="AR219" s="1434"/>
      <c r="AS219" s="1434"/>
      <c r="AW219" s="1427">
        <f t="shared" si="209"/>
        <v>0</v>
      </c>
      <c r="AY219" s="1427">
        <f t="shared" si="210"/>
        <v>0</v>
      </c>
      <c r="BA219" s="1427">
        <f>IF(AZ219=1,R219,0)</f>
        <v>0</v>
      </c>
      <c r="BC219" s="1427">
        <f t="shared" si="212"/>
        <v>0</v>
      </c>
      <c r="BD219" s="1436">
        <f t="shared" si="242"/>
        <v>1</v>
      </c>
    </row>
    <row r="220" spans="1:56" ht="79.5" customHeight="1" x14ac:dyDescent="0.3">
      <c r="A220" s="1461" t="s">
        <v>2949</v>
      </c>
      <c r="B220" s="1461"/>
      <c r="C220" s="1442" t="s">
        <v>491</v>
      </c>
      <c r="D220" s="1388" t="s">
        <v>194</v>
      </c>
      <c r="E220" s="1388" t="s">
        <v>479</v>
      </c>
      <c r="F220" s="1465" t="s">
        <v>168</v>
      </c>
      <c r="G220" s="1388" t="s">
        <v>2460</v>
      </c>
      <c r="H220" s="1444">
        <v>10000</v>
      </c>
      <c r="I220" s="1476">
        <v>10000</v>
      </c>
      <c r="J220" s="1460"/>
      <c r="K220" s="1460"/>
      <c r="L220" s="1460"/>
      <c r="M220" s="1460"/>
      <c r="N220" s="1463">
        <v>5000</v>
      </c>
      <c r="O220" s="1460">
        <f>N220</f>
        <v>5000</v>
      </c>
      <c r="P220" s="1463">
        <v>5000</v>
      </c>
      <c r="Q220" s="1460">
        <f>P220</f>
        <v>5000</v>
      </c>
      <c r="R220" s="1454"/>
      <c r="S220" s="1454"/>
      <c r="T220" s="1463">
        <v>5000</v>
      </c>
      <c r="U220" s="1460">
        <f>T220</f>
        <v>5000</v>
      </c>
      <c r="V220" s="1454">
        <v>5000</v>
      </c>
      <c r="W220" s="1454"/>
      <c r="X220" s="1463">
        <f>Y220</f>
        <v>10000</v>
      </c>
      <c r="Y220" s="1460">
        <f>V220+U220</f>
        <v>10000</v>
      </c>
      <c r="Z220" s="1460"/>
      <c r="AA220" s="1460"/>
      <c r="AB220" s="1460">
        <v>10000</v>
      </c>
      <c r="AC220" s="1460">
        <v>10000</v>
      </c>
      <c r="AD220" s="1460"/>
      <c r="AE220" s="1525"/>
      <c r="AF220" s="1383">
        <f t="shared" si="182"/>
        <v>10000</v>
      </c>
      <c r="AG220" s="1383">
        <f t="shared" si="183"/>
        <v>10000</v>
      </c>
      <c r="AH220" s="1383">
        <f t="shared" si="199"/>
        <v>8450</v>
      </c>
      <c r="AI220" s="1383"/>
      <c r="AJ220" s="1383"/>
      <c r="AK220" s="1383"/>
      <c r="AL220" s="1383">
        <v>2000</v>
      </c>
      <c r="AM220" s="1383">
        <v>6450</v>
      </c>
      <c r="AN220" s="1381"/>
      <c r="AO220" s="1381"/>
      <c r="AP220" s="1431">
        <f t="shared" si="235"/>
        <v>0</v>
      </c>
      <c r="AQ220" s="1431">
        <f t="shared" si="241"/>
        <v>1</v>
      </c>
      <c r="AR220" s="1434">
        <f t="shared" ref="AR220:AR271" si="247">AP220</f>
        <v>0</v>
      </c>
      <c r="AS220" s="1434"/>
      <c r="AT220" s="1427">
        <f t="shared" ref="AT220:AT222" si="248">IF(AP220=0,1,0)</f>
        <v>1</v>
      </c>
      <c r="AV220" s="1427">
        <f>IF(Q220=0,1,0)</f>
        <v>0</v>
      </c>
      <c r="AW220" s="1427">
        <f t="shared" si="209"/>
        <v>0</v>
      </c>
      <c r="AX220" s="1427">
        <f>IF(O220=0,1,0)</f>
        <v>0</v>
      </c>
      <c r="AY220" s="1427">
        <f t="shared" si="210"/>
        <v>0</v>
      </c>
      <c r="AZ220" s="1427">
        <f>IF(R220=0,0,1)</f>
        <v>0</v>
      </c>
      <c r="BA220" s="1427">
        <f>IF(AZ220=1,R220,0)</f>
        <v>0</v>
      </c>
      <c r="BB220" s="1427">
        <f>IF(S220=0,0,1)</f>
        <v>0</v>
      </c>
      <c r="BC220" s="1427">
        <f t="shared" si="212"/>
        <v>0</v>
      </c>
      <c r="BD220" s="1436">
        <f t="shared" si="242"/>
        <v>1</v>
      </c>
    </row>
    <row r="221" spans="1:56" ht="80.25" customHeight="1" x14ac:dyDescent="0.3">
      <c r="A221" s="1461" t="s">
        <v>2950</v>
      </c>
      <c r="B221" s="1461"/>
      <c r="C221" s="1442" t="s">
        <v>493</v>
      </c>
      <c r="D221" s="1388" t="s">
        <v>494</v>
      </c>
      <c r="E221" s="1388" t="s">
        <v>479</v>
      </c>
      <c r="F221" s="1465" t="s">
        <v>168</v>
      </c>
      <c r="G221" s="1388" t="s">
        <v>2461</v>
      </c>
      <c r="H221" s="1444">
        <v>9000</v>
      </c>
      <c r="I221" s="1476">
        <v>9000</v>
      </c>
      <c r="J221" s="1460"/>
      <c r="K221" s="1460"/>
      <c r="L221" s="1460"/>
      <c r="M221" s="1460"/>
      <c r="N221" s="1463">
        <v>4880</v>
      </c>
      <c r="O221" s="1460">
        <f>N221</f>
        <v>4880</v>
      </c>
      <c r="P221" s="1463">
        <v>4880</v>
      </c>
      <c r="Q221" s="1460">
        <f>P221</f>
        <v>4880</v>
      </c>
      <c r="R221" s="1454"/>
      <c r="S221" s="1454"/>
      <c r="T221" s="1463">
        <v>4880</v>
      </c>
      <c r="U221" s="1460">
        <f>T221</f>
        <v>4880</v>
      </c>
      <c r="V221" s="1454">
        <v>3120</v>
      </c>
      <c r="W221" s="1454"/>
      <c r="X221" s="1463">
        <f>Y221</f>
        <v>8000</v>
      </c>
      <c r="Y221" s="1460">
        <f>V221+U221</f>
        <v>8000</v>
      </c>
      <c r="Z221" s="1460"/>
      <c r="AA221" s="1460"/>
      <c r="AB221" s="1460">
        <v>8000</v>
      </c>
      <c r="AC221" s="1460">
        <v>8000</v>
      </c>
      <c r="AD221" s="1460"/>
      <c r="AE221" s="1525"/>
      <c r="AF221" s="1383">
        <f t="shared" si="182"/>
        <v>8000</v>
      </c>
      <c r="AG221" s="1383">
        <f t="shared" si="183"/>
        <v>8000</v>
      </c>
      <c r="AH221" s="1383">
        <f t="shared" si="199"/>
        <v>5340</v>
      </c>
      <c r="AI221" s="1383"/>
      <c r="AJ221" s="1383"/>
      <c r="AK221" s="1383"/>
      <c r="AL221" s="1383">
        <v>3380</v>
      </c>
      <c r="AM221" s="1383">
        <v>1960</v>
      </c>
      <c r="AN221" s="1381"/>
      <c r="AO221" s="1381"/>
      <c r="AP221" s="1431">
        <f t="shared" si="235"/>
        <v>0</v>
      </c>
      <c r="AQ221" s="1431">
        <f t="shared" si="241"/>
        <v>1</v>
      </c>
      <c r="AR221" s="1434">
        <f t="shared" si="247"/>
        <v>0</v>
      </c>
      <c r="AS221" s="1434"/>
      <c r="AT221" s="1427">
        <f t="shared" si="248"/>
        <v>1</v>
      </c>
      <c r="AV221" s="1427">
        <f>IF(Q221=0,1,0)</f>
        <v>0</v>
      </c>
      <c r="AW221" s="1427">
        <f t="shared" si="209"/>
        <v>0</v>
      </c>
      <c r="AX221" s="1427">
        <f>IF(O221=0,1,0)</f>
        <v>0</v>
      </c>
      <c r="AY221" s="1427">
        <f t="shared" si="210"/>
        <v>0</v>
      </c>
      <c r="AZ221" s="1427">
        <f>IF(R221=0,0,1)</f>
        <v>0</v>
      </c>
      <c r="BA221" s="1427">
        <f>IF(AZ221=1,R221,0)</f>
        <v>0</v>
      </c>
      <c r="BB221" s="1427">
        <f>IF(S221=0,0,1)</f>
        <v>0</v>
      </c>
      <c r="BC221" s="1427">
        <f t="shared" si="212"/>
        <v>0</v>
      </c>
      <c r="BD221" s="1436">
        <f t="shared" si="242"/>
        <v>1</v>
      </c>
    </row>
    <row r="222" spans="1:56" ht="79.5" customHeight="1" x14ac:dyDescent="0.3">
      <c r="A222" s="1461" t="s">
        <v>2951</v>
      </c>
      <c r="B222" s="1461"/>
      <c r="C222" s="1458" t="s">
        <v>2081</v>
      </c>
      <c r="D222" s="1388" t="s">
        <v>99</v>
      </c>
      <c r="E222" s="1388" t="s">
        <v>398</v>
      </c>
      <c r="F222" s="1388" t="s">
        <v>162</v>
      </c>
      <c r="G222" s="1388" t="s">
        <v>2462</v>
      </c>
      <c r="H222" s="1476">
        <f>I222</f>
        <v>12000</v>
      </c>
      <c r="I222" s="1476">
        <v>12000</v>
      </c>
      <c r="J222" s="1460"/>
      <c r="K222" s="1460"/>
      <c r="L222" s="1460"/>
      <c r="M222" s="1460"/>
      <c r="N222" s="1463">
        <f>O222</f>
        <v>1000</v>
      </c>
      <c r="O222" s="1463">
        <v>1000</v>
      </c>
      <c r="P222" s="1476">
        <f>Q222</f>
        <v>1000</v>
      </c>
      <c r="Q222" s="1476">
        <v>1000</v>
      </c>
      <c r="R222" s="1454"/>
      <c r="S222" s="1454"/>
      <c r="T222" s="1476">
        <f>U222</f>
        <v>1000</v>
      </c>
      <c r="U222" s="1476">
        <v>1000</v>
      </c>
      <c r="V222" s="1454"/>
      <c r="W222" s="1490">
        <v>-1000</v>
      </c>
      <c r="X222" s="1476">
        <f>Y222</f>
        <v>0</v>
      </c>
      <c r="Y222" s="1476">
        <f>U222+W222</f>
        <v>0</v>
      </c>
      <c r="Z222" s="1460"/>
      <c r="AA222" s="1460"/>
      <c r="AB222" s="1460">
        <v>0</v>
      </c>
      <c r="AC222" s="1460">
        <v>0</v>
      </c>
      <c r="AD222" s="1460"/>
      <c r="AE222" s="1460"/>
      <c r="AF222" s="1383">
        <f t="shared" si="182"/>
        <v>0</v>
      </c>
      <c r="AG222" s="1383">
        <f t="shared" si="183"/>
        <v>0</v>
      </c>
      <c r="AH222" s="1383">
        <f t="shared" si="199"/>
        <v>0</v>
      </c>
      <c r="AI222" s="1383"/>
      <c r="AJ222" s="1383"/>
      <c r="AK222" s="1383"/>
      <c r="AL222" s="1383"/>
      <c r="AM222" s="1383"/>
      <c r="AN222" s="1381"/>
      <c r="AO222" s="1381"/>
      <c r="AP222" s="1431">
        <f t="shared" si="235"/>
        <v>0</v>
      </c>
      <c r="AQ222" s="1431">
        <f t="shared" si="241"/>
        <v>0</v>
      </c>
      <c r="AR222" s="1434">
        <f t="shared" si="247"/>
        <v>0</v>
      </c>
      <c r="AS222" s="1434"/>
      <c r="AT222" s="1427">
        <f t="shared" si="248"/>
        <v>1</v>
      </c>
      <c r="AV222" s="1427">
        <f>IF(Q222=0,1,0)</f>
        <v>0</v>
      </c>
      <c r="AW222" s="1427">
        <f t="shared" si="209"/>
        <v>0</v>
      </c>
      <c r="AX222" s="1427">
        <f>IF(O222=0,1,0)</f>
        <v>0</v>
      </c>
      <c r="AY222" s="1427">
        <f t="shared" si="210"/>
        <v>0</v>
      </c>
      <c r="BB222" s="1427">
        <f>IF(S222=0,0,1)</f>
        <v>0</v>
      </c>
      <c r="BC222" s="1427">
        <f t="shared" si="212"/>
        <v>0</v>
      </c>
      <c r="BD222" s="1436">
        <f t="shared" si="242"/>
        <v>1</v>
      </c>
    </row>
    <row r="223" spans="1:56" ht="59.25" customHeight="1" x14ac:dyDescent="0.3">
      <c r="A223" s="1461" t="s">
        <v>2952</v>
      </c>
      <c r="B223" s="1461"/>
      <c r="C223" s="1458" t="s">
        <v>910</v>
      </c>
      <c r="D223" s="1388" t="s">
        <v>95</v>
      </c>
      <c r="E223" s="1388" t="s">
        <v>398</v>
      </c>
      <c r="F223" s="1388" t="s">
        <v>168</v>
      </c>
      <c r="G223" s="1491"/>
      <c r="H223" s="1476">
        <f>I223</f>
        <v>33165</v>
      </c>
      <c r="I223" s="1476">
        <v>33165</v>
      </c>
      <c r="J223" s="1460"/>
      <c r="K223" s="1460"/>
      <c r="L223" s="1460"/>
      <c r="M223" s="1460"/>
      <c r="N223" s="1463"/>
      <c r="O223" s="1463"/>
      <c r="P223" s="1476">
        <f>Q223</f>
        <v>14000</v>
      </c>
      <c r="Q223" s="1476">
        <v>14000</v>
      </c>
      <c r="R223" s="1454">
        <f>U223-O223</f>
        <v>14000</v>
      </c>
      <c r="S223" s="1454"/>
      <c r="T223" s="1476">
        <f>U223</f>
        <v>14000</v>
      </c>
      <c r="U223" s="1476">
        <v>14000</v>
      </c>
      <c r="V223" s="1454"/>
      <c r="W223" s="1454">
        <v>14000</v>
      </c>
      <c r="X223" s="1476">
        <f>Y223</f>
        <v>0</v>
      </c>
      <c r="Y223" s="1476">
        <f>U223-W223</f>
        <v>0</v>
      </c>
      <c r="Z223" s="1460"/>
      <c r="AA223" s="1460"/>
      <c r="AB223" s="1460">
        <v>0</v>
      </c>
      <c r="AC223" s="1460">
        <v>0</v>
      </c>
      <c r="AD223" s="1460"/>
      <c r="AE223" s="1460"/>
      <c r="AF223" s="1383">
        <f t="shared" si="182"/>
        <v>0</v>
      </c>
      <c r="AG223" s="1383">
        <f t="shared" si="183"/>
        <v>0</v>
      </c>
      <c r="AH223" s="1383">
        <f t="shared" si="199"/>
        <v>0</v>
      </c>
      <c r="AI223" s="1383"/>
      <c r="AJ223" s="1383"/>
      <c r="AK223" s="1383"/>
      <c r="AL223" s="1383"/>
      <c r="AM223" s="1383"/>
      <c r="AN223" s="1381"/>
      <c r="AO223" s="1381"/>
      <c r="AP223" s="1431">
        <f t="shared" si="235"/>
        <v>0</v>
      </c>
      <c r="AQ223" s="1431">
        <f t="shared" si="241"/>
        <v>0</v>
      </c>
      <c r="AR223" s="1434">
        <f t="shared" ref="AR223" si="249">AP223</f>
        <v>0</v>
      </c>
      <c r="AS223" s="1434"/>
      <c r="AT223" s="1427">
        <f t="shared" ref="AT223" si="250">IF(AP223=0,1,0)</f>
        <v>1</v>
      </c>
      <c r="AV223" s="1427">
        <f>IF(Q223=0,1,0)</f>
        <v>0</v>
      </c>
      <c r="AW223" s="1427">
        <f t="shared" si="209"/>
        <v>0</v>
      </c>
      <c r="AX223" s="1427">
        <f>IF(O223=0,1,0)</f>
        <v>1</v>
      </c>
      <c r="AY223" s="1427">
        <f t="shared" si="210"/>
        <v>14000</v>
      </c>
      <c r="BB223" s="1427">
        <f>IF(S223=0,0,1)</f>
        <v>0</v>
      </c>
      <c r="BC223" s="1427">
        <f t="shared" si="212"/>
        <v>0</v>
      </c>
      <c r="BD223" s="1436">
        <f t="shared" si="242"/>
        <v>1</v>
      </c>
    </row>
    <row r="224" spans="1:56" ht="47.25" customHeight="1" x14ac:dyDescent="0.3">
      <c r="A224" s="1461" t="s">
        <v>2953</v>
      </c>
      <c r="B224" s="1461" t="s">
        <v>2949</v>
      </c>
      <c r="C224" s="1458" t="s">
        <v>2150</v>
      </c>
      <c r="D224" s="1388" t="s">
        <v>95</v>
      </c>
      <c r="E224" s="1388" t="s">
        <v>398</v>
      </c>
      <c r="F224" s="1388" t="s">
        <v>168</v>
      </c>
      <c r="G224" s="1388"/>
      <c r="H224" s="1476">
        <f>I224</f>
        <v>22867</v>
      </c>
      <c r="I224" s="1476">
        <v>22867</v>
      </c>
      <c r="J224" s="1460"/>
      <c r="K224" s="1460"/>
      <c r="L224" s="1460"/>
      <c r="M224" s="1460"/>
      <c r="N224" s="1463"/>
      <c r="O224" s="1463"/>
      <c r="P224" s="1476"/>
      <c r="Q224" s="1476"/>
      <c r="R224" s="1454"/>
      <c r="S224" s="1454"/>
      <c r="T224" s="1476"/>
      <c r="U224" s="1476"/>
      <c r="V224" s="1454">
        <v>14000</v>
      </c>
      <c r="W224" s="1454"/>
      <c r="X224" s="1476">
        <f>Y224</f>
        <v>14000</v>
      </c>
      <c r="Y224" s="1476">
        <f>V224+U224</f>
        <v>14000</v>
      </c>
      <c r="Z224" s="1460"/>
      <c r="AA224" s="1460"/>
      <c r="AB224" s="1460">
        <v>14650</v>
      </c>
      <c r="AC224" s="1460">
        <v>14650</v>
      </c>
      <c r="AD224" s="1460">
        <v>3300</v>
      </c>
      <c r="AE224" s="1460"/>
      <c r="AF224" s="1383">
        <f t="shared" si="182"/>
        <v>17950</v>
      </c>
      <c r="AG224" s="1383">
        <f t="shared" si="183"/>
        <v>17950</v>
      </c>
      <c r="AH224" s="1383">
        <f t="shared" si="199"/>
        <v>14000</v>
      </c>
      <c r="AI224" s="1383"/>
      <c r="AJ224" s="1383"/>
      <c r="AK224" s="1383"/>
      <c r="AL224" s="1383">
        <v>3300</v>
      </c>
      <c r="AM224" s="1383">
        <v>10700</v>
      </c>
      <c r="AN224" s="1381"/>
      <c r="AO224" s="1381"/>
      <c r="AP224" s="1431">
        <f t="shared" si="235"/>
        <v>1</v>
      </c>
      <c r="AQ224" s="1431">
        <f t="shared" si="241"/>
        <v>1</v>
      </c>
      <c r="AR224" s="1434"/>
      <c r="AS224" s="1434"/>
      <c r="BD224" s="1436">
        <f t="shared" si="242"/>
        <v>1</v>
      </c>
    </row>
    <row r="225" spans="1:57" ht="81" customHeight="1" x14ac:dyDescent="0.3">
      <c r="A225" s="1461" t="s">
        <v>2954</v>
      </c>
      <c r="B225" s="1461"/>
      <c r="C225" s="1458" t="s">
        <v>2221</v>
      </c>
      <c r="D225" s="1388"/>
      <c r="E225" s="1388"/>
      <c r="F225" s="1388" t="s">
        <v>290</v>
      </c>
      <c r="G225" s="1388" t="s">
        <v>2222</v>
      </c>
      <c r="H225" s="1476">
        <v>22112</v>
      </c>
      <c r="I225" s="1476">
        <f>H225-18000</f>
        <v>4112</v>
      </c>
      <c r="J225" s="1460"/>
      <c r="K225" s="1460"/>
      <c r="L225" s="1460"/>
      <c r="M225" s="1460"/>
      <c r="N225" s="1463"/>
      <c r="O225" s="1463"/>
      <c r="P225" s="1476"/>
      <c r="Q225" s="1476"/>
      <c r="R225" s="1454"/>
      <c r="S225" s="1454"/>
      <c r="T225" s="1476"/>
      <c r="U225" s="1476"/>
      <c r="V225" s="1454">
        <f>3000</f>
        <v>3000</v>
      </c>
      <c r="W225" s="1454"/>
      <c r="X225" s="1476">
        <f>18000+Y225</f>
        <v>21000</v>
      </c>
      <c r="Y225" s="1476">
        <f>V225</f>
        <v>3000</v>
      </c>
      <c r="Z225" s="1460"/>
      <c r="AA225" s="1460"/>
      <c r="AB225" s="1460">
        <v>21000</v>
      </c>
      <c r="AC225" s="1460">
        <v>3000</v>
      </c>
      <c r="AD225" s="1460"/>
      <c r="AE225" s="1460"/>
      <c r="AF225" s="1383">
        <f>AB225</f>
        <v>21000</v>
      </c>
      <c r="AG225" s="1383">
        <f t="shared" si="183"/>
        <v>3000</v>
      </c>
      <c r="AH225" s="1383">
        <f t="shared" si="199"/>
        <v>3000</v>
      </c>
      <c r="AI225" s="1383"/>
      <c r="AJ225" s="1383"/>
      <c r="AK225" s="1383"/>
      <c r="AL225" s="1383"/>
      <c r="AM225" s="1383">
        <v>3000</v>
      </c>
      <c r="AN225" s="1381"/>
      <c r="AO225" s="1381"/>
      <c r="AP225" s="1431">
        <f t="shared" si="235"/>
        <v>0</v>
      </c>
      <c r="AQ225" s="1431">
        <f t="shared" si="241"/>
        <v>1</v>
      </c>
      <c r="AR225" s="1434"/>
      <c r="AS225" s="1434"/>
      <c r="BD225" s="1436">
        <f t="shared" si="242"/>
        <v>1</v>
      </c>
    </row>
    <row r="226" spans="1:57" ht="40.5" customHeight="1" x14ac:dyDescent="0.3">
      <c r="A226" s="1846">
        <v>5</v>
      </c>
      <c r="B226" s="1846">
        <v>5</v>
      </c>
      <c r="C226" s="1438" t="s">
        <v>501</v>
      </c>
      <c r="D226" s="1381"/>
      <c r="E226" s="1381"/>
      <c r="F226" s="1381"/>
      <c r="G226" s="1381"/>
      <c r="H226" s="1439">
        <f t="shared" ref="H226:X226" si="251">H227+H233</f>
        <v>272055</v>
      </c>
      <c r="I226" s="1439">
        <f t="shared" si="251"/>
        <v>272055</v>
      </c>
      <c r="J226" s="1439">
        <f t="shared" si="251"/>
        <v>26250</v>
      </c>
      <c r="K226" s="1439">
        <f t="shared" si="251"/>
        <v>26250</v>
      </c>
      <c r="L226" s="1439">
        <f t="shared" si="251"/>
        <v>26250</v>
      </c>
      <c r="M226" s="1439">
        <f t="shared" si="251"/>
        <v>26250</v>
      </c>
      <c r="N226" s="1439">
        <f t="shared" si="251"/>
        <v>220000</v>
      </c>
      <c r="O226" s="1439">
        <f t="shared" si="251"/>
        <v>220000</v>
      </c>
      <c r="P226" s="1439">
        <f t="shared" si="251"/>
        <v>149100</v>
      </c>
      <c r="Q226" s="1439">
        <f t="shared" si="251"/>
        <v>149100</v>
      </c>
      <c r="R226" s="1439">
        <f t="shared" si="251"/>
        <v>0</v>
      </c>
      <c r="S226" s="1439">
        <f t="shared" si="251"/>
        <v>70900</v>
      </c>
      <c r="T226" s="1439">
        <f t="shared" si="251"/>
        <v>149100</v>
      </c>
      <c r="U226" s="1439">
        <f t="shared" si="251"/>
        <v>149100</v>
      </c>
      <c r="V226" s="1439">
        <f t="shared" si="251"/>
        <v>0</v>
      </c>
      <c r="W226" s="1439">
        <f t="shared" si="251"/>
        <v>0</v>
      </c>
      <c r="X226" s="1439">
        <f t="shared" si="251"/>
        <v>149100</v>
      </c>
      <c r="Y226" s="1439">
        <f>Y227+Y233</f>
        <v>149100</v>
      </c>
      <c r="Z226" s="1439"/>
      <c r="AA226" s="1439"/>
      <c r="AB226" s="1439">
        <v>147700</v>
      </c>
      <c r="AC226" s="1439">
        <v>147700</v>
      </c>
      <c r="AD226" s="1439">
        <f t="shared" ref="AD226:AM226" si="252">AD227+AD233</f>
        <v>0</v>
      </c>
      <c r="AE226" s="1856">
        <f t="shared" si="252"/>
        <v>0</v>
      </c>
      <c r="AF226" s="1439">
        <f t="shared" si="252"/>
        <v>147700</v>
      </c>
      <c r="AG226" s="1439">
        <f t="shared" si="252"/>
        <v>147700</v>
      </c>
      <c r="AH226" s="1439">
        <f t="shared" si="252"/>
        <v>140342</v>
      </c>
      <c r="AI226" s="1439">
        <f t="shared" si="252"/>
        <v>47406</v>
      </c>
      <c r="AJ226" s="1439">
        <f t="shared" si="252"/>
        <v>27496</v>
      </c>
      <c r="AK226" s="1439">
        <f t="shared" si="252"/>
        <v>36683</v>
      </c>
      <c r="AL226" s="1439">
        <f t="shared" si="252"/>
        <v>27420</v>
      </c>
      <c r="AM226" s="1439">
        <f t="shared" si="252"/>
        <v>1337</v>
      </c>
      <c r="AN226" s="1440"/>
      <c r="AO226" s="1440"/>
      <c r="AP226" s="1431">
        <f t="shared" si="235"/>
        <v>0</v>
      </c>
      <c r="AQ226" s="1431">
        <f t="shared" si="241"/>
        <v>1</v>
      </c>
      <c r="AR226" s="1434"/>
      <c r="AS226" s="1434">
        <f>AJ235+AJ238+AJ240+AJ241+AJ242</f>
        <v>27496</v>
      </c>
      <c r="AW226" s="1427">
        <f>IF(AV226=1,O226,0)</f>
        <v>0</v>
      </c>
      <c r="AY226" s="1427">
        <f>IF(AX226=1,Q226,0)</f>
        <v>0</v>
      </c>
      <c r="BA226" s="1427">
        <f>IF(AZ226=1,R226,0)</f>
        <v>0</v>
      </c>
      <c r="BC226" s="1427">
        <f>IF(BB226=1,S226,0)</f>
        <v>0</v>
      </c>
      <c r="BD226" s="1436">
        <f t="shared" si="242"/>
        <v>1</v>
      </c>
    </row>
    <row r="227" spans="1:57" ht="65.25" customHeight="1" x14ac:dyDescent="0.3">
      <c r="A227" s="1827" t="s">
        <v>2955</v>
      </c>
      <c r="B227" s="1827" t="s">
        <v>2955</v>
      </c>
      <c r="C227" s="1446" t="s">
        <v>46</v>
      </c>
      <c r="D227" s="1447"/>
      <c r="E227" s="1447"/>
      <c r="F227" s="1448"/>
      <c r="G227" s="1448"/>
      <c r="H227" s="1449">
        <f t="shared" ref="H227:Q227" si="253">H228</f>
        <v>47735</v>
      </c>
      <c r="I227" s="1449">
        <f t="shared" si="253"/>
        <v>47735</v>
      </c>
      <c r="J227" s="1449">
        <f t="shared" si="253"/>
        <v>26250</v>
      </c>
      <c r="K227" s="1449">
        <f t="shared" si="253"/>
        <v>26250</v>
      </c>
      <c r="L227" s="1449">
        <f t="shared" si="253"/>
        <v>26250</v>
      </c>
      <c r="M227" s="1449">
        <f t="shared" si="253"/>
        <v>26250</v>
      </c>
      <c r="N227" s="1449">
        <f t="shared" si="253"/>
        <v>13700</v>
      </c>
      <c r="O227" s="1449">
        <f t="shared" si="253"/>
        <v>13700</v>
      </c>
      <c r="P227" s="1449">
        <f t="shared" si="253"/>
        <v>13700</v>
      </c>
      <c r="Q227" s="1449">
        <f t="shared" si="253"/>
        <v>13700</v>
      </c>
      <c r="R227" s="1454"/>
      <c r="S227" s="1454"/>
      <c r="T227" s="1449">
        <f t="shared" ref="T227:AM227" si="254">T228</f>
        <v>13700</v>
      </c>
      <c r="U227" s="1449">
        <f t="shared" si="254"/>
        <v>13700</v>
      </c>
      <c r="V227" s="1454"/>
      <c r="W227" s="1454"/>
      <c r="X227" s="1449">
        <f t="shared" si="254"/>
        <v>13700</v>
      </c>
      <c r="Y227" s="1449">
        <f t="shared" si="254"/>
        <v>13700</v>
      </c>
      <c r="Z227" s="1454"/>
      <c r="AA227" s="1454"/>
      <c r="AB227" s="1449">
        <v>13700</v>
      </c>
      <c r="AC227" s="1449">
        <v>13700</v>
      </c>
      <c r="AD227" s="1449">
        <f t="shared" si="254"/>
        <v>0</v>
      </c>
      <c r="AE227" s="1449">
        <f t="shared" si="254"/>
        <v>0</v>
      </c>
      <c r="AF227" s="1449">
        <f t="shared" si="254"/>
        <v>13700</v>
      </c>
      <c r="AG227" s="1449">
        <f t="shared" si="254"/>
        <v>13700</v>
      </c>
      <c r="AH227" s="1449">
        <f t="shared" si="254"/>
        <v>15206</v>
      </c>
      <c r="AI227" s="1449">
        <f t="shared" si="254"/>
        <v>15206</v>
      </c>
      <c r="AJ227" s="1449">
        <f t="shared" si="254"/>
        <v>0</v>
      </c>
      <c r="AK227" s="1449">
        <f t="shared" si="254"/>
        <v>0</v>
      </c>
      <c r="AL227" s="1449">
        <f t="shared" si="254"/>
        <v>0</v>
      </c>
      <c r="AM227" s="1449">
        <f t="shared" si="254"/>
        <v>0</v>
      </c>
      <c r="AN227" s="1450"/>
      <c r="AO227" s="1450"/>
      <c r="AP227" s="1431">
        <f t="shared" si="235"/>
        <v>0</v>
      </c>
      <c r="AQ227" s="1431">
        <f t="shared" si="241"/>
        <v>1</v>
      </c>
      <c r="AR227" s="1434"/>
      <c r="AS227" s="1434"/>
      <c r="AW227" s="1427">
        <f>IF(AV227=1,O227,0)</f>
        <v>0</v>
      </c>
      <c r="AY227" s="1427">
        <f>IF(AX227=1,Q227,0)</f>
        <v>0</v>
      </c>
      <c r="BA227" s="1427">
        <f>IF(AZ227=1,R227,0)</f>
        <v>0</v>
      </c>
      <c r="BC227" s="1427">
        <f>IF(BB227=1,S227,0)</f>
        <v>0</v>
      </c>
      <c r="BD227" s="1436">
        <f t="shared" si="242"/>
        <v>1</v>
      </c>
    </row>
    <row r="228" spans="1:57" ht="39" x14ac:dyDescent="0.3">
      <c r="A228" s="1826"/>
      <c r="B228" s="1826"/>
      <c r="C228" s="1446" t="s">
        <v>48</v>
      </c>
      <c r="D228" s="1447"/>
      <c r="E228" s="1447"/>
      <c r="F228" s="1448"/>
      <c r="G228" s="1448"/>
      <c r="H228" s="1449">
        <f t="shared" ref="H228:X228" si="255">SUM(H231:H232)</f>
        <v>47735</v>
      </c>
      <c r="I228" s="1449">
        <f t="shared" si="255"/>
        <v>47735</v>
      </c>
      <c r="J228" s="1449">
        <f t="shared" si="255"/>
        <v>26250</v>
      </c>
      <c r="K228" s="1449">
        <f t="shared" si="255"/>
        <v>26250</v>
      </c>
      <c r="L228" s="1449">
        <f t="shared" si="255"/>
        <v>26250</v>
      </c>
      <c r="M228" s="1449">
        <f t="shared" si="255"/>
        <v>26250</v>
      </c>
      <c r="N228" s="1449">
        <f t="shared" si="255"/>
        <v>13700</v>
      </c>
      <c r="O228" s="1449">
        <f t="shared" si="255"/>
        <v>13700</v>
      </c>
      <c r="P228" s="1449">
        <f t="shared" si="255"/>
        <v>13700</v>
      </c>
      <c r="Q228" s="1449">
        <f t="shared" si="255"/>
        <v>13700</v>
      </c>
      <c r="R228" s="1449">
        <f t="shared" si="255"/>
        <v>0</v>
      </c>
      <c r="S228" s="1449">
        <f t="shared" si="255"/>
        <v>0</v>
      </c>
      <c r="T228" s="1449">
        <f t="shared" si="255"/>
        <v>13700</v>
      </c>
      <c r="U228" s="1449">
        <f t="shared" si="255"/>
        <v>13700</v>
      </c>
      <c r="V228" s="1449">
        <f t="shared" si="255"/>
        <v>0</v>
      </c>
      <c r="W228" s="1449">
        <f t="shared" si="255"/>
        <v>0</v>
      </c>
      <c r="X228" s="1449">
        <f t="shared" si="255"/>
        <v>13700</v>
      </c>
      <c r="Y228" s="1449">
        <f>SUM(Y231:Y232)</f>
        <v>13700</v>
      </c>
      <c r="Z228" s="1454"/>
      <c r="AA228" s="1454"/>
      <c r="AB228" s="1449">
        <v>13700</v>
      </c>
      <c r="AC228" s="1449">
        <v>13700</v>
      </c>
      <c r="AD228" s="1449">
        <f t="shared" ref="AD228:AM228" si="256">SUM(AD230:AD232)</f>
        <v>0</v>
      </c>
      <c r="AE228" s="1449">
        <f t="shared" si="256"/>
        <v>0</v>
      </c>
      <c r="AF228" s="1449">
        <f t="shared" si="256"/>
        <v>13700</v>
      </c>
      <c r="AG228" s="1449">
        <f t="shared" si="256"/>
        <v>13700</v>
      </c>
      <c r="AH228" s="1449">
        <f t="shared" si="256"/>
        <v>15206</v>
      </c>
      <c r="AI228" s="1449">
        <f t="shared" si="256"/>
        <v>15206</v>
      </c>
      <c r="AJ228" s="1449">
        <f t="shared" si="256"/>
        <v>0</v>
      </c>
      <c r="AK228" s="1449">
        <f t="shared" si="256"/>
        <v>0</v>
      </c>
      <c r="AL228" s="1449">
        <f t="shared" si="256"/>
        <v>0</v>
      </c>
      <c r="AM228" s="1449">
        <f t="shared" si="256"/>
        <v>0</v>
      </c>
      <c r="AN228" s="1450"/>
      <c r="AO228" s="1450"/>
      <c r="AP228" s="1431">
        <f t="shared" si="235"/>
        <v>0</v>
      </c>
      <c r="AQ228" s="1431">
        <f t="shared" si="241"/>
        <v>1</v>
      </c>
      <c r="AR228" s="1434"/>
      <c r="AS228" s="1434"/>
      <c r="AW228" s="1427">
        <f>IF(AV228=1,O228,0)</f>
        <v>0</v>
      </c>
      <c r="AY228" s="1427">
        <f>IF(AX228=1,Q228,0)</f>
        <v>0</v>
      </c>
      <c r="BA228" s="1427">
        <f>IF(AZ228=1,R228,0)</f>
        <v>0</v>
      </c>
      <c r="BC228" s="1427">
        <f>IF(BB228=1,S228,0)</f>
        <v>0</v>
      </c>
      <c r="BD228" s="1436">
        <f t="shared" si="242"/>
        <v>1</v>
      </c>
    </row>
    <row r="229" spans="1:57" ht="21.75" customHeight="1" x14ac:dyDescent="0.3">
      <c r="A229" s="1825"/>
      <c r="B229" s="1451"/>
      <c r="C229" s="1446" t="s">
        <v>49</v>
      </c>
      <c r="D229" s="1452"/>
      <c r="E229" s="1452"/>
      <c r="F229" s="1381"/>
      <c r="G229" s="1381"/>
      <c r="H229" s="1453"/>
      <c r="I229" s="1453"/>
      <c r="J229" s="1453"/>
      <c r="K229" s="1453"/>
      <c r="L229" s="1453"/>
      <c r="M229" s="1453"/>
      <c r="N229" s="1453"/>
      <c r="O229" s="1453"/>
      <c r="P229" s="1453"/>
      <c r="Q229" s="1453"/>
      <c r="R229" s="1454"/>
      <c r="S229" s="1454"/>
      <c r="T229" s="1453"/>
      <c r="U229" s="1453"/>
      <c r="V229" s="1454"/>
      <c r="W229" s="1454"/>
      <c r="X229" s="1453"/>
      <c r="Y229" s="1453"/>
      <c r="Z229" s="1460"/>
      <c r="AA229" s="1460"/>
      <c r="AB229" s="1460">
        <v>0</v>
      </c>
      <c r="AC229" s="1460">
        <v>0</v>
      </c>
      <c r="AD229" s="1460"/>
      <c r="AE229" s="1460"/>
      <c r="AF229" s="1383">
        <f t="shared" ref="AF229:AF291" si="257">AG229</f>
        <v>0</v>
      </c>
      <c r="AG229" s="1383">
        <f t="shared" ref="AG229:AG291" si="258">AC229+AD229+AE229</f>
        <v>0</v>
      </c>
      <c r="AH229" s="1383">
        <f t="shared" si="199"/>
        <v>0</v>
      </c>
      <c r="AI229" s="1383"/>
      <c r="AJ229" s="1383"/>
      <c r="AK229" s="1383"/>
      <c r="AL229" s="1383"/>
      <c r="AM229" s="1383"/>
      <c r="AN229" s="1455"/>
      <c r="AO229" s="1455"/>
      <c r="AP229" s="1431">
        <f t="shared" si="235"/>
        <v>0</v>
      </c>
      <c r="AQ229" s="1431">
        <f t="shared" si="241"/>
        <v>0</v>
      </c>
      <c r="AR229" s="1434"/>
      <c r="AS229" s="1434"/>
      <c r="BD229" s="1436">
        <f t="shared" si="242"/>
        <v>1</v>
      </c>
    </row>
    <row r="230" spans="1:57" ht="78" x14ac:dyDescent="0.3">
      <c r="A230" s="1827" t="s">
        <v>2956</v>
      </c>
      <c r="B230" s="1827" t="s">
        <v>2956</v>
      </c>
      <c r="C230" s="1456" t="s">
        <v>50</v>
      </c>
      <c r="D230" s="1447"/>
      <c r="E230" s="1447"/>
      <c r="F230" s="1448"/>
      <c r="G230" s="1448"/>
      <c r="H230" s="1449"/>
      <c r="I230" s="1449"/>
      <c r="J230" s="1449"/>
      <c r="K230" s="1449"/>
      <c r="L230" s="1449"/>
      <c r="M230" s="1449"/>
      <c r="N230" s="1449"/>
      <c r="O230" s="1449"/>
      <c r="P230" s="1449"/>
      <c r="Q230" s="1449"/>
      <c r="R230" s="1454"/>
      <c r="S230" s="1454"/>
      <c r="T230" s="1449"/>
      <c r="U230" s="1449"/>
      <c r="V230" s="1454"/>
      <c r="W230" s="1454"/>
      <c r="X230" s="1449"/>
      <c r="Y230" s="1449"/>
      <c r="Z230" s="1460"/>
      <c r="AA230" s="1460"/>
      <c r="AB230" s="1460">
        <v>0</v>
      </c>
      <c r="AC230" s="1460">
        <v>0</v>
      </c>
      <c r="AD230" s="1460"/>
      <c r="AE230" s="1460"/>
      <c r="AF230" s="1383">
        <f t="shared" si="257"/>
        <v>0</v>
      </c>
      <c r="AG230" s="1383">
        <f t="shared" si="258"/>
        <v>0</v>
      </c>
      <c r="AH230" s="1383">
        <f t="shared" si="199"/>
        <v>0</v>
      </c>
      <c r="AI230" s="1383"/>
      <c r="AJ230" s="1383"/>
      <c r="AK230" s="1383"/>
      <c r="AL230" s="1383"/>
      <c r="AM230" s="1383"/>
      <c r="AN230" s="1450"/>
      <c r="AO230" s="1450"/>
      <c r="AP230" s="1431">
        <f t="shared" si="235"/>
        <v>0</v>
      </c>
      <c r="AQ230" s="1431">
        <f t="shared" si="241"/>
        <v>0</v>
      </c>
      <c r="AR230" s="1434"/>
      <c r="AS230" s="1434"/>
      <c r="BD230" s="1436">
        <f t="shared" si="242"/>
        <v>1</v>
      </c>
    </row>
    <row r="231" spans="1:57" ht="98.25" customHeight="1" x14ac:dyDescent="0.3">
      <c r="A231" s="1847" t="s">
        <v>2957</v>
      </c>
      <c r="B231" s="1457"/>
      <c r="C231" s="1492" t="s">
        <v>502</v>
      </c>
      <c r="D231" s="1388" t="s">
        <v>336</v>
      </c>
      <c r="E231" s="1388"/>
      <c r="F231" s="1388" t="s">
        <v>72</v>
      </c>
      <c r="G231" s="1388" t="s">
        <v>503</v>
      </c>
      <c r="H231" s="1493">
        <v>13071</v>
      </c>
      <c r="I231" s="1476">
        <f>H231</f>
        <v>13071</v>
      </c>
      <c r="J231" s="1460">
        <f>K231</f>
        <v>2000</v>
      </c>
      <c r="K231" s="1460">
        <v>2000</v>
      </c>
      <c r="L231" s="1460">
        <f>M231</f>
        <v>2000</v>
      </c>
      <c r="M231" s="1460">
        <f>K231</f>
        <v>2000</v>
      </c>
      <c r="N231" s="1463">
        <f>O231</f>
        <v>9700</v>
      </c>
      <c r="O231" s="1460">
        <v>9700</v>
      </c>
      <c r="P231" s="1463">
        <f>Q231</f>
        <v>9700</v>
      </c>
      <c r="Q231" s="1460">
        <v>9700</v>
      </c>
      <c r="R231" s="1454"/>
      <c r="S231" s="1454"/>
      <c r="T231" s="1463">
        <f>U231</f>
        <v>9700</v>
      </c>
      <c r="U231" s="1460">
        <v>9700</v>
      </c>
      <c r="V231" s="1454"/>
      <c r="W231" s="1454"/>
      <c r="X231" s="1463">
        <f>Y231</f>
        <v>9700</v>
      </c>
      <c r="Y231" s="1460">
        <v>9700</v>
      </c>
      <c r="Z231" s="1460"/>
      <c r="AA231" s="1460"/>
      <c r="AB231" s="1460">
        <v>9700</v>
      </c>
      <c r="AC231" s="1460">
        <v>9700</v>
      </c>
      <c r="AD231" s="1460"/>
      <c r="AE231" s="1460"/>
      <c r="AF231" s="1383">
        <f t="shared" si="257"/>
        <v>9700</v>
      </c>
      <c r="AG231" s="1383">
        <f t="shared" si="258"/>
        <v>9700</v>
      </c>
      <c r="AH231" s="1383">
        <f t="shared" si="199"/>
        <v>9000</v>
      </c>
      <c r="AI231" s="1383">
        <v>9000</v>
      </c>
      <c r="AJ231" s="1383"/>
      <c r="AK231" s="1383"/>
      <c r="AL231" s="1383"/>
      <c r="AM231" s="1383"/>
      <c r="AN231" s="1464"/>
      <c r="AO231" s="1464"/>
      <c r="AP231" s="1431">
        <f t="shared" si="235"/>
        <v>0</v>
      </c>
      <c r="AQ231" s="1431">
        <f t="shared" si="241"/>
        <v>1</v>
      </c>
      <c r="AR231" s="1434">
        <f t="shared" si="247"/>
        <v>0</v>
      </c>
      <c r="AS231" s="1434"/>
      <c r="AT231" s="1427">
        <f>IF(AP231=0,1,0)</f>
        <v>1</v>
      </c>
      <c r="AV231" s="1427">
        <f>IF(Q231=0,1,0)</f>
        <v>0</v>
      </c>
      <c r="AW231" s="1427">
        <f>IF(AV231=1,O231,0)</f>
        <v>0</v>
      </c>
      <c r="AX231" s="1427">
        <f>IF(O231=0,1,0)</f>
        <v>0</v>
      </c>
      <c r="AY231" s="1427">
        <f>IF(AX231=1,Q231,0)</f>
        <v>0</v>
      </c>
      <c r="AZ231" s="1427">
        <f>IF(R231=0,0,1)</f>
        <v>0</v>
      </c>
      <c r="BA231" s="1427">
        <f>IF(AZ231=1,R231,0)</f>
        <v>0</v>
      </c>
      <c r="BB231" s="1427">
        <f>IF(S231=0,0,1)</f>
        <v>0</v>
      </c>
      <c r="BC231" s="1427">
        <f>IF(BB231=1,S231,0)</f>
        <v>0</v>
      </c>
      <c r="BD231" s="1436">
        <f t="shared" si="242"/>
        <v>1</v>
      </c>
      <c r="BE231" s="1331">
        <f>12178-11700</f>
        <v>478</v>
      </c>
    </row>
    <row r="232" spans="1:57" ht="117" customHeight="1" x14ac:dyDescent="0.3">
      <c r="A232" s="1847" t="s">
        <v>2958</v>
      </c>
      <c r="B232" s="1457"/>
      <c r="C232" s="1492" t="s">
        <v>504</v>
      </c>
      <c r="D232" s="1388" t="s">
        <v>99</v>
      </c>
      <c r="E232" s="1388"/>
      <c r="F232" s="1388" t="s">
        <v>72</v>
      </c>
      <c r="G232" s="1388" t="s">
        <v>505</v>
      </c>
      <c r="H232" s="1463">
        <v>34664</v>
      </c>
      <c r="I232" s="1476">
        <f>H232</f>
        <v>34664</v>
      </c>
      <c r="J232" s="1460">
        <f>K232</f>
        <v>24250</v>
      </c>
      <c r="K232" s="1460">
        <v>24250</v>
      </c>
      <c r="L232" s="1460">
        <f>M232</f>
        <v>24250</v>
      </c>
      <c r="M232" s="1460">
        <f>K232</f>
        <v>24250</v>
      </c>
      <c r="N232" s="1463">
        <f>O232</f>
        <v>4000</v>
      </c>
      <c r="O232" s="1460">
        <v>4000</v>
      </c>
      <c r="P232" s="1463">
        <f>Q232</f>
        <v>4000</v>
      </c>
      <c r="Q232" s="1460">
        <v>4000</v>
      </c>
      <c r="R232" s="1454"/>
      <c r="S232" s="1454"/>
      <c r="T232" s="1463">
        <f>U232</f>
        <v>4000</v>
      </c>
      <c r="U232" s="1460">
        <v>4000</v>
      </c>
      <c r="V232" s="1454"/>
      <c r="W232" s="1454"/>
      <c r="X232" s="1463">
        <f>Y232</f>
        <v>4000</v>
      </c>
      <c r="Y232" s="1460">
        <v>4000</v>
      </c>
      <c r="Z232" s="1460"/>
      <c r="AA232" s="1460"/>
      <c r="AB232" s="1460">
        <v>4000</v>
      </c>
      <c r="AC232" s="1460">
        <v>4000</v>
      </c>
      <c r="AD232" s="1460"/>
      <c r="AE232" s="1460"/>
      <c r="AF232" s="1383">
        <f t="shared" si="257"/>
        <v>4000</v>
      </c>
      <c r="AG232" s="1383">
        <f t="shared" si="258"/>
        <v>4000</v>
      </c>
      <c r="AH232" s="1383">
        <f t="shared" si="199"/>
        <v>6206</v>
      </c>
      <c r="AI232" s="1383">
        <v>6206</v>
      </c>
      <c r="AJ232" s="1383"/>
      <c r="AK232" s="1383"/>
      <c r="AL232" s="1383"/>
      <c r="AM232" s="1383"/>
      <c r="AN232" s="1464"/>
      <c r="AO232" s="1464"/>
      <c r="AP232" s="1431">
        <f t="shared" si="235"/>
        <v>0</v>
      </c>
      <c r="AQ232" s="1431">
        <f t="shared" si="241"/>
        <v>1</v>
      </c>
      <c r="AR232" s="1434">
        <f t="shared" si="247"/>
        <v>0</v>
      </c>
      <c r="AS232" s="1434"/>
      <c r="AT232" s="1427">
        <f>IF(AP232=0,1,0)</f>
        <v>1</v>
      </c>
      <c r="AV232" s="1427">
        <f>IF(Q232=0,1,0)</f>
        <v>0</v>
      </c>
      <c r="AW232" s="1427">
        <f>IF(AV232=1,O232,0)</f>
        <v>0</v>
      </c>
      <c r="AX232" s="1427">
        <f>IF(O232=0,1,0)</f>
        <v>0</v>
      </c>
      <c r="AY232" s="1427">
        <f>IF(AX232=1,Q232,0)</f>
        <v>0</v>
      </c>
      <c r="AZ232" s="1427">
        <f>IF(R232=0,0,1)</f>
        <v>0</v>
      </c>
      <c r="BA232" s="1427">
        <f>IF(AZ232=1,R232,0)</f>
        <v>0</v>
      </c>
      <c r="BB232" s="1427">
        <f>IF(S232=0,0,1)</f>
        <v>0</v>
      </c>
      <c r="BC232" s="1427">
        <f>IF(BB232=1,S232,0)</f>
        <v>0</v>
      </c>
      <c r="BD232" s="1436">
        <f t="shared" si="242"/>
        <v>1</v>
      </c>
    </row>
    <row r="233" spans="1:57" ht="58.5" x14ac:dyDescent="0.3">
      <c r="A233" s="1827" t="s">
        <v>2959</v>
      </c>
      <c r="B233" s="1827" t="s">
        <v>2959</v>
      </c>
      <c r="C233" s="1446" t="s">
        <v>86</v>
      </c>
      <c r="D233" s="1447"/>
      <c r="E233" s="1447"/>
      <c r="F233" s="1448"/>
      <c r="G233" s="1448"/>
      <c r="H233" s="1449">
        <f>H234</f>
        <v>224320</v>
      </c>
      <c r="I233" s="1449">
        <f>I234</f>
        <v>224320</v>
      </c>
      <c r="J233" s="1449"/>
      <c r="K233" s="1449"/>
      <c r="L233" s="1449"/>
      <c r="M233" s="1449"/>
      <c r="N233" s="1449">
        <f t="shared" ref="N233:S233" si="259">N234</f>
        <v>206300</v>
      </c>
      <c r="O233" s="1449">
        <f t="shared" si="259"/>
        <v>206300</v>
      </c>
      <c r="P233" s="1449">
        <f t="shared" si="259"/>
        <v>135400</v>
      </c>
      <c r="Q233" s="1449">
        <f t="shared" si="259"/>
        <v>135400</v>
      </c>
      <c r="R233" s="1449">
        <f t="shared" si="259"/>
        <v>0</v>
      </c>
      <c r="S233" s="1449">
        <f t="shared" si="259"/>
        <v>70900</v>
      </c>
      <c r="T233" s="1449">
        <f t="shared" ref="T233:AM233" si="260">T234</f>
        <v>135400</v>
      </c>
      <c r="U233" s="1449">
        <f t="shared" si="260"/>
        <v>135400</v>
      </c>
      <c r="V233" s="1449">
        <f t="shared" si="260"/>
        <v>0</v>
      </c>
      <c r="W233" s="1449">
        <f t="shared" si="260"/>
        <v>0</v>
      </c>
      <c r="X233" s="1449">
        <f t="shared" si="260"/>
        <v>135400</v>
      </c>
      <c r="Y233" s="1449">
        <f t="shared" si="260"/>
        <v>135400</v>
      </c>
      <c r="Z233" s="1449">
        <v>0</v>
      </c>
      <c r="AA233" s="1449">
        <v>0</v>
      </c>
      <c r="AB233" s="1449">
        <v>134000</v>
      </c>
      <c r="AC233" s="1449">
        <v>134000</v>
      </c>
      <c r="AD233" s="1449">
        <f t="shared" si="260"/>
        <v>0</v>
      </c>
      <c r="AE233" s="1526">
        <f t="shared" si="260"/>
        <v>0</v>
      </c>
      <c r="AF233" s="1449">
        <f t="shared" si="260"/>
        <v>134000</v>
      </c>
      <c r="AG233" s="1449">
        <f t="shared" si="260"/>
        <v>134000</v>
      </c>
      <c r="AH233" s="1449">
        <f t="shared" si="260"/>
        <v>125136</v>
      </c>
      <c r="AI233" s="1449">
        <f t="shared" si="260"/>
        <v>32200</v>
      </c>
      <c r="AJ233" s="1449">
        <f t="shared" si="260"/>
        <v>27496</v>
      </c>
      <c r="AK233" s="1449">
        <f t="shared" si="260"/>
        <v>36683</v>
      </c>
      <c r="AL233" s="1449">
        <f t="shared" si="260"/>
        <v>27420</v>
      </c>
      <c r="AM233" s="1449">
        <f t="shared" si="260"/>
        <v>1337</v>
      </c>
      <c r="AN233" s="1450"/>
      <c r="AO233" s="1450"/>
      <c r="AP233" s="1431">
        <f t="shared" si="235"/>
        <v>0</v>
      </c>
      <c r="AQ233" s="1431">
        <f t="shared" si="241"/>
        <v>1</v>
      </c>
      <c r="AR233" s="1434"/>
      <c r="AS233" s="1434"/>
      <c r="BD233" s="1436">
        <f t="shared" si="242"/>
        <v>1</v>
      </c>
    </row>
    <row r="234" spans="1:57" ht="67.5" customHeight="1" x14ac:dyDescent="0.3">
      <c r="A234" s="1826" t="s">
        <v>2960</v>
      </c>
      <c r="B234" s="1826" t="s">
        <v>2960</v>
      </c>
      <c r="C234" s="1446" t="s">
        <v>88</v>
      </c>
      <c r="D234" s="1448"/>
      <c r="E234" s="1448"/>
      <c r="F234" s="1448"/>
      <c r="G234" s="1448"/>
      <c r="H234" s="1449">
        <f t="shared" ref="H234:X234" si="261">SUM(H235:H250)</f>
        <v>224320</v>
      </c>
      <c r="I234" s="1449">
        <f t="shared" si="261"/>
        <v>224320</v>
      </c>
      <c r="J234" s="1449">
        <f t="shared" si="261"/>
        <v>0</v>
      </c>
      <c r="K234" s="1449">
        <f t="shared" si="261"/>
        <v>0</v>
      </c>
      <c r="L234" s="1449">
        <f t="shared" si="261"/>
        <v>0</v>
      </c>
      <c r="M234" s="1449">
        <f t="shared" si="261"/>
        <v>0</v>
      </c>
      <c r="N234" s="1449">
        <f t="shared" si="261"/>
        <v>206300</v>
      </c>
      <c r="O234" s="1449">
        <f t="shared" si="261"/>
        <v>206300</v>
      </c>
      <c r="P234" s="1449">
        <f t="shared" si="261"/>
        <v>135400</v>
      </c>
      <c r="Q234" s="1449">
        <f t="shared" si="261"/>
        <v>135400</v>
      </c>
      <c r="R234" s="1449">
        <f t="shared" si="261"/>
        <v>0</v>
      </c>
      <c r="S234" s="1449">
        <f t="shared" si="261"/>
        <v>70900</v>
      </c>
      <c r="T234" s="1449">
        <f t="shared" si="261"/>
        <v>135400</v>
      </c>
      <c r="U234" s="1449">
        <f t="shared" si="261"/>
        <v>135400</v>
      </c>
      <c r="V234" s="1449">
        <f t="shared" si="261"/>
        <v>0</v>
      </c>
      <c r="W234" s="1449">
        <f t="shared" si="261"/>
        <v>0</v>
      </c>
      <c r="X234" s="1449">
        <f t="shared" si="261"/>
        <v>135400</v>
      </c>
      <c r="Y234" s="1449">
        <f>SUM(Y235:Y250)</f>
        <v>135400</v>
      </c>
      <c r="Z234" s="1449">
        <v>0</v>
      </c>
      <c r="AA234" s="1449">
        <v>0</v>
      </c>
      <c r="AB234" s="1449">
        <v>134000</v>
      </c>
      <c r="AC234" s="1449">
        <v>134000</v>
      </c>
      <c r="AD234" s="1449">
        <f t="shared" ref="AD234:AM234" si="262">SUM(AD235:AD250)</f>
        <v>0</v>
      </c>
      <c r="AE234" s="1526">
        <f t="shared" si="262"/>
        <v>0</v>
      </c>
      <c r="AF234" s="1449">
        <f t="shared" si="262"/>
        <v>134000</v>
      </c>
      <c r="AG234" s="1449">
        <f t="shared" si="262"/>
        <v>134000</v>
      </c>
      <c r="AH234" s="1449">
        <f t="shared" si="262"/>
        <v>125136</v>
      </c>
      <c r="AI234" s="1449">
        <f t="shared" si="262"/>
        <v>32200</v>
      </c>
      <c r="AJ234" s="1449">
        <f t="shared" si="262"/>
        <v>27496</v>
      </c>
      <c r="AK234" s="1449">
        <f t="shared" si="262"/>
        <v>36683</v>
      </c>
      <c r="AL234" s="1449">
        <f t="shared" si="262"/>
        <v>27420</v>
      </c>
      <c r="AM234" s="1449">
        <f t="shared" si="262"/>
        <v>1337</v>
      </c>
      <c r="AN234" s="1466"/>
      <c r="AO234" s="1466"/>
      <c r="AP234" s="1431">
        <f t="shared" si="235"/>
        <v>0</v>
      </c>
      <c r="AQ234" s="1431">
        <f t="shared" si="241"/>
        <v>1</v>
      </c>
      <c r="AR234" s="1434"/>
      <c r="AS234" s="1434"/>
      <c r="BD234" s="1436">
        <f t="shared" si="242"/>
        <v>1</v>
      </c>
    </row>
    <row r="235" spans="1:57" ht="121.5" customHeight="1" x14ac:dyDescent="0.3">
      <c r="A235" s="1461" t="s">
        <v>2961</v>
      </c>
      <c r="B235" s="1457"/>
      <c r="C235" s="1492" t="s">
        <v>506</v>
      </c>
      <c r="D235" s="1388" t="s">
        <v>507</v>
      </c>
      <c r="E235" s="1388" t="s">
        <v>508</v>
      </c>
      <c r="F235" s="1388">
        <v>2016</v>
      </c>
      <c r="G235" s="1388" t="s">
        <v>509</v>
      </c>
      <c r="H235" s="1463">
        <v>16701</v>
      </c>
      <c r="I235" s="1476">
        <f t="shared" ref="I235:I242" si="263">H235</f>
        <v>16701</v>
      </c>
      <c r="J235" s="1460"/>
      <c r="K235" s="1460"/>
      <c r="L235" s="1460"/>
      <c r="M235" s="1460"/>
      <c r="N235" s="1463">
        <f t="shared" ref="N235:N250" si="264">O235</f>
        <v>15270</v>
      </c>
      <c r="O235" s="1460">
        <v>15270</v>
      </c>
      <c r="P235" s="1463">
        <f t="shared" ref="P235:P250" si="265">Q235</f>
        <v>15270</v>
      </c>
      <c r="Q235" s="1460">
        <f>O235</f>
        <v>15270</v>
      </c>
      <c r="R235" s="1454"/>
      <c r="S235" s="1454"/>
      <c r="T235" s="1463">
        <f t="shared" ref="T235:T244" si="266">U235</f>
        <v>15270</v>
      </c>
      <c r="U235" s="1460">
        <f>Q235</f>
        <v>15270</v>
      </c>
      <c r="V235" s="1454"/>
      <c r="W235" s="1454"/>
      <c r="X235" s="1463">
        <f t="shared" ref="X235:X244" si="267">Y235</f>
        <v>15270</v>
      </c>
      <c r="Y235" s="1460">
        <f>U235</f>
        <v>15270</v>
      </c>
      <c r="Z235" s="1460">
        <v>0</v>
      </c>
      <c r="AA235" s="1460">
        <v>0</v>
      </c>
      <c r="AB235" s="1460">
        <v>15270</v>
      </c>
      <c r="AC235" s="1460">
        <v>15270</v>
      </c>
      <c r="AD235" s="1460"/>
      <c r="AE235" s="1460"/>
      <c r="AF235" s="1383">
        <f t="shared" si="257"/>
        <v>15270</v>
      </c>
      <c r="AG235" s="1383">
        <f t="shared" si="258"/>
        <v>15270</v>
      </c>
      <c r="AH235" s="1383">
        <f t="shared" ref="AH235:AH298" si="268">SUM(AI235:AM235)</f>
        <v>16352</v>
      </c>
      <c r="AI235" s="1383">
        <v>10000</v>
      </c>
      <c r="AJ235" s="1383">
        <v>6352</v>
      </c>
      <c r="AK235" s="1383"/>
      <c r="AL235" s="1383"/>
      <c r="AM235" s="1383"/>
      <c r="AN235" s="1464"/>
      <c r="AO235" s="1464"/>
      <c r="AP235" s="1431">
        <f t="shared" si="235"/>
        <v>0</v>
      </c>
      <c r="AQ235" s="1431">
        <f t="shared" si="241"/>
        <v>1</v>
      </c>
      <c r="AR235" s="1434">
        <f t="shared" si="247"/>
        <v>0</v>
      </c>
      <c r="AS235" s="1434"/>
      <c r="AT235" s="1427">
        <f t="shared" ref="AT235:AT250" si="269">IF(AP235=0,1,0)</f>
        <v>1</v>
      </c>
      <c r="AV235" s="1427">
        <f t="shared" ref="AV235:AV250" si="270">IF(Q235=0,1,0)</f>
        <v>0</v>
      </c>
      <c r="AW235" s="1427">
        <f t="shared" ref="AW235:AW280" si="271">IF(AV235=1,O235,0)</f>
        <v>0</v>
      </c>
      <c r="AX235" s="1427">
        <f t="shared" ref="AX235:AX250" si="272">IF(O235=0,1,0)</f>
        <v>0</v>
      </c>
      <c r="AY235" s="1427">
        <f t="shared" ref="AY235:AY266" si="273">IF(AX235=1,Q235,0)</f>
        <v>0</v>
      </c>
      <c r="AZ235" s="1427">
        <f t="shared" ref="AZ235:AZ250" si="274">IF(R235=0,0,1)</f>
        <v>0</v>
      </c>
      <c r="BA235" s="1427">
        <f t="shared" ref="BA235:BA266" si="275">IF(AZ235=1,R235,0)</f>
        <v>0</v>
      </c>
      <c r="BB235" s="1427">
        <f t="shared" ref="BB235:BB244" si="276">IF(S235=0,0,1)</f>
        <v>0</v>
      </c>
      <c r="BC235" s="1427">
        <f t="shared" ref="BC235:BC244" si="277">IF(BB235=1,S235,0)</f>
        <v>0</v>
      </c>
      <c r="BD235" s="1436">
        <f t="shared" si="242"/>
        <v>1</v>
      </c>
    </row>
    <row r="236" spans="1:57" ht="140.25" customHeight="1" x14ac:dyDescent="0.3">
      <c r="A236" s="1461" t="s">
        <v>2962</v>
      </c>
      <c r="B236" s="1457"/>
      <c r="C236" s="1458" t="s">
        <v>510</v>
      </c>
      <c r="D236" s="1388" t="s">
        <v>511</v>
      </c>
      <c r="E236" s="1388" t="s">
        <v>512</v>
      </c>
      <c r="F236" s="1388">
        <v>2016</v>
      </c>
      <c r="G236" s="1388" t="s">
        <v>513</v>
      </c>
      <c r="H236" s="1476">
        <v>8080</v>
      </c>
      <c r="I236" s="1476">
        <f t="shared" si="263"/>
        <v>8080</v>
      </c>
      <c r="J236" s="1460"/>
      <c r="K236" s="1460"/>
      <c r="L236" s="1460"/>
      <c r="M236" s="1460"/>
      <c r="N236" s="1463">
        <f t="shared" si="264"/>
        <v>7700</v>
      </c>
      <c r="O236" s="1460">
        <v>7700</v>
      </c>
      <c r="P236" s="1463">
        <f t="shared" si="265"/>
        <v>7700</v>
      </c>
      <c r="Q236" s="1460">
        <v>7700</v>
      </c>
      <c r="R236" s="1454"/>
      <c r="S236" s="1454"/>
      <c r="T236" s="1463">
        <f t="shared" si="266"/>
        <v>7700</v>
      </c>
      <c r="U236" s="1460">
        <v>7700</v>
      </c>
      <c r="V236" s="1454"/>
      <c r="W236" s="1454"/>
      <c r="X236" s="1463">
        <f t="shared" si="267"/>
        <v>7700</v>
      </c>
      <c r="Y236" s="1460">
        <v>7700</v>
      </c>
      <c r="Z236" s="1460">
        <v>0</v>
      </c>
      <c r="AA236" s="1460">
        <v>0</v>
      </c>
      <c r="AB236" s="1460">
        <v>7700</v>
      </c>
      <c r="AC236" s="1460">
        <v>7700</v>
      </c>
      <c r="AD236" s="1460"/>
      <c r="AE236" s="1460"/>
      <c r="AF236" s="1383">
        <f t="shared" si="257"/>
        <v>7700</v>
      </c>
      <c r="AG236" s="1383">
        <f t="shared" si="258"/>
        <v>7700</v>
      </c>
      <c r="AH236" s="1383">
        <f t="shared" si="268"/>
        <v>5000</v>
      </c>
      <c r="AI236" s="1383">
        <v>5000</v>
      </c>
      <c r="AJ236" s="1383"/>
      <c r="AK236" s="1383"/>
      <c r="AL236" s="1383"/>
      <c r="AM236" s="1383"/>
      <c r="AN236" s="1464"/>
      <c r="AO236" s="1464"/>
      <c r="AP236" s="1431">
        <f t="shared" si="235"/>
        <v>0</v>
      </c>
      <c r="AQ236" s="1431">
        <f t="shared" si="241"/>
        <v>1</v>
      </c>
      <c r="AR236" s="1434">
        <f t="shared" si="247"/>
        <v>0</v>
      </c>
      <c r="AS236" s="1434"/>
      <c r="AT236" s="1427">
        <f t="shared" si="269"/>
        <v>1</v>
      </c>
      <c r="AV236" s="1427">
        <f t="shared" si="270"/>
        <v>0</v>
      </c>
      <c r="AW236" s="1427">
        <f t="shared" si="271"/>
        <v>0</v>
      </c>
      <c r="AX236" s="1427">
        <f t="shared" si="272"/>
        <v>0</v>
      </c>
      <c r="AY236" s="1427">
        <f t="shared" si="273"/>
        <v>0</v>
      </c>
      <c r="AZ236" s="1427">
        <f t="shared" si="274"/>
        <v>0</v>
      </c>
      <c r="BA236" s="1427">
        <f t="shared" si="275"/>
        <v>0</v>
      </c>
      <c r="BB236" s="1427">
        <f t="shared" si="276"/>
        <v>0</v>
      </c>
      <c r="BC236" s="1427">
        <f t="shared" si="277"/>
        <v>0</v>
      </c>
      <c r="BD236" s="1436">
        <f t="shared" si="242"/>
        <v>1</v>
      </c>
    </row>
    <row r="237" spans="1:57" ht="119.25" customHeight="1" x14ac:dyDescent="0.3">
      <c r="A237" s="1461" t="s">
        <v>2963</v>
      </c>
      <c r="B237" s="1457"/>
      <c r="C237" s="1458" t="s">
        <v>514</v>
      </c>
      <c r="D237" s="1388" t="s">
        <v>515</v>
      </c>
      <c r="E237" s="1388" t="s">
        <v>516</v>
      </c>
      <c r="F237" s="1388">
        <v>2016</v>
      </c>
      <c r="G237" s="1388" t="s">
        <v>517</v>
      </c>
      <c r="H237" s="1476">
        <v>15084</v>
      </c>
      <c r="I237" s="1476">
        <f t="shared" si="263"/>
        <v>15084</v>
      </c>
      <c r="J237" s="1460"/>
      <c r="K237" s="1460"/>
      <c r="L237" s="1460"/>
      <c r="M237" s="1460"/>
      <c r="N237" s="1463">
        <f t="shared" si="264"/>
        <v>13710</v>
      </c>
      <c r="O237" s="1460">
        <v>13710</v>
      </c>
      <c r="P237" s="1463">
        <f t="shared" si="265"/>
        <v>13710</v>
      </c>
      <c r="Q237" s="1460">
        <v>13710</v>
      </c>
      <c r="R237" s="1454"/>
      <c r="S237" s="1454"/>
      <c r="T237" s="1463">
        <f t="shared" si="266"/>
        <v>13710</v>
      </c>
      <c r="U237" s="1460">
        <v>13710</v>
      </c>
      <c r="V237" s="1454"/>
      <c r="W237" s="1454"/>
      <c r="X237" s="1463">
        <f t="shared" si="267"/>
        <v>13710</v>
      </c>
      <c r="Y237" s="1460">
        <v>13710</v>
      </c>
      <c r="Z237" s="1460">
        <v>0</v>
      </c>
      <c r="AA237" s="1460">
        <v>0</v>
      </c>
      <c r="AB237" s="1460">
        <v>13710</v>
      </c>
      <c r="AC237" s="1460">
        <v>13710</v>
      </c>
      <c r="AD237" s="1460"/>
      <c r="AE237" s="1460"/>
      <c r="AF237" s="1383">
        <f t="shared" si="257"/>
        <v>13710</v>
      </c>
      <c r="AG237" s="1383">
        <f t="shared" si="258"/>
        <v>13710</v>
      </c>
      <c r="AH237" s="1383">
        <f t="shared" si="268"/>
        <v>12800</v>
      </c>
      <c r="AI237" s="1383">
        <v>12800</v>
      </c>
      <c r="AJ237" s="1383"/>
      <c r="AK237" s="1383"/>
      <c r="AL237" s="1383"/>
      <c r="AM237" s="1383"/>
      <c r="AN237" s="1464"/>
      <c r="AO237" s="1464"/>
      <c r="AP237" s="1431">
        <f t="shared" si="235"/>
        <v>0</v>
      </c>
      <c r="AQ237" s="1431">
        <f t="shared" si="241"/>
        <v>1</v>
      </c>
      <c r="AR237" s="1434">
        <f t="shared" si="247"/>
        <v>0</v>
      </c>
      <c r="AS237" s="1434"/>
      <c r="AT237" s="1427">
        <f t="shared" si="269"/>
        <v>1</v>
      </c>
      <c r="AV237" s="1427">
        <f t="shared" si="270"/>
        <v>0</v>
      </c>
      <c r="AW237" s="1427">
        <f t="shared" si="271"/>
        <v>0</v>
      </c>
      <c r="AX237" s="1427">
        <f t="shared" si="272"/>
        <v>0</v>
      </c>
      <c r="AY237" s="1427">
        <f t="shared" si="273"/>
        <v>0</v>
      </c>
      <c r="AZ237" s="1427">
        <f t="shared" si="274"/>
        <v>0</v>
      </c>
      <c r="BA237" s="1427">
        <f t="shared" si="275"/>
        <v>0</v>
      </c>
      <c r="BB237" s="1427">
        <f t="shared" si="276"/>
        <v>0</v>
      </c>
      <c r="BC237" s="1427">
        <f t="shared" si="277"/>
        <v>0</v>
      </c>
      <c r="BD237" s="1436">
        <f t="shared" si="242"/>
        <v>1</v>
      </c>
    </row>
    <row r="238" spans="1:57" ht="58.5" customHeight="1" x14ac:dyDescent="0.3">
      <c r="A238" s="1461" t="s">
        <v>2964</v>
      </c>
      <c r="B238" s="1457"/>
      <c r="C238" s="1442" t="s">
        <v>518</v>
      </c>
      <c r="D238" s="1388" t="s">
        <v>519</v>
      </c>
      <c r="E238" s="1388" t="s">
        <v>520</v>
      </c>
      <c r="F238" s="1388">
        <v>2016</v>
      </c>
      <c r="G238" s="1388" t="s">
        <v>521</v>
      </c>
      <c r="H238" s="1476">
        <v>1992</v>
      </c>
      <c r="I238" s="1476">
        <f t="shared" si="263"/>
        <v>1992</v>
      </c>
      <c r="J238" s="1460"/>
      <c r="K238" s="1460"/>
      <c r="L238" s="1460"/>
      <c r="M238" s="1460"/>
      <c r="N238" s="1463">
        <f t="shared" si="264"/>
        <v>1720</v>
      </c>
      <c r="O238" s="1460">
        <v>1720</v>
      </c>
      <c r="P238" s="1463">
        <f t="shared" si="265"/>
        <v>1720</v>
      </c>
      <c r="Q238" s="1460">
        <v>1720</v>
      </c>
      <c r="R238" s="1454"/>
      <c r="S238" s="1454"/>
      <c r="T238" s="1463">
        <f t="shared" si="266"/>
        <v>1720</v>
      </c>
      <c r="U238" s="1460">
        <v>1720</v>
      </c>
      <c r="V238" s="1454"/>
      <c r="W238" s="1454"/>
      <c r="X238" s="1463">
        <f t="shared" si="267"/>
        <v>1720</v>
      </c>
      <c r="Y238" s="1460">
        <v>1720</v>
      </c>
      <c r="Z238" s="1460">
        <v>0</v>
      </c>
      <c r="AA238" s="1460">
        <v>0</v>
      </c>
      <c r="AB238" s="1460">
        <v>1720</v>
      </c>
      <c r="AC238" s="1460">
        <v>1720</v>
      </c>
      <c r="AD238" s="1460"/>
      <c r="AE238" s="1460"/>
      <c r="AF238" s="1383">
        <f t="shared" si="257"/>
        <v>1720</v>
      </c>
      <c r="AG238" s="1383">
        <f t="shared" si="258"/>
        <v>1720</v>
      </c>
      <c r="AH238" s="1383">
        <f t="shared" si="268"/>
        <v>3100</v>
      </c>
      <c r="AI238" s="1383">
        <v>1400</v>
      </c>
      <c r="AJ238" s="1383">
        <v>1700</v>
      </c>
      <c r="AK238" s="1383"/>
      <c r="AL238" s="1383"/>
      <c r="AM238" s="1383"/>
      <c r="AN238" s="1464"/>
      <c r="AO238" s="1464"/>
      <c r="AP238" s="1431">
        <f t="shared" si="235"/>
        <v>0</v>
      </c>
      <c r="AQ238" s="1431">
        <f t="shared" si="241"/>
        <v>1</v>
      </c>
      <c r="AR238" s="1434">
        <f t="shared" si="247"/>
        <v>0</v>
      </c>
      <c r="AS238" s="1434"/>
      <c r="AT238" s="1427">
        <f t="shared" si="269"/>
        <v>1</v>
      </c>
      <c r="AV238" s="1427">
        <f t="shared" si="270"/>
        <v>0</v>
      </c>
      <c r="AW238" s="1427">
        <f t="shared" si="271"/>
        <v>0</v>
      </c>
      <c r="AX238" s="1427">
        <f t="shared" si="272"/>
        <v>0</v>
      </c>
      <c r="AY238" s="1427">
        <f t="shared" si="273"/>
        <v>0</v>
      </c>
      <c r="AZ238" s="1427">
        <f t="shared" si="274"/>
        <v>0</v>
      </c>
      <c r="BA238" s="1427">
        <f t="shared" si="275"/>
        <v>0</v>
      </c>
      <c r="BB238" s="1427">
        <f t="shared" si="276"/>
        <v>0</v>
      </c>
      <c r="BC238" s="1427">
        <f t="shared" si="277"/>
        <v>0</v>
      </c>
      <c r="BD238" s="1436">
        <f t="shared" si="242"/>
        <v>1</v>
      </c>
    </row>
    <row r="239" spans="1:57" ht="79.5" customHeight="1" x14ac:dyDescent="0.3">
      <c r="A239" s="1461" t="s">
        <v>2965</v>
      </c>
      <c r="B239" s="1457"/>
      <c r="C239" s="1458" t="s">
        <v>522</v>
      </c>
      <c r="D239" s="1388" t="s">
        <v>519</v>
      </c>
      <c r="E239" s="1388" t="s">
        <v>523</v>
      </c>
      <c r="F239" s="1388">
        <v>2016</v>
      </c>
      <c r="G239" s="1388" t="s">
        <v>524</v>
      </c>
      <c r="H239" s="1476">
        <v>3500</v>
      </c>
      <c r="I239" s="1476">
        <f t="shared" si="263"/>
        <v>3500</v>
      </c>
      <c r="J239" s="1460"/>
      <c r="K239" s="1460"/>
      <c r="L239" s="1460"/>
      <c r="M239" s="1460"/>
      <c r="N239" s="1463">
        <f t="shared" si="264"/>
        <v>3440</v>
      </c>
      <c r="O239" s="1460">
        <v>3440</v>
      </c>
      <c r="P239" s="1463">
        <f t="shared" si="265"/>
        <v>3440</v>
      </c>
      <c r="Q239" s="1460">
        <v>3440</v>
      </c>
      <c r="R239" s="1454"/>
      <c r="S239" s="1454"/>
      <c r="T239" s="1463">
        <f t="shared" si="266"/>
        <v>3440</v>
      </c>
      <c r="U239" s="1460">
        <v>3440</v>
      </c>
      <c r="V239" s="1454"/>
      <c r="W239" s="1454"/>
      <c r="X239" s="1463">
        <f t="shared" si="267"/>
        <v>3440</v>
      </c>
      <c r="Y239" s="1460">
        <v>3440</v>
      </c>
      <c r="Z239" s="1460">
        <v>0</v>
      </c>
      <c r="AA239" s="1460">
        <v>0</v>
      </c>
      <c r="AB239" s="1460">
        <v>3440</v>
      </c>
      <c r="AC239" s="1460">
        <v>3440</v>
      </c>
      <c r="AD239" s="1460"/>
      <c r="AE239" s="1460"/>
      <c r="AF239" s="1383">
        <f t="shared" si="257"/>
        <v>3440</v>
      </c>
      <c r="AG239" s="1383">
        <f t="shared" si="258"/>
        <v>3440</v>
      </c>
      <c r="AH239" s="1383">
        <f t="shared" si="268"/>
        <v>3000</v>
      </c>
      <c r="AI239" s="1383">
        <v>3000</v>
      </c>
      <c r="AJ239" s="1383"/>
      <c r="AK239" s="1383"/>
      <c r="AL239" s="1383"/>
      <c r="AM239" s="1383"/>
      <c r="AN239" s="1464"/>
      <c r="AO239" s="1464"/>
      <c r="AP239" s="1431">
        <f t="shared" si="235"/>
        <v>0</v>
      </c>
      <c r="AQ239" s="1431">
        <f t="shared" si="241"/>
        <v>1</v>
      </c>
      <c r="AR239" s="1434">
        <f t="shared" si="247"/>
        <v>0</v>
      </c>
      <c r="AS239" s="1434"/>
      <c r="AT239" s="1427">
        <f t="shared" si="269"/>
        <v>1</v>
      </c>
      <c r="AV239" s="1427">
        <f t="shared" si="270"/>
        <v>0</v>
      </c>
      <c r="AW239" s="1427">
        <f t="shared" si="271"/>
        <v>0</v>
      </c>
      <c r="AX239" s="1427">
        <f t="shared" si="272"/>
        <v>0</v>
      </c>
      <c r="AY239" s="1427">
        <f t="shared" si="273"/>
        <v>0</v>
      </c>
      <c r="AZ239" s="1427">
        <f t="shared" si="274"/>
        <v>0</v>
      </c>
      <c r="BA239" s="1427">
        <f t="shared" si="275"/>
        <v>0</v>
      </c>
      <c r="BB239" s="1427">
        <f t="shared" si="276"/>
        <v>0</v>
      </c>
      <c r="BC239" s="1427">
        <f t="shared" si="277"/>
        <v>0</v>
      </c>
      <c r="BD239" s="1436">
        <f t="shared" si="242"/>
        <v>1</v>
      </c>
    </row>
    <row r="240" spans="1:57" ht="144.75" customHeight="1" x14ac:dyDescent="0.3">
      <c r="A240" s="1461" t="s">
        <v>2966</v>
      </c>
      <c r="B240" s="1457"/>
      <c r="C240" s="1442" t="s">
        <v>525</v>
      </c>
      <c r="D240" s="1388" t="s">
        <v>526</v>
      </c>
      <c r="E240" s="1388" t="s">
        <v>527</v>
      </c>
      <c r="F240" s="1388">
        <v>2017</v>
      </c>
      <c r="G240" s="1388" t="s">
        <v>528</v>
      </c>
      <c r="H240" s="1444">
        <v>4905</v>
      </c>
      <c r="I240" s="1476">
        <f t="shared" si="263"/>
        <v>4905</v>
      </c>
      <c r="J240" s="1460"/>
      <c r="K240" s="1460"/>
      <c r="L240" s="1460"/>
      <c r="M240" s="1460"/>
      <c r="N240" s="1463">
        <f t="shared" si="264"/>
        <v>4660</v>
      </c>
      <c r="O240" s="1460">
        <v>4660</v>
      </c>
      <c r="P240" s="1463">
        <f t="shared" si="265"/>
        <v>4660</v>
      </c>
      <c r="Q240" s="1460">
        <v>4660</v>
      </c>
      <c r="R240" s="1454"/>
      <c r="S240" s="1454"/>
      <c r="T240" s="1463">
        <f t="shared" si="266"/>
        <v>4660</v>
      </c>
      <c r="U240" s="1460">
        <v>4660</v>
      </c>
      <c r="V240" s="1454"/>
      <c r="W240" s="1454"/>
      <c r="X240" s="1463">
        <f t="shared" si="267"/>
        <v>4660</v>
      </c>
      <c r="Y240" s="1460">
        <v>4660</v>
      </c>
      <c r="Z240" s="1460">
        <v>0</v>
      </c>
      <c r="AA240" s="1460">
        <v>0</v>
      </c>
      <c r="AB240" s="1460">
        <v>4660</v>
      </c>
      <c r="AC240" s="1460">
        <v>4660</v>
      </c>
      <c r="AD240" s="1460"/>
      <c r="AE240" s="1460"/>
      <c r="AF240" s="1383">
        <f t="shared" si="257"/>
        <v>4660</v>
      </c>
      <c r="AG240" s="1383">
        <f t="shared" si="258"/>
        <v>4660</v>
      </c>
      <c r="AH240" s="1383">
        <f t="shared" si="268"/>
        <v>4281</v>
      </c>
      <c r="AI240" s="1383"/>
      <c r="AJ240" s="1383">
        <v>4281</v>
      </c>
      <c r="AK240" s="1383"/>
      <c r="AL240" s="1383"/>
      <c r="AM240" s="1383"/>
      <c r="AN240" s="1464"/>
      <c r="AO240" s="1464"/>
      <c r="AP240" s="1431">
        <f t="shared" si="235"/>
        <v>0</v>
      </c>
      <c r="AQ240" s="1431">
        <f t="shared" si="241"/>
        <v>1</v>
      </c>
      <c r="AR240" s="1434">
        <f t="shared" si="247"/>
        <v>0</v>
      </c>
      <c r="AS240" s="1434"/>
      <c r="AT240" s="1427">
        <f t="shared" si="269"/>
        <v>1</v>
      </c>
      <c r="AV240" s="1427">
        <f t="shared" si="270"/>
        <v>0</v>
      </c>
      <c r="AW240" s="1427">
        <f t="shared" si="271"/>
        <v>0</v>
      </c>
      <c r="AX240" s="1427">
        <f t="shared" si="272"/>
        <v>0</v>
      </c>
      <c r="AY240" s="1427">
        <f t="shared" si="273"/>
        <v>0</v>
      </c>
      <c r="AZ240" s="1427">
        <f t="shared" si="274"/>
        <v>0</v>
      </c>
      <c r="BA240" s="1427">
        <f t="shared" si="275"/>
        <v>0</v>
      </c>
      <c r="BB240" s="1427">
        <f t="shared" si="276"/>
        <v>0</v>
      </c>
      <c r="BC240" s="1427">
        <f t="shared" si="277"/>
        <v>0</v>
      </c>
      <c r="BD240" s="1436">
        <f t="shared" si="242"/>
        <v>1</v>
      </c>
    </row>
    <row r="241" spans="1:56" ht="146.25" customHeight="1" x14ac:dyDescent="0.3">
      <c r="A241" s="1461" t="s">
        <v>2967</v>
      </c>
      <c r="B241" s="1457"/>
      <c r="C241" s="1442" t="s">
        <v>529</v>
      </c>
      <c r="D241" s="1388" t="s">
        <v>530</v>
      </c>
      <c r="E241" s="1388" t="s">
        <v>531</v>
      </c>
      <c r="F241" s="1388" t="s">
        <v>109</v>
      </c>
      <c r="G241" s="1388" t="s">
        <v>532</v>
      </c>
      <c r="H241" s="1444">
        <v>9852</v>
      </c>
      <c r="I241" s="1476">
        <f t="shared" si="263"/>
        <v>9852</v>
      </c>
      <c r="J241" s="1460" t="s">
        <v>533</v>
      </c>
      <c r="K241" s="1460"/>
      <c r="L241" s="1460"/>
      <c r="M241" s="1460"/>
      <c r="N241" s="1463">
        <f t="shared" si="264"/>
        <v>8960</v>
      </c>
      <c r="O241" s="1460">
        <v>8960</v>
      </c>
      <c r="P241" s="1463">
        <f t="shared" si="265"/>
        <v>8960</v>
      </c>
      <c r="Q241" s="1460">
        <v>8960</v>
      </c>
      <c r="R241" s="1454"/>
      <c r="S241" s="1454"/>
      <c r="T241" s="1463">
        <f t="shared" si="266"/>
        <v>8960</v>
      </c>
      <c r="U241" s="1460">
        <v>8960</v>
      </c>
      <c r="V241" s="1454"/>
      <c r="W241" s="1454"/>
      <c r="X241" s="1463">
        <f t="shared" si="267"/>
        <v>8960</v>
      </c>
      <c r="Y241" s="1460">
        <v>8960</v>
      </c>
      <c r="Z241" s="1460">
        <v>0</v>
      </c>
      <c r="AA241" s="1460">
        <v>0</v>
      </c>
      <c r="AB241" s="1460">
        <v>8960</v>
      </c>
      <c r="AC241" s="1460">
        <v>8960</v>
      </c>
      <c r="AD241" s="1460"/>
      <c r="AE241" s="1460"/>
      <c r="AF241" s="1383">
        <f t="shared" si="257"/>
        <v>8960</v>
      </c>
      <c r="AG241" s="1383">
        <f t="shared" si="258"/>
        <v>8960</v>
      </c>
      <c r="AH241" s="1383">
        <f t="shared" si="268"/>
        <v>8000</v>
      </c>
      <c r="AI241" s="1383"/>
      <c r="AJ241" s="1383">
        <v>8000</v>
      </c>
      <c r="AK241" s="1383"/>
      <c r="AL241" s="1383"/>
      <c r="AM241" s="1383"/>
      <c r="AN241" s="1464"/>
      <c r="AO241" s="1464"/>
      <c r="AP241" s="1431">
        <f t="shared" si="235"/>
        <v>0</v>
      </c>
      <c r="AQ241" s="1431">
        <f t="shared" si="241"/>
        <v>1</v>
      </c>
      <c r="AR241" s="1434">
        <f t="shared" si="247"/>
        <v>0</v>
      </c>
      <c r="AS241" s="1434"/>
      <c r="AT241" s="1427">
        <f t="shared" si="269"/>
        <v>1</v>
      </c>
      <c r="AV241" s="1427">
        <f t="shared" si="270"/>
        <v>0</v>
      </c>
      <c r="AW241" s="1427">
        <f t="shared" si="271"/>
        <v>0</v>
      </c>
      <c r="AX241" s="1427">
        <f t="shared" si="272"/>
        <v>0</v>
      </c>
      <c r="AY241" s="1427">
        <f t="shared" si="273"/>
        <v>0</v>
      </c>
      <c r="AZ241" s="1427">
        <f t="shared" si="274"/>
        <v>0</v>
      </c>
      <c r="BA241" s="1427">
        <f t="shared" si="275"/>
        <v>0</v>
      </c>
      <c r="BB241" s="1427">
        <f t="shared" si="276"/>
        <v>0</v>
      </c>
      <c r="BC241" s="1427">
        <f t="shared" si="277"/>
        <v>0</v>
      </c>
      <c r="BD241" s="1436">
        <f t="shared" si="242"/>
        <v>1</v>
      </c>
    </row>
    <row r="242" spans="1:56" ht="232.5" customHeight="1" x14ac:dyDescent="0.3">
      <c r="A242" s="1461" t="s">
        <v>2968</v>
      </c>
      <c r="B242" s="1457"/>
      <c r="C242" s="1442" t="s">
        <v>534</v>
      </c>
      <c r="D242" s="1388" t="s">
        <v>535</v>
      </c>
      <c r="E242" s="1388" t="s">
        <v>536</v>
      </c>
      <c r="F242" s="1388" t="s">
        <v>109</v>
      </c>
      <c r="G242" s="1388" t="s">
        <v>537</v>
      </c>
      <c r="H242" s="1444">
        <v>10021</v>
      </c>
      <c r="I242" s="1476">
        <f t="shared" si="263"/>
        <v>10021</v>
      </c>
      <c r="J242" s="1460"/>
      <c r="K242" s="1460"/>
      <c r="L242" s="1460"/>
      <c r="M242" s="1460"/>
      <c r="N242" s="1463">
        <f t="shared" si="264"/>
        <v>9110</v>
      </c>
      <c r="O242" s="1460">
        <v>9110</v>
      </c>
      <c r="P242" s="1463">
        <f t="shared" si="265"/>
        <v>9110</v>
      </c>
      <c r="Q242" s="1460">
        <v>9110</v>
      </c>
      <c r="R242" s="1454"/>
      <c r="S242" s="1454"/>
      <c r="T242" s="1463">
        <f t="shared" si="266"/>
        <v>9110</v>
      </c>
      <c r="U242" s="1460">
        <v>9110</v>
      </c>
      <c r="V242" s="1454"/>
      <c r="W242" s="1454"/>
      <c r="X242" s="1463">
        <f t="shared" si="267"/>
        <v>9110</v>
      </c>
      <c r="Y242" s="1460">
        <v>9110</v>
      </c>
      <c r="Z242" s="1460">
        <v>0</v>
      </c>
      <c r="AA242" s="1460">
        <v>0</v>
      </c>
      <c r="AB242" s="1460">
        <v>9110</v>
      </c>
      <c r="AC242" s="1460">
        <v>9110</v>
      </c>
      <c r="AD242" s="1460"/>
      <c r="AE242" s="1460"/>
      <c r="AF242" s="1383">
        <f t="shared" si="257"/>
        <v>9110</v>
      </c>
      <c r="AG242" s="1383">
        <f t="shared" si="258"/>
        <v>9110</v>
      </c>
      <c r="AH242" s="1383">
        <f t="shared" si="268"/>
        <v>7163</v>
      </c>
      <c r="AI242" s="1383"/>
      <c r="AJ242" s="1383">
        <v>7163</v>
      </c>
      <c r="AK242" s="1383"/>
      <c r="AL242" s="1383"/>
      <c r="AM242" s="1383"/>
      <c r="AN242" s="1464"/>
      <c r="AO242" s="1464"/>
      <c r="AP242" s="1431">
        <f t="shared" si="235"/>
        <v>0</v>
      </c>
      <c r="AQ242" s="1431">
        <f t="shared" si="241"/>
        <v>1</v>
      </c>
      <c r="AR242" s="1434">
        <f t="shared" si="247"/>
        <v>0</v>
      </c>
      <c r="AS242" s="1434"/>
      <c r="AT242" s="1427">
        <f t="shared" si="269"/>
        <v>1</v>
      </c>
      <c r="AV242" s="1427">
        <f t="shared" si="270"/>
        <v>0</v>
      </c>
      <c r="AW242" s="1427">
        <f t="shared" si="271"/>
        <v>0</v>
      </c>
      <c r="AX242" s="1427">
        <f t="shared" si="272"/>
        <v>0</v>
      </c>
      <c r="AY242" s="1427">
        <f t="shared" si="273"/>
        <v>0</v>
      </c>
      <c r="AZ242" s="1427">
        <f t="shared" si="274"/>
        <v>0</v>
      </c>
      <c r="BA242" s="1427">
        <f t="shared" si="275"/>
        <v>0</v>
      </c>
      <c r="BB242" s="1427">
        <f t="shared" si="276"/>
        <v>0</v>
      </c>
      <c r="BC242" s="1427">
        <f t="shared" si="277"/>
        <v>0</v>
      </c>
      <c r="BD242" s="1436">
        <f t="shared" si="242"/>
        <v>1</v>
      </c>
    </row>
    <row r="243" spans="1:56" ht="157.5" customHeight="1" x14ac:dyDescent="0.3">
      <c r="A243" s="1461" t="s">
        <v>2969</v>
      </c>
      <c r="B243" s="1457"/>
      <c r="C243" s="1442" t="s">
        <v>538</v>
      </c>
      <c r="D243" s="1388" t="s">
        <v>176</v>
      </c>
      <c r="E243" s="1388" t="s">
        <v>539</v>
      </c>
      <c r="F243" s="1388" t="s">
        <v>116</v>
      </c>
      <c r="G243" s="1388" t="s">
        <v>2463</v>
      </c>
      <c r="H243" s="1444">
        <f>I243</f>
        <v>14850</v>
      </c>
      <c r="I243" s="1476">
        <v>14850</v>
      </c>
      <c r="J243" s="1460"/>
      <c r="K243" s="1460"/>
      <c r="L243" s="1460"/>
      <c r="M243" s="1460"/>
      <c r="N243" s="1460">
        <f t="shared" si="264"/>
        <v>13500</v>
      </c>
      <c r="O243" s="1460">
        <v>13500</v>
      </c>
      <c r="P243" s="1460">
        <f t="shared" si="265"/>
        <v>13500</v>
      </c>
      <c r="Q243" s="1460">
        <v>13500</v>
      </c>
      <c r="R243" s="1454"/>
      <c r="S243" s="1454"/>
      <c r="T243" s="1460">
        <f t="shared" si="266"/>
        <v>13500</v>
      </c>
      <c r="U243" s="1460">
        <v>13500</v>
      </c>
      <c r="V243" s="1454"/>
      <c r="W243" s="1454"/>
      <c r="X243" s="1460">
        <f t="shared" si="267"/>
        <v>13500</v>
      </c>
      <c r="Y243" s="1460">
        <v>13500</v>
      </c>
      <c r="Z243" s="1460">
        <v>0</v>
      </c>
      <c r="AA243" s="1460">
        <v>0</v>
      </c>
      <c r="AB243" s="1460">
        <v>13500</v>
      </c>
      <c r="AC243" s="1460">
        <v>13500</v>
      </c>
      <c r="AD243" s="1460"/>
      <c r="AE243" s="1460"/>
      <c r="AF243" s="1383">
        <f t="shared" si="257"/>
        <v>13500</v>
      </c>
      <c r="AG243" s="1383">
        <f t="shared" si="258"/>
        <v>13500</v>
      </c>
      <c r="AH243" s="1383">
        <f t="shared" si="268"/>
        <v>13500</v>
      </c>
      <c r="AI243" s="1383"/>
      <c r="AJ243" s="1383"/>
      <c r="AK243" s="1383">
        <v>10300</v>
      </c>
      <c r="AL243" s="1383">
        <v>3040</v>
      </c>
      <c r="AM243" s="1383">
        <v>160</v>
      </c>
      <c r="AN243" s="1381"/>
      <c r="AO243" s="1381"/>
      <c r="AP243" s="1431">
        <f t="shared" si="235"/>
        <v>0</v>
      </c>
      <c r="AQ243" s="1431">
        <f t="shared" si="241"/>
        <v>1</v>
      </c>
      <c r="AR243" s="1434">
        <f t="shared" si="247"/>
        <v>0</v>
      </c>
      <c r="AS243" s="1434"/>
      <c r="AT243" s="1427">
        <f t="shared" si="269"/>
        <v>1</v>
      </c>
      <c r="AV243" s="1427">
        <f t="shared" si="270"/>
        <v>0</v>
      </c>
      <c r="AW243" s="1427">
        <f t="shared" si="271"/>
        <v>0</v>
      </c>
      <c r="AX243" s="1427">
        <f t="shared" si="272"/>
        <v>0</v>
      </c>
      <c r="AY243" s="1427">
        <f t="shared" si="273"/>
        <v>0</v>
      </c>
      <c r="AZ243" s="1427">
        <f t="shared" si="274"/>
        <v>0</v>
      </c>
      <c r="BA243" s="1427">
        <f t="shared" si="275"/>
        <v>0</v>
      </c>
      <c r="BB243" s="1427">
        <f t="shared" si="276"/>
        <v>0</v>
      </c>
      <c r="BC243" s="1427">
        <f t="shared" si="277"/>
        <v>0</v>
      </c>
      <c r="BD243" s="1436">
        <f t="shared" si="242"/>
        <v>1</v>
      </c>
    </row>
    <row r="244" spans="1:56" ht="80.25" customHeight="1" x14ac:dyDescent="0.3">
      <c r="A244" s="1461" t="s">
        <v>2970</v>
      </c>
      <c r="B244" s="1457"/>
      <c r="C244" s="1458" t="s">
        <v>540</v>
      </c>
      <c r="D244" s="1388" t="s">
        <v>541</v>
      </c>
      <c r="E244" s="1388" t="s">
        <v>542</v>
      </c>
      <c r="F244" s="1388" t="s">
        <v>461</v>
      </c>
      <c r="G244" s="1388" t="s">
        <v>2464</v>
      </c>
      <c r="H244" s="1476">
        <v>12000</v>
      </c>
      <c r="I244" s="1476">
        <f>H244</f>
        <v>12000</v>
      </c>
      <c r="J244" s="1460"/>
      <c r="K244" s="1460"/>
      <c r="L244" s="1460"/>
      <c r="M244" s="1460"/>
      <c r="N244" s="1463">
        <f t="shared" si="264"/>
        <v>12000</v>
      </c>
      <c r="O244" s="1460">
        <v>12000</v>
      </c>
      <c r="P244" s="1463">
        <f t="shared" si="265"/>
        <v>12000</v>
      </c>
      <c r="Q244" s="1460">
        <v>12000</v>
      </c>
      <c r="R244" s="1454"/>
      <c r="S244" s="1454"/>
      <c r="T244" s="1463">
        <f t="shared" si="266"/>
        <v>12000</v>
      </c>
      <c r="U244" s="1460">
        <v>12000</v>
      </c>
      <c r="V244" s="1454"/>
      <c r="W244" s="1454"/>
      <c r="X244" s="1463">
        <f t="shared" si="267"/>
        <v>12000</v>
      </c>
      <c r="Y244" s="1460">
        <v>12000</v>
      </c>
      <c r="Z244" s="1460"/>
      <c r="AA244" s="1460"/>
      <c r="AB244" s="1460">
        <v>12000</v>
      </c>
      <c r="AC244" s="1460">
        <v>12000</v>
      </c>
      <c r="AD244" s="1460"/>
      <c r="AE244" s="1460"/>
      <c r="AF244" s="1383">
        <f t="shared" si="257"/>
        <v>12000</v>
      </c>
      <c r="AG244" s="1383">
        <f t="shared" si="258"/>
        <v>12000</v>
      </c>
      <c r="AH244" s="1383">
        <f t="shared" si="268"/>
        <v>10000</v>
      </c>
      <c r="AI244" s="1383"/>
      <c r="AJ244" s="1383"/>
      <c r="AK244" s="1383"/>
      <c r="AL244" s="1383">
        <v>10000</v>
      </c>
      <c r="AM244" s="1383"/>
      <c r="AN244" s="1464"/>
      <c r="AO244" s="1464"/>
      <c r="AP244" s="1431">
        <f t="shared" si="235"/>
        <v>0</v>
      </c>
      <c r="AQ244" s="1431">
        <f t="shared" si="241"/>
        <v>1</v>
      </c>
      <c r="AR244" s="1434">
        <f t="shared" si="247"/>
        <v>0</v>
      </c>
      <c r="AS244" s="1434"/>
      <c r="AT244" s="1427">
        <f t="shared" si="269"/>
        <v>1</v>
      </c>
      <c r="AV244" s="1427">
        <f t="shared" si="270"/>
        <v>0</v>
      </c>
      <c r="AW244" s="1427">
        <f t="shared" si="271"/>
        <v>0</v>
      </c>
      <c r="AX244" s="1427">
        <f t="shared" si="272"/>
        <v>0</v>
      </c>
      <c r="AY244" s="1427">
        <f t="shared" si="273"/>
        <v>0</v>
      </c>
      <c r="AZ244" s="1427">
        <f t="shared" si="274"/>
        <v>0</v>
      </c>
      <c r="BA244" s="1427">
        <f t="shared" si="275"/>
        <v>0</v>
      </c>
      <c r="BB244" s="1427">
        <f t="shared" si="276"/>
        <v>0</v>
      </c>
      <c r="BC244" s="1427">
        <f t="shared" si="277"/>
        <v>0</v>
      </c>
      <c r="BD244" s="1436">
        <f t="shared" si="242"/>
        <v>1</v>
      </c>
    </row>
    <row r="245" spans="1:56" ht="61.5" customHeight="1" x14ac:dyDescent="0.3">
      <c r="A245" s="1461" t="s">
        <v>2971</v>
      </c>
      <c r="B245" s="1457"/>
      <c r="C245" s="1458" t="s">
        <v>543</v>
      </c>
      <c r="D245" s="1388"/>
      <c r="E245" s="1388"/>
      <c r="F245" s="1388" t="s">
        <v>116</v>
      </c>
      <c r="G245" s="1388"/>
      <c r="H245" s="1444">
        <f t="shared" ref="H245:H250" si="278">I245</f>
        <v>60000</v>
      </c>
      <c r="I245" s="1476">
        <v>60000</v>
      </c>
      <c r="J245" s="1460"/>
      <c r="K245" s="1460"/>
      <c r="L245" s="1460"/>
      <c r="M245" s="1460"/>
      <c r="N245" s="1463">
        <f t="shared" si="264"/>
        <v>53700</v>
      </c>
      <c r="O245" s="1460">
        <f>54500-800</f>
        <v>53700</v>
      </c>
      <c r="P245" s="1463"/>
      <c r="Q245" s="1460"/>
      <c r="R245" s="1454"/>
      <c r="S245" s="1460">
        <f>O245</f>
        <v>53700</v>
      </c>
      <c r="T245" s="1463"/>
      <c r="U245" s="1460"/>
      <c r="V245" s="1454"/>
      <c r="W245" s="1460"/>
      <c r="X245" s="1463"/>
      <c r="Y245" s="1460"/>
      <c r="Z245" s="1460">
        <v>0</v>
      </c>
      <c r="AA245" s="1460">
        <v>0</v>
      </c>
      <c r="AB245" s="1460">
        <v>0</v>
      </c>
      <c r="AC245" s="1460">
        <v>0</v>
      </c>
      <c r="AD245" s="1460"/>
      <c r="AE245" s="1460"/>
      <c r="AF245" s="1383">
        <f t="shared" si="257"/>
        <v>0</v>
      </c>
      <c r="AG245" s="1383">
        <f t="shared" si="258"/>
        <v>0</v>
      </c>
      <c r="AH245" s="1383">
        <f t="shared" si="268"/>
        <v>0</v>
      </c>
      <c r="AI245" s="1383"/>
      <c r="AJ245" s="1383"/>
      <c r="AK245" s="1383"/>
      <c r="AL245" s="1383"/>
      <c r="AM245" s="1383"/>
      <c r="AN245" s="1381"/>
      <c r="AO245" s="1381"/>
      <c r="AP245" s="1431">
        <f t="shared" si="235"/>
        <v>0</v>
      </c>
      <c r="AQ245" s="1431">
        <f t="shared" si="241"/>
        <v>0</v>
      </c>
      <c r="AR245" s="1434">
        <f t="shared" si="247"/>
        <v>0</v>
      </c>
      <c r="AS245" s="1434"/>
      <c r="AT245" s="1427">
        <f t="shared" si="269"/>
        <v>1</v>
      </c>
      <c r="AV245" s="1427">
        <f t="shared" si="270"/>
        <v>1</v>
      </c>
      <c r="AW245" s="1427">
        <f t="shared" si="271"/>
        <v>53700</v>
      </c>
      <c r="AX245" s="1427">
        <f t="shared" si="272"/>
        <v>0</v>
      </c>
      <c r="AY245" s="1427">
        <f t="shared" si="273"/>
        <v>0</v>
      </c>
      <c r="AZ245" s="1427">
        <f t="shared" si="274"/>
        <v>0</v>
      </c>
      <c r="BA245" s="1427">
        <f t="shared" si="275"/>
        <v>0</v>
      </c>
      <c r="BD245" s="1436">
        <f t="shared" si="242"/>
        <v>1</v>
      </c>
    </row>
    <row r="246" spans="1:56" ht="120" customHeight="1" x14ac:dyDescent="0.3">
      <c r="A246" s="1461" t="s">
        <v>2972</v>
      </c>
      <c r="B246" s="1457"/>
      <c r="C246" s="1458" t="s">
        <v>544</v>
      </c>
      <c r="D246" s="1388"/>
      <c r="E246" s="1388"/>
      <c r="F246" s="1388" t="s">
        <v>116</v>
      </c>
      <c r="G246" s="1388" t="s">
        <v>2465</v>
      </c>
      <c r="H246" s="1444">
        <f t="shared" si="278"/>
        <v>30000</v>
      </c>
      <c r="I246" s="1476">
        <v>30000</v>
      </c>
      <c r="J246" s="1460"/>
      <c r="K246" s="1460"/>
      <c r="L246" s="1460"/>
      <c r="M246" s="1460"/>
      <c r="N246" s="1463">
        <f t="shared" si="264"/>
        <v>27200</v>
      </c>
      <c r="O246" s="1460">
        <v>27200</v>
      </c>
      <c r="P246" s="1463">
        <f t="shared" si="265"/>
        <v>10000</v>
      </c>
      <c r="Q246" s="1460">
        <v>10000</v>
      </c>
      <c r="R246" s="1454"/>
      <c r="S246" s="1460">
        <f>O246-U246</f>
        <v>17200</v>
      </c>
      <c r="T246" s="1463">
        <f t="shared" ref="T246:T250" si="279">U246</f>
        <v>10000</v>
      </c>
      <c r="U246" s="1460">
        <v>10000</v>
      </c>
      <c r="V246" s="1454"/>
      <c r="W246" s="1460"/>
      <c r="X246" s="1463">
        <f t="shared" ref="X246:X250" si="280">Y246</f>
        <v>10000</v>
      </c>
      <c r="Y246" s="1460">
        <v>10000</v>
      </c>
      <c r="Z246" s="1460"/>
      <c r="AA246" s="1460"/>
      <c r="AB246" s="1460">
        <v>10000</v>
      </c>
      <c r="AC246" s="1460">
        <v>10000</v>
      </c>
      <c r="AD246" s="1460"/>
      <c r="AE246" s="1460"/>
      <c r="AF246" s="1383">
        <f t="shared" si="257"/>
        <v>10000</v>
      </c>
      <c r="AG246" s="1383">
        <f t="shared" si="258"/>
        <v>10000</v>
      </c>
      <c r="AH246" s="1383">
        <f t="shared" si="268"/>
        <v>9220</v>
      </c>
      <c r="AI246" s="1383"/>
      <c r="AJ246" s="1383"/>
      <c r="AK246" s="1383"/>
      <c r="AL246" s="1383">
        <v>9220</v>
      </c>
      <c r="AM246" s="1383"/>
      <c r="AN246" s="1381"/>
      <c r="AO246" s="1381"/>
      <c r="AP246" s="1431">
        <f t="shared" si="235"/>
        <v>0</v>
      </c>
      <c r="AQ246" s="1431">
        <f t="shared" si="241"/>
        <v>1</v>
      </c>
      <c r="AR246" s="1434">
        <f t="shared" si="247"/>
        <v>0</v>
      </c>
      <c r="AS246" s="1434"/>
      <c r="AT246" s="1427">
        <f t="shared" si="269"/>
        <v>1</v>
      </c>
      <c r="AV246" s="1427">
        <f t="shared" si="270"/>
        <v>0</v>
      </c>
      <c r="AW246" s="1427">
        <f t="shared" si="271"/>
        <v>0</v>
      </c>
      <c r="AX246" s="1427">
        <f t="shared" si="272"/>
        <v>0</v>
      </c>
      <c r="AY246" s="1427">
        <f t="shared" si="273"/>
        <v>0</v>
      </c>
      <c r="AZ246" s="1427">
        <f t="shared" si="274"/>
        <v>0</v>
      </c>
      <c r="BA246" s="1427">
        <f t="shared" si="275"/>
        <v>0</v>
      </c>
      <c r="BB246" s="1427">
        <f>IF(S246=0,0,1)</f>
        <v>1</v>
      </c>
      <c r="BC246" s="1427">
        <f t="shared" ref="BC246:BC259" si="281">IF(BB246=1,S246,0)</f>
        <v>17200</v>
      </c>
      <c r="BD246" s="1436">
        <f t="shared" si="242"/>
        <v>1</v>
      </c>
    </row>
    <row r="247" spans="1:56" ht="175.5" customHeight="1" x14ac:dyDescent="0.3">
      <c r="A247" s="1461" t="s">
        <v>2973</v>
      </c>
      <c r="B247" s="1457"/>
      <c r="C247" s="1458" t="s">
        <v>546</v>
      </c>
      <c r="D247" s="1388"/>
      <c r="E247" s="1388" t="s">
        <v>547</v>
      </c>
      <c r="F247" s="1388" t="s">
        <v>116</v>
      </c>
      <c r="G247" s="1388" t="s">
        <v>2466</v>
      </c>
      <c r="H247" s="1444">
        <f t="shared" si="278"/>
        <v>2039</v>
      </c>
      <c r="I247" s="1476">
        <v>2039</v>
      </c>
      <c r="J247" s="1460"/>
      <c r="K247" s="1460"/>
      <c r="L247" s="1460"/>
      <c r="M247" s="1460"/>
      <c r="N247" s="1463">
        <f t="shared" si="264"/>
        <v>1950</v>
      </c>
      <c r="O247" s="1460">
        <v>1950</v>
      </c>
      <c r="P247" s="1463">
        <f t="shared" si="265"/>
        <v>1950</v>
      </c>
      <c r="Q247" s="1460">
        <v>1950</v>
      </c>
      <c r="R247" s="1454"/>
      <c r="S247" s="1454"/>
      <c r="T247" s="1463">
        <f t="shared" si="279"/>
        <v>1950</v>
      </c>
      <c r="U247" s="1460">
        <v>1950</v>
      </c>
      <c r="V247" s="1454"/>
      <c r="W247" s="1454"/>
      <c r="X247" s="1463">
        <f t="shared" si="280"/>
        <v>1950</v>
      </c>
      <c r="Y247" s="1460">
        <v>1950</v>
      </c>
      <c r="Z247" s="1460">
        <v>0</v>
      </c>
      <c r="AA247" s="1460">
        <v>0</v>
      </c>
      <c r="AB247" s="1460">
        <v>1950</v>
      </c>
      <c r="AC247" s="1460">
        <v>1950</v>
      </c>
      <c r="AD247" s="1460"/>
      <c r="AE247" s="1460"/>
      <c r="AF247" s="1383">
        <f t="shared" si="257"/>
        <v>1950</v>
      </c>
      <c r="AG247" s="1383">
        <f t="shared" si="258"/>
        <v>1950</v>
      </c>
      <c r="AH247" s="1383">
        <f t="shared" si="268"/>
        <v>1500</v>
      </c>
      <c r="AI247" s="1383"/>
      <c r="AJ247" s="1383"/>
      <c r="AK247" s="1383">
        <v>1500</v>
      </c>
      <c r="AL247" s="1383"/>
      <c r="AM247" s="1383"/>
      <c r="AN247" s="1464"/>
      <c r="AO247" s="1464"/>
      <c r="AP247" s="1431">
        <f t="shared" si="235"/>
        <v>0</v>
      </c>
      <c r="AQ247" s="1431">
        <f t="shared" si="241"/>
        <v>1</v>
      </c>
      <c r="AR247" s="1434">
        <f t="shared" si="247"/>
        <v>0</v>
      </c>
      <c r="AS247" s="1434"/>
      <c r="AT247" s="1427">
        <f t="shared" si="269"/>
        <v>1</v>
      </c>
      <c r="AV247" s="1427">
        <f t="shared" si="270"/>
        <v>0</v>
      </c>
      <c r="AW247" s="1427">
        <f t="shared" si="271"/>
        <v>0</v>
      </c>
      <c r="AX247" s="1427">
        <f t="shared" si="272"/>
        <v>0</v>
      </c>
      <c r="AY247" s="1427">
        <f t="shared" si="273"/>
        <v>0</v>
      </c>
      <c r="AZ247" s="1427">
        <f t="shared" si="274"/>
        <v>0</v>
      </c>
      <c r="BA247" s="1427">
        <f t="shared" si="275"/>
        <v>0</v>
      </c>
      <c r="BB247" s="1427">
        <f>IF(S247=0,0,1)</f>
        <v>0</v>
      </c>
      <c r="BC247" s="1427">
        <f t="shared" si="281"/>
        <v>0</v>
      </c>
      <c r="BD247" s="1436">
        <f t="shared" si="242"/>
        <v>1</v>
      </c>
    </row>
    <row r="248" spans="1:56" ht="157.5" customHeight="1" x14ac:dyDescent="0.3">
      <c r="A248" s="1461" t="s">
        <v>2974</v>
      </c>
      <c r="B248" s="1457"/>
      <c r="C248" s="1458" t="s">
        <v>548</v>
      </c>
      <c r="D248" s="1388"/>
      <c r="E248" s="1388" t="s">
        <v>549</v>
      </c>
      <c r="F248" s="1388" t="s">
        <v>116</v>
      </c>
      <c r="G248" s="1388" t="s">
        <v>2467</v>
      </c>
      <c r="H248" s="1444">
        <f t="shared" si="278"/>
        <v>1500</v>
      </c>
      <c r="I248" s="1476">
        <v>1500</v>
      </c>
      <c r="J248" s="1460"/>
      <c r="K248" s="1460"/>
      <c r="L248" s="1460"/>
      <c r="M248" s="1460"/>
      <c r="N248" s="1463">
        <f t="shared" si="264"/>
        <v>1420</v>
      </c>
      <c r="O248" s="1460">
        <v>1420</v>
      </c>
      <c r="P248" s="1463">
        <f t="shared" si="265"/>
        <v>1420</v>
      </c>
      <c r="Q248" s="1460">
        <v>1420</v>
      </c>
      <c r="R248" s="1454"/>
      <c r="S248" s="1454"/>
      <c r="T248" s="1463">
        <f t="shared" si="279"/>
        <v>1420</v>
      </c>
      <c r="U248" s="1460">
        <v>1420</v>
      </c>
      <c r="V248" s="1454"/>
      <c r="W248" s="1454"/>
      <c r="X248" s="1463">
        <f t="shared" si="280"/>
        <v>1420</v>
      </c>
      <c r="Y248" s="1460">
        <v>1420</v>
      </c>
      <c r="Z248" s="1460">
        <v>0</v>
      </c>
      <c r="AA248" s="1460">
        <v>0</v>
      </c>
      <c r="AB248" s="1460">
        <v>1420</v>
      </c>
      <c r="AC248" s="1460">
        <v>1420</v>
      </c>
      <c r="AD248" s="1460"/>
      <c r="AE248" s="1460"/>
      <c r="AF248" s="1383">
        <f t="shared" si="257"/>
        <v>1420</v>
      </c>
      <c r="AG248" s="1383">
        <f t="shared" si="258"/>
        <v>1420</v>
      </c>
      <c r="AH248" s="1383">
        <f t="shared" si="268"/>
        <v>1420</v>
      </c>
      <c r="AI248" s="1383"/>
      <c r="AJ248" s="1383"/>
      <c r="AK248" s="1383">
        <v>883</v>
      </c>
      <c r="AL248" s="1383">
        <v>360</v>
      </c>
      <c r="AM248" s="1383">
        <v>177</v>
      </c>
      <c r="AN248" s="1464"/>
      <c r="AO248" s="1464"/>
      <c r="AP248" s="1431">
        <f t="shared" si="235"/>
        <v>0</v>
      </c>
      <c r="AQ248" s="1431">
        <f t="shared" si="241"/>
        <v>1</v>
      </c>
      <c r="AR248" s="1434">
        <f t="shared" si="247"/>
        <v>0</v>
      </c>
      <c r="AS248" s="1434"/>
      <c r="AT248" s="1427">
        <f t="shared" si="269"/>
        <v>1</v>
      </c>
      <c r="AV248" s="1427">
        <f t="shared" si="270"/>
        <v>0</v>
      </c>
      <c r="AW248" s="1427">
        <f t="shared" si="271"/>
        <v>0</v>
      </c>
      <c r="AX248" s="1427">
        <f t="shared" si="272"/>
        <v>0</v>
      </c>
      <c r="AY248" s="1427">
        <f t="shared" si="273"/>
        <v>0</v>
      </c>
      <c r="AZ248" s="1427">
        <f t="shared" si="274"/>
        <v>0</v>
      </c>
      <c r="BA248" s="1427">
        <f t="shared" si="275"/>
        <v>0</v>
      </c>
      <c r="BB248" s="1427">
        <f>IF(S248=0,0,1)</f>
        <v>0</v>
      </c>
      <c r="BC248" s="1427">
        <f t="shared" si="281"/>
        <v>0</v>
      </c>
      <c r="BD248" s="1436">
        <f t="shared" si="242"/>
        <v>1</v>
      </c>
    </row>
    <row r="249" spans="1:56" ht="139.5" customHeight="1" x14ac:dyDescent="0.3">
      <c r="A249" s="1461" t="s">
        <v>2975</v>
      </c>
      <c r="B249" s="1457"/>
      <c r="C249" s="1458" t="s">
        <v>550</v>
      </c>
      <c r="D249" s="1388"/>
      <c r="E249" s="1388" t="s">
        <v>551</v>
      </c>
      <c r="F249" s="1388" t="s">
        <v>116</v>
      </c>
      <c r="G249" s="1388" t="s">
        <v>2528</v>
      </c>
      <c r="H249" s="1444">
        <f t="shared" si="278"/>
        <v>5000</v>
      </c>
      <c r="I249" s="1476">
        <v>5000</v>
      </c>
      <c r="J249" s="1460"/>
      <c r="K249" s="1460"/>
      <c r="L249" s="1460"/>
      <c r="M249" s="1460"/>
      <c r="N249" s="1463">
        <f t="shared" si="264"/>
        <v>4760</v>
      </c>
      <c r="O249" s="1460">
        <v>4760</v>
      </c>
      <c r="P249" s="1463">
        <f t="shared" si="265"/>
        <v>4760</v>
      </c>
      <c r="Q249" s="1460">
        <v>4760</v>
      </c>
      <c r="R249" s="1454"/>
      <c r="S249" s="1454"/>
      <c r="T249" s="1463">
        <f t="shared" si="279"/>
        <v>4760</v>
      </c>
      <c r="U249" s="1460">
        <v>4760</v>
      </c>
      <c r="V249" s="1454"/>
      <c r="W249" s="1454"/>
      <c r="X249" s="1463">
        <f t="shared" si="280"/>
        <v>4760</v>
      </c>
      <c r="Y249" s="1460">
        <v>4760</v>
      </c>
      <c r="Z249" s="1460">
        <v>0</v>
      </c>
      <c r="AA249" s="1460">
        <v>0</v>
      </c>
      <c r="AB249" s="1460">
        <v>4760</v>
      </c>
      <c r="AC249" s="1460">
        <v>4760</v>
      </c>
      <c r="AD249" s="1460"/>
      <c r="AE249" s="1460"/>
      <c r="AF249" s="1383">
        <f t="shared" si="257"/>
        <v>4760</v>
      </c>
      <c r="AG249" s="1383">
        <f t="shared" si="258"/>
        <v>4760</v>
      </c>
      <c r="AH249" s="1383">
        <f t="shared" si="268"/>
        <v>4000</v>
      </c>
      <c r="AI249" s="1383"/>
      <c r="AJ249" s="1383"/>
      <c r="AK249" s="1383">
        <v>4000</v>
      </c>
      <c r="AL249" s="1383"/>
      <c r="AM249" s="1383"/>
      <c r="AN249" s="1464"/>
      <c r="AO249" s="1464"/>
      <c r="AP249" s="1431">
        <f t="shared" si="235"/>
        <v>0</v>
      </c>
      <c r="AQ249" s="1431">
        <f t="shared" si="241"/>
        <v>1</v>
      </c>
      <c r="AR249" s="1434">
        <f t="shared" si="247"/>
        <v>0</v>
      </c>
      <c r="AS249" s="1434"/>
      <c r="AT249" s="1427">
        <f t="shared" si="269"/>
        <v>1</v>
      </c>
      <c r="AV249" s="1427">
        <f t="shared" si="270"/>
        <v>0</v>
      </c>
      <c r="AW249" s="1427">
        <f t="shared" si="271"/>
        <v>0</v>
      </c>
      <c r="AX249" s="1427">
        <f t="shared" si="272"/>
        <v>0</v>
      </c>
      <c r="AY249" s="1427">
        <f t="shared" si="273"/>
        <v>0</v>
      </c>
      <c r="AZ249" s="1427">
        <f t="shared" si="274"/>
        <v>0</v>
      </c>
      <c r="BA249" s="1427">
        <f t="shared" si="275"/>
        <v>0</v>
      </c>
      <c r="BB249" s="1427">
        <f>IF(S249=0,0,1)</f>
        <v>0</v>
      </c>
      <c r="BC249" s="1427">
        <f t="shared" si="281"/>
        <v>0</v>
      </c>
      <c r="BD249" s="1436">
        <f t="shared" si="242"/>
        <v>1</v>
      </c>
    </row>
    <row r="250" spans="1:56" ht="87" customHeight="1" x14ac:dyDescent="0.3">
      <c r="A250" s="1461" t="s">
        <v>2976</v>
      </c>
      <c r="B250" s="1461" t="s">
        <v>2961</v>
      </c>
      <c r="C250" s="1458" t="s">
        <v>552</v>
      </c>
      <c r="D250" s="1388"/>
      <c r="E250" s="1388"/>
      <c r="F250" s="1388" t="s">
        <v>101</v>
      </c>
      <c r="G250" s="1388" t="s">
        <v>553</v>
      </c>
      <c r="H250" s="1444">
        <f t="shared" si="278"/>
        <v>28796</v>
      </c>
      <c r="I250" s="1476">
        <v>28796</v>
      </c>
      <c r="J250" s="1460"/>
      <c r="K250" s="1460"/>
      <c r="L250" s="1460"/>
      <c r="M250" s="1460"/>
      <c r="N250" s="1463">
        <f t="shared" si="264"/>
        <v>27200</v>
      </c>
      <c r="O250" s="1460">
        <v>27200</v>
      </c>
      <c r="P250" s="1463">
        <f t="shared" si="265"/>
        <v>27200</v>
      </c>
      <c r="Q250" s="1460">
        <v>27200</v>
      </c>
      <c r="R250" s="1454"/>
      <c r="S250" s="1454"/>
      <c r="T250" s="1463">
        <f t="shared" si="279"/>
        <v>27200</v>
      </c>
      <c r="U250" s="1460">
        <v>27200</v>
      </c>
      <c r="V250" s="1454"/>
      <c r="W250" s="1454"/>
      <c r="X250" s="1463">
        <f t="shared" si="280"/>
        <v>27200</v>
      </c>
      <c r="Y250" s="1460">
        <v>27200</v>
      </c>
      <c r="Z250" s="1460">
        <v>0</v>
      </c>
      <c r="AA250" s="1460">
        <v>0</v>
      </c>
      <c r="AB250" s="1460">
        <v>25800</v>
      </c>
      <c r="AC250" s="1460">
        <v>25800</v>
      </c>
      <c r="AD250" s="1460"/>
      <c r="AE250" s="1525"/>
      <c r="AF250" s="1383">
        <f t="shared" si="257"/>
        <v>25800</v>
      </c>
      <c r="AG250" s="1383">
        <f t="shared" si="258"/>
        <v>25800</v>
      </c>
      <c r="AH250" s="1383">
        <f t="shared" si="268"/>
        <v>25800</v>
      </c>
      <c r="AI250" s="1383"/>
      <c r="AJ250" s="1383"/>
      <c r="AK250" s="1383">
        <v>20000</v>
      </c>
      <c r="AL250" s="1383">
        <v>4800</v>
      </c>
      <c r="AM250" s="1383">
        <v>1000</v>
      </c>
      <c r="AN250" s="1464"/>
      <c r="AO250" s="1464"/>
      <c r="AP250" s="1431">
        <f t="shared" si="235"/>
        <v>0</v>
      </c>
      <c r="AQ250" s="1431">
        <f t="shared" ref="AQ250:AQ263" si="282">IF(Y250=0,0,1)</f>
        <v>1</v>
      </c>
      <c r="AR250" s="1434">
        <f t="shared" si="247"/>
        <v>0</v>
      </c>
      <c r="AS250" s="1434"/>
      <c r="AT250" s="1427">
        <f t="shared" si="269"/>
        <v>1</v>
      </c>
      <c r="AV250" s="1427">
        <f t="shared" si="270"/>
        <v>0</v>
      </c>
      <c r="AW250" s="1427">
        <f t="shared" si="271"/>
        <v>0</v>
      </c>
      <c r="AX250" s="1427">
        <f t="shared" si="272"/>
        <v>0</v>
      </c>
      <c r="AY250" s="1427">
        <f t="shared" si="273"/>
        <v>0</v>
      </c>
      <c r="AZ250" s="1427">
        <f t="shared" si="274"/>
        <v>0</v>
      </c>
      <c r="BA250" s="1427">
        <f t="shared" si="275"/>
        <v>0</v>
      </c>
      <c r="BB250" s="1427">
        <f>IF(S250=0,0,1)</f>
        <v>0</v>
      </c>
      <c r="BC250" s="1427">
        <f t="shared" si="281"/>
        <v>0</v>
      </c>
      <c r="BD250" s="1436">
        <f t="shared" ref="BD250:BD281" si="283">IF(I250-Y250&gt;=0,1,0)</f>
        <v>1</v>
      </c>
    </row>
    <row r="251" spans="1:56" ht="48.75" customHeight="1" x14ac:dyDescent="0.3">
      <c r="A251" s="1846">
        <v>6</v>
      </c>
      <c r="B251" s="1846">
        <v>6</v>
      </c>
      <c r="C251" s="1438" t="s">
        <v>555</v>
      </c>
      <c r="D251" s="1381"/>
      <c r="E251" s="1381"/>
      <c r="F251" s="1381"/>
      <c r="G251" s="1381"/>
      <c r="H251" s="1439">
        <f>H257</f>
        <v>158445</v>
      </c>
      <c r="I251" s="1439">
        <f>I257</f>
        <v>158445</v>
      </c>
      <c r="J251" s="1439">
        <f>J252+J257</f>
        <v>121703</v>
      </c>
      <c r="K251" s="1439">
        <f>K252+K257</f>
        <v>91682</v>
      </c>
      <c r="L251" s="1439">
        <f>L252+L257</f>
        <v>121703</v>
      </c>
      <c r="M251" s="1439">
        <f>M252+M257</f>
        <v>91682</v>
      </c>
      <c r="N251" s="1439">
        <f t="shared" ref="N251:O251" si="284">N257</f>
        <v>125000</v>
      </c>
      <c r="O251" s="1439">
        <f t="shared" si="284"/>
        <v>125000</v>
      </c>
      <c r="P251" s="1439">
        <f>P252+P257</f>
        <v>75000</v>
      </c>
      <c r="Q251" s="1439">
        <f>Q252+Q257</f>
        <v>75000</v>
      </c>
      <c r="R251" s="1439">
        <f t="shared" ref="R251:S251" si="285">R257</f>
        <v>0</v>
      </c>
      <c r="S251" s="1439">
        <f t="shared" si="285"/>
        <v>75000</v>
      </c>
      <c r="T251" s="1439">
        <f t="shared" ref="T251" si="286">T252+T257</f>
        <v>75000</v>
      </c>
      <c r="U251" s="1439">
        <f t="shared" ref="U251" si="287">U252+U257</f>
        <v>75000</v>
      </c>
      <c r="V251" s="1439">
        <f t="shared" ref="V251:Y251" si="288">V252+V257</f>
        <v>24430</v>
      </c>
      <c r="W251" s="1439">
        <f t="shared" si="288"/>
        <v>30000</v>
      </c>
      <c r="X251" s="1439">
        <f t="shared" si="288"/>
        <v>69430</v>
      </c>
      <c r="Y251" s="1439">
        <f t="shared" si="288"/>
        <v>69430</v>
      </c>
      <c r="Z251" s="1439">
        <v>0</v>
      </c>
      <c r="AA251" s="1439">
        <v>0</v>
      </c>
      <c r="AB251" s="1439">
        <v>69552</v>
      </c>
      <c r="AC251" s="1439">
        <v>69552</v>
      </c>
      <c r="AD251" s="1439">
        <f t="shared" ref="AD251:AM251" si="289">AD252+AD257</f>
        <v>0</v>
      </c>
      <c r="AE251" s="1439">
        <f t="shared" si="289"/>
        <v>0</v>
      </c>
      <c r="AF251" s="1439">
        <f t="shared" si="289"/>
        <v>69552</v>
      </c>
      <c r="AG251" s="1439">
        <f t="shared" si="289"/>
        <v>69552</v>
      </c>
      <c r="AH251" s="1439">
        <f t="shared" si="289"/>
        <v>65422</v>
      </c>
      <c r="AI251" s="1439">
        <f t="shared" si="289"/>
        <v>7260</v>
      </c>
      <c r="AJ251" s="1439">
        <f t="shared" si="289"/>
        <v>4150</v>
      </c>
      <c r="AK251" s="1439">
        <f t="shared" si="289"/>
        <v>12000</v>
      </c>
      <c r="AL251" s="1439">
        <f t="shared" si="289"/>
        <v>40412</v>
      </c>
      <c r="AM251" s="1439">
        <f t="shared" si="289"/>
        <v>1600</v>
      </c>
      <c r="AN251" s="1440"/>
      <c r="AO251" s="1440"/>
      <c r="AP251" s="1431">
        <f t="shared" si="235"/>
        <v>0</v>
      </c>
      <c r="AQ251" s="1431">
        <f t="shared" si="282"/>
        <v>1</v>
      </c>
      <c r="AR251" s="1434"/>
      <c r="AS251" s="1434">
        <f>AJ256</f>
        <v>4150</v>
      </c>
      <c r="AT251" s="1435">
        <f>U251+V251-W251</f>
        <v>69430</v>
      </c>
      <c r="AW251" s="1427">
        <f t="shared" si="271"/>
        <v>0</v>
      </c>
      <c r="AY251" s="1427">
        <f t="shared" si="273"/>
        <v>0</v>
      </c>
      <c r="BA251" s="1427">
        <f t="shared" si="275"/>
        <v>0</v>
      </c>
      <c r="BC251" s="1427">
        <f t="shared" si="281"/>
        <v>0</v>
      </c>
      <c r="BD251" s="1436">
        <f t="shared" si="283"/>
        <v>1</v>
      </c>
    </row>
    <row r="252" spans="1:56" ht="63.75" customHeight="1" x14ac:dyDescent="0.3">
      <c r="A252" s="1827" t="s">
        <v>2977</v>
      </c>
      <c r="B252" s="1827" t="s">
        <v>2977</v>
      </c>
      <c r="C252" s="1446" t="s">
        <v>46</v>
      </c>
      <c r="D252" s="1447"/>
      <c r="E252" s="1447"/>
      <c r="F252" s="1448"/>
      <c r="G252" s="1448"/>
      <c r="H252" s="1449">
        <f>H253</f>
        <v>285000</v>
      </c>
      <c r="I252" s="1449">
        <f t="shared" ref="I252:Q252" si="290">I253</f>
        <v>250000</v>
      </c>
      <c r="J252" s="1449">
        <f t="shared" si="290"/>
        <v>121703</v>
      </c>
      <c r="K252" s="1449">
        <f t="shared" si="290"/>
        <v>91682</v>
      </c>
      <c r="L252" s="1449">
        <f t="shared" si="290"/>
        <v>121703</v>
      </c>
      <c r="M252" s="1449">
        <f t="shared" si="290"/>
        <v>91682</v>
      </c>
      <c r="N252" s="1449">
        <f t="shared" si="290"/>
        <v>25000</v>
      </c>
      <c r="O252" s="1449">
        <f t="shared" si="290"/>
        <v>25000</v>
      </c>
      <c r="P252" s="1449">
        <f t="shared" si="290"/>
        <v>25000</v>
      </c>
      <c r="Q252" s="1449">
        <f t="shared" si="290"/>
        <v>25000</v>
      </c>
      <c r="R252" s="1454"/>
      <c r="S252" s="1454"/>
      <c r="T252" s="1449">
        <f t="shared" ref="T252:AM252" si="291">T253</f>
        <v>25000</v>
      </c>
      <c r="U252" s="1449">
        <f t="shared" si="291"/>
        <v>25000</v>
      </c>
      <c r="V252" s="1449">
        <f t="shared" si="291"/>
        <v>24430</v>
      </c>
      <c r="W252" s="1454"/>
      <c r="X252" s="1449">
        <f t="shared" si="291"/>
        <v>49430</v>
      </c>
      <c r="Y252" s="1449">
        <f t="shared" si="291"/>
        <v>49430</v>
      </c>
      <c r="Z252" s="1449">
        <v>0</v>
      </c>
      <c r="AA252" s="1449">
        <v>0</v>
      </c>
      <c r="AB252" s="1449">
        <v>49552</v>
      </c>
      <c r="AC252" s="1449">
        <v>49552</v>
      </c>
      <c r="AD252" s="1449">
        <f t="shared" si="291"/>
        <v>0</v>
      </c>
      <c r="AE252" s="1449">
        <f t="shared" si="291"/>
        <v>0</v>
      </c>
      <c r="AF252" s="1449">
        <f t="shared" si="291"/>
        <v>49552</v>
      </c>
      <c r="AG252" s="1449">
        <f t="shared" si="291"/>
        <v>49552</v>
      </c>
      <c r="AH252" s="1449">
        <f t="shared" si="291"/>
        <v>49422</v>
      </c>
      <c r="AI252" s="1449">
        <f t="shared" si="291"/>
        <v>7260</v>
      </c>
      <c r="AJ252" s="1449">
        <f t="shared" si="291"/>
        <v>4150</v>
      </c>
      <c r="AK252" s="1449">
        <f t="shared" si="291"/>
        <v>6000</v>
      </c>
      <c r="AL252" s="1449">
        <f t="shared" si="291"/>
        <v>30412</v>
      </c>
      <c r="AM252" s="1449">
        <f t="shared" si="291"/>
        <v>1600</v>
      </c>
      <c r="AN252" s="1450"/>
      <c r="AO252" s="1450"/>
      <c r="AP252" s="1431">
        <f t="shared" si="235"/>
        <v>0</v>
      </c>
      <c r="AQ252" s="1431">
        <f t="shared" si="282"/>
        <v>1</v>
      </c>
      <c r="AR252" s="1434"/>
      <c r="AS252" s="1434"/>
      <c r="AW252" s="1427">
        <f t="shared" si="271"/>
        <v>0</v>
      </c>
      <c r="AY252" s="1427">
        <f t="shared" si="273"/>
        <v>0</v>
      </c>
      <c r="BA252" s="1427">
        <f t="shared" si="275"/>
        <v>0</v>
      </c>
      <c r="BC252" s="1427">
        <f t="shared" si="281"/>
        <v>0</v>
      </c>
      <c r="BD252" s="1436">
        <f t="shared" si="283"/>
        <v>1</v>
      </c>
    </row>
    <row r="253" spans="1:56" ht="45.75" customHeight="1" x14ac:dyDescent="0.3">
      <c r="A253" s="1826"/>
      <c r="B253" s="1826"/>
      <c r="C253" s="1446" t="s">
        <v>48</v>
      </c>
      <c r="D253" s="1447"/>
      <c r="E253" s="1447"/>
      <c r="F253" s="1448"/>
      <c r="G253" s="1448"/>
      <c r="H253" s="1449">
        <f t="shared" ref="H253:X253" si="292">H256</f>
        <v>285000</v>
      </c>
      <c r="I253" s="1449">
        <f t="shared" si="292"/>
        <v>250000</v>
      </c>
      <c r="J253" s="1449">
        <f t="shared" si="292"/>
        <v>121703</v>
      </c>
      <c r="K253" s="1449">
        <f t="shared" si="292"/>
        <v>91682</v>
      </c>
      <c r="L253" s="1449">
        <f t="shared" si="292"/>
        <v>121703</v>
      </c>
      <c r="M253" s="1449">
        <f t="shared" si="292"/>
        <v>91682</v>
      </c>
      <c r="N253" s="1449">
        <f t="shared" si="292"/>
        <v>25000</v>
      </c>
      <c r="O253" s="1449">
        <f t="shared" si="292"/>
        <v>25000</v>
      </c>
      <c r="P253" s="1449">
        <f t="shared" si="292"/>
        <v>25000</v>
      </c>
      <c r="Q253" s="1449">
        <f t="shared" si="292"/>
        <v>25000</v>
      </c>
      <c r="R253" s="1449">
        <f t="shared" si="292"/>
        <v>0</v>
      </c>
      <c r="S253" s="1449">
        <f t="shared" si="292"/>
        <v>0</v>
      </c>
      <c r="T253" s="1449">
        <f t="shared" si="292"/>
        <v>25000</v>
      </c>
      <c r="U253" s="1449">
        <f t="shared" si="292"/>
        <v>25000</v>
      </c>
      <c r="V253" s="1449">
        <f t="shared" si="292"/>
        <v>24430</v>
      </c>
      <c r="W253" s="1449">
        <f t="shared" si="292"/>
        <v>0</v>
      </c>
      <c r="X253" s="1449">
        <f t="shared" si="292"/>
        <v>49430</v>
      </c>
      <c r="Y253" s="1449">
        <f>Y256</f>
        <v>49430</v>
      </c>
      <c r="Z253" s="1449">
        <v>0</v>
      </c>
      <c r="AA253" s="1449">
        <v>0</v>
      </c>
      <c r="AB253" s="1449">
        <v>49552</v>
      </c>
      <c r="AC253" s="1449">
        <v>49552</v>
      </c>
      <c r="AD253" s="1449">
        <f t="shared" ref="AD253:AM253" si="293">AD256</f>
        <v>0</v>
      </c>
      <c r="AE253" s="1449">
        <f t="shared" si="293"/>
        <v>0</v>
      </c>
      <c r="AF253" s="1449">
        <f t="shared" si="293"/>
        <v>49552</v>
      </c>
      <c r="AG253" s="1449">
        <f t="shared" si="293"/>
        <v>49552</v>
      </c>
      <c r="AH253" s="1449">
        <f t="shared" si="293"/>
        <v>49422</v>
      </c>
      <c r="AI253" s="1449">
        <f t="shared" si="293"/>
        <v>7260</v>
      </c>
      <c r="AJ253" s="1449">
        <f t="shared" si="293"/>
        <v>4150</v>
      </c>
      <c r="AK253" s="1449">
        <f t="shared" si="293"/>
        <v>6000</v>
      </c>
      <c r="AL253" s="1449">
        <f t="shared" si="293"/>
        <v>30412</v>
      </c>
      <c r="AM253" s="1449">
        <f t="shared" si="293"/>
        <v>1600</v>
      </c>
      <c r="AN253" s="1450"/>
      <c r="AO253" s="1450"/>
      <c r="AP253" s="1431">
        <f t="shared" si="235"/>
        <v>0</v>
      </c>
      <c r="AQ253" s="1431">
        <f t="shared" si="282"/>
        <v>1</v>
      </c>
      <c r="AR253" s="1434"/>
      <c r="AS253" s="1434"/>
      <c r="AW253" s="1427">
        <f t="shared" si="271"/>
        <v>0</v>
      </c>
      <c r="AY253" s="1427">
        <f t="shared" si="273"/>
        <v>0</v>
      </c>
      <c r="BA253" s="1427">
        <f t="shared" si="275"/>
        <v>0</v>
      </c>
      <c r="BC253" s="1427">
        <f t="shared" si="281"/>
        <v>0</v>
      </c>
      <c r="BD253" s="1436">
        <f t="shared" si="283"/>
        <v>1</v>
      </c>
    </row>
    <row r="254" spans="1:56" ht="24" customHeight="1" x14ac:dyDescent="0.3">
      <c r="A254" s="1825"/>
      <c r="B254" s="1451"/>
      <c r="C254" s="1446" t="s">
        <v>49</v>
      </c>
      <c r="D254" s="1452"/>
      <c r="E254" s="1452"/>
      <c r="F254" s="1381"/>
      <c r="G254" s="1381"/>
      <c r="H254" s="1453"/>
      <c r="I254" s="1453"/>
      <c r="J254" s="1453"/>
      <c r="K254" s="1453"/>
      <c r="L254" s="1453"/>
      <c r="M254" s="1453"/>
      <c r="N254" s="1453"/>
      <c r="O254" s="1453"/>
      <c r="P254" s="1453"/>
      <c r="Q254" s="1453"/>
      <c r="R254" s="1454"/>
      <c r="S254" s="1454"/>
      <c r="T254" s="1453"/>
      <c r="U254" s="1453"/>
      <c r="V254" s="1454"/>
      <c r="W254" s="1454"/>
      <c r="X254" s="1453"/>
      <c r="Y254" s="1453"/>
      <c r="Z254" s="1460"/>
      <c r="AA254" s="1460"/>
      <c r="AB254" s="1460">
        <v>0</v>
      </c>
      <c r="AC254" s="1460">
        <v>0</v>
      </c>
      <c r="AD254" s="1460"/>
      <c r="AE254" s="1460"/>
      <c r="AF254" s="1383">
        <f t="shared" si="257"/>
        <v>0</v>
      </c>
      <c r="AG254" s="1383">
        <f t="shared" si="258"/>
        <v>0</v>
      </c>
      <c r="AH254" s="1383">
        <f t="shared" si="268"/>
        <v>0</v>
      </c>
      <c r="AI254" s="1383"/>
      <c r="AJ254" s="1383"/>
      <c r="AK254" s="1383"/>
      <c r="AL254" s="1383"/>
      <c r="AM254" s="1383"/>
      <c r="AN254" s="1455"/>
      <c r="AO254" s="1455"/>
      <c r="AP254" s="1431">
        <f t="shared" si="235"/>
        <v>0</v>
      </c>
      <c r="AQ254" s="1431">
        <f t="shared" si="282"/>
        <v>0</v>
      </c>
      <c r="AR254" s="1434"/>
      <c r="AS254" s="1434"/>
      <c r="AW254" s="1427">
        <f t="shared" si="271"/>
        <v>0</v>
      </c>
      <c r="AY254" s="1427">
        <f t="shared" si="273"/>
        <v>0</v>
      </c>
      <c r="BA254" s="1427">
        <f t="shared" si="275"/>
        <v>0</v>
      </c>
      <c r="BC254" s="1427">
        <f t="shared" si="281"/>
        <v>0</v>
      </c>
      <c r="BD254" s="1436">
        <f t="shared" si="283"/>
        <v>1</v>
      </c>
    </row>
    <row r="255" spans="1:56" ht="82.5" customHeight="1" x14ac:dyDescent="0.3">
      <c r="A255" s="1451" t="s">
        <v>2978</v>
      </c>
      <c r="B255" s="1451" t="s">
        <v>2978</v>
      </c>
      <c r="C255" s="1456" t="s">
        <v>50</v>
      </c>
      <c r="D255" s="1447"/>
      <c r="E255" s="1447"/>
      <c r="F255" s="1448"/>
      <c r="G255" s="1448"/>
      <c r="H255" s="1449"/>
      <c r="I255" s="1449"/>
      <c r="J255" s="1449"/>
      <c r="K255" s="1449"/>
      <c r="L255" s="1449"/>
      <c r="M255" s="1449"/>
      <c r="N255" s="1449"/>
      <c r="O255" s="1449"/>
      <c r="P255" s="1449"/>
      <c r="Q255" s="1449"/>
      <c r="R255" s="1454"/>
      <c r="S255" s="1454"/>
      <c r="T255" s="1449"/>
      <c r="U255" s="1449"/>
      <c r="V255" s="1454"/>
      <c r="W255" s="1454"/>
      <c r="X255" s="1449"/>
      <c r="Y255" s="1449"/>
      <c r="Z255" s="1460"/>
      <c r="AA255" s="1460"/>
      <c r="AB255" s="1460">
        <v>0</v>
      </c>
      <c r="AC255" s="1460">
        <v>0</v>
      </c>
      <c r="AD255" s="1460"/>
      <c r="AE255" s="1460"/>
      <c r="AF255" s="1383">
        <f t="shared" si="257"/>
        <v>0</v>
      </c>
      <c r="AG255" s="1383">
        <f t="shared" si="258"/>
        <v>0</v>
      </c>
      <c r="AH255" s="1383">
        <f t="shared" si="268"/>
        <v>0</v>
      </c>
      <c r="AI255" s="1383"/>
      <c r="AJ255" s="1383"/>
      <c r="AK255" s="1383"/>
      <c r="AL255" s="1383"/>
      <c r="AM255" s="1383"/>
      <c r="AN255" s="1450"/>
      <c r="AO255" s="1450"/>
      <c r="AP255" s="1431">
        <f t="shared" si="235"/>
        <v>0</v>
      </c>
      <c r="AQ255" s="1431">
        <f t="shared" si="282"/>
        <v>0</v>
      </c>
      <c r="AR255" s="1434"/>
      <c r="AS255" s="1434"/>
      <c r="AW255" s="1427">
        <f t="shared" si="271"/>
        <v>0</v>
      </c>
      <c r="AY255" s="1427">
        <f t="shared" si="273"/>
        <v>0</v>
      </c>
      <c r="BA255" s="1427">
        <f t="shared" si="275"/>
        <v>0</v>
      </c>
      <c r="BC255" s="1427">
        <f t="shared" si="281"/>
        <v>0</v>
      </c>
      <c r="BD255" s="1436">
        <f t="shared" si="283"/>
        <v>1</v>
      </c>
    </row>
    <row r="256" spans="1:56" ht="143.25" customHeight="1" x14ac:dyDescent="0.3">
      <c r="A256" s="1457" t="s">
        <v>2979</v>
      </c>
      <c r="B256" s="1457" t="s">
        <v>2979</v>
      </c>
      <c r="C256" s="1458" t="s">
        <v>556</v>
      </c>
      <c r="D256" s="1388" t="s">
        <v>557</v>
      </c>
      <c r="E256" s="1388"/>
      <c r="F256" s="1388" t="s">
        <v>558</v>
      </c>
      <c r="G256" s="1388" t="s">
        <v>559</v>
      </c>
      <c r="H256" s="1476">
        <v>285000</v>
      </c>
      <c r="I256" s="1476">
        <v>250000</v>
      </c>
      <c r="J256" s="1460">
        <f>84521+18538+13290+5003+351</f>
        <v>121703</v>
      </c>
      <c r="K256" s="1460">
        <f>84521-30021+18538+13290+5003+351</f>
        <v>91682</v>
      </c>
      <c r="L256" s="1460">
        <f>J256</f>
        <v>121703</v>
      </c>
      <c r="M256" s="1460">
        <f>K256</f>
        <v>91682</v>
      </c>
      <c r="N256" s="1463">
        <f>O256</f>
        <v>25000</v>
      </c>
      <c r="O256" s="1460">
        <v>25000</v>
      </c>
      <c r="P256" s="1463">
        <f>Q256</f>
        <v>25000</v>
      </c>
      <c r="Q256" s="1460">
        <v>25000</v>
      </c>
      <c r="R256" s="1454"/>
      <c r="S256" s="1454"/>
      <c r="T256" s="1463">
        <f>U256</f>
        <v>25000</v>
      </c>
      <c r="U256" s="1460">
        <v>25000</v>
      </c>
      <c r="V256" s="1454">
        <v>24430</v>
      </c>
      <c r="W256" s="1454"/>
      <c r="X256" s="1463">
        <f>Y256</f>
        <v>49430</v>
      </c>
      <c r="Y256" s="1460">
        <f>V256+U256</f>
        <v>49430</v>
      </c>
      <c r="Z256" s="1460">
        <v>0</v>
      </c>
      <c r="AA256" s="1460">
        <v>0</v>
      </c>
      <c r="AB256" s="1460">
        <v>49552</v>
      </c>
      <c r="AC256" s="1460">
        <v>49552</v>
      </c>
      <c r="AD256" s="1460"/>
      <c r="AE256" s="1460"/>
      <c r="AF256" s="1383">
        <f t="shared" si="257"/>
        <v>49552</v>
      </c>
      <c r="AG256" s="1383">
        <f t="shared" si="258"/>
        <v>49552</v>
      </c>
      <c r="AH256" s="1383">
        <f t="shared" si="268"/>
        <v>49422</v>
      </c>
      <c r="AI256" s="1383">
        <v>7260</v>
      </c>
      <c r="AJ256" s="1383">
        <v>4150</v>
      </c>
      <c r="AK256" s="1383">
        <v>6000</v>
      </c>
      <c r="AL256" s="1383">
        <v>30412</v>
      </c>
      <c r="AM256" s="1383">
        <v>1600</v>
      </c>
      <c r="AN256" s="1381"/>
      <c r="AO256" s="1381"/>
      <c r="AP256" s="1431">
        <f t="shared" si="235"/>
        <v>0</v>
      </c>
      <c r="AQ256" s="1431">
        <f t="shared" si="282"/>
        <v>1</v>
      </c>
      <c r="AR256" s="1434">
        <f t="shared" si="247"/>
        <v>0</v>
      </c>
      <c r="AS256" s="1434"/>
      <c r="AT256" s="1427">
        <f>IF(AP256=0,1,0)</f>
        <v>1</v>
      </c>
      <c r="AV256" s="1427">
        <f>IF(Q256=0,1,0)</f>
        <v>0</v>
      </c>
      <c r="AW256" s="1427">
        <f t="shared" si="271"/>
        <v>0</v>
      </c>
      <c r="AX256" s="1427">
        <f>IF(O256=0,1,0)</f>
        <v>0</v>
      </c>
      <c r="AY256" s="1427">
        <f t="shared" si="273"/>
        <v>0</v>
      </c>
      <c r="AZ256" s="1427">
        <f>IF(R256=0,0,1)</f>
        <v>0</v>
      </c>
      <c r="BA256" s="1427">
        <f t="shared" si="275"/>
        <v>0</v>
      </c>
      <c r="BB256" s="1427">
        <f>IF(S256=0,0,1)</f>
        <v>0</v>
      </c>
      <c r="BC256" s="1427">
        <f t="shared" si="281"/>
        <v>0</v>
      </c>
      <c r="BD256" s="1436">
        <f t="shared" si="283"/>
        <v>1</v>
      </c>
    </row>
    <row r="257" spans="1:56" ht="58.5" x14ac:dyDescent="0.3">
      <c r="A257" s="1827" t="s">
        <v>2980</v>
      </c>
      <c r="B257" s="1827"/>
      <c r="C257" s="1446" t="s">
        <v>86</v>
      </c>
      <c r="D257" s="1447"/>
      <c r="E257" s="1447"/>
      <c r="F257" s="1448"/>
      <c r="G257" s="1448"/>
      <c r="H257" s="1449">
        <f>H258</f>
        <v>158445</v>
      </c>
      <c r="I257" s="1449">
        <f t="shared" ref="I257:AM257" si="294">I258</f>
        <v>158445</v>
      </c>
      <c r="J257" s="1449">
        <f t="shared" si="294"/>
        <v>0</v>
      </c>
      <c r="K257" s="1449">
        <f t="shared" si="294"/>
        <v>0</v>
      </c>
      <c r="L257" s="1449">
        <f t="shared" si="294"/>
        <v>0</v>
      </c>
      <c r="M257" s="1449">
        <f t="shared" si="294"/>
        <v>0</v>
      </c>
      <c r="N257" s="1449">
        <f t="shared" si="294"/>
        <v>125000</v>
      </c>
      <c r="O257" s="1449">
        <f t="shared" si="294"/>
        <v>125000</v>
      </c>
      <c r="P257" s="1449">
        <f t="shared" si="294"/>
        <v>50000</v>
      </c>
      <c r="Q257" s="1449">
        <f t="shared" si="294"/>
        <v>50000</v>
      </c>
      <c r="R257" s="1449">
        <f t="shared" si="294"/>
        <v>0</v>
      </c>
      <c r="S257" s="1449">
        <f t="shared" si="294"/>
        <v>75000</v>
      </c>
      <c r="T257" s="1449">
        <f t="shared" si="294"/>
        <v>50000</v>
      </c>
      <c r="U257" s="1449">
        <f t="shared" si="294"/>
        <v>50000</v>
      </c>
      <c r="V257" s="1449">
        <f t="shared" si="294"/>
        <v>0</v>
      </c>
      <c r="W257" s="1449">
        <f t="shared" si="294"/>
        <v>30000</v>
      </c>
      <c r="X257" s="1449">
        <f t="shared" si="294"/>
        <v>20000</v>
      </c>
      <c r="Y257" s="1449">
        <f t="shared" si="294"/>
        <v>20000</v>
      </c>
      <c r="Z257" s="1449">
        <v>0</v>
      </c>
      <c r="AA257" s="1449">
        <v>0</v>
      </c>
      <c r="AB257" s="1449">
        <v>20000</v>
      </c>
      <c r="AC257" s="1449">
        <v>20000</v>
      </c>
      <c r="AD257" s="1449">
        <f t="shared" si="294"/>
        <v>0</v>
      </c>
      <c r="AE257" s="1449">
        <f t="shared" si="294"/>
        <v>0</v>
      </c>
      <c r="AF257" s="1449">
        <f t="shared" si="294"/>
        <v>20000</v>
      </c>
      <c r="AG257" s="1449">
        <f t="shared" si="294"/>
        <v>20000</v>
      </c>
      <c r="AH257" s="1449">
        <f t="shared" si="294"/>
        <v>16000</v>
      </c>
      <c r="AI257" s="1449">
        <f t="shared" si="294"/>
        <v>0</v>
      </c>
      <c r="AJ257" s="1449">
        <f t="shared" si="294"/>
        <v>0</v>
      </c>
      <c r="AK257" s="1449">
        <f t="shared" si="294"/>
        <v>6000</v>
      </c>
      <c r="AL257" s="1449">
        <f t="shared" si="294"/>
        <v>10000</v>
      </c>
      <c r="AM257" s="1449">
        <f t="shared" si="294"/>
        <v>0</v>
      </c>
      <c r="AN257" s="1450"/>
      <c r="AO257" s="1450"/>
      <c r="AP257" s="1431">
        <f t="shared" si="235"/>
        <v>0</v>
      </c>
      <c r="AQ257" s="1431">
        <f t="shared" si="282"/>
        <v>1</v>
      </c>
      <c r="AR257" s="1434"/>
      <c r="AS257" s="1434"/>
      <c r="AW257" s="1427">
        <f t="shared" si="271"/>
        <v>0</v>
      </c>
      <c r="AY257" s="1427">
        <f t="shared" si="273"/>
        <v>0</v>
      </c>
      <c r="BA257" s="1427">
        <f t="shared" si="275"/>
        <v>0</v>
      </c>
      <c r="BC257" s="1427">
        <f t="shared" si="281"/>
        <v>0</v>
      </c>
      <c r="BD257" s="1436">
        <f t="shared" si="283"/>
        <v>1</v>
      </c>
    </row>
    <row r="258" spans="1:56" ht="66.75" customHeight="1" x14ac:dyDescent="0.3">
      <c r="A258" s="1827" t="s">
        <v>2981</v>
      </c>
      <c r="B258" s="1826"/>
      <c r="C258" s="1446" t="s">
        <v>88</v>
      </c>
      <c r="D258" s="1448"/>
      <c r="E258" s="1448"/>
      <c r="F258" s="1448"/>
      <c r="G258" s="1448"/>
      <c r="H258" s="1449">
        <f t="shared" ref="H258:X258" si="295">SUM(H259:H264)</f>
        <v>158445</v>
      </c>
      <c r="I258" s="1449">
        <f t="shared" si="295"/>
        <v>158445</v>
      </c>
      <c r="J258" s="1449">
        <f t="shared" si="295"/>
        <v>0</v>
      </c>
      <c r="K258" s="1449">
        <f t="shared" si="295"/>
        <v>0</v>
      </c>
      <c r="L258" s="1449">
        <f t="shared" si="295"/>
        <v>0</v>
      </c>
      <c r="M258" s="1449">
        <f t="shared" si="295"/>
        <v>0</v>
      </c>
      <c r="N258" s="1449">
        <f t="shared" si="295"/>
        <v>125000</v>
      </c>
      <c r="O258" s="1449">
        <f t="shared" si="295"/>
        <v>125000</v>
      </c>
      <c r="P258" s="1449">
        <f t="shared" si="295"/>
        <v>50000</v>
      </c>
      <c r="Q258" s="1449">
        <f t="shared" si="295"/>
        <v>50000</v>
      </c>
      <c r="R258" s="1449">
        <f t="shared" si="295"/>
        <v>0</v>
      </c>
      <c r="S258" s="1449">
        <f t="shared" si="295"/>
        <v>75000</v>
      </c>
      <c r="T258" s="1449">
        <f t="shared" si="295"/>
        <v>50000</v>
      </c>
      <c r="U258" s="1449">
        <f t="shared" si="295"/>
        <v>50000</v>
      </c>
      <c r="V258" s="1449">
        <f t="shared" si="295"/>
        <v>0</v>
      </c>
      <c r="W258" s="1449">
        <f t="shared" si="295"/>
        <v>30000</v>
      </c>
      <c r="X258" s="1449">
        <f t="shared" si="295"/>
        <v>20000</v>
      </c>
      <c r="Y258" s="1449">
        <f>SUM(Y259:Y264)</f>
        <v>20000</v>
      </c>
      <c r="Z258" s="1449">
        <v>0</v>
      </c>
      <c r="AA258" s="1449">
        <v>0</v>
      </c>
      <c r="AB258" s="1449">
        <v>20000</v>
      </c>
      <c r="AC258" s="1449">
        <v>20000</v>
      </c>
      <c r="AD258" s="1449">
        <f t="shared" ref="AD258:AM258" si="296">SUM(AD259:AD264)</f>
        <v>0</v>
      </c>
      <c r="AE258" s="1449">
        <f t="shared" si="296"/>
        <v>0</v>
      </c>
      <c r="AF258" s="1449">
        <f t="shared" si="296"/>
        <v>20000</v>
      </c>
      <c r="AG258" s="1449">
        <f t="shared" si="296"/>
        <v>20000</v>
      </c>
      <c r="AH258" s="1449">
        <f t="shared" si="296"/>
        <v>16000</v>
      </c>
      <c r="AI258" s="1449">
        <f t="shared" si="296"/>
        <v>0</v>
      </c>
      <c r="AJ258" s="1449">
        <f t="shared" si="296"/>
        <v>0</v>
      </c>
      <c r="AK258" s="1449">
        <f t="shared" si="296"/>
        <v>6000</v>
      </c>
      <c r="AL258" s="1449">
        <f t="shared" si="296"/>
        <v>10000</v>
      </c>
      <c r="AM258" s="1449">
        <f t="shared" si="296"/>
        <v>0</v>
      </c>
      <c r="AN258" s="1466"/>
      <c r="AO258" s="1466"/>
      <c r="AP258" s="1431">
        <f t="shared" si="235"/>
        <v>0</v>
      </c>
      <c r="AQ258" s="1431">
        <f t="shared" si="282"/>
        <v>1</v>
      </c>
      <c r="AR258" s="1434"/>
      <c r="AS258" s="1434"/>
      <c r="AW258" s="1427">
        <f t="shared" si="271"/>
        <v>0</v>
      </c>
      <c r="AY258" s="1427">
        <f t="shared" si="273"/>
        <v>0</v>
      </c>
      <c r="BA258" s="1427">
        <f t="shared" si="275"/>
        <v>0</v>
      </c>
      <c r="BC258" s="1427">
        <f t="shared" si="281"/>
        <v>0</v>
      </c>
      <c r="BD258" s="1436">
        <f t="shared" si="283"/>
        <v>1</v>
      </c>
    </row>
    <row r="259" spans="1:56" ht="79.5" customHeight="1" x14ac:dyDescent="0.3">
      <c r="A259" s="1847" t="s">
        <v>2982</v>
      </c>
      <c r="B259" s="1457"/>
      <c r="C259" s="1458" t="s">
        <v>568</v>
      </c>
      <c r="D259" s="1388" t="s">
        <v>569</v>
      </c>
      <c r="E259" s="1388"/>
      <c r="F259" s="1388" t="s">
        <v>101</v>
      </c>
      <c r="G259" s="1388" t="s">
        <v>2468</v>
      </c>
      <c r="H259" s="1476">
        <v>22800</v>
      </c>
      <c r="I259" s="1476">
        <f t="shared" ref="I259:I263" si="297">H259</f>
        <v>22800</v>
      </c>
      <c r="J259" s="1460"/>
      <c r="K259" s="1460"/>
      <c r="L259" s="1460"/>
      <c r="M259" s="1460"/>
      <c r="N259" s="1463">
        <f t="shared" ref="N259:N264" si="298">O259</f>
        <v>20000</v>
      </c>
      <c r="O259" s="1460">
        <v>20000</v>
      </c>
      <c r="P259" s="1463">
        <f t="shared" ref="P259:P264" si="299">Q259</f>
        <v>20000</v>
      </c>
      <c r="Q259" s="1460">
        <v>20000</v>
      </c>
      <c r="R259" s="1460"/>
      <c r="S259" s="1460"/>
      <c r="T259" s="1463">
        <f t="shared" ref="T259" si="300">U259</f>
        <v>20000</v>
      </c>
      <c r="U259" s="1460">
        <v>20000</v>
      </c>
      <c r="V259" s="1460"/>
      <c r="W259" s="1460"/>
      <c r="X259" s="1463">
        <f t="shared" ref="X259" si="301">Y259</f>
        <v>20000</v>
      </c>
      <c r="Y259" s="1460">
        <v>20000</v>
      </c>
      <c r="Z259" s="1460">
        <v>0</v>
      </c>
      <c r="AA259" s="1460">
        <v>0</v>
      </c>
      <c r="AB259" s="1460">
        <v>20000</v>
      </c>
      <c r="AC259" s="1460">
        <v>20000</v>
      </c>
      <c r="AD259" s="1460"/>
      <c r="AE259" s="1460"/>
      <c r="AF259" s="1383">
        <f t="shared" si="257"/>
        <v>20000</v>
      </c>
      <c r="AG259" s="1383">
        <f t="shared" si="258"/>
        <v>20000</v>
      </c>
      <c r="AH259" s="1383">
        <f t="shared" si="268"/>
        <v>16000</v>
      </c>
      <c r="AI259" s="1383"/>
      <c r="AJ259" s="1383"/>
      <c r="AK259" s="1383">
        <v>6000</v>
      </c>
      <c r="AL259" s="1383">
        <v>10000</v>
      </c>
      <c r="AM259" s="1383"/>
      <c r="AN259" s="1464"/>
      <c r="AO259" s="1464"/>
      <c r="AP259" s="1431">
        <f t="shared" si="235"/>
        <v>0</v>
      </c>
      <c r="AQ259" s="1431">
        <f t="shared" si="282"/>
        <v>1</v>
      </c>
      <c r="AR259" s="1434">
        <f t="shared" si="247"/>
        <v>0</v>
      </c>
      <c r="AS259" s="1434"/>
      <c r="AT259" s="1427">
        <f t="shared" ref="AT259:AT264" si="302">IF(AP259=0,1,0)</f>
        <v>1</v>
      </c>
      <c r="AV259" s="1427">
        <f t="shared" ref="AV259:AV264" si="303">IF(Q259=0,1,0)</f>
        <v>0</v>
      </c>
      <c r="AW259" s="1427">
        <f t="shared" si="271"/>
        <v>0</v>
      </c>
      <c r="AX259" s="1427">
        <f t="shared" ref="AX259:AX264" si="304">IF(O259=0,1,0)</f>
        <v>0</v>
      </c>
      <c r="AY259" s="1427">
        <f t="shared" si="273"/>
        <v>0</v>
      </c>
      <c r="AZ259" s="1427">
        <f t="shared" ref="AZ259:AZ264" si="305">IF(R259=0,0,1)</f>
        <v>0</v>
      </c>
      <c r="BA259" s="1427">
        <f t="shared" si="275"/>
        <v>0</v>
      </c>
      <c r="BB259" s="1427">
        <f>IF(S259=0,0,1)</f>
        <v>0</v>
      </c>
      <c r="BC259" s="1427">
        <f t="shared" si="281"/>
        <v>0</v>
      </c>
      <c r="BD259" s="1436">
        <f t="shared" si="283"/>
        <v>1</v>
      </c>
    </row>
    <row r="260" spans="1:56" ht="56.25" x14ac:dyDescent="0.3">
      <c r="A260" s="1847" t="s">
        <v>2983</v>
      </c>
      <c r="B260" s="1457"/>
      <c r="C260" s="1458" t="s">
        <v>570</v>
      </c>
      <c r="D260" s="1388" t="s">
        <v>571</v>
      </c>
      <c r="E260" s="1388"/>
      <c r="F260" s="1388" t="s">
        <v>101</v>
      </c>
      <c r="G260" s="1388"/>
      <c r="H260" s="1476">
        <v>27700</v>
      </c>
      <c r="I260" s="1476">
        <f t="shared" si="297"/>
        <v>27700</v>
      </c>
      <c r="J260" s="1460"/>
      <c r="K260" s="1460"/>
      <c r="L260" s="1460"/>
      <c r="M260" s="1460"/>
      <c r="N260" s="1463">
        <f t="shared" si="298"/>
        <v>24000</v>
      </c>
      <c r="O260" s="1460">
        <v>24000</v>
      </c>
      <c r="P260" s="1463"/>
      <c r="Q260" s="1460"/>
      <c r="R260" s="1460"/>
      <c r="S260" s="1460">
        <f>O260</f>
        <v>24000</v>
      </c>
      <c r="T260" s="1463"/>
      <c r="U260" s="1460"/>
      <c r="V260" s="1460"/>
      <c r="W260" s="1460"/>
      <c r="X260" s="1463"/>
      <c r="Y260" s="1460"/>
      <c r="Z260" s="1449"/>
      <c r="AA260" s="1449"/>
      <c r="AB260" s="1460">
        <v>0</v>
      </c>
      <c r="AC260" s="1460">
        <v>0</v>
      </c>
      <c r="AD260" s="1460"/>
      <c r="AE260" s="1460"/>
      <c r="AF260" s="1383">
        <f t="shared" si="257"/>
        <v>0</v>
      </c>
      <c r="AG260" s="1383">
        <f t="shared" si="258"/>
        <v>0</v>
      </c>
      <c r="AH260" s="1383">
        <f t="shared" si="268"/>
        <v>0</v>
      </c>
      <c r="AI260" s="1383"/>
      <c r="AJ260" s="1383"/>
      <c r="AK260" s="1383"/>
      <c r="AL260" s="1383"/>
      <c r="AM260" s="1383"/>
      <c r="AN260" s="1464"/>
      <c r="AO260" s="1464"/>
      <c r="AP260" s="1431">
        <f t="shared" si="235"/>
        <v>0</v>
      </c>
      <c r="AQ260" s="1431">
        <f t="shared" si="282"/>
        <v>0</v>
      </c>
      <c r="AR260" s="1434">
        <f t="shared" si="247"/>
        <v>0</v>
      </c>
      <c r="AS260" s="1434"/>
      <c r="AT260" s="1427">
        <f t="shared" si="302"/>
        <v>1</v>
      </c>
      <c r="AV260" s="1427">
        <f t="shared" si="303"/>
        <v>1</v>
      </c>
      <c r="AW260" s="1427">
        <f t="shared" si="271"/>
        <v>24000</v>
      </c>
      <c r="AX260" s="1427">
        <f t="shared" si="304"/>
        <v>0</v>
      </c>
      <c r="AY260" s="1427">
        <f t="shared" si="273"/>
        <v>0</v>
      </c>
      <c r="AZ260" s="1427">
        <f t="shared" si="305"/>
        <v>0</v>
      </c>
      <c r="BA260" s="1427">
        <f t="shared" si="275"/>
        <v>0</v>
      </c>
      <c r="BD260" s="1436">
        <f t="shared" si="283"/>
        <v>1</v>
      </c>
    </row>
    <row r="261" spans="1:56" ht="40.5" customHeight="1" x14ac:dyDescent="0.3">
      <c r="A261" s="1847" t="s">
        <v>2984</v>
      </c>
      <c r="B261" s="1457"/>
      <c r="C261" s="1458" t="s">
        <v>573</v>
      </c>
      <c r="D261" s="1388" t="s">
        <v>574</v>
      </c>
      <c r="E261" s="1388"/>
      <c r="F261" s="1388" t="s">
        <v>116</v>
      </c>
      <c r="G261" s="1388"/>
      <c r="H261" s="1476">
        <v>20000</v>
      </c>
      <c r="I261" s="1476">
        <f t="shared" si="297"/>
        <v>20000</v>
      </c>
      <c r="J261" s="1460"/>
      <c r="K261" s="1460"/>
      <c r="L261" s="1460"/>
      <c r="M261" s="1460"/>
      <c r="N261" s="1463">
        <f t="shared" si="298"/>
        <v>18000</v>
      </c>
      <c r="O261" s="1460">
        <v>18000</v>
      </c>
      <c r="P261" s="1463"/>
      <c r="Q261" s="1460"/>
      <c r="R261" s="1460"/>
      <c r="S261" s="1460">
        <f t="shared" ref="S261:S263" si="306">O261</f>
        <v>18000</v>
      </c>
      <c r="T261" s="1463"/>
      <c r="U261" s="1460"/>
      <c r="V261" s="1460"/>
      <c r="W261" s="1460"/>
      <c r="X261" s="1463"/>
      <c r="Y261" s="1460"/>
      <c r="Z261" s="1460"/>
      <c r="AA261" s="1460"/>
      <c r="AB261" s="1460">
        <v>0</v>
      </c>
      <c r="AC261" s="1460">
        <v>0</v>
      </c>
      <c r="AD261" s="1460"/>
      <c r="AE261" s="1460"/>
      <c r="AF261" s="1383">
        <f t="shared" si="257"/>
        <v>0</v>
      </c>
      <c r="AG261" s="1383">
        <f t="shared" si="258"/>
        <v>0</v>
      </c>
      <c r="AH261" s="1383">
        <f t="shared" si="268"/>
        <v>0</v>
      </c>
      <c r="AI261" s="1383"/>
      <c r="AJ261" s="1383"/>
      <c r="AK261" s="1383"/>
      <c r="AL261" s="1383"/>
      <c r="AM261" s="1383"/>
      <c r="AN261" s="1464"/>
      <c r="AO261" s="1464"/>
      <c r="AP261" s="1431">
        <f t="shared" si="235"/>
        <v>0</v>
      </c>
      <c r="AQ261" s="1431">
        <f t="shared" si="282"/>
        <v>0</v>
      </c>
      <c r="AR261" s="1434">
        <f t="shared" si="247"/>
        <v>0</v>
      </c>
      <c r="AS261" s="1434"/>
      <c r="AT261" s="1427">
        <f t="shared" si="302"/>
        <v>1</v>
      </c>
      <c r="AV261" s="1427">
        <f t="shared" si="303"/>
        <v>1</v>
      </c>
      <c r="AW261" s="1427">
        <f t="shared" si="271"/>
        <v>18000</v>
      </c>
      <c r="AX261" s="1427">
        <f t="shared" si="304"/>
        <v>0</v>
      </c>
      <c r="AY261" s="1427">
        <f t="shared" si="273"/>
        <v>0</v>
      </c>
      <c r="AZ261" s="1427">
        <f t="shared" si="305"/>
        <v>0</v>
      </c>
      <c r="BA261" s="1427">
        <f t="shared" si="275"/>
        <v>0</v>
      </c>
      <c r="BD261" s="1436">
        <f t="shared" si="283"/>
        <v>1</v>
      </c>
    </row>
    <row r="262" spans="1:56" ht="37.5" x14ac:dyDescent="0.3">
      <c r="A262" s="1847" t="s">
        <v>2985</v>
      </c>
      <c r="B262" s="1457"/>
      <c r="C262" s="1458" t="s">
        <v>575</v>
      </c>
      <c r="D262" s="1388" t="s">
        <v>576</v>
      </c>
      <c r="E262" s="1388"/>
      <c r="F262" s="1388" t="s">
        <v>116</v>
      </c>
      <c r="G262" s="1388"/>
      <c r="H262" s="1476">
        <v>20000</v>
      </c>
      <c r="I262" s="1476">
        <f t="shared" si="297"/>
        <v>20000</v>
      </c>
      <c r="J262" s="1460"/>
      <c r="K262" s="1460"/>
      <c r="L262" s="1460"/>
      <c r="M262" s="1460"/>
      <c r="N262" s="1463">
        <f t="shared" si="298"/>
        <v>18000</v>
      </c>
      <c r="O262" s="1460">
        <v>18000</v>
      </c>
      <c r="P262" s="1463"/>
      <c r="Q262" s="1460"/>
      <c r="R262" s="1460"/>
      <c r="S262" s="1460">
        <f t="shared" si="306"/>
        <v>18000</v>
      </c>
      <c r="T262" s="1463"/>
      <c r="U262" s="1460"/>
      <c r="V262" s="1460"/>
      <c r="W262" s="1460"/>
      <c r="X262" s="1463"/>
      <c r="Y262" s="1460"/>
      <c r="Z262" s="1460"/>
      <c r="AA262" s="1460"/>
      <c r="AB262" s="1460">
        <v>0</v>
      </c>
      <c r="AC262" s="1460">
        <v>0</v>
      </c>
      <c r="AD262" s="1460"/>
      <c r="AE262" s="1460"/>
      <c r="AF262" s="1383">
        <f t="shared" si="257"/>
        <v>0</v>
      </c>
      <c r="AG262" s="1383">
        <f t="shared" si="258"/>
        <v>0</v>
      </c>
      <c r="AH262" s="1383">
        <f t="shared" si="268"/>
        <v>0</v>
      </c>
      <c r="AI262" s="1383"/>
      <c r="AJ262" s="1383"/>
      <c r="AK262" s="1383"/>
      <c r="AL262" s="1383"/>
      <c r="AM262" s="1383"/>
      <c r="AN262" s="1464"/>
      <c r="AO262" s="1464"/>
      <c r="AP262" s="1431">
        <f t="shared" si="235"/>
        <v>0</v>
      </c>
      <c r="AQ262" s="1431">
        <f t="shared" si="282"/>
        <v>0</v>
      </c>
      <c r="AR262" s="1434">
        <f t="shared" si="247"/>
        <v>0</v>
      </c>
      <c r="AS262" s="1434"/>
      <c r="AT262" s="1427">
        <f t="shared" si="302"/>
        <v>1</v>
      </c>
      <c r="AV262" s="1427">
        <f t="shared" si="303"/>
        <v>1</v>
      </c>
      <c r="AW262" s="1427">
        <f t="shared" si="271"/>
        <v>18000</v>
      </c>
      <c r="AX262" s="1427">
        <f t="shared" si="304"/>
        <v>0</v>
      </c>
      <c r="AY262" s="1427">
        <f t="shared" si="273"/>
        <v>0</v>
      </c>
      <c r="AZ262" s="1427">
        <f t="shared" si="305"/>
        <v>0</v>
      </c>
      <c r="BA262" s="1427">
        <f t="shared" si="275"/>
        <v>0</v>
      </c>
      <c r="BD262" s="1436">
        <f t="shared" si="283"/>
        <v>1</v>
      </c>
    </row>
    <row r="263" spans="1:56" ht="56.25" x14ac:dyDescent="0.3">
      <c r="A263" s="1847" t="s">
        <v>2986</v>
      </c>
      <c r="B263" s="1457"/>
      <c r="C263" s="1458" t="s">
        <v>577</v>
      </c>
      <c r="D263" s="1388" t="s">
        <v>578</v>
      </c>
      <c r="E263" s="1388"/>
      <c r="F263" s="1388" t="s">
        <v>116</v>
      </c>
      <c r="G263" s="1388"/>
      <c r="H263" s="1476">
        <v>18000</v>
      </c>
      <c r="I263" s="1476">
        <f t="shared" si="297"/>
        <v>18000</v>
      </c>
      <c r="J263" s="1460"/>
      <c r="K263" s="1460"/>
      <c r="L263" s="1460"/>
      <c r="M263" s="1460"/>
      <c r="N263" s="1463">
        <f t="shared" si="298"/>
        <v>15000</v>
      </c>
      <c r="O263" s="1460">
        <v>15000</v>
      </c>
      <c r="P263" s="1463"/>
      <c r="Q263" s="1460"/>
      <c r="R263" s="1460"/>
      <c r="S263" s="1460">
        <f t="shared" si="306"/>
        <v>15000</v>
      </c>
      <c r="T263" s="1463"/>
      <c r="U263" s="1460"/>
      <c r="V263" s="1460"/>
      <c r="W263" s="1460"/>
      <c r="X263" s="1463"/>
      <c r="Y263" s="1460"/>
      <c r="Z263" s="1460"/>
      <c r="AA263" s="1460"/>
      <c r="AB263" s="1460">
        <v>0</v>
      </c>
      <c r="AC263" s="1460">
        <v>0</v>
      </c>
      <c r="AD263" s="1460"/>
      <c r="AE263" s="1460"/>
      <c r="AF263" s="1383">
        <f t="shared" si="257"/>
        <v>0</v>
      </c>
      <c r="AG263" s="1383">
        <f t="shared" si="258"/>
        <v>0</v>
      </c>
      <c r="AH263" s="1383">
        <f t="shared" si="268"/>
        <v>0</v>
      </c>
      <c r="AI263" s="1383"/>
      <c r="AJ263" s="1383"/>
      <c r="AK263" s="1383"/>
      <c r="AL263" s="1383"/>
      <c r="AM263" s="1383"/>
      <c r="AN263" s="1464"/>
      <c r="AO263" s="1464"/>
      <c r="AP263" s="1431">
        <f t="shared" si="235"/>
        <v>0</v>
      </c>
      <c r="AQ263" s="1431">
        <f t="shared" si="282"/>
        <v>0</v>
      </c>
      <c r="AR263" s="1434">
        <f t="shared" si="247"/>
        <v>0</v>
      </c>
      <c r="AS263" s="1434"/>
      <c r="AT263" s="1427">
        <f t="shared" si="302"/>
        <v>1</v>
      </c>
      <c r="AV263" s="1427">
        <f t="shared" si="303"/>
        <v>1</v>
      </c>
      <c r="AW263" s="1427">
        <f t="shared" si="271"/>
        <v>15000</v>
      </c>
      <c r="AX263" s="1427">
        <f t="shared" si="304"/>
        <v>0</v>
      </c>
      <c r="AY263" s="1427">
        <f t="shared" si="273"/>
        <v>0</v>
      </c>
      <c r="AZ263" s="1427">
        <f t="shared" si="305"/>
        <v>0</v>
      </c>
      <c r="BA263" s="1427">
        <f t="shared" si="275"/>
        <v>0</v>
      </c>
      <c r="BD263" s="1436">
        <f t="shared" si="283"/>
        <v>1</v>
      </c>
    </row>
    <row r="264" spans="1:56" ht="46.5" customHeight="1" x14ac:dyDescent="0.3">
      <c r="A264" s="1847" t="s">
        <v>2987</v>
      </c>
      <c r="B264" s="1457"/>
      <c r="C264" s="1458" t="s">
        <v>579</v>
      </c>
      <c r="D264" s="1388" t="s">
        <v>580</v>
      </c>
      <c r="E264" s="1388"/>
      <c r="F264" s="1388" t="s">
        <v>101</v>
      </c>
      <c r="G264" s="1494"/>
      <c r="H264" s="1463">
        <f>I264</f>
        <v>49945</v>
      </c>
      <c r="I264" s="1476">
        <v>49945</v>
      </c>
      <c r="J264" s="1460"/>
      <c r="K264" s="1460"/>
      <c r="L264" s="1460"/>
      <c r="M264" s="1460"/>
      <c r="N264" s="1463">
        <f t="shared" si="298"/>
        <v>30000</v>
      </c>
      <c r="O264" s="1460">
        <v>30000</v>
      </c>
      <c r="P264" s="1463">
        <f t="shared" si="299"/>
        <v>30000</v>
      </c>
      <c r="Q264" s="1460">
        <v>30000</v>
      </c>
      <c r="R264" s="1460"/>
      <c r="S264" s="1460"/>
      <c r="T264" s="1463">
        <f t="shared" ref="T264" si="307">U264</f>
        <v>30000</v>
      </c>
      <c r="U264" s="1460">
        <v>30000</v>
      </c>
      <c r="V264" s="1460"/>
      <c r="W264" s="1460">
        <v>30000</v>
      </c>
      <c r="X264" s="1463">
        <f t="shared" ref="X264" si="308">Y264</f>
        <v>0</v>
      </c>
      <c r="Y264" s="1460">
        <f>U264-W264</f>
        <v>0</v>
      </c>
      <c r="Z264" s="1460"/>
      <c r="AA264" s="1460"/>
      <c r="AB264" s="1460">
        <v>0</v>
      </c>
      <c r="AC264" s="1460">
        <v>0</v>
      </c>
      <c r="AD264" s="1460"/>
      <c r="AE264" s="1460"/>
      <c r="AF264" s="1383">
        <f t="shared" si="257"/>
        <v>0</v>
      </c>
      <c r="AG264" s="1383">
        <f t="shared" si="258"/>
        <v>0</v>
      </c>
      <c r="AH264" s="1383">
        <f t="shared" si="268"/>
        <v>0</v>
      </c>
      <c r="AI264" s="1383"/>
      <c r="AJ264" s="1383"/>
      <c r="AK264" s="1383"/>
      <c r="AL264" s="1383"/>
      <c r="AM264" s="1383"/>
      <c r="AN264" s="1381"/>
      <c r="AO264" s="1381"/>
      <c r="AP264" s="1431">
        <f t="shared" si="235"/>
        <v>0</v>
      </c>
      <c r="AQ264" s="1431">
        <v>1</v>
      </c>
      <c r="AR264" s="1434">
        <f t="shared" si="247"/>
        <v>0</v>
      </c>
      <c r="AS264" s="1434"/>
      <c r="AT264" s="1427">
        <f t="shared" si="302"/>
        <v>1</v>
      </c>
      <c r="AV264" s="1427">
        <f t="shared" si="303"/>
        <v>0</v>
      </c>
      <c r="AW264" s="1427">
        <f t="shared" si="271"/>
        <v>0</v>
      </c>
      <c r="AX264" s="1427">
        <f t="shared" si="304"/>
        <v>0</v>
      </c>
      <c r="AY264" s="1427">
        <f t="shared" si="273"/>
        <v>0</v>
      </c>
      <c r="AZ264" s="1427">
        <f t="shared" si="305"/>
        <v>0</v>
      </c>
      <c r="BA264" s="1427">
        <f t="shared" si="275"/>
        <v>0</v>
      </c>
      <c r="BB264" s="1427">
        <f>IF(S264=0,0,1)</f>
        <v>0</v>
      </c>
      <c r="BC264" s="1427">
        <f t="shared" ref="BC264:BC280" si="309">IF(BB264=1,S264,0)</f>
        <v>0</v>
      </c>
      <c r="BD264" s="1436">
        <f t="shared" si="283"/>
        <v>1</v>
      </c>
    </row>
    <row r="265" spans="1:56" ht="45.75" customHeight="1" x14ac:dyDescent="0.3">
      <c r="A265" s="1846">
        <v>7</v>
      </c>
      <c r="B265" s="1846">
        <v>7</v>
      </c>
      <c r="C265" s="1438" t="s">
        <v>583</v>
      </c>
      <c r="D265" s="1381"/>
      <c r="E265" s="1381"/>
      <c r="F265" s="1381"/>
      <c r="G265" s="1381"/>
      <c r="H265" s="1439">
        <f>H266+H272</f>
        <v>713659</v>
      </c>
      <c r="I265" s="1439">
        <f t="shared" ref="I265:U265" si="310">I266+I272</f>
        <v>459981</v>
      </c>
      <c r="J265" s="1439">
        <f t="shared" si="310"/>
        <v>7445</v>
      </c>
      <c r="K265" s="1439">
        <f t="shared" si="310"/>
        <v>7445</v>
      </c>
      <c r="L265" s="1439">
        <f t="shared" si="310"/>
        <v>7445</v>
      </c>
      <c r="M265" s="1439">
        <f t="shared" si="310"/>
        <v>7445</v>
      </c>
      <c r="N265" s="1439">
        <f t="shared" si="310"/>
        <v>314000</v>
      </c>
      <c r="O265" s="1439">
        <f t="shared" si="310"/>
        <v>295000</v>
      </c>
      <c r="P265" s="1439">
        <f t="shared" si="310"/>
        <v>338200</v>
      </c>
      <c r="Q265" s="1439">
        <f t="shared" si="310"/>
        <v>287200</v>
      </c>
      <c r="R265" s="1439">
        <f t="shared" si="310"/>
        <v>26300</v>
      </c>
      <c r="S265" s="1439">
        <f t="shared" si="310"/>
        <v>53930</v>
      </c>
      <c r="T265" s="1439">
        <f t="shared" si="310"/>
        <v>281370</v>
      </c>
      <c r="U265" s="1439">
        <f t="shared" si="310"/>
        <v>262370</v>
      </c>
      <c r="V265" s="1439">
        <f t="shared" ref="V265:Y265" si="311">V266+V272</f>
        <v>38000</v>
      </c>
      <c r="W265" s="1439">
        <f t="shared" si="311"/>
        <v>1000</v>
      </c>
      <c r="X265" s="1439">
        <f t="shared" si="311"/>
        <v>325370</v>
      </c>
      <c r="Y265" s="1439">
        <f t="shared" si="311"/>
        <v>306370</v>
      </c>
      <c r="Z265" s="1439">
        <v>0</v>
      </c>
      <c r="AA265" s="1439">
        <v>0</v>
      </c>
      <c r="AB265" s="1439">
        <v>294144</v>
      </c>
      <c r="AC265" s="1439">
        <v>275144</v>
      </c>
      <c r="AD265" s="1439">
        <f t="shared" ref="AD265:AM265" si="312">AD266+AD272</f>
        <v>0</v>
      </c>
      <c r="AE265" s="1856">
        <f t="shared" si="312"/>
        <v>0</v>
      </c>
      <c r="AF265" s="1439">
        <f t="shared" si="312"/>
        <v>294144</v>
      </c>
      <c r="AG265" s="1439">
        <f t="shared" si="312"/>
        <v>275144</v>
      </c>
      <c r="AH265" s="1439">
        <f t="shared" si="312"/>
        <v>266356</v>
      </c>
      <c r="AI265" s="1439">
        <f t="shared" si="312"/>
        <v>86425</v>
      </c>
      <c r="AJ265" s="1439">
        <f t="shared" si="312"/>
        <v>29413</v>
      </c>
      <c r="AK265" s="1439">
        <f t="shared" si="312"/>
        <v>29408</v>
      </c>
      <c r="AL265" s="1439">
        <f t="shared" si="312"/>
        <v>46310</v>
      </c>
      <c r="AM265" s="1439">
        <f t="shared" si="312"/>
        <v>74800</v>
      </c>
      <c r="AN265" s="1440"/>
      <c r="AO265" s="1440"/>
      <c r="AP265" s="1431">
        <f t="shared" si="235"/>
        <v>0</v>
      </c>
      <c r="AQ265" s="1431">
        <f t="shared" ref="AQ265:AQ296" si="313">IF(Y265=0,0,1)</f>
        <v>1</v>
      </c>
      <c r="AR265" s="1434"/>
      <c r="AS265" s="1434">
        <f>AJ270+AJ276+AJ280+AJ281</f>
        <v>28413</v>
      </c>
      <c r="AT265" s="1435">
        <f>U265+V265-W265</f>
        <v>299370</v>
      </c>
      <c r="AW265" s="1427">
        <f t="shared" si="271"/>
        <v>0</v>
      </c>
      <c r="AY265" s="1427">
        <f t="shared" si="273"/>
        <v>0</v>
      </c>
      <c r="BA265" s="1427">
        <f t="shared" si="275"/>
        <v>0</v>
      </c>
      <c r="BC265" s="1427">
        <f t="shared" si="309"/>
        <v>0</v>
      </c>
      <c r="BD265" s="1436">
        <f t="shared" si="283"/>
        <v>1</v>
      </c>
    </row>
    <row r="266" spans="1:56" ht="63.75" customHeight="1" x14ac:dyDescent="0.3">
      <c r="A266" s="1827" t="s">
        <v>2988</v>
      </c>
      <c r="B266" s="1827" t="s">
        <v>2988</v>
      </c>
      <c r="C266" s="1446" t="s">
        <v>46</v>
      </c>
      <c r="D266" s="1447"/>
      <c r="E266" s="1447"/>
      <c r="F266" s="1448"/>
      <c r="G266" s="1448"/>
      <c r="H266" s="1449">
        <f>H267</f>
        <v>98166</v>
      </c>
      <c r="I266" s="1449">
        <f t="shared" ref="I266:AM266" si="314">I267</f>
        <v>89929</v>
      </c>
      <c r="J266" s="1449">
        <f t="shared" si="314"/>
        <v>7445</v>
      </c>
      <c r="K266" s="1449">
        <f t="shared" si="314"/>
        <v>7445</v>
      </c>
      <c r="L266" s="1449">
        <f t="shared" si="314"/>
        <v>7445</v>
      </c>
      <c r="M266" s="1449">
        <f t="shared" si="314"/>
        <v>7445</v>
      </c>
      <c r="N266" s="1449">
        <f t="shared" si="314"/>
        <v>65930</v>
      </c>
      <c r="O266" s="1449">
        <f t="shared" si="314"/>
        <v>65930</v>
      </c>
      <c r="P266" s="1449">
        <f t="shared" si="314"/>
        <v>79930</v>
      </c>
      <c r="Q266" s="1449">
        <f t="shared" si="314"/>
        <v>79930</v>
      </c>
      <c r="R266" s="1449">
        <f t="shared" si="314"/>
        <v>17000</v>
      </c>
      <c r="S266" s="1449">
        <f t="shared" si="314"/>
        <v>0</v>
      </c>
      <c r="T266" s="1449">
        <f t="shared" si="314"/>
        <v>82930</v>
      </c>
      <c r="U266" s="1449">
        <f t="shared" si="314"/>
        <v>82930</v>
      </c>
      <c r="V266" s="1449">
        <f t="shared" si="314"/>
        <v>0</v>
      </c>
      <c r="W266" s="1449">
        <f t="shared" si="314"/>
        <v>0</v>
      </c>
      <c r="X266" s="1449">
        <f t="shared" si="314"/>
        <v>82930</v>
      </c>
      <c r="Y266" s="1449">
        <f t="shared" si="314"/>
        <v>82930</v>
      </c>
      <c r="Z266" s="1449">
        <v>0</v>
      </c>
      <c r="AA266" s="1449">
        <v>0</v>
      </c>
      <c r="AB266" s="1449">
        <v>82930</v>
      </c>
      <c r="AC266" s="1449">
        <v>82930</v>
      </c>
      <c r="AD266" s="1449">
        <f t="shared" si="314"/>
        <v>0</v>
      </c>
      <c r="AE266" s="1449">
        <f t="shared" si="314"/>
        <v>0</v>
      </c>
      <c r="AF266" s="1449">
        <f t="shared" si="314"/>
        <v>82930</v>
      </c>
      <c r="AG266" s="1449">
        <f t="shared" si="314"/>
        <v>82930</v>
      </c>
      <c r="AH266" s="1449">
        <f t="shared" si="314"/>
        <v>90420</v>
      </c>
      <c r="AI266" s="1449">
        <f t="shared" si="314"/>
        <v>51000</v>
      </c>
      <c r="AJ266" s="1449">
        <f t="shared" si="314"/>
        <v>22300</v>
      </c>
      <c r="AK266" s="1449">
        <f t="shared" si="314"/>
        <v>17120</v>
      </c>
      <c r="AL266" s="1449">
        <f t="shared" si="314"/>
        <v>0</v>
      </c>
      <c r="AM266" s="1449">
        <f t="shared" si="314"/>
        <v>0</v>
      </c>
      <c r="AN266" s="1450"/>
      <c r="AO266" s="1450"/>
      <c r="AP266" s="1431">
        <f t="shared" si="235"/>
        <v>0</v>
      </c>
      <c r="AQ266" s="1431">
        <f t="shared" si="313"/>
        <v>1</v>
      </c>
      <c r="AR266" s="1434"/>
      <c r="AS266" s="1434"/>
      <c r="AW266" s="1427">
        <f t="shared" si="271"/>
        <v>0</v>
      </c>
      <c r="AY266" s="1427">
        <f t="shared" si="273"/>
        <v>0</v>
      </c>
      <c r="BA266" s="1427">
        <f t="shared" si="275"/>
        <v>0</v>
      </c>
      <c r="BC266" s="1427">
        <f t="shared" si="309"/>
        <v>0</v>
      </c>
      <c r="BD266" s="1436">
        <f t="shared" si="283"/>
        <v>1</v>
      </c>
    </row>
    <row r="267" spans="1:56" ht="45.75" customHeight="1" x14ac:dyDescent="0.3">
      <c r="A267" s="1826"/>
      <c r="B267" s="1827"/>
      <c r="C267" s="1446" t="s">
        <v>48</v>
      </c>
      <c r="D267" s="1447"/>
      <c r="E267" s="1447"/>
      <c r="F267" s="1448"/>
      <c r="G267" s="1448"/>
      <c r="H267" s="1449">
        <f t="shared" ref="H267:W267" si="315">SUM(H270:H271)</f>
        <v>98166</v>
      </c>
      <c r="I267" s="1449">
        <f t="shared" si="315"/>
        <v>89929</v>
      </c>
      <c r="J267" s="1449">
        <f t="shared" si="315"/>
        <v>7445</v>
      </c>
      <c r="K267" s="1449">
        <f t="shared" si="315"/>
        <v>7445</v>
      </c>
      <c r="L267" s="1449">
        <f t="shared" si="315"/>
        <v>7445</v>
      </c>
      <c r="M267" s="1449">
        <f t="shared" si="315"/>
        <v>7445</v>
      </c>
      <c r="N267" s="1449">
        <f t="shared" si="315"/>
        <v>65930</v>
      </c>
      <c r="O267" s="1449">
        <f t="shared" si="315"/>
        <v>65930</v>
      </c>
      <c r="P267" s="1449">
        <f t="shared" si="315"/>
        <v>79930</v>
      </c>
      <c r="Q267" s="1449">
        <f t="shared" si="315"/>
        <v>79930</v>
      </c>
      <c r="R267" s="1449">
        <f t="shared" si="315"/>
        <v>17000</v>
      </c>
      <c r="S267" s="1449">
        <f t="shared" si="315"/>
        <v>0</v>
      </c>
      <c r="T267" s="1449">
        <f t="shared" si="315"/>
        <v>82930</v>
      </c>
      <c r="U267" s="1449">
        <f t="shared" si="315"/>
        <v>82930</v>
      </c>
      <c r="V267" s="1449">
        <f t="shared" si="315"/>
        <v>0</v>
      </c>
      <c r="W267" s="1449">
        <f t="shared" si="315"/>
        <v>0</v>
      </c>
      <c r="X267" s="1449">
        <f>SUM(X270:X271)</f>
        <v>82930</v>
      </c>
      <c r="Y267" s="1449">
        <f>SUM(Y270:Y271)</f>
        <v>82930</v>
      </c>
      <c r="Z267" s="1449">
        <v>0</v>
      </c>
      <c r="AA267" s="1449">
        <v>0</v>
      </c>
      <c r="AB267" s="1449">
        <v>82930</v>
      </c>
      <c r="AC267" s="1449">
        <v>82930</v>
      </c>
      <c r="AD267" s="1449">
        <f t="shared" ref="AD267:AM267" si="316">SUM(AD270:AD271)</f>
        <v>0</v>
      </c>
      <c r="AE267" s="1449">
        <f t="shared" si="316"/>
        <v>0</v>
      </c>
      <c r="AF267" s="1449">
        <f t="shared" si="316"/>
        <v>82930</v>
      </c>
      <c r="AG267" s="1449">
        <f t="shared" si="316"/>
        <v>82930</v>
      </c>
      <c r="AH267" s="1449">
        <f t="shared" si="316"/>
        <v>90420</v>
      </c>
      <c r="AI267" s="1449">
        <f t="shared" si="316"/>
        <v>51000</v>
      </c>
      <c r="AJ267" s="1449">
        <f t="shared" si="316"/>
        <v>22300</v>
      </c>
      <c r="AK267" s="1449">
        <f t="shared" si="316"/>
        <v>17120</v>
      </c>
      <c r="AL267" s="1449">
        <f t="shared" si="316"/>
        <v>0</v>
      </c>
      <c r="AM267" s="1449">
        <f t="shared" si="316"/>
        <v>0</v>
      </c>
      <c r="AN267" s="1450"/>
      <c r="AO267" s="1450"/>
      <c r="AP267" s="1431">
        <f t="shared" si="235"/>
        <v>0</v>
      </c>
      <c r="AQ267" s="1431">
        <f t="shared" si="313"/>
        <v>1</v>
      </c>
      <c r="AR267" s="1434"/>
      <c r="AS267" s="1434"/>
      <c r="AT267" s="1435">
        <f>U267+V267-W267</f>
        <v>82930</v>
      </c>
      <c r="AW267" s="1427">
        <f t="shared" si="271"/>
        <v>0</v>
      </c>
      <c r="AY267" s="1427">
        <f t="shared" ref="AY267:AY298" si="317">IF(AX267=1,Q267,0)</f>
        <v>0</v>
      </c>
      <c r="BA267" s="1427">
        <f t="shared" ref="BA267:BA294" si="318">IF(AZ267=1,R267,0)</f>
        <v>0</v>
      </c>
      <c r="BC267" s="1427">
        <f t="shared" si="309"/>
        <v>0</v>
      </c>
      <c r="BD267" s="1436">
        <f t="shared" si="283"/>
        <v>1</v>
      </c>
    </row>
    <row r="268" spans="1:56" ht="24.75" customHeight="1" x14ac:dyDescent="0.3">
      <c r="A268" s="1825"/>
      <c r="B268" s="1451"/>
      <c r="C268" s="1446" t="s">
        <v>49</v>
      </c>
      <c r="D268" s="1452"/>
      <c r="E268" s="1452"/>
      <c r="F268" s="1381"/>
      <c r="G268" s="1381"/>
      <c r="H268" s="1453"/>
      <c r="I268" s="1453"/>
      <c r="J268" s="1453"/>
      <c r="K268" s="1453"/>
      <c r="L268" s="1453"/>
      <c r="M268" s="1453"/>
      <c r="N268" s="1453"/>
      <c r="O268" s="1453"/>
      <c r="P268" s="1453"/>
      <c r="Q268" s="1453"/>
      <c r="R268" s="1454"/>
      <c r="S268" s="1454"/>
      <c r="T268" s="1453"/>
      <c r="U268" s="1453"/>
      <c r="V268" s="1454"/>
      <c r="W268" s="1454"/>
      <c r="X268" s="1453"/>
      <c r="Y268" s="1453"/>
      <c r="Z268" s="1460"/>
      <c r="AA268" s="1460"/>
      <c r="AB268" s="1460">
        <v>0</v>
      </c>
      <c r="AC268" s="1460">
        <v>0</v>
      </c>
      <c r="AD268" s="1460"/>
      <c r="AE268" s="1460"/>
      <c r="AF268" s="1383">
        <f t="shared" si="257"/>
        <v>0</v>
      </c>
      <c r="AG268" s="1383">
        <f t="shared" si="258"/>
        <v>0</v>
      </c>
      <c r="AH268" s="1383">
        <f t="shared" si="268"/>
        <v>0</v>
      </c>
      <c r="AI268" s="1383"/>
      <c r="AJ268" s="1383"/>
      <c r="AK268" s="1383"/>
      <c r="AL268" s="1383"/>
      <c r="AM268" s="1383"/>
      <c r="AN268" s="1455"/>
      <c r="AO268" s="1455"/>
      <c r="AP268" s="1431">
        <f t="shared" si="235"/>
        <v>0</v>
      </c>
      <c r="AQ268" s="1431">
        <f t="shared" si="313"/>
        <v>0</v>
      </c>
      <c r="AR268" s="1434"/>
      <c r="AS268" s="1434"/>
      <c r="AW268" s="1427">
        <f t="shared" si="271"/>
        <v>0</v>
      </c>
      <c r="AY268" s="1427">
        <f t="shared" si="317"/>
        <v>0</v>
      </c>
      <c r="BA268" s="1427">
        <f t="shared" si="318"/>
        <v>0</v>
      </c>
      <c r="BC268" s="1427">
        <f t="shared" si="309"/>
        <v>0</v>
      </c>
      <c r="BD268" s="1436">
        <f t="shared" si="283"/>
        <v>1</v>
      </c>
    </row>
    <row r="269" spans="1:56" ht="78" x14ac:dyDescent="0.3">
      <c r="A269" s="1827" t="s">
        <v>2989</v>
      </c>
      <c r="B269" s="1827" t="s">
        <v>2989</v>
      </c>
      <c r="C269" s="1456" t="s">
        <v>50</v>
      </c>
      <c r="D269" s="1447"/>
      <c r="E269" s="1447"/>
      <c r="F269" s="1448"/>
      <c r="G269" s="1448"/>
      <c r="H269" s="1449"/>
      <c r="I269" s="1449"/>
      <c r="J269" s="1449"/>
      <c r="K269" s="1449"/>
      <c r="L269" s="1449"/>
      <c r="M269" s="1449"/>
      <c r="N269" s="1449"/>
      <c r="O269" s="1449"/>
      <c r="P269" s="1449"/>
      <c r="Q269" s="1449"/>
      <c r="R269" s="1454"/>
      <c r="S269" s="1454"/>
      <c r="T269" s="1449"/>
      <c r="U269" s="1449"/>
      <c r="V269" s="1454"/>
      <c r="W269" s="1454"/>
      <c r="X269" s="1449"/>
      <c r="Y269" s="1449"/>
      <c r="Z269" s="1460"/>
      <c r="AA269" s="1460"/>
      <c r="AB269" s="1460">
        <v>0</v>
      </c>
      <c r="AC269" s="1460">
        <v>0</v>
      </c>
      <c r="AD269" s="1460"/>
      <c r="AE269" s="1460"/>
      <c r="AF269" s="1383">
        <f t="shared" si="257"/>
        <v>0</v>
      </c>
      <c r="AG269" s="1383">
        <f t="shared" si="258"/>
        <v>0</v>
      </c>
      <c r="AH269" s="1383">
        <f t="shared" si="268"/>
        <v>0</v>
      </c>
      <c r="AI269" s="1383"/>
      <c r="AJ269" s="1383"/>
      <c r="AK269" s="1383"/>
      <c r="AL269" s="1383"/>
      <c r="AM269" s="1383"/>
      <c r="AN269" s="1450"/>
      <c r="AO269" s="1450"/>
      <c r="AP269" s="1431">
        <f t="shared" si="235"/>
        <v>0</v>
      </c>
      <c r="AQ269" s="1431">
        <f t="shared" si="313"/>
        <v>0</v>
      </c>
      <c r="AR269" s="1434"/>
      <c r="AS269" s="1434"/>
      <c r="AW269" s="1427">
        <f t="shared" si="271"/>
        <v>0</v>
      </c>
      <c r="AY269" s="1427">
        <f t="shared" si="317"/>
        <v>0</v>
      </c>
      <c r="BA269" s="1427">
        <f t="shared" si="318"/>
        <v>0</v>
      </c>
      <c r="BC269" s="1427">
        <f t="shared" si="309"/>
        <v>0</v>
      </c>
      <c r="BD269" s="1436">
        <f t="shared" si="283"/>
        <v>1</v>
      </c>
    </row>
    <row r="270" spans="1:56" ht="122.25" customHeight="1" x14ac:dyDescent="0.3">
      <c r="A270" s="1847" t="s">
        <v>2990</v>
      </c>
      <c r="B270" s="1457"/>
      <c r="C270" s="1458" t="s">
        <v>584</v>
      </c>
      <c r="D270" s="1388" t="s">
        <v>99</v>
      </c>
      <c r="E270" s="1388" t="s">
        <v>585</v>
      </c>
      <c r="F270" s="1388" t="s">
        <v>77</v>
      </c>
      <c r="G270" s="1388" t="s">
        <v>586</v>
      </c>
      <c r="H270" s="1459">
        <v>79292</v>
      </c>
      <c r="I270" s="1476">
        <v>74560</v>
      </c>
      <c r="J270" s="1460">
        <f>K270</f>
        <v>445</v>
      </c>
      <c r="K270" s="1459">
        <v>445</v>
      </c>
      <c r="L270" s="1460">
        <f>J270</f>
        <v>445</v>
      </c>
      <c r="M270" s="1460">
        <f>K270</f>
        <v>445</v>
      </c>
      <c r="N270" s="1463">
        <f>O270</f>
        <v>57560</v>
      </c>
      <c r="O270" s="1460">
        <v>57560</v>
      </c>
      <c r="P270" s="1463">
        <f>Q270</f>
        <v>71560</v>
      </c>
      <c r="Q270" s="1460">
        <f>O270+14000</f>
        <v>71560</v>
      </c>
      <c r="R270" s="1454">
        <f>T270-O270</f>
        <v>17000</v>
      </c>
      <c r="S270" s="1454"/>
      <c r="T270" s="1463">
        <f>U270</f>
        <v>74560</v>
      </c>
      <c r="U270" s="1460">
        <f>Q270+3000</f>
        <v>74560</v>
      </c>
      <c r="V270" s="1454"/>
      <c r="W270" s="1454"/>
      <c r="X270" s="1463">
        <f>Y270</f>
        <v>74560</v>
      </c>
      <c r="Y270" s="1460">
        <f>U270</f>
        <v>74560</v>
      </c>
      <c r="Z270" s="1460">
        <v>0</v>
      </c>
      <c r="AA270" s="1460">
        <v>0</v>
      </c>
      <c r="AB270" s="1460">
        <v>74560</v>
      </c>
      <c r="AC270" s="1460">
        <v>74560</v>
      </c>
      <c r="AD270" s="1460"/>
      <c r="AE270" s="1460"/>
      <c r="AF270" s="1383">
        <f t="shared" si="257"/>
        <v>74560</v>
      </c>
      <c r="AG270" s="1383">
        <f t="shared" si="258"/>
        <v>74560</v>
      </c>
      <c r="AH270" s="1383">
        <f t="shared" si="268"/>
        <v>84420</v>
      </c>
      <c r="AI270" s="1383">
        <v>45000</v>
      </c>
      <c r="AJ270" s="1383">
        <v>22300</v>
      </c>
      <c r="AK270" s="1383">
        <v>17120</v>
      </c>
      <c r="AL270" s="1383"/>
      <c r="AM270" s="1383"/>
      <c r="AN270" s="1381"/>
      <c r="AO270" s="1381"/>
      <c r="AP270" s="1431">
        <f t="shared" si="235"/>
        <v>0</v>
      </c>
      <c r="AQ270" s="1431">
        <f t="shared" si="313"/>
        <v>1</v>
      </c>
      <c r="AR270" s="1434">
        <f t="shared" si="247"/>
        <v>0</v>
      </c>
      <c r="AS270" s="1434"/>
      <c r="AT270" s="1427">
        <f>IF(AP270=0,1,0)</f>
        <v>1</v>
      </c>
      <c r="AV270" s="1427">
        <f>IF(Q270=0,1,0)</f>
        <v>0</v>
      </c>
      <c r="AW270" s="1427">
        <f t="shared" si="271"/>
        <v>0</v>
      </c>
      <c r="AX270" s="1427">
        <f>IF(O270=0,1,0)</f>
        <v>0</v>
      </c>
      <c r="AY270" s="1427">
        <f t="shared" si="317"/>
        <v>0</v>
      </c>
      <c r="AZ270" s="1427">
        <f>IF(R270=0,0,1)</f>
        <v>1</v>
      </c>
      <c r="BA270" s="1427">
        <f t="shared" si="318"/>
        <v>17000</v>
      </c>
      <c r="BB270" s="1427">
        <f>IF(S270=0,0,1)</f>
        <v>0</v>
      </c>
      <c r="BC270" s="1427">
        <f t="shared" si="309"/>
        <v>0</v>
      </c>
      <c r="BD270" s="1436">
        <f t="shared" si="283"/>
        <v>1</v>
      </c>
    </row>
    <row r="271" spans="1:56" ht="99" customHeight="1" x14ac:dyDescent="0.3">
      <c r="A271" s="1847" t="s">
        <v>2991</v>
      </c>
      <c r="B271" s="1457"/>
      <c r="C271" s="1442" t="s">
        <v>588</v>
      </c>
      <c r="D271" s="1388" t="s">
        <v>52</v>
      </c>
      <c r="E271" s="1388" t="s">
        <v>589</v>
      </c>
      <c r="F271" s="1388" t="s">
        <v>199</v>
      </c>
      <c r="G271" s="1388" t="s">
        <v>590</v>
      </c>
      <c r="H271" s="1463">
        <v>18874</v>
      </c>
      <c r="I271" s="1476">
        <v>15369</v>
      </c>
      <c r="J271" s="1460">
        <f>K271</f>
        <v>7000</v>
      </c>
      <c r="K271" s="1459">
        <v>7000</v>
      </c>
      <c r="L271" s="1460">
        <f>J271</f>
        <v>7000</v>
      </c>
      <c r="M271" s="1460">
        <f>K271</f>
        <v>7000</v>
      </c>
      <c r="N271" s="1463">
        <f>O271</f>
        <v>8370</v>
      </c>
      <c r="O271" s="1460">
        <v>8370</v>
      </c>
      <c r="P271" s="1463">
        <f>Q271</f>
        <v>8370</v>
      </c>
      <c r="Q271" s="1460">
        <v>8370</v>
      </c>
      <c r="R271" s="1454"/>
      <c r="S271" s="1454"/>
      <c r="T271" s="1463">
        <f>U271</f>
        <v>8370</v>
      </c>
      <c r="U271" s="1460">
        <v>8370</v>
      </c>
      <c r="V271" s="1454"/>
      <c r="W271" s="1454"/>
      <c r="X271" s="1463">
        <f>Y271</f>
        <v>8370</v>
      </c>
      <c r="Y271" s="1460">
        <v>8370</v>
      </c>
      <c r="Z271" s="1460">
        <v>0</v>
      </c>
      <c r="AA271" s="1460">
        <v>0</v>
      </c>
      <c r="AB271" s="1460">
        <v>8370</v>
      </c>
      <c r="AC271" s="1460">
        <v>8370</v>
      </c>
      <c r="AD271" s="1460"/>
      <c r="AE271" s="1460"/>
      <c r="AF271" s="1383">
        <f t="shared" si="257"/>
        <v>8370</v>
      </c>
      <c r="AG271" s="1383">
        <f t="shared" si="258"/>
        <v>8370</v>
      </c>
      <c r="AH271" s="1383">
        <f t="shared" si="268"/>
        <v>6000</v>
      </c>
      <c r="AI271" s="1383">
        <v>6000</v>
      </c>
      <c r="AJ271" s="1383"/>
      <c r="AK271" s="1383"/>
      <c r="AL271" s="1383"/>
      <c r="AM271" s="1383"/>
      <c r="AN271" s="1464"/>
      <c r="AO271" s="1464"/>
      <c r="AP271" s="1431">
        <f t="shared" si="235"/>
        <v>0</v>
      </c>
      <c r="AQ271" s="1431">
        <f t="shared" si="313"/>
        <v>1</v>
      </c>
      <c r="AR271" s="1434">
        <f t="shared" si="247"/>
        <v>0</v>
      </c>
      <c r="AS271" s="1434"/>
      <c r="AT271" s="1427">
        <f>IF(AP271=0,1,0)</f>
        <v>1</v>
      </c>
      <c r="AV271" s="1427">
        <f>IF(Q271=0,1,0)</f>
        <v>0</v>
      </c>
      <c r="AW271" s="1427">
        <f t="shared" si="271"/>
        <v>0</v>
      </c>
      <c r="AX271" s="1427">
        <f>IF(O271=0,1,0)</f>
        <v>0</v>
      </c>
      <c r="AY271" s="1427">
        <f t="shared" si="317"/>
        <v>0</v>
      </c>
      <c r="AZ271" s="1427">
        <f>IF(R271=0,0,1)</f>
        <v>0</v>
      </c>
      <c r="BA271" s="1427">
        <f t="shared" si="318"/>
        <v>0</v>
      </c>
      <c r="BB271" s="1427">
        <f>IF(S271=0,0,1)</f>
        <v>0</v>
      </c>
      <c r="BC271" s="1427">
        <f t="shared" si="309"/>
        <v>0</v>
      </c>
      <c r="BD271" s="1436">
        <f t="shared" si="283"/>
        <v>1</v>
      </c>
    </row>
    <row r="272" spans="1:56" ht="58.5" x14ac:dyDescent="0.3">
      <c r="A272" s="1827" t="s">
        <v>2992</v>
      </c>
      <c r="B272" s="1827" t="s">
        <v>2992</v>
      </c>
      <c r="C272" s="1446" t="s">
        <v>86</v>
      </c>
      <c r="D272" s="1447"/>
      <c r="E272" s="1447"/>
      <c r="F272" s="1448"/>
      <c r="G272" s="1448"/>
      <c r="H272" s="1449">
        <f>H273+H299</f>
        <v>615493</v>
      </c>
      <c r="I272" s="1449">
        <f t="shared" ref="I272:U272" si="319">I273+I299</f>
        <v>370052</v>
      </c>
      <c r="J272" s="1449">
        <f t="shared" si="319"/>
        <v>0</v>
      </c>
      <c r="K272" s="1449">
        <f t="shared" si="319"/>
        <v>0</v>
      </c>
      <c r="L272" s="1449">
        <f t="shared" si="319"/>
        <v>0</v>
      </c>
      <c r="M272" s="1449">
        <f t="shared" si="319"/>
        <v>0</v>
      </c>
      <c r="N272" s="1449">
        <f t="shared" si="319"/>
        <v>248070</v>
      </c>
      <c r="O272" s="1449">
        <f t="shared" si="319"/>
        <v>229070</v>
      </c>
      <c r="P272" s="1449">
        <f t="shared" si="319"/>
        <v>258270</v>
      </c>
      <c r="Q272" s="1449">
        <f t="shared" si="319"/>
        <v>207270</v>
      </c>
      <c r="R272" s="1449">
        <f t="shared" si="319"/>
        <v>9300</v>
      </c>
      <c r="S272" s="1449">
        <f t="shared" si="319"/>
        <v>53930</v>
      </c>
      <c r="T272" s="1449">
        <f t="shared" si="319"/>
        <v>198440</v>
      </c>
      <c r="U272" s="1449">
        <f t="shared" si="319"/>
        <v>179440</v>
      </c>
      <c r="V272" s="1449">
        <f t="shared" ref="V272:Y272" si="320">V273+V299</f>
        <v>38000</v>
      </c>
      <c r="W272" s="1449">
        <f t="shared" si="320"/>
        <v>1000</v>
      </c>
      <c r="X272" s="1449">
        <f t="shared" si="320"/>
        <v>242440</v>
      </c>
      <c r="Y272" s="1449">
        <f t="shared" si="320"/>
        <v>223440</v>
      </c>
      <c r="Z272" s="1449">
        <v>0</v>
      </c>
      <c r="AA272" s="1449">
        <v>0</v>
      </c>
      <c r="AB272" s="1449">
        <v>211214</v>
      </c>
      <c r="AC272" s="1449">
        <v>192214</v>
      </c>
      <c r="AD272" s="1449">
        <f t="shared" ref="AD272:AM272" si="321">AD273+AD299</f>
        <v>0</v>
      </c>
      <c r="AE272" s="1526">
        <f t="shared" si="321"/>
        <v>0</v>
      </c>
      <c r="AF272" s="1449">
        <f t="shared" si="321"/>
        <v>211214</v>
      </c>
      <c r="AG272" s="1449">
        <f t="shared" si="321"/>
        <v>192214</v>
      </c>
      <c r="AH272" s="1449">
        <f t="shared" si="321"/>
        <v>175936</v>
      </c>
      <c r="AI272" s="1449">
        <f t="shared" si="321"/>
        <v>35425</v>
      </c>
      <c r="AJ272" s="1449">
        <f t="shared" si="321"/>
        <v>7113</v>
      </c>
      <c r="AK272" s="1449">
        <f t="shared" si="321"/>
        <v>12288</v>
      </c>
      <c r="AL272" s="1449">
        <f t="shared" si="321"/>
        <v>46310</v>
      </c>
      <c r="AM272" s="1449">
        <f t="shared" si="321"/>
        <v>74800</v>
      </c>
      <c r="AN272" s="1449"/>
      <c r="AO272" s="1449"/>
      <c r="AP272" s="1431">
        <f t="shared" si="235"/>
        <v>0</v>
      </c>
      <c r="AQ272" s="1431">
        <f t="shared" si="313"/>
        <v>1</v>
      </c>
      <c r="AR272" s="1331"/>
      <c r="AS272" s="1436"/>
      <c r="AT272" s="1436"/>
      <c r="AU272" s="1331"/>
      <c r="AV272" s="1331"/>
      <c r="AW272" s="1331">
        <f t="shared" si="271"/>
        <v>0</v>
      </c>
      <c r="AX272" s="1331"/>
      <c r="AY272" s="1331">
        <f t="shared" si="317"/>
        <v>0</v>
      </c>
      <c r="AZ272" s="1331"/>
      <c r="BA272" s="1331">
        <f t="shared" si="318"/>
        <v>0</v>
      </c>
      <c r="BB272" s="1331"/>
      <c r="BC272" s="1331">
        <f t="shared" si="309"/>
        <v>0</v>
      </c>
      <c r="BD272" s="1436">
        <f t="shared" si="283"/>
        <v>1</v>
      </c>
    </row>
    <row r="273" spans="1:56" ht="68.25" customHeight="1" x14ac:dyDescent="0.3">
      <c r="A273" s="1827" t="s">
        <v>2993</v>
      </c>
      <c r="B273" s="1827" t="s">
        <v>2993</v>
      </c>
      <c r="C273" s="1446" t="s">
        <v>88</v>
      </c>
      <c r="D273" s="1448"/>
      <c r="E273" s="1448"/>
      <c r="F273" s="1448"/>
      <c r="G273" s="1448"/>
      <c r="H273" s="1449">
        <f>SUM(H274:H298)</f>
        <v>357651</v>
      </c>
      <c r="I273" s="1449">
        <f t="shared" ref="I273:Y273" si="322">SUM(I274:I298)</f>
        <v>201472</v>
      </c>
      <c r="J273" s="1449">
        <f t="shared" si="322"/>
        <v>0</v>
      </c>
      <c r="K273" s="1449">
        <f t="shared" si="322"/>
        <v>0</v>
      </c>
      <c r="L273" s="1449">
        <f t="shared" si="322"/>
        <v>0</v>
      </c>
      <c r="M273" s="1449">
        <f t="shared" si="322"/>
        <v>0</v>
      </c>
      <c r="N273" s="1449">
        <f t="shared" si="322"/>
        <v>188070</v>
      </c>
      <c r="O273" s="1449">
        <f t="shared" si="322"/>
        <v>169070</v>
      </c>
      <c r="P273" s="1449">
        <f t="shared" si="322"/>
        <v>198270</v>
      </c>
      <c r="Q273" s="1449">
        <f t="shared" si="322"/>
        <v>147270</v>
      </c>
      <c r="R273" s="1449">
        <f t="shared" si="322"/>
        <v>9300</v>
      </c>
      <c r="S273" s="1449">
        <f t="shared" si="322"/>
        <v>49930</v>
      </c>
      <c r="T273" s="1449">
        <f t="shared" si="322"/>
        <v>147440</v>
      </c>
      <c r="U273" s="1449">
        <f t="shared" si="322"/>
        <v>128440</v>
      </c>
      <c r="V273" s="1449"/>
      <c r="W273" s="1449">
        <f t="shared" si="322"/>
        <v>1000</v>
      </c>
      <c r="X273" s="1449">
        <f t="shared" si="322"/>
        <v>153440</v>
      </c>
      <c r="Y273" s="1449">
        <f t="shared" si="322"/>
        <v>134440</v>
      </c>
      <c r="Z273" s="1460"/>
      <c r="AA273" s="1460"/>
      <c r="AB273" s="1449">
        <v>138364</v>
      </c>
      <c r="AC273" s="1449">
        <v>119364</v>
      </c>
      <c r="AD273" s="1449">
        <f t="shared" ref="AD273:AM273" si="323">SUM(AD274:AD298)</f>
        <v>0</v>
      </c>
      <c r="AE273" s="1526">
        <f t="shared" si="323"/>
        <v>0</v>
      </c>
      <c r="AF273" s="1449">
        <f t="shared" si="323"/>
        <v>138364</v>
      </c>
      <c r="AG273" s="1449">
        <f t="shared" si="323"/>
        <v>119364</v>
      </c>
      <c r="AH273" s="1449">
        <f t="shared" si="323"/>
        <v>109216</v>
      </c>
      <c r="AI273" s="1449">
        <f t="shared" si="323"/>
        <v>35425</v>
      </c>
      <c r="AJ273" s="1449">
        <f t="shared" si="323"/>
        <v>7113</v>
      </c>
      <c r="AK273" s="1449">
        <f t="shared" si="323"/>
        <v>12288</v>
      </c>
      <c r="AL273" s="1449">
        <f t="shared" si="323"/>
        <v>23490</v>
      </c>
      <c r="AM273" s="1449">
        <f t="shared" si="323"/>
        <v>30900</v>
      </c>
      <c r="AN273" s="1466"/>
      <c r="AO273" s="1466"/>
      <c r="AP273" s="1431">
        <f t="shared" ref="AP273:AP336" si="324">IF(AG273-AC273=0,0,1)</f>
        <v>0</v>
      </c>
      <c r="AQ273" s="1431">
        <f t="shared" si="313"/>
        <v>1</v>
      </c>
      <c r="AR273" s="1434"/>
      <c r="AS273" s="1434"/>
      <c r="AW273" s="1427">
        <f t="shared" si="271"/>
        <v>0</v>
      </c>
      <c r="AY273" s="1427">
        <f t="shared" si="317"/>
        <v>0</v>
      </c>
      <c r="BA273" s="1427">
        <f t="shared" si="318"/>
        <v>0</v>
      </c>
      <c r="BC273" s="1427">
        <f t="shared" si="309"/>
        <v>0</v>
      </c>
      <c r="BD273" s="1436">
        <f t="shared" si="283"/>
        <v>1</v>
      </c>
    </row>
    <row r="274" spans="1:56" ht="58.5" customHeight="1" x14ac:dyDescent="0.3">
      <c r="A274" s="1847" t="s">
        <v>2994</v>
      </c>
      <c r="B274" s="1847" t="s">
        <v>2994</v>
      </c>
      <c r="C274" s="1458" t="s">
        <v>591</v>
      </c>
      <c r="D274" s="1388" t="s">
        <v>592</v>
      </c>
      <c r="E274" s="1388" t="s">
        <v>593</v>
      </c>
      <c r="F274" s="1388" t="s">
        <v>199</v>
      </c>
      <c r="G274" s="1388" t="s">
        <v>594</v>
      </c>
      <c r="H274" s="1459">
        <v>29922</v>
      </c>
      <c r="I274" s="1476">
        <f>H274</f>
        <v>29922</v>
      </c>
      <c r="J274" s="1460"/>
      <c r="K274" s="1460"/>
      <c r="L274" s="1460"/>
      <c r="M274" s="1460"/>
      <c r="N274" s="1463">
        <f t="shared" ref="N274:N311" si="325">O274</f>
        <v>26280</v>
      </c>
      <c r="O274" s="1460">
        <v>26280</v>
      </c>
      <c r="P274" s="1463">
        <f t="shared" ref="P274:P285" si="326">Q274</f>
        <v>26280</v>
      </c>
      <c r="Q274" s="1460">
        <v>26280</v>
      </c>
      <c r="R274" s="1454"/>
      <c r="S274" s="1454"/>
      <c r="T274" s="1463">
        <f t="shared" ref="T274:T281" si="327">U274</f>
        <v>26280</v>
      </c>
      <c r="U274" s="1460">
        <v>26280</v>
      </c>
      <c r="V274" s="1454"/>
      <c r="W274" s="1454"/>
      <c r="X274" s="1463">
        <f t="shared" ref="X274:X281" si="328">Y274</f>
        <v>26280</v>
      </c>
      <c r="Y274" s="1460">
        <v>26280</v>
      </c>
      <c r="Z274" s="1460">
        <v>0</v>
      </c>
      <c r="AA274" s="1460">
        <v>0</v>
      </c>
      <c r="AB274" s="1460">
        <v>18332</v>
      </c>
      <c r="AC274" s="1460">
        <v>18332</v>
      </c>
      <c r="AD274" s="1460"/>
      <c r="AE274" s="1525"/>
      <c r="AF274" s="1383">
        <f t="shared" si="257"/>
        <v>18332</v>
      </c>
      <c r="AG274" s="1383">
        <f t="shared" si="258"/>
        <v>18332</v>
      </c>
      <c r="AH274" s="1383">
        <f t="shared" si="268"/>
        <v>17000</v>
      </c>
      <c r="AI274" s="1383">
        <v>17000</v>
      </c>
      <c r="AJ274" s="1383"/>
      <c r="AK274" s="1383"/>
      <c r="AL274" s="1383"/>
      <c r="AM274" s="1383"/>
      <c r="AN274" s="1464"/>
      <c r="AO274" s="1464"/>
      <c r="AP274" s="1431">
        <f t="shared" si="324"/>
        <v>0</v>
      </c>
      <c r="AQ274" s="1431">
        <f t="shared" si="313"/>
        <v>1</v>
      </c>
      <c r="AR274" s="1434">
        <f t="shared" ref="AR274:AR339" si="329">AP274</f>
        <v>0</v>
      </c>
      <c r="AS274" s="1434"/>
      <c r="AT274" s="1427">
        <f t="shared" ref="AT274:AT297" si="330">IF(AP274=0,1,0)</f>
        <v>1</v>
      </c>
      <c r="AV274" s="1427">
        <f t="shared" ref="AV274:AV280" si="331">IF(Q274=0,1,0)</f>
        <v>0</v>
      </c>
      <c r="AW274" s="1427">
        <f t="shared" si="271"/>
        <v>0</v>
      </c>
      <c r="AX274" s="1427">
        <f t="shared" ref="AX274:AX298" si="332">IF(O274=0,1,0)</f>
        <v>0</v>
      </c>
      <c r="AY274" s="1427">
        <f t="shared" si="317"/>
        <v>0</v>
      </c>
      <c r="AZ274" s="1427">
        <f t="shared" ref="AZ274:AZ294" si="333">IF(R274=0,0,1)</f>
        <v>0</v>
      </c>
      <c r="BA274" s="1427">
        <f t="shared" si="318"/>
        <v>0</v>
      </c>
      <c r="BB274" s="1427">
        <f t="shared" ref="BB274:BB280" si="334">IF(S274=0,0,1)</f>
        <v>0</v>
      </c>
      <c r="BC274" s="1427">
        <f t="shared" si="309"/>
        <v>0</v>
      </c>
      <c r="BD274" s="1436">
        <f t="shared" si="283"/>
        <v>1</v>
      </c>
    </row>
    <row r="275" spans="1:56" ht="62.25" customHeight="1" x14ac:dyDescent="0.3">
      <c r="A275" s="1847" t="s">
        <v>2995</v>
      </c>
      <c r="B275" s="1457"/>
      <c r="C275" s="1458" t="s">
        <v>595</v>
      </c>
      <c r="D275" s="1388" t="s">
        <v>592</v>
      </c>
      <c r="E275" s="1388" t="s">
        <v>596</v>
      </c>
      <c r="F275" s="1388" t="s">
        <v>199</v>
      </c>
      <c r="G275" s="1388" t="s">
        <v>597</v>
      </c>
      <c r="H275" s="1459">
        <v>10149</v>
      </c>
      <c r="I275" s="1476">
        <f>H275</f>
        <v>10149</v>
      </c>
      <c r="J275" s="1460"/>
      <c r="K275" s="1460"/>
      <c r="L275" s="1460"/>
      <c r="M275" s="1460"/>
      <c r="N275" s="1463">
        <f t="shared" si="325"/>
        <v>9200</v>
      </c>
      <c r="O275" s="1460">
        <v>9200</v>
      </c>
      <c r="P275" s="1463">
        <f t="shared" si="326"/>
        <v>9200</v>
      </c>
      <c r="Q275" s="1460">
        <v>9200</v>
      </c>
      <c r="R275" s="1454"/>
      <c r="S275" s="1454"/>
      <c r="T275" s="1463">
        <f t="shared" si="327"/>
        <v>9200</v>
      </c>
      <c r="U275" s="1460">
        <v>9200</v>
      </c>
      <c r="V275" s="1454"/>
      <c r="W275" s="1454"/>
      <c r="X275" s="1463">
        <f t="shared" si="328"/>
        <v>9200</v>
      </c>
      <c r="Y275" s="1460">
        <v>9200</v>
      </c>
      <c r="Z275" s="1460">
        <v>0</v>
      </c>
      <c r="AA275" s="1460">
        <v>0</v>
      </c>
      <c r="AB275" s="1460">
        <v>9200</v>
      </c>
      <c r="AC275" s="1460">
        <v>9200</v>
      </c>
      <c r="AD275" s="1460"/>
      <c r="AE275" s="1460"/>
      <c r="AF275" s="1460">
        <f t="shared" ref="AF275" si="335">AB275</f>
        <v>9200</v>
      </c>
      <c r="AG275" s="1460">
        <f t="shared" ref="AG275" si="336">AC275</f>
        <v>9200</v>
      </c>
      <c r="AH275" s="1383">
        <f t="shared" si="268"/>
        <v>9100</v>
      </c>
      <c r="AI275" s="1383">
        <v>9100</v>
      </c>
      <c r="AJ275" s="1383"/>
      <c r="AK275" s="1383"/>
      <c r="AL275" s="1383"/>
      <c r="AM275" s="1383"/>
      <c r="AN275" s="1464"/>
      <c r="AO275" s="1464"/>
      <c r="AP275" s="1431">
        <f t="shared" si="324"/>
        <v>0</v>
      </c>
      <c r="AQ275" s="1431">
        <f t="shared" si="313"/>
        <v>1</v>
      </c>
      <c r="AR275" s="1434">
        <f t="shared" si="329"/>
        <v>0</v>
      </c>
      <c r="AS275" s="1434"/>
      <c r="AT275" s="1427">
        <f t="shared" si="330"/>
        <v>1</v>
      </c>
      <c r="AV275" s="1427">
        <f t="shared" si="331"/>
        <v>0</v>
      </c>
      <c r="AW275" s="1427">
        <f t="shared" si="271"/>
        <v>0</v>
      </c>
      <c r="AX275" s="1427">
        <f t="shared" si="332"/>
        <v>0</v>
      </c>
      <c r="AY275" s="1427">
        <f t="shared" si="317"/>
        <v>0</v>
      </c>
      <c r="AZ275" s="1427">
        <f t="shared" si="333"/>
        <v>0</v>
      </c>
      <c r="BA275" s="1427">
        <f t="shared" si="318"/>
        <v>0</v>
      </c>
      <c r="BB275" s="1427">
        <f t="shared" si="334"/>
        <v>0</v>
      </c>
      <c r="BC275" s="1427">
        <f t="shared" si="309"/>
        <v>0</v>
      </c>
      <c r="BD275" s="1436">
        <f t="shared" si="283"/>
        <v>1</v>
      </c>
    </row>
    <row r="276" spans="1:56" ht="139.5" customHeight="1" x14ac:dyDescent="0.3">
      <c r="A276" s="1847" t="s">
        <v>2996</v>
      </c>
      <c r="B276" s="1457"/>
      <c r="C276" s="1458" t="s">
        <v>598</v>
      </c>
      <c r="D276" s="1388" t="s">
        <v>599</v>
      </c>
      <c r="E276" s="1388" t="s">
        <v>600</v>
      </c>
      <c r="F276" s="1388" t="s">
        <v>60</v>
      </c>
      <c r="G276" s="1388" t="s">
        <v>601</v>
      </c>
      <c r="H276" s="1459">
        <v>118011</v>
      </c>
      <c r="I276" s="1459">
        <v>12832</v>
      </c>
      <c r="J276" s="1460"/>
      <c r="K276" s="1460"/>
      <c r="L276" s="1460"/>
      <c r="M276" s="1460"/>
      <c r="N276" s="1463">
        <f t="shared" si="325"/>
        <v>12830</v>
      </c>
      <c r="O276" s="1460">
        <v>12830</v>
      </c>
      <c r="P276" s="1463">
        <f t="shared" si="326"/>
        <v>12830</v>
      </c>
      <c r="Q276" s="1460">
        <v>12830</v>
      </c>
      <c r="R276" s="1454"/>
      <c r="S276" s="1454">
        <f>O276-U276</f>
        <v>10830</v>
      </c>
      <c r="T276" s="1463">
        <f t="shared" si="327"/>
        <v>2000</v>
      </c>
      <c r="U276" s="1460">
        <v>2000</v>
      </c>
      <c r="V276" s="1454"/>
      <c r="W276" s="1454">
        <v>1000</v>
      </c>
      <c r="X276" s="1463">
        <f t="shared" si="328"/>
        <v>1000</v>
      </c>
      <c r="Y276" s="1460">
        <f>U276-W276</f>
        <v>1000</v>
      </c>
      <c r="Z276" s="1460">
        <v>0</v>
      </c>
      <c r="AA276" s="1460">
        <v>0</v>
      </c>
      <c r="AB276" s="1460">
        <v>1000</v>
      </c>
      <c r="AC276" s="1460">
        <v>1000</v>
      </c>
      <c r="AD276" s="1460"/>
      <c r="AE276" s="1460"/>
      <c r="AF276" s="1383">
        <f t="shared" si="257"/>
        <v>1000</v>
      </c>
      <c r="AG276" s="1383">
        <f t="shared" si="258"/>
        <v>1000</v>
      </c>
      <c r="AH276" s="1383">
        <f t="shared" si="268"/>
        <v>2467</v>
      </c>
      <c r="AI276" s="1383">
        <v>305</v>
      </c>
      <c r="AJ276" s="1383">
        <v>1114</v>
      </c>
      <c r="AK276" s="1383">
        <v>1048</v>
      </c>
      <c r="AL276" s="1383"/>
      <c r="AM276" s="1383"/>
      <c r="AN276" s="1381"/>
      <c r="AO276" s="1381"/>
      <c r="AP276" s="1431">
        <f t="shared" si="324"/>
        <v>0</v>
      </c>
      <c r="AQ276" s="1431">
        <f t="shared" si="313"/>
        <v>1</v>
      </c>
      <c r="AR276" s="1434">
        <f t="shared" si="329"/>
        <v>0</v>
      </c>
      <c r="AS276" s="1434"/>
      <c r="AT276" s="1427">
        <f t="shared" si="330"/>
        <v>1</v>
      </c>
      <c r="AV276" s="1427">
        <f t="shared" si="331"/>
        <v>0</v>
      </c>
      <c r="AW276" s="1427">
        <f t="shared" si="271"/>
        <v>0</v>
      </c>
      <c r="AX276" s="1427">
        <f t="shared" si="332"/>
        <v>0</v>
      </c>
      <c r="AY276" s="1427">
        <f t="shared" si="317"/>
        <v>0</v>
      </c>
      <c r="AZ276" s="1427">
        <f t="shared" si="333"/>
        <v>0</v>
      </c>
      <c r="BA276" s="1427">
        <f t="shared" si="318"/>
        <v>0</v>
      </c>
      <c r="BB276" s="1427">
        <f t="shared" si="334"/>
        <v>1</v>
      </c>
      <c r="BC276" s="1427">
        <f t="shared" si="309"/>
        <v>10830</v>
      </c>
      <c r="BD276" s="1436">
        <f t="shared" si="283"/>
        <v>1</v>
      </c>
    </row>
    <row r="277" spans="1:56" ht="60.75" customHeight="1" x14ac:dyDescent="0.3">
      <c r="A277" s="1847" t="s">
        <v>2997</v>
      </c>
      <c r="B277" s="1457"/>
      <c r="C277" s="1442" t="s">
        <v>602</v>
      </c>
      <c r="D277" s="1388" t="s">
        <v>52</v>
      </c>
      <c r="E277" s="1388" t="s">
        <v>603</v>
      </c>
      <c r="F277" s="1388">
        <v>2016</v>
      </c>
      <c r="G277" s="1388" t="s">
        <v>604</v>
      </c>
      <c r="H277" s="1460">
        <v>402</v>
      </c>
      <c r="I277" s="1476">
        <f t="shared" ref="I277:I282" si="337">H277</f>
        <v>402</v>
      </c>
      <c r="J277" s="1460"/>
      <c r="K277" s="1460"/>
      <c r="L277" s="1460"/>
      <c r="M277" s="1460"/>
      <c r="N277" s="1463">
        <f t="shared" si="325"/>
        <v>320</v>
      </c>
      <c r="O277" s="1460">
        <v>320</v>
      </c>
      <c r="P277" s="1463">
        <f t="shared" si="326"/>
        <v>320</v>
      </c>
      <c r="Q277" s="1460">
        <v>320</v>
      </c>
      <c r="R277" s="1454"/>
      <c r="S277" s="1454"/>
      <c r="T277" s="1463">
        <f t="shared" si="327"/>
        <v>320</v>
      </c>
      <c r="U277" s="1460">
        <v>320</v>
      </c>
      <c r="V277" s="1454"/>
      <c r="W277" s="1454"/>
      <c r="X277" s="1463">
        <f t="shared" si="328"/>
        <v>320</v>
      </c>
      <c r="Y277" s="1460">
        <v>320</v>
      </c>
      <c r="Z277" s="1460">
        <v>0</v>
      </c>
      <c r="AA277" s="1460">
        <v>0</v>
      </c>
      <c r="AB277" s="1460">
        <v>320</v>
      </c>
      <c r="AC277" s="1460">
        <v>320</v>
      </c>
      <c r="AD277" s="1460"/>
      <c r="AE277" s="1460"/>
      <c r="AF277" s="1383">
        <f t="shared" si="257"/>
        <v>320</v>
      </c>
      <c r="AG277" s="1383">
        <f t="shared" si="258"/>
        <v>320</v>
      </c>
      <c r="AH277" s="1383">
        <f t="shared" si="268"/>
        <v>350</v>
      </c>
      <c r="AI277" s="1383">
        <v>350</v>
      </c>
      <c r="AJ277" s="1383"/>
      <c r="AK277" s="1383"/>
      <c r="AL277" s="1383"/>
      <c r="AM277" s="1383"/>
      <c r="AN277" s="1464"/>
      <c r="AO277" s="1464">
        <v>51</v>
      </c>
      <c r="AP277" s="1431">
        <f t="shared" si="324"/>
        <v>0</v>
      </c>
      <c r="AQ277" s="1431">
        <f t="shared" si="313"/>
        <v>1</v>
      </c>
      <c r="AR277" s="1434">
        <f t="shared" si="329"/>
        <v>0</v>
      </c>
      <c r="AS277" s="1434"/>
      <c r="AT277" s="1427">
        <f t="shared" si="330"/>
        <v>1</v>
      </c>
      <c r="AV277" s="1427">
        <f t="shared" si="331"/>
        <v>0</v>
      </c>
      <c r="AW277" s="1427">
        <f t="shared" si="271"/>
        <v>0</v>
      </c>
      <c r="AX277" s="1427">
        <f t="shared" si="332"/>
        <v>0</v>
      </c>
      <c r="AY277" s="1427">
        <f t="shared" si="317"/>
        <v>0</v>
      </c>
      <c r="AZ277" s="1427">
        <f t="shared" si="333"/>
        <v>0</v>
      </c>
      <c r="BA277" s="1427">
        <f t="shared" si="318"/>
        <v>0</v>
      </c>
      <c r="BB277" s="1427">
        <f t="shared" si="334"/>
        <v>0</v>
      </c>
      <c r="BC277" s="1427">
        <f t="shared" si="309"/>
        <v>0</v>
      </c>
      <c r="BD277" s="1436">
        <f t="shared" si="283"/>
        <v>1</v>
      </c>
    </row>
    <row r="278" spans="1:56" ht="77.25" customHeight="1" x14ac:dyDescent="0.3">
      <c r="A278" s="1847" t="s">
        <v>2998</v>
      </c>
      <c r="B278" s="1457"/>
      <c r="C278" s="1458" t="s">
        <v>605</v>
      </c>
      <c r="D278" s="1388" t="s">
        <v>52</v>
      </c>
      <c r="E278" s="1388" t="s">
        <v>606</v>
      </c>
      <c r="F278" s="1388">
        <v>2016</v>
      </c>
      <c r="G278" s="1388" t="s">
        <v>607</v>
      </c>
      <c r="H278" s="1460">
        <v>741</v>
      </c>
      <c r="I278" s="1476">
        <f t="shared" si="337"/>
        <v>741</v>
      </c>
      <c r="J278" s="1460"/>
      <c r="K278" s="1460"/>
      <c r="L278" s="1460"/>
      <c r="M278" s="1460"/>
      <c r="N278" s="1463">
        <f t="shared" si="325"/>
        <v>700</v>
      </c>
      <c r="O278" s="1460">
        <v>700</v>
      </c>
      <c r="P278" s="1463">
        <f t="shared" si="326"/>
        <v>700</v>
      </c>
      <c r="Q278" s="1460">
        <v>700</v>
      </c>
      <c r="R278" s="1454"/>
      <c r="S278" s="1454"/>
      <c r="T278" s="1463">
        <f t="shared" si="327"/>
        <v>700</v>
      </c>
      <c r="U278" s="1460">
        <v>700</v>
      </c>
      <c r="V278" s="1454"/>
      <c r="W278" s="1454"/>
      <c r="X278" s="1463">
        <f t="shared" si="328"/>
        <v>700</v>
      </c>
      <c r="Y278" s="1460">
        <v>700</v>
      </c>
      <c r="Z278" s="1460">
        <v>0</v>
      </c>
      <c r="AA278" s="1460">
        <v>0</v>
      </c>
      <c r="AB278" s="1460">
        <v>700</v>
      </c>
      <c r="AC278" s="1460">
        <v>700</v>
      </c>
      <c r="AD278" s="1460"/>
      <c r="AE278" s="1460"/>
      <c r="AF278" s="1383">
        <f t="shared" si="257"/>
        <v>700</v>
      </c>
      <c r="AG278" s="1383">
        <f t="shared" si="258"/>
        <v>700</v>
      </c>
      <c r="AH278" s="1383">
        <f t="shared" si="268"/>
        <v>670</v>
      </c>
      <c r="AI278" s="1383">
        <v>670</v>
      </c>
      <c r="AJ278" s="1383"/>
      <c r="AK278" s="1383"/>
      <c r="AL278" s="1383"/>
      <c r="AM278" s="1383"/>
      <c r="AN278" s="1464"/>
      <c r="AO278" s="1464"/>
      <c r="AP278" s="1431">
        <f t="shared" si="324"/>
        <v>0</v>
      </c>
      <c r="AQ278" s="1431">
        <f t="shared" si="313"/>
        <v>1</v>
      </c>
      <c r="AR278" s="1434">
        <f t="shared" si="329"/>
        <v>0</v>
      </c>
      <c r="AS278" s="1434"/>
      <c r="AT278" s="1427">
        <f t="shared" si="330"/>
        <v>1</v>
      </c>
      <c r="AV278" s="1427">
        <f t="shared" si="331"/>
        <v>0</v>
      </c>
      <c r="AW278" s="1427">
        <f t="shared" si="271"/>
        <v>0</v>
      </c>
      <c r="AX278" s="1427">
        <f t="shared" si="332"/>
        <v>0</v>
      </c>
      <c r="AY278" s="1427">
        <f t="shared" si="317"/>
        <v>0</v>
      </c>
      <c r="AZ278" s="1427">
        <f t="shared" si="333"/>
        <v>0</v>
      </c>
      <c r="BA278" s="1427">
        <f t="shared" si="318"/>
        <v>0</v>
      </c>
      <c r="BB278" s="1427">
        <f t="shared" si="334"/>
        <v>0</v>
      </c>
      <c r="BC278" s="1427">
        <f t="shared" si="309"/>
        <v>0</v>
      </c>
      <c r="BD278" s="1436">
        <f t="shared" si="283"/>
        <v>1</v>
      </c>
    </row>
    <row r="279" spans="1:56" ht="96.75" customHeight="1" x14ac:dyDescent="0.3">
      <c r="A279" s="1847" t="s">
        <v>2999</v>
      </c>
      <c r="B279" s="1457"/>
      <c r="C279" s="1458" t="s">
        <v>608</v>
      </c>
      <c r="D279" s="1388" t="s">
        <v>104</v>
      </c>
      <c r="E279" s="1381" t="s">
        <v>609</v>
      </c>
      <c r="F279" s="1388" t="s">
        <v>252</v>
      </c>
      <c r="G279" s="1388" t="s">
        <v>610</v>
      </c>
      <c r="H279" s="1383">
        <v>10250</v>
      </c>
      <c r="I279" s="1476">
        <f t="shared" si="337"/>
        <v>10250</v>
      </c>
      <c r="J279" s="1460"/>
      <c r="K279" s="1460"/>
      <c r="L279" s="1460"/>
      <c r="M279" s="1460"/>
      <c r="N279" s="1463">
        <f t="shared" si="325"/>
        <v>10250</v>
      </c>
      <c r="O279" s="1460">
        <v>10250</v>
      </c>
      <c r="P279" s="1463">
        <f t="shared" si="326"/>
        <v>10250</v>
      </c>
      <c r="Q279" s="1460">
        <v>10250</v>
      </c>
      <c r="R279" s="1454"/>
      <c r="S279" s="1454"/>
      <c r="T279" s="1463">
        <f t="shared" si="327"/>
        <v>10250</v>
      </c>
      <c r="U279" s="1460">
        <v>10250</v>
      </c>
      <c r="V279" s="1454"/>
      <c r="W279" s="1454"/>
      <c r="X279" s="1463">
        <f t="shared" si="328"/>
        <v>10250</v>
      </c>
      <c r="Y279" s="1460">
        <v>10250</v>
      </c>
      <c r="Z279" s="1460">
        <v>0</v>
      </c>
      <c r="AA279" s="1460">
        <v>0</v>
      </c>
      <c r="AB279" s="1460">
        <v>10250</v>
      </c>
      <c r="AC279" s="1460">
        <v>10250</v>
      </c>
      <c r="AD279" s="1460"/>
      <c r="AE279" s="1460"/>
      <c r="AF279" s="1383">
        <f t="shared" si="257"/>
        <v>10250</v>
      </c>
      <c r="AG279" s="1383">
        <f t="shared" si="258"/>
        <v>10250</v>
      </c>
      <c r="AH279" s="1383">
        <f t="shared" si="268"/>
        <v>9000</v>
      </c>
      <c r="AI279" s="1383">
        <v>8000</v>
      </c>
      <c r="AJ279" s="1383">
        <v>1000</v>
      </c>
      <c r="AK279" s="1383"/>
      <c r="AL279" s="1383"/>
      <c r="AM279" s="1383"/>
      <c r="AN279" s="1464"/>
      <c r="AO279" s="1464"/>
      <c r="AP279" s="1431">
        <f t="shared" si="324"/>
        <v>0</v>
      </c>
      <c r="AQ279" s="1431">
        <f t="shared" si="313"/>
        <v>1</v>
      </c>
      <c r="AR279" s="1434">
        <f t="shared" si="329"/>
        <v>0</v>
      </c>
      <c r="AS279" s="1434"/>
      <c r="AT279" s="1427">
        <f t="shared" si="330"/>
        <v>1</v>
      </c>
      <c r="AV279" s="1427">
        <f t="shared" si="331"/>
        <v>0</v>
      </c>
      <c r="AW279" s="1427">
        <f t="shared" si="271"/>
        <v>0</v>
      </c>
      <c r="AX279" s="1427">
        <f t="shared" si="332"/>
        <v>0</v>
      </c>
      <c r="AY279" s="1427">
        <f t="shared" si="317"/>
        <v>0</v>
      </c>
      <c r="AZ279" s="1427">
        <f t="shared" si="333"/>
        <v>0</v>
      </c>
      <c r="BA279" s="1427">
        <f t="shared" si="318"/>
        <v>0</v>
      </c>
      <c r="BB279" s="1427">
        <f t="shared" si="334"/>
        <v>0</v>
      </c>
      <c r="BC279" s="1427">
        <f t="shared" si="309"/>
        <v>0</v>
      </c>
      <c r="BD279" s="1436">
        <f t="shared" si="283"/>
        <v>1</v>
      </c>
    </row>
    <row r="280" spans="1:56" ht="80.25" customHeight="1" x14ac:dyDescent="0.3">
      <c r="A280" s="1847" t="s">
        <v>3000</v>
      </c>
      <c r="B280" s="1457"/>
      <c r="C280" s="1458" t="s">
        <v>611</v>
      </c>
      <c r="D280" s="1388" t="s">
        <v>104</v>
      </c>
      <c r="E280" s="1381" t="s">
        <v>612</v>
      </c>
      <c r="F280" s="1388">
        <v>2017</v>
      </c>
      <c r="G280" s="1388" t="s">
        <v>613</v>
      </c>
      <c r="H280" s="1383">
        <v>4988</v>
      </c>
      <c r="I280" s="1476">
        <f t="shared" si="337"/>
        <v>4988</v>
      </c>
      <c r="J280" s="1460"/>
      <c r="K280" s="1460"/>
      <c r="L280" s="1460"/>
      <c r="M280" s="1460"/>
      <c r="N280" s="1463">
        <f t="shared" si="325"/>
        <v>4700</v>
      </c>
      <c r="O280" s="1460">
        <v>4700</v>
      </c>
      <c r="P280" s="1463">
        <f t="shared" si="326"/>
        <v>4700</v>
      </c>
      <c r="Q280" s="1460">
        <v>4700</v>
      </c>
      <c r="R280" s="1454"/>
      <c r="S280" s="1454"/>
      <c r="T280" s="1463">
        <f t="shared" si="327"/>
        <v>4700</v>
      </c>
      <c r="U280" s="1460">
        <v>4700</v>
      </c>
      <c r="V280" s="1454"/>
      <c r="W280" s="1454"/>
      <c r="X280" s="1463">
        <f t="shared" si="328"/>
        <v>4700</v>
      </c>
      <c r="Y280" s="1460">
        <v>4700</v>
      </c>
      <c r="Z280" s="1460">
        <v>0</v>
      </c>
      <c r="AA280" s="1460">
        <v>0</v>
      </c>
      <c r="AB280" s="1460">
        <v>4700</v>
      </c>
      <c r="AC280" s="1460">
        <v>4700</v>
      </c>
      <c r="AD280" s="1460"/>
      <c r="AE280" s="1460"/>
      <c r="AF280" s="1383">
        <f t="shared" si="257"/>
        <v>4700</v>
      </c>
      <c r="AG280" s="1383">
        <f t="shared" si="258"/>
        <v>4700</v>
      </c>
      <c r="AH280" s="1383">
        <f t="shared" si="268"/>
        <v>4500</v>
      </c>
      <c r="AI280" s="1383"/>
      <c r="AJ280" s="1383">
        <v>4500</v>
      </c>
      <c r="AK280" s="1383"/>
      <c r="AL280" s="1383"/>
      <c r="AM280" s="1383"/>
      <c r="AN280" s="1464"/>
      <c r="AO280" s="1464"/>
      <c r="AP280" s="1431">
        <f t="shared" si="324"/>
        <v>0</v>
      </c>
      <c r="AQ280" s="1431">
        <f t="shared" si="313"/>
        <v>1</v>
      </c>
      <c r="AR280" s="1434">
        <f t="shared" si="329"/>
        <v>0</v>
      </c>
      <c r="AS280" s="1434"/>
      <c r="AT280" s="1427">
        <f t="shared" si="330"/>
        <v>1</v>
      </c>
      <c r="AV280" s="1427">
        <f t="shared" si="331"/>
        <v>0</v>
      </c>
      <c r="AW280" s="1427">
        <f t="shared" si="271"/>
        <v>0</v>
      </c>
      <c r="AX280" s="1427">
        <f t="shared" si="332"/>
        <v>0</v>
      </c>
      <c r="AY280" s="1427">
        <f t="shared" si="317"/>
        <v>0</v>
      </c>
      <c r="AZ280" s="1427">
        <f t="shared" si="333"/>
        <v>0</v>
      </c>
      <c r="BA280" s="1427">
        <f t="shared" si="318"/>
        <v>0</v>
      </c>
      <c r="BB280" s="1427">
        <f t="shared" si="334"/>
        <v>0</v>
      </c>
      <c r="BC280" s="1427">
        <f t="shared" si="309"/>
        <v>0</v>
      </c>
      <c r="BD280" s="1436">
        <f t="shared" si="283"/>
        <v>1</v>
      </c>
    </row>
    <row r="281" spans="1:56" ht="79.5" customHeight="1" x14ac:dyDescent="0.3">
      <c r="A281" s="1847" t="s">
        <v>3001</v>
      </c>
      <c r="B281" s="1457"/>
      <c r="C281" s="1458" t="s">
        <v>614</v>
      </c>
      <c r="D281" s="1388" t="s">
        <v>615</v>
      </c>
      <c r="E281" s="1388"/>
      <c r="F281" s="1388" t="s">
        <v>97</v>
      </c>
      <c r="G281" s="1388" t="s">
        <v>616</v>
      </c>
      <c r="H281" s="1459">
        <v>1308</v>
      </c>
      <c r="I281" s="1476">
        <f t="shared" si="337"/>
        <v>1308</v>
      </c>
      <c r="J281" s="1460"/>
      <c r="K281" s="1460"/>
      <c r="L281" s="1460"/>
      <c r="M281" s="1460"/>
      <c r="N281" s="1463">
        <f t="shared" si="325"/>
        <v>1190</v>
      </c>
      <c r="O281" s="1460">
        <v>1190</v>
      </c>
      <c r="P281" s="1463">
        <f t="shared" si="326"/>
        <v>100</v>
      </c>
      <c r="Q281" s="1460">
        <v>100</v>
      </c>
      <c r="R281" s="1383"/>
      <c r="S281" s="1383">
        <f t="shared" ref="S281:S286" si="338">O281-U281</f>
        <v>1090</v>
      </c>
      <c r="T281" s="1463">
        <f t="shared" si="327"/>
        <v>100</v>
      </c>
      <c r="U281" s="1460">
        <v>100</v>
      </c>
      <c r="V281" s="1383"/>
      <c r="W281" s="1383"/>
      <c r="X281" s="1463">
        <f t="shared" si="328"/>
        <v>100</v>
      </c>
      <c r="Y281" s="1460">
        <v>100</v>
      </c>
      <c r="Z281" s="1460">
        <v>0</v>
      </c>
      <c r="AA281" s="1460">
        <v>0</v>
      </c>
      <c r="AB281" s="1460">
        <v>100</v>
      </c>
      <c r="AC281" s="1460">
        <v>100</v>
      </c>
      <c r="AD281" s="1460"/>
      <c r="AE281" s="1460"/>
      <c r="AF281" s="1383">
        <f t="shared" si="257"/>
        <v>100</v>
      </c>
      <c r="AG281" s="1383">
        <f t="shared" si="258"/>
        <v>100</v>
      </c>
      <c r="AH281" s="1383">
        <f t="shared" si="268"/>
        <v>499</v>
      </c>
      <c r="AI281" s="1383"/>
      <c r="AJ281" s="1383">
        <v>499</v>
      </c>
      <c r="AK281" s="1383"/>
      <c r="AL281" s="1383"/>
      <c r="AM281" s="1383"/>
      <c r="AN281" s="1381"/>
      <c r="AO281" s="1381">
        <v>160</v>
      </c>
      <c r="AP281" s="1431">
        <f t="shared" si="324"/>
        <v>0</v>
      </c>
      <c r="AQ281" s="1431">
        <f t="shared" si="313"/>
        <v>1</v>
      </c>
      <c r="AR281" s="1434">
        <f t="shared" si="329"/>
        <v>0</v>
      </c>
      <c r="AS281" s="1434"/>
      <c r="AT281" s="1427">
        <f t="shared" si="330"/>
        <v>1</v>
      </c>
      <c r="AV281" s="1427">
        <v>1</v>
      </c>
      <c r="AW281" s="1435">
        <f>S281</f>
        <v>1090</v>
      </c>
      <c r="AX281" s="1427">
        <f t="shared" si="332"/>
        <v>0</v>
      </c>
      <c r="AY281" s="1427">
        <f t="shared" si="317"/>
        <v>0</v>
      </c>
      <c r="AZ281" s="1427">
        <f t="shared" si="333"/>
        <v>0</v>
      </c>
      <c r="BA281" s="1427">
        <f t="shared" si="318"/>
        <v>0</v>
      </c>
      <c r="BD281" s="1436">
        <f t="shared" si="283"/>
        <v>1</v>
      </c>
    </row>
    <row r="282" spans="1:56" ht="78" customHeight="1" x14ac:dyDescent="0.3">
      <c r="A282" s="1847" t="s">
        <v>3002</v>
      </c>
      <c r="B282" s="1457"/>
      <c r="C282" s="1458" t="s">
        <v>618</v>
      </c>
      <c r="D282" s="1388" t="s">
        <v>615</v>
      </c>
      <c r="E282" s="1388"/>
      <c r="F282" s="1388" t="s">
        <v>116</v>
      </c>
      <c r="G282" s="1388"/>
      <c r="H282" s="1459">
        <v>8000</v>
      </c>
      <c r="I282" s="1476">
        <f t="shared" si="337"/>
        <v>8000</v>
      </c>
      <c r="J282" s="1460"/>
      <c r="K282" s="1460"/>
      <c r="L282" s="1460"/>
      <c r="M282" s="1460"/>
      <c r="N282" s="1463">
        <f t="shared" si="325"/>
        <v>7200</v>
      </c>
      <c r="O282" s="1460">
        <v>7200</v>
      </c>
      <c r="P282" s="1463"/>
      <c r="Q282" s="1460"/>
      <c r="R282" s="1383"/>
      <c r="S282" s="1383">
        <f t="shared" si="338"/>
        <v>7200</v>
      </c>
      <c r="T282" s="1463"/>
      <c r="U282" s="1460"/>
      <c r="V282" s="1383"/>
      <c r="W282" s="1383"/>
      <c r="X282" s="1463"/>
      <c r="Y282" s="1460"/>
      <c r="Z282" s="1460">
        <v>0</v>
      </c>
      <c r="AA282" s="1460">
        <v>0</v>
      </c>
      <c r="AB282" s="1460">
        <v>0</v>
      </c>
      <c r="AC282" s="1460">
        <v>0</v>
      </c>
      <c r="AD282" s="1460"/>
      <c r="AE282" s="1460"/>
      <c r="AF282" s="1383">
        <f t="shared" si="257"/>
        <v>0</v>
      </c>
      <c r="AG282" s="1383">
        <f t="shared" si="258"/>
        <v>0</v>
      </c>
      <c r="AH282" s="1383">
        <f t="shared" si="268"/>
        <v>0</v>
      </c>
      <c r="AI282" s="1383"/>
      <c r="AJ282" s="1383"/>
      <c r="AK282" s="1383"/>
      <c r="AL282" s="1383"/>
      <c r="AM282" s="1383"/>
      <c r="AN282" s="1381"/>
      <c r="AO282" s="1381"/>
      <c r="AP282" s="1431">
        <f t="shared" si="324"/>
        <v>0</v>
      </c>
      <c r="AQ282" s="1431">
        <f t="shared" si="313"/>
        <v>0</v>
      </c>
      <c r="AR282" s="1434">
        <f t="shared" si="329"/>
        <v>0</v>
      </c>
      <c r="AS282" s="1434"/>
      <c r="AT282" s="1427">
        <f t="shared" si="330"/>
        <v>1</v>
      </c>
      <c r="AV282" s="1427">
        <f t="shared" ref="AV282:AV298" si="339">IF(Q282=0,1,0)</f>
        <v>1</v>
      </c>
      <c r="AW282" s="1427">
        <f t="shared" ref="AW282:AW309" si="340">IF(AV282=1,O282,0)</f>
        <v>7200</v>
      </c>
      <c r="AX282" s="1427">
        <f t="shared" si="332"/>
        <v>0</v>
      </c>
      <c r="AY282" s="1427">
        <f t="shared" si="317"/>
        <v>0</v>
      </c>
      <c r="AZ282" s="1427">
        <f t="shared" si="333"/>
        <v>0</v>
      </c>
      <c r="BA282" s="1427">
        <f t="shared" si="318"/>
        <v>0</v>
      </c>
      <c r="BD282" s="1436">
        <f t="shared" ref="BD282:BD312" si="341">IF(I282-Y282&gt;=0,1,0)</f>
        <v>1</v>
      </c>
    </row>
    <row r="283" spans="1:56" ht="60.75" customHeight="1" x14ac:dyDescent="0.3">
      <c r="A283" s="1847" t="s">
        <v>3003</v>
      </c>
      <c r="B283" s="1847" t="s">
        <v>2995</v>
      </c>
      <c r="C283" s="1458" t="s">
        <v>620</v>
      </c>
      <c r="D283" s="1388" t="s">
        <v>416</v>
      </c>
      <c r="E283" s="1388"/>
      <c r="F283" s="1388" t="s">
        <v>116</v>
      </c>
      <c r="G283" s="1388" t="s">
        <v>621</v>
      </c>
      <c r="H283" s="1459">
        <f>I283</f>
        <v>2997</v>
      </c>
      <c r="I283" s="1476">
        <v>2997</v>
      </c>
      <c r="J283" s="1460"/>
      <c r="K283" s="1460"/>
      <c r="L283" s="1460"/>
      <c r="M283" s="1460"/>
      <c r="N283" s="1463">
        <f t="shared" si="325"/>
        <v>3000</v>
      </c>
      <c r="O283" s="1460">
        <v>3000</v>
      </c>
      <c r="P283" s="1463">
        <f t="shared" si="326"/>
        <v>2990</v>
      </c>
      <c r="Q283" s="1460">
        <v>2990</v>
      </c>
      <c r="R283" s="1454"/>
      <c r="S283" s="1383">
        <f t="shared" si="338"/>
        <v>10</v>
      </c>
      <c r="T283" s="1463">
        <f t="shared" ref="T283:T285" si="342">U283</f>
        <v>2990</v>
      </c>
      <c r="U283" s="1460">
        <v>2990</v>
      </c>
      <c r="V283" s="1454"/>
      <c r="W283" s="1383"/>
      <c r="X283" s="1463">
        <f t="shared" ref="X283:X285" si="343">Y283</f>
        <v>2990</v>
      </c>
      <c r="Y283" s="1460">
        <v>2990</v>
      </c>
      <c r="Z283" s="1460">
        <v>0</v>
      </c>
      <c r="AA283" s="1460">
        <v>0</v>
      </c>
      <c r="AB283" s="1460">
        <v>2724</v>
      </c>
      <c r="AC283" s="1460">
        <v>2724</v>
      </c>
      <c r="AD283" s="1460"/>
      <c r="AE283" s="1525"/>
      <c r="AF283" s="1383">
        <f t="shared" si="257"/>
        <v>2724</v>
      </c>
      <c r="AG283" s="1383">
        <f t="shared" si="258"/>
        <v>2724</v>
      </c>
      <c r="AH283" s="1383">
        <f t="shared" si="268"/>
        <v>2690</v>
      </c>
      <c r="AI283" s="1383"/>
      <c r="AJ283" s="1383"/>
      <c r="AK283" s="1383">
        <v>2500</v>
      </c>
      <c r="AL283" s="1383">
        <v>190</v>
      </c>
      <c r="AM283" s="1383"/>
      <c r="AN283" s="1464"/>
      <c r="AO283" s="1464"/>
      <c r="AP283" s="1431">
        <f t="shared" si="324"/>
        <v>0</v>
      </c>
      <c r="AQ283" s="1431">
        <f t="shared" si="313"/>
        <v>1</v>
      </c>
      <c r="AR283" s="1434">
        <f t="shared" si="329"/>
        <v>0</v>
      </c>
      <c r="AS283" s="1434"/>
      <c r="AT283" s="1427">
        <f t="shared" si="330"/>
        <v>1</v>
      </c>
      <c r="AV283" s="1427">
        <f t="shared" si="339"/>
        <v>0</v>
      </c>
      <c r="AW283" s="1427">
        <f t="shared" si="340"/>
        <v>0</v>
      </c>
      <c r="AX283" s="1427">
        <f t="shared" si="332"/>
        <v>0</v>
      </c>
      <c r="AY283" s="1427">
        <f t="shared" si="317"/>
        <v>0</v>
      </c>
      <c r="AZ283" s="1427">
        <f t="shared" si="333"/>
        <v>0</v>
      </c>
      <c r="BA283" s="1427">
        <f t="shared" si="318"/>
        <v>0</v>
      </c>
      <c r="BB283" s="1427">
        <f>IF(S283=0,0,1)</f>
        <v>1</v>
      </c>
      <c r="BC283" s="1427">
        <f>IF(BB283=1,S283,0)</f>
        <v>10</v>
      </c>
      <c r="BD283" s="1436">
        <f t="shared" si="341"/>
        <v>1</v>
      </c>
    </row>
    <row r="284" spans="1:56" ht="61.5" customHeight="1" x14ac:dyDescent="0.3">
      <c r="A284" s="1847" t="s">
        <v>3004</v>
      </c>
      <c r="B284" s="1457"/>
      <c r="C284" s="1458" t="s">
        <v>622</v>
      </c>
      <c r="D284" s="1388" t="s">
        <v>416</v>
      </c>
      <c r="E284" s="1388"/>
      <c r="F284" s="1388" t="s">
        <v>116</v>
      </c>
      <c r="G284" s="1388" t="s">
        <v>623</v>
      </c>
      <c r="H284" s="1459">
        <f>I284</f>
        <v>940</v>
      </c>
      <c r="I284" s="1476">
        <v>940</v>
      </c>
      <c r="J284" s="1460"/>
      <c r="K284" s="1460"/>
      <c r="L284" s="1460"/>
      <c r="M284" s="1460"/>
      <c r="N284" s="1463">
        <f t="shared" si="325"/>
        <v>1500</v>
      </c>
      <c r="O284" s="1460">
        <v>1500</v>
      </c>
      <c r="P284" s="1463">
        <f t="shared" si="326"/>
        <v>850</v>
      </c>
      <c r="Q284" s="1460">
        <v>850</v>
      </c>
      <c r="R284" s="1454"/>
      <c r="S284" s="1383">
        <f t="shared" si="338"/>
        <v>650</v>
      </c>
      <c r="T284" s="1463">
        <f t="shared" si="342"/>
        <v>850</v>
      </c>
      <c r="U284" s="1460">
        <v>850</v>
      </c>
      <c r="V284" s="1454"/>
      <c r="W284" s="1383"/>
      <c r="X284" s="1463">
        <f t="shared" si="343"/>
        <v>850</v>
      </c>
      <c r="Y284" s="1460">
        <v>850</v>
      </c>
      <c r="Z284" s="1460">
        <v>0</v>
      </c>
      <c r="AA284" s="1460">
        <v>0</v>
      </c>
      <c r="AB284" s="1460">
        <v>850</v>
      </c>
      <c r="AC284" s="1460">
        <v>850</v>
      </c>
      <c r="AD284" s="1460"/>
      <c r="AE284" s="1460"/>
      <c r="AF284" s="1383">
        <f t="shared" si="257"/>
        <v>850</v>
      </c>
      <c r="AG284" s="1383">
        <f t="shared" si="258"/>
        <v>850</v>
      </c>
      <c r="AH284" s="1383">
        <f t="shared" si="268"/>
        <v>800</v>
      </c>
      <c r="AI284" s="1383"/>
      <c r="AJ284" s="1383"/>
      <c r="AK284" s="1383">
        <v>800</v>
      </c>
      <c r="AL284" s="1383"/>
      <c r="AM284" s="1383"/>
      <c r="AN284" s="1464"/>
      <c r="AO284" s="1464">
        <v>26</v>
      </c>
      <c r="AP284" s="1431">
        <f t="shared" si="324"/>
        <v>0</v>
      </c>
      <c r="AQ284" s="1431">
        <f t="shared" si="313"/>
        <v>1</v>
      </c>
      <c r="AR284" s="1434">
        <f t="shared" si="329"/>
        <v>0</v>
      </c>
      <c r="AS284" s="1434"/>
      <c r="AT284" s="1427">
        <f t="shared" si="330"/>
        <v>1</v>
      </c>
      <c r="AV284" s="1427">
        <f t="shared" si="339"/>
        <v>0</v>
      </c>
      <c r="AW284" s="1427">
        <f t="shared" si="340"/>
        <v>0</v>
      </c>
      <c r="AX284" s="1427">
        <f t="shared" si="332"/>
        <v>0</v>
      </c>
      <c r="AY284" s="1427">
        <f t="shared" si="317"/>
        <v>0</v>
      </c>
      <c r="AZ284" s="1427">
        <f t="shared" si="333"/>
        <v>0</v>
      </c>
      <c r="BA284" s="1427">
        <f t="shared" si="318"/>
        <v>0</v>
      </c>
      <c r="BB284" s="1427">
        <f>IF(S284=0,0,1)</f>
        <v>1</v>
      </c>
      <c r="BC284" s="1427">
        <f>IF(BB284=1,S284,0)</f>
        <v>650</v>
      </c>
      <c r="BD284" s="1436">
        <f t="shared" si="341"/>
        <v>1</v>
      </c>
    </row>
    <row r="285" spans="1:56" ht="63" customHeight="1" x14ac:dyDescent="0.3">
      <c r="A285" s="1847" t="s">
        <v>3005</v>
      </c>
      <c r="B285" s="1847" t="s">
        <v>2996</v>
      </c>
      <c r="C285" s="1458" t="s">
        <v>624</v>
      </c>
      <c r="D285" s="1388" t="s">
        <v>99</v>
      </c>
      <c r="E285" s="1388"/>
      <c r="F285" s="1388" t="s">
        <v>116</v>
      </c>
      <c r="G285" s="1388" t="s">
        <v>625</v>
      </c>
      <c r="H285" s="1459">
        <v>20000</v>
      </c>
      <c r="I285" s="1476">
        <f t="shared" ref="I285" si="344">H285</f>
        <v>20000</v>
      </c>
      <c r="J285" s="1460"/>
      <c r="K285" s="1460"/>
      <c r="L285" s="1460"/>
      <c r="M285" s="1460"/>
      <c r="N285" s="1463">
        <f t="shared" si="325"/>
        <v>20000</v>
      </c>
      <c r="O285" s="1460">
        <v>20000</v>
      </c>
      <c r="P285" s="1463">
        <f t="shared" si="326"/>
        <v>18000</v>
      </c>
      <c r="Q285" s="1460">
        <f>I285*0.9</f>
        <v>18000</v>
      </c>
      <c r="R285" s="1454"/>
      <c r="S285" s="1383">
        <f t="shared" si="338"/>
        <v>2000</v>
      </c>
      <c r="T285" s="1463">
        <f t="shared" si="342"/>
        <v>18000</v>
      </c>
      <c r="U285" s="1460">
        <v>18000</v>
      </c>
      <c r="V285" s="1454"/>
      <c r="W285" s="1383"/>
      <c r="X285" s="1463">
        <f t="shared" si="343"/>
        <v>18000</v>
      </c>
      <c r="Y285" s="1460">
        <v>18000</v>
      </c>
      <c r="Z285" s="1460">
        <v>0</v>
      </c>
      <c r="AA285" s="1460">
        <v>0</v>
      </c>
      <c r="AB285" s="1460">
        <v>16160</v>
      </c>
      <c r="AC285" s="1460">
        <v>16160</v>
      </c>
      <c r="AD285" s="1460"/>
      <c r="AE285" s="1525"/>
      <c r="AF285" s="1383">
        <f t="shared" si="257"/>
        <v>16160</v>
      </c>
      <c r="AG285" s="1383">
        <f t="shared" si="258"/>
        <v>16160</v>
      </c>
      <c r="AH285" s="1383">
        <f t="shared" si="268"/>
        <v>15900</v>
      </c>
      <c r="AI285" s="1383"/>
      <c r="AJ285" s="1383"/>
      <c r="AK285" s="1383">
        <v>5290</v>
      </c>
      <c r="AL285" s="1383">
        <v>9000</v>
      </c>
      <c r="AM285" s="1383">
        <f>3710-2100</f>
        <v>1610</v>
      </c>
      <c r="AN285" s="1464"/>
      <c r="AO285" s="1464"/>
      <c r="AP285" s="1431">
        <f t="shared" si="324"/>
        <v>0</v>
      </c>
      <c r="AQ285" s="1431">
        <f t="shared" si="313"/>
        <v>1</v>
      </c>
      <c r="AR285" s="1434">
        <f t="shared" si="329"/>
        <v>0</v>
      </c>
      <c r="AS285" s="1434"/>
      <c r="AT285" s="1427">
        <f t="shared" si="330"/>
        <v>1</v>
      </c>
      <c r="AV285" s="1427">
        <f t="shared" si="339"/>
        <v>0</v>
      </c>
      <c r="AW285" s="1427">
        <f t="shared" si="340"/>
        <v>0</v>
      </c>
      <c r="AX285" s="1427">
        <f t="shared" si="332"/>
        <v>0</v>
      </c>
      <c r="AY285" s="1427">
        <f t="shared" si="317"/>
        <v>0</v>
      </c>
      <c r="AZ285" s="1427">
        <f t="shared" si="333"/>
        <v>0</v>
      </c>
      <c r="BA285" s="1427">
        <f t="shared" si="318"/>
        <v>0</v>
      </c>
      <c r="BB285" s="1427">
        <f>IF(S285=0,0,1)</f>
        <v>1</v>
      </c>
      <c r="BC285" s="1427">
        <f>IF(BB285=1,S285,0)</f>
        <v>2000</v>
      </c>
      <c r="BD285" s="1436">
        <f t="shared" si="341"/>
        <v>1</v>
      </c>
    </row>
    <row r="286" spans="1:56" ht="40.5" customHeight="1" x14ac:dyDescent="0.3">
      <c r="A286" s="1847" t="s">
        <v>3006</v>
      </c>
      <c r="B286" s="1457"/>
      <c r="C286" s="1458" t="s">
        <v>626</v>
      </c>
      <c r="D286" s="1388" t="s">
        <v>416</v>
      </c>
      <c r="E286" s="1388"/>
      <c r="F286" s="1388" t="s">
        <v>116</v>
      </c>
      <c r="G286" s="1388"/>
      <c r="H286" s="1459">
        <f>I286</f>
        <v>25000</v>
      </c>
      <c r="I286" s="1476">
        <v>25000</v>
      </c>
      <c r="J286" s="1460"/>
      <c r="K286" s="1460"/>
      <c r="L286" s="1460"/>
      <c r="M286" s="1460"/>
      <c r="N286" s="1463">
        <f t="shared" si="325"/>
        <v>22650</v>
      </c>
      <c r="O286" s="1460">
        <v>22650</v>
      </c>
      <c r="P286" s="1463"/>
      <c r="Q286" s="1460"/>
      <c r="R286" s="1383"/>
      <c r="S286" s="1383">
        <f t="shared" si="338"/>
        <v>22650</v>
      </c>
      <c r="T286" s="1463"/>
      <c r="U286" s="1460"/>
      <c r="V286" s="1383"/>
      <c r="W286" s="1383"/>
      <c r="X286" s="1463"/>
      <c r="Y286" s="1460"/>
      <c r="Z286" s="1460">
        <v>0</v>
      </c>
      <c r="AA286" s="1460">
        <v>0</v>
      </c>
      <c r="AB286" s="1460">
        <v>0</v>
      </c>
      <c r="AC286" s="1460">
        <v>0</v>
      </c>
      <c r="AD286" s="1460"/>
      <c r="AE286" s="1460"/>
      <c r="AF286" s="1383">
        <f t="shared" si="257"/>
        <v>0</v>
      </c>
      <c r="AG286" s="1383">
        <f t="shared" si="258"/>
        <v>0</v>
      </c>
      <c r="AH286" s="1383">
        <f t="shared" si="268"/>
        <v>0</v>
      </c>
      <c r="AI286" s="1383"/>
      <c r="AJ286" s="1383"/>
      <c r="AK286" s="1383"/>
      <c r="AL286" s="1383"/>
      <c r="AM286" s="1383"/>
      <c r="AN286" s="1381"/>
      <c r="AO286" s="1381"/>
      <c r="AP286" s="1431">
        <f t="shared" si="324"/>
        <v>0</v>
      </c>
      <c r="AQ286" s="1431">
        <f t="shared" si="313"/>
        <v>0</v>
      </c>
      <c r="AR286" s="1434">
        <f t="shared" si="329"/>
        <v>0</v>
      </c>
      <c r="AS286" s="1434"/>
      <c r="AT286" s="1427">
        <f t="shared" si="330"/>
        <v>1</v>
      </c>
      <c r="AV286" s="1427">
        <f t="shared" si="339"/>
        <v>1</v>
      </c>
      <c r="AW286" s="1427">
        <f t="shared" si="340"/>
        <v>22650</v>
      </c>
      <c r="AX286" s="1427">
        <f t="shared" si="332"/>
        <v>0</v>
      </c>
      <c r="AY286" s="1427">
        <f t="shared" si="317"/>
        <v>0</v>
      </c>
      <c r="AZ286" s="1427">
        <f t="shared" si="333"/>
        <v>0</v>
      </c>
      <c r="BA286" s="1427">
        <f t="shared" si="318"/>
        <v>0</v>
      </c>
      <c r="BD286" s="1436">
        <f t="shared" si="341"/>
        <v>1</v>
      </c>
    </row>
    <row r="287" spans="1:56" ht="75" x14ac:dyDescent="0.3">
      <c r="A287" s="1847" t="s">
        <v>3007</v>
      </c>
      <c r="B287" s="1457"/>
      <c r="C287" s="1458" t="s">
        <v>627</v>
      </c>
      <c r="D287" s="1388" t="s">
        <v>52</v>
      </c>
      <c r="E287" s="1388"/>
      <c r="F287" s="1388" t="s">
        <v>116</v>
      </c>
      <c r="G287" s="1388" t="s">
        <v>2469</v>
      </c>
      <c r="H287" s="1459">
        <f>I287</f>
        <v>14560</v>
      </c>
      <c r="I287" s="1476">
        <v>14560</v>
      </c>
      <c r="J287" s="1460"/>
      <c r="K287" s="1460"/>
      <c r="L287" s="1460"/>
      <c r="M287" s="1460"/>
      <c r="N287" s="1463">
        <f>O287</f>
        <v>16200</v>
      </c>
      <c r="O287" s="1463">
        <v>16200</v>
      </c>
      <c r="P287" s="1463">
        <f>Q287</f>
        <v>12200</v>
      </c>
      <c r="Q287" s="1463">
        <v>12200</v>
      </c>
      <c r="R287" s="1454"/>
      <c r="S287" s="1383">
        <f t="shared" ref="S287:S289" si="345">O287-U287</f>
        <v>4000</v>
      </c>
      <c r="T287" s="1463">
        <f>U287</f>
        <v>12200</v>
      </c>
      <c r="U287" s="1463">
        <v>12200</v>
      </c>
      <c r="V287" s="1454"/>
      <c r="W287" s="1383"/>
      <c r="X287" s="1463">
        <f>Y287</f>
        <v>12200</v>
      </c>
      <c r="Y287" s="1463">
        <v>12200</v>
      </c>
      <c r="Z287" s="1460">
        <v>12200</v>
      </c>
      <c r="AA287" s="1460">
        <v>12200</v>
      </c>
      <c r="AB287" s="1460">
        <v>12200</v>
      </c>
      <c r="AC287" s="1460">
        <v>12200</v>
      </c>
      <c r="AD287" s="1460"/>
      <c r="AE287" s="1460"/>
      <c r="AF287" s="1383">
        <f t="shared" si="257"/>
        <v>12200</v>
      </c>
      <c r="AG287" s="1383">
        <f t="shared" si="258"/>
        <v>12200</v>
      </c>
      <c r="AH287" s="1383">
        <f t="shared" si="268"/>
        <v>12200</v>
      </c>
      <c r="AI287" s="1383"/>
      <c r="AJ287" s="1383"/>
      <c r="AK287" s="1383"/>
      <c r="AL287" s="1383">
        <v>6000</v>
      </c>
      <c r="AM287" s="1383">
        <v>6200</v>
      </c>
      <c r="AN287" s="1381"/>
      <c r="AO287" s="1381"/>
      <c r="AP287" s="1431">
        <f t="shared" si="324"/>
        <v>0</v>
      </c>
      <c r="AQ287" s="1431">
        <f t="shared" si="313"/>
        <v>1</v>
      </c>
      <c r="AR287" s="1434">
        <f t="shared" si="329"/>
        <v>0</v>
      </c>
      <c r="AS287" s="1434"/>
      <c r="AT287" s="1427">
        <f t="shared" si="330"/>
        <v>1</v>
      </c>
      <c r="AV287" s="1427">
        <f t="shared" si="339"/>
        <v>0</v>
      </c>
      <c r="AW287" s="1427">
        <f t="shared" si="340"/>
        <v>0</v>
      </c>
      <c r="AX287" s="1427">
        <f t="shared" si="332"/>
        <v>0</v>
      </c>
      <c r="AY287" s="1427">
        <f t="shared" si="317"/>
        <v>0</v>
      </c>
      <c r="AZ287" s="1427">
        <f t="shared" si="333"/>
        <v>0</v>
      </c>
      <c r="BA287" s="1427">
        <f t="shared" si="318"/>
        <v>0</v>
      </c>
      <c r="BB287" s="1427">
        <f t="shared" ref="BB287:BB298" si="346">IF(S287=0,0,1)</f>
        <v>1</v>
      </c>
      <c r="BC287" s="1427">
        <f t="shared" ref="BC287:BC309" si="347">IF(BB287=1,S287,0)</f>
        <v>4000</v>
      </c>
      <c r="BD287" s="1436">
        <f t="shared" si="341"/>
        <v>1</v>
      </c>
    </row>
    <row r="288" spans="1:56" ht="56.25" x14ac:dyDescent="0.3">
      <c r="A288" s="1847" t="s">
        <v>3008</v>
      </c>
      <c r="B288" s="1457"/>
      <c r="C288" s="1458" t="s">
        <v>629</v>
      </c>
      <c r="D288" s="1388" t="s">
        <v>52</v>
      </c>
      <c r="E288" s="1388"/>
      <c r="F288" s="1388" t="s">
        <v>116</v>
      </c>
      <c r="G288" s="1388" t="s">
        <v>630</v>
      </c>
      <c r="H288" s="1459">
        <f>I288</f>
        <v>2377</v>
      </c>
      <c r="I288" s="1476">
        <v>2377</v>
      </c>
      <c r="J288" s="1460"/>
      <c r="K288" s="1460"/>
      <c r="L288" s="1460"/>
      <c r="M288" s="1460"/>
      <c r="N288" s="1463">
        <f>O288</f>
        <v>1350</v>
      </c>
      <c r="O288" s="1463">
        <v>1350</v>
      </c>
      <c r="P288" s="1463">
        <f>Q288</f>
        <v>2150</v>
      </c>
      <c r="Q288" s="1463">
        <v>2150</v>
      </c>
      <c r="R288" s="1454">
        <f>U288-O288</f>
        <v>800</v>
      </c>
      <c r="S288" s="1383"/>
      <c r="T288" s="1463">
        <f>U288</f>
        <v>2150</v>
      </c>
      <c r="U288" s="1463">
        <v>2150</v>
      </c>
      <c r="V288" s="1454"/>
      <c r="W288" s="1383"/>
      <c r="X288" s="1463">
        <f>Y288</f>
        <v>2150</v>
      </c>
      <c r="Y288" s="1463">
        <v>2150</v>
      </c>
      <c r="Z288" s="1460">
        <v>0</v>
      </c>
      <c r="AA288" s="1460">
        <v>0</v>
      </c>
      <c r="AB288" s="1460">
        <v>2150</v>
      </c>
      <c r="AC288" s="1460">
        <v>2150</v>
      </c>
      <c r="AD288" s="1460"/>
      <c r="AE288" s="1460"/>
      <c r="AF288" s="1383">
        <f t="shared" si="257"/>
        <v>2150</v>
      </c>
      <c r="AG288" s="1383">
        <f t="shared" si="258"/>
        <v>2150</v>
      </c>
      <c r="AH288" s="1383">
        <f t="shared" si="268"/>
        <v>2150</v>
      </c>
      <c r="AI288" s="1383"/>
      <c r="AJ288" s="1383"/>
      <c r="AK288" s="1383">
        <v>1350</v>
      </c>
      <c r="AL288" s="1383">
        <v>800</v>
      </c>
      <c r="AM288" s="1383"/>
      <c r="AN288" s="1464"/>
      <c r="AO288" s="1464"/>
      <c r="AP288" s="1431">
        <f t="shared" si="324"/>
        <v>0</v>
      </c>
      <c r="AQ288" s="1431">
        <f t="shared" si="313"/>
        <v>1</v>
      </c>
      <c r="AR288" s="1434">
        <f t="shared" si="329"/>
        <v>0</v>
      </c>
      <c r="AS288" s="1434"/>
      <c r="AT288" s="1427">
        <f t="shared" si="330"/>
        <v>1</v>
      </c>
      <c r="AV288" s="1427">
        <f t="shared" si="339"/>
        <v>0</v>
      </c>
      <c r="AW288" s="1427">
        <f t="shared" si="340"/>
        <v>0</v>
      </c>
      <c r="AX288" s="1427">
        <f t="shared" si="332"/>
        <v>0</v>
      </c>
      <c r="AY288" s="1427">
        <f t="shared" si="317"/>
        <v>0</v>
      </c>
      <c r="AZ288" s="1427">
        <f t="shared" si="333"/>
        <v>1</v>
      </c>
      <c r="BA288" s="1427">
        <f t="shared" si="318"/>
        <v>800</v>
      </c>
      <c r="BB288" s="1427">
        <f t="shared" si="346"/>
        <v>0</v>
      </c>
      <c r="BC288" s="1427">
        <f t="shared" si="347"/>
        <v>0</v>
      </c>
      <c r="BD288" s="1436">
        <f t="shared" si="341"/>
        <v>1</v>
      </c>
    </row>
    <row r="289" spans="1:56" ht="63" customHeight="1" x14ac:dyDescent="0.3">
      <c r="A289" s="1847" t="s">
        <v>3009</v>
      </c>
      <c r="B289" s="1847" t="s">
        <v>2997</v>
      </c>
      <c r="C289" s="1458" t="s">
        <v>2547</v>
      </c>
      <c r="D289" s="1388" t="s">
        <v>632</v>
      </c>
      <c r="E289" s="1388"/>
      <c r="F289" s="1388" t="s">
        <v>116</v>
      </c>
      <c r="G289" s="1388" t="s">
        <v>633</v>
      </c>
      <c r="H289" s="1459">
        <f>I289</f>
        <v>1611</v>
      </c>
      <c r="I289" s="1476">
        <v>1611</v>
      </c>
      <c r="J289" s="1460"/>
      <c r="K289" s="1460"/>
      <c r="L289" s="1460"/>
      <c r="M289" s="1460"/>
      <c r="N289" s="1463">
        <f t="shared" si="325"/>
        <v>5000</v>
      </c>
      <c r="O289" s="1460">
        <v>5000</v>
      </c>
      <c r="P289" s="1463">
        <f t="shared" ref="P289" si="348">Q289</f>
        <v>3500</v>
      </c>
      <c r="Q289" s="1460">
        <v>3500</v>
      </c>
      <c r="R289" s="1454"/>
      <c r="S289" s="1383">
        <f t="shared" si="345"/>
        <v>1500</v>
      </c>
      <c r="T289" s="1463">
        <f t="shared" ref="T289" si="349">U289</f>
        <v>3500</v>
      </c>
      <c r="U289" s="1460">
        <v>3500</v>
      </c>
      <c r="V289" s="1454"/>
      <c r="W289" s="1383"/>
      <c r="X289" s="1463">
        <f t="shared" ref="X289" si="350">Y289</f>
        <v>3500</v>
      </c>
      <c r="Y289" s="1460">
        <v>3500</v>
      </c>
      <c r="Z289" s="1460">
        <v>0</v>
      </c>
      <c r="AA289" s="1460">
        <v>0</v>
      </c>
      <c r="AB289" s="1460">
        <v>1478</v>
      </c>
      <c r="AC289" s="1460">
        <v>1478</v>
      </c>
      <c r="AD289" s="1460"/>
      <c r="AE289" s="1525"/>
      <c r="AF289" s="1383">
        <f t="shared" si="257"/>
        <v>1478</v>
      </c>
      <c r="AG289" s="1383">
        <f t="shared" si="258"/>
        <v>1478</v>
      </c>
      <c r="AH289" s="1383">
        <f t="shared" si="268"/>
        <v>1300</v>
      </c>
      <c r="AI289" s="1383"/>
      <c r="AJ289" s="1383"/>
      <c r="AK289" s="1383">
        <v>1300</v>
      </c>
      <c r="AL289" s="1383"/>
      <c r="AM289" s="1383"/>
      <c r="AN289" s="1464"/>
      <c r="AO289" s="1464"/>
      <c r="AP289" s="1431">
        <f t="shared" si="324"/>
        <v>0</v>
      </c>
      <c r="AQ289" s="1431">
        <f t="shared" si="313"/>
        <v>1</v>
      </c>
      <c r="AR289" s="1434">
        <f t="shared" si="329"/>
        <v>0</v>
      </c>
      <c r="AS289" s="1434"/>
      <c r="AT289" s="1427">
        <f t="shared" si="330"/>
        <v>1</v>
      </c>
      <c r="AV289" s="1427">
        <f t="shared" si="339"/>
        <v>0</v>
      </c>
      <c r="AW289" s="1427">
        <f t="shared" si="340"/>
        <v>0</v>
      </c>
      <c r="AX289" s="1427">
        <f t="shared" si="332"/>
        <v>0</v>
      </c>
      <c r="AY289" s="1427">
        <f t="shared" si="317"/>
        <v>0</v>
      </c>
      <c r="AZ289" s="1427">
        <f t="shared" si="333"/>
        <v>0</v>
      </c>
      <c r="BA289" s="1427">
        <f t="shared" si="318"/>
        <v>0</v>
      </c>
      <c r="BB289" s="1427">
        <f t="shared" si="346"/>
        <v>1</v>
      </c>
      <c r="BC289" s="1427">
        <f t="shared" si="347"/>
        <v>1500</v>
      </c>
      <c r="BD289" s="1436">
        <f t="shared" si="341"/>
        <v>0</v>
      </c>
    </row>
    <row r="290" spans="1:56" ht="41.25" customHeight="1" x14ac:dyDescent="0.3">
      <c r="A290" s="1847" t="s">
        <v>3010</v>
      </c>
      <c r="B290" s="1457"/>
      <c r="C290" s="1458" t="s">
        <v>634</v>
      </c>
      <c r="D290" s="1388" t="s">
        <v>112</v>
      </c>
      <c r="E290" s="1388"/>
      <c r="F290" s="1388" t="s">
        <v>290</v>
      </c>
      <c r="G290" s="1388"/>
      <c r="H290" s="1459">
        <v>1500</v>
      </c>
      <c r="I290" s="1476">
        <f>H290</f>
        <v>1500</v>
      </c>
      <c r="J290" s="1460"/>
      <c r="K290" s="1460"/>
      <c r="L290" s="1460"/>
      <c r="M290" s="1460"/>
      <c r="N290" s="1463">
        <f>O290</f>
        <v>1500</v>
      </c>
      <c r="O290" s="1460">
        <v>1500</v>
      </c>
      <c r="P290" s="1463">
        <f>Q290</f>
        <v>1500</v>
      </c>
      <c r="Q290" s="1460">
        <v>1500</v>
      </c>
      <c r="R290" s="1454"/>
      <c r="S290" s="1454"/>
      <c r="T290" s="1463">
        <f>U290</f>
        <v>1500</v>
      </c>
      <c r="U290" s="1460">
        <v>1500</v>
      </c>
      <c r="V290" s="1454"/>
      <c r="W290" s="1454"/>
      <c r="X290" s="1463">
        <f>Y290</f>
        <v>1500</v>
      </c>
      <c r="Y290" s="1460">
        <v>1500</v>
      </c>
      <c r="Z290" s="1460"/>
      <c r="AA290" s="1460"/>
      <c r="AB290" s="1460">
        <v>1500</v>
      </c>
      <c r="AC290" s="1460">
        <v>1500</v>
      </c>
      <c r="AD290" s="1460"/>
      <c r="AE290" s="1460"/>
      <c r="AF290" s="1383">
        <f t="shared" si="257"/>
        <v>1500</v>
      </c>
      <c r="AG290" s="1383">
        <f t="shared" si="258"/>
        <v>1500</v>
      </c>
      <c r="AH290" s="1383">
        <f t="shared" si="268"/>
        <v>0</v>
      </c>
      <c r="AI290" s="1383"/>
      <c r="AJ290" s="1383"/>
      <c r="AK290" s="1383"/>
      <c r="AL290" s="1383"/>
      <c r="AM290" s="1383"/>
      <c r="AN290" s="1464"/>
      <c r="AO290" s="1464"/>
      <c r="AP290" s="1431">
        <f t="shared" si="324"/>
        <v>0</v>
      </c>
      <c r="AQ290" s="1431">
        <f t="shared" si="313"/>
        <v>1</v>
      </c>
      <c r="AR290" s="1434">
        <f t="shared" si="329"/>
        <v>0</v>
      </c>
      <c r="AS290" s="1434"/>
      <c r="AT290" s="1427">
        <f t="shared" si="330"/>
        <v>1</v>
      </c>
      <c r="AV290" s="1427">
        <f t="shared" si="339"/>
        <v>0</v>
      </c>
      <c r="AW290" s="1427">
        <f t="shared" si="340"/>
        <v>0</v>
      </c>
      <c r="AX290" s="1427">
        <f t="shared" si="332"/>
        <v>0</v>
      </c>
      <c r="AY290" s="1427">
        <f t="shared" si="317"/>
        <v>0</v>
      </c>
      <c r="AZ290" s="1427">
        <f t="shared" si="333"/>
        <v>0</v>
      </c>
      <c r="BA290" s="1427">
        <f t="shared" si="318"/>
        <v>0</v>
      </c>
      <c r="BB290" s="1427">
        <f t="shared" si="346"/>
        <v>0</v>
      </c>
      <c r="BC290" s="1427">
        <f t="shared" si="347"/>
        <v>0</v>
      </c>
      <c r="BD290" s="1436">
        <f t="shared" si="341"/>
        <v>1</v>
      </c>
    </row>
    <row r="291" spans="1:56" ht="57.75" customHeight="1" x14ac:dyDescent="0.3">
      <c r="A291" s="1847" t="s">
        <v>3011</v>
      </c>
      <c r="B291" s="1847" t="s">
        <v>2998</v>
      </c>
      <c r="C291" s="1458" t="s">
        <v>635</v>
      </c>
      <c r="D291" s="1388" t="s">
        <v>99</v>
      </c>
      <c r="E291" s="1388" t="s">
        <v>2610</v>
      </c>
      <c r="F291" s="1388" t="s">
        <v>290</v>
      </c>
      <c r="G291" s="1388"/>
      <c r="H291" s="1459">
        <f>I291</f>
        <v>11445</v>
      </c>
      <c r="I291" s="1476">
        <v>11445</v>
      </c>
      <c r="J291" s="1460"/>
      <c r="K291" s="1460"/>
      <c r="L291" s="1460"/>
      <c r="M291" s="1460"/>
      <c r="N291" s="1463">
        <f>O291</f>
        <v>8000</v>
      </c>
      <c r="O291" s="1460">
        <v>8000</v>
      </c>
      <c r="P291" s="1463">
        <f>Q291</f>
        <v>8000</v>
      </c>
      <c r="Q291" s="1460">
        <v>8000</v>
      </c>
      <c r="R291" s="1454"/>
      <c r="S291" s="1454"/>
      <c r="T291" s="1463">
        <f>U291</f>
        <v>8000</v>
      </c>
      <c r="U291" s="1460">
        <v>8000</v>
      </c>
      <c r="V291" s="1454"/>
      <c r="W291" s="1454"/>
      <c r="X291" s="1463">
        <f>Y291</f>
        <v>8000</v>
      </c>
      <c r="Y291" s="1460">
        <v>8000</v>
      </c>
      <c r="Z291" s="1460"/>
      <c r="AA291" s="1460"/>
      <c r="AB291" s="1460">
        <v>5000</v>
      </c>
      <c r="AC291" s="1460">
        <v>5000</v>
      </c>
      <c r="AD291" s="1460"/>
      <c r="AE291" s="1525"/>
      <c r="AF291" s="1383">
        <f t="shared" si="257"/>
        <v>5000</v>
      </c>
      <c r="AG291" s="1383">
        <f t="shared" si="258"/>
        <v>5000</v>
      </c>
      <c r="AH291" s="1383">
        <f t="shared" si="268"/>
        <v>5000</v>
      </c>
      <c r="AI291" s="1383"/>
      <c r="AJ291" s="1383"/>
      <c r="AK291" s="1383"/>
      <c r="AL291" s="1383"/>
      <c r="AM291" s="1383">
        <f>8000-3000</f>
        <v>5000</v>
      </c>
      <c r="AN291" s="1381"/>
      <c r="AO291" s="1381"/>
      <c r="AP291" s="1431">
        <f t="shared" si="324"/>
        <v>0</v>
      </c>
      <c r="AQ291" s="1431">
        <f t="shared" si="313"/>
        <v>1</v>
      </c>
      <c r="AR291" s="1434">
        <f t="shared" si="329"/>
        <v>0</v>
      </c>
      <c r="AS291" s="1434"/>
      <c r="AT291" s="1427">
        <f t="shared" si="330"/>
        <v>1</v>
      </c>
      <c r="AV291" s="1427">
        <f t="shared" si="339"/>
        <v>0</v>
      </c>
      <c r="AW291" s="1427">
        <f t="shared" si="340"/>
        <v>0</v>
      </c>
      <c r="AX291" s="1427">
        <f t="shared" si="332"/>
        <v>0</v>
      </c>
      <c r="AY291" s="1427">
        <f t="shared" si="317"/>
        <v>0</v>
      </c>
      <c r="AZ291" s="1427">
        <f t="shared" si="333"/>
        <v>0</v>
      </c>
      <c r="BA291" s="1427">
        <f t="shared" si="318"/>
        <v>0</v>
      </c>
      <c r="BB291" s="1427">
        <f t="shared" si="346"/>
        <v>0</v>
      </c>
      <c r="BC291" s="1427">
        <f t="shared" si="347"/>
        <v>0</v>
      </c>
      <c r="BD291" s="1436">
        <f t="shared" si="341"/>
        <v>1</v>
      </c>
    </row>
    <row r="292" spans="1:56" ht="76.5" customHeight="1" x14ac:dyDescent="0.3">
      <c r="A292" s="1847" t="s">
        <v>3012</v>
      </c>
      <c r="B292" s="1457"/>
      <c r="C292" s="1458" t="s">
        <v>636</v>
      </c>
      <c r="D292" s="1388" t="s">
        <v>58</v>
      </c>
      <c r="E292" s="1388"/>
      <c r="F292" s="1388" t="s">
        <v>290</v>
      </c>
      <c r="G292" s="1388" t="s">
        <v>2470</v>
      </c>
      <c r="H292" s="1459">
        <v>6955</v>
      </c>
      <c r="I292" s="1476">
        <f>H292</f>
        <v>6955</v>
      </c>
      <c r="J292" s="1460"/>
      <c r="K292" s="1460"/>
      <c r="L292" s="1460"/>
      <c r="M292" s="1460"/>
      <c r="N292" s="1463">
        <f>O292</f>
        <v>6000</v>
      </c>
      <c r="O292" s="1460">
        <v>6000</v>
      </c>
      <c r="P292" s="1463">
        <f>Q292</f>
        <v>6000</v>
      </c>
      <c r="Q292" s="1460">
        <v>6000</v>
      </c>
      <c r="R292" s="1454"/>
      <c r="S292" s="1454"/>
      <c r="T292" s="1463">
        <f>U292</f>
        <v>6000</v>
      </c>
      <c r="U292" s="1460">
        <v>6000</v>
      </c>
      <c r="V292" s="1454"/>
      <c r="W292" s="1454"/>
      <c r="X292" s="1463">
        <f>Y292</f>
        <v>6000</v>
      </c>
      <c r="Y292" s="1460">
        <v>6000</v>
      </c>
      <c r="Z292" s="1460"/>
      <c r="AA292" s="1460"/>
      <c r="AB292" s="1460">
        <v>6000</v>
      </c>
      <c r="AC292" s="1460">
        <v>6000</v>
      </c>
      <c r="AD292" s="1460"/>
      <c r="AE292" s="1460"/>
      <c r="AF292" s="1383">
        <f t="shared" ref="AF292:AF363" si="351">AG292</f>
        <v>6000</v>
      </c>
      <c r="AG292" s="1383">
        <f t="shared" ref="AG292:AG363" si="352">AC292+AD292+AE292</f>
        <v>6000</v>
      </c>
      <c r="AH292" s="1383">
        <f t="shared" si="268"/>
        <v>6000</v>
      </c>
      <c r="AI292" s="1383"/>
      <c r="AJ292" s="1383"/>
      <c r="AK292" s="1383"/>
      <c r="AL292" s="1383">
        <v>5500</v>
      </c>
      <c r="AM292" s="1383">
        <v>500</v>
      </c>
      <c r="AN292" s="1464"/>
      <c r="AO292" s="1464"/>
      <c r="AP292" s="1431">
        <f t="shared" si="324"/>
        <v>0</v>
      </c>
      <c r="AQ292" s="1431">
        <f t="shared" si="313"/>
        <v>1</v>
      </c>
      <c r="AR292" s="1434">
        <f t="shared" si="329"/>
        <v>0</v>
      </c>
      <c r="AS292" s="1434"/>
      <c r="AT292" s="1427">
        <f t="shared" si="330"/>
        <v>1</v>
      </c>
      <c r="AV292" s="1427">
        <f t="shared" si="339"/>
        <v>0</v>
      </c>
      <c r="AW292" s="1427">
        <f t="shared" si="340"/>
        <v>0</v>
      </c>
      <c r="AX292" s="1427">
        <f t="shared" si="332"/>
        <v>0</v>
      </c>
      <c r="AY292" s="1427">
        <f t="shared" si="317"/>
        <v>0</v>
      </c>
      <c r="AZ292" s="1427">
        <f t="shared" si="333"/>
        <v>0</v>
      </c>
      <c r="BA292" s="1427">
        <f t="shared" si="318"/>
        <v>0</v>
      </c>
      <c r="BB292" s="1427">
        <f t="shared" si="346"/>
        <v>0</v>
      </c>
      <c r="BC292" s="1427">
        <f t="shared" si="347"/>
        <v>0</v>
      </c>
      <c r="BD292" s="1436">
        <f t="shared" si="341"/>
        <v>1</v>
      </c>
    </row>
    <row r="293" spans="1:56" ht="42.75" customHeight="1" x14ac:dyDescent="0.3">
      <c r="A293" s="1847" t="s">
        <v>3013</v>
      </c>
      <c r="B293" s="1457"/>
      <c r="C293" s="1458" t="s">
        <v>637</v>
      </c>
      <c r="D293" s="1388" t="s">
        <v>416</v>
      </c>
      <c r="E293" s="1388"/>
      <c r="F293" s="1388">
        <v>2020</v>
      </c>
      <c r="G293" s="1388"/>
      <c r="H293" s="1459">
        <v>1245</v>
      </c>
      <c r="I293" s="1476">
        <f>H293</f>
        <v>1245</v>
      </c>
      <c r="J293" s="1460"/>
      <c r="K293" s="1460"/>
      <c r="L293" s="1460"/>
      <c r="M293" s="1460"/>
      <c r="N293" s="1463">
        <f>O293</f>
        <v>1200</v>
      </c>
      <c r="O293" s="1460">
        <v>1200</v>
      </c>
      <c r="P293" s="1463">
        <f>Q293</f>
        <v>1200</v>
      </c>
      <c r="Q293" s="1460">
        <v>1200</v>
      </c>
      <c r="R293" s="1454"/>
      <c r="S293" s="1454"/>
      <c r="T293" s="1463">
        <f>U293</f>
        <v>1200</v>
      </c>
      <c r="U293" s="1460">
        <v>1200</v>
      </c>
      <c r="V293" s="1454"/>
      <c r="W293" s="1454"/>
      <c r="X293" s="1463">
        <f>Y293</f>
        <v>1200</v>
      </c>
      <c r="Y293" s="1460">
        <v>1200</v>
      </c>
      <c r="Z293" s="1460"/>
      <c r="AA293" s="1460"/>
      <c r="AB293" s="1460">
        <v>1200</v>
      </c>
      <c r="AC293" s="1460">
        <v>1200</v>
      </c>
      <c r="AD293" s="1460"/>
      <c r="AE293" s="1460"/>
      <c r="AF293" s="1383">
        <f t="shared" si="351"/>
        <v>1200</v>
      </c>
      <c r="AG293" s="1383">
        <f t="shared" si="352"/>
        <v>1200</v>
      </c>
      <c r="AH293" s="1383">
        <f t="shared" si="268"/>
        <v>0</v>
      </c>
      <c r="AI293" s="1383"/>
      <c r="AJ293" s="1383"/>
      <c r="AK293" s="1383"/>
      <c r="AL293" s="1383"/>
      <c r="AM293" s="1383"/>
      <c r="AN293" s="1464"/>
      <c r="AO293" s="1464"/>
      <c r="AP293" s="1431">
        <f t="shared" si="324"/>
        <v>0</v>
      </c>
      <c r="AQ293" s="1431">
        <f t="shared" si="313"/>
        <v>1</v>
      </c>
      <c r="AR293" s="1434">
        <f t="shared" si="329"/>
        <v>0</v>
      </c>
      <c r="AS293" s="1434"/>
      <c r="AT293" s="1427">
        <f t="shared" si="330"/>
        <v>1</v>
      </c>
      <c r="AV293" s="1427">
        <f t="shared" si="339"/>
        <v>0</v>
      </c>
      <c r="AW293" s="1427">
        <f t="shared" si="340"/>
        <v>0</v>
      </c>
      <c r="AX293" s="1427">
        <f t="shared" si="332"/>
        <v>0</v>
      </c>
      <c r="AY293" s="1427">
        <f t="shared" si="317"/>
        <v>0</v>
      </c>
      <c r="AZ293" s="1427">
        <f t="shared" si="333"/>
        <v>0</v>
      </c>
      <c r="BA293" s="1427">
        <f t="shared" si="318"/>
        <v>0</v>
      </c>
      <c r="BB293" s="1427">
        <f t="shared" si="346"/>
        <v>0</v>
      </c>
      <c r="BC293" s="1427">
        <f t="shared" si="347"/>
        <v>0</v>
      </c>
      <c r="BD293" s="1436">
        <f t="shared" si="341"/>
        <v>1</v>
      </c>
    </row>
    <row r="294" spans="1:56" ht="78.75" customHeight="1" x14ac:dyDescent="0.3">
      <c r="A294" s="1847" t="s">
        <v>3014</v>
      </c>
      <c r="B294" s="1457"/>
      <c r="C294" s="1458" t="s">
        <v>638</v>
      </c>
      <c r="D294" s="1388" t="s">
        <v>639</v>
      </c>
      <c r="E294" s="1388"/>
      <c r="F294" s="1388" t="s">
        <v>290</v>
      </c>
      <c r="G294" s="1388"/>
      <c r="H294" s="1459">
        <v>24000</v>
      </c>
      <c r="I294" s="1476">
        <v>5000</v>
      </c>
      <c r="J294" s="1460"/>
      <c r="K294" s="1460"/>
      <c r="L294" s="1460"/>
      <c r="M294" s="1460"/>
      <c r="N294" s="1463">
        <v>24000</v>
      </c>
      <c r="O294" s="1460">
        <v>5000</v>
      </c>
      <c r="P294" s="1463">
        <v>24000</v>
      </c>
      <c r="Q294" s="1460">
        <v>5000</v>
      </c>
      <c r="R294" s="1454"/>
      <c r="S294" s="1454"/>
      <c r="T294" s="1463">
        <v>24000</v>
      </c>
      <c r="U294" s="1460">
        <v>5000</v>
      </c>
      <c r="V294" s="1454"/>
      <c r="W294" s="1454"/>
      <c r="X294" s="1463">
        <v>24000</v>
      </c>
      <c r="Y294" s="1460">
        <v>5000</v>
      </c>
      <c r="Z294" s="1460"/>
      <c r="AA294" s="1460"/>
      <c r="AB294" s="1460">
        <v>24000</v>
      </c>
      <c r="AC294" s="1460">
        <v>5000</v>
      </c>
      <c r="AD294" s="1460"/>
      <c r="AE294" s="1460"/>
      <c r="AF294" s="1383">
        <f>AB294</f>
        <v>24000</v>
      </c>
      <c r="AG294" s="1383">
        <f t="shared" si="352"/>
        <v>5000</v>
      </c>
      <c r="AH294" s="1383">
        <f t="shared" si="268"/>
        <v>0</v>
      </c>
      <c r="AI294" s="1383"/>
      <c r="AJ294" s="1383"/>
      <c r="AK294" s="1383"/>
      <c r="AL294" s="1383"/>
      <c r="AM294" s="1383"/>
      <c r="AN294" s="1464"/>
      <c r="AO294" s="1464"/>
      <c r="AP294" s="1431">
        <f t="shared" si="324"/>
        <v>0</v>
      </c>
      <c r="AQ294" s="1431">
        <f t="shared" si="313"/>
        <v>1</v>
      </c>
      <c r="AR294" s="1434">
        <f t="shared" si="329"/>
        <v>0</v>
      </c>
      <c r="AS294" s="1434"/>
      <c r="AT294" s="1427">
        <f t="shared" si="330"/>
        <v>1</v>
      </c>
      <c r="AV294" s="1427">
        <f t="shared" si="339"/>
        <v>0</v>
      </c>
      <c r="AW294" s="1427">
        <f t="shared" si="340"/>
        <v>0</v>
      </c>
      <c r="AX294" s="1427">
        <f t="shared" si="332"/>
        <v>0</v>
      </c>
      <c r="AY294" s="1427">
        <f t="shared" si="317"/>
        <v>0</v>
      </c>
      <c r="AZ294" s="1427">
        <f t="shared" si="333"/>
        <v>0</v>
      </c>
      <c r="BA294" s="1427">
        <f t="shared" si="318"/>
        <v>0</v>
      </c>
      <c r="BB294" s="1427">
        <f t="shared" si="346"/>
        <v>0</v>
      </c>
      <c r="BC294" s="1427">
        <f t="shared" si="347"/>
        <v>0</v>
      </c>
      <c r="BD294" s="1436">
        <f t="shared" si="341"/>
        <v>1</v>
      </c>
    </row>
    <row r="295" spans="1:56" ht="78" customHeight="1" x14ac:dyDescent="0.3">
      <c r="A295" s="1847" t="s">
        <v>3015</v>
      </c>
      <c r="B295" s="1457"/>
      <c r="C295" s="1458" t="s">
        <v>640</v>
      </c>
      <c r="D295" s="1388" t="s">
        <v>416</v>
      </c>
      <c r="E295" s="1388"/>
      <c r="F295" s="1388" t="s">
        <v>116</v>
      </c>
      <c r="G295" s="1388" t="s">
        <v>2471</v>
      </c>
      <c r="H295" s="1459">
        <v>2500</v>
      </c>
      <c r="I295" s="1476">
        <v>2500</v>
      </c>
      <c r="J295" s="1460"/>
      <c r="K295" s="1460"/>
      <c r="L295" s="1460"/>
      <c r="M295" s="1460"/>
      <c r="N295" s="1463"/>
      <c r="O295" s="1460"/>
      <c r="P295" s="1463">
        <f>Q295</f>
        <v>2500</v>
      </c>
      <c r="Q295" s="1460">
        <v>2500</v>
      </c>
      <c r="R295" s="1454">
        <f>U295</f>
        <v>2500</v>
      </c>
      <c r="S295" s="1454"/>
      <c r="T295" s="1463">
        <f>U295</f>
        <v>2500</v>
      </c>
      <c r="U295" s="1460">
        <v>2500</v>
      </c>
      <c r="V295" s="1454"/>
      <c r="W295" s="1454"/>
      <c r="X295" s="1463">
        <f>Y295</f>
        <v>2500</v>
      </c>
      <c r="Y295" s="1460">
        <v>2500</v>
      </c>
      <c r="Z295" s="1460"/>
      <c r="AA295" s="1460"/>
      <c r="AB295" s="1460">
        <v>2500</v>
      </c>
      <c r="AC295" s="1460">
        <v>2500</v>
      </c>
      <c r="AD295" s="1460"/>
      <c r="AE295" s="1460"/>
      <c r="AF295" s="1383">
        <f t="shared" si="351"/>
        <v>2500</v>
      </c>
      <c r="AG295" s="1383">
        <f t="shared" si="352"/>
        <v>2500</v>
      </c>
      <c r="AH295" s="1383">
        <f t="shared" si="268"/>
        <v>2000</v>
      </c>
      <c r="AI295" s="1383"/>
      <c r="AJ295" s="1383"/>
      <c r="AK295" s="1383"/>
      <c r="AL295" s="1383">
        <v>2000</v>
      </c>
      <c r="AM295" s="1383"/>
      <c r="AN295" s="1381"/>
      <c r="AO295" s="1381"/>
      <c r="AP295" s="1431">
        <f t="shared" si="324"/>
        <v>0</v>
      </c>
      <c r="AQ295" s="1431">
        <f t="shared" si="313"/>
        <v>1</v>
      </c>
      <c r="AR295" s="1434">
        <f t="shared" si="329"/>
        <v>0</v>
      </c>
      <c r="AS295" s="1434"/>
      <c r="AT295" s="1427">
        <f t="shared" si="330"/>
        <v>1</v>
      </c>
      <c r="AV295" s="1427">
        <f t="shared" si="339"/>
        <v>0</v>
      </c>
      <c r="AW295" s="1427">
        <f t="shared" si="340"/>
        <v>0</v>
      </c>
      <c r="AX295" s="1427">
        <f t="shared" si="332"/>
        <v>1</v>
      </c>
      <c r="AY295" s="1427">
        <f t="shared" si="317"/>
        <v>2500</v>
      </c>
      <c r="BB295" s="1427">
        <f t="shared" si="346"/>
        <v>0</v>
      </c>
      <c r="BC295" s="1427">
        <f t="shared" si="347"/>
        <v>0</v>
      </c>
      <c r="BD295" s="1436">
        <f t="shared" si="341"/>
        <v>1</v>
      </c>
    </row>
    <row r="296" spans="1:56" ht="78" customHeight="1" x14ac:dyDescent="0.3">
      <c r="A296" s="1847" t="s">
        <v>3016</v>
      </c>
      <c r="B296" s="1457"/>
      <c r="C296" s="1458" t="s">
        <v>642</v>
      </c>
      <c r="D296" s="1388" t="s">
        <v>416</v>
      </c>
      <c r="E296" s="1388"/>
      <c r="F296" s="1388" t="s">
        <v>116</v>
      </c>
      <c r="G296" s="1388" t="s">
        <v>2472</v>
      </c>
      <c r="H296" s="1459">
        <f>I296</f>
        <v>6000</v>
      </c>
      <c r="I296" s="1459">
        <v>6000</v>
      </c>
      <c r="J296" s="1460"/>
      <c r="K296" s="1460"/>
      <c r="L296" s="1460"/>
      <c r="M296" s="1460"/>
      <c r="N296" s="1463"/>
      <c r="O296" s="1460"/>
      <c r="P296" s="1463">
        <f>Q296</f>
        <v>6000</v>
      </c>
      <c r="Q296" s="1460">
        <f>I296</f>
        <v>6000</v>
      </c>
      <c r="R296" s="1454">
        <f>U296</f>
        <v>6000</v>
      </c>
      <c r="S296" s="1454"/>
      <c r="T296" s="1463">
        <f>U296</f>
        <v>6000</v>
      </c>
      <c r="U296" s="1460">
        <v>6000</v>
      </c>
      <c r="V296" s="1454"/>
      <c r="W296" s="1454"/>
      <c r="X296" s="1463">
        <f>Y296</f>
        <v>6000</v>
      </c>
      <c r="Y296" s="1460">
        <v>6000</v>
      </c>
      <c r="Z296" s="1460"/>
      <c r="AA296" s="1460"/>
      <c r="AB296" s="1460">
        <v>6000</v>
      </c>
      <c r="AC296" s="1460">
        <v>6000</v>
      </c>
      <c r="AD296" s="1460"/>
      <c r="AE296" s="1460"/>
      <c r="AF296" s="1383">
        <f t="shared" si="351"/>
        <v>6000</v>
      </c>
      <c r="AG296" s="1383">
        <f t="shared" si="352"/>
        <v>6000</v>
      </c>
      <c r="AH296" s="1383">
        <f t="shared" si="268"/>
        <v>5590</v>
      </c>
      <c r="AI296" s="1383"/>
      <c r="AJ296" s="1383"/>
      <c r="AK296" s="1383"/>
      <c r="AL296" s="1383"/>
      <c r="AM296" s="1383">
        <v>5590</v>
      </c>
      <c r="AN296" s="1495"/>
      <c r="AO296" s="1495"/>
      <c r="AP296" s="1431">
        <f t="shared" si="324"/>
        <v>0</v>
      </c>
      <c r="AQ296" s="1431">
        <f t="shared" si="313"/>
        <v>1</v>
      </c>
      <c r="AR296" s="1434">
        <f t="shared" si="329"/>
        <v>0</v>
      </c>
      <c r="AS296" s="1434"/>
      <c r="AT296" s="1427">
        <f t="shared" si="330"/>
        <v>1</v>
      </c>
      <c r="AV296" s="1427">
        <f t="shared" si="339"/>
        <v>0</v>
      </c>
      <c r="AW296" s="1427">
        <f t="shared" si="340"/>
        <v>0</v>
      </c>
      <c r="AX296" s="1427">
        <f t="shared" si="332"/>
        <v>1</v>
      </c>
      <c r="AY296" s="1427">
        <f t="shared" si="317"/>
        <v>6000</v>
      </c>
      <c r="BB296" s="1427">
        <f t="shared" si="346"/>
        <v>0</v>
      </c>
      <c r="BC296" s="1427">
        <f t="shared" si="347"/>
        <v>0</v>
      </c>
      <c r="BD296" s="1436">
        <f t="shared" si="341"/>
        <v>1</v>
      </c>
    </row>
    <row r="297" spans="1:56" ht="29.25" customHeight="1" x14ac:dyDescent="0.3">
      <c r="A297" s="1847" t="s">
        <v>3017</v>
      </c>
      <c r="B297" s="1457"/>
      <c r="C297" s="1458" t="s">
        <v>643</v>
      </c>
      <c r="D297" s="1388" t="s">
        <v>416</v>
      </c>
      <c r="E297" s="1388"/>
      <c r="F297" s="1388" t="s">
        <v>116</v>
      </c>
      <c r="G297" s="1388"/>
      <c r="H297" s="1459">
        <v>40000</v>
      </c>
      <c r="I297" s="1459">
        <v>8000</v>
      </c>
      <c r="J297" s="1460"/>
      <c r="K297" s="1460"/>
      <c r="L297" s="1460"/>
      <c r="M297" s="1460"/>
      <c r="N297" s="1463"/>
      <c r="O297" s="1460"/>
      <c r="P297" s="1463">
        <v>40000</v>
      </c>
      <c r="Q297" s="1460">
        <f>I297</f>
        <v>8000</v>
      </c>
      <c r="R297" s="1454">
        <f>U297</f>
        <v>0</v>
      </c>
      <c r="S297" s="1454"/>
      <c r="T297" s="1463"/>
      <c r="U297" s="1460"/>
      <c r="V297" s="1454"/>
      <c r="W297" s="1454"/>
      <c r="X297" s="1463"/>
      <c r="Y297" s="1460"/>
      <c r="Z297" s="1460"/>
      <c r="AA297" s="1460"/>
      <c r="AB297" s="1460">
        <v>0</v>
      </c>
      <c r="AC297" s="1460">
        <v>0</v>
      </c>
      <c r="AD297" s="1460"/>
      <c r="AE297" s="1460"/>
      <c r="AF297" s="1383">
        <f t="shared" si="351"/>
        <v>0</v>
      </c>
      <c r="AG297" s="1383">
        <f t="shared" si="352"/>
        <v>0</v>
      </c>
      <c r="AH297" s="1383">
        <f t="shared" si="268"/>
        <v>0</v>
      </c>
      <c r="AI297" s="1383"/>
      <c r="AJ297" s="1383"/>
      <c r="AK297" s="1383"/>
      <c r="AL297" s="1383"/>
      <c r="AM297" s="1383"/>
      <c r="AN297" s="1381"/>
      <c r="AO297" s="1381"/>
      <c r="AP297" s="1431">
        <f t="shared" si="324"/>
        <v>0</v>
      </c>
      <c r="AQ297" s="1431">
        <f t="shared" ref="AQ297:AQ328" si="353">IF(Y297=0,0,1)</f>
        <v>0</v>
      </c>
      <c r="AR297" s="1434">
        <f t="shared" si="329"/>
        <v>0</v>
      </c>
      <c r="AS297" s="1434"/>
      <c r="AT297" s="1427">
        <f t="shared" si="330"/>
        <v>1</v>
      </c>
      <c r="AV297" s="1427">
        <f t="shared" si="339"/>
        <v>0</v>
      </c>
      <c r="AW297" s="1427">
        <f t="shared" si="340"/>
        <v>0</v>
      </c>
      <c r="AX297" s="1427">
        <f t="shared" si="332"/>
        <v>1</v>
      </c>
      <c r="AY297" s="1427">
        <f t="shared" si="317"/>
        <v>8000</v>
      </c>
      <c r="BB297" s="1427">
        <f t="shared" si="346"/>
        <v>0</v>
      </c>
      <c r="BC297" s="1427">
        <f t="shared" si="347"/>
        <v>0</v>
      </c>
      <c r="BD297" s="1436">
        <f t="shared" si="341"/>
        <v>1</v>
      </c>
    </row>
    <row r="298" spans="1:56" ht="79.5" customHeight="1" x14ac:dyDescent="0.3">
      <c r="A298" s="1847" t="s">
        <v>3018</v>
      </c>
      <c r="B298" s="1457"/>
      <c r="C298" s="1458" t="s">
        <v>646</v>
      </c>
      <c r="D298" s="1388" t="s">
        <v>647</v>
      </c>
      <c r="E298" s="1388" t="s">
        <v>2614</v>
      </c>
      <c r="F298" s="1388" t="s">
        <v>290</v>
      </c>
      <c r="G298" s="1388"/>
      <c r="H298" s="1459">
        <v>12750</v>
      </c>
      <c r="I298" s="1476">
        <f>H298</f>
        <v>12750</v>
      </c>
      <c r="J298" s="1460"/>
      <c r="K298" s="1460"/>
      <c r="L298" s="1460"/>
      <c r="M298" s="1460"/>
      <c r="N298" s="1463">
        <f>O298</f>
        <v>5000</v>
      </c>
      <c r="O298" s="1460">
        <v>5000</v>
      </c>
      <c r="P298" s="1463">
        <f>Q298</f>
        <v>5000</v>
      </c>
      <c r="Q298" s="1460">
        <v>5000</v>
      </c>
      <c r="R298" s="1454"/>
      <c r="S298" s="1454"/>
      <c r="T298" s="1463">
        <f>U298</f>
        <v>5000</v>
      </c>
      <c r="U298" s="1460">
        <v>5000</v>
      </c>
      <c r="V298" s="1454">
        <v>7000</v>
      </c>
      <c r="W298" s="1454"/>
      <c r="X298" s="1463">
        <f>Y298</f>
        <v>12000</v>
      </c>
      <c r="Y298" s="1460">
        <f>V298+U298</f>
        <v>12000</v>
      </c>
      <c r="Z298" s="1460"/>
      <c r="AA298" s="1460"/>
      <c r="AB298" s="1460">
        <v>12000</v>
      </c>
      <c r="AC298" s="1460">
        <v>12000</v>
      </c>
      <c r="AD298" s="1460"/>
      <c r="AE298" s="1460"/>
      <c r="AF298" s="1383">
        <f t="shared" si="351"/>
        <v>12000</v>
      </c>
      <c r="AG298" s="1383">
        <f t="shared" si="352"/>
        <v>12000</v>
      </c>
      <c r="AH298" s="1383">
        <f t="shared" si="268"/>
        <v>12000</v>
      </c>
      <c r="AI298" s="1383"/>
      <c r="AJ298" s="1383"/>
      <c r="AK298" s="1383"/>
      <c r="AL298" s="1383"/>
      <c r="AM298" s="1383">
        <v>12000</v>
      </c>
      <c r="AN298" s="1381"/>
      <c r="AO298" s="1381"/>
      <c r="AP298" s="1431">
        <f t="shared" si="324"/>
        <v>0</v>
      </c>
      <c r="AQ298" s="1431">
        <f t="shared" si="353"/>
        <v>1</v>
      </c>
      <c r="AR298" s="1434">
        <f>AP298</f>
        <v>0</v>
      </c>
      <c r="AS298" s="1434"/>
      <c r="AT298" s="1427">
        <f>IF(AP298=0,1,0)</f>
        <v>1</v>
      </c>
      <c r="AV298" s="1427">
        <f t="shared" si="339"/>
        <v>0</v>
      </c>
      <c r="AW298" s="1427">
        <f t="shared" si="340"/>
        <v>0</v>
      </c>
      <c r="AX298" s="1427">
        <f t="shared" si="332"/>
        <v>0</v>
      </c>
      <c r="AY298" s="1427">
        <f t="shared" si="317"/>
        <v>0</v>
      </c>
      <c r="AZ298" s="1427">
        <f>IF(R298=0,0,1)</f>
        <v>0</v>
      </c>
      <c r="BA298" s="1427">
        <f t="shared" ref="BA298:BA309" si="354">IF(AZ298=1,R298,0)</f>
        <v>0</v>
      </c>
      <c r="BB298" s="1427">
        <f t="shared" si="346"/>
        <v>0</v>
      </c>
      <c r="BC298" s="1427">
        <f t="shared" si="347"/>
        <v>0</v>
      </c>
      <c r="BD298" s="1436">
        <f t="shared" si="341"/>
        <v>1</v>
      </c>
    </row>
    <row r="299" spans="1:56" ht="39" x14ac:dyDescent="0.3">
      <c r="A299" s="1827" t="s">
        <v>3019</v>
      </c>
      <c r="B299" s="1827" t="s">
        <v>3019</v>
      </c>
      <c r="C299" s="1446" t="s">
        <v>138</v>
      </c>
      <c r="D299" s="1448"/>
      <c r="E299" s="1448"/>
      <c r="F299" s="1448"/>
      <c r="G299" s="1448"/>
      <c r="H299" s="1449">
        <f t="shared" ref="H299:V299" si="355">SUM(H300:H311)</f>
        <v>257842</v>
      </c>
      <c r="I299" s="1449">
        <f t="shared" si="355"/>
        <v>168580</v>
      </c>
      <c r="J299" s="1449">
        <f t="shared" si="355"/>
        <v>0</v>
      </c>
      <c r="K299" s="1449">
        <f t="shared" si="355"/>
        <v>0</v>
      </c>
      <c r="L299" s="1449">
        <f t="shared" si="355"/>
        <v>0</v>
      </c>
      <c r="M299" s="1449">
        <f t="shared" si="355"/>
        <v>0</v>
      </c>
      <c r="N299" s="1449">
        <f t="shared" si="355"/>
        <v>60000</v>
      </c>
      <c r="O299" s="1449">
        <f t="shared" si="355"/>
        <v>60000</v>
      </c>
      <c r="P299" s="1449">
        <f t="shared" si="355"/>
        <v>60000</v>
      </c>
      <c r="Q299" s="1449">
        <f t="shared" si="355"/>
        <v>60000</v>
      </c>
      <c r="R299" s="1449">
        <f t="shared" si="355"/>
        <v>0</v>
      </c>
      <c r="S299" s="1449">
        <f t="shared" si="355"/>
        <v>4000</v>
      </c>
      <c r="T299" s="1449">
        <f t="shared" si="355"/>
        <v>51000</v>
      </c>
      <c r="U299" s="1449">
        <f t="shared" si="355"/>
        <v>51000</v>
      </c>
      <c r="V299" s="1449">
        <f t="shared" si="355"/>
        <v>38000</v>
      </c>
      <c r="W299" s="1449">
        <f>SUM(W300:W311)</f>
        <v>0</v>
      </c>
      <c r="X299" s="1449">
        <f t="shared" ref="X299:AM299" si="356">SUM(X300:X311)</f>
        <v>89000</v>
      </c>
      <c r="Y299" s="1449">
        <f t="shared" si="356"/>
        <v>89000</v>
      </c>
      <c r="Z299" s="1449">
        <v>0</v>
      </c>
      <c r="AA299" s="1449">
        <v>0</v>
      </c>
      <c r="AB299" s="1449">
        <v>72850</v>
      </c>
      <c r="AC299" s="1449">
        <v>72850</v>
      </c>
      <c r="AD299" s="1449">
        <f t="shared" si="356"/>
        <v>0</v>
      </c>
      <c r="AE299" s="1526">
        <f t="shared" si="356"/>
        <v>0</v>
      </c>
      <c r="AF299" s="1449">
        <f t="shared" si="356"/>
        <v>72850</v>
      </c>
      <c r="AG299" s="1449">
        <f t="shared" si="356"/>
        <v>72850</v>
      </c>
      <c r="AH299" s="1449">
        <f t="shared" si="356"/>
        <v>66720</v>
      </c>
      <c r="AI299" s="1449">
        <f t="shared" si="356"/>
        <v>0</v>
      </c>
      <c r="AJ299" s="1449">
        <f t="shared" si="356"/>
        <v>0</v>
      </c>
      <c r="AK299" s="1449">
        <f t="shared" si="356"/>
        <v>0</v>
      </c>
      <c r="AL299" s="1449">
        <f t="shared" si="356"/>
        <v>22820</v>
      </c>
      <c r="AM299" s="1449">
        <f t="shared" si="356"/>
        <v>43900</v>
      </c>
      <c r="AN299" s="1466"/>
      <c r="AO299" s="1466"/>
      <c r="AP299" s="1431">
        <f t="shared" si="324"/>
        <v>0</v>
      </c>
      <c r="AQ299" s="1431">
        <f t="shared" si="353"/>
        <v>1</v>
      </c>
      <c r="AR299" s="1434"/>
      <c r="AS299" s="1434"/>
      <c r="AW299" s="1427">
        <f t="shared" si="340"/>
        <v>0</v>
      </c>
      <c r="AY299" s="1427">
        <f t="shared" ref="AY299:AY309" si="357">IF(AX299=1,Q299,0)</f>
        <v>0</v>
      </c>
      <c r="BA299" s="1427">
        <f t="shared" si="354"/>
        <v>0</v>
      </c>
      <c r="BC299" s="1427">
        <f t="shared" si="347"/>
        <v>0</v>
      </c>
      <c r="BD299" s="1436">
        <f t="shared" si="341"/>
        <v>1</v>
      </c>
    </row>
    <row r="300" spans="1:56" ht="78.75" customHeight="1" x14ac:dyDescent="0.3">
      <c r="A300" s="1457" t="s">
        <v>3020</v>
      </c>
      <c r="B300" s="1457" t="s">
        <v>3020</v>
      </c>
      <c r="C300" s="1458" t="s">
        <v>644</v>
      </c>
      <c r="D300" s="1388" t="s">
        <v>146</v>
      </c>
      <c r="E300" s="1388"/>
      <c r="F300" s="1388" t="s">
        <v>141</v>
      </c>
      <c r="G300" s="1388" t="s">
        <v>2473</v>
      </c>
      <c r="H300" s="1459">
        <v>20000</v>
      </c>
      <c r="I300" s="1476">
        <f>H300</f>
        <v>20000</v>
      </c>
      <c r="J300" s="1460"/>
      <c r="K300" s="1460"/>
      <c r="L300" s="1460"/>
      <c r="M300" s="1460"/>
      <c r="N300" s="1463">
        <f>O300</f>
        <v>10000</v>
      </c>
      <c r="O300" s="1460">
        <v>10000</v>
      </c>
      <c r="P300" s="1463">
        <f>Q300</f>
        <v>10000</v>
      </c>
      <c r="Q300" s="1460">
        <v>10000</v>
      </c>
      <c r="R300" s="1454"/>
      <c r="S300" s="1454"/>
      <c r="T300" s="1463">
        <f>U300</f>
        <v>10000</v>
      </c>
      <c r="U300" s="1460">
        <v>10000</v>
      </c>
      <c r="V300" s="1454">
        <v>5000</v>
      </c>
      <c r="W300" s="1454"/>
      <c r="X300" s="1463">
        <f>Y300</f>
        <v>15000</v>
      </c>
      <c r="Y300" s="1460">
        <f>U300+V300</f>
        <v>15000</v>
      </c>
      <c r="Z300" s="1460"/>
      <c r="AA300" s="1460"/>
      <c r="AB300" s="1460">
        <v>15500</v>
      </c>
      <c r="AC300" s="1460">
        <v>15500</v>
      </c>
      <c r="AD300" s="1460"/>
      <c r="AE300" s="1525"/>
      <c r="AF300" s="1383">
        <f t="shared" si="351"/>
        <v>15500</v>
      </c>
      <c r="AG300" s="1383">
        <f t="shared" si="352"/>
        <v>15500</v>
      </c>
      <c r="AH300" s="1383">
        <f t="shared" ref="AH300:AH372" si="358">SUM(AI300:AM300)</f>
        <v>15000</v>
      </c>
      <c r="AI300" s="1383"/>
      <c r="AJ300" s="1383"/>
      <c r="AK300" s="1383"/>
      <c r="AL300" s="1383">
        <v>8500</v>
      </c>
      <c r="AM300" s="1383">
        <v>6500</v>
      </c>
      <c r="AN300" s="1464"/>
      <c r="AO300" s="1464"/>
      <c r="AP300" s="1431">
        <f t="shared" si="324"/>
        <v>0</v>
      </c>
      <c r="AQ300" s="1431">
        <f t="shared" si="353"/>
        <v>1</v>
      </c>
      <c r="AR300" s="1434">
        <f t="shared" si="329"/>
        <v>0</v>
      </c>
      <c r="AS300" s="1434"/>
      <c r="AT300" s="1427">
        <f t="shared" ref="AT300:AT311" si="359">IF(AP300=0,1,0)</f>
        <v>1</v>
      </c>
      <c r="AV300" s="1427">
        <f t="shared" ref="AV300:AV309" si="360">IF(Q300=0,1,0)</f>
        <v>0</v>
      </c>
      <c r="AW300" s="1427">
        <f t="shared" si="340"/>
        <v>0</v>
      </c>
      <c r="AX300" s="1427">
        <f t="shared" ref="AX300:AX309" si="361">IF(O300=0,1,0)</f>
        <v>0</v>
      </c>
      <c r="AY300" s="1427">
        <f t="shared" si="357"/>
        <v>0</v>
      </c>
      <c r="AZ300" s="1427">
        <f t="shared" ref="AZ300:AZ309" si="362">IF(R300=0,0,1)</f>
        <v>0</v>
      </c>
      <c r="BA300" s="1427">
        <f t="shared" si="354"/>
        <v>0</v>
      </c>
      <c r="BB300" s="1427">
        <f t="shared" ref="BB300:BB309" si="363">IF(S300=0,0,1)</f>
        <v>0</v>
      </c>
      <c r="BC300" s="1427">
        <f t="shared" si="347"/>
        <v>0</v>
      </c>
      <c r="BD300" s="1436">
        <f t="shared" si="341"/>
        <v>1</v>
      </c>
    </row>
    <row r="301" spans="1:56" ht="31.5" customHeight="1" x14ac:dyDescent="0.3">
      <c r="A301" s="1457" t="s">
        <v>3021</v>
      </c>
      <c r="B301" s="1457" t="s">
        <v>3021</v>
      </c>
      <c r="C301" s="1458" t="s">
        <v>645</v>
      </c>
      <c r="D301" s="1388" t="s">
        <v>416</v>
      </c>
      <c r="E301" s="1388"/>
      <c r="F301" s="1388" t="s">
        <v>165</v>
      </c>
      <c r="G301" s="1388"/>
      <c r="H301" s="1459">
        <v>80000</v>
      </c>
      <c r="I301" s="1476">
        <f>H301</f>
        <v>80000</v>
      </c>
      <c r="J301" s="1460"/>
      <c r="K301" s="1460"/>
      <c r="L301" s="1460"/>
      <c r="M301" s="1460"/>
      <c r="N301" s="1463">
        <f>O301</f>
        <v>5000</v>
      </c>
      <c r="O301" s="1460">
        <v>5000</v>
      </c>
      <c r="P301" s="1463">
        <f>Q301</f>
        <v>5000</v>
      </c>
      <c r="Q301" s="1460">
        <v>5000</v>
      </c>
      <c r="R301" s="1454"/>
      <c r="S301" s="1454">
        <v>4000</v>
      </c>
      <c r="T301" s="1463">
        <f>U301</f>
        <v>1000</v>
      </c>
      <c r="U301" s="1460">
        <v>1000</v>
      </c>
      <c r="V301" s="1454"/>
      <c r="W301" s="1454"/>
      <c r="X301" s="1463">
        <f>Y301</f>
        <v>1000</v>
      </c>
      <c r="Y301" s="1460">
        <v>1000</v>
      </c>
      <c r="Z301" s="1460"/>
      <c r="AA301" s="1460"/>
      <c r="AB301" s="1460">
        <v>0</v>
      </c>
      <c r="AC301" s="1460">
        <v>0</v>
      </c>
      <c r="AD301" s="1460"/>
      <c r="AE301" s="1525"/>
      <c r="AF301" s="1383">
        <f t="shared" si="351"/>
        <v>0</v>
      </c>
      <c r="AG301" s="1383">
        <f t="shared" si="352"/>
        <v>0</v>
      </c>
      <c r="AH301" s="1383">
        <f t="shared" si="358"/>
        <v>0</v>
      </c>
      <c r="AI301" s="1383"/>
      <c r="AJ301" s="1383"/>
      <c r="AK301" s="1383"/>
      <c r="AL301" s="1383"/>
      <c r="AM301" s="1383"/>
      <c r="AN301" s="1381" t="s">
        <v>284</v>
      </c>
      <c r="AO301" s="1464"/>
      <c r="AP301" s="1431">
        <f t="shared" si="324"/>
        <v>0</v>
      </c>
      <c r="AQ301" s="1431">
        <f t="shared" si="353"/>
        <v>1</v>
      </c>
      <c r="AR301" s="1434">
        <f t="shared" si="329"/>
        <v>0</v>
      </c>
      <c r="AS301" s="1434"/>
      <c r="AT301" s="1427">
        <f t="shared" si="359"/>
        <v>1</v>
      </c>
      <c r="AV301" s="1427">
        <f t="shared" si="360"/>
        <v>0</v>
      </c>
      <c r="AW301" s="1427">
        <f t="shared" si="340"/>
        <v>0</v>
      </c>
      <c r="AX301" s="1427">
        <f t="shared" si="361"/>
        <v>0</v>
      </c>
      <c r="AY301" s="1427">
        <f t="shared" si="357"/>
        <v>0</v>
      </c>
      <c r="AZ301" s="1427">
        <f t="shared" si="362"/>
        <v>0</v>
      </c>
      <c r="BA301" s="1427">
        <f t="shared" si="354"/>
        <v>0</v>
      </c>
      <c r="BB301" s="1427">
        <f t="shared" si="363"/>
        <v>1</v>
      </c>
      <c r="BC301" s="1427">
        <f t="shared" si="347"/>
        <v>4000</v>
      </c>
      <c r="BD301" s="1436">
        <f t="shared" si="341"/>
        <v>1</v>
      </c>
    </row>
    <row r="302" spans="1:56" ht="42.75" customHeight="1" x14ac:dyDescent="0.3">
      <c r="A302" s="1457" t="s">
        <v>3022</v>
      </c>
      <c r="B302" s="1457"/>
      <c r="C302" s="1458" t="s">
        <v>648</v>
      </c>
      <c r="D302" s="1388" t="s">
        <v>649</v>
      </c>
      <c r="E302" s="1388"/>
      <c r="F302" s="1388" t="s">
        <v>168</v>
      </c>
      <c r="G302" s="1388"/>
      <c r="H302" s="1459">
        <v>31000</v>
      </c>
      <c r="I302" s="1476">
        <v>5000</v>
      </c>
      <c r="J302" s="1460"/>
      <c r="K302" s="1460"/>
      <c r="L302" s="1460"/>
      <c r="M302" s="1460"/>
      <c r="N302" s="1463">
        <f t="shared" si="325"/>
        <v>5000</v>
      </c>
      <c r="O302" s="1460">
        <v>5000</v>
      </c>
      <c r="P302" s="1463">
        <f t="shared" ref="P302:P311" si="364">Q302</f>
        <v>5000</v>
      </c>
      <c r="Q302" s="1460">
        <v>5000</v>
      </c>
      <c r="R302" s="1454"/>
      <c r="S302" s="1454"/>
      <c r="T302" s="1463">
        <f t="shared" ref="T302:T308" si="365">U302</f>
        <v>5000</v>
      </c>
      <c r="U302" s="1460">
        <v>5000</v>
      </c>
      <c r="V302" s="1454"/>
      <c r="W302" s="1454"/>
      <c r="X302" s="1463">
        <f t="shared" ref="X302:X311" si="366">Y302</f>
        <v>5000</v>
      </c>
      <c r="Y302" s="1460">
        <v>5000</v>
      </c>
      <c r="Z302" s="1460"/>
      <c r="AA302" s="1460"/>
      <c r="AB302" s="1460">
        <v>5000</v>
      </c>
      <c r="AC302" s="1460">
        <v>5000</v>
      </c>
      <c r="AD302" s="1460"/>
      <c r="AE302" s="1460"/>
      <c r="AF302" s="1383">
        <f t="shared" si="351"/>
        <v>5000</v>
      </c>
      <c r="AG302" s="1383">
        <f t="shared" si="352"/>
        <v>5000</v>
      </c>
      <c r="AH302" s="1383">
        <f t="shared" si="358"/>
        <v>5000</v>
      </c>
      <c r="AI302" s="1383"/>
      <c r="AJ302" s="1383"/>
      <c r="AK302" s="1383"/>
      <c r="AL302" s="1383"/>
      <c r="AM302" s="1383">
        <v>5000</v>
      </c>
      <c r="AN302" s="1464"/>
      <c r="AO302" s="1464"/>
      <c r="AP302" s="1431">
        <f t="shared" si="324"/>
        <v>0</v>
      </c>
      <c r="AQ302" s="1431">
        <f t="shared" si="353"/>
        <v>1</v>
      </c>
      <c r="AR302" s="1434">
        <f t="shared" si="329"/>
        <v>0</v>
      </c>
      <c r="AS302" s="1434"/>
      <c r="AT302" s="1427">
        <f t="shared" si="359"/>
        <v>1</v>
      </c>
      <c r="AV302" s="1427">
        <f t="shared" si="360"/>
        <v>0</v>
      </c>
      <c r="AW302" s="1427">
        <f t="shared" si="340"/>
        <v>0</v>
      </c>
      <c r="AX302" s="1427">
        <f t="shared" si="361"/>
        <v>0</v>
      </c>
      <c r="AY302" s="1427">
        <f t="shared" si="357"/>
        <v>0</v>
      </c>
      <c r="AZ302" s="1427">
        <f t="shared" si="362"/>
        <v>0</v>
      </c>
      <c r="BA302" s="1427">
        <f t="shared" si="354"/>
        <v>0</v>
      </c>
      <c r="BB302" s="1427">
        <f t="shared" si="363"/>
        <v>0</v>
      </c>
      <c r="BC302" s="1427">
        <f t="shared" si="347"/>
        <v>0</v>
      </c>
      <c r="BD302" s="1436">
        <f t="shared" si="341"/>
        <v>1</v>
      </c>
    </row>
    <row r="303" spans="1:56" ht="75" x14ac:dyDescent="0.3">
      <c r="A303" s="1457" t="s">
        <v>3023</v>
      </c>
      <c r="B303" s="1457"/>
      <c r="C303" s="1458" t="s">
        <v>650</v>
      </c>
      <c r="D303" s="1388" t="s">
        <v>651</v>
      </c>
      <c r="E303" s="1388"/>
      <c r="F303" s="1388" t="s">
        <v>168</v>
      </c>
      <c r="G303" s="1388" t="s">
        <v>2474</v>
      </c>
      <c r="H303" s="1459">
        <v>15000</v>
      </c>
      <c r="I303" s="1476">
        <v>5000</v>
      </c>
      <c r="J303" s="1460"/>
      <c r="K303" s="1460"/>
      <c r="L303" s="1460"/>
      <c r="M303" s="1460"/>
      <c r="N303" s="1463">
        <f t="shared" si="325"/>
        <v>5000</v>
      </c>
      <c r="O303" s="1460">
        <v>5000</v>
      </c>
      <c r="P303" s="1463">
        <f t="shared" si="364"/>
        <v>5000</v>
      </c>
      <c r="Q303" s="1460">
        <v>5000</v>
      </c>
      <c r="R303" s="1454"/>
      <c r="S303" s="1454"/>
      <c r="T303" s="1463">
        <f t="shared" si="365"/>
        <v>5000</v>
      </c>
      <c r="U303" s="1460">
        <v>5000</v>
      </c>
      <c r="V303" s="1454"/>
      <c r="W303" s="1454"/>
      <c r="X303" s="1463">
        <f t="shared" si="366"/>
        <v>5000</v>
      </c>
      <c r="Y303" s="1460">
        <v>5000</v>
      </c>
      <c r="Z303" s="1460"/>
      <c r="AA303" s="1460"/>
      <c r="AB303" s="1460">
        <v>5000</v>
      </c>
      <c r="AC303" s="1460">
        <v>5000</v>
      </c>
      <c r="AD303" s="1460"/>
      <c r="AE303" s="1460"/>
      <c r="AF303" s="1383">
        <f t="shared" si="351"/>
        <v>5000</v>
      </c>
      <c r="AG303" s="1383">
        <f t="shared" si="352"/>
        <v>5000</v>
      </c>
      <c r="AH303" s="1383">
        <f t="shared" si="358"/>
        <v>4400</v>
      </c>
      <c r="AI303" s="1383"/>
      <c r="AJ303" s="1383"/>
      <c r="AK303" s="1383"/>
      <c r="AL303" s="1383">
        <v>4000</v>
      </c>
      <c r="AM303" s="1383">
        <v>400</v>
      </c>
      <c r="AN303" s="1464"/>
      <c r="AO303" s="1464"/>
      <c r="AP303" s="1431">
        <f t="shared" si="324"/>
        <v>0</v>
      </c>
      <c r="AQ303" s="1431">
        <f t="shared" si="353"/>
        <v>1</v>
      </c>
      <c r="AR303" s="1434">
        <f t="shared" si="329"/>
        <v>0</v>
      </c>
      <c r="AS303" s="1434"/>
      <c r="AT303" s="1427">
        <f t="shared" si="359"/>
        <v>1</v>
      </c>
      <c r="AV303" s="1427">
        <f t="shared" si="360"/>
        <v>0</v>
      </c>
      <c r="AW303" s="1427">
        <f t="shared" si="340"/>
        <v>0</v>
      </c>
      <c r="AX303" s="1427">
        <f t="shared" si="361"/>
        <v>0</v>
      </c>
      <c r="AY303" s="1427">
        <f t="shared" si="357"/>
        <v>0</v>
      </c>
      <c r="AZ303" s="1427">
        <f t="shared" si="362"/>
        <v>0</v>
      </c>
      <c r="BA303" s="1427">
        <f t="shared" si="354"/>
        <v>0</v>
      </c>
      <c r="BB303" s="1427">
        <f t="shared" si="363"/>
        <v>0</v>
      </c>
      <c r="BC303" s="1427">
        <f t="shared" si="347"/>
        <v>0</v>
      </c>
      <c r="BD303" s="1436">
        <f t="shared" si="341"/>
        <v>1</v>
      </c>
    </row>
    <row r="304" spans="1:56" ht="37.5" x14ac:dyDescent="0.3">
      <c r="A304" s="1457" t="s">
        <v>3024</v>
      </c>
      <c r="B304" s="1457"/>
      <c r="C304" s="1458" t="s">
        <v>652</v>
      </c>
      <c r="D304" s="1388" t="s">
        <v>99</v>
      </c>
      <c r="E304" s="1388"/>
      <c r="F304" s="1388" t="s">
        <v>168</v>
      </c>
      <c r="G304" s="1388"/>
      <c r="H304" s="1459">
        <v>15000</v>
      </c>
      <c r="I304" s="1476">
        <v>5000</v>
      </c>
      <c r="J304" s="1460"/>
      <c r="K304" s="1460"/>
      <c r="L304" s="1460"/>
      <c r="M304" s="1460"/>
      <c r="N304" s="1463">
        <f t="shared" si="325"/>
        <v>5000</v>
      </c>
      <c r="O304" s="1460">
        <v>5000</v>
      </c>
      <c r="P304" s="1463">
        <f t="shared" si="364"/>
        <v>5000</v>
      </c>
      <c r="Q304" s="1460">
        <v>5000</v>
      </c>
      <c r="R304" s="1454"/>
      <c r="S304" s="1454"/>
      <c r="T304" s="1463">
        <f t="shared" si="365"/>
        <v>5000</v>
      </c>
      <c r="U304" s="1460">
        <v>5000</v>
      </c>
      <c r="V304" s="1454"/>
      <c r="W304" s="1454"/>
      <c r="X304" s="1463">
        <f t="shared" si="366"/>
        <v>5000</v>
      </c>
      <c r="Y304" s="1460">
        <v>5000</v>
      </c>
      <c r="Z304" s="1460"/>
      <c r="AA304" s="1460"/>
      <c r="AB304" s="1460">
        <v>5000</v>
      </c>
      <c r="AC304" s="1460">
        <v>5000</v>
      </c>
      <c r="AD304" s="1460"/>
      <c r="AE304" s="1460"/>
      <c r="AF304" s="1383">
        <f t="shared" si="351"/>
        <v>5000</v>
      </c>
      <c r="AG304" s="1383">
        <f t="shared" si="352"/>
        <v>5000</v>
      </c>
      <c r="AH304" s="1383">
        <f t="shared" si="358"/>
        <v>0</v>
      </c>
      <c r="AI304" s="1383"/>
      <c r="AJ304" s="1383"/>
      <c r="AK304" s="1383"/>
      <c r="AL304" s="1383"/>
      <c r="AM304" s="1383"/>
      <c r="AN304" s="1464"/>
      <c r="AO304" s="1464"/>
      <c r="AP304" s="1431">
        <f t="shared" si="324"/>
        <v>0</v>
      </c>
      <c r="AQ304" s="1431">
        <f t="shared" si="353"/>
        <v>1</v>
      </c>
      <c r="AR304" s="1434">
        <f t="shared" si="329"/>
        <v>0</v>
      </c>
      <c r="AS304" s="1434"/>
      <c r="AT304" s="1427">
        <f t="shared" si="359"/>
        <v>1</v>
      </c>
      <c r="AV304" s="1427">
        <f t="shared" si="360"/>
        <v>0</v>
      </c>
      <c r="AW304" s="1427">
        <f t="shared" si="340"/>
        <v>0</v>
      </c>
      <c r="AX304" s="1427">
        <f t="shared" si="361"/>
        <v>0</v>
      </c>
      <c r="AY304" s="1427">
        <f t="shared" si="357"/>
        <v>0</v>
      </c>
      <c r="AZ304" s="1427">
        <f t="shared" si="362"/>
        <v>0</v>
      </c>
      <c r="BA304" s="1427">
        <f t="shared" si="354"/>
        <v>0</v>
      </c>
      <c r="BB304" s="1427">
        <f t="shared" si="363"/>
        <v>0</v>
      </c>
      <c r="BC304" s="1427">
        <f t="shared" si="347"/>
        <v>0</v>
      </c>
      <c r="BD304" s="1436">
        <f t="shared" si="341"/>
        <v>1</v>
      </c>
    </row>
    <row r="305" spans="1:56" ht="79.5" customHeight="1" x14ac:dyDescent="0.3">
      <c r="A305" s="1457" t="s">
        <v>3025</v>
      </c>
      <c r="B305" s="1457"/>
      <c r="C305" s="1458" t="s">
        <v>653</v>
      </c>
      <c r="D305" s="1388" t="s">
        <v>112</v>
      </c>
      <c r="E305" s="1388"/>
      <c r="F305" s="1388" t="s">
        <v>168</v>
      </c>
      <c r="G305" s="1388" t="s">
        <v>2475</v>
      </c>
      <c r="H305" s="1459">
        <v>9339</v>
      </c>
      <c r="I305" s="1476">
        <v>5000</v>
      </c>
      <c r="J305" s="1460"/>
      <c r="K305" s="1460"/>
      <c r="L305" s="1460"/>
      <c r="M305" s="1460"/>
      <c r="N305" s="1463">
        <f t="shared" si="325"/>
        <v>5000</v>
      </c>
      <c r="O305" s="1460">
        <v>5000</v>
      </c>
      <c r="P305" s="1463">
        <f t="shared" si="364"/>
        <v>5000</v>
      </c>
      <c r="Q305" s="1460">
        <v>5000</v>
      </c>
      <c r="R305" s="1454"/>
      <c r="S305" s="1454"/>
      <c r="T305" s="1463">
        <f t="shared" si="365"/>
        <v>5000</v>
      </c>
      <c r="U305" s="1460">
        <v>5000</v>
      </c>
      <c r="V305" s="1454"/>
      <c r="W305" s="1454"/>
      <c r="X305" s="1463">
        <f t="shared" si="366"/>
        <v>5000</v>
      </c>
      <c r="Y305" s="1460">
        <v>5000</v>
      </c>
      <c r="Z305" s="1460"/>
      <c r="AA305" s="1460"/>
      <c r="AB305" s="1460">
        <v>5000</v>
      </c>
      <c r="AC305" s="1460">
        <v>5000</v>
      </c>
      <c r="AD305" s="1460"/>
      <c r="AE305" s="1460"/>
      <c r="AF305" s="1383">
        <f t="shared" si="351"/>
        <v>5000</v>
      </c>
      <c r="AG305" s="1383">
        <f t="shared" si="352"/>
        <v>5000</v>
      </c>
      <c r="AH305" s="1383">
        <f t="shared" si="358"/>
        <v>5000</v>
      </c>
      <c r="AI305" s="1383"/>
      <c r="AJ305" s="1383"/>
      <c r="AK305" s="1383"/>
      <c r="AL305" s="1383"/>
      <c r="AM305" s="1383">
        <v>5000</v>
      </c>
      <c r="AN305" s="1464"/>
      <c r="AO305" s="1464"/>
      <c r="AP305" s="1431">
        <f t="shared" si="324"/>
        <v>0</v>
      </c>
      <c r="AQ305" s="1431">
        <f t="shared" si="353"/>
        <v>1</v>
      </c>
      <c r="AR305" s="1434">
        <f t="shared" si="329"/>
        <v>0</v>
      </c>
      <c r="AS305" s="1434"/>
      <c r="AT305" s="1427">
        <f t="shared" si="359"/>
        <v>1</v>
      </c>
      <c r="AV305" s="1427">
        <f t="shared" si="360"/>
        <v>0</v>
      </c>
      <c r="AW305" s="1427">
        <f t="shared" si="340"/>
        <v>0</v>
      </c>
      <c r="AX305" s="1427">
        <f t="shared" si="361"/>
        <v>0</v>
      </c>
      <c r="AY305" s="1427">
        <f t="shared" si="357"/>
        <v>0</v>
      </c>
      <c r="AZ305" s="1427">
        <f t="shared" si="362"/>
        <v>0</v>
      </c>
      <c r="BA305" s="1427">
        <f t="shared" si="354"/>
        <v>0</v>
      </c>
      <c r="BB305" s="1427">
        <f t="shared" si="363"/>
        <v>0</v>
      </c>
      <c r="BC305" s="1427">
        <f t="shared" si="347"/>
        <v>0</v>
      </c>
      <c r="BD305" s="1436">
        <f t="shared" si="341"/>
        <v>1</v>
      </c>
    </row>
    <row r="306" spans="1:56" ht="37.5" x14ac:dyDescent="0.3">
      <c r="A306" s="1457" t="s">
        <v>3026</v>
      </c>
      <c r="B306" s="1457"/>
      <c r="C306" s="1458" t="s">
        <v>654</v>
      </c>
      <c r="D306" s="1388" t="s">
        <v>205</v>
      </c>
      <c r="E306" s="1388"/>
      <c r="F306" s="1388" t="s">
        <v>168</v>
      </c>
      <c r="G306" s="1388"/>
      <c r="H306" s="1459">
        <v>10000</v>
      </c>
      <c r="I306" s="1476">
        <v>5000</v>
      </c>
      <c r="J306" s="1460"/>
      <c r="K306" s="1460"/>
      <c r="L306" s="1460"/>
      <c r="M306" s="1460"/>
      <c r="N306" s="1463">
        <f t="shared" si="325"/>
        <v>5000</v>
      </c>
      <c r="O306" s="1460">
        <v>5000</v>
      </c>
      <c r="P306" s="1463">
        <f t="shared" si="364"/>
        <v>5000</v>
      </c>
      <c r="Q306" s="1460">
        <v>5000</v>
      </c>
      <c r="R306" s="1454"/>
      <c r="S306" s="1454"/>
      <c r="T306" s="1463">
        <f t="shared" si="365"/>
        <v>5000</v>
      </c>
      <c r="U306" s="1460">
        <v>5000</v>
      </c>
      <c r="V306" s="1454"/>
      <c r="W306" s="1454"/>
      <c r="X306" s="1463">
        <f t="shared" si="366"/>
        <v>5000</v>
      </c>
      <c r="Y306" s="1460">
        <v>5000</v>
      </c>
      <c r="Z306" s="1460"/>
      <c r="AA306" s="1460"/>
      <c r="AB306" s="1460">
        <v>5000</v>
      </c>
      <c r="AC306" s="1460">
        <v>5000</v>
      </c>
      <c r="AD306" s="1460"/>
      <c r="AE306" s="1460"/>
      <c r="AF306" s="1383">
        <f t="shared" si="351"/>
        <v>5000</v>
      </c>
      <c r="AG306" s="1383">
        <f t="shared" si="352"/>
        <v>5000</v>
      </c>
      <c r="AH306" s="1383">
        <f t="shared" si="358"/>
        <v>5000</v>
      </c>
      <c r="AI306" s="1383"/>
      <c r="AJ306" s="1383"/>
      <c r="AK306" s="1383"/>
      <c r="AL306" s="1383"/>
      <c r="AM306" s="1383">
        <v>5000</v>
      </c>
      <c r="AN306" s="1464"/>
      <c r="AO306" s="1464"/>
      <c r="AP306" s="1431">
        <f t="shared" si="324"/>
        <v>0</v>
      </c>
      <c r="AQ306" s="1431">
        <f t="shared" si="353"/>
        <v>1</v>
      </c>
      <c r="AR306" s="1434">
        <f t="shared" si="329"/>
        <v>0</v>
      </c>
      <c r="AS306" s="1434"/>
      <c r="AT306" s="1427">
        <f t="shared" si="359"/>
        <v>1</v>
      </c>
      <c r="AV306" s="1427">
        <f t="shared" si="360"/>
        <v>0</v>
      </c>
      <c r="AW306" s="1427">
        <f t="shared" si="340"/>
        <v>0</v>
      </c>
      <c r="AX306" s="1427">
        <f t="shared" si="361"/>
        <v>0</v>
      </c>
      <c r="AY306" s="1427">
        <f t="shared" si="357"/>
        <v>0</v>
      </c>
      <c r="AZ306" s="1427">
        <f t="shared" si="362"/>
        <v>0</v>
      </c>
      <c r="BA306" s="1427">
        <f t="shared" si="354"/>
        <v>0</v>
      </c>
      <c r="BB306" s="1427">
        <f t="shared" si="363"/>
        <v>0</v>
      </c>
      <c r="BC306" s="1427">
        <f t="shared" si="347"/>
        <v>0</v>
      </c>
      <c r="BD306" s="1436">
        <f t="shared" si="341"/>
        <v>1</v>
      </c>
    </row>
    <row r="307" spans="1:56" ht="60.75" customHeight="1" x14ac:dyDescent="0.3">
      <c r="A307" s="1457" t="s">
        <v>3027</v>
      </c>
      <c r="B307" s="1457" t="s">
        <v>3022</v>
      </c>
      <c r="C307" s="1458" t="s">
        <v>655</v>
      </c>
      <c r="D307" s="1388" t="s">
        <v>95</v>
      </c>
      <c r="E307" s="1388"/>
      <c r="F307" s="1388" t="s">
        <v>168</v>
      </c>
      <c r="G307" s="1388" t="s">
        <v>3463</v>
      </c>
      <c r="H307" s="1459">
        <v>14923</v>
      </c>
      <c r="I307" s="1476">
        <v>5000</v>
      </c>
      <c r="J307" s="1460"/>
      <c r="K307" s="1460"/>
      <c r="L307" s="1460"/>
      <c r="M307" s="1460"/>
      <c r="N307" s="1463">
        <f t="shared" si="325"/>
        <v>5000</v>
      </c>
      <c r="O307" s="1460">
        <v>5000</v>
      </c>
      <c r="P307" s="1463">
        <f t="shared" si="364"/>
        <v>5000</v>
      </c>
      <c r="Q307" s="1460">
        <v>5000</v>
      </c>
      <c r="R307" s="1454"/>
      <c r="S307" s="1454"/>
      <c r="T307" s="1463">
        <f t="shared" si="365"/>
        <v>5000</v>
      </c>
      <c r="U307" s="1460">
        <v>5000</v>
      </c>
      <c r="V307" s="1454">
        <v>5000</v>
      </c>
      <c r="W307" s="1454"/>
      <c r="X307" s="1463">
        <f t="shared" si="366"/>
        <v>10000</v>
      </c>
      <c r="Y307" s="1460">
        <f>V307+U307</f>
        <v>10000</v>
      </c>
      <c r="Z307" s="1460"/>
      <c r="AA307" s="1460"/>
      <c r="AB307" s="1460">
        <v>12350</v>
      </c>
      <c r="AC307" s="1460">
        <v>12350</v>
      </c>
      <c r="AD307" s="1460"/>
      <c r="AE307" s="1460"/>
      <c r="AF307" s="1383">
        <f t="shared" si="351"/>
        <v>12350</v>
      </c>
      <c r="AG307" s="1383">
        <f t="shared" si="352"/>
        <v>12350</v>
      </c>
      <c r="AH307" s="1383">
        <f t="shared" si="358"/>
        <v>12320</v>
      </c>
      <c r="AI307" s="1383"/>
      <c r="AJ307" s="1383"/>
      <c r="AK307" s="1383"/>
      <c r="AL307" s="1383">
        <v>2320</v>
      </c>
      <c r="AM307" s="1383">
        <v>10000</v>
      </c>
      <c r="AN307" s="1381"/>
      <c r="AO307" s="1381"/>
      <c r="AP307" s="1431">
        <f t="shared" si="324"/>
        <v>0</v>
      </c>
      <c r="AQ307" s="1431">
        <f t="shared" si="353"/>
        <v>1</v>
      </c>
      <c r="AR307" s="1434">
        <f t="shared" si="329"/>
        <v>0</v>
      </c>
      <c r="AS307" s="1434"/>
      <c r="AT307" s="1427">
        <f t="shared" si="359"/>
        <v>1</v>
      </c>
      <c r="AV307" s="1427">
        <f t="shared" si="360"/>
        <v>0</v>
      </c>
      <c r="AW307" s="1427">
        <f t="shared" si="340"/>
        <v>0</v>
      </c>
      <c r="AX307" s="1427">
        <f t="shared" si="361"/>
        <v>0</v>
      </c>
      <c r="AY307" s="1427">
        <f t="shared" si="357"/>
        <v>0</v>
      </c>
      <c r="AZ307" s="1427">
        <f t="shared" si="362"/>
        <v>0</v>
      </c>
      <c r="BA307" s="1427">
        <f t="shared" si="354"/>
        <v>0</v>
      </c>
      <c r="BB307" s="1427">
        <f t="shared" si="363"/>
        <v>0</v>
      </c>
      <c r="BC307" s="1427">
        <f t="shared" si="347"/>
        <v>0</v>
      </c>
      <c r="BD307" s="1436">
        <f t="shared" si="341"/>
        <v>0</v>
      </c>
    </row>
    <row r="308" spans="1:56" ht="63" customHeight="1" x14ac:dyDescent="0.3">
      <c r="A308" s="1457" t="s">
        <v>3028</v>
      </c>
      <c r="B308" s="1457"/>
      <c r="C308" s="1458" t="s">
        <v>2567</v>
      </c>
      <c r="D308" s="1388" t="s">
        <v>146</v>
      </c>
      <c r="E308" s="1388"/>
      <c r="F308" s="1388" t="s">
        <v>168</v>
      </c>
      <c r="G308" s="1388"/>
      <c r="H308" s="1459">
        <v>6000</v>
      </c>
      <c r="I308" s="1476">
        <v>5000</v>
      </c>
      <c r="J308" s="1460"/>
      <c r="K308" s="1460"/>
      <c r="L308" s="1460"/>
      <c r="M308" s="1460"/>
      <c r="N308" s="1463">
        <f t="shared" si="325"/>
        <v>5000</v>
      </c>
      <c r="O308" s="1460">
        <v>5000</v>
      </c>
      <c r="P308" s="1463">
        <f t="shared" si="364"/>
        <v>5000</v>
      </c>
      <c r="Q308" s="1460">
        <v>5000</v>
      </c>
      <c r="R308" s="1454"/>
      <c r="S308" s="1454"/>
      <c r="T308" s="1463">
        <f t="shared" si="365"/>
        <v>5000</v>
      </c>
      <c r="U308" s="1460">
        <v>5000</v>
      </c>
      <c r="V308" s="1454"/>
      <c r="W308" s="1454"/>
      <c r="X308" s="1463">
        <f t="shared" si="366"/>
        <v>5000</v>
      </c>
      <c r="Y308" s="1460">
        <v>5000</v>
      </c>
      <c r="Z308" s="1460"/>
      <c r="AA308" s="1460"/>
      <c r="AB308" s="1460">
        <v>5000</v>
      </c>
      <c r="AC308" s="1460">
        <v>5000</v>
      </c>
      <c r="AD308" s="1460"/>
      <c r="AE308" s="1460"/>
      <c r="AF308" s="1383">
        <f t="shared" si="351"/>
        <v>5000</v>
      </c>
      <c r="AG308" s="1383">
        <f t="shared" si="352"/>
        <v>5000</v>
      </c>
      <c r="AH308" s="1383">
        <f t="shared" si="358"/>
        <v>5000</v>
      </c>
      <c r="AI308" s="1383"/>
      <c r="AJ308" s="1383"/>
      <c r="AK308" s="1383"/>
      <c r="AL308" s="1383"/>
      <c r="AM308" s="1383">
        <v>5000</v>
      </c>
      <c r="AN308" s="1381"/>
      <c r="AO308" s="1381"/>
      <c r="AP308" s="1431">
        <f t="shared" si="324"/>
        <v>0</v>
      </c>
      <c r="AQ308" s="1431">
        <f t="shared" si="353"/>
        <v>1</v>
      </c>
      <c r="AR308" s="1434">
        <f t="shared" si="329"/>
        <v>0</v>
      </c>
      <c r="AS308" s="1434"/>
      <c r="AT308" s="1427">
        <f t="shared" si="359"/>
        <v>1</v>
      </c>
      <c r="AV308" s="1427">
        <f t="shared" si="360"/>
        <v>0</v>
      </c>
      <c r="AW308" s="1427">
        <f t="shared" si="340"/>
        <v>0</v>
      </c>
      <c r="AX308" s="1427">
        <f t="shared" si="361"/>
        <v>0</v>
      </c>
      <c r="AY308" s="1427">
        <f t="shared" si="357"/>
        <v>0</v>
      </c>
      <c r="AZ308" s="1427">
        <f t="shared" si="362"/>
        <v>0</v>
      </c>
      <c r="BA308" s="1427">
        <f t="shared" si="354"/>
        <v>0</v>
      </c>
      <c r="BB308" s="1427">
        <f t="shared" si="363"/>
        <v>0</v>
      </c>
      <c r="BC308" s="1427">
        <f t="shared" si="347"/>
        <v>0</v>
      </c>
      <c r="BD308" s="1436">
        <f t="shared" si="341"/>
        <v>1</v>
      </c>
    </row>
    <row r="309" spans="1:56" ht="82.5" customHeight="1" x14ac:dyDescent="0.3">
      <c r="A309" s="1457" t="s">
        <v>3029</v>
      </c>
      <c r="B309" s="1457"/>
      <c r="C309" s="1458" t="s">
        <v>657</v>
      </c>
      <c r="D309" s="1388" t="s">
        <v>416</v>
      </c>
      <c r="E309" s="1388"/>
      <c r="F309" s="1388" t="s">
        <v>168</v>
      </c>
      <c r="G309" s="1388" t="s">
        <v>2476</v>
      </c>
      <c r="H309" s="1459">
        <v>10000</v>
      </c>
      <c r="I309" s="1476">
        <v>5000</v>
      </c>
      <c r="J309" s="1460"/>
      <c r="K309" s="1460"/>
      <c r="L309" s="1460"/>
      <c r="M309" s="1460"/>
      <c r="N309" s="1463">
        <f t="shared" ref="N309" si="367">O309</f>
        <v>5000</v>
      </c>
      <c r="O309" s="1460">
        <v>5000</v>
      </c>
      <c r="P309" s="1463">
        <f t="shared" ref="P309" si="368">Q309</f>
        <v>5000</v>
      </c>
      <c r="Q309" s="1460">
        <v>5000</v>
      </c>
      <c r="R309" s="1454"/>
      <c r="S309" s="1454"/>
      <c r="T309" s="1463">
        <f t="shared" ref="T309" si="369">U309</f>
        <v>5000</v>
      </c>
      <c r="U309" s="1460">
        <v>5000</v>
      </c>
      <c r="V309" s="1454">
        <v>3000</v>
      </c>
      <c r="W309" s="1454"/>
      <c r="X309" s="1463">
        <f t="shared" ref="X309:X310" si="370">Y309</f>
        <v>8000</v>
      </c>
      <c r="Y309" s="1460">
        <f>V309+U309</f>
        <v>8000</v>
      </c>
      <c r="Z309" s="1460"/>
      <c r="AA309" s="1460"/>
      <c r="AB309" s="1460">
        <v>8000</v>
      </c>
      <c r="AC309" s="1460">
        <v>8000</v>
      </c>
      <c r="AD309" s="1460"/>
      <c r="AE309" s="1460"/>
      <c r="AF309" s="1383">
        <f t="shared" si="351"/>
        <v>8000</v>
      </c>
      <c r="AG309" s="1383">
        <f t="shared" si="352"/>
        <v>8000</v>
      </c>
      <c r="AH309" s="1383">
        <f t="shared" si="358"/>
        <v>8000</v>
      </c>
      <c r="AI309" s="1383"/>
      <c r="AJ309" s="1383"/>
      <c r="AK309" s="1383"/>
      <c r="AL309" s="1383">
        <v>8000</v>
      </c>
      <c r="AM309" s="1383"/>
      <c r="AN309" s="1381"/>
      <c r="AO309" s="1381"/>
      <c r="AP309" s="1431">
        <f t="shared" si="324"/>
        <v>0</v>
      </c>
      <c r="AQ309" s="1431">
        <f t="shared" si="353"/>
        <v>1</v>
      </c>
      <c r="AR309" s="1434">
        <f t="shared" ref="AR309" si="371">AP309</f>
        <v>0</v>
      </c>
      <c r="AS309" s="1434"/>
      <c r="AT309" s="1427">
        <f t="shared" ref="AT309" si="372">IF(AP309=0,1,0)</f>
        <v>1</v>
      </c>
      <c r="AV309" s="1427">
        <f t="shared" si="360"/>
        <v>0</v>
      </c>
      <c r="AW309" s="1427">
        <f t="shared" si="340"/>
        <v>0</v>
      </c>
      <c r="AX309" s="1427">
        <f t="shared" si="361"/>
        <v>0</v>
      </c>
      <c r="AY309" s="1427">
        <f t="shared" si="357"/>
        <v>0</v>
      </c>
      <c r="AZ309" s="1427">
        <f t="shared" si="362"/>
        <v>0</v>
      </c>
      <c r="BA309" s="1427">
        <f t="shared" si="354"/>
        <v>0</v>
      </c>
      <c r="BB309" s="1427">
        <f t="shared" si="363"/>
        <v>0</v>
      </c>
      <c r="BC309" s="1427">
        <f t="shared" si="347"/>
        <v>0</v>
      </c>
      <c r="BD309" s="1436">
        <f t="shared" si="341"/>
        <v>0</v>
      </c>
    </row>
    <row r="310" spans="1:56" ht="85.5" customHeight="1" x14ac:dyDescent="0.3">
      <c r="A310" s="1457" t="s">
        <v>3030</v>
      </c>
      <c r="B310" s="1457" t="s">
        <v>3023</v>
      </c>
      <c r="C310" s="1458" t="s">
        <v>2524</v>
      </c>
      <c r="D310" s="1388" t="s">
        <v>2513</v>
      </c>
      <c r="E310" s="1388"/>
      <c r="F310" s="1388" t="s">
        <v>168</v>
      </c>
      <c r="G310" s="1388" t="s">
        <v>2572</v>
      </c>
      <c r="H310" s="1459">
        <v>36000</v>
      </c>
      <c r="I310" s="1476">
        <v>18000</v>
      </c>
      <c r="J310" s="1460"/>
      <c r="K310" s="1460"/>
      <c r="L310" s="1460"/>
      <c r="M310" s="1460"/>
      <c r="N310" s="1463"/>
      <c r="O310" s="1460"/>
      <c r="P310" s="1463"/>
      <c r="Q310" s="1460"/>
      <c r="R310" s="1454"/>
      <c r="S310" s="1454"/>
      <c r="T310" s="1463"/>
      <c r="U310" s="1460"/>
      <c r="V310" s="1454">
        <v>18000</v>
      </c>
      <c r="W310" s="1454"/>
      <c r="X310" s="1463">
        <f t="shared" si="370"/>
        <v>18000</v>
      </c>
      <c r="Y310" s="1460">
        <f>V310</f>
        <v>18000</v>
      </c>
      <c r="Z310" s="1460"/>
      <c r="AA310" s="1460"/>
      <c r="AB310" s="1460">
        <v>0</v>
      </c>
      <c r="AC310" s="1460">
        <v>0</v>
      </c>
      <c r="AD310" s="1460"/>
      <c r="AE310" s="1525"/>
      <c r="AF310" s="1383">
        <f t="shared" si="351"/>
        <v>0</v>
      </c>
      <c r="AG310" s="1383">
        <f t="shared" si="352"/>
        <v>0</v>
      </c>
      <c r="AH310" s="1383">
        <f t="shared" si="358"/>
        <v>0</v>
      </c>
      <c r="AI310" s="1383"/>
      <c r="AJ310" s="1383"/>
      <c r="AK310" s="1383"/>
      <c r="AL310" s="1383"/>
      <c r="AM310" s="1383">
        <f>15000-15000</f>
        <v>0</v>
      </c>
      <c r="AN310" s="1381"/>
      <c r="AO310" s="1381"/>
      <c r="AP310" s="1431">
        <f t="shared" si="324"/>
        <v>0</v>
      </c>
      <c r="AQ310" s="1431">
        <f t="shared" si="353"/>
        <v>1</v>
      </c>
      <c r="AR310" s="1434"/>
      <c r="AS310" s="1434"/>
      <c r="BD310" s="1436">
        <f t="shared" si="341"/>
        <v>1</v>
      </c>
    </row>
    <row r="311" spans="1:56" ht="61.5" customHeight="1" x14ac:dyDescent="0.3">
      <c r="A311" s="1457" t="s">
        <v>3031</v>
      </c>
      <c r="B311" s="1457"/>
      <c r="C311" s="1505" t="s">
        <v>2134</v>
      </c>
      <c r="D311" s="1388" t="s">
        <v>416</v>
      </c>
      <c r="E311" s="1388"/>
      <c r="F311" s="1388" t="s">
        <v>168</v>
      </c>
      <c r="G311" s="1388" t="s">
        <v>2591</v>
      </c>
      <c r="H311" s="1459">
        <v>10580</v>
      </c>
      <c r="I311" s="1476">
        <v>10580</v>
      </c>
      <c r="J311" s="1460"/>
      <c r="K311" s="1460"/>
      <c r="L311" s="1460"/>
      <c r="M311" s="1460"/>
      <c r="N311" s="1463">
        <f t="shared" si="325"/>
        <v>5000</v>
      </c>
      <c r="O311" s="1460">
        <v>5000</v>
      </c>
      <c r="P311" s="1463">
        <f t="shared" si="364"/>
        <v>5000</v>
      </c>
      <c r="Q311" s="1460">
        <v>5000</v>
      </c>
      <c r="R311" s="1454"/>
      <c r="S311" s="1454"/>
      <c r="T311" s="1463"/>
      <c r="U311" s="1460"/>
      <c r="V311" s="1454">
        <v>7000</v>
      </c>
      <c r="W311" s="1454"/>
      <c r="X311" s="1463">
        <f t="shared" si="366"/>
        <v>7000</v>
      </c>
      <c r="Y311" s="1460">
        <f>V311+U311</f>
        <v>7000</v>
      </c>
      <c r="Z311" s="1460"/>
      <c r="AA311" s="1460"/>
      <c r="AB311" s="1460">
        <v>7000</v>
      </c>
      <c r="AC311" s="1460">
        <v>7000</v>
      </c>
      <c r="AD311" s="1460"/>
      <c r="AE311" s="1460"/>
      <c r="AF311" s="1383">
        <f t="shared" si="351"/>
        <v>7000</v>
      </c>
      <c r="AG311" s="1383">
        <f t="shared" si="352"/>
        <v>7000</v>
      </c>
      <c r="AH311" s="1383">
        <f t="shared" si="358"/>
        <v>7000</v>
      </c>
      <c r="AI311" s="1383"/>
      <c r="AJ311" s="1383"/>
      <c r="AK311" s="1383"/>
      <c r="AL311" s="1383"/>
      <c r="AM311" s="1383">
        <v>7000</v>
      </c>
      <c r="AN311" s="1381"/>
      <c r="AO311" s="1381"/>
      <c r="AP311" s="1431">
        <f t="shared" si="324"/>
        <v>0</v>
      </c>
      <c r="AQ311" s="1431">
        <f t="shared" si="353"/>
        <v>1</v>
      </c>
      <c r="AR311" s="1434">
        <f t="shared" si="329"/>
        <v>0</v>
      </c>
      <c r="AS311" s="1434"/>
      <c r="AT311" s="1427">
        <f t="shared" si="359"/>
        <v>1</v>
      </c>
      <c r="AV311" s="1427">
        <f>IF(Q311=0,1,0)</f>
        <v>0</v>
      </c>
      <c r="AW311" s="1427">
        <f t="shared" ref="AW311:AW351" si="373">IF(AV311=1,O311,0)</f>
        <v>0</v>
      </c>
      <c r="AX311" s="1427">
        <f>IF(O311=0,1,0)</f>
        <v>0</v>
      </c>
      <c r="AY311" s="1427">
        <f t="shared" ref="AY311:AY351" si="374">IF(AX311=1,Q311,0)</f>
        <v>0</v>
      </c>
      <c r="AZ311" s="1427">
        <f>IF(R311=0,0,1)</f>
        <v>0</v>
      </c>
      <c r="BA311" s="1427">
        <f t="shared" ref="BA311:BA340" si="375">IF(AZ311=1,R311,0)</f>
        <v>0</v>
      </c>
      <c r="BB311" s="1427">
        <f>IF(S311=0,0,1)</f>
        <v>0</v>
      </c>
      <c r="BC311" s="1427">
        <f t="shared" ref="BC311:BC334" si="376">IF(BB311=1,S311,0)</f>
        <v>0</v>
      </c>
      <c r="BD311" s="1436">
        <f t="shared" si="341"/>
        <v>1</v>
      </c>
    </row>
    <row r="312" spans="1:56" ht="34.5" customHeight="1" x14ac:dyDescent="0.3">
      <c r="A312" s="1846">
        <v>8</v>
      </c>
      <c r="B312" s="1846">
        <v>8</v>
      </c>
      <c r="C312" s="1438" t="s">
        <v>659</v>
      </c>
      <c r="D312" s="1381"/>
      <c r="E312" s="1381"/>
      <c r="F312" s="1381"/>
      <c r="G312" s="1381"/>
      <c r="H312" s="1439">
        <f>H313+H321</f>
        <v>1141504</v>
      </c>
      <c r="I312" s="1439">
        <f t="shared" ref="I312:U312" si="377">I313+I321</f>
        <v>768425</v>
      </c>
      <c r="J312" s="1439">
        <f t="shared" si="377"/>
        <v>28000</v>
      </c>
      <c r="K312" s="1439">
        <f t="shared" si="377"/>
        <v>28000</v>
      </c>
      <c r="L312" s="1439">
        <f t="shared" si="377"/>
        <v>28000</v>
      </c>
      <c r="M312" s="1439">
        <f t="shared" si="377"/>
        <v>28000</v>
      </c>
      <c r="N312" s="1439">
        <f t="shared" si="377"/>
        <v>504230</v>
      </c>
      <c r="O312" s="1439">
        <f t="shared" si="377"/>
        <v>373030</v>
      </c>
      <c r="P312" s="1439">
        <f t="shared" si="377"/>
        <v>790085</v>
      </c>
      <c r="Q312" s="1439">
        <f t="shared" si="377"/>
        <v>388950</v>
      </c>
      <c r="R312" s="1439">
        <f t="shared" si="377"/>
        <v>53860</v>
      </c>
      <c r="S312" s="1439">
        <f t="shared" si="377"/>
        <v>32340</v>
      </c>
      <c r="T312" s="1439">
        <f t="shared" si="377"/>
        <v>652885</v>
      </c>
      <c r="U312" s="1439">
        <f t="shared" si="377"/>
        <v>397950</v>
      </c>
      <c r="V312" s="1439">
        <f t="shared" ref="V312:Y312" si="378">V313+V321</f>
        <v>117000</v>
      </c>
      <c r="W312" s="1439">
        <f t="shared" si="378"/>
        <v>0</v>
      </c>
      <c r="X312" s="1439">
        <f t="shared" si="378"/>
        <v>665885</v>
      </c>
      <c r="Y312" s="1439">
        <f t="shared" si="378"/>
        <v>514950</v>
      </c>
      <c r="Z312" s="1439">
        <v>0</v>
      </c>
      <c r="AA312" s="1439">
        <v>0</v>
      </c>
      <c r="AB312" s="1439">
        <v>751460</v>
      </c>
      <c r="AC312" s="1439">
        <v>590525</v>
      </c>
      <c r="AD312" s="1439">
        <f t="shared" ref="AD312:AM312" si="379">AD313+AD321</f>
        <v>4846</v>
      </c>
      <c r="AE312" s="1856">
        <f t="shared" si="379"/>
        <v>0</v>
      </c>
      <c r="AF312" s="1439">
        <f t="shared" si="379"/>
        <v>756306</v>
      </c>
      <c r="AG312" s="1439">
        <f t="shared" si="379"/>
        <v>595371</v>
      </c>
      <c r="AH312" s="1439">
        <f t="shared" si="379"/>
        <v>537848</v>
      </c>
      <c r="AI312" s="1439">
        <f t="shared" si="379"/>
        <v>109778</v>
      </c>
      <c r="AJ312" s="1439">
        <f t="shared" si="379"/>
        <v>77255</v>
      </c>
      <c r="AK312" s="1439">
        <f t="shared" si="379"/>
        <v>56884</v>
      </c>
      <c r="AL312" s="1439">
        <f t="shared" si="379"/>
        <v>167381</v>
      </c>
      <c r="AM312" s="1439">
        <f t="shared" si="379"/>
        <v>126550</v>
      </c>
      <c r="AN312" s="1440"/>
      <c r="AO312" s="1440"/>
      <c r="AP312" s="1431">
        <f t="shared" si="324"/>
        <v>1</v>
      </c>
      <c r="AQ312" s="1431">
        <f t="shared" si="353"/>
        <v>1</v>
      </c>
      <c r="AR312" s="1434"/>
      <c r="AS312" s="1434">
        <f>AJ320+AJ323+AJ324+AJ325+AJ327+AJ330+AJ332+AJ333+AJ344+AJ346</f>
        <v>72255</v>
      </c>
      <c r="AW312" s="1427">
        <f t="shared" si="373"/>
        <v>0</v>
      </c>
      <c r="AY312" s="1427">
        <f t="shared" si="374"/>
        <v>0</v>
      </c>
      <c r="BA312" s="1427">
        <f t="shared" si="375"/>
        <v>0</v>
      </c>
      <c r="BC312" s="1427">
        <f t="shared" si="376"/>
        <v>0</v>
      </c>
      <c r="BD312" s="1436">
        <f t="shared" si="341"/>
        <v>1</v>
      </c>
    </row>
    <row r="313" spans="1:56" ht="65.25" customHeight="1" x14ac:dyDescent="0.3">
      <c r="A313" s="1827" t="s">
        <v>1123</v>
      </c>
      <c r="B313" s="1827" t="s">
        <v>1123</v>
      </c>
      <c r="C313" s="1446" t="s">
        <v>46</v>
      </c>
      <c r="D313" s="1447"/>
      <c r="E313" s="1447"/>
      <c r="F313" s="1448"/>
      <c r="G313" s="1448"/>
      <c r="H313" s="1449">
        <f>H314</f>
        <v>157929</v>
      </c>
      <c r="I313" s="1449">
        <f t="shared" ref="I313:AM313" si="380">I314</f>
        <v>84972</v>
      </c>
      <c r="J313" s="1449">
        <f t="shared" si="380"/>
        <v>28000</v>
      </c>
      <c r="K313" s="1449">
        <f t="shared" si="380"/>
        <v>28000</v>
      </c>
      <c r="L313" s="1449">
        <f t="shared" si="380"/>
        <v>28000</v>
      </c>
      <c r="M313" s="1449">
        <f t="shared" si="380"/>
        <v>28000</v>
      </c>
      <c r="N313" s="1449">
        <f t="shared" si="380"/>
        <v>97850</v>
      </c>
      <c r="O313" s="1449">
        <f t="shared" si="380"/>
        <v>82850</v>
      </c>
      <c r="P313" s="1449">
        <f t="shared" si="380"/>
        <v>97850</v>
      </c>
      <c r="Q313" s="1449">
        <f t="shared" si="380"/>
        <v>82850</v>
      </c>
      <c r="R313" s="1449">
        <f t="shared" si="380"/>
        <v>26000</v>
      </c>
      <c r="S313" s="1449">
        <f t="shared" si="380"/>
        <v>5330</v>
      </c>
      <c r="T313" s="1449">
        <f t="shared" si="380"/>
        <v>118520</v>
      </c>
      <c r="U313" s="1449">
        <f t="shared" si="380"/>
        <v>103520</v>
      </c>
      <c r="V313" s="1449">
        <f t="shared" si="380"/>
        <v>0</v>
      </c>
      <c r="W313" s="1449">
        <f t="shared" si="380"/>
        <v>0</v>
      </c>
      <c r="X313" s="1449">
        <f t="shared" si="380"/>
        <v>118520</v>
      </c>
      <c r="Y313" s="1449">
        <f t="shared" si="380"/>
        <v>103520</v>
      </c>
      <c r="Z313" s="1449">
        <v>0</v>
      </c>
      <c r="AA313" s="1449">
        <v>0</v>
      </c>
      <c r="AB313" s="1449">
        <v>100170</v>
      </c>
      <c r="AC313" s="1449">
        <v>85170</v>
      </c>
      <c r="AD313" s="1449">
        <f t="shared" si="380"/>
        <v>0</v>
      </c>
      <c r="AE313" s="1526">
        <f t="shared" si="380"/>
        <v>0</v>
      </c>
      <c r="AF313" s="1449">
        <f t="shared" si="380"/>
        <v>100170</v>
      </c>
      <c r="AG313" s="1449">
        <f t="shared" si="380"/>
        <v>85170</v>
      </c>
      <c r="AH313" s="1449">
        <f t="shared" si="380"/>
        <v>79388</v>
      </c>
      <c r="AI313" s="1449">
        <f t="shared" si="380"/>
        <v>50255</v>
      </c>
      <c r="AJ313" s="1449">
        <f t="shared" si="380"/>
        <v>16238</v>
      </c>
      <c r="AK313" s="1449">
        <f t="shared" si="380"/>
        <v>5245</v>
      </c>
      <c r="AL313" s="1449">
        <f t="shared" si="380"/>
        <v>7650</v>
      </c>
      <c r="AM313" s="1449">
        <f t="shared" si="380"/>
        <v>0</v>
      </c>
      <c r="AN313" s="1450"/>
      <c r="AO313" s="1450"/>
      <c r="AP313" s="1431">
        <f t="shared" si="324"/>
        <v>0</v>
      </c>
      <c r="AQ313" s="1431">
        <f t="shared" si="353"/>
        <v>1</v>
      </c>
      <c r="AR313" s="1434"/>
      <c r="AS313" s="1434"/>
      <c r="AW313" s="1427">
        <f t="shared" si="373"/>
        <v>0</v>
      </c>
      <c r="AY313" s="1427">
        <f t="shared" si="374"/>
        <v>0</v>
      </c>
      <c r="BA313" s="1427">
        <f t="shared" si="375"/>
        <v>0</v>
      </c>
      <c r="BC313" s="1427">
        <f t="shared" si="376"/>
        <v>0</v>
      </c>
      <c r="BD313" s="1436"/>
    </row>
    <row r="314" spans="1:56" ht="42" customHeight="1" x14ac:dyDescent="0.3">
      <c r="A314" s="1826"/>
      <c r="B314" s="1826"/>
      <c r="C314" s="1446" t="s">
        <v>48</v>
      </c>
      <c r="D314" s="1447"/>
      <c r="E314" s="1447"/>
      <c r="F314" s="1448"/>
      <c r="G314" s="1448"/>
      <c r="H314" s="1449">
        <f t="shared" ref="H314:V314" si="381">SUM(H317:H320)</f>
        <v>157929</v>
      </c>
      <c r="I314" s="1449">
        <f t="shared" si="381"/>
        <v>84972</v>
      </c>
      <c r="J314" s="1449">
        <f t="shared" si="381"/>
        <v>28000</v>
      </c>
      <c r="K314" s="1449">
        <f t="shared" si="381"/>
        <v>28000</v>
      </c>
      <c r="L314" s="1449">
        <f t="shared" si="381"/>
        <v>28000</v>
      </c>
      <c r="M314" s="1449">
        <f t="shared" si="381"/>
        <v>28000</v>
      </c>
      <c r="N314" s="1449">
        <f t="shared" si="381"/>
        <v>97850</v>
      </c>
      <c r="O314" s="1449">
        <f t="shared" si="381"/>
        <v>82850</v>
      </c>
      <c r="P314" s="1449">
        <f t="shared" si="381"/>
        <v>97850</v>
      </c>
      <c r="Q314" s="1449">
        <f t="shared" si="381"/>
        <v>82850</v>
      </c>
      <c r="R314" s="1449">
        <f t="shared" si="381"/>
        <v>26000</v>
      </c>
      <c r="S314" s="1449">
        <f t="shared" si="381"/>
        <v>5330</v>
      </c>
      <c r="T314" s="1449">
        <f t="shared" si="381"/>
        <v>118520</v>
      </c>
      <c r="U314" s="1449">
        <f t="shared" si="381"/>
        <v>103520</v>
      </c>
      <c r="V314" s="1449">
        <f t="shared" si="381"/>
        <v>0</v>
      </c>
      <c r="W314" s="1449">
        <f>SUM(W317:W320)</f>
        <v>0</v>
      </c>
      <c r="X314" s="1449">
        <f t="shared" ref="X314:Y314" si="382">SUM(X317:X320)</f>
        <v>118520</v>
      </c>
      <c r="Y314" s="1449">
        <f t="shared" si="382"/>
        <v>103520</v>
      </c>
      <c r="Z314" s="1449">
        <v>0</v>
      </c>
      <c r="AA314" s="1449">
        <v>0</v>
      </c>
      <c r="AB314" s="1449">
        <v>100170</v>
      </c>
      <c r="AC314" s="1449">
        <v>85170</v>
      </c>
      <c r="AD314" s="1449">
        <f t="shared" ref="AD314:AM314" si="383">SUM(AD317:AD320)</f>
        <v>0</v>
      </c>
      <c r="AE314" s="1526">
        <f t="shared" si="383"/>
        <v>0</v>
      </c>
      <c r="AF314" s="1449">
        <f t="shared" si="383"/>
        <v>100170</v>
      </c>
      <c r="AG314" s="1449">
        <f t="shared" si="383"/>
        <v>85170</v>
      </c>
      <c r="AH314" s="1449">
        <f t="shared" si="383"/>
        <v>79388</v>
      </c>
      <c r="AI314" s="1449">
        <f t="shared" si="383"/>
        <v>50255</v>
      </c>
      <c r="AJ314" s="1449">
        <f t="shared" si="383"/>
        <v>16238</v>
      </c>
      <c r="AK314" s="1449">
        <f t="shared" si="383"/>
        <v>5245</v>
      </c>
      <c r="AL314" s="1449">
        <f t="shared" si="383"/>
        <v>7650</v>
      </c>
      <c r="AM314" s="1449">
        <f t="shared" si="383"/>
        <v>0</v>
      </c>
      <c r="AN314" s="1450"/>
      <c r="AO314" s="1450"/>
      <c r="AP314" s="1431">
        <f t="shared" si="324"/>
        <v>0</v>
      </c>
      <c r="AQ314" s="1431">
        <f t="shared" si="353"/>
        <v>1</v>
      </c>
      <c r="AR314" s="1434"/>
      <c r="AS314" s="1434"/>
      <c r="AW314" s="1427">
        <f t="shared" si="373"/>
        <v>0</v>
      </c>
      <c r="AY314" s="1427">
        <f t="shared" si="374"/>
        <v>0</v>
      </c>
      <c r="BA314" s="1427">
        <f t="shared" si="375"/>
        <v>0</v>
      </c>
      <c r="BC314" s="1427">
        <f t="shared" si="376"/>
        <v>0</v>
      </c>
      <c r="BD314" s="1436"/>
    </row>
    <row r="315" spans="1:56" ht="24.75" customHeight="1" x14ac:dyDescent="0.3">
      <c r="A315" s="1825"/>
      <c r="B315" s="1451"/>
      <c r="C315" s="1446" t="s">
        <v>49</v>
      </c>
      <c r="D315" s="1452"/>
      <c r="E315" s="1452"/>
      <c r="F315" s="1381"/>
      <c r="G315" s="1381"/>
      <c r="H315" s="1453"/>
      <c r="I315" s="1453"/>
      <c r="J315" s="1453"/>
      <c r="K315" s="1453"/>
      <c r="L315" s="1453"/>
      <c r="M315" s="1453"/>
      <c r="N315" s="1453"/>
      <c r="O315" s="1453"/>
      <c r="P315" s="1453"/>
      <c r="Q315" s="1453"/>
      <c r="R315" s="1454"/>
      <c r="S315" s="1454"/>
      <c r="T315" s="1453"/>
      <c r="U315" s="1453"/>
      <c r="V315" s="1454"/>
      <c r="W315" s="1454"/>
      <c r="X315" s="1453"/>
      <c r="Y315" s="1453"/>
      <c r="Z315" s="1460"/>
      <c r="AA315" s="1460"/>
      <c r="AB315" s="1460">
        <v>0</v>
      </c>
      <c r="AC315" s="1460">
        <v>0</v>
      </c>
      <c r="AD315" s="1460"/>
      <c r="AE315" s="1460"/>
      <c r="AF315" s="1383">
        <f t="shared" si="351"/>
        <v>0</v>
      </c>
      <c r="AG315" s="1383">
        <f t="shared" si="352"/>
        <v>0</v>
      </c>
      <c r="AH315" s="1383">
        <f t="shared" si="358"/>
        <v>0</v>
      </c>
      <c r="AI315" s="1383"/>
      <c r="AJ315" s="1383"/>
      <c r="AK315" s="1383"/>
      <c r="AL315" s="1383"/>
      <c r="AM315" s="1383"/>
      <c r="AN315" s="1455"/>
      <c r="AO315" s="1455"/>
      <c r="AP315" s="1431">
        <f t="shared" si="324"/>
        <v>0</v>
      </c>
      <c r="AQ315" s="1431">
        <f t="shared" si="353"/>
        <v>0</v>
      </c>
      <c r="AR315" s="1434"/>
      <c r="AS315" s="1434"/>
      <c r="AW315" s="1427">
        <f t="shared" si="373"/>
        <v>0</v>
      </c>
      <c r="AY315" s="1427">
        <f t="shared" si="374"/>
        <v>0</v>
      </c>
      <c r="BA315" s="1427">
        <f t="shared" si="375"/>
        <v>0</v>
      </c>
      <c r="BC315" s="1427">
        <f t="shared" si="376"/>
        <v>0</v>
      </c>
      <c r="BD315" s="1436">
        <f>IF(I315-Y315&gt;=0,1,0)</f>
        <v>1</v>
      </c>
    </row>
    <row r="316" spans="1:56" ht="78" x14ac:dyDescent="0.3">
      <c r="A316" s="1451" t="s">
        <v>3032</v>
      </c>
      <c r="B316" s="1451" t="s">
        <v>3032</v>
      </c>
      <c r="C316" s="1456" t="s">
        <v>50</v>
      </c>
      <c r="D316" s="1447"/>
      <c r="E316" s="1447"/>
      <c r="F316" s="1448"/>
      <c r="G316" s="1448"/>
      <c r="H316" s="1449"/>
      <c r="I316" s="1449"/>
      <c r="J316" s="1449"/>
      <c r="K316" s="1449"/>
      <c r="L316" s="1449"/>
      <c r="M316" s="1449"/>
      <c r="N316" s="1449"/>
      <c r="O316" s="1449"/>
      <c r="P316" s="1449"/>
      <c r="Q316" s="1449"/>
      <c r="R316" s="1454"/>
      <c r="S316" s="1454"/>
      <c r="T316" s="1449"/>
      <c r="U316" s="1449"/>
      <c r="V316" s="1454"/>
      <c r="W316" s="1454"/>
      <c r="X316" s="1449"/>
      <c r="Y316" s="1449"/>
      <c r="Z316" s="1460"/>
      <c r="AA316" s="1460"/>
      <c r="AB316" s="1460">
        <v>0</v>
      </c>
      <c r="AC316" s="1460">
        <v>0</v>
      </c>
      <c r="AD316" s="1460"/>
      <c r="AE316" s="1460"/>
      <c r="AF316" s="1383">
        <f t="shared" si="351"/>
        <v>0</v>
      </c>
      <c r="AG316" s="1383">
        <f t="shared" si="352"/>
        <v>0</v>
      </c>
      <c r="AH316" s="1383">
        <f t="shared" si="358"/>
        <v>0</v>
      </c>
      <c r="AI316" s="1383"/>
      <c r="AJ316" s="1383"/>
      <c r="AK316" s="1383"/>
      <c r="AL316" s="1383"/>
      <c r="AM316" s="1383"/>
      <c r="AN316" s="1450"/>
      <c r="AO316" s="1450"/>
      <c r="AP316" s="1431">
        <v>1</v>
      </c>
      <c r="AQ316" s="1431">
        <f t="shared" si="353"/>
        <v>0</v>
      </c>
      <c r="AR316" s="1434"/>
      <c r="AS316" s="1434"/>
      <c r="AW316" s="1427">
        <f t="shared" si="373"/>
        <v>0</v>
      </c>
      <c r="AY316" s="1427">
        <f t="shared" si="374"/>
        <v>0</v>
      </c>
      <c r="BA316" s="1427">
        <f t="shared" si="375"/>
        <v>0</v>
      </c>
      <c r="BC316" s="1427">
        <f t="shared" si="376"/>
        <v>0</v>
      </c>
      <c r="BD316" s="1436">
        <f>IF(I316-Y316&gt;=0,1,0)</f>
        <v>1</v>
      </c>
    </row>
    <row r="317" spans="1:56" ht="61.5" customHeight="1" x14ac:dyDescent="0.3">
      <c r="A317" s="1457" t="s">
        <v>3033</v>
      </c>
      <c r="B317" s="1457"/>
      <c r="C317" s="1496" t="s">
        <v>660</v>
      </c>
      <c r="D317" s="1388" t="s">
        <v>336</v>
      </c>
      <c r="E317" s="1388" t="s">
        <v>661</v>
      </c>
      <c r="F317" s="1388" t="s">
        <v>338</v>
      </c>
      <c r="G317" s="1388" t="s">
        <v>662</v>
      </c>
      <c r="H317" s="1463">
        <v>112957</v>
      </c>
      <c r="I317" s="1476">
        <v>40000</v>
      </c>
      <c r="J317" s="1460">
        <f>K317</f>
        <v>10000</v>
      </c>
      <c r="K317" s="1497">
        <v>10000</v>
      </c>
      <c r="L317" s="1460">
        <f>M317</f>
        <v>10000</v>
      </c>
      <c r="M317" s="1497">
        <v>10000</v>
      </c>
      <c r="N317" s="1460">
        <v>29850</v>
      </c>
      <c r="O317" s="1460">
        <f>N317</f>
        <v>29850</v>
      </c>
      <c r="P317" s="1460">
        <v>29850</v>
      </c>
      <c r="Q317" s="1460">
        <f>P317</f>
        <v>29850</v>
      </c>
      <c r="R317" s="1454"/>
      <c r="S317" s="1454">
        <v>4800</v>
      </c>
      <c r="T317" s="1467">
        <f>U317</f>
        <v>25050</v>
      </c>
      <c r="U317" s="1467">
        <f>Q317-S317</f>
        <v>25050</v>
      </c>
      <c r="V317" s="1454"/>
      <c r="W317" s="1454"/>
      <c r="X317" s="1467">
        <f>Y317</f>
        <v>25050</v>
      </c>
      <c r="Y317" s="1467">
        <f>U317-W317</f>
        <v>25050</v>
      </c>
      <c r="Z317" s="1460">
        <v>0</v>
      </c>
      <c r="AA317" s="1460">
        <v>0</v>
      </c>
      <c r="AB317" s="1460">
        <v>25050</v>
      </c>
      <c r="AC317" s="1460">
        <v>25050</v>
      </c>
      <c r="AD317" s="1460"/>
      <c r="AE317" s="1460"/>
      <c r="AF317" s="1383">
        <f t="shared" si="351"/>
        <v>25050</v>
      </c>
      <c r="AG317" s="1383">
        <f t="shared" si="352"/>
        <v>25050</v>
      </c>
      <c r="AH317" s="1383">
        <f t="shared" si="358"/>
        <v>20038</v>
      </c>
      <c r="AI317" s="1383">
        <v>20038</v>
      </c>
      <c r="AJ317" s="1383"/>
      <c r="AK317" s="1383"/>
      <c r="AL317" s="1383"/>
      <c r="AM317" s="1383"/>
      <c r="AN317" s="1381"/>
      <c r="AO317" s="1381"/>
      <c r="AP317" s="1431">
        <f t="shared" si="324"/>
        <v>0</v>
      </c>
      <c r="AQ317" s="1431">
        <f t="shared" si="353"/>
        <v>1</v>
      </c>
      <c r="AR317" s="1434">
        <f t="shared" si="329"/>
        <v>0</v>
      </c>
      <c r="AS317" s="1434"/>
      <c r="AT317" s="1427">
        <f>IF(AP317=0,1,0)</f>
        <v>1</v>
      </c>
      <c r="AV317" s="1427">
        <f>IF(Q317=0,1,0)</f>
        <v>0</v>
      </c>
      <c r="AW317" s="1427">
        <f t="shared" si="373"/>
        <v>0</v>
      </c>
      <c r="AX317" s="1427">
        <f>IF(O317=0,1,0)</f>
        <v>0</v>
      </c>
      <c r="AY317" s="1427">
        <f t="shared" si="374"/>
        <v>0</v>
      </c>
      <c r="AZ317" s="1427">
        <f>IF(R317=0,0,1)</f>
        <v>0</v>
      </c>
      <c r="BA317" s="1427">
        <f t="shared" si="375"/>
        <v>0</v>
      </c>
      <c r="BB317" s="1427">
        <f>IF(S317=0,0,1)</f>
        <v>1</v>
      </c>
      <c r="BC317" s="1427">
        <f t="shared" si="376"/>
        <v>4800</v>
      </c>
      <c r="BD317" s="1436">
        <f>IF(I317-Y317&gt;=0,1,0)</f>
        <v>1</v>
      </c>
    </row>
    <row r="318" spans="1:56" ht="99" customHeight="1" x14ac:dyDescent="0.3">
      <c r="A318" s="1457" t="s">
        <v>3034</v>
      </c>
      <c r="B318" s="1457"/>
      <c r="C318" s="1442" t="s">
        <v>663</v>
      </c>
      <c r="D318" s="1388" t="s">
        <v>664</v>
      </c>
      <c r="E318" s="1388" t="s">
        <v>665</v>
      </c>
      <c r="F318" s="1388" t="s">
        <v>72</v>
      </c>
      <c r="G318" s="1388" t="s">
        <v>666</v>
      </c>
      <c r="H318" s="1463">
        <v>14686</v>
      </c>
      <c r="I318" s="1476">
        <f>H318</f>
        <v>14686</v>
      </c>
      <c r="J318" s="1460">
        <f t="shared" ref="J318:L319" si="384">K318</f>
        <v>7500</v>
      </c>
      <c r="K318" s="1463">
        <v>7500</v>
      </c>
      <c r="L318" s="1460">
        <f t="shared" si="384"/>
        <v>7500</v>
      </c>
      <c r="M318" s="1463">
        <v>7500</v>
      </c>
      <c r="N318" s="1460">
        <v>5750</v>
      </c>
      <c r="O318" s="1460">
        <f>N318</f>
        <v>5750</v>
      </c>
      <c r="P318" s="1460">
        <v>5750</v>
      </c>
      <c r="Q318" s="1460">
        <f>P318</f>
        <v>5750</v>
      </c>
      <c r="R318" s="1454"/>
      <c r="S318" s="1454"/>
      <c r="T318" s="1460">
        <v>5750</v>
      </c>
      <c r="U318" s="1460">
        <f>T318</f>
        <v>5750</v>
      </c>
      <c r="V318" s="1454"/>
      <c r="W318" s="1454"/>
      <c r="X318" s="1460">
        <v>5750</v>
      </c>
      <c r="Y318" s="1460">
        <f>X318</f>
        <v>5750</v>
      </c>
      <c r="Z318" s="1460">
        <v>0</v>
      </c>
      <c r="AA318" s="1460">
        <v>0</v>
      </c>
      <c r="AB318" s="1460">
        <v>5750</v>
      </c>
      <c r="AC318" s="1460">
        <v>5750</v>
      </c>
      <c r="AD318" s="1460"/>
      <c r="AE318" s="1460"/>
      <c r="AF318" s="1383">
        <f t="shared" si="351"/>
        <v>5750</v>
      </c>
      <c r="AG318" s="1383">
        <f t="shared" si="352"/>
        <v>5750</v>
      </c>
      <c r="AH318" s="1383">
        <f t="shared" si="358"/>
        <v>5000</v>
      </c>
      <c r="AI318" s="1383">
        <v>5000</v>
      </c>
      <c r="AJ318" s="1383"/>
      <c r="AK318" s="1383"/>
      <c r="AL318" s="1383"/>
      <c r="AM318" s="1383"/>
      <c r="AN318" s="1464"/>
      <c r="AO318" s="1464"/>
      <c r="AP318" s="1431">
        <f t="shared" si="324"/>
        <v>0</v>
      </c>
      <c r="AQ318" s="1431">
        <f t="shared" si="353"/>
        <v>1</v>
      </c>
      <c r="AR318" s="1434">
        <f t="shared" si="329"/>
        <v>0</v>
      </c>
      <c r="AS318" s="1434"/>
      <c r="AT318" s="1427">
        <f>IF(AP318=0,1,0)</f>
        <v>1</v>
      </c>
      <c r="AV318" s="1427">
        <f>IF(Q318=0,1,0)</f>
        <v>0</v>
      </c>
      <c r="AW318" s="1427">
        <f t="shared" si="373"/>
        <v>0</v>
      </c>
      <c r="AX318" s="1427">
        <f>IF(O318=0,1,0)</f>
        <v>0</v>
      </c>
      <c r="AY318" s="1427">
        <f t="shared" si="374"/>
        <v>0</v>
      </c>
      <c r="AZ318" s="1427">
        <f>IF(R318=0,0,1)</f>
        <v>0</v>
      </c>
      <c r="BA318" s="1427">
        <f t="shared" si="375"/>
        <v>0</v>
      </c>
      <c r="BB318" s="1427">
        <f>IF(S318=0,0,1)</f>
        <v>0</v>
      </c>
      <c r="BC318" s="1427">
        <f t="shared" si="376"/>
        <v>0</v>
      </c>
      <c r="BD318" s="1436">
        <f>IF(I318-Y318&gt;=0,1,0)</f>
        <v>1</v>
      </c>
    </row>
    <row r="319" spans="1:56" ht="119.25" customHeight="1" x14ac:dyDescent="0.3">
      <c r="A319" s="1457" t="s">
        <v>3035</v>
      </c>
      <c r="B319" s="1457"/>
      <c r="C319" s="1462" t="s">
        <v>667</v>
      </c>
      <c r="D319" s="1388" t="s">
        <v>336</v>
      </c>
      <c r="E319" s="1388" t="s">
        <v>2617</v>
      </c>
      <c r="F319" s="1388" t="s">
        <v>183</v>
      </c>
      <c r="G319" s="1388" t="s">
        <v>669</v>
      </c>
      <c r="H319" s="1463">
        <v>30286</v>
      </c>
      <c r="I319" s="1476">
        <f>H319</f>
        <v>30286</v>
      </c>
      <c r="J319" s="1460">
        <f t="shared" si="384"/>
        <v>10500</v>
      </c>
      <c r="K319" s="1497">
        <v>10500</v>
      </c>
      <c r="L319" s="1460">
        <f t="shared" si="384"/>
        <v>10500</v>
      </c>
      <c r="M319" s="1497">
        <v>10500</v>
      </c>
      <c r="N319" s="1460">
        <v>12250</v>
      </c>
      <c r="O319" s="1460">
        <f>N319</f>
        <v>12250</v>
      </c>
      <c r="P319" s="1460">
        <v>12250</v>
      </c>
      <c r="Q319" s="1460">
        <f>P319</f>
        <v>12250</v>
      </c>
      <c r="R319" s="1454"/>
      <c r="S319" s="1454">
        <v>530</v>
      </c>
      <c r="T319" s="1467">
        <f>U319</f>
        <v>11720</v>
      </c>
      <c r="U319" s="1467">
        <f>Q319-S319</f>
        <v>11720</v>
      </c>
      <c r="V319" s="1454"/>
      <c r="W319" s="1454"/>
      <c r="X319" s="1467">
        <f>Y319</f>
        <v>11720</v>
      </c>
      <c r="Y319" s="1467">
        <f>U319-W319</f>
        <v>11720</v>
      </c>
      <c r="Z319" s="1460">
        <v>0</v>
      </c>
      <c r="AA319" s="1460">
        <v>0</v>
      </c>
      <c r="AB319" s="1460">
        <v>11720</v>
      </c>
      <c r="AC319" s="1460">
        <v>11720</v>
      </c>
      <c r="AD319" s="1460"/>
      <c r="AE319" s="1460"/>
      <c r="AF319" s="1383">
        <f t="shared" si="351"/>
        <v>11720</v>
      </c>
      <c r="AG319" s="1383">
        <f t="shared" si="352"/>
        <v>11720</v>
      </c>
      <c r="AH319" s="1383">
        <f t="shared" si="358"/>
        <v>11700</v>
      </c>
      <c r="AI319" s="1383">
        <v>11700</v>
      </c>
      <c r="AJ319" s="1383"/>
      <c r="AK319" s="1383"/>
      <c r="AL319" s="1383"/>
      <c r="AM319" s="1383"/>
      <c r="AN319" s="1381"/>
      <c r="AO319" s="1381"/>
      <c r="AP319" s="1431">
        <f t="shared" si="324"/>
        <v>0</v>
      </c>
      <c r="AQ319" s="1431">
        <f t="shared" si="353"/>
        <v>1</v>
      </c>
      <c r="AR319" s="1434">
        <f t="shared" si="329"/>
        <v>0</v>
      </c>
      <c r="AS319" s="1434"/>
      <c r="AT319" s="1427">
        <f>IF(AP319=0,1,0)</f>
        <v>1</v>
      </c>
      <c r="AV319" s="1427">
        <f>IF(Q319=0,1,0)</f>
        <v>0</v>
      </c>
      <c r="AW319" s="1427">
        <f t="shared" si="373"/>
        <v>0</v>
      </c>
      <c r="AX319" s="1427">
        <f>IF(O319=0,1,0)</f>
        <v>0</v>
      </c>
      <c r="AY319" s="1427">
        <f t="shared" si="374"/>
        <v>0</v>
      </c>
      <c r="AZ319" s="1427">
        <f>IF(R319=0,0,1)</f>
        <v>0</v>
      </c>
      <c r="BA319" s="1427">
        <f t="shared" si="375"/>
        <v>0</v>
      </c>
      <c r="BB319" s="1427">
        <f>IF(S319=0,0,1)</f>
        <v>1</v>
      </c>
      <c r="BC319" s="1427">
        <f t="shared" si="376"/>
        <v>530</v>
      </c>
      <c r="BD319" s="1436">
        <f>IF(I319-Y319&gt;=0,1,0)</f>
        <v>1</v>
      </c>
    </row>
    <row r="320" spans="1:56" ht="44.25" customHeight="1" x14ac:dyDescent="0.3">
      <c r="A320" s="1457" t="s">
        <v>3036</v>
      </c>
      <c r="B320" s="1457" t="s">
        <v>3033</v>
      </c>
      <c r="C320" s="1462" t="s">
        <v>670</v>
      </c>
      <c r="D320" s="1388"/>
      <c r="E320" s="1388"/>
      <c r="F320" s="1465"/>
      <c r="G320" s="1388"/>
      <c r="H320" s="1444"/>
      <c r="I320" s="1476"/>
      <c r="J320" s="1460"/>
      <c r="K320" s="1460"/>
      <c r="L320" s="1460"/>
      <c r="M320" s="1460"/>
      <c r="N320" s="1460">
        <v>50000</v>
      </c>
      <c r="O320" s="1460">
        <v>35000</v>
      </c>
      <c r="P320" s="1460">
        <v>50000</v>
      </c>
      <c r="Q320" s="1460">
        <v>35000</v>
      </c>
      <c r="R320" s="1454">
        <v>26000</v>
      </c>
      <c r="S320" s="1454"/>
      <c r="T320" s="1467">
        <f>U320+15000</f>
        <v>76000</v>
      </c>
      <c r="U320" s="1467">
        <f>R320+Q320</f>
        <v>61000</v>
      </c>
      <c r="V320" s="1454"/>
      <c r="W320" s="1454"/>
      <c r="X320" s="1467">
        <f>Y320+15000</f>
        <v>76000</v>
      </c>
      <c r="Y320" s="1467">
        <f>V320+U320</f>
        <v>61000</v>
      </c>
      <c r="Z320" s="1460">
        <v>0</v>
      </c>
      <c r="AA320" s="1460">
        <v>0</v>
      </c>
      <c r="AB320" s="1460">
        <v>57650</v>
      </c>
      <c r="AC320" s="1460">
        <v>42650</v>
      </c>
      <c r="AD320" s="1460"/>
      <c r="AE320" s="1525"/>
      <c r="AF320" s="1383">
        <v>57650</v>
      </c>
      <c r="AG320" s="1383">
        <f t="shared" si="352"/>
        <v>42650</v>
      </c>
      <c r="AH320" s="1383">
        <f t="shared" si="358"/>
        <v>42650</v>
      </c>
      <c r="AI320" s="1383">
        <v>13517</v>
      </c>
      <c r="AJ320" s="1383">
        <v>16238</v>
      </c>
      <c r="AK320" s="1383">
        <v>5245</v>
      </c>
      <c r="AL320" s="1383">
        <v>7650</v>
      </c>
      <c r="AM320" s="1383">
        <v>0</v>
      </c>
      <c r="AN320" s="1381"/>
      <c r="AO320" s="1381"/>
      <c r="AP320" s="1431">
        <f t="shared" si="324"/>
        <v>0</v>
      </c>
      <c r="AQ320" s="1431">
        <f t="shared" si="353"/>
        <v>1</v>
      </c>
      <c r="AR320" s="1434">
        <f t="shared" si="329"/>
        <v>0</v>
      </c>
      <c r="AS320" s="1434"/>
      <c r="AT320" s="1427">
        <f>IF(AP320=0,1,0)</f>
        <v>1</v>
      </c>
      <c r="AV320" s="1427">
        <f>IF(Q320=0,1,0)</f>
        <v>0</v>
      </c>
      <c r="AW320" s="1427">
        <f t="shared" si="373"/>
        <v>0</v>
      </c>
      <c r="AX320" s="1427">
        <f>IF(O320=0,1,0)</f>
        <v>0</v>
      </c>
      <c r="AY320" s="1427">
        <f t="shared" si="374"/>
        <v>0</v>
      </c>
      <c r="AZ320" s="1427">
        <f>IF(R320=0,0,1)</f>
        <v>1</v>
      </c>
      <c r="BA320" s="1427">
        <f t="shared" si="375"/>
        <v>26000</v>
      </c>
      <c r="BB320" s="1427">
        <f>IF(S320=0,0,1)</f>
        <v>0</v>
      </c>
      <c r="BC320" s="1427">
        <f t="shared" si="376"/>
        <v>0</v>
      </c>
      <c r="BD320" s="1436"/>
    </row>
    <row r="321" spans="1:56 16355:16364" ht="61.5" customHeight="1" x14ac:dyDescent="0.3">
      <c r="A321" s="1827" t="s">
        <v>1121</v>
      </c>
      <c r="B321" s="1827" t="s">
        <v>1121</v>
      </c>
      <c r="C321" s="1446" t="s">
        <v>86</v>
      </c>
      <c r="D321" s="1447"/>
      <c r="E321" s="1447"/>
      <c r="F321" s="1448"/>
      <c r="G321" s="1448"/>
      <c r="H321" s="1449">
        <f>H322+H349</f>
        <v>983575</v>
      </c>
      <c r="I321" s="1449">
        <f t="shared" ref="I321:U321" si="385">I322+I349</f>
        <v>683453</v>
      </c>
      <c r="J321" s="1449">
        <f t="shared" si="385"/>
        <v>0</v>
      </c>
      <c r="K321" s="1449">
        <f t="shared" si="385"/>
        <v>0</v>
      </c>
      <c r="L321" s="1449">
        <f t="shared" si="385"/>
        <v>0</v>
      </c>
      <c r="M321" s="1449">
        <f t="shared" si="385"/>
        <v>0</v>
      </c>
      <c r="N321" s="1449">
        <f t="shared" si="385"/>
        <v>406380</v>
      </c>
      <c r="O321" s="1449">
        <f t="shared" si="385"/>
        <v>290180</v>
      </c>
      <c r="P321" s="1449">
        <f t="shared" si="385"/>
        <v>692235</v>
      </c>
      <c r="Q321" s="1449">
        <f t="shared" si="385"/>
        <v>306100</v>
      </c>
      <c r="R321" s="1449">
        <f t="shared" si="385"/>
        <v>27860</v>
      </c>
      <c r="S321" s="1449">
        <f t="shared" si="385"/>
        <v>27010</v>
      </c>
      <c r="T321" s="1449">
        <f t="shared" si="385"/>
        <v>534365</v>
      </c>
      <c r="U321" s="1449">
        <f t="shared" si="385"/>
        <v>294430</v>
      </c>
      <c r="V321" s="1449">
        <f t="shared" ref="V321:Y321" si="386">V322+V349</f>
        <v>117000</v>
      </c>
      <c r="W321" s="1449">
        <f t="shared" si="386"/>
        <v>0</v>
      </c>
      <c r="X321" s="1449">
        <f t="shared" si="386"/>
        <v>547365</v>
      </c>
      <c r="Y321" s="1449">
        <f t="shared" si="386"/>
        <v>411430</v>
      </c>
      <c r="Z321" s="1449">
        <v>0</v>
      </c>
      <c r="AA321" s="1449">
        <v>0</v>
      </c>
      <c r="AB321" s="1449">
        <v>651290</v>
      </c>
      <c r="AC321" s="1449">
        <v>505355</v>
      </c>
      <c r="AD321" s="1449">
        <f t="shared" ref="AD321:AM321" si="387">AD322+AD349</f>
        <v>4846</v>
      </c>
      <c r="AE321" s="1449">
        <f t="shared" si="387"/>
        <v>0</v>
      </c>
      <c r="AF321" s="1449">
        <f t="shared" si="387"/>
        <v>656136</v>
      </c>
      <c r="AG321" s="1449">
        <f t="shared" si="387"/>
        <v>510201</v>
      </c>
      <c r="AH321" s="1449">
        <f t="shared" si="387"/>
        <v>458460</v>
      </c>
      <c r="AI321" s="1449">
        <f t="shared" si="387"/>
        <v>59523</v>
      </c>
      <c r="AJ321" s="1449">
        <f t="shared" si="387"/>
        <v>61017</v>
      </c>
      <c r="AK321" s="1449">
        <f t="shared" si="387"/>
        <v>51639</v>
      </c>
      <c r="AL321" s="1449">
        <f t="shared" si="387"/>
        <v>159731</v>
      </c>
      <c r="AM321" s="1449">
        <f t="shared" si="387"/>
        <v>126550</v>
      </c>
      <c r="AN321" s="1483"/>
      <c r="AO321" s="1483"/>
      <c r="AP321" s="1431">
        <f t="shared" si="324"/>
        <v>1</v>
      </c>
      <c r="AQ321" s="1431">
        <f t="shared" si="353"/>
        <v>1</v>
      </c>
      <c r="AR321" s="1331"/>
      <c r="AS321" s="1436"/>
      <c r="AT321" s="1436"/>
      <c r="AU321" s="1331"/>
      <c r="AV321" s="1331"/>
      <c r="AW321" s="1331">
        <f t="shared" si="373"/>
        <v>0</v>
      </c>
      <c r="AX321" s="1331"/>
      <c r="AY321" s="1331">
        <f t="shared" si="374"/>
        <v>0</v>
      </c>
      <c r="AZ321" s="1331"/>
      <c r="BA321" s="1331">
        <f t="shared" si="375"/>
        <v>0</v>
      </c>
      <c r="BB321" s="1331"/>
      <c r="BC321" s="1331">
        <f t="shared" si="376"/>
        <v>0</v>
      </c>
      <c r="BD321" s="1436">
        <f>IF(I321-Y321&gt;=0,1,0)</f>
        <v>1</v>
      </c>
      <c r="XEA321" s="1498"/>
      <c r="XEB321" s="1499"/>
      <c r="XEC321" s="1500"/>
      <c r="XED321" s="1500"/>
      <c r="XEE321" s="1500"/>
      <c r="XEF321" s="1500"/>
      <c r="XEG321" s="1501"/>
      <c r="XEH321" s="1501"/>
      <c r="XEI321" s="1501"/>
      <c r="XEJ321" s="1501"/>
    </row>
    <row r="322" spans="1:56 16355:16364" ht="68.25" customHeight="1" x14ac:dyDescent="0.3">
      <c r="A322" s="1451" t="s">
        <v>3037</v>
      </c>
      <c r="B322" s="1451" t="s">
        <v>3064</v>
      </c>
      <c r="C322" s="1446" t="s">
        <v>88</v>
      </c>
      <c r="D322" s="1448"/>
      <c r="E322" s="1448"/>
      <c r="F322" s="1448"/>
      <c r="G322" s="1448"/>
      <c r="H322" s="1449">
        <f t="shared" ref="H322:AF322" si="388">SUM(H323:H348)</f>
        <v>411936</v>
      </c>
      <c r="I322" s="1449">
        <f t="shared" si="388"/>
        <v>296829</v>
      </c>
      <c r="J322" s="1449">
        <f t="shared" si="388"/>
        <v>0</v>
      </c>
      <c r="K322" s="1449">
        <f t="shared" si="388"/>
        <v>0</v>
      </c>
      <c r="L322" s="1449">
        <f t="shared" si="388"/>
        <v>0</v>
      </c>
      <c r="M322" s="1449">
        <f t="shared" si="388"/>
        <v>0</v>
      </c>
      <c r="N322" s="1449">
        <f t="shared" si="388"/>
        <v>355120</v>
      </c>
      <c r="O322" s="1449">
        <f t="shared" si="388"/>
        <v>251520</v>
      </c>
      <c r="P322" s="1449">
        <f t="shared" si="388"/>
        <v>336135</v>
      </c>
      <c r="Q322" s="1449">
        <f t="shared" si="388"/>
        <v>249900</v>
      </c>
      <c r="R322" s="1449">
        <f t="shared" si="388"/>
        <v>11560</v>
      </c>
      <c r="S322" s="1449">
        <f t="shared" si="388"/>
        <v>23510</v>
      </c>
      <c r="T322" s="1449">
        <f t="shared" si="388"/>
        <v>337225</v>
      </c>
      <c r="U322" s="1449">
        <f t="shared" si="388"/>
        <v>250990</v>
      </c>
      <c r="V322" s="1449">
        <f t="shared" si="388"/>
        <v>0</v>
      </c>
      <c r="W322" s="1449">
        <f t="shared" si="388"/>
        <v>0</v>
      </c>
      <c r="X322" s="1449">
        <f t="shared" si="388"/>
        <v>337225</v>
      </c>
      <c r="Y322" s="1449">
        <f t="shared" si="388"/>
        <v>250990</v>
      </c>
      <c r="Z322" s="1449">
        <f t="shared" si="388"/>
        <v>0</v>
      </c>
      <c r="AA322" s="1449">
        <f t="shared" si="388"/>
        <v>0</v>
      </c>
      <c r="AB322" s="1449">
        <v>337225</v>
      </c>
      <c r="AC322" s="1449">
        <v>250990</v>
      </c>
      <c r="AD322" s="1449">
        <f t="shared" si="388"/>
        <v>0</v>
      </c>
      <c r="AE322" s="1449">
        <f t="shared" si="388"/>
        <v>0</v>
      </c>
      <c r="AF322" s="1449">
        <f t="shared" si="388"/>
        <v>337225</v>
      </c>
      <c r="AG322" s="1449">
        <f>SUM(AG323:AG348)</f>
        <v>250990</v>
      </c>
      <c r="AH322" s="1449">
        <f t="shared" ref="AH322:AM322" si="389">SUM(AH323:AH348)</f>
        <v>228027</v>
      </c>
      <c r="AI322" s="1449">
        <f t="shared" si="389"/>
        <v>59523</v>
      </c>
      <c r="AJ322" s="1449">
        <f t="shared" si="389"/>
        <v>61017</v>
      </c>
      <c r="AK322" s="1449">
        <f t="shared" si="389"/>
        <v>51639</v>
      </c>
      <c r="AL322" s="1449">
        <f t="shared" si="389"/>
        <v>51048</v>
      </c>
      <c r="AM322" s="1449">
        <f t="shared" si="389"/>
        <v>4800</v>
      </c>
      <c r="AN322" s="1466"/>
      <c r="AO322" s="1466"/>
      <c r="AP322" s="1431">
        <f t="shared" si="324"/>
        <v>0</v>
      </c>
      <c r="AQ322" s="1431">
        <f t="shared" si="353"/>
        <v>1</v>
      </c>
      <c r="AR322" s="1434"/>
      <c r="AS322" s="1434"/>
      <c r="AW322" s="1427">
        <f t="shared" si="373"/>
        <v>0</v>
      </c>
      <c r="AY322" s="1427">
        <f t="shared" si="374"/>
        <v>0</v>
      </c>
      <c r="BA322" s="1427">
        <f t="shared" si="375"/>
        <v>0</v>
      </c>
      <c r="BC322" s="1427">
        <f t="shared" si="376"/>
        <v>0</v>
      </c>
      <c r="BD322" s="1436">
        <f t="shared" ref="BD322:BD361" si="390">IF(I322-Y322&gt;=0,1,0)</f>
        <v>1</v>
      </c>
    </row>
    <row r="323" spans="1:56 16355:16364" ht="104.25" customHeight="1" x14ac:dyDescent="0.3">
      <c r="A323" s="1461" t="s">
        <v>3038</v>
      </c>
      <c r="B323" s="1457"/>
      <c r="C323" s="1442" t="s">
        <v>671</v>
      </c>
      <c r="D323" s="1388" t="s">
        <v>672</v>
      </c>
      <c r="E323" s="1388" t="s">
        <v>3470</v>
      </c>
      <c r="F323" s="1465" t="s">
        <v>97</v>
      </c>
      <c r="G323" s="1484" t="s">
        <v>674</v>
      </c>
      <c r="H323" s="1463">
        <v>10646</v>
      </c>
      <c r="I323" s="1476">
        <f>H323</f>
        <v>10646</v>
      </c>
      <c r="J323" s="1460"/>
      <c r="K323" s="1460"/>
      <c r="L323" s="1460"/>
      <c r="M323" s="1460"/>
      <c r="N323" s="1463">
        <f>O323</f>
        <v>7800</v>
      </c>
      <c r="O323" s="1460">
        <v>7800</v>
      </c>
      <c r="P323" s="1463">
        <f>Q323</f>
        <v>7800</v>
      </c>
      <c r="Q323" s="1460">
        <v>7800</v>
      </c>
      <c r="R323" s="1454"/>
      <c r="S323" s="1454">
        <v>975</v>
      </c>
      <c r="T323" s="1474">
        <f>U323</f>
        <v>6825</v>
      </c>
      <c r="U323" s="1467">
        <f>Q323-S323</f>
        <v>6825</v>
      </c>
      <c r="V323" s="1454"/>
      <c r="W323" s="1454"/>
      <c r="X323" s="1474">
        <f>Y323</f>
        <v>6825</v>
      </c>
      <c r="Y323" s="1467">
        <f>U323-W323</f>
        <v>6825</v>
      </c>
      <c r="Z323" s="1460"/>
      <c r="AA323" s="1460"/>
      <c r="AB323" s="1460">
        <v>6825</v>
      </c>
      <c r="AC323" s="1460">
        <v>6825</v>
      </c>
      <c r="AD323" s="1460"/>
      <c r="AE323" s="1460"/>
      <c r="AF323" s="1383">
        <f t="shared" si="351"/>
        <v>6825</v>
      </c>
      <c r="AG323" s="1383">
        <f t="shared" si="352"/>
        <v>6825</v>
      </c>
      <c r="AH323" s="1383">
        <f t="shared" si="358"/>
        <v>6452</v>
      </c>
      <c r="AI323" s="1383">
        <v>6300</v>
      </c>
      <c r="AJ323" s="1383">
        <v>152</v>
      </c>
      <c r="AK323" s="1383"/>
      <c r="AL323" s="1383"/>
      <c r="AM323" s="1383"/>
      <c r="AN323" s="1381"/>
      <c r="AO323" s="1381"/>
      <c r="AP323" s="1431">
        <f t="shared" si="324"/>
        <v>0</v>
      </c>
      <c r="AQ323" s="1431">
        <f t="shared" si="353"/>
        <v>1</v>
      </c>
      <c r="AR323" s="1434">
        <f t="shared" si="329"/>
        <v>0</v>
      </c>
      <c r="AS323" s="1434"/>
      <c r="AT323" s="1427">
        <f t="shared" ref="AT323:AT340" si="391">IF(AP323=0,1,0)</f>
        <v>1</v>
      </c>
      <c r="AV323" s="1427">
        <f t="shared" ref="AV323:AV343" si="392">IF(Q323=0,1,0)</f>
        <v>0</v>
      </c>
      <c r="AW323" s="1427">
        <f t="shared" si="373"/>
        <v>0</v>
      </c>
      <c r="AX323" s="1427">
        <f t="shared" ref="AX323:AX343" si="393">IF(O323=0,1,0)</f>
        <v>0</v>
      </c>
      <c r="AY323" s="1427">
        <f t="shared" si="374"/>
        <v>0</v>
      </c>
      <c r="AZ323" s="1427">
        <f t="shared" ref="AZ323:AZ340" si="394">IF(R323=0,0,1)</f>
        <v>0</v>
      </c>
      <c r="BA323" s="1427">
        <f t="shared" si="375"/>
        <v>0</v>
      </c>
      <c r="BB323" s="1427">
        <f t="shared" ref="BB323:BB334" si="395">IF(S323=0,0,1)</f>
        <v>1</v>
      </c>
      <c r="BC323" s="1427">
        <f t="shared" si="376"/>
        <v>975</v>
      </c>
      <c r="BD323" s="1436">
        <f t="shared" si="390"/>
        <v>1</v>
      </c>
    </row>
    <row r="324" spans="1:56 16355:16364" ht="159" customHeight="1" x14ac:dyDescent="0.3">
      <c r="A324" s="1461" t="s">
        <v>3039</v>
      </c>
      <c r="B324" s="1457"/>
      <c r="C324" s="1442" t="s">
        <v>675</v>
      </c>
      <c r="D324" s="1465" t="s">
        <v>58</v>
      </c>
      <c r="E324" s="1388" t="s">
        <v>676</v>
      </c>
      <c r="F324" s="1465">
        <v>2016</v>
      </c>
      <c r="G324" s="1484" t="s">
        <v>677</v>
      </c>
      <c r="H324" s="1463">
        <v>4700</v>
      </c>
      <c r="I324" s="1476">
        <f t="shared" ref="I324:I328" si="396">H324</f>
        <v>4700</v>
      </c>
      <c r="J324" s="1460"/>
      <c r="K324" s="1460"/>
      <c r="L324" s="1460"/>
      <c r="M324" s="1460"/>
      <c r="N324" s="1463">
        <f t="shared" ref="N324:N328" si="397">O324</f>
        <v>4400</v>
      </c>
      <c r="O324" s="1460">
        <v>4400</v>
      </c>
      <c r="P324" s="1463">
        <f t="shared" ref="P324:P328" si="398">Q324</f>
        <v>4400</v>
      </c>
      <c r="Q324" s="1460">
        <v>4400</v>
      </c>
      <c r="R324" s="1454"/>
      <c r="S324" s="1454">
        <v>175</v>
      </c>
      <c r="T324" s="1463">
        <f t="shared" ref="T324" si="399">U324</f>
        <v>4225</v>
      </c>
      <c r="U324" s="1460">
        <f>O324-S324</f>
        <v>4225</v>
      </c>
      <c r="V324" s="1454"/>
      <c r="W324" s="1454"/>
      <c r="X324" s="1463">
        <f t="shared" ref="X324" si="400">Y324</f>
        <v>4225</v>
      </c>
      <c r="Y324" s="1460">
        <f>U324</f>
        <v>4225</v>
      </c>
      <c r="Z324" s="1460"/>
      <c r="AA324" s="1460"/>
      <c r="AB324" s="1460">
        <v>4225</v>
      </c>
      <c r="AC324" s="1460">
        <v>4225</v>
      </c>
      <c r="AD324" s="1460"/>
      <c r="AE324" s="1460"/>
      <c r="AF324" s="1383">
        <f t="shared" si="351"/>
        <v>4225</v>
      </c>
      <c r="AG324" s="1383">
        <f t="shared" si="352"/>
        <v>4225</v>
      </c>
      <c r="AH324" s="1383">
        <f t="shared" si="358"/>
        <v>4150</v>
      </c>
      <c r="AI324" s="1383">
        <v>3950</v>
      </c>
      <c r="AJ324" s="1383">
        <v>200</v>
      </c>
      <c r="AK324" s="1383"/>
      <c r="AL324" s="1383"/>
      <c r="AM324" s="1383"/>
      <c r="AN324" s="1464"/>
      <c r="AO324" s="1464"/>
      <c r="AP324" s="1431">
        <f t="shared" si="324"/>
        <v>0</v>
      </c>
      <c r="AQ324" s="1431">
        <f t="shared" si="353"/>
        <v>1</v>
      </c>
      <c r="AR324" s="1434">
        <f t="shared" si="329"/>
        <v>0</v>
      </c>
      <c r="AS324" s="1434"/>
      <c r="AT324" s="1427">
        <f t="shared" si="391"/>
        <v>1</v>
      </c>
      <c r="AV324" s="1427">
        <f t="shared" si="392"/>
        <v>0</v>
      </c>
      <c r="AW324" s="1427">
        <f t="shared" si="373"/>
        <v>0</v>
      </c>
      <c r="AX324" s="1427">
        <f t="shared" si="393"/>
        <v>0</v>
      </c>
      <c r="AY324" s="1427">
        <f t="shared" si="374"/>
        <v>0</v>
      </c>
      <c r="AZ324" s="1427">
        <f t="shared" si="394"/>
        <v>0</v>
      </c>
      <c r="BA324" s="1427">
        <f t="shared" si="375"/>
        <v>0</v>
      </c>
      <c r="BB324" s="1427">
        <f t="shared" si="395"/>
        <v>1</v>
      </c>
      <c r="BC324" s="1427">
        <f t="shared" si="376"/>
        <v>175</v>
      </c>
      <c r="BD324" s="1436">
        <f t="shared" si="390"/>
        <v>1</v>
      </c>
    </row>
    <row r="325" spans="1:56 16355:16364" ht="81.75" customHeight="1" x14ac:dyDescent="0.3">
      <c r="A325" s="1461" t="s">
        <v>3040</v>
      </c>
      <c r="B325" s="1457"/>
      <c r="C325" s="1442" t="s">
        <v>678</v>
      </c>
      <c r="D325" s="1388" t="s">
        <v>679</v>
      </c>
      <c r="E325" s="1388" t="s">
        <v>680</v>
      </c>
      <c r="F325" s="1797" t="s">
        <v>199</v>
      </c>
      <c r="G325" s="1484" t="s">
        <v>681</v>
      </c>
      <c r="H325" s="1463">
        <v>14893</v>
      </c>
      <c r="I325" s="1476">
        <f t="shared" si="396"/>
        <v>14893</v>
      </c>
      <c r="J325" s="1460"/>
      <c r="K325" s="1460"/>
      <c r="L325" s="1460"/>
      <c r="M325" s="1460"/>
      <c r="N325" s="1463">
        <v>13700</v>
      </c>
      <c r="O325" s="1460">
        <v>13700</v>
      </c>
      <c r="P325" s="1463">
        <v>13700</v>
      </c>
      <c r="Q325" s="1460">
        <v>13700</v>
      </c>
      <c r="R325" s="1454"/>
      <c r="S325" s="1454"/>
      <c r="T325" s="1463">
        <v>13700</v>
      </c>
      <c r="U325" s="1460">
        <v>13700</v>
      </c>
      <c r="V325" s="1454"/>
      <c r="W325" s="1454"/>
      <c r="X325" s="1463">
        <v>13700</v>
      </c>
      <c r="Y325" s="1460">
        <v>13700</v>
      </c>
      <c r="Z325" s="1460"/>
      <c r="AA325" s="1460"/>
      <c r="AB325" s="1460">
        <v>13700</v>
      </c>
      <c r="AC325" s="1460">
        <v>13700</v>
      </c>
      <c r="AD325" s="1460"/>
      <c r="AE325" s="1460"/>
      <c r="AF325" s="1383">
        <f t="shared" si="351"/>
        <v>13700</v>
      </c>
      <c r="AG325" s="1383">
        <f t="shared" si="352"/>
        <v>13700</v>
      </c>
      <c r="AH325" s="1383">
        <f t="shared" si="358"/>
        <v>13000</v>
      </c>
      <c r="AI325" s="1383">
        <v>10000</v>
      </c>
      <c r="AJ325" s="1383">
        <v>3000</v>
      </c>
      <c r="AK325" s="1383"/>
      <c r="AL325" s="1383"/>
      <c r="AM325" s="1383"/>
      <c r="AN325" s="1381" t="s">
        <v>3476</v>
      </c>
      <c r="AO325" s="1381"/>
      <c r="AP325" s="1431">
        <f t="shared" si="324"/>
        <v>0</v>
      </c>
      <c r="AQ325" s="1431">
        <f t="shared" si="353"/>
        <v>1</v>
      </c>
      <c r="AR325" s="1434">
        <f t="shared" si="329"/>
        <v>0</v>
      </c>
      <c r="AS325" s="1434"/>
      <c r="AT325" s="1427">
        <f t="shared" si="391"/>
        <v>1</v>
      </c>
      <c r="AV325" s="1427">
        <f t="shared" si="392"/>
        <v>0</v>
      </c>
      <c r="AW325" s="1427">
        <f t="shared" si="373"/>
        <v>0</v>
      </c>
      <c r="AX325" s="1427">
        <f t="shared" si="393"/>
        <v>0</v>
      </c>
      <c r="AY325" s="1427">
        <f t="shared" si="374"/>
        <v>0</v>
      </c>
      <c r="AZ325" s="1427">
        <f t="shared" si="394"/>
        <v>0</v>
      </c>
      <c r="BA325" s="1427">
        <f t="shared" si="375"/>
        <v>0</v>
      </c>
      <c r="BB325" s="1427">
        <f t="shared" si="395"/>
        <v>0</v>
      </c>
      <c r="BC325" s="1427">
        <f t="shared" si="376"/>
        <v>0</v>
      </c>
      <c r="BD325" s="1436">
        <f t="shared" si="390"/>
        <v>1</v>
      </c>
    </row>
    <row r="326" spans="1:56 16355:16364" ht="68.25" customHeight="1" x14ac:dyDescent="0.3">
      <c r="A326" s="1461" t="s">
        <v>3041</v>
      </c>
      <c r="B326" s="1457"/>
      <c r="C326" s="1442" t="s">
        <v>683</v>
      </c>
      <c r="D326" s="1388" t="s">
        <v>684</v>
      </c>
      <c r="E326" s="1388" t="s">
        <v>685</v>
      </c>
      <c r="F326" s="1465">
        <v>2016</v>
      </c>
      <c r="G326" s="1388" t="s">
        <v>686</v>
      </c>
      <c r="H326" s="1463">
        <v>999</v>
      </c>
      <c r="I326" s="1476">
        <f t="shared" si="396"/>
        <v>999</v>
      </c>
      <c r="J326" s="1460"/>
      <c r="K326" s="1460"/>
      <c r="L326" s="1460"/>
      <c r="M326" s="1460"/>
      <c r="N326" s="1463">
        <f t="shared" si="397"/>
        <v>1000</v>
      </c>
      <c r="O326" s="1460">
        <v>1000</v>
      </c>
      <c r="P326" s="1463">
        <f t="shared" si="398"/>
        <v>1000</v>
      </c>
      <c r="Q326" s="1460">
        <v>1000</v>
      </c>
      <c r="R326" s="1454"/>
      <c r="S326" s="1454">
        <v>60</v>
      </c>
      <c r="T326" s="1474">
        <f t="shared" ref="T326:T328" si="401">U326</f>
        <v>940</v>
      </c>
      <c r="U326" s="1467">
        <f>Q326-S326</f>
        <v>940</v>
      </c>
      <c r="V326" s="1454"/>
      <c r="W326" s="1454"/>
      <c r="X326" s="1474">
        <f t="shared" ref="X326:X328" si="402">Y326</f>
        <v>940</v>
      </c>
      <c r="Y326" s="1467">
        <f>U326-W326</f>
        <v>940</v>
      </c>
      <c r="Z326" s="1460"/>
      <c r="AA326" s="1460"/>
      <c r="AB326" s="1460">
        <v>940</v>
      </c>
      <c r="AC326" s="1460">
        <v>940</v>
      </c>
      <c r="AD326" s="1460"/>
      <c r="AE326" s="1460"/>
      <c r="AF326" s="1383">
        <f t="shared" si="351"/>
        <v>940</v>
      </c>
      <c r="AG326" s="1383">
        <f t="shared" si="352"/>
        <v>940</v>
      </c>
      <c r="AH326" s="1383">
        <f t="shared" si="358"/>
        <v>850</v>
      </c>
      <c r="AI326" s="1383">
        <v>850</v>
      </c>
      <c r="AJ326" s="1383"/>
      <c r="AK326" s="1383"/>
      <c r="AL326" s="1383"/>
      <c r="AM326" s="1383"/>
      <c r="AN326" s="1381"/>
      <c r="AO326" s="1381"/>
      <c r="AP326" s="1431">
        <f t="shared" si="324"/>
        <v>0</v>
      </c>
      <c r="AQ326" s="1431">
        <f t="shared" si="353"/>
        <v>1</v>
      </c>
      <c r="AR326" s="1434">
        <f t="shared" si="329"/>
        <v>0</v>
      </c>
      <c r="AS326" s="1434"/>
      <c r="AT326" s="1427">
        <f t="shared" si="391"/>
        <v>1</v>
      </c>
      <c r="AV326" s="1427">
        <f t="shared" si="392"/>
        <v>0</v>
      </c>
      <c r="AW326" s="1427">
        <f t="shared" si="373"/>
        <v>0</v>
      </c>
      <c r="AX326" s="1427">
        <f t="shared" si="393"/>
        <v>0</v>
      </c>
      <c r="AY326" s="1427">
        <f t="shared" si="374"/>
        <v>0</v>
      </c>
      <c r="AZ326" s="1427">
        <f t="shared" si="394"/>
        <v>0</v>
      </c>
      <c r="BA326" s="1427">
        <f t="shared" si="375"/>
        <v>0</v>
      </c>
      <c r="BB326" s="1427">
        <f t="shared" si="395"/>
        <v>1</v>
      </c>
      <c r="BC326" s="1427">
        <f t="shared" si="376"/>
        <v>60</v>
      </c>
      <c r="BD326" s="1436">
        <f t="shared" si="390"/>
        <v>1</v>
      </c>
    </row>
    <row r="327" spans="1:56 16355:16364" ht="78.75" customHeight="1" x14ac:dyDescent="0.3">
      <c r="A327" s="1461" t="s">
        <v>3042</v>
      </c>
      <c r="B327" s="1457"/>
      <c r="C327" s="1442" t="s">
        <v>687</v>
      </c>
      <c r="D327" s="1465" t="s">
        <v>336</v>
      </c>
      <c r="E327" s="1388" t="s">
        <v>688</v>
      </c>
      <c r="F327" s="1465">
        <v>2016</v>
      </c>
      <c r="G327" s="1388" t="s">
        <v>689</v>
      </c>
      <c r="H327" s="1463">
        <v>7808</v>
      </c>
      <c r="I327" s="1476">
        <f t="shared" si="396"/>
        <v>7808</v>
      </c>
      <c r="J327" s="1460"/>
      <c r="K327" s="1460"/>
      <c r="L327" s="1460"/>
      <c r="M327" s="1460"/>
      <c r="N327" s="1463">
        <f t="shared" si="397"/>
        <v>7070</v>
      </c>
      <c r="O327" s="1460">
        <v>7070</v>
      </c>
      <c r="P327" s="1463">
        <f t="shared" si="398"/>
        <v>7070</v>
      </c>
      <c r="Q327" s="1460">
        <v>7070</v>
      </c>
      <c r="R327" s="1454"/>
      <c r="S327" s="1454"/>
      <c r="T327" s="1463">
        <f t="shared" si="401"/>
        <v>7070</v>
      </c>
      <c r="U327" s="1460">
        <v>7070</v>
      </c>
      <c r="V327" s="1454"/>
      <c r="W327" s="1454"/>
      <c r="X327" s="1463">
        <f t="shared" si="402"/>
        <v>7070</v>
      </c>
      <c r="Y327" s="1460">
        <v>7070</v>
      </c>
      <c r="Z327" s="1460"/>
      <c r="AA327" s="1460"/>
      <c r="AB327" s="1460">
        <v>7070</v>
      </c>
      <c r="AC327" s="1460">
        <v>7070</v>
      </c>
      <c r="AD327" s="1460"/>
      <c r="AE327" s="1460"/>
      <c r="AF327" s="1383">
        <f t="shared" si="351"/>
        <v>7070</v>
      </c>
      <c r="AG327" s="1383">
        <f t="shared" si="352"/>
        <v>7070</v>
      </c>
      <c r="AH327" s="1383">
        <f t="shared" si="358"/>
        <v>5600</v>
      </c>
      <c r="AI327" s="1383">
        <v>2600</v>
      </c>
      <c r="AJ327" s="1383">
        <v>3000</v>
      </c>
      <c r="AK327" s="1383"/>
      <c r="AL327" s="1383"/>
      <c r="AM327" s="1383"/>
      <c r="AN327" s="1464"/>
      <c r="AO327" s="1464"/>
      <c r="AP327" s="1431">
        <f t="shared" si="324"/>
        <v>0</v>
      </c>
      <c r="AQ327" s="1431">
        <f t="shared" si="353"/>
        <v>1</v>
      </c>
      <c r="AR327" s="1434">
        <f t="shared" si="329"/>
        <v>0</v>
      </c>
      <c r="AS327" s="1434"/>
      <c r="AT327" s="1427">
        <f t="shared" si="391"/>
        <v>1</v>
      </c>
      <c r="AV327" s="1427">
        <f t="shared" si="392"/>
        <v>0</v>
      </c>
      <c r="AW327" s="1427">
        <f t="shared" si="373"/>
        <v>0</v>
      </c>
      <c r="AX327" s="1427">
        <f t="shared" si="393"/>
        <v>0</v>
      </c>
      <c r="AY327" s="1427">
        <f t="shared" si="374"/>
        <v>0</v>
      </c>
      <c r="AZ327" s="1427">
        <f t="shared" si="394"/>
        <v>0</v>
      </c>
      <c r="BA327" s="1427">
        <f t="shared" si="375"/>
        <v>0</v>
      </c>
      <c r="BB327" s="1427">
        <f t="shared" si="395"/>
        <v>0</v>
      </c>
      <c r="BC327" s="1427">
        <f t="shared" si="376"/>
        <v>0</v>
      </c>
      <c r="BD327" s="1436">
        <f t="shared" si="390"/>
        <v>1</v>
      </c>
    </row>
    <row r="328" spans="1:56 16355:16364" ht="140.25" customHeight="1" x14ac:dyDescent="0.3">
      <c r="A328" s="1461" t="s">
        <v>3043</v>
      </c>
      <c r="B328" s="1457"/>
      <c r="C328" s="1442" t="s">
        <v>690</v>
      </c>
      <c r="D328" s="1465" t="s">
        <v>336</v>
      </c>
      <c r="E328" s="1388" t="s">
        <v>691</v>
      </c>
      <c r="F328" s="1465" t="s">
        <v>72</v>
      </c>
      <c r="G328" s="1388" t="s">
        <v>692</v>
      </c>
      <c r="H328" s="1463">
        <v>15640</v>
      </c>
      <c r="I328" s="1476">
        <f t="shared" si="396"/>
        <v>15640</v>
      </c>
      <c r="J328" s="1460"/>
      <c r="K328" s="1460"/>
      <c r="L328" s="1460"/>
      <c r="M328" s="1460"/>
      <c r="N328" s="1463">
        <f t="shared" si="397"/>
        <v>14620</v>
      </c>
      <c r="O328" s="1460">
        <v>14620</v>
      </c>
      <c r="P328" s="1463">
        <f t="shared" si="398"/>
        <v>14620</v>
      </c>
      <c r="Q328" s="1460">
        <v>14620</v>
      </c>
      <c r="R328" s="1454"/>
      <c r="S328" s="1454"/>
      <c r="T328" s="1474">
        <f t="shared" si="401"/>
        <v>14620</v>
      </c>
      <c r="U328" s="1467">
        <f>Q328-S328</f>
        <v>14620</v>
      </c>
      <c r="V328" s="1454"/>
      <c r="W328" s="1454"/>
      <c r="X328" s="1474">
        <f t="shared" si="402"/>
        <v>14620</v>
      </c>
      <c r="Y328" s="1467">
        <f>U328-W328</f>
        <v>14620</v>
      </c>
      <c r="Z328" s="1460"/>
      <c r="AA328" s="1460"/>
      <c r="AB328" s="1460">
        <v>14620</v>
      </c>
      <c r="AC328" s="1460">
        <v>14620</v>
      </c>
      <c r="AD328" s="1460"/>
      <c r="AE328" s="1460"/>
      <c r="AF328" s="1383">
        <f t="shared" si="351"/>
        <v>14620</v>
      </c>
      <c r="AG328" s="1383">
        <f t="shared" si="352"/>
        <v>14620</v>
      </c>
      <c r="AH328" s="1383">
        <f t="shared" si="358"/>
        <v>14620</v>
      </c>
      <c r="AI328" s="1383">
        <v>14620</v>
      </c>
      <c r="AJ328" s="1383"/>
      <c r="AK328" s="1383"/>
      <c r="AL328" s="1383"/>
      <c r="AM328" s="1383"/>
      <c r="AN328" s="1381"/>
      <c r="AO328" s="1381"/>
      <c r="AP328" s="1431">
        <f t="shared" si="324"/>
        <v>0</v>
      </c>
      <c r="AQ328" s="1431">
        <f t="shared" si="353"/>
        <v>1</v>
      </c>
      <c r="AR328" s="1434">
        <f t="shared" si="329"/>
        <v>0</v>
      </c>
      <c r="AS328" s="1434"/>
      <c r="AT328" s="1427">
        <f t="shared" si="391"/>
        <v>1</v>
      </c>
      <c r="AV328" s="1427">
        <f t="shared" si="392"/>
        <v>0</v>
      </c>
      <c r="AW328" s="1427">
        <f t="shared" si="373"/>
        <v>0</v>
      </c>
      <c r="AX328" s="1427">
        <f t="shared" si="393"/>
        <v>0</v>
      </c>
      <c r="AY328" s="1427">
        <f t="shared" si="374"/>
        <v>0</v>
      </c>
      <c r="AZ328" s="1427">
        <f t="shared" si="394"/>
        <v>0</v>
      </c>
      <c r="BA328" s="1427">
        <f t="shared" si="375"/>
        <v>0</v>
      </c>
      <c r="BB328" s="1427">
        <f t="shared" si="395"/>
        <v>0</v>
      </c>
      <c r="BC328" s="1427">
        <f t="shared" si="376"/>
        <v>0</v>
      </c>
      <c r="BD328" s="1436">
        <f t="shared" si="390"/>
        <v>1</v>
      </c>
    </row>
    <row r="329" spans="1:56 16355:16364" ht="63" customHeight="1" x14ac:dyDescent="0.3">
      <c r="A329" s="1461" t="s">
        <v>3044</v>
      </c>
      <c r="B329" s="1457"/>
      <c r="C329" s="1442" t="s">
        <v>675</v>
      </c>
      <c r="D329" s="1465" t="s">
        <v>52</v>
      </c>
      <c r="E329" s="1388" t="s">
        <v>693</v>
      </c>
      <c r="F329" s="1465" t="s">
        <v>109</v>
      </c>
      <c r="G329" s="1484" t="s">
        <v>694</v>
      </c>
      <c r="H329" s="1463">
        <v>4700</v>
      </c>
      <c r="I329" s="1476">
        <f>H329</f>
        <v>4700</v>
      </c>
      <c r="J329" s="1460"/>
      <c r="K329" s="1460"/>
      <c r="L329" s="1460"/>
      <c r="M329" s="1460"/>
      <c r="N329" s="1463">
        <f>O329</f>
        <v>4500</v>
      </c>
      <c r="O329" s="1460">
        <v>4500</v>
      </c>
      <c r="P329" s="1463">
        <f>Q329</f>
        <v>4500</v>
      </c>
      <c r="Q329" s="1460">
        <v>4500</v>
      </c>
      <c r="R329" s="1454"/>
      <c r="S329" s="1454"/>
      <c r="T329" s="1463">
        <f>U329</f>
        <v>4500</v>
      </c>
      <c r="U329" s="1460">
        <v>4500</v>
      </c>
      <c r="V329" s="1454"/>
      <c r="W329" s="1454"/>
      <c r="X329" s="1463">
        <f>Y329</f>
        <v>4500</v>
      </c>
      <c r="Y329" s="1460">
        <v>4500</v>
      </c>
      <c r="Z329" s="1460"/>
      <c r="AA329" s="1460"/>
      <c r="AB329" s="1460">
        <v>4500</v>
      </c>
      <c r="AC329" s="1460">
        <v>4500</v>
      </c>
      <c r="AD329" s="1460"/>
      <c r="AE329" s="1460"/>
      <c r="AF329" s="1383">
        <f t="shared" si="351"/>
        <v>4500</v>
      </c>
      <c r="AG329" s="1383">
        <f t="shared" si="352"/>
        <v>4500</v>
      </c>
      <c r="AH329" s="1383">
        <f t="shared" si="358"/>
        <v>4500</v>
      </c>
      <c r="AI329" s="1383"/>
      <c r="AJ329" s="1383">
        <v>4000</v>
      </c>
      <c r="AK329" s="1383">
        <v>500</v>
      </c>
      <c r="AL329" s="1383"/>
      <c r="AM329" s="1383"/>
      <c r="AN329" s="1464"/>
      <c r="AO329" s="1464"/>
      <c r="AP329" s="1431">
        <f t="shared" si="324"/>
        <v>0</v>
      </c>
      <c r="AQ329" s="1431">
        <f t="shared" ref="AQ329:AQ369" si="403">IF(Y329=0,0,1)</f>
        <v>1</v>
      </c>
      <c r="AR329" s="1434">
        <f t="shared" si="329"/>
        <v>0</v>
      </c>
      <c r="AS329" s="1434"/>
      <c r="AT329" s="1427">
        <f t="shared" si="391"/>
        <v>1</v>
      </c>
      <c r="AV329" s="1427">
        <f t="shared" si="392"/>
        <v>0</v>
      </c>
      <c r="AW329" s="1427">
        <f t="shared" si="373"/>
        <v>0</v>
      </c>
      <c r="AX329" s="1427">
        <f t="shared" si="393"/>
        <v>0</v>
      </c>
      <c r="AY329" s="1427">
        <f t="shared" si="374"/>
        <v>0</v>
      </c>
      <c r="AZ329" s="1427">
        <f t="shared" si="394"/>
        <v>0</v>
      </c>
      <c r="BA329" s="1427">
        <f t="shared" si="375"/>
        <v>0</v>
      </c>
      <c r="BB329" s="1427">
        <f t="shared" si="395"/>
        <v>0</v>
      </c>
      <c r="BC329" s="1427">
        <f t="shared" si="376"/>
        <v>0</v>
      </c>
      <c r="BD329" s="1436">
        <f t="shared" si="390"/>
        <v>1</v>
      </c>
    </row>
    <row r="330" spans="1:56 16355:16364" ht="63.75" customHeight="1" x14ac:dyDescent="0.3">
      <c r="A330" s="1461" t="s">
        <v>3045</v>
      </c>
      <c r="B330" s="1457"/>
      <c r="C330" s="1442" t="s">
        <v>695</v>
      </c>
      <c r="D330" s="1388" t="s">
        <v>104</v>
      </c>
      <c r="E330" s="1465"/>
      <c r="F330" s="1465" t="s">
        <v>97</v>
      </c>
      <c r="G330" s="1388" t="s">
        <v>696</v>
      </c>
      <c r="H330" s="1463">
        <v>14999</v>
      </c>
      <c r="I330" s="1476">
        <f t="shared" ref="I330:I337" si="404">H330</f>
        <v>14999</v>
      </c>
      <c r="J330" s="1460"/>
      <c r="K330" s="1460"/>
      <c r="L330" s="1460"/>
      <c r="M330" s="1460"/>
      <c r="N330" s="1463">
        <f>O330</f>
        <v>12500</v>
      </c>
      <c r="O330" s="1460">
        <v>12500</v>
      </c>
      <c r="P330" s="1463">
        <f>Q330</f>
        <v>12500</v>
      </c>
      <c r="Q330" s="1460">
        <v>12500</v>
      </c>
      <c r="R330" s="1454"/>
      <c r="S330" s="1454"/>
      <c r="T330" s="1463">
        <f>U330</f>
        <v>12500</v>
      </c>
      <c r="U330" s="1460">
        <v>12500</v>
      </c>
      <c r="V330" s="1454"/>
      <c r="W330" s="1454"/>
      <c r="X330" s="1463">
        <f>Y330</f>
        <v>12500</v>
      </c>
      <c r="Y330" s="1460">
        <v>12500</v>
      </c>
      <c r="Z330" s="1460"/>
      <c r="AA330" s="1460"/>
      <c r="AB330" s="1460">
        <v>12500</v>
      </c>
      <c r="AC330" s="1460">
        <v>12500</v>
      </c>
      <c r="AD330" s="1460"/>
      <c r="AE330" s="1460"/>
      <c r="AF330" s="1383">
        <f t="shared" si="351"/>
        <v>12500</v>
      </c>
      <c r="AG330" s="1383">
        <f t="shared" si="352"/>
        <v>12500</v>
      </c>
      <c r="AH330" s="1383">
        <f t="shared" si="358"/>
        <v>12500</v>
      </c>
      <c r="AI330" s="1383"/>
      <c r="AJ330" s="1383">
        <v>12500</v>
      </c>
      <c r="AK330" s="1383"/>
      <c r="AL330" s="1383"/>
      <c r="AM330" s="1383"/>
      <c r="AN330" s="1464"/>
      <c r="AO330" s="1464">
        <v>442</v>
      </c>
      <c r="AP330" s="1431">
        <f t="shared" si="324"/>
        <v>0</v>
      </c>
      <c r="AQ330" s="1431">
        <f t="shared" si="403"/>
        <v>1</v>
      </c>
      <c r="AR330" s="1434">
        <f t="shared" si="329"/>
        <v>0</v>
      </c>
      <c r="AS330" s="1434"/>
      <c r="AT330" s="1427">
        <f t="shared" si="391"/>
        <v>1</v>
      </c>
      <c r="AV330" s="1427">
        <f t="shared" si="392"/>
        <v>0</v>
      </c>
      <c r="AW330" s="1427">
        <f t="shared" si="373"/>
        <v>0</v>
      </c>
      <c r="AX330" s="1427">
        <f t="shared" si="393"/>
        <v>0</v>
      </c>
      <c r="AY330" s="1427">
        <f t="shared" si="374"/>
        <v>0</v>
      </c>
      <c r="AZ330" s="1427">
        <f t="shared" si="394"/>
        <v>0</v>
      </c>
      <c r="BA330" s="1427">
        <f t="shared" si="375"/>
        <v>0</v>
      </c>
      <c r="BB330" s="1427">
        <f t="shared" si="395"/>
        <v>0</v>
      </c>
      <c r="BC330" s="1427">
        <f t="shared" si="376"/>
        <v>0</v>
      </c>
      <c r="BD330" s="1436">
        <f t="shared" si="390"/>
        <v>1</v>
      </c>
    </row>
    <row r="331" spans="1:56 16355:16364" ht="60.75" customHeight="1" x14ac:dyDescent="0.3">
      <c r="A331" s="1461" t="s">
        <v>3046</v>
      </c>
      <c r="B331" s="1457"/>
      <c r="C331" s="1442" t="s">
        <v>697</v>
      </c>
      <c r="D331" s="1388" t="s">
        <v>104</v>
      </c>
      <c r="E331" s="1465"/>
      <c r="F331" s="1465" t="s">
        <v>698</v>
      </c>
      <c r="G331" s="1388" t="s">
        <v>699</v>
      </c>
      <c r="H331" s="1463">
        <v>125000</v>
      </c>
      <c r="I331" s="1476">
        <v>37500</v>
      </c>
      <c r="J331" s="1460"/>
      <c r="K331" s="1460"/>
      <c r="L331" s="1460"/>
      <c r="M331" s="1460"/>
      <c r="N331" s="1463">
        <v>112500</v>
      </c>
      <c r="O331" s="1460">
        <v>33750</v>
      </c>
      <c r="P331" s="1463">
        <v>112500</v>
      </c>
      <c r="Q331" s="1460">
        <v>33750</v>
      </c>
      <c r="R331" s="1454"/>
      <c r="S331" s="1454"/>
      <c r="T331" s="1463">
        <v>112500</v>
      </c>
      <c r="U331" s="1460">
        <v>33750</v>
      </c>
      <c r="V331" s="1454"/>
      <c r="W331" s="1454"/>
      <c r="X331" s="1463">
        <v>112500</v>
      </c>
      <c r="Y331" s="1460">
        <v>33750</v>
      </c>
      <c r="Z331" s="1460"/>
      <c r="AA331" s="1460"/>
      <c r="AB331" s="1460">
        <v>112500</v>
      </c>
      <c r="AC331" s="1460">
        <v>33750</v>
      </c>
      <c r="AD331" s="1460"/>
      <c r="AE331" s="1460"/>
      <c r="AF331" s="1383">
        <f>AB331</f>
        <v>112500</v>
      </c>
      <c r="AG331" s="1383">
        <f t="shared" si="352"/>
        <v>33750</v>
      </c>
      <c r="AH331" s="1383">
        <f t="shared" si="358"/>
        <v>30549</v>
      </c>
      <c r="AI331" s="1383"/>
      <c r="AJ331" s="1383"/>
      <c r="AK331" s="1383">
        <v>15000</v>
      </c>
      <c r="AL331" s="1383">
        <v>15549</v>
      </c>
      <c r="AM331" s="1383"/>
      <c r="AN331" s="1381"/>
      <c r="AO331" s="1381"/>
      <c r="AP331" s="1431">
        <f t="shared" si="324"/>
        <v>0</v>
      </c>
      <c r="AQ331" s="1431">
        <f t="shared" si="403"/>
        <v>1</v>
      </c>
      <c r="AR331" s="1434">
        <f t="shared" si="329"/>
        <v>0</v>
      </c>
      <c r="AS331" s="1434"/>
      <c r="AT331" s="1427">
        <f t="shared" si="391"/>
        <v>1</v>
      </c>
      <c r="AV331" s="1427">
        <f t="shared" si="392"/>
        <v>0</v>
      </c>
      <c r="AW331" s="1427">
        <f t="shared" si="373"/>
        <v>0</v>
      </c>
      <c r="AX331" s="1427">
        <f t="shared" si="393"/>
        <v>0</v>
      </c>
      <c r="AY331" s="1427">
        <f t="shared" si="374"/>
        <v>0</v>
      </c>
      <c r="AZ331" s="1427">
        <f t="shared" si="394"/>
        <v>0</v>
      </c>
      <c r="BA331" s="1427">
        <f t="shared" si="375"/>
        <v>0</v>
      </c>
      <c r="BB331" s="1427">
        <f t="shared" si="395"/>
        <v>0</v>
      </c>
      <c r="BC331" s="1427">
        <f t="shared" si="376"/>
        <v>0</v>
      </c>
      <c r="BD331" s="1436">
        <f t="shared" si="390"/>
        <v>1</v>
      </c>
    </row>
    <row r="332" spans="1:56 16355:16364" ht="125.25" customHeight="1" x14ac:dyDescent="0.3">
      <c r="A332" s="1461" t="s">
        <v>3047</v>
      </c>
      <c r="B332" s="1457"/>
      <c r="C332" s="1442" t="s">
        <v>701</v>
      </c>
      <c r="D332" s="1388" t="s">
        <v>702</v>
      </c>
      <c r="E332" s="1388" t="s">
        <v>703</v>
      </c>
      <c r="F332" s="1465" t="s">
        <v>252</v>
      </c>
      <c r="G332" s="1388" t="s">
        <v>704</v>
      </c>
      <c r="H332" s="1444">
        <v>33569</v>
      </c>
      <c r="I332" s="1476">
        <f t="shared" si="404"/>
        <v>33569</v>
      </c>
      <c r="J332" s="1460"/>
      <c r="K332" s="1460"/>
      <c r="L332" s="1460"/>
      <c r="M332" s="1460"/>
      <c r="N332" s="1463">
        <f>O332</f>
        <v>29200</v>
      </c>
      <c r="O332" s="1460">
        <v>29200</v>
      </c>
      <c r="P332" s="1463">
        <f>Q332</f>
        <v>29200</v>
      </c>
      <c r="Q332" s="1460">
        <v>29200</v>
      </c>
      <c r="R332" s="1454"/>
      <c r="S332" s="1454"/>
      <c r="T332" s="1463">
        <f>U332</f>
        <v>29200</v>
      </c>
      <c r="U332" s="1460">
        <v>29200</v>
      </c>
      <c r="V332" s="1454"/>
      <c r="W332" s="1454"/>
      <c r="X332" s="1463">
        <f>Y332</f>
        <v>29200</v>
      </c>
      <c r="Y332" s="1460">
        <v>29200</v>
      </c>
      <c r="Z332" s="1460"/>
      <c r="AA332" s="1460"/>
      <c r="AB332" s="1460">
        <v>29200</v>
      </c>
      <c r="AC332" s="1460">
        <v>29200</v>
      </c>
      <c r="AD332" s="1460"/>
      <c r="AE332" s="1460"/>
      <c r="AF332" s="1383">
        <f t="shared" si="351"/>
        <v>29200</v>
      </c>
      <c r="AG332" s="1383">
        <f t="shared" si="352"/>
        <v>29200</v>
      </c>
      <c r="AH332" s="1383">
        <f t="shared" si="358"/>
        <v>29319</v>
      </c>
      <c r="AI332" s="1383"/>
      <c r="AJ332" s="1383">
        <v>15000</v>
      </c>
      <c r="AK332" s="1383">
        <v>14319</v>
      </c>
      <c r="AL332" s="1383"/>
      <c r="AM332" s="1383"/>
      <c r="AN332" s="1464"/>
      <c r="AO332" s="1464"/>
      <c r="AP332" s="1431">
        <f t="shared" si="324"/>
        <v>0</v>
      </c>
      <c r="AQ332" s="1431">
        <f t="shared" si="403"/>
        <v>1</v>
      </c>
      <c r="AR332" s="1434">
        <f t="shared" si="329"/>
        <v>0</v>
      </c>
      <c r="AS332" s="1434"/>
      <c r="AT332" s="1427">
        <f t="shared" si="391"/>
        <v>1</v>
      </c>
      <c r="AV332" s="1427">
        <f t="shared" si="392"/>
        <v>0</v>
      </c>
      <c r="AW332" s="1427">
        <f t="shared" si="373"/>
        <v>0</v>
      </c>
      <c r="AX332" s="1427">
        <f t="shared" si="393"/>
        <v>0</v>
      </c>
      <c r="AY332" s="1427">
        <f t="shared" si="374"/>
        <v>0</v>
      </c>
      <c r="AZ332" s="1427">
        <f t="shared" si="394"/>
        <v>0</v>
      </c>
      <c r="BA332" s="1427">
        <f t="shared" si="375"/>
        <v>0</v>
      </c>
      <c r="BB332" s="1427">
        <f t="shared" si="395"/>
        <v>0</v>
      </c>
      <c r="BC332" s="1427">
        <f t="shared" si="376"/>
        <v>0</v>
      </c>
      <c r="BD332" s="1436">
        <f t="shared" si="390"/>
        <v>1</v>
      </c>
    </row>
    <row r="333" spans="1:56 16355:16364" ht="66" customHeight="1" x14ac:dyDescent="0.3">
      <c r="A333" s="1461" t="s">
        <v>3048</v>
      </c>
      <c r="B333" s="1457"/>
      <c r="C333" s="1442" t="s">
        <v>705</v>
      </c>
      <c r="D333" s="1388" t="s">
        <v>146</v>
      </c>
      <c r="E333" s="1388" t="s">
        <v>706</v>
      </c>
      <c r="F333" s="1465" t="s">
        <v>109</v>
      </c>
      <c r="G333" s="1388" t="s">
        <v>707</v>
      </c>
      <c r="H333" s="1463">
        <v>13014</v>
      </c>
      <c r="I333" s="1476">
        <f>H333</f>
        <v>13014</v>
      </c>
      <c r="J333" s="1460"/>
      <c r="K333" s="1460"/>
      <c r="L333" s="1460"/>
      <c r="M333" s="1460"/>
      <c r="N333" s="1463">
        <v>11700</v>
      </c>
      <c r="O333" s="1460">
        <f>N333</f>
        <v>11700</v>
      </c>
      <c r="P333" s="1463">
        <v>11700</v>
      </c>
      <c r="Q333" s="1460">
        <f>P333</f>
        <v>11700</v>
      </c>
      <c r="R333" s="1454"/>
      <c r="S333" s="1454"/>
      <c r="T333" s="1463">
        <v>11700</v>
      </c>
      <c r="U333" s="1460">
        <f>T333</f>
        <v>11700</v>
      </c>
      <c r="V333" s="1454"/>
      <c r="W333" s="1454"/>
      <c r="X333" s="1463">
        <v>11700</v>
      </c>
      <c r="Y333" s="1460">
        <f>X333</f>
        <v>11700</v>
      </c>
      <c r="Z333" s="1460"/>
      <c r="AA333" s="1460"/>
      <c r="AB333" s="1460">
        <v>11700</v>
      </c>
      <c r="AC333" s="1460">
        <v>11700</v>
      </c>
      <c r="AD333" s="1460"/>
      <c r="AE333" s="1460"/>
      <c r="AF333" s="1383">
        <f t="shared" si="351"/>
        <v>11700</v>
      </c>
      <c r="AG333" s="1383">
        <f t="shared" si="352"/>
        <v>11700</v>
      </c>
      <c r="AH333" s="1383">
        <f t="shared" si="358"/>
        <v>11700</v>
      </c>
      <c r="AI333" s="1383"/>
      <c r="AJ333" s="1383">
        <v>6000</v>
      </c>
      <c r="AK333" s="1383">
        <v>5000</v>
      </c>
      <c r="AL333" s="1383">
        <v>700</v>
      </c>
      <c r="AM333" s="1383"/>
      <c r="AN333" s="1464"/>
      <c r="AO333" s="1464"/>
      <c r="AP333" s="1431">
        <f t="shared" si="324"/>
        <v>0</v>
      </c>
      <c r="AQ333" s="1431">
        <f t="shared" si="403"/>
        <v>1</v>
      </c>
      <c r="AR333" s="1434">
        <f t="shared" si="329"/>
        <v>0</v>
      </c>
      <c r="AS333" s="1434"/>
      <c r="AT333" s="1427">
        <f t="shared" si="391"/>
        <v>1</v>
      </c>
      <c r="AV333" s="1427">
        <f t="shared" si="392"/>
        <v>0</v>
      </c>
      <c r="AW333" s="1427">
        <f t="shared" si="373"/>
        <v>0</v>
      </c>
      <c r="AX333" s="1427">
        <f t="shared" si="393"/>
        <v>0</v>
      </c>
      <c r="AY333" s="1427">
        <f t="shared" si="374"/>
        <v>0</v>
      </c>
      <c r="AZ333" s="1427">
        <f t="shared" si="394"/>
        <v>0</v>
      </c>
      <c r="BA333" s="1427">
        <f t="shared" si="375"/>
        <v>0</v>
      </c>
      <c r="BB333" s="1427">
        <f t="shared" si="395"/>
        <v>0</v>
      </c>
      <c r="BC333" s="1427">
        <f t="shared" si="376"/>
        <v>0</v>
      </c>
      <c r="BD333" s="1436">
        <f t="shared" si="390"/>
        <v>1</v>
      </c>
    </row>
    <row r="334" spans="1:56 16355:16364" ht="83.25" customHeight="1" x14ac:dyDescent="0.3">
      <c r="A334" s="1461" t="s">
        <v>3049</v>
      </c>
      <c r="B334" s="1457"/>
      <c r="C334" s="1442" t="s">
        <v>708</v>
      </c>
      <c r="D334" s="1388" t="s">
        <v>709</v>
      </c>
      <c r="E334" s="1388" t="s">
        <v>710</v>
      </c>
      <c r="F334" s="1465" t="s">
        <v>461</v>
      </c>
      <c r="G334" s="1388" t="s">
        <v>711</v>
      </c>
      <c r="H334" s="1463">
        <f t="shared" ref="H334:H336" si="405">I334</f>
        <v>6295</v>
      </c>
      <c r="I334" s="1476">
        <v>6295</v>
      </c>
      <c r="J334" s="1460"/>
      <c r="K334" s="1460"/>
      <c r="L334" s="1460"/>
      <c r="M334" s="1460"/>
      <c r="N334" s="1463">
        <f>O334</f>
        <v>5500</v>
      </c>
      <c r="O334" s="1460">
        <v>5500</v>
      </c>
      <c r="P334" s="1463">
        <f>Q334</f>
        <v>5700</v>
      </c>
      <c r="Q334" s="1460">
        <v>5700</v>
      </c>
      <c r="R334" s="1454">
        <v>200</v>
      </c>
      <c r="S334" s="1454"/>
      <c r="T334" s="1463">
        <f>U334</f>
        <v>5700</v>
      </c>
      <c r="U334" s="1460">
        <v>5700</v>
      </c>
      <c r="V334" s="1454"/>
      <c r="W334" s="1454"/>
      <c r="X334" s="1463">
        <f>Y334</f>
        <v>5700</v>
      </c>
      <c r="Y334" s="1460">
        <v>5700</v>
      </c>
      <c r="Z334" s="1460"/>
      <c r="AA334" s="1460"/>
      <c r="AB334" s="1460">
        <v>5700</v>
      </c>
      <c r="AC334" s="1460">
        <v>5700</v>
      </c>
      <c r="AD334" s="1460"/>
      <c r="AE334" s="1460"/>
      <c r="AF334" s="1383">
        <f t="shared" si="351"/>
        <v>5700</v>
      </c>
      <c r="AG334" s="1383">
        <f t="shared" si="352"/>
        <v>5700</v>
      </c>
      <c r="AH334" s="1383">
        <f t="shared" si="358"/>
        <v>3500</v>
      </c>
      <c r="AI334" s="1383"/>
      <c r="AJ334" s="1383"/>
      <c r="AK334" s="1383"/>
      <c r="AL334" s="1383"/>
      <c r="AM334" s="1383">
        <v>3500</v>
      </c>
      <c r="AN334" s="1381"/>
      <c r="AO334" s="1381"/>
      <c r="AP334" s="1431">
        <f t="shared" si="324"/>
        <v>0</v>
      </c>
      <c r="AQ334" s="1431">
        <f t="shared" si="403"/>
        <v>1</v>
      </c>
      <c r="AR334" s="1434">
        <f t="shared" si="329"/>
        <v>0</v>
      </c>
      <c r="AS334" s="1434"/>
      <c r="AT334" s="1427">
        <f t="shared" si="391"/>
        <v>1</v>
      </c>
      <c r="AV334" s="1427">
        <f t="shared" si="392"/>
        <v>0</v>
      </c>
      <c r="AW334" s="1427">
        <f t="shared" si="373"/>
        <v>0</v>
      </c>
      <c r="AX334" s="1427">
        <f t="shared" si="393"/>
        <v>0</v>
      </c>
      <c r="AY334" s="1427">
        <f t="shared" si="374"/>
        <v>0</v>
      </c>
      <c r="AZ334" s="1427">
        <f t="shared" si="394"/>
        <v>1</v>
      </c>
      <c r="BA334" s="1427">
        <f t="shared" si="375"/>
        <v>200</v>
      </c>
      <c r="BB334" s="1427">
        <f t="shared" si="395"/>
        <v>0</v>
      </c>
      <c r="BC334" s="1427">
        <f t="shared" si="376"/>
        <v>0</v>
      </c>
      <c r="BD334" s="1436">
        <f t="shared" si="390"/>
        <v>1</v>
      </c>
    </row>
    <row r="335" spans="1:56 16355:16364" ht="62.25" customHeight="1" x14ac:dyDescent="0.3">
      <c r="A335" s="1461" t="s">
        <v>3050</v>
      </c>
      <c r="B335" s="1457"/>
      <c r="C335" s="1442" t="s">
        <v>712</v>
      </c>
      <c r="D335" s="1388" t="s">
        <v>713</v>
      </c>
      <c r="E335" s="1388" t="s">
        <v>714</v>
      </c>
      <c r="F335" s="1465" t="s">
        <v>461</v>
      </c>
      <c r="G335" s="1388" t="s">
        <v>715</v>
      </c>
      <c r="H335" s="1463">
        <f t="shared" si="405"/>
        <v>982</v>
      </c>
      <c r="I335" s="1476">
        <v>982</v>
      </c>
      <c r="J335" s="1460"/>
      <c r="K335" s="1460"/>
      <c r="L335" s="1460"/>
      <c r="M335" s="1460"/>
      <c r="N335" s="1463">
        <f>O335</f>
        <v>9500</v>
      </c>
      <c r="O335" s="1460">
        <v>9500</v>
      </c>
      <c r="P335" s="1463"/>
      <c r="Q335" s="1460"/>
      <c r="R335" s="1454"/>
      <c r="S335" s="1454">
        <v>9500</v>
      </c>
      <c r="T335" s="1463"/>
      <c r="U335" s="1460"/>
      <c r="V335" s="1454"/>
      <c r="W335" s="1454"/>
      <c r="X335" s="1463"/>
      <c r="Y335" s="1460"/>
      <c r="Z335" s="1460"/>
      <c r="AA335" s="1460"/>
      <c r="AB335" s="1460">
        <v>0</v>
      </c>
      <c r="AC335" s="1460">
        <v>0</v>
      </c>
      <c r="AD335" s="1460"/>
      <c r="AE335" s="1460"/>
      <c r="AF335" s="1383">
        <f t="shared" si="351"/>
        <v>0</v>
      </c>
      <c r="AG335" s="1383">
        <f t="shared" si="352"/>
        <v>0</v>
      </c>
      <c r="AH335" s="1383">
        <f t="shared" si="358"/>
        <v>0</v>
      </c>
      <c r="AI335" s="1383"/>
      <c r="AJ335" s="1383"/>
      <c r="AK335" s="1383"/>
      <c r="AL335" s="1383"/>
      <c r="AM335" s="1383"/>
      <c r="AN335" s="1381"/>
      <c r="AO335" s="1381"/>
      <c r="AP335" s="1431">
        <f t="shared" si="324"/>
        <v>0</v>
      </c>
      <c r="AQ335" s="1431">
        <f t="shared" si="403"/>
        <v>0</v>
      </c>
      <c r="AR335" s="1434">
        <f t="shared" si="329"/>
        <v>0</v>
      </c>
      <c r="AS335" s="1434"/>
      <c r="AT335" s="1427">
        <f t="shared" si="391"/>
        <v>1</v>
      </c>
      <c r="AV335" s="1427">
        <f t="shared" si="392"/>
        <v>1</v>
      </c>
      <c r="AW335" s="1427">
        <f t="shared" si="373"/>
        <v>9500</v>
      </c>
      <c r="AX335" s="1427">
        <f t="shared" si="393"/>
        <v>0</v>
      </c>
      <c r="AY335" s="1427">
        <f t="shared" si="374"/>
        <v>0</v>
      </c>
      <c r="AZ335" s="1427">
        <f t="shared" si="394"/>
        <v>0</v>
      </c>
      <c r="BA335" s="1427">
        <f t="shared" si="375"/>
        <v>0</v>
      </c>
      <c r="BD335" s="1436">
        <f t="shared" si="390"/>
        <v>1</v>
      </c>
    </row>
    <row r="336" spans="1:56 16355:16364" ht="58.5" customHeight="1" x14ac:dyDescent="0.3">
      <c r="A336" s="1461" t="s">
        <v>3051</v>
      </c>
      <c r="B336" s="1457"/>
      <c r="C336" s="1442" t="s">
        <v>717</v>
      </c>
      <c r="D336" s="1388" t="s">
        <v>70</v>
      </c>
      <c r="E336" s="1388"/>
      <c r="F336" s="1465" t="s">
        <v>116</v>
      </c>
      <c r="G336" s="1388" t="s">
        <v>718</v>
      </c>
      <c r="H336" s="1463">
        <f t="shared" si="405"/>
        <v>1900</v>
      </c>
      <c r="I336" s="1476">
        <v>1900</v>
      </c>
      <c r="J336" s="1460"/>
      <c r="K336" s="1460"/>
      <c r="L336" s="1460"/>
      <c r="M336" s="1460"/>
      <c r="N336" s="1463">
        <f>O336</f>
        <v>1350</v>
      </c>
      <c r="O336" s="1460">
        <v>1350</v>
      </c>
      <c r="P336" s="1463">
        <f>Q336</f>
        <v>1710</v>
      </c>
      <c r="Q336" s="1460">
        <f>I336*0.9</f>
        <v>1710</v>
      </c>
      <c r="R336" s="1454">
        <f>T336-O336</f>
        <v>360</v>
      </c>
      <c r="S336" s="1454"/>
      <c r="T336" s="1463">
        <f>P336</f>
        <v>1710</v>
      </c>
      <c r="U336" s="1463">
        <f>Q336</f>
        <v>1710</v>
      </c>
      <c r="V336" s="1454"/>
      <c r="W336" s="1454"/>
      <c r="X336" s="1463">
        <f>T336</f>
        <v>1710</v>
      </c>
      <c r="Y336" s="1463">
        <f>U336</f>
        <v>1710</v>
      </c>
      <c r="Z336" s="1460"/>
      <c r="AA336" s="1460"/>
      <c r="AB336" s="1460">
        <v>1710</v>
      </c>
      <c r="AC336" s="1460">
        <v>1710</v>
      </c>
      <c r="AD336" s="1460"/>
      <c r="AE336" s="1460"/>
      <c r="AF336" s="1383">
        <f t="shared" si="351"/>
        <v>1710</v>
      </c>
      <c r="AG336" s="1383">
        <f t="shared" si="352"/>
        <v>1710</v>
      </c>
      <c r="AH336" s="1383">
        <f t="shared" si="358"/>
        <v>1350</v>
      </c>
      <c r="AI336" s="1383"/>
      <c r="AJ336" s="1383">
        <v>1000</v>
      </c>
      <c r="AK336" s="1383">
        <v>350</v>
      </c>
      <c r="AL336" s="1383"/>
      <c r="AM336" s="1383"/>
      <c r="AN336" s="1464"/>
      <c r="AO336" s="1464"/>
      <c r="AP336" s="1431">
        <f t="shared" si="324"/>
        <v>0</v>
      </c>
      <c r="AQ336" s="1431">
        <f t="shared" si="403"/>
        <v>1</v>
      </c>
      <c r="AR336" s="1434">
        <f t="shared" si="329"/>
        <v>0</v>
      </c>
      <c r="AS336" s="1434"/>
      <c r="AT336" s="1427">
        <f t="shared" si="391"/>
        <v>1</v>
      </c>
      <c r="AV336" s="1427">
        <f t="shared" si="392"/>
        <v>0</v>
      </c>
      <c r="AW336" s="1427">
        <f t="shared" si="373"/>
        <v>0</v>
      </c>
      <c r="AX336" s="1427">
        <f t="shared" si="393"/>
        <v>0</v>
      </c>
      <c r="AY336" s="1427">
        <f t="shared" si="374"/>
        <v>0</v>
      </c>
      <c r="AZ336" s="1427">
        <f t="shared" si="394"/>
        <v>1</v>
      </c>
      <c r="BA336" s="1427">
        <f t="shared" si="375"/>
        <v>360</v>
      </c>
      <c r="BB336" s="1427">
        <f>IF(S336=0,0,1)</f>
        <v>0</v>
      </c>
      <c r="BC336" s="1427">
        <f>IF(BB336=1,S336,0)</f>
        <v>0</v>
      </c>
      <c r="BD336" s="1436">
        <f t="shared" si="390"/>
        <v>1</v>
      </c>
    </row>
    <row r="337" spans="1:56" ht="59.25" customHeight="1" x14ac:dyDescent="0.3">
      <c r="A337" s="1461" t="s">
        <v>3052</v>
      </c>
      <c r="B337" s="1457"/>
      <c r="C337" s="1442" t="s">
        <v>719</v>
      </c>
      <c r="D337" s="1388" t="s">
        <v>70</v>
      </c>
      <c r="E337" s="1388"/>
      <c r="F337" s="1465" t="s">
        <v>116</v>
      </c>
      <c r="G337" s="1388" t="s">
        <v>2477</v>
      </c>
      <c r="H337" s="1463">
        <v>3400</v>
      </c>
      <c r="I337" s="1476">
        <f t="shared" si="404"/>
        <v>3400</v>
      </c>
      <c r="J337" s="1460"/>
      <c r="K337" s="1460"/>
      <c r="L337" s="1460"/>
      <c r="M337" s="1460"/>
      <c r="N337" s="1463">
        <f>O337</f>
        <v>3060</v>
      </c>
      <c r="O337" s="1460">
        <f>I337*0.9</f>
        <v>3060</v>
      </c>
      <c r="P337" s="1463">
        <f>Q337</f>
        <v>3060</v>
      </c>
      <c r="Q337" s="1460">
        <f>O337</f>
        <v>3060</v>
      </c>
      <c r="R337" s="1454"/>
      <c r="S337" s="1454"/>
      <c r="T337" s="1463">
        <f>P337</f>
        <v>3060</v>
      </c>
      <c r="U337" s="1463">
        <f>Q337</f>
        <v>3060</v>
      </c>
      <c r="V337" s="1454"/>
      <c r="W337" s="1454"/>
      <c r="X337" s="1463">
        <f>T337</f>
        <v>3060</v>
      </c>
      <c r="Y337" s="1463">
        <f>U337</f>
        <v>3060</v>
      </c>
      <c r="Z337" s="1460"/>
      <c r="AA337" s="1460"/>
      <c r="AB337" s="1460">
        <v>3060</v>
      </c>
      <c r="AC337" s="1460">
        <v>3060</v>
      </c>
      <c r="AD337" s="1460"/>
      <c r="AE337" s="1460"/>
      <c r="AF337" s="1383">
        <f t="shared" si="351"/>
        <v>3060</v>
      </c>
      <c r="AG337" s="1383">
        <f t="shared" si="352"/>
        <v>3060</v>
      </c>
      <c r="AH337" s="1383">
        <f t="shared" si="358"/>
        <v>2700</v>
      </c>
      <c r="AI337" s="1383"/>
      <c r="AJ337" s="1383"/>
      <c r="AK337" s="1383">
        <v>2700</v>
      </c>
      <c r="AL337" s="1383"/>
      <c r="AM337" s="1383"/>
      <c r="AN337" s="1464"/>
      <c r="AO337" s="1464"/>
      <c r="AP337" s="1431">
        <f t="shared" ref="AP337:AP401" si="406">IF(AG337-AC337=0,0,1)</f>
        <v>0</v>
      </c>
      <c r="AQ337" s="1431">
        <f t="shared" si="403"/>
        <v>1</v>
      </c>
      <c r="AR337" s="1434">
        <f t="shared" si="329"/>
        <v>0</v>
      </c>
      <c r="AS337" s="1434"/>
      <c r="AT337" s="1427">
        <f t="shared" si="391"/>
        <v>1</v>
      </c>
      <c r="AV337" s="1427">
        <f t="shared" si="392"/>
        <v>0</v>
      </c>
      <c r="AW337" s="1427">
        <f t="shared" si="373"/>
        <v>0</v>
      </c>
      <c r="AX337" s="1427">
        <f t="shared" si="393"/>
        <v>0</v>
      </c>
      <c r="AY337" s="1427">
        <f t="shared" si="374"/>
        <v>0</v>
      </c>
      <c r="AZ337" s="1427">
        <f t="shared" si="394"/>
        <v>0</v>
      </c>
      <c r="BA337" s="1427">
        <f t="shared" si="375"/>
        <v>0</v>
      </c>
      <c r="BB337" s="1427">
        <f>IF(S337=0,0,1)</f>
        <v>0</v>
      </c>
      <c r="BC337" s="1427">
        <f>IF(BB337=1,S337,0)</f>
        <v>0</v>
      </c>
      <c r="BD337" s="1436">
        <f t="shared" si="390"/>
        <v>1</v>
      </c>
    </row>
    <row r="338" spans="1:56" ht="61.5" customHeight="1" x14ac:dyDescent="0.3">
      <c r="A338" s="1461" t="s">
        <v>3053</v>
      </c>
      <c r="B338" s="1457"/>
      <c r="C338" s="1442" t="s">
        <v>720</v>
      </c>
      <c r="D338" s="1388" t="s">
        <v>70</v>
      </c>
      <c r="E338" s="1388"/>
      <c r="F338" s="1465" t="s">
        <v>116</v>
      </c>
      <c r="G338" s="1388"/>
      <c r="H338" s="1463">
        <v>31695</v>
      </c>
      <c r="I338" s="1476">
        <v>14263</v>
      </c>
      <c r="J338" s="1460"/>
      <c r="K338" s="1460"/>
      <c r="L338" s="1460"/>
      <c r="M338" s="1460"/>
      <c r="N338" s="1463">
        <v>28500</v>
      </c>
      <c r="O338" s="1460">
        <v>12800</v>
      </c>
      <c r="P338" s="1463"/>
      <c r="Q338" s="1460"/>
      <c r="R338" s="1454"/>
      <c r="S338" s="1454">
        <v>12800</v>
      </c>
      <c r="T338" s="1463"/>
      <c r="U338" s="1460"/>
      <c r="V338" s="1454"/>
      <c r="W338" s="1454"/>
      <c r="X338" s="1463"/>
      <c r="Y338" s="1460"/>
      <c r="Z338" s="1460"/>
      <c r="AA338" s="1460"/>
      <c r="AB338" s="1460">
        <v>0</v>
      </c>
      <c r="AC338" s="1460">
        <v>0</v>
      </c>
      <c r="AD338" s="1460"/>
      <c r="AE338" s="1460"/>
      <c r="AF338" s="1383">
        <f t="shared" si="351"/>
        <v>0</v>
      </c>
      <c r="AG338" s="1383">
        <f t="shared" si="352"/>
        <v>0</v>
      </c>
      <c r="AH338" s="1383">
        <f t="shared" si="358"/>
        <v>0</v>
      </c>
      <c r="AI338" s="1383"/>
      <c r="AJ338" s="1383"/>
      <c r="AK338" s="1383"/>
      <c r="AL338" s="1383"/>
      <c r="AM338" s="1383"/>
      <c r="AN338" s="1381"/>
      <c r="AO338" s="1381"/>
      <c r="AP338" s="1431">
        <f t="shared" si="406"/>
        <v>0</v>
      </c>
      <c r="AQ338" s="1431">
        <f t="shared" si="403"/>
        <v>0</v>
      </c>
      <c r="AR338" s="1434">
        <f t="shared" si="329"/>
        <v>0</v>
      </c>
      <c r="AS338" s="1434"/>
      <c r="AT338" s="1427">
        <f t="shared" si="391"/>
        <v>1</v>
      </c>
      <c r="AV338" s="1427">
        <f t="shared" si="392"/>
        <v>1</v>
      </c>
      <c r="AW338" s="1427">
        <f t="shared" si="373"/>
        <v>12800</v>
      </c>
      <c r="AX338" s="1427">
        <f t="shared" si="393"/>
        <v>0</v>
      </c>
      <c r="AY338" s="1427">
        <f t="shared" si="374"/>
        <v>0</v>
      </c>
      <c r="AZ338" s="1427">
        <f t="shared" si="394"/>
        <v>0</v>
      </c>
      <c r="BA338" s="1427">
        <f t="shared" si="375"/>
        <v>0</v>
      </c>
      <c r="BD338" s="1436">
        <f t="shared" si="390"/>
        <v>1</v>
      </c>
    </row>
    <row r="339" spans="1:56" ht="66" customHeight="1" x14ac:dyDescent="0.3">
      <c r="A339" s="1461" t="s">
        <v>3054</v>
      </c>
      <c r="B339" s="1457"/>
      <c r="C339" s="1442" t="s">
        <v>721</v>
      </c>
      <c r="D339" s="1388" t="s">
        <v>205</v>
      </c>
      <c r="E339" s="1388"/>
      <c r="F339" s="1465" t="s">
        <v>290</v>
      </c>
      <c r="G339" s="1388" t="s">
        <v>2478</v>
      </c>
      <c r="H339" s="1463">
        <v>18500</v>
      </c>
      <c r="I339" s="1476">
        <f>H339*0.45</f>
        <v>8325</v>
      </c>
      <c r="J339" s="1460"/>
      <c r="K339" s="1460"/>
      <c r="L339" s="1460"/>
      <c r="M339" s="1460"/>
      <c r="N339" s="1463">
        <f>H339*0.9</f>
        <v>16650</v>
      </c>
      <c r="O339" s="1463">
        <v>7500</v>
      </c>
      <c r="P339" s="1463">
        <f>N339*0.9</f>
        <v>14985</v>
      </c>
      <c r="Q339" s="1463">
        <v>7500</v>
      </c>
      <c r="R339" s="1454"/>
      <c r="S339" s="1454"/>
      <c r="T339" s="1463">
        <f>P339</f>
        <v>14985</v>
      </c>
      <c r="U339" s="1463">
        <f>Q339</f>
        <v>7500</v>
      </c>
      <c r="V339" s="1454"/>
      <c r="W339" s="1454"/>
      <c r="X339" s="1463">
        <f>T339</f>
        <v>14985</v>
      </c>
      <c r="Y339" s="1463">
        <f>U339</f>
        <v>7500</v>
      </c>
      <c r="Z339" s="1460"/>
      <c r="AA339" s="1460"/>
      <c r="AB339" s="1460">
        <v>14985</v>
      </c>
      <c r="AC339" s="1460">
        <v>7500</v>
      </c>
      <c r="AD339" s="1460"/>
      <c r="AE339" s="1460"/>
      <c r="AF339" s="1383">
        <f>AB339</f>
        <v>14985</v>
      </c>
      <c r="AG339" s="1383">
        <f t="shared" si="352"/>
        <v>7500</v>
      </c>
      <c r="AH339" s="1383">
        <f t="shared" si="358"/>
        <v>7500</v>
      </c>
      <c r="AI339" s="1383"/>
      <c r="AJ339" s="1383"/>
      <c r="AK339" s="1383"/>
      <c r="AL339" s="1383">
        <v>7000</v>
      </c>
      <c r="AM339" s="1383">
        <v>500</v>
      </c>
      <c r="AN339" s="1381"/>
      <c r="AO339" s="1381"/>
      <c r="AP339" s="1431">
        <f t="shared" si="406"/>
        <v>0</v>
      </c>
      <c r="AQ339" s="1431">
        <f t="shared" si="403"/>
        <v>1</v>
      </c>
      <c r="AR339" s="1434">
        <f t="shared" si="329"/>
        <v>0</v>
      </c>
      <c r="AS339" s="1434"/>
      <c r="AT339" s="1427">
        <f t="shared" si="391"/>
        <v>1</v>
      </c>
      <c r="AV339" s="1427">
        <f t="shared" si="392"/>
        <v>0</v>
      </c>
      <c r="AW339" s="1427">
        <f t="shared" si="373"/>
        <v>0</v>
      </c>
      <c r="AX339" s="1427">
        <f t="shared" si="393"/>
        <v>0</v>
      </c>
      <c r="AY339" s="1427">
        <f t="shared" si="374"/>
        <v>0</v>
      </c>
      <c r="AZ339" s="1427">
        <f t="shared" si="394"/>
        <v>0</v>
      </c>
      <c r="BA339" s="1427">
        <f t="shared" si="375"/>
        <v>0</v>
      </c>
      <c r="BB339" s="1427">
        <f>IF(S339=0,0,1)</f>
        <v>0</v>
      </c>
      <c r="BC339" s="1427">
        <f t="shared" ref="BC339:BC351" si="407">IF(BB339=1,S339,0)</f>
        <v>0</v>
      </c>
      <c r="BD339" s="1436">
        <f t="shared" si="390"/>
        <v>1</v>
      </c>
    </row>
    <row r="340" spans="1:56" ht="61.5" customHeight="1" x14ac:dyDescent="0.3">
      <c r="A340" s="1461" t="s">
        <v>3055</v>
      </c>
      <c r="B340" s="1457"/>
      <c r="C340" s="1442" t="s">
        <v>723</v>
      </c>
      <c r="D340" s="1388" t="s">
        <v>230</v>
      </c>
      <c r="E340" s="1388"/>
      <c r="F340" s="1465" t="s">
        <v>290</v>
      </c>
      <c r="G340" s="1388"/>
      <c r="H340" s="1463">
        <v>2990</v>
      </c>
      <c r="I340" s="1476">
        <f>H340</f>
        <v>2990</v>
      </c>
      <c r="J340" s="1460"/>
      <c r="K340" s="1460"/>
      <c r="L340" s="1460"/>
      <c r="M340" s="1460"/>
      <c r="N340" s="1463">
        <v>2700</v>
      </c>
      <c r="O340" s="1463">
        <f>N340</f>
        <v>2700</v>
      </c>
      <c r="P340" s="1463">
        <v>2700</v>
      </c>
      <c r="Q340" s="1463">
        <f>P340</f>
        <v>2700</v>
      </c>
      <c r="R340" s="1454"/>
      <c r="S340" s="1454"/>
      <c r="T340" s="1463">
        <v>2700</v>
      </c>
      <c r="U340" s="1463">
        <f>T340</f>
        <v>2700</v>
      </c>
      <c r="V340" s="1454"/>
      <c r="W340" s="1454"/>
      <c r="X340" s="1463">
        <v>2700</v>
      </c>
      <c r="Y340" s="1463">
        <f>X340</f>
        <v>2700</v>
      </c>
      <c r="Z340" s="1460"/>
      <c r="AA340" s="1460"/>
      <c r="AB340" s="1460">
        <v>2700</v>
      </c>
      <c r="AC340" s="1460">
        <v>2700</v>
      </c>
      <c r="AD340" s="1460"/>
      <c r="AE340" s="1460"/>
      <c r="AF340" s="1383">
        <f t="shared" si="351"/>
        <v>2700</v>
      </c>
      <c r="AG340" s="1383">
        <f t="shared" si="352"/>
        <v>2700</v>
      </c>
      <c r="AH340" s="1383">
        <f t="shared" si="358"/>
        <v>0</v>
      </c>
      <c r="AI340" s="1383"/>
      <c r="AJ340" s="1383"/>
      <c r="AK340" s="1383"/>
      <c r="AL340" s="1383"/>
      <c r="AM340" s="1383"/>
      <c r="AN340" s="1381"/>
      <c r="AO340" s="1381"/>
      <c r="AP340" s="1431">
        <f t="shared" si="406"/>
        <v>0</v>
      </c>
      <c r="AQ340" s="1431">
        <f t="shared" si="403"/>
        <v>1</v>
      </c>
      <c r="AR340" s="1434">
        <f t="shared" ref="AR340:AR417" si="408">AP340</f>
        <v>0</v>
      </c>
      <c r="AS340" s="1434"/>
      <c r="AT340" s="1427">
        <f t="shared" si="391"/>
        <v>1</v>
      </c>
      <c r="AV340" s="1427">
        <f t="shared" si="392"/>
        <v>0</v>
      </c>
      <c r="AW340" s="1427">
        <f t="shared" si="373"/>
        <v>0</v>
      </c>
      <c r="AX340" s="1427">
        <f t="shared" si="393"/>
        <v>0</v>
      </c>
      <c r="AY340" s="1427">
        <f t="shared" si="374"/>
        <v>0</v>
      </c>
      <c r="AZ340" s="1427">
        <f t="shared" si="394"/>
        <v>0</v>
      </c>
      <c r="BA340" s="1427">
        <f t="shared" si="375"/>
        <v>0</v>
      </c>
      <c r="BB340" s="1427">
        <f>IF(S340=0,0,1)</f>
        <v>0</v>
      </c>
      <c r="BC340" s="1427">
        <f t="shared" si="407"/>
        <v>0</v>
      </c>
      <c r="BD340" s="1436">
        <f t="shared" si="390"/>
        <v>1</v>
      </c>
    </row>
    <row r="341" spans="1:56" ht="60.75" customHeight="1" x14ac:dyDescent="0.3">
      <c r="A341" s="1461" t="s">
        <v>3056</v>
      </c>
      <c r="B341" s="1457"/>
      <c r="C341" s="1442" t="s">
        <v>724</v>
      </c>
      <c r="D341" s="1388" t="s">
        <v>70</v>
      </c>
      <c r="E341" s="1388"/>
      <c r="F341" s="1465" t="s">
        <v>116</v>
      </c>
      <c r="G341" s="1388" t="s">
        <v>2479</v>
      </c>
      <c r="H341" s="1463">
        <f>I341</f>
        <v>2970.0000000000005</v>
      </c>
      <c r="I341" s="1476">
        <f>2700*1.1</f>
        <v>2970.0000000000005</v>
      </c>
      <c r="J341" s="1460"/>
      <c r="K341" s="1460"/>
      <c r="L341" s="1460"/>
      <c r="M341" s="1460"/>
      <c r="N341" s="1463"/>
      <c r="O341" s="1460"/>
      <c r="P341" s="1463">
        <f>Q341</f>
        <v>2700</v>
      </c>
      <c r="Q341" s="1460">
        <f>2700</f>
        <v>2700</v>
      </c>
      <c r="R341" s="1463">
        <f>T341</f>
        <v>2700</v>
      </c>
      <c r="S341" s="1463"/>
      <c r="T341" s="1463">
        <f>U341</f>
        <v>2700</v>
      </c>
      <c r="U341" s="1460">
        <f>2700</f>
        <v>2700</v>
      </c>
      <c r="V341" s="1463"/>
      <c r="W341" s="1463"/>
      <c r="X341" s="1463">
        <f>Y341</f>
        <v>2700</v>
      </c>
      <c r="Y341" s="1460">
        <f>2700</f>
        <v>2700</v>
      </c>
      <c r="Z341" s="1460"/>
      <c r="AA341" s="1460"/>
      <c r="AB341" s="1460">
        <v>2700</v>
      </c>
      <c r="AC341" s="1460">
        <v>2700</v>
      </c>
      <c r="AD341" s="1460"/>
      <c r="AE341" s="1460"/>
      <c r="AF341" s="1383">
        <f t="shared" si="351"/>
        <v>2700</v>
      </c>
      <c r="AG341" s="1383">
        <f t="shared" si="352"/>
        <v>2700</v>
      </c>
      <c r="AH341" s="1383">
        <f t="shared" si="358"/>
        <v>2700</v>
      </c>
      <c r="AI341" s="1383"/>
      <c r="AJ341" s="1383"/>
      <c r="AK341" s="1383"/>
      <c r="AL341" s="1383">
        <v>2500</v>
      </c>
      <c r="AM341" s="1383">
        <v>200</v>
      </c>
      <c r="AN341" s="1381"/>
      <c r="AO341" s="1381"/>
      <c r="AP341" s="1431">
        <f t="shared" si="406"/>
        <v>0</v>
      </c>
      <c r="AQ341" s="1431">
        <f t="shared" si="403"/>
        <v>1</v>
      </c>
      <c r="AR341" s="1434">
        <f>AP341</f>
        <v>0</v>
      </c>
      <c r="AS341" s="1434"/>
      <c r="AT341" s="1427">
        <f>IF(AP341=0,1,0)</f>
        <v>1</v>
      </c>
      <c r="AV341" s="1427">
        <f t="shared" si="392"/>
        <v>0</v>
      </c>
      <c r="AW341" s="1427">
        <f t="shared" si="373"/>
        <v>0</v>
      </c>
      <c r="AX341" s="1427">
        <f t="shared" si="393"/>
        <v>1</v>
      </c>
      <c r="AY341" s="1427">
        <f t="shared" si="374"/>
        <v>2700</v>
      </c>
      <c r="BB341" s="1427">
        <f>IF(S341=0,0,1)</f>
        <v>0</v>
      </c>
      <c r="BC341" s="1427">
        <f t="shared" si="407"/>
        <v>0</v>
      </c>
      <c r="BD341" s="1436">
        <f t="shared" si="390"/>
        <v>1</v>
      </c>
    </row>
    <row r="342" spans="1:56" ht="79.5" customHeight="1" x14ac:dyDescent="0.3">
      <c r="A342" s="1461" t="s">
        <v>3057</v>
      </c>
      <c r="B342" s="1457"/>
      <c r="C342" s="1442" t="s">
        <v>725</v>
      </c>
      <c r="D342" s="1388" t="s">
        <v>709</v>
      </c>
      <c r="E342" s="1388"/>
      <c r="F342" s="1465" t="s">
        <v>116</v>
      </c>
      <c r="G342" s="1388" t="s">
        <v>2480</v>
      </c>
      <c r="H342" s="1463">
        <f>I342</f>
        <v>3300</v>
      </c>
      <c r="I342" s="1476">
        <v>3300</v>
      </c>
      <c r="J342" s="1460"/>
      <c r="K342" s="1460"/>
      <c r="L342" s="1460"/>
      <c r="M342" s="1460"/>
      <c r="N342" s="1463"/>
      <c r="O342" s="1460"/>
      <c r="P342" s="1463">
        <f>Q342</f>
        <v>3000</v>
      </c>
      <c r="Q342" s="1460">
        <v>3000</v>
      </c>
      <c r="R342" s="1463">
        <f>T342</f>
        <v>3000</v>
      </c>
      <c r="S342" s="1463"/>
      <c r="T342" s="1463">
        <f>U342</f>
        <v>3000</v>
      </c>
      <c r="U342" s="1460">
        <v>3000</v>
      </c>
      <c r="V342" s="1463"/>
      <c r="W342" s="1463"/>
      <c r="X342" s="1463">
        <f>Y342</f>
        <v>3000</v>
      </c>
      <c r="Y342" s="1460">
        <v>3000</v>
      </c>
      <c r="Z342" s="1460"/>
      <c r="AA342" s="1460"/>
      <c r="AB342" s="1460">
        <v>3000</v>
      </c>
      <c r="AC342" s="1460">
        <v>3000</v>
      </c>
      <c r="AD342" s="1460"/>
      <c r="AE342" s="1460"/>
      <c r="AF342" s="1383">
        <f t="shared" si="351"/>
        <v>3000</v>
      </c>
      <c r="AG342" s="1383">
        <f t="shared" si="352"/>
        <v>3000</v>
      </c>
      <c r="AH342" s="1383">
        <f t="shared" si="358"/>
        <v>3000</v>
      </c>
      <c r="AI342" s="1383"/>
      <c r="AJ342" s="1383"/>
      <c r="AK342" s="1383"/>
      <c r="AL342" s="1383">
        <v>2700</v>
      </c>
      <c r="AM342" s="1383">
        <v>300</v>
      </c>
      <c r="AN342" s="1381"/>
      <c r="AO342" s="1381"/>
      <c r="AP342" s="1431">
        <f t="shared" si="406"/>
        <v>0</v>
      </c>
      <c r="AQ342" s="1431">
        <f t="shared" si="403"/>
        <v>1</v>
      </c>
      <c r="AR342" s="1434">
        <f>AP342</f>
        <v>0</v>
      </c>
      <c r="AS342" s="1434"/>
      <c r="AT342" s="1427">
        <f>IF(AP342=0,1,0)</f>
        <v>1</v>
      </c>
      <c r="AV342" s="1427">
        <f t="shared" si="392"/>
        <v>0</v>
      </c>
      <c r="AW342" s="1427">
        <f t="shared" si="373"/>
        <v>0</v>
      </c>
      <c r="AX342" s="1427">
        <f t="shared" si="393"/>
        <v>1</v>
      </c>
      <c r="AY342" s="1427">
        <f t="shared" si="374"/>
        <v>3000</v>
      </c>
      <c r="BB342" s="1427">
        <f>IF(S342=0,0,1)</f>
        <v>0</v>
      </c>
      <c r="BC342" s="1427">
        <f t="shared" si="407"/>
        <v>0</v>
      </c>
      <c r="BD342" s="1436">
        <f t="shared" si="390"/>
        <v>1</v>
      </c>
    </row>
    <row r="343" spans="1:56" ht="60.75" customHeight="1" x14ac:dyDescent="0.3">
      <c r="A343" s="1461" t="s">
        <v>3058</v>
      </c>
      <c r="B343" s="1457"/>
      <c r="C343" s="1442" t="s">
        <v>726</v>
      </c>
      <c r="D343" s="1388" t="s">
        <v>70</v>
      </c>
      <c r="E343" s="1388"/>
      <c r="F343" s="1465" t="s">
        <v>116</v>
      </c>
      <c r="G343" s="1388" t="s">
        <v>2481</v>
      </c>
      <c r="H343" s="1463">
        <f>I343</f>
        <v>3300</v>
      </c>
      <c r="I343" s="1476">
        <v>3300</v>
      </c>
      <c r="J343" s="1460"/>
      <c r="K343" s="1460"/>
      <c r="L343" s="1460"/>
      <c r="M343" s="1460"/>
      <c r="N343" s="1463"/>
      <c r="O343" s="1460"/>
      <c r="P343" s="1463">
        <f>Q343</f>
        <v>3000</v>
      </c>
      <c r="Q343" s="1460">
        <v>3000</v>
      </c>
      <c r="R343" s="1463">
        <f>T343</f>
        <v>3000</v>
      </c>
      <c r="S343" s="1463"/>
      <c r="T343" s="1463">
        <f>U343</f>
        <v>3000</v>
      </c>
      <c r="U343" s="1460">
        <v>3000</v>
      </c>
      <c r="V343" s="1463"/>
      <c r="W343" s="1463"/>
      <c r="X343" s="1463">
        <f>Y343</f>
        <v>3000</v>
      </c>
      <c r="Y343" s="1460">
        <v>3000</v>
      </c>
      <c r="Z343" s="1460"/>
      <c r="AA343" s="1460"/>
      <c r="AB343" s="1460">
        <v>3000</v>
      </c>
      <c r="AC343" s="1460">
        <v>3000</v>
      </c>
      <c r="AD343" s="1460"/>
      <c r="AE343" s="1460"/>
      <c r="AF343" s="1383">
        <f t="shared" si="351"/>
        <v>3000</v>
      </c>
      <c r="AG343" s="1383">
        <f t="shared" si="352"/>
        <v>3000</v>
      </c>
      <c r="AH343" s="1383">
        <f t="shared" si="358"/>
        <v>3000</v>
      </c>
      <c r="AI343" s="1383"/>
      <c r="AJ343" s="1383"/>
      <c r="AK343" s="1383"/>
      <c r="AL343" s="1383">
        <v>2700</v>
      </c>
      <c r="AM343" s="1383">
        <v>300</v>
      </c>
      <c r="AN343" s="1381"/>
      <c r="AO343" s="1381"/>
      <c r="AP343" s="1431">
        <f t="shared" si="406"/>
        <v>0</v>
      </c>
      <c r="AQ343" s="1431">
        <f t="shared" si="403"/>
        <v>1</v>
      </c>
      <c r="AR343" s="1434">
        <f>AP343</f>
        <v>0</v>
      </c>
      <c r="AS343" s="1434"/>
      <c r="AT343" s="1427">
        <f>IF(AP343=0,1,0)</f>
        <v>1</v>
      </c>
      <c r="AV343" s="1427">
        <f t="shared" si="392"/>
        <v>0</v>
      </c>
      <c r="AW343" s="1427">
        <f t="shared" si="373"/>
        <v>0</v>
      </c>
      <c r="AX343" s="1427">
        <f t="shared" si="393"/>
        <v>1</v>
      </c>
      <c r="AY343" s="1427">
        <f t="shared" si="374"/>
        <v>3000</v>
      </c>
      <c r="BB343" s="1427">
        <f>IF(S343=0,0,1)</f>
        <v>0</v>
      </c>
      <c r="BC343" s="1427">
        <f t="shared" si="407"/>
        <v>0</v>
      </c>
      <c r="BD343" s="1436">
        <f t="shared" si="390"/>
        <v>1</v>
      </c>
    </row>
    <row r="344" spans="1:56" ht="84.75" customHeight="1" x14ac:dyDescent="0.3">
      <c r="A344" s="1461" t="s">
        <v>3059</v>
      </c>
      <c r="B344" s="1457"/>
      <c r="C344" s="1621" t="s">
        <v>1999</v>
      </c>
      <c r="D344" s="1608" t="s">
        <v>52</v>
      </c>
      <c r="E344" s="1608" t="s">
        <v>2000</v>
      </c>
      <c r="F344" s="1646">
        <v>2016</v>
      </c>
      <c r="G344" s="1829" t="s">
        <v>2001</v>
      </c>
      <c r="H344" s="1666">
        <v>11720</v>
      </c>
      <c r="I344" s="1796">
        <f t="shared" ref="I344:I347" si="409">H344</f>
        <v>11720</v>
      </c>
      <c r="J344" s="1830"/>
      <c r="K344" s="1830"/>
      <c r="L344" s="1830"/>
      <c r="M344" s="1830"/>
      <c r="N344" s="1831">
        <v>10500</v>
      </c>
      <c r="O344" s="1796">
        <f t="shared" ref="O344:O348" si="410">N344</f>
        <v>10500</v>
      </c>
      <c r="P344" s="1831">
        <v>10500</v>
      </c>
      <c r="Q344" s="1796">
        <f t="shared" ref="Q344:Q347" si="411">P344</f>
        <v>10500</v>
      </c>
      <c r="R344" s="1796"/>
      <c r="S344" s="1796"/>
      <c r="T344" s="1831">
        <v>10500</v>
      </c>
      <c r="U344" s="1796">
        <f t="shared" ref="U344:U347" si="412">T344</f>
        <v>10500</v>
      </c>
      <c r="V344" s="1831"/>
      <c r="W344" s="1796"/>
      <c r="X344" s="1831">
        <v>10500</v>
      </c>
      <c r="Y344" s="1796">
        <f t="shared" ref="Y344" si="413">X344</f>
        <v>10500</v>
      </c>
      <c r="Z344" s="1460"/>
      <c r="AA344" s="1460"/>
      <c r="AB344" s="1831">
        <v>10500</v>
      </c>
      <c r="AC344" s="1796">
        <v>10500</v>
      </c>
      <c r="AD344" s="1460"/>
      <c r="AE344" s="1460"/>
      <c r="AF344" s="1831">
        <v>10500</v>
      </c>
      <c r="AG344" s="1796">
        <f t="shared" ref="AG344" si="414">AF344</f>
        <v>10500</v>
      </c>
      <c r="AH344" s="1383">
        <f t="shared" si="358"/>
        <v>6165</v>
      </c>
      <c r="AI344" s="1383">
        <v>5000</v>
      </c>
      <c r="AJ344" s="1383">
        <v>1165</v>
      </c>
      <c r="AK344" s="1383"/>
      <c r="AL344" s="1383"/>
      <c r="AM344" s="1383"/>
      <c r="AN344" s="1381"/>
      <c r="AO344" s="1381"/>
      <c r="AP344" s="1431">
        <f t="shared" si="406"/>
        <v>0</v>
      </c>
      <c r="AQ344" s="1431"/>
      <c r="AR344" s="1434"/>
      <c r="AS344" s="1434"/>
      <c r="BD344" s="1436"/>
    </row>
    <row r="345" spans="1:56" ht="69.75" customHeight="1" x14ac:dyDescent="0.3">
      <c r="A345" s="1461" t="s">
        <v>3060</v>
      </c>
      <c r="B345" s="1457"/>
      <c r="C345" s="1621" t="s">
        <v>2002</v>
      </c>
      <c r="D345" s="1608" t="s">
        <v>1987</v>
      </c>
      <c r="E345" s="1608" t="s">
        <v>2003</v>
      </c>
      <c r="F345" s="1646">
        <v>2016</v>
      </c>
      <c r="G345" s="1608" t="s">
        <v>2004</v>
      </c>
      <c r="H345" s="1666">
        <v>1494</v>
      </c>
      <c r="I345" s="1796">
        <f t="shared" si="409"/>
        <v>1494</v>
      </c>
      <c r="J345" s="1830"/>
      <c r="K345" s="1830"/>
      <c r="L345" s="1830"/>
      <c r="M345" s="1830"/>
      <c r="N345" s="1831">
        <v>1350</v>
      </c>
      <c r="O345" s="1796">
        <f t="shared" si="410"/>
        <v>1350</v>
      </c>
      <c r="P345" s="1831">
        <v>1350</v>
      </c>
      <c r="Q345" s="1796">
        <f t="shared" si="411"/>
        <v>1350</v>
      </c>
      <c r="R345" s="1796"/>
      <c r="S345" s="1796"/>
      <c r="T345" s="1831">
        <v>1350</v>
      </c>
      <c r="U345" s="1796">
        <f t="shared" si="412"/>
        <v>1350</v>
      </c>
      <c r="V345" s="1796"/>
      <c r="W345" s="1796"/>
      <c r="X345" s="1831">
        <f>Y345</f>
        <v>1350</v>
      </c>
      <c r="Y345" s="1831">
        <f t="shared" ref="Y345:Y347" si="415">U345+V345+W345</f>
        <v>1350</v>
      </c>
      <c r="Z345" s="1831"/>
      <c r="AA345" s="1831"/>
      <c r="AB345" s="1831">
        <v>1350</v>
      </c>
      <c r="AC345" s="1831">
        <v>1350</v>
      </c>
      <c r="AD345" s="1460"/>
      <c r="AE345" s="1460"/>
      <c r="AF345" s="1831">
        <f>AG345</f>
        <v>1350</v>
      </c>
      <c r="AG345" s="1831">
        <f t="shared" ref="AG345:AG348" si="416">AC345+AD345+AE345</f>
        <v>1350</v>
      </c>
      <c r="AH345" s="1383">
        <f t="shared" si="358"/>
        <v>1013</v>
      </c>
      <c r="AI345" s="1383">
        <v>1013</v>
      </c>
      <c r="AJ345" s="1383"/>
      <c r="AK345" s="1383"/>
      <c r="AL345" s="1383"/>
      <c r="AM345" s="1383"/>
      <c r="AN345" s="1381"/>
      <c r="AO345" s="1381"/>
      <c r="AP345" s="1431">
        <f t="shared" si="406"/>
        <v>0</v>
      </c>
      <c r="AQ345" s="1431"/>
      <c r="AR345" s="1434"/>
      <c r="AS345" s="1434"/>
      <c r="BD345" s="1436"/>
    </row>
    <row r="346" spans="1:56" ht="66" customHeight="1" x14ac:dyDescent="0.3">
      <c r="A346" s="1461" t="s">
        <v>3061</v>
      </c>
      <c r="B346" s="1457"/>
      <c r="C346" s="1645" t="s">
        <v>2005</v>
      </c>
      <c r="D346" s="1588" t="s">
        <v>2006</v>
      </c>
      <c r="E346" s="1608" t="s">
        <v>2007</v>
      </c>
      <c r="F346" s="1646" t="s">
        <v>252</v>
      </c>
      <c r="G346" s="1588" t="s">
        <v>2008</v>
      </c>
      <c r="H346" s="1748">
        <v>44926</v>
      </c>
      <c r="I346" s="1796">
        <f t="shared" si="409"/>
        <v>44926</v>
      </c>
      <c r="J346" s="1830"/>
      <c r="K346" s="1830"/>
      <c r="L346" s="1830"/>
      <c r="M346" s="1830"/>
      <c r="N346" s="1666">
        <v>39240</v>
      </c>
      <c r="O346" s="1796">
        <f t="shared" si="410"/>
        <v>39240</v>
      </c>
      <c r="P346" s="1666">
        <v>39240</v>
      </c>
      <c r="Q346" s="1796">
        <f t="shared" si="411"/>
        <v>39240</v>
      </c>
      <c r="R346" s="1796"/>
      <c r="S346" s="1796"/>
      <c r="T346" s="1666">
        <v>39240</v>
      </c>
      <c r="U346" s="1796">
        <f t="shared" si="412"/>
        <v>39240</v>
      </c>
      <c r="V346" s="1796"/>
      <c r="W346" s="1796"/>
      <c r="X346" s="1831">
        <f t="shared" ref="X346:X347" si="417">Y346</f>
        <v>39240</v>
      </c>
      <c r="Y346" s="1831">
        <f t="shared" si="415"/>
        <v>39240</v>
      </c>
      <c r="Z346" s="1831"/>
      <c r="AA346" s="1831"/>
      <c r="AB346" s="1831">
        <v>39240</v>
      </c>
      <c r="AC346" s="1831">
        <v>39240</v>
      </c>
      <c r="AD346" s="1460"/>
      <c r="AE346" s="1460"/>
      <c r="AF346" s="1831">
        <f t="shared" ref="AF346:AF347" si="418">AG346</f>
        <v>39240</v>
      </c>
      <c r="AG346" s="1831">
        <f t="shared" si="416"/>
        <v>39240</v>
      </c>
      <c r="AH346" s="1383">
        <f t="shared" si="358"/>
        <v>35770</v>
      </c>
      <c r="AI346" s="1383">
        <v>15000</v>
      </c>
      <c r="AJ346" s="1383">
        <v>15000</v>
      </c>
      <c r="AK346" s="1383">
        <v>5770</v>
      </c>
      <c r="AL346" s="1383"/>
      <c r="AM346" s="1383"/>
      <c r="AN346" s="1381" t="s">
        <v>2774</v>
      </c>
      <c r="AO346" s="1381"/>
      <c r="AP346" s="1431">
        <f t="shared" si="406"/>
        <v>0</v>
      </c>
      <c r="AQ346" s="1431"/>
      <c r="AR346" s="1434"/>
      <c r="AS346" s="1434"/>
      <c r="BD346" s="1436"/>
    </row>
    <row r="347" spans="1:56" ht="51" customHeight="1" x14ac:dyDescent="0.3">
      <c r="A347" s="1461" t="s">
        <v>3062</v>
      </c>
      <c r="B347" s="1457"/>
      <c r="C347" s="1645" t="s">
        <v>2009</v>
      </c>
      <c r="D347" s="1588" t="s">
        <v>2010</v>
      </c>
      <c r="E347" s="1608" t="s">
        <v>2011</v>
      </c>
      <c r="F347" s="1646">
        <v>2016</v>
      </c>
      <c r="G347" s="1588" t="s">
        <v>2012</v>
      </c>
      <c r="H347" s="1748">
        <v>221</v>
      </c>
      <c r="I347" s="1796">
        <f t="shared" si="409"/>
        <v>221</v>
      </c>
      <c r="J347" s="1830"/>
      <c r="K347" s="1830"/>
      <c r="L347" s="1830"/>
      <c r="M347" s="1830"/>
      <c r="N347" s="1666">
        <v>200</v>
      </c>
      <c r="O347" s="1796">
        <f t="shared" si="410"/>
        <v>200</v>
      </c>
      <c r="P347" s="1666">
        <v>200</v>
      </c>
      <c r="Q347" s="1796">
        <f t="shared" si="411"/>
        <v>200</v>
      </c>
      <c r="R347" s="1796"/>
      <c r="S347" s="1796"/>
      <c r="T347" s="1666">
        <v>200</v>
      </c>
      <c r="U347" s="1796">
        <f t="shared" si="412"/>
        <v>200</v>
      </c>
      <c r="V347" s="1796"/>
      <c r="W347" s="1796"/>
      <c r="X347" s="1831">
        <f t="shared" si="417"/>
        <v>200</v>
      </c>
      <c r="Y347" s="1831">
        <f t="shared" si="415"/>
        <v>200</v>
      </c>
      <c r="Z347" s="1831"/>
      <c r="AA347" s="1831"/>
      <c r="AB347" s="1831">
        <v>200</v>
      </c>
      <c r="AC347" s="1831">
        <v>200</v>
      </c>
      <c r="AD347" s="1460"/>
      <c r="AE347" s="1460"/>
      <c r="AF347" s="1831">
        <f t="shared" si="418"/>
        <v>200</v>
      </c>
      <c r="AG347" s="1831">
        <f t="shared" si="416"/>
        <v>200</v>
      </c>
      <c r="AH347" s="1383">
        <f t="shared" si="358"/>
        <v>190</v>
      </c>
      <c r="AI347" s="1383">
        <v>190</v>
      </c>
      <c r="AJ347" s="1383"/>
      <c r="AK347" s="1383"/>
      <c r="AL347" s="1383"/>
      <c r="AM347" s="1383"/>
      <c r="AN347" s="1381"/>
      <c r="AO347" s="1381"/>
      <c r="AP347" s="1431">
        <f t="shared" si="406"/>
        <v>0</v>
      </c>
      <c r="AQ347" s="1431"/>
      <c r="AR347" s="1434"/>
      <c r="AS347" s="1434"/>
      <c r="BD347" s="1436"/>
    </row>
    <row r="348" spans="1:56" ht="66" x14ac:dyDescent="0.3">
      <c r="A348" s="1461" t="s">
        <v>3063</v>
      </c>
      <c r="B348" s="1457"/>
      <c r="C348" s="1621" t="s">
        <v>2070</v>
      </c>
      <c r="D348" s="1608" t="s">
        <v>2071</v>
      </c>
      <c r="E348" s="1608" t="s">
        <v>2072</v>
      </c>
      <c r="F348" s="1646" t="s">
        <v>461</v>
      </c>
      <c r="G348" s="1832" t="s">
        <v>2073</v>
      </c>
      <c r="H348" s="1832">
        <f>I348</f>
        <v>32275</v>
      </c>
      <c r="I348" s="1796">
        <v>32275</v>
      </c>
      <c r="J348" s="1830"/>
      <c r="K348" s="1830"/>
      <c r="L348" s="1830"/>
      <c r="M348" s="1830"/>
      <c r="N348" s="1831">
        <f>17300+280</f>
        <v>17580</v>
      </c>
      <c r="O348" s="1796">
        <f t="shared" si="410"/>
        <v>17580</v>
      </c>
      <c r="P348" s="1796">
        <f>Q348</f>
        <v>29000</v>
      </c>
      <c r="Q348" s="1796">
        <v>29000</v>
      </c>
      <c r="R348" s="1831">
        <v>2300</v>
      </c>
      <c r="S348" s="1796"/>
      <c r="T348" s="1796">
        <f>U348</f>
        <v>31300</v>
      </c>
      <c r="U348" s="1796">
        <f>R348+Q348</f>
        <v>31300</v>
      </c>
      <c r="V348" s="1831"/>
      <c r="W348" s="1796"/>
      <c r="X348" s="1831">
        <f>Y348</f>
        <v>31300</v>
      </c>
      <c r="Y348" s="1796">
        <f>V348+U348</f>
        <v>31300</v>
      </c>
      <c r="Z348" s="1796"/>
      <c r="AA348" s="1796"/>
      <c r="AB348" s="1831">
        <v>31300</v>
      </c>
      <c r="AC348" s="1831">
        <v>31300</v>
      </c>
      <c r="AD348" s="1460"/>
      <c r="AE348" s="1460"/>
      <c r="AF348" s="1831">
        <f>AG348</f>
        <v>31300</v>
      </c>
      <c r="AG348" s="1831">
        <f t="shared" si="416"/>
        <v>31300</v>
      </c>
      <c r="AH348" s="1383">
        <f>SUM(AI348:AM348)</f>
        <v>27899</v>
      </c>
      <c r="AI348" s="1383"/>
      <c r="AJ348" s="1383"/>
      <c r="AK348" s="1383">
        <v>8000</v>
      </c>
      <c r="AL348" s="1383">
        <v>19899</v>
      </c>
      <c r="AM348" s="1383"/>
      <c r="AN348" s="1381" t="s">
        <v>2761</v>
      </c>
      <c r="AO348" s="1381"/>
      <c r="AP348" s="1431">
        <f t="shared" si="406"/>
        <v>0</v>
      </c>
      <c r="AQ348" s="1431"/>
      <c r="AR348" s="1434"/>
      <c r="AS348" s="1434"/>
      <c r="BD348" s="1436"/>
    </row>
    <row r="349" spans="1:56" ht="42" customHeight="1" x14ac:dyDescent="0.3">
      <c r="A349" s="1451" t="s">
        <v>3064</v>
      </c>
      <c r="B349" s="1451" t="s">
        <v>3064</v>
      </c>
      <c r="C349" s="1446" t="s">
        <v>138</v>
      </c>
      <c r="D349" s="1448"/>
      <c r="E349" s="1448"/>
      <c r="F349" s="1448"/>
      <c r="G349" s="1448"/>
      <c r="H349" s="1449">
        <f>SUM(H350:H356)</f>
        <v>571639</v>
      </c>
      <c r="I349" s="1449">
        <f t="shared" ref="I349:AM349" si="419">SUM(I350:I356)</f>
        <v>386624</v>
      </c>
      <c r="J349" s="1449">
        <f t="shared" si="419"/>
        <v>0</v>
      </c>
      <c r="K349" s="1449">
        <f t="shared" si="419"/>
        <v>0</v>
      </c>
      <c r="L349" s="1449">
        <f t="shared" si="419"/>
        <v>0</v>
      </c>
      <c r="M349" s="1449">
        <f t="shared" si="419"/>
        <v>0</v>
      </c>
      <c r="N349" s="1449">
        <f t="shared" si="419"/>
        <v>51260</v>
      </c>
      <c r="O349" s="1449">
        <f t="shared" si="419"/>
        <v>38660</v>
      </c>
      <c r="P349" s="1449">
        <f t="shared" si="419"/>
        <v>356100</v>
      </c>
      <c r="Q349" s="1449">
        <f t="shared" si="419"/>
        <v>56200</v>
      </c>
      <c r="R349" s="1449">
        <f t="shared" si="419"/>
        <v>16300</v>
      </c>
      <c r="S349" s="1449">
        <f t="shared" si="419"/>
        <v>3500</v>
      </c>
      <c r="T349" s="1449">
        <f t="shared" si="419"/>
        <v>197140</v>
      </c>
      <c r="U349" s="1449">
        <f t="shared" si="419"/>
        <v>43440</v>
      </c>
      <c r="V349" s="1449">
        <f t="shared" si="419"/>
        <v>117000</v>
      </c>
      <c r="W349" s="1449">
        <f t="shared" si="419"/>
        <v>0</v>
      </c>
      <c r="X349" s="1449">
        <f t="shared" si="419"/>
        <v>210140</v>
      </c>
      <c r="Y349" s="1449">
        <f t="shared" si="419"/>
        <v>160440</v>
      </c>
      <c r="Z349" s="1449">
        <f t="shared" si="419"/>
        <v>70000</v>
      </c>
      <c r="AA349" s="1449">
        <f t="shared" si="419"/>
        <v>0</v>
      </c>
      <c r="AB349" s="1449">
        <v>314065</v>
      </c>
      <c r="AC349" s="1449">
        <v>254365</v>
      </c>
      <c r="AD349" s="1449">
        <f t="shared" si="419"/>
        <v>4846</v>
      </c>
      <c r="AE349" s="1449">
        <f t="shared" si="419"/>
        <v>0</v>
      </c>
      <c r="AF349" s="1449">
        <f t="shared" si="419"/>
        <v>318911</v>
      </c>
      <c r="AG349" s="1449">
        <f t="shared" si="419"/>
        <v>259211</v>
      </c>
      <c r="AH349" s="1449">
        <f t="shared" si="419"/>
        <v>230433</v>
      </c>
      <c r="AI349" s="1449">
        <f t="shared" si="419"/>
        <v>0</v>
      </c>
      <c r="AJ349" s="1449">
        <f t="shared" si="419"/>
        <v>0</v>
      </c>
      <c r="AK349" s="1449">
        <f t="shared" si="419"/>
        <v>0</v>
      </c>
      <c r="AL349" s="1449">
        <f t="shared" si="419"/>
        <v>108683</v>
      </c>
      <c r="AM349" s="1449">
        <f t="shared" si="419"/>
        <v>121750</v>
      </c>
      <c r="AN349" s="1489"/>
      <c r="AO349" s="1489"/>
      <c r="AP349" s="1431">
        <f t="shared" si="406"/>
        <v>1</v>
      </c>
      <c r="AQ349" s="1431">
        <f t="shared" si="403"/>
        <v>1</v>
      </c>
      <c r="AR349" s="1434"/>
      <c r="AS349" s="1434"/>
      <c r="AW349" s="1427">
        <f t="shared" si="373"/>
        <v>0</v>
      </c>
      <c r="AY349" s="1427">
        <f t="shared" si="374"/>
        <v>0</v>
      </c>
      <c r="BA349" s="1427">
        <f>IF(AZ349=1,R349,0)</f>
        <v>0</v>
      </c>
      <c r="BC349" s="1427">
        <f t="shared" si="407"/>
        <v>0</v>
      </c>
      <c r="BD349" s="1436">
        <f t="shared" si="390"/>
        <v>1</v>
      </c>
    </row>
    <row r="350" spans="1:56" ht="57.75" customHeight="1" x14ac:dyDescent="0.3">
      <c r="A350" s="1457" t="s">
        <v>3065</v>
      </c>
      <c r="B350" s="1457"/>
      <c r="C350" s="1442" t="s">
        <v>727</v>
      </c>
      <c r="D350" s="1388" t="s">
        <v>230</v>
      </c>
      <c r="E350" s="1388"/>
      <c r="F350" s="1465" t="s">
        <v>168</v>
      </c>
      <c r="G350" s="1388"/>
      <c r="H350" s="1463">
        <v>27513</v>
      </c>
      <c r="I350" s="1476"/>
      <c r="J350" s="1460"/>
      <c r="K350" s="1460"/>
      <c r="L350" s="1460"/>
      <c r="M350" s="1460"/>
      <c r="N350" s="1460">
        <v>16100</v>
      </c>
      <c r="O350" s="1460">
        <v>3500</v>
      </c>
      <c r="P350" s="1460">
        <v>16100</v>
      </c>
      <c r="Q350" s="1460">
        <v>3500</v>
      </c>
      <c r="R350" s="1460"/>
      <c r="S350" s="1460">
        <f>O350-U350</f>
        <v>3500</v>
      </c>
      <c r="T350" s="1460"/>
      <c r="U350" s="1460"/>
      <c r="V350" s="1460"/>
      <c r="W350" s="1460"/>
      <c r="X350" s="1460"/>
      <c r="Y350" s="1460"/>
      <c r="Z350" s="1460"/>
      <c r="AA350" s="1460"/>
      <c r="AB350" s="1460">
        <v>0</v>
      </c>
      <c r="AC350" s="1460">
        <v>0</v>
      </c>
      <c r="AD350" s="1460"/>
      <c r="AE350" s="1460"/>
      <c r="AF350" s="1383">
        <f t="shared" si="351"/>
        <v>0</v>
      </c>
      <c r="AG350" s="1383">
        <f t="shared" si="352"/>
        <v>0</v>
      </c>
      <c r="AH350" s="1383">
        <f t="shared" si="358"/>
        <v>0</v>
      </c>
      <c r="AI350" s="1383"/>
      <c r="AJ350" s="1383"/>
      <c r="AK350" s="1383"/>
      <c r="AL350" s="1383"/>
      <c r="AM350" s="1383"/>
      <c r="AN350" s="1381"/>
      <c r="AO350" s="1381"/>
      <c r="AP350" s="1431">
        <f t="shared" si="406"/>
        <v>0</v>
      </c>
      <c r="AQ350" s="1431">
        <f t="shared" si="403"/>
        <v>0</v>
      </c>
      <c r="AR350" s="1434">
        <f t="shared" ref="AR350:AR351" si="420">AP350</f>
        <v>0</v>
      </c>
      <c r="AS350" s="1434"/>
      <c r="AT350" s="1427">
        <f>IF(AP350=0,1,0)</f>
        <v>1</v>
      </c>
      <c r="AV350" s="1427">
        <f>IF(Q350=0,1,0)</f>
        <v>0</v>
      </c>
      <c r="AW350" s="1427">
        <f t="shared" si="373"/>
        <v>0</v>
      </c>
      <c r="AX350" s="1427">
        <f>IF(O350=0,1,0)</f>
        <v>0</v>
      </c>
      <c r="AY350" s="1427">
        <f t="shared" si="374"/>
        <v>0</v>
      </c>
      <c r="AZ350" s="1427">
        <f>IF(R350=0,0,1)</f>
        <v>0</v>
      </c>
      <c r="BA350" s="1427">
        <f>IF(AZ350=1,R350,0)</f>
        <v>0</v>
      </c>
      <c r="BB350" s="1427">
        <f>IF(S350=0,0,1)</f>
        <v>1</v>
      </c>
      <c r="BC350" s="1427">
        <f t="shared" si="407"/>
        <v>3500</v>
      </c>
      <c r="BD350" s="1436">
        <f t="shared" si="390"/>
        <v>1</v>
      </c>
    </row>
    <row r="351" spans="1:56" ht="60" customHeight="1" x14ac:dyDescent="0.3">
      <c r="A351" s="1457" t="s">
        <v>3066</v>
      </c>
      <c r="B351" s="1457"/>
      <c r="C351" s="1442" t="s">
        <v>728</v>
      </c>
      <c r="D351" s="1388" t="s">
        <v>70</v>
      </c>
      <c r="E351" s="1388"/>
      <c r="F351" s="1465" t="s">
        <v>332</v>
      </c>
      <c r="G351" s="1388" t="s">
        <v>2489</v>
      </c>
      <c r="H351" s="1502">
        <v>337700</v>
      </c>
      <c r="I351" s="1503">
        <f>76540+114707</f>
        <v>191247</v>
      </c>
      <c r="J351" s="1460"/>
      <c r="K351" s="1460"/>
      <c r="L351" s="1460"/>
      <c r="M351" s="1460"/>
      <c r="N351" s="1460"/>
      <c r="O351" s="1460"/>
      <c r="P351" s="1463">
        <v>170000</v>
      </c>
      <c r="Q351" s="1460">
        <v>12800</v>
      </c>
      <c r="R351" s="1460">
        <f>U351</f>
        <v>16300</v>
      </c>
      <c r="S351" s="1460"/>
      <c r="T351" s="1463">
        <v>170000</v>
      </c>
      <c r="U351" s="1460">
        <f>12800+3500</f>
        <v>16300</v>
      </c>
      <c r="V351" s="1460">
        <v>104000</v>
      </c>
      <c r="W351" s="1460"/>
      <c r="X351" s="1463">
        <v>170000</v>
      </c>
      <c r="Y351" s="1460">
        <f>V351+U351</f>
        <v>120300</v>
      </c>
      <c r="Z351" s="1460"/>
      <c r="AA351" s="1460"/>
      <c r="AB351" s="1460">
        <v>170000</v>
      </c>
      <c r="AC351" s="1460">
        <v>120300</v>
      </c>
      <c r="AD351" s="1460"/>
      <c r="AE351" s="1460"/>
      <c r="AF351" s="1383">
        <f>AB351</f>
        <v>170000</v>
      </c>
      <c r="AG351" s="1383">
        <f t="shared" si="352"/>
        <v>120300</v>
      </c>
      <c r="AH351" s="1383">
        <f t="shared" si="358"/>
        <v>120293</v>
      </c>
      <c r="AI351" s="1383"/>
      <c r="AJ351" s="1383"/>
      <c r="AK351" s="1383"/>
      <c r="AL351" s="1383">
        <v>108683</v>
      </c>
      <c r="AM351" s="1383">
        <v>11610</v>
      </c>
      <c r="AN351" s="1381"/>
      <c r="AO351" s="1381"/>
      <c r="AP351" s="1431">
        <f t="shared" si="406"/>
        <v>0</v>
      </c>
      <c r="AQ351" s="1431">
        <f t="shared" si="403"/>
        <v>1</v>
      </c>
      <c r="AR351" s="1434">
        <f t="shared" si="420"/>
        <v>0</v>
      </c>
      <c r="AS351" s="1434"/>
      <c r="AT351" s="1427">
        <f>IF(AP351=0,1,0)</f>
        <v>1</v>
      </c>
      <c r="AV351" s="1427">
        <f>IF(Q351=0,1,0)</f>
        <v>0</v>
      </c>
      <c r="AW351" s="1427">
        <f t="shared" si="373"/>
        <v>0</v>
      </c>
      <c r="AX351" s="1427">
        <f>IF(O351=0,1,0)</f>
        <v>1</v>
      </c>
      <c r="AY351" s="1427">
        <f t="shared" si="374"/>
        <v>12800</v>
      </c>
      <c r="AZ351" s="1427">
        <f>IF(R351=0,0,1)</f>
        <v>1</v>
      </c>
      <c r="BA351" s="1427">
        <f>IF(AZ351=1,R351,0)</f>
        <v>16300</v>
      </c>
      <c r="BB351" s="1427">
        <f>IF(S351=0,0,1)</f>
        <v>0</v>
      </c>
      <c r="BC351" s="1427">
        <f t="shared" si="407"/>
        <v>0</v>
      </c>
      <c r="BD351" s="1436">
        <f t="shared" si="390"/>
        <v>1</v>
      </c>
    </row>
    <row r="352" spans="1:56" ht="77.25" customHeight="1" x14ac:dyDescent="0.3">
      <c r="A352" s="1457" t="s">
        <v>3067</v>
      </c>
      <c r="B352" s="1457" t="s">
        <v>3065</v>
      </c>
      <c r="C352" s="1505" t="s">
        <v>2086</v>
      </c>
      <c r="D352" s="1388" t="s">
        <v>70</v>
      </c>
      <c r="E352" s="1388"/>
      <c r="F352" s="1465" t="s">
        <v>1354</v>
      </c>
      <c r="G352" s="1388" t="s">
        <v>2482</v>
      </c>
      <c r="H352" s="1463">
        <f>I352</f>
        <v>7385</v>
      </c>
      <c r="I352" s="1476">
        <v>7385</v>
      </c>
      <c r="J352" s="1460"/>
      <c r="K352" s="1460"/>
      <c r="L352" s="1460"/>
      <c r="M352" s="1460"/>
      <c r="N352" s="1460"/>
      <c r="O352" s="1460"/>
      <c r="P352" s="1460"/>
      <c r="Q352" s="1460"/>
      <c r="R352" s="1460"/>
      <c r="S352" s="1460"/>
      <c r="T352" s="1460"/>
      <c r="U352" s="1460"/>
      <c r="V352" s="1460">
        <v>5000</v>
      </c>
      <c r="W352" s="1460"/>
      <c r="X352" s="1463">
        <f>Y352</f>
        <v>5000</v>
      </c>
      <c r="Y352" s="1460">
        <f>V352+U352</f>
        <v>5000</v>
      </c>
      <c r="Z352" s="1460"/>
      <c r="AA352" s="1460"/>
      <c r="AB352" s="1460">
        <v>6827</v>
      </c>
      <c r="AC352" s="1460">
        <v>6827</v>
      </c>
      <c r="AD352" s="1460"/>
      <c r="AE352" s="1460"/>
      <c r="AF352" s="1383">
        <f t="shared" si="351"/>
        <v>6827</v>
      </c>
      <c r="AG352" s="1383">
        <f t="shared" si="352"/>
        <v>6827</v>
      </c>
      <c r="AH352" s="1383">
        <f t="shared" si="358"/>
        <v>5000</v>
      </c>
      <c r="AI352" s="1383"/>
      <c r="AJ352" s="1383"/>
      <c r="AK352" s="1383"/>
      <c r="AL352" s="1383"/>
      <c r="AM352" s="1383">
        <v>5000</v>
      </c>
      <c r="AN352" s="1381"/>
      <c r="AO352" s="1381"/>
      <c r="AP352" s="1431">
        <f t="shared" si="406"/>
        <v>0</v>
      </c>
      <c r="AQ352" s="1431">
        <f t="shared" si="403"/>
        <v>1</v>
      </c>
      <c r="AR352" s="1434"/>
      <c r="AS352" s="1434"/>
      <c r="BD352" s="1436">
        <f t="shared" si="390"/>
        <v>1</v>
      </c>
    </row>
    <row r="353" spans="1:56" ht="75" x14ac:dyDescent="0.3">
      <c r="A353" s="1457" t="s">
        <v>3068</v>
      </c>
      <c r="B353" s="1457"/>
      <c r="C353" s="1505" t="s">
        <v>2115</v>
      </c>
      <c r="D353" s="1388" t="s">
        <v>146</v>
      </c>
      <c r="E353" s="1388"/>
      <c r="F353" s="1465" t="s">
        <v>1354</v>
      </c>
      <c r="G353" s="1388" t="s">
        <v>2483</v>
      </c>
      <c r="H353" s="1502">
        <f>I353</f>
        <v>18992</v>
      </c>
      <c r="I353" s="1503">
        <v>18992</v>
      </c>
      <c r="J353" s="1460"/>
      <c r="K353" s="1460"/>
      <c r="L353" s="1460"/>
      <c r="M353" s="1460"/>
      <c r="N353" s="1460"/>
      <c r="O353" s="1460"/>
      <c r="P353" s="1463">
        <v>170000</v>
      </c>
      <c r="Q353" s="1460">
        <v>12800</v>
      </c>
      <c r="R353" s="1460">
        <f>U353</f>
        <v>0</v>
      </c>
      <c r="S353" s="1460"/>
      <c r="T353" s="1463"/>
      <c r="U353" s="1460"/>
      <c r="V353" s="1460">
        <v>8000</v>
      </c>
      <c r="W353" s="1460"/>
      <c r="X353" s="1463">
        <f>Y353</f>
        <v>8000</v>
      </c>
      <c r="Y353" s="1460">
        <f>V353+U353</f>
        <v>8000</v>
      </c>
      <c r="Z353" s="1460"/>
      <c r="AA353" s="1460"/>
      <c r="AB353" s="1460">
        <v>8000</v>
      </c>
      <c r="AC353" s="1460">
        <v>8000</v>
      </c>
      <c r="AD353" s="1460"/>
      <c r="AE353" s="1460"/>
      <c r="AF353" s="1383">
        <f t="shared" si="351"/>
        <v>8000</v>
      </c>
      <c r="AG353" s="1383">
        <f t="shared" si="352"/>
        <v>8000</v>
      </c>
      <c r="AH353" s="1383">
        <f t="shared" si="358"/>
        <v>8000</v>
      </c>
      <c r="AI353" s="1383"/>
      <c r="AJ353" s="1383"/>
      <c r="AK353" s="1383"/>
      <c r="AL353" s="1383"/>
      <c r="AM353" s="1383">
        <v>8000</v>
      </c>
      <c r="AN353" s="1381"/>
      <c r="AO353" s="1381"/>
      <c r="AP353" s="1431">
        <f t="shared" si="406"/>
        <v>0</v>
      </c>
      <c r="AQ353" s="1431">
        <f t="shared" si="403"/>
        <v>1</v>
      </c>
      <c r="AR353" s="1434">
        <f t="shared" si="408"/>
        <v>0</v>
      </c>
      <c r="AS353" s="1434"/>
      <c r="AT353" s="1427">
        <f>IF(AP353=0,1,0)</f>
        <v>1</v>
      </c>
      <c r="AV353" s="1427">
        <f>IF(Q353=0,1,0)</f>
        <v>0</v>
      </c>
      <c r="AW353" s="1427">
        <f t="shared" ref="AW353:AW388" si="421">IF(AV353=1,O353,0)</f>
        <v>0</v>
      </c>
      <c r="AX353" s="1427">
        <f>IF(O353=0,1,0)</f>
        <v>1</v>
      </c>
      <c r="AY353" s="1427">
        <f t="shared" ref="AY353:AY388" si="422">IF(AX353=1,Q353,0)</f>
        <v>12800</v>
      </c>
      <c r="AZ353" s="1427">
        <f>IF(R353=0,0,1)</f>
        <v>0</v>
      </c>
      <c r="BA353" s="1427">
        <f t="shared" ref="BA353:BA388" si="423">IF(AZ353=1,R353,0)</f>
        <v>0</v>
      </c>
      <c r="BB353" s="1427">
        <f>IF(S353=0,0,1)</f>
        <v>0</v>
      </c>
      <c r="BC353" s="1427">
        <f t="shared" ref="BC353:BC388" si="424">IF(BB353=1,S353,0)</f>
        <v>0</v>
      </c>
      <c r="BD353" s="1436">
        <f t="shared" si="390"/>
        <v>1</v>
      </c>
    </row>
    <row r="354" spans="1:56" ht="132" customHeight="1" x14ac:dyDescent="0.3">
      <c r="A354" s="1457" t="s">
        <v>3069</v>
      </c>
      <c r="B354" s="1457" t="s">
        <v>3066</v>
      </c>
      <c r="C354" s="1621" t="s">
        <v>2075</v>
      </c>
      <c r="D354" s="1608" t="s">
        <v>2076</v>
      </c>
      <c r="E354" s="1608" t="s">
        <v>2072</v>
      </c>
      <c r="F354" s="1646" t="s">
        <v>168</v>
      </c>
      <c r="G354" s="1832" t="s">
        <v>2573</v>
      </c>
      <c r="H354" s="1833">
        <v>30000</v>
      </c>
      <c r="I354" s="1796">
        <f t="shared" ref="I354" si="425">H354</f>
        <v>30000</v>
      </c>
      <c r="J354" s="1830"/>
      <c r="K354" s="1830"/>
      <c r="L354" s="1830"/>
      <c r="M354" s="1830"/>
      <c r="N354" s="1831">
        <f>17300+280</f>
        <v>17580</v>
      </c>
      <c r="O354" s="1796">
        <f t="shared" ref="O354:O355" si="426">N354</f>
        <v>17580</v>
      </c>
      <c r="P354" s="1796"/>
      <c r="Q354" s="1796">
        <v>13400</v>
      </c>
      <c r="R354" s="1831"/>
      <c r="S354" s="1796"/>
      <c r="T354" s="1831">
        <f>U354</f>
        <v>13400</v>
      </c>
      <c r="U354" s="1796">
        <v>13400</v>
      </c>
      <c r="V354" s="1796"/>
      <c r="W354" s="1796"/>
      <c r="X354" s="1831">
        <f>Y354</f>
        <v>13400</v>
      </c>
      <c r="Y354" s="1796">
        <v>13400</v>
      </c>
      <c r="Z354" s="1831"/>
      <c r="AA354" s="1831"/>
      <c r="AB354" s="1831">
        <v>20400</v>
      </c>
      <c r="AC354" s="1796">
        <v>20400</v>
      </c>
      <c r="AD354" s="1796">
        <v>4846</v>
      </c>
      <c r="AE354" s="1796"/>
      <c r="AF354" s="1831">
        <f>AG354</f>
        <v>25246</v>
      </c>
      <c r="AG354" s="1831">
        <f t="shared" si="352"/>
        <v>25246</v>
      </c>
      <c r="AH354" s="1383">
        <f t="shared" si="358"/>
        <v>13400</v>
      </c>
      <c r="AI354" s="1383"/>
      <c r="AJ354" s="1383"/>
      <c r="AK354" s="1383"/>
      <c r="AL354" s="1383"/>
      <c r="AM354" s="1383">
        <v>13400</v>
      </c>
      <c r="AN354" s="1381" t="s">
        <v>2761</v>
      </c>
      <c r="AO354" s="1381"/>
      <c r="AP354" s="1431">
        <f t="shared" si="406"/>
        <v>1</v>
      </c>
      <c r="AQ354" s="1431">
        <f t="shared" ref="AQ354:AQ355" si="427">IF(Y354=0,0,1)</f>
        <v>1</v>
      </c>
      <c r="AR354" s="1434"/>
      <c r="AS354" s="1434"/>
      <c r="BD354" s="1436"/>
    </row>
    <row r="355" spans="1:56" ht="67.5" customHeight="1" x14ac:dyDescent="0.3">
      <c r="A355" s="1457" t="s">
        <v>3070</v>
      </c>
      <c r="B355" s="1457" t="s">
        <v>3067</v>
      </c>
      <c r="C355" s="1621" t="s">
        <v>2721</v>
      </c>
      <c r="D355" s="1608" t="s">
        <v>2077</v>
      </c>
      <c r="E355" s="1608" t="s">
        <v>2072</v>
      </c>
      <c r="F355" s="1646" t="s">
        <v>168</v>
      </c>
      <c r="G355" s="1832" t="s">
        <v>2571</v>
      </c>
      <c r="H355" s="1833">
        <f>I355</f>
        <v>40000</v>
      </c>
      <c r="I355" s="1796">
        <v>40000</v>
      </c>
      <c r="J355" s="1830"/>
      <c r="K355" s="1830"/>
      <c r="L355" s="1830"/>
      <c r="M355" s="1830"/>
      <c r="N355" s="1831">
        <f>17300+280</f>
        <v>17580</v>
      </c>
      <c r="O355" s="1796">
        <f t="shared" si="426"/>
        <v>17580</v>
      </c>
      <c r="P355" s="1796"/>
      <c r="Q355" s="1796">
        <v>13700</v>
      </c>
      <c r="R355" s="1831"/>
      <c r="S355" s="1796"/>
      <c r="T355" s="1831">
        <f>U355</f>
        <v>13740</v>
      </c>
      <c r="U355" s="1796">
        <v>13740</v>
      </c>
      <c r="V355" s="1796"/>
      <c r="W355" s="1796"/>
      <c r="X355" s="1831">
        <f>Y355</f>
        <v>13740</v>
      </c>
      <c r="Y355" s="1796">
        <v>13740</v>
      </c>
      <c r="Z355" s="1831"/>
      <c r="AA355" s="1831"/>
      <c r="AB355" s="1831">
        <v>28838</v>
      </c>
      <c r="AC355" s="1796">
        <v>28838</v>
      </c>
      <c r="AD355" s="1796"/>
      <c r="AE355" s="1796"/>
      <c r="AF355" s="1831">
        <f>AG355</f>
        <v>28838</v>
      </c>
      <c r="AG355" s="1831">
        <f t="shared" si="352"/>
        <v>28838</v>
      </c>
      <c r="AH355" s="1383">
        <f t="shared" si="358"/>
        <v>13740</v>
      </c>
      <c r="AI355" s="1383"/>
      <c r="AJ355" s="1383"/>
      <c r="AK355" s="1383"/>
      <c r="AL355" s="1383"/>
      <c r="AM355" s="1383">
        <v>13740</v>
      </c>
      <c r="AN355" s="1381" t="s">
        <v>2761</v>
      </c>
      <c r="AO355" s="1381"/>
      <c r="AP355" s="1431">
        <f t="shared" si="406"/>
        <v>0</v>
      </c>
      <c r="AQ355" s="1431">
        <f t="shared" si="427"/>
        <v>1</v>
      </c>
      <c r="AR355" s="1434"/>
      <c r="AS355" s="1434"/>
      <c r="BD355" s="1436"/>
    </row>
    <row r="356" spans="1:56" ht="135.75" customHeight="1" x14ac:dyDescent="0.3">
      <c r="A356" s="1457" t="s">
        <v>3458</v>
      </c>
      <c r="B356" s="1457"/>
      <c r="C356" s="1386" t="s">
        <v>2755</v>
      </c>
      <c r="D356" s="1387" t="s">
        <v>99</v>
      </c>
      <c r="E356" s="1879" t="s">
        <v>2640</v>
      </c>
      <c r="F356" s="1387" t="s">
        <v>172</v>
      </c>
      <c r="G356" s="1388" t="s">
        <v>2641</v>
      </c>
      <c r="H356" s="1382">
        <v>110049</v>
      </c>
      <c r="I356" s="1382">
        <v>99000</v>
      </c>
      <c r="J356" s="1460"/>
      <c r="K356" s="1460"/>
      <c r="L356" s="1460"/>
      <c r="M356" s="1460"/>
      <c r="N356" s="1463"/>
      <c r="O356" s="1463"/>
      <c r="P356" s="1463"/>
      <c r="Q356" s="1463"/>
      <c r="R356" s="1463"/>
      <c r="S356" s="1454"/>
      <c r="T356" s="1463"/>
      <c r="U356" s="1463"/>
      <c r="V356" s="1463"/>
      <c r="W356" s="1454"/>
      <c r="X356" s="1463"/>
      <c r="Y356" s="1463"/>
      <c r="Z356" s="1460">
        <v>70000</v>
      </c>
      <c r="AA356" s="1460"/>
      <c r="AB356" s="1460">
        <v>80000</v>
      </c>
      <c r="AC356" s="1460">
        <v>70000</v>
      </c>
      <c r="AD356" s="1460"/>
      <c r="AE356" s="1460"/>
      <c r="AF356" s="1383">
        <v>80000</v>
      </c>
      <c r="AG356" s="1383">
        <f t="shared" si="352"/>
        <v>70000</v>
      </c>
      <c r="AH356" s="1383">
        <f t="shared" ref="AH356" si="428">SUM(AI356:AM356)</f>
        <v>70000</v>
      </c>
      <c r="AI356" s="1383"/>
      <c r="AJ356" s="1383"/>
      <c r="AK356" s="1383"/>
      <c r="AL356" s="1383"/>
      <c r="AM356" s="1383">
        <v>70000</v>
      </c>
      <c r="AN356" s="1381" t="s">
        <v>2725</v>
      </c>
      <c r="AO356" s="1381"/>
      <c r="AP356" s="1431">
        <f t="shared" si="406"/>
        <v>0</v>
      </c>
      <c r="AQ356" s="1431"/>
      <c r="AR356" s="1434"/>
      <c r="AS356" s="1434"/>
      <c r="BD356" s="1436"/>
    </row>
    <row r="357" spans="1:56" ht="37.5" x14ac:dyDescent="0.3">
      <c r="A357" s="1846">
        <v>9</v>
      </c>
      <c r="B357" s="1846">
        <v>9</v>
      </c>
      <c r="C357" s="1438" t="s">
        <v>2144</v>
      </c>
      <c r="D357" s="1381"/>
      <c r="E357" s="1381"/>
      <c r="F357" s="1381"/>
      <c r="G357" s="1381"/>
      <c r="H357" s="1439">
        <f>H358+H367</f>
        <v>1575323</v>
      </c>
      <c r="I357" s="1439">
        <f t="shared" ref="I357:U357" si="429">I358+I367</f>
        <v>813450</v>
      </c>
      <c r="J357" s="1439">
        <f t="shared" si="429"/>
        <v>104400</v>
      </c>
      <c r="K357" s="1439">
        <f t="shared" si="429"/>
        <v>104400</v>
      </c>
      <c r="L357" s="1439">
        <f t="shared" si="429"/>
        <v>104400</v>
      </c>
      <c r="M357" s="1439">
        <f t="shared" si="429"/>
        <v>104400</v>
      </c>
      <c r="N357" s="1439">
        <f t="shared" si="429"/>
        <v>610830</v>
      </c>
      <c r="O357" s="1439">
        <f t="shared" si="429"/>
        <v>275240</v>
      </c>
      <c r="P357" s="1439">
        <f t="shared" si="429"/>
        <v>692283</v>
      </c>
      <c r="Q357" s="1439">
        <f t="shared" si="429"/>
        <v>282450</v>
      </c>
      <c r="R357" s="1439">
        <f t="shared" si="429"/>
        <v>36930</v>
      </c>
      <c r="S357" s="1439">
        <f t="shared" si="429"/>
        <v>12220</v>
      </c>
      <c r="T357" s="1439">
        <f t="shared" si="429"/>
        <v>739783</v>
      </c>
      <c r="U357" s="1439">
        <f t="shared" si="429"/>
        <v>366600</v>
      </c>
      <c r="V357" s="1439">
        <f>V358+V367</f>
        <v>99300</v>
      </c>
      <c r="W357" s="1856">
        <f t="shared" ref="W357:Y357" si="430">W358+W367</f>
        <v>-30075</v>
      </c>
      <c r="X357" s="1439">
        <f t="shared" si="430"/>
        <v>838658</v>
      </c>
      <c r="Y357" s="1439">
        <f t="shared" si="430"/>
        <v>435825</v>
      </c>
      <c r="Z357" s="1439">
        <v>12000</v>
      </c>
      <c r="AA357" s="1439">
        <v>0</v>
      </c>
      <c r="AB357" s="1439">
        <v>807348</v>
      </c>
      <c r="AC357" s="1439">
        <v>394612</v>
      </c>
      <c r="AD357" s="1439">
        <f t="shared" ref="AD357:AM357" si="431">AD358+AD367</f>
        <v>0</v>
      </c>
      <c r="AE357" s="1856">
        <f t="shared" si="431"/>
        <v>-9690</v>
      </c>
      <c r="AF357" s="1439">
        <f t="shared" si="431"/>
        <v>797658</v>
      </c>
      <c r="AG357" s="1439">
        <f t="shared" si="431"/>
        <v>384922</v>
      </c>
      <c r="AH357" s="1439">
        <f t="shared" si="431"/>
        <v>374776</v>
      </c>
      <c r="AI357" s="1439">
        <f t="shared" si="431"/>
        <v>186445</v>
      </c>
      <c r="AJ357" s="1439">
        <f t="shared" si="431"/>
        <v>64904</v>
      </c>
      <c r="AK357" s="1439">
        <f t="shared" si="431"/>
        <v>41011</v>
      </c>
      <c r="AL357" s="1439">
        <f t="shared" si="431"/>
        <v>35058</v>
      </c>
      <c r="AM357" s="1439">
        <f t="shared" si="431"/>
        <v>47358</v>
      </c>
      <c r="AN357" s="1440"/>
      <c r="AO357" s="1440"/>
      <c r="AP357" s="1431">
        <f t="shared" si="406"/>
        <v>1</v>
      </c>
      <c r="AQ357" s="1431">
        <f t="shared" si="403"/>
        <v>1</v>
      </c>
      <c r="AR357" s="1434"/>
      <c r="AS357" s="1434"/>
      <c r="AW357" s="1427">
        <f t="shared" si="421"/>
        <v>0</v>
      </c>
      <c r="AY357" s="1427">
        <f t="shared" si="422"/>
        <v>0</v>
      </c>
      <c r="BA357" s="1427">
        <f t="shared" si="423"/>
        <v>0</v>
      </c>
      <c r="BC357" s="1427">
        <f t="shared" si="424"/>
        <v>0</v>
      </c>
      <c r="BD357" s="1436">
        <f t="shared" si="390"/>
        <v>1</v>
      </c>
    </row>
    <row r="358" spans="1:56" ht="78" x14ac:dyDescent="0.3">
      <c r="A358" s="1827" t="s">
        <v>3071</v>
      </c>
      <c r="B358" s="1827" t="s">
        <v>3071</v>
      </c>
      <c r="C358" s="1446" t="s">
        <v>46</v>
      </c>
      <c r="D358" s="1447"/>
      <c r="E358" s="1447"/>
      <c r="F358" s="1448"/>
      <c r="G358" s="1448"/>
      <c r="H358" s="1449">
        <f>H359</f>
        <v>187066</v>
      </c>
      <c r="I358" s="1449">
        <f>I359</f>
        <v>246452</v>
      </c>
      <c r="J358" s="1449">
        <f t="shared" ref="J358:AM358" si="432">J359</f>
        <v>104400</v>
      </c>
      <c r="K358" s="1449">
        <f t="shared" si="432"/>
        <v>104400</v>
      </c>
      <c r="L358" s="1449">
        <f t="shared" si="432"/>
        <v>104400</v>
      </c>
      <c r="M358" s="1449">
        <f t="shared" si="432"/>
        <v>104400</v>
      </c>
      <c r="N358" s="1449">
        <f t="shared" si="432"/>
        <v>79540</v>
      </c>
      <c r="O358" s="1449">
        <f t="shared" si="432"/>
        <v>79540</v>
      </c>
      <c r="P358" s="1449">
        <f t="shared" si="432"/>
        <v>79540</v>
      </c>
      <c r="Q358" s="1449">
        <f t="shared" si="432"/>
        <v>79540</v>
      </c>
      <c r="R358" s="1449">
        <f t="shared" si="432"/>
        <v>17500</v>
      </c>
      <c r="S358" s="1449">
        <f t="shared" si="432"/>
        <v>0</v>
      </c>
      <c r="T358" s="1449">
        <f t="shared" si="432"/>
        <v>97040</v>
      </c>
      <c r="U358" s="1449">
        <f t="shared" si="432"/>
        <v>133690</v>
      </c>
      <c r="V358" s="1449">
        <f t="shared" si="432"/>
        <v>18000</v>
      </c>
      <c r="W358" s="1449">
        <f t="shared" si="432"/>
        <v>0</v>
      </c>
      <c r="X358" s="1449">
        <f t="shared" si="432"/>
        <v>151690</v>
      </c>
      <c r="Y358" s="1449">
        <f t="shared" si="432"/>
        <v>151690</v>
      </c>
      <c r="Z358" s="1449">
        <v>0</v>
      </c>
      <c r="AA358" s="1449">
        <v>0</v>
      </c>
      <c r="AB358" s="1449">
        <v>135455</v>
      </c>
      <c r="AC358" s="1449">
        <v>135455</v>
      </c>
      <c r="AD358" s="1449">
        <f t="shared" si="432"/>
        <v>0</v>
      </c>
      <c r="AE358" s="1526">
        <f t="shared" si="432"/>
        <v>0</v>
      </c>
      <c r="AF358" s="1449">
        <f t="shared" si="432"/>
        <v>135455</v>
      </c>
      <c r="AG358" s="1449">
        <f t="shared" si="432"/>
        <v>135455</v>
      </c>
      <c r="AH358" s="1449">
        <f t="shared" si="432"/>
        <v>129389</v>
      </c>
      <c r="AI358" s="1449">
        <f t="shared" si="432"/>
        <v>107609</v>
      </c>
      <c r="AJ358" s="1449">
        <f t="shared" si="432"/>
        <v>21780</v>
      </c>
      <c r="AK358" s="1449">
        <f t="shared" si="432"/>
        <v>0</v>
      </c>
      <c r="AL358" s="1449">
        <f t="shared" si="432"/>
        <v>0</v>
      </c>
      <c r="AM358" s="1449">
        <f t="shared" si="432"/>
        <v>0</v>
      </c>
      <c r="AN358" s="1450"/>
      <c r="AO358" s="1450"/>
      <c r="AP358" s="1431">
        <f t="shared" si="406"/>
        <v>0</v>
      </c>
      <c r="AQ358" s="1431">
        <f t="shared" si="403"/>
        <v>1</v>
      </c>
      <c r="AR358" s="1434"/>
      <c r="AS358" s="1434"/>
      <c r="AW358" s="1427">
        <f t="shared" si="421"/>
        <v>0</v>
      </c>
      <c r="AY358" s="1427">
        <f t="shared" si="422"/>
        <v>0</v>
      </c>
      <c r="BA358" s="1427">
        <f t="shared" si="423"/>
        <v>0</v>
      </c>
      <c r="BC358" s="1427">
        <f t="shared" si="424"/>
        <v>0</v>
      </c>
      <c r="BD358" s="1436">
        <f t="shared" si="390"/>
        <v>1</v>
      </c>
    </row>
    <row r="359" spans="1:56" ht="39" x14ac:dyDescent="0.3">
      <c r="A359" s="1826"/>
      <c r="B359" s="1826"/>
      <c r="C359" s="1446" t="s">
        <v>48</v>
      </c>
      <c r="D359" s="1447"/>
      <c r="E359" s="1447"/>
      <c r="F359" s="1448"/>
      <c r="G359" s="1448"/>
      <c r="H359" s="1449">
        <f t="shared" ref="H359:T359" si="433">SUM(H362:H365)</f>
        <v>187066</v>
      </c>
      <c r="I359" s="1449">
        <f t="shared" si="433"/>
        <v>246452</v>
      </c>
      <c r="J359" s="1449">
        <f t="shared" si="433"/>
        <v>104400</v>
      </c>
      <c r="K359" s="1449">
        <f t="shared" si="433"/>
        <v>104400</v>
      </c>
      <c r="L359" s="1449">
        <f t="shared" si="433"/>
        <v>104400</v>
      </c>
      <c r="M359" s="1449">
        <f t="shared" si="433"/>
        <v>104400</v>
      </c>
      <c r="N359" s="1449">
        <f t="shared" si="433"/>
        <v>79540</v>
      </c>
      <c r="O359" s="1449">
        <f t="shared" si="433"/>
        <v>79540</v>
      </c>
      <c r="P359" s="1449">
        <f t="shared" si="433"/>
        <v>79540</v>
      </c>
      <c r="Q359" s="1449">
        <f t="shared" si="433"/>
        <v>79540</v>
      </c>
      <c r="R359" s="1449">
        <f t="shared" si="433"/>
        <v>17500</v>
      </c>
      <c r="S359" s="1449">
        <f t="shared" si="433"/>
        <v>0</v>
      </c>
      <c r="T359" s="1449">
        <f t="shared" si="433"/>
        <v>97040</v>
      </c>
      <c r="U359" s="1449">
        <f>SUM(U362:U366)</f>
        <v>133690</v>
      </c>
      <c r="V359" s="1449">
        <f t="shared" ref="V359:AF359" si="434">SUM(V362:V366)</f>
        <v>18000</v>
      </c>
      <c r="W359" s="1449">
        <f t="shared" si="434"/>
        <v>0</v>
      </c>
      <c r="X359" s="1449">
        <f t="shared" si="434"/>
        <v>151690</v>
      </c>
      <c r="Y359" s="1449">
        <f t="shared" si="434"/>
        <v>151690</v>
      </c>
      <c r="Z359" s="1449">
        <f t="shared" si="434"/>
        <v>0</v>
      </c>
      <c r="AA359" s="1449">
        <f t="shared" si="434"/>
        <v>0</v>
      </c>
      <c r="AB359" s="1449">
        <v>135455</v>
      </c>
      <c r="AC359" s="1449">
        <v>135455</v>
      </c>
      <c r="AD359" s="1449">
        <f t="shared" si="434"/>
        <v>0</v>
      </c>
      <c r="AE359" s="1526">
        <f t="shared" si="434"/>
        <v>0</v>
      </c>
      <c r="AF359" s="1449">
        <f t="shared" si="434"/>
        <v>135455</v>
      </c>
      <c r="AG359" s="1449">
        <f>SUM(AG362:AG366)</f>
        <v>135455</v>
      </c>
      <c r="AH359" s="1449">
        <f t="shared" ref="AH359:AM359" si="435">SUM(AH362:AH366)</f>
        <v>129389</v>
      </c>
      <c r="AI359" s="1449">
        <f t="shared" si="435"/>
        <v>107609</v>
      </c>
      <c r="AJ359" s="1449">
        <f t="shared" si="435"/>
        <v>21780</v>
      </c>
      <c r="AK359" s="1449">
        <f t="shared" si="435"/>
        <v>0</v>
      </c>
      <c r="AL359" s="1449">
        <f t="shared" si="435"/>
        <v>0</v>
      </c>
      <c r="AM359" s="1449">
        <f t="shared" si="435"/>
        <v>0</v>
      </c>
      <c r="AN359" s="1450"/>
      <c r="AO359" s="1450"/>
      <c r="AP359" s="1431">
        <f t="shared" si="406"/>
        <v>0</v>
      </c>
      <c r="AQ359" s="1431">
        <f t="shared" si="403"/>
        <v>1</v>
      </c>
      <c r="AR359" s="1434"/>
      <c r="AS359" s="1434"/>
      <c r="AW359" s="1427">
        <f t="shared" si="421"/>
        <v>0</v>
      </c>
      <c r="AY359" s="1427">
        <f t="shared" si="422"/>
        <v>0</v>
      </c>
      <c r="BA359" s="1427">
        <f t="shared" si="423"/>
        <v>0</v>
      </c>
      <c r="BC359" s="1427">
        <f t="shared" si="424"/>
        <v>0</v>
      </c>
      <c r="BD359" s="1436">
        <f t="shared" si="390"/>
        <v>1</v>
      </c>
    </row>
    <row r="360" spans="1:56" ht="19.5" x14ac:dyDescent="0.3">
      <c r="A360" s="1825"/>
      <c r="B360" s="1451"/>
      <c r="C360" s="1446" t="s">
        <v>49</v>
      </c>
      <c r="D360" s="1452"/>
      <c r="E360" s="1452"/>
      <c r="F360" s="1381"/>
      <c r="G360" s="1381"/>
      <c r="H360" s="1453"/>
      <c r="I360" s="1453"/>
      <c r="J360" s="1453"/>
      <c r="K360" s="1453"/>
      <c r="L360" s="1453"/>
      <c r="M360" s="1453"/>
      <c r="N360" s="1453"/>
      <c r="O360" s="1453"/>
      <c r="P360" s="1453"/>
      <c r="Q360" s="1453"/>
      <c r="R360" s="1454"/>
      <c r="S360" s="1454"/>
      <c r="T360" s="1453"/>
      <c r="U360" s="1453"/>
      <c r="V360" s="1454"/>
      <c r="W360" s="1454"/>
      <c r="X360" s="1453"/>
      <c r="Y360" s="1453"/>
      <c r="Z360" s="1460"/>
      <c r="AA360" s="1460"/>
      <c r="AB360" s="1460">
        <v>0</v>
      </c>
      <c r="AC360" s="1460">
        <v>0</v>
      </c>
      <c r="AD360" s="1460"/>
      <c r="AE360" s="1460"/>
      <c r="AF360" s="1383">
        <f t="shared" si="351"/>
        <v>0</v>
      </c>
      <c r="AG360" s="1383">
        <f t="shared" si="352"/>
        <v>0</v>
      </c>
      <c r="AH360" s="1383">
        <f t="shared" si="358"/>
        <v>0</v>
      </c>
      <c r="AI360" s="1383"/>
      <c r="AJ360" s="1383"/>
      <c r="AK360" s="1383"/>
      <c r="AL360" s="1383"/>
      <c r="AM360" s="1383"/>
      <c r="AN360" s="1455"/>
      <c r="AO360" s="1455"/>
      <c r="AP360" s="1431">
        <f t="shared" si="406"/>
        <v>0</v>
      </c>
      <c r="AQ360" s="1431">
        <f t="shared" si="403"/>
        <v>0</v>
      </c>
      <c r="AR360" s="1434"/>
      <c r="AS360" s="1434"/>
      <c r="AW360" s="1427">
        <f t="shared" si="421"/>
        <v>0</v>
      </c>
      <c r="AY360" s="1427">
        <f t="shared" si="422"/>
        <v>0</v>
      </c>
      <c r="BA360" s="1427">
        <f t="shared" si="423"/>
        <v>0</v>
      </c>
      <c r="BC360" s="1427">
        <f t="shared" si="424"/>
        <v>0</v>
      </c>
      <c r="BD360" s="1436">
        <f t="shared" si="390"/>
        <v>1</v>
      </c>
    </row>
    <row r="361" spans="1:56" ht="78" x14ac:dyDescent="0.3">
      <c r="A361" s="1848" t="s">
        <v>3072</v>
      </c>
      <c r="B361" s="1848" t="s">
        <v>3072</v>
      </c>
      <c r="C361" s="1446" t="s">
        <v>732</v>
      </c>
      <c r="D361" s="1447"/>
      <c r="E361" s="1447"/>
      <c r="F361" s="1448"/>
      <c r="G361" s="1448"/>
      <c r="H361" s="1449"/>
      <c r="I361" s="1449"/>
      <c r="J361" s="1449"/>
      <c r="K361" s="1449"/>
      <c r="L361" s="1449"/>
      <c r="M361" s="1449"/>
      <c r="N361" s="1449"/>
      <c r="O361" s="1449"/>
      <c r="P361" s="1449"/>
      <c r="Q361" s="1449"/>
      <c r="R361" s="1454"/>
      <c r="S361" s="1454"/>
      <c r="T361" s="1449"/>
      <c r="U361" s="1449"/>
      <c r="V361" s="1454"/>
      <c r="W361" s="1454"/>
      <c r="X361" s="1449"/>
      <c r="Y361" s="1449"/>
      <c r="Z361" s="1460"/>
      <c r="AA361" s="1460"/>
      <c r="AB361" s="1460">
        <v>0</v>
      </c>
      <c r="AC361" s="1460">
        <v>0</v>
      </c>
      <c r="AD361" s="1460"/>
      <c r="AE361" s="1460"/>
      <c r="AF361" s="1383">
        <f t="shared" si="351"/>
        <v>0</v>
      </c>
      <c r="AG361" s="1383">
        <f t="shared" si="352"/>
        <v>0</v>
      </c>
      <c r="AH361" s="1383">
        <f t="shared" si="358"/>
        <v>0</v>
      </c>
      <c r="AI361" s="1383"/>
      <c r="AJ361" s="1383"/>
      <c r="AK361" s="1383"/>
      <c r="AL361" s="1383"/>
      <c r="AM361" s="1383"/>
      <c r="AN361" s="1450"/>
      <c r="AO361" s="1450"/>
      <c r="AP361" s="1431">
        <f t="shared" si="406"/>
        <v>0</v>
      </c>
      <c r="AQ361" s="1431">
        <f t="shared" si="403"/>
        <v>0</v>
      </c>
      <c r="AR361" s="1434"/>
      <c r="AS361" s="1434"/>
      <c r="AW361" s="1427">
        <f t="shared" si="421"/>
        <v>0</v>
      </c>
      <c r="AY361" s="1427">
        <f t="shared" si="422"/>
        <v>0</v>
      </c>
      <c r="BA361" s="1427">
        <f t="shared" si="423"/>
        <v>0</v>
      </c>
      <c r="BC361" s="1427">
        <f t="shared" si="424"/>
        <v>0</v>
      </c>
      <c r="BD361" s="1436">
        <f t="shared" si="390"/>
        <v>1</v>
      </c>
    </row>
    <row r="362" spans="1:56" ht="112.5" x14ac:dyDescent="0.3">
      <c r="A362" s="1457" t="s">
        <v>3073</v>
      </c>
      <c r="B362" s="1457" t="s">
        <v>3073</v>
      </c>
      <c r="C362" s="1458" t="s">
        <v>733</v>
      </c>
      <c r="D362" s="1388" t="s">
        <v>336</v>
      </c>
      <c r="E362" s="1388" t="s">
        <v>734</v>
      </c>
      <c r="F362" s="1388" t="s">
        <v>72</v>
      </c>
      <c r="G362" s="1388" t="s">
        <v>735</v>
      </c>
      <c r="H362" s="1460" t="s">
        <v>909</v>
      </c>
      <c r="I362" s="1476">
        <v>59386</v>
      </c>
      <c r="J362" s="1460">
        <v>12000</v>
      </c>
      <c r="K362" s="1460">
        <f>J362</f>
        <v>12000</v>
      </c>
      <c r="L362" s="1460">
        <v>12000</v>
      </c>
      <c r="M362" s="1460">
        <f>L362</f>
        <v>12000</v>
      </c>
      <c r="N362" s="1463">
        <f>O362</f>
        <v>22500</v>
      </c>
      <c r="O362" s="1460">
        <f>22000+500</f>
        <v>22500</v>
      </c>
      <c r="P362" s="1463">
        <f>Q362</f>
        <v>22500</v>
      </c>
      <c r="Q362" s="1460">
        <f>22000+500</f>
        <v>22500</v>
      </c>
      <c r="R362" s="1454">
        <v>17500</v>
      </c>
      <c r="S362" s="1454"/>
      <c r="T362" s="1463">
        <f>U362</f>
        <v>40000</v>
      </c>
      <c r="U362" s="1460">
        <f>R362+Q362</f>
        <v>40000</v>
      </c>
      <c r="V362" s="1454">
        <v>18000</v>
      </c>
      <c r="W362" s="1454"/>
      <c r="X362" s="1463">
        <f>Y362</f>
        <v>58000</v>
      </c>
      <c r="Y362" s="1460">
        <f>V362+U362</f>
        <v>58000</v>
      </c>
      <c r="Z362" s="1460">
        <v>0</v>
      </c>
      <c r="AA362" s="1460">
        <v>0</v>
      </c>
      <c r="AB362" s="1460">
        <v>42000</v>
      </c>
      <c r="AC362" s="1460">
        <v>42000</v>
      </c>
      <c r="AD362" s="1460"/>
      <c r="AE362" s="1525"/>
      <c r="AF362" s="1383">
        <f t="shared" si="351"/>
        <v>42000</v>
      </c>
      <c r="AG362" s="1383">
        <f t="shared" si="352"/>
        <v>42000</v>
      </c>
      <c r="AH362" s="1383">
        <f t="shared" si="358"/>
        <v>34500</v>
      </c>
      <c r="AI362" s="1383">
        <v>22500</v>
      </c>
      <c r="AJ362" s="1383">
        <v>12000</v>
      </c>
      <c r="AK362" s="1383"/>
      <c r="AL362" s="1383"/>
      <c r="AM362" s="1383"/>
      <c r="AN362" s="1381"/>
      <c r="AO362" s="1381"/>
      <c r="AP362" s="1431">
        <f t="shared" si="406"/>
        <v>0</v>
      </c>
      <c r="AQ362" s="1431">
        <f t="shared" si="403"/>
        <v>1</v>
      </c>
      <c r="AR362" s="1434">
        <f t="shared" si="408"/>
        <v>0</v>
      </c>
      <c r="AS362" s="1434"/>
      <c r="AT362" s="1427">
        <f>IF(AP362=0,1,0)</f>
        <v>1</v>
      </c>
      <c r="AV362" s="1427">
        <f>IF(Q362=0,1,0)</f>
        <v>0</v>
      </c>
      <c r="AW362" s="1427">
        <f t="shared" si="421"/>
        <v>0</v>
      </c>
      <c r="AX362" s="1427">
        <f>IF(O362=0,1,0)</f>
        <v>0</v>
      </c>
      <c r="AY362" s="1427">
        <f t="shared" si="422"/>
        <v>0</v>
      </c>
      <c r="AZ362" s="1427">
        <f>IF(R362=0,0,1)</f>
        <v>1</v>
      </c>
      <c r="BA362" s="1427">
        <f t="shared" si="423"/>
        <v>17500</v>
      </c>
      <c r="BB362" s="1427">
        <f>IF(S362=0,0,1)</f>
        <v>0</v>
      </c>
      <c r="BC362" s="1427">
        <f t="shared" si="424"/>
        <v>0</v>
      </c>
      <c r="BD362" s="1436">
        <f t="shared" ref="BD362:BD394" si="436">IF(I362-Y362&gt;=0,1,0)</f>
        <v>1</v>
      </c>
    </row>
    <row r="363" spans="1:56" ht="56.25" x14ac:dyDescent="0.3">
      <c r="A363" s="1457" t="s">
        <v>3074</v>
      </c>
      <c r="B363" s="1457"/>
      <c r="C363" s="1458" t="s">
        <v>736</v>
      </c>
      <c r="D363" s="1388" t="s">
        <v>336</v>
      </c>
      <c r="E363" s="1388" t="s">
        <v>737</v>
      </c>
      <c r="F363" s="1388" t="s">
        <v>738</v>
      </c>
      <c r="G363" s="1388" t="s">
        <v>739</v>
      </c>
      <c r="H363" s="1443">
        <v>162854</v>
      </c>
      <c r="I363" s="1476">
        <f>H363</f>
        <v>162854</v>
      </c>
      <c r="J363" s="1460">
        <f>80000+3600</f>
        <v>83600</v>
      </c>
      <c r="K363" s="1460">
        <f t="shared" ref="K363:M365" si="437">J363</f>
        <v>83600</v>
      </c>
      <c r="L363" s="1460">
        <f>80000+3600</f>
        <v>83600</v>
      </c>
      <c r="M363" s="1460">
        <f t="shared" si="437"/>
        <v>83600</v>
      </c>
      <c r="N363" s="1463">
        <f>O363</f>
        <v>45000</v>
      </c>
      <c r="O363" s="1460">
        <f>44230+770</f>
        <v>45000</v>
      </c>
      <c r="P363" s="1463">
        <f>Q363</f>
        <v>45000</v>
      </c>
      <c r="Q363" s="1460">
        <f>44230+770</f>
        <v>45000</v>
      </c>
      <c r="R363" s="1454"/>
      <c r="S363" s="1454"/>
      <c r="T363" s="1463">
        <f>U363</f>
        <v>45000</v>
      </c>
      <c r="U363" s="1460">
        <f>44230+770</f>
        <v>45000</v>
      </c>
      <c r="V363" s="1454"/>
      <c r="W363" s="1454"/>
      <c r="X363" s="1463">
        <f>Y363</f>
        <v>45000</v>
      </c>
      <c r="Y363" s="1460">
        <f>44230+770</f>
        <v>45000</v>
      </c>
      <c r="Z363" s="1460">
        <v>0</v>
      </c>
      <c r="AA363" s="1460">
        <v>0</v>
      </c>
      <c r="AB363" s="1460">
        <v>45000</v>
      </c>
      <c r="AC363" s="1460">
        <v>45000</v>
      </c>
      <c r="AD363" s="1460"/>
      <c r="AE363" s="1525"/>
      <c r="AF363" s="1383">
        <f t="shared" si="351"/>
        <v>45000</v>
      </c>
      <c r="AG363" s="1383">
        <f t="shared" si="352"/>
        <v>45000</v>
      </c>
      <c r="AH363" s="1383">
        <f t="shared" si="358"/>
        <v>45000</v>
      </c>
      <c r="AI363" s="1383">
        <v>45000</v>
      </c>
      <c r="AJ363" s="1383"/>
      <c r="AK363" s="1383"/>
      <c r="AL363" s="1383"/>
      <c r="AM363" s="1383"/>
      <c r="AN363" s="1464"/>
      <c r="AO363" s="1464">
        <v>11500</v>
      </c>
      <c r="AP363" s="1431">
        <f t="shared" si="406"/>
        <v>0</v>
      </c>
      <c r="AQ363" s="1431">
        <f t="shared" si="403"/>
        <v>1</v>
      </c>
      <c r="AR363" s="1434">
        <f t="shared" si="408"/>
        <v>0</v>
      </c>
      <c r="AS363" s="1434"/>
      <c r="AT363" s="1427">
        <f>IF(AP363=0,1,0)</f>
        <v>1</v>
      </c>
      <c r="AV363" s="1427">
        <f>IF(Q363=0,1,0)</f>
        <v>0</v>
      </c>
      <c r="AW363" s="1427">
        <f t="shared" si="421"/>
        <v>0</v>
      </c>
      <c r="AX363" s="1427">
        <f>IF(O363=0,1,0)</f>
        <v>0</v>
      </c>
      <c r="AY363" s="1427">
        <f t="shared" si="422"/>
        <v>0</v>
      </c>
      <c r="AZ363" s="1427">
        <f>IF(R363=0,0,1)</f>
        <v>0</v>
      </c>
      <c r="BA363" s="1427">
        <f t="shared" si="423"/>
        <v>0</v>
      </c>
      <c r="BB363" s="1427">
        <f>IF(S363=0,0,1)</f>
        <v>0</v>
      </c>
      <c r="BC363" s="1427">
        <f t="shared" si="424"/>
        <v>0</v>
      </c>
      <c r="BD363" s="1436">
        <f t="shared" si="436"/>
        <v>1</v>
      </c>
    </row>
    <row r="364" spans="1:56" ht="131.25" x14ac:dyDescent="0.3">
      <c r="A364" s="1457">
        <v>3</v>
      </c>
      <c r="B364" s="1457" t="s">
        <v>3074</v>
      </c>
      <c r="C364" s="1458" t="s">
        <v>740</v>
      </c>
      <c r="D364" s="1388" t="s">
        <v>336</v>
      </c>
      <c r="E364" s="1388" t="s">
        <v>741</v>
      </c>
      <c r="F364" s="1388" t="s">
        <v>199</v>
      </c>
      <c r="G364" s="1388" t="s">
        <v>742</v>
      </c>
      <c r="H364" s="1530">
        <v>12974</v>
      </c>
      <c r="I364" s="1476">
        <f>H364</f>
        <v>12974</v>
      </c>
      <c r="J364" s="1460">
        <v>3500</v>
      </c>
      <c r="K364" s="1460">
        <f t="shared" si="437"/>
        <v>3500</v>
      </c>
      <c r="L364" s="1460">
        <v>3500</v>
      </c>
      <c r="M364" s="1460">
        <f t="shared" si="437"/>
        <v>3500</v>
      </c>
      <c r="N364" s="1463">
        <f>O364</f>
        <v>8100</v>
      </c>
      <c r="O364" s="1460">
        <v>8100</v>
      </c>
      <c r="P364" s="1463">
        <f>Q364</f>
        <v>8100</v>
      </c>
      <c r="Q364" s="1460">
        <v>8100</v>
      </c>
      <c r="R364" s="1454"/>
      <c r="S364" s="1454"/>
      <c r="T364" s="1463">
        <f>U364</f>
        <v>8100</v>
      </c>
      <c r="U364" s="1460">
        <v>8100</v>
      </c>
      <c r="V364" s="1454"/>
      <c r="W364" s="1454"/>
      <c r="X364" s="1463">
        <f>Y364</f>
        <v>8100</v>
      </c>
      <c r="Y364" s="1460">
        <v>8100</v>
      </c>
      <c r="Z364" s="1460">
        <v>0</v>
      </c>
      <c r="AA364" s="1460">
        <v>0</v>
      </c>
      <c r="AB364" s="1460">
        <v>7865</v>
      </c>
      <c r="AC364" s="1460">
        <v>7865</v>
      </c>
      <c r="AD364" s="1460"/>
      <c r="AE364" s="1525"/>
      <c r="AF364" s="1383">
        <f t="shared" ref="AF364:AF427" si="438">AG364</f>
        <v>7865</v>
      </c>
      <c r="AG364" s="1383">
        <f t="shared" ref="AG364:AG427" si="439">AC364+AD364+AE364</f>
        <v>7865</v>
      </c>
      <c r="AH364" s="1383">
        <f t="shared" si="358"/>
        <v>7360</v>
      </c>
      <c r="AI364" s="1383">
        <v>6500</v>
      </c>
      <c r="AJ364" s="1383">
        <v>860</v>
      </c>
      <c r="AK364" s="1383"/>
      <c r="AL364" s="1383"/>
      <c r="AM364" s="1383"/>
      <c r="AN364" s="1464"/>
      <c r="AO364" s="1464"/>
      <c r="AP364" s="1431">
        <f t="shared" si="406"/>
        <v>0</v>
      </c>
      <c r="AQ364" s="1431">
        <f t="shared" si="403"/>
        <v>1</v>
      </c>
      <c r="AR364" s="1434">
        <f t="shared" si="408"/>
        <v>0</v>
      </c>
      <c r="AS364" s="1434"/>
      <c r="AT364" s="1427">
        <f>IF(AP364=0,1,0)</f>
        <v>1</v>
      </c>
      <c r="AV364" s="1427">
        <f>IF(Q364=0,1,0)</f>
        <v>0</v>
      </c>
      <c r="AW364" s="1427">
        <f t="shared" si="421"/>
        <v>0</v>
      </c>
      <c r="AX364" s="1427">
        <f>IF(O364=0,1,0)</f>
        <v>0</v>
      </c>
      <c r="AY364" s="1427">
        <f t="shared" si="422"/>
        <v>0</v>
      </c>
      <c r="AZ364" s="1427">
        <f>IF(R364=0,0,1)</f>
        <v>0</v>
      </c>
      <c r="BA364" s="1427">
        <f t="shared" si="423"/>
        <v>0</v>
      </c>
      <c r="BB364" s="1427">
        <f>IF(S364=0,0,1)</f>
        <v>0</v>
      </c>
      <c r="BC364" s="1427">
        <f t="shared" si="424"/>
        <v>0</v>
      </c>
      <c r="BD364" s="1436">
        <f t="shared" si="436"/>
        <v>1</v>
      </c>
    </row>
    <row r="365" spans="1:56" ht="75" x14ac:dyDescent="0.3">
      <c r="A365" s="1457">
        <v>4</v>
      </c>
      <c r="B365" s="1457"/>
      <c r="C365" s="1458" t="s">
        <v>743</v>
      </c>
      <c r="D365" s="1388" t="s">
        <v>336</v>
      </c>
      <c r="E365" s="1388" t="s">
        <v>744</v>
      </c>
      <c r="F365" s="1388" t="s">
        <v>199</v>
      </c>
      <c r="G365" s="1388" t="s">
        <v>745</v>
      </c>
      <c r="H365" s="1443">
        <v>11238</v>
      </c>
      <c r="I365" s="1476">
        <f>H365</f>
        <v>11238</v>
      </c>
      <c r="J365" s="1460">
        <v>5300</v>
      </c>
      <c r="K365" s="1460">
        <f t="shared" si="437"/>
        <v>5300</v>
      </c>
      <c r="L365" s="1460">
        <v>5300</v>
      </c>
      <c r="M365" s="1460">
        <f t="shared" si="437"/>
        <v>5300</v>
      </c>
      <c r="N365" s="1463">
        <f>O365</f>
        <v>3940</v>
      </c>
      <c r="O365" s="1460">
        <v>3940</v>
      </c>
      <c r="P365" s="1463">
        <f>Q365</f>
        <v>3940</v>
      </c>
      <c r="Q365" s="1460">
        <v>3940</v>
      </c>
      <c r="R365" s="1454"/>
      <c r="S365" s="1454"/>
      <c r="T365" s="1463">
        <f>U365</f>
        <v>3940</v>
      </c>
      <c r="U365" s="1460">
        <v>3940</v>
      </c>
      <c r="V365" s="1454"/>
      <c r="W365" s="1454"/>
      <c r="X365" s="1463">
        <f>Y365</f>
        <v>3940</v>
      </c>
      <c r="Y365" s="1460">
        <v>3940</v>
      </c>
      <c r="Z365" s="1460">
        <v>0</v>
      </c>
      <c r="AA365" s="1460">
        <v>0</v>
      </c>
      <c r="AB365" s="1460">
        <v>3940</v>
      </c>
      <c r="AC365" s="1460">
        <v>3940</v>
      </c>
      <c r="AD365" s="1460"/>
      <c r="AE365" s="1460"/>
      <c r="AF365" s="1383">
        <f t="shared" si="438"/>
        <v>3940</v>
      </c>
      <c r="AG365" s="1383">
        <f t="shared" si="439"/>
        <v>3940</v>
      </c>
      <c r="AH365" s="1383">
        <f t="shared" si="358"/>
        <v>2963</v>
      </c>
      <c r="AI365" s="1383">
        <v>2963</v>
      </c>
      <c r="AJ365" s="1383"/>
      <c r="AK365" s="1383"/>
      <c r="AL365" s="1383"/>
      <c r="AM365" s="1383"/>
      <c r="AN365" s="1464"/>
      <c r="AO365" s="1464"/>
      <c r="AP365" s="1431">
        <f t="shared" si="406"/>
        <v>0</v>
      </c>
      <c r="AQ365" s="1431">
        <f t="shared" si="403"/>
        <v>1</v>
      </c>
      <c r="AR365" s="1434">
        <f t="shared" si="408"/>
        <v>0</v>
      </c>
      <c r="AS365" s="1434"/>
      <c r="AT365" s="1427">
        <f>IF(AP365=0,1,0)</f>
        <v>1</v>
      </c>
      <c r="AV365" s="1427">
        <f>IF(Q365=0,1,0)</f>
        <v>0</v>
      </c>
      <c r="AW365" s="1427">
        <f t="shared" si="421"/>
        <v>0</v>
      </c>
      <c r="AX365" s="1427">
        <f>IF(O365=0,1,0)</f>
        <v>0</v>
      </c>
      <c r="AY365" s="1427">
        <f t="shared" si="422"/>
        <v>0</v>
      </c>
      <c r="AZ365" s="1427">
        <f>IF(R365=0,0,1)</f>
        <v>0</v>
      </c>
      <c r="BA365" s="1427">
        <f t="shared" si="423"/>
        <v>0</v>
      </c>
      <c r="BB365" s="1427">
        <f>IF(S365=0,0,1)</f>
        <v>0</v>
      </c>
      <c r="BC365" s="1427">
        <f t="shared" si="424"/>
        <v>0</v>
      </c>
      <c r="BD365" s="1436">
        <f t="shared" si="436"/>
        <v>1</v>
      </c>
    </row>
    <row r="366" spans="1:56" ht="49.5" x14ac:dyDescent="0.3">
      <c r="A366" s="1457"/>
      <c r="B366" s="1457"/>
      <c r="C366" s="1645" t="s">
        <v>1986</v>
      </c>
      <c r="D366" s="1608" t="s">
        <v>1987</v>
      </c>
      <c r="E366" s="1608" t="s">
        <v>1988</v>
      </c>
      <c r="F366" s="1589" t="s">
        <v>199</v>
      </c>
      <c r="G366" s="1829" t="s">
        <v>1989</v>
      </c>
      <c r="H366" s="1834">
        <v>47729</v>
      </c>
      <c r="I366" s="1834">
        <v>47729</v>
      </c>
      <c r="J366" s="1834">
        <v>10000</v>
      </c>
      <c r="K366" s="1834">
        <v>10000</v>
      </c>
      <c r="L366" s="1834">
        <v>10000</v>
      </c>
      <c r="M366" s="1834">
        <v>10000</v>
      </c>
      <c r="N366" s="1831">
        <f>O366</f>
        <v>36650</v>
      </c>
      <c r="O366" s="1831">
        <v>36650</v>
      </c>
      <c r="P366" s="1831">
        <f>Q366</f>
        <v>36650</v>
      </c>
      <c r="Q366" s="1831">
        <v>36650</v>
      </c>
      <c r="R366" s="1831"/>
      <c r="S366" s="1831"/>
      <c r="T366" s="1831">
        <f>U366</f>
        <v>36650</v>
      </c>
      <c r="U366" s="1831">
        <v>36650</v>
      </c>
      <c r="V366" s="1831"/>
      <c r="W366" s="1831"/>
      <c r="X366" s="1831">
        <f t="shared" ref="X366" si="440">Y366</f>
        <v>36650</v>
      </c>
      <c r="Y366" s="1831">
        <f t="shared" ref="Y366" si="441">U366+V366+W366</f>
        <v>36650</v>
      </c>
      <c r="Z366" s="1831"/>
      <c r="AA366" s="1831"/>
      <c r="AB366" s="1831">
        <v>36650</v>
      </c>
      <c r="AC366" s="1831">
        <v>36650</v>
      </c>
      <c r="AD366" s="1460"/>
      <c r="AE366" s="1460"/>
      <c r="AF366" s="1831">
        <f t="shared" si="438"/>
        <v>36650</v>
      </c>
      <c r="AG366" s="1831">
        <f t="shared" si="439"/>
        <v>36650</v>
      </c>
      <c r="AH366" s="1383">
        <f t="shared" si="358"/>
        <v>39566</v>
      </c>
      <c r="AI366" s="1383">
        <v>30646</v>
      </c>
      <c r="AJ366" s="1383">
        <v>8920</v>
      </c>
      <c r="AK366" s="1383"/>
      <c r="AL366" s="1383"/>
      <c r="AM366" s="1383"/>
      <c r="AN366" s="1381" t="s">
        <v>2761</v>
      </c>
      <c r="AO366" s="1464"/>
      <c r="AP366" s="1431">
        <f t="shared" si="406"/>
        <v>0</v>
      </c>
      <c r="AQ366" s="1431"/>
      <c r="AR366" s="1434"/>
      <c r="AS366" s="1434"/>
      <c r="BD366" s="1436"/>
    </row>
    <row r="367" spans="1:56" ht="58.5" x14ac:dyDescent="0.3">
      <c r="A367" s="1827" t="s">
        <v>3075</v>
      </c>
      <c r="B367" s="1827" t="s">
        <v>3075</v>
      </c>
      <c r="C367" s="1446" t="s">
        <v>86</v>
      </c>
      <c r="D367" s="1447"/>
      <c r="E367" s="1447"/>
      <c r="F367" s="1448"/>
      <c r="G367" s="1448"/>
      <c r="H367" s="1449">
        <f t="shared" ref="H367:M367" si="442">H368+H430</f>
        <v>1388257</v>
      </c>
      <c r="I367" s="1449">
        <f t="shared" si="442"/>
        <v>566998</v>
      </c>
      <c r="J367" s="1449">
        <f t="shared" si="442"/>
        <v>0</v>
      </c>
      <c r="K367" s="1449">
        <f t="shared" si="442"/>
        <v>0</v>
      </c>
      <c r="L367" s="1449">
        <f t="shared" si="442"/>
        <v>0</v>
      </c>
      <c r="M367" s="1449">
        <f t="shared" si="442"/>
        <v>0</v>
      </c>
      <c r="N367" s="1449">
        <f t="shared" ref="N367:S367" si="443">N368</f>
        <v>531290</v>
      </c>
      <c r="O367" s="1449">
        <f t="shared" si="443"/>
        <v>195700</v>
      </c>
      <c r="P367" s="1449">
        <f t="shared" si="443"/>
        <v>612743</v>
      </c>
      <c r="Q367" s="1449">
        <f t="shared" si="443"/>
        <v>202910</v>
      </c>
      <c r="R367" s="1449">
        <f t="shared" si="443"/>
        <v>19430</v>
      </c>
      <c r="S367" s="1449">
        <f t="shared" si="443"/>
        <v>12220</v>
      </c>
      <c r="T367" s="1449">
        <f t="shared" ref="T367:Y367" si="444">T368+T430</f>
        <v>642743</v>
      </c>
      <c r="U367" s="1449">
        <f t="shared" si="444"/>
        <v>232910</v>
      </c>
      <c r="V367" s="1449">
        <f t="shared" si="444"/>
        <v>81300</v>
      </c>
      <c r="W367" s="1526">
        <f t="shared" si="444"/>
        <v>-30075</v>
      </c>
      <c r="X367" s="1449">
        <f t="shared" si="444"/>
        <v>686968</v>
      </c>
      <c r="Y367" s="1449">
        <f t="shared" si="444"/>
        <v>284135</v>
      </c>
      <c r="Z367" s="1449">
        <v>12000</v>
      </c>
      <c r="AA367" s="1449">
        <v>0</v>
      </c>
      <c r="AB367" s="1449">
        <v>671893</v>
      </c>
      <c r="AC367" s="1449">
        <v>259157</v>
      </c>
      <c r="AD367" s="1449">
        <f t="shared" ref="AD367:AF367" si="445">AD368+AD430</f>
        <v>0</v>
      </c>
      <c r="AE367" s="1526">
        <f t="shared" si="445"/>
        <v>-9690</v>
      </c>
      <c r="AF367" s="1449">
        <f t="shared" si="445"/>
        <v>662203</v>
      </c>
      <c r="AG367" s="1449">
        <f>AG368+AG430</f>
        <v>249467</v>
      </c>
      <c r="AH367" s="1449">
        <f t="shared" ref="AH367:AM367" si="446">AH368+AH430</f>
        <v>245387</v>
      </c>
      <c r="AI367" s="1449">
        <f t="shared" si="446"/>
        <v>78836</v>
      </c>
      <c r="AJ367" s="1449">
        <f t="shared" si="446"/>
        <v>43124</v>
      </c>
      <c r="AK367" s="1449">
        <f t="shared" si="446"/>
        <v>41011</v>
      </c>
      <c r="AL367" s="1449">
        <f t="shared" si="446"/>
        <v>35058</v>
      </c>
      <c r="AM367" s="1449">
        <f t="shared" si="446"/>
        <v>47358</v>
      </c>
      <c r="AN367" s="1450"/>
      <c r="AO367" s="1450"/>
      <c r="AP367" s="1431">
        <f t="shared" si="406"/>
        <v>1</v>
      </c>
      <c r="AQ367" s="1431">
        <f t="shared" si="403"/>
        <v>1</v>
      </c>
      <c r="AR367" s="1434"/>
      <c r="AS367" s="1434"/>
      <c r="AW367" s="1427">
        <f t="shared" si="421"/>
        <v>0</v>
      </c>
      <c r="AY367" s="1427">
        <f t="shared" si="422"/>
        <v>0</v>
      </c>
      <c r="BA367" s="1427">
        <f t="shared" si="423"/>
        <v>0</v>
      </c>
      <c r="BC367" s="1427">
        <f t="shared" si="424"/>
        <v>0</v>
      </c>
      <c r="BD367" s="1436">
        <f t="shared" si="436"/>
        <v>1</v>
      </c>
    </row>
    <row r="368" spans="1:56" ht="78" x14ac:dyDescent="0.3">
      <c r="A368" s="1826" t="s">
        <v>3076</v>
      </c>
      <c r="B368" s="1826" t="s">
        <v>3076</v>
      </c>
      <c r="C368" s="1446" t="s">
        <v>88</v>
      </c>
      <c r="D368" s="1447"/>
      <c r="E368" s="1447"/>
      <c r="F368" s="1448"/>
      <c r="G368" s="1448"/>
      <c r="H368" s="1449">
        <f t="shared" ref="H368:AF368" si="447">SUM(H369:H429)</f>
        <v>938298</v>
      </c>
      <c r="I368" s="1449">
        <f t="shared" si="447"/>
        <v>374970</v>
      </c>
      <c r="J368" s="1449">
        <f t="shared" si="447"/>
        <v>0</v>
      </c>
      <c r="K368" s="1449">
        <f t="shared" si="447"/>
        <v>0</v>
      </c>
      <c r="L368" s="1449">
        <f t="shared" si="447"/>
        <v>0</v>
      </c>
      <c r="M368" s="1449">
        <f t="shared" si="447"/>
        <v>0</v>
      </c>
      <c r="N368" s="1449">
        <f t="shared" si="447"/>
        <v>531290</v>
      </c>
      <c r="O368" s="1449">
        <f t="shared" si="447"/>
        <v>195700</v>
      </c>
      <c r="P368" s="1449">
        <f t="shared" si="447"/>
        <v>612743</v>
      </c>
      <c r="Q368" s="1449">
        <f t="shared" si="447"/>
        <v>202910</v>
      </c>
      <c r="R368" s="1449">
        <f t="shared" si="447"/>
        <v>19430</v>
      </c>
      <c r="S368" s="1449">
        <f t="shared" si="447"/>
        <v>12220</v>
      </c>
      <c r="T368" s="1449">
        <f t="shared" si="447"/>
        <v>642743</v>
      </c>
      <c r="U368" s="1449">
        <f t="shared" si="447"/>
        <v>232910</v>
      </c>
      <c r="V368" s="1449">
        <f t="shared" si="447"/>
        <v>22300</v>
      </c>
      <c r="W368" s="1449">
        <f t="shared" si="447"/>
        <v>-30075</v>
      </c>
      <c r="X368" s="1449">
        <f t="shared" si="447"/>
        <v>627968</v>
      </c>
      <c r="Y368" s="1449">
        <f t="shared" si="447"/>
        <v>225135</v>
      </c>
      <c r="Z368" s="1449">
        <f t="shared" si="447"/>
        <v>12000</v>
      </c>
      <c r="AA368" s="1449">
        <f t="shared" si="447"/>
        <v>0</v>
      </c>
      <c r="AB368" s="1449">
        <v>636893</v>
      </c>
      <c r="AC368" s="1449">
        <v>224157</v>
      </c>
      <c r="AD368" s="1449">
        <f t="shared" si="447"/>
        <v>0</v>
      </c>
      <c r="AE368" s="1526">
        <f t="shared" si="447"/>
        <v>0</v>
      </c>
      <c r="AF368" s="1449">
        <f t="shared" si="447"/>
        <v>636893</v>
      </c>
      <c r="AG368" s="1449">
        <f>SUM(AG369:AG429)</f>
        <v>224157</v>
      </c>
      <c r="AH368" s="1449">
        <f t="shared" ref="AH368:AM368" si="448">SUM(AH369:AH429)</f>
        <v>210387</v>
      </c>
      <c r="AI368" s="1449">
        <f t="shared" si="448"/>
        <v>78836</v>
      </c>
      <c r="AJ368" s="1449">
        <f t="shared" si="448"/>
        <v>43124</v>
      </c>
      <c r="AK368" s="1449">
        <f t="shared" si="448"/>
        <v>41011</v>
      </c>
      <c r="AL368" s="1449">
        <f t="shared" si="448"/>
        <v>35058</v>
      </c>
      <c r="AM368" s="1449">
        <f t="shared" si="448"/>
        <v>12358</v>
      </c>
      <c r="AN368" s="1450"/>
      <c r="AO368" s="1450"/>
      <c r="AP368" s="1431">
        <f t="shared" si="406"/>
        <v>0</v>
      </c>
      <c r="AQ368" s="1431">
        <f t="shared" si="403"/>
        <v>1</v>
      </c>
      <c r="AR368" s="1434"/>
      <c r="AS368" s="1434"/>
      <c r="AT368" s="1435"/>
      <c r="AW368" s="1427">
        <f t="shared" si="421"/>
        <v>0</v>
      </c>
      <c r="AY368" s="1427">
        <f t="shared" si="422"/>
        <v>0</v>
      </c>
      <c r="BA368" s="1427">
        <f t="shared" si="423"/>
        <v>0</v>
      </c>
      <c r="BC368" s="1427">
        <f t="shared" si="424"/>
        <v>0</v>
      </c>
      <c r="BD368" s="1436">
        <f t="shared" si="436"/>
        <v>1</v>
      </c>
    </row>
    <row r="369" spans="1:56" ht="56.25" x14ac:dyDescent="0.3">
      <c r="A369" s="1461" t="s">
        <v>3077</v>
      </c>
      <c r="B369" s="1461"/>
      <c r="C369" s="1442" t="s">
        <v>746</v>
      </c>
      <c r="D369" s="1465" t="s">
        <v>519</v>
      </c>
      <c r="E369" s="1388" t="s">
        <v>747</v>
      </c>
      <c r="F369" s="1465">
        <v>2016</v>
      </c>
      <c r="G369" s="1388" t="s">
        <v>748</v>
      </c>
      <c r="H369" s="1463">
        <v>7312</v>
      </c>
      <c r="I369" s="1383">
        <f>H369</f>
        <v>7312</v>
      </c>
      <c r="J369" s="1449"/>
      <c r="K369" s="1449"/>
      <c r="L369" s="1449"/>
      <c r="M369" s="1449"/>
      <c r="N369" s="1383">
        <f>O369</f>
        <v>6960</v>
      </c>
      <c r="O369" s="1460">
        <v>6960</v>
      </c>
      <c r="P369" s="1383">
        <f>Q369</f>
        <v>6960</v>
      </c>
      <c r="Q369" s="1460">
        <v>6960</v>
      </c>
      <c r="R369" s="1454"/>
      <c r="S369" s="1454"/>
      <c r="T369" s="1383">
        <f>U369</f>
        <v>6960</v>
      </c>
      <c r="U369" s="1460">
        <v>6960</v>
      </c>
      <c r="V369" s="1454"/>
      <c r="W369" s="1454"/>
      <c r="X369" s="1383">
        <f>Y369</f>
        <v>6960</v>
      </c>
      <c r="Y369" s="1460">
        <v>6960</v>
      </c>
      <c r="Z369" s="1460">
        <v>0</v>
      </c>
      <c r="AA369" s="1460">
        <v>0</v>
      </c>
      <c r="AB369" s="1460">
        <v>6960</v>
      </c>
      <c r="AC369" s="1460">
        <v>6960</v>
      </c>
      <c r="AD369" s="1460"/>
      <c r="AE369" s="1460"/>
      <c r="AF369" s="1383">
        <f t="shared" si="438"/>
        <v>6960</v>
      </c>
      <c r="AG369" s="1383">
        <f t="shared" si="439"/>
        <v>6960</v>
      </c>
      <c r="AH369" s="1383">
        <f t="shared" si="358"/>
        <v>6705</v>
      </c>
      <c r="AI369" s="1383">
        <v>4200</v>
      </c>
      <c r="AJ369" s="1383">
        <v>2505</v>
      </c>
      <c r="AK369" s="1383"/>
      <c r="AL369" s="1383"/>
      <c r="AM369" s="1383"/>
      <c r="AN369" s="1450"/>
      <c r="AO369" s="1450"/>
      <c r="AP369" s="1431">
        <f t="shared" si="406"/>
        <v>0</v>
      </c>
      <c r="AQ369" s="1431">
        <f t="shared" si="403"/>
        <v>1</v>
      </c>
      <c r="AR369" s="1434">
        <f t="shared" si="408"/>
        <v>0</v>
      </c>
      <c r="AS369" s="1434"/>
      <c r="AT369" s="1427">
        <f t="shared" ref="AT369:AT421" si="449">IF(AP369=0,1,0)</f>
        <v>1</v>
      </c>
      <c r="AV369" s="1427">
        <f t="shared" ref="AV369:AV400" si="450">IF(Q369=0,1,0)</f>
        <v>0</v>
      </c>
      <c r="AW369" s="1427">
        <f t="shared" si="421"/>
        <v>0</v>
      </c>
      <c r="AX369" s="1427">
        <f t="shared" ref="AX369:AX400" si="451">IF(O369=0,1,0)</f>
        <v>0</v>
      </c>
      <c r="AY369" s="1427">
        <f t="shared" si="422"/>
        <v>0</v>
      </c>
      <c r="AZ369" s="1427">
        <f t="shared" ref="AZ369:AZ400" si="452">IF(R369=0,0,1)</f>
        <v>0</v>
      </c>
      <c r="BA369" s="1427">
        <f t="shared" si="423"/>
        <v>0</v>
      </c>
      <c r="BB369" s="1427">
        <f t="shared" ref="BB369:BB405" si="453">IF(S369=0,0,1)</f>
        <v>0</v>
      </c>
      <c r="BC369" s="1427">
        <f t="shared" si="424"/>
        <v>0</v>
      </c>
      <c r="BD369" s="1436">
        <f t="shared" si="436"/>
        <v>1</v>
      </c>
    </row>
    <row r="370" spans="1:56" ht="75" x14ac:dyDescent="0.3">
      <c r="A370" s="1461" t="s">
        <v>3078</v>
      </c>
      <c r="B370" s="1457"/>
      <c r="C370" s="1442" t="s">
        <v>749</v>
      </c>
      <c r="D370" s="1465" t="s">
        <v>519</v>
      </c>
      <c r="E370" s="1388" t="s">
        <v>750</v>
      </c>
      <c r="F370" s="1465" t="s">
        <v>60</v>
      </c>
      <c r="G370" s="1388" t="s">
        <v>751</v>
      </c>
      <c r="H370" s="1463">
        <v>80000</v>
      </c>
      <c r="I370" s="1476">
        <v>10000</v>
      </c>
      <c r="J370" s="1460"/>
      <c r="K370" s="1460"/>
      <c r="L370" s="1460"/>
      <c r="M370" s="1460"/>
      <c r="N370" s="1460">
        <v>10000</v>
      </c>
      <c r="O370" s="1460">
        <f t="shared" ref="O370:O391" si="454">N370</f>
        <v>10000</v>
      </c>
      <c r="P370" s="1460">
        <v>10000</v>
      </c>
      <c r="Q370" s="1460">
        <f t="shared" ref="Q370:Q391" si="455">P370</f>
        <v>10000</v>
      </c>
      <c r="R370" s="1454"/>
      <c r="S370" s="1454"/>
      <c r="T370" s="1460">
        <v>10000</v>
      </c>
      <c r="U370" s="1460">
        <f t="shared" ref="U370:U378" si="456">T370</f>
        <v>10000</v>
      </c>
      <c r="V370" s="1454"/>
      <c r="W370" s="1454"/>
      <c r="X370" s="1460">
        <v>10000</v>
      </c>
      <c r="Y370" s="1460">
        <f t="shared" ref="Y370:Y378" si="457">X370</f>
        <v>10000</v>
      </c>
      <c r="Z370" s="1460">
        <v>0</v>
      </c>
      <c r="AA370" s="1460">
        <v>0</v>
      </c>
      <c r="AB370" s="1460">
        <v>10000</v>
      </c>
      <c r="AC370" s="1460">
        <v>10000</v>
      </c>
      <c r="AD370" s="1460"/>
      <c r="AE370" s="1460"/>
      <c r="AF370" s="1383">
        <f t="shared" si="438"/>
        <v>10000</v>
      </c>
      <c r="AG370" s="1383">
        <f t="shared" si="439"/>
        <v>10000</v>
      </c>
      <c r="AH370" s="1383">
        <f t="shared" si="358"/>
        <v>10000</v>
      </c>
      <c r="AI370" s="1383">
        <v>10000</v>
      </c>
      <c r="AJ370" s="1383"/>
      <c r="AK370" s="1383"/>
      <c r="AL370" s="1383"/>
      <c r="AM370" s="1383"/>
      <c r="AN370" s="1388"/>
      <c r="AO370" s="1388"/>
      <c r="AP370" s="1431">
        <f t="shared" si="406"/>
        <v>0</v>
      </c>
      <c r="AQ370" s="1431">
        <f t="shared" ref="AQ370:AQ401" si="458">IF(Y370=0,0,1)</f>
        <v>1</v>
      </c>
      <c r="AR370" s="1434">
        <f t="shared" si="408"/>
        <v>0</v>
      </c>
      <c r="AS370" s="1434"/>
      <c r="AT370" s="1427">
        <f t="shared" si="449"/>
        <v>1</v>
      </c>
      <c r="AV370" s="1427">
        <f t="shared" si="450"/>
        <v>0</v>
      </c>
      <c r="AW370" s="1427">
        <f t="shared" si="421"/>
        <v>0</v>
      </c>
      <c r="AX370" s="1427">
        <f t="shared" si="451"/>
        <v>0</v>
      </c>
      <c r="AY370" s="1427">
        <f t="shared" si="422"/>
        <v>0</v>
      </c>
      <c r="AZ370" s="1427">
        <f t="shared" si="452"/>
        <v>0</v>
      </c>
      <c r="BA370" s="1427">
        <f t="shared" si="423"/>
        <v>0</v>
      </c>
      <c r="BB370" s="1427">
        <f t="shared" si="453"/>
        <v>0</v>
      </c>
      <c r="BC370" s="1427">
        <f t="shared" si="424"/>
        <v>0</v>
      </c>
      <c r="BD370" s="1436">
        <f t="shared" si="436"/>
        <v>1</v>
      </c>
    </row>
    <row r="371" spans="1:56" ht="79.5" customHeight="1" x14ac:dyDescent="0.3">
      <c r="A371" s="1461" t="s">
        <v>3079</v>
      </c>
      <c r="B371" s="1457"/>
      <c r="C371" s="1442" t="s">
        <v>753</v>
      </c>
      <c r="D371" s="1465" t="s">
        <v>519</v>
      </c>
      <c r="E371" s="1388" t="s">
        <v>754</v>
      </c>
      <c r="F371" s="1465" t="s">
        <v>91</v>
      </c>
      <c r="G371" s="1388" t="s">
        <v>755</v>
      </c>
      <c r="H371" s="1463">
        <v>62185</v>
      </c>
      <c r="I371" s="1476">
        <v>10000</v>
      </c>
      <c r="J371" s="1460"/>
      <c r="K371" s="1460"/>
      <c r="L371" s="1460"/>
      <c r="M371" s="1460"/>
      <c r="N371" s="1460">
        <v>10000</v>
      </c>
      <c r="O371" s="1460">
        <f t="shared" si="454"/>
        <v>10000</v>
      </c>
      <c r="P371" s="1460">
        <v>10000</v>
      </c>
      <c r="Q371" s="1460">
        <f t="shared" si="455"/>
        <v>10000</v>
      </c>
      <c r="R371" s="1454"/>
      <c r="S371" s="1454"/>
      <c r="T371" s="1460">
        <v>10000</v>
      </c>
      <c r="U371" s="1460">
        <f t="shared" si="456"/>
        <v>10000</v>
      </c>
      <c r="V371" s="1454"/>
      <c r="W371" s="1454"/>
      <c r="X371" s="1460">
        <v>10000</v>
      </c>
      <c r="Y371" s="1460">
        <f t="shared" si="457"/>
        <v>10000</v>
      </c>
      <c r="Z371" s="1460">
        <v>0</v>
      </c>
      <c r="AA371" s="1460">
        <v>0</v>
      </c>
      <c r="AB371" s="1460">
        <v>10000</v>
      </c>
      <c r="AC371" s="1460">
        <v>10000</v>
      </c>
      <c r="AD371" s="1460"/>
      <c r="AE371" s="1460"/>
      <c r="AF371" s="1383">
        <f t="shared" si="438"/>
        <v>10000</v>
      </c>
      <c r="AG371" s="1383">
        <f t="shared" si="439"/>
        <v>10000</v>
      </c>
      <c r="AH371" s="1383">
        <f t="shared" si="358"/>
        <v>10000</v>
      </c>
      <c r="AI371" s="1383">
        <v>10000</v>
      </c>
      <c r="AJ371" s="1383"/>
      <c r="AK371" s="1383"/>
      <c r="AL371" s="1383"/>
      <c r="AM371" s="1383"/>
      <c r="AN371" s="1388"/>
      <c r="AO371" s="1388"/>
      <c r="AP371" s="1431">
        <f t="shared" si="406"/>
        <v>0</v>
      </c>
      <c r="AQ371" s="1431">
        <f t="shared" si="458"/>
        <v>1</v>
      </c>
      <c r="AR371" s="1434">
        <f t="shared" si="408"/>
        <v>0</v>
      </c>
      <c r="AS371" s="1434"/>
      <c r="AT371" s="1427">
        <f t="shared" si="449"/>
        <v>1</v>
      </c>
      <c r="AV371" s="1427">
        <f t="shared" si="450"/>
        <v>0</v>
      </c>
      <c r="AW371" s="1427">
        <f t="shared" si="421"/>
        <v>0</v>
      </c>
      <c r="AX371" s="1427">
        <f t="shared" si="451"/>
        <v>0</v>
      </c>
      <c r="AY371" s="1427">
        <f t="shared" si="422"/>
        <v>0</v>
      </c>
      <c r="AZ371" s="1427">
        <f t="shared" si="452"/>
        <v>0</v>
      </c>
      <c r="BA371" s="1427">
        <f t="shared" si="423"/>
        <v>0</v>
      </c>
      <c r="BB371" s="1427">
        <f t="shared" si="453"/>
        <v>0</v>
      </c>
      <c r="BC371" s="1427">
        <f t="shared" si="424"/>
        <v>0</v>
      </c>
      <c r="BD371" s="1436">
        <f t="shared" si="436"/>
        <v>1</v>
      </c>
    </row>
    <row r="372" spans="1:56" ht="61.5" customHeight="1" x14ac:dyDescent="0.3">
      <c r="A372" s="1461" t="s">
        <v>3080</v>
      </c>
      <c r="B372" s="1457"/>
      <c r="C372" s="1442" t="s">
        <v>756</v>
      </c>
      <c r="D372" s="1465" t="s">
        <v>519</v>
      </c>
      <c r="E372" s="1388" t="s">
        <v>757</v>
      </c>
      <c r="F372" s="1465">
        <v>2016</v>
      </c>
      <c r="G372" s="1388" t="s">
        <v>758</v>
      </c>
      <c r="H372" s="1463">
        <v>5042</v>
      </c>
      <c r="I372" s="1476">
        <f t="shared" ref="I372:I391" si="459">H372</f>
        <v>5042</v>
      </c>
      <c r="J372" s="1460"/>
      <c r="K372" s="1460"/>
      <c r="L372" s="1460"/>
      <c r="M372" s="1460"/>
      <c r="N372" s="1460">
        <v>4600</v>
      </c>
      <c r="O372" s="1460">
        <f t="shared" si="454"/>
        <v>4600</v>
      </c>
      <c r="P372" s="1460">
        <v>4600</v>
      </c>
      <c r="Q372" s="1460">
        <f t="shared" si="455"/>
        <v>4600</v>
      </c>
      <c r="R372" s="1454"/>
      <c r="S372" s="1454"/>
      <c r="T372" s="1460">
        <v>4600</v>
      </c>
      <c r="U372" s="1460">
        <f t="shared" si="456"/>
        <v>4600</v>
      </c>
      <c r="V372" s="1454"/>
      <c r="W372" s="1454"/>
      <c r="X372" s="1460">
        <v>4600</v>
      </c>
      <c r="Y372" s="1460">
        <f t="shared" si="457"/>
        <v>4600</v>
      </c>
      <c r="Z372" s="1460">
        <v>0</v>
      </c>
      <c r="AA372" s="1460">
        <v>0</v>
      </c>
      <c r="AB372" s="1460">
        <v>4600</v>
      </c>
      <c r="AC372" s="1460">
        <v>4600</v>
      </c>
      <c r="AD372" s="1460"/>
      <c r="AE372" s="1460"/>
      <c r="AF372" s="1383">
        <f t="shared" si="438"/>
        <v>4600</v>
      </c>
      <c r="AG372" s="1383">
        <f t="shared" si="439"/>
        <v>4600</v>
      </c>
      <c r="AH372" s="1383">
        <f t="shared" si="358"/>
        <v>4500</v>
      </c>
      <c r="AI372" s="1383">
        <v>4500</v>
      </c>
      <c r="AJ372" s="1383"/>
      <c r="AK372" s="1383"/>
      <c r="AL372" s="1383"/>
      <c r="AM372" s="1383"/>
      <c r="AN372" s="1388"/>
      <c r="AO372" s="1388">
        <v>400</v>
      </c>
      <c r="AP372" s="1431">
        <f t="shared" si="406"/>
        <v>0</v>
      </c>
      <c r="AQ372" s="1431">
        <f t="shared" si="458"/>
        <v>1</v>
      </c>
      <c r="AR372" s="1434">
        <f t="shared" si="408"/>
        <v>0</v>
      </c>
      <c r="AS372" s="1434"/>
      <c r="AT372" s="1427">
        <f t="shared" si="449"/>
        <v>1</v>
      </c>
      <c r="AV372" s="1427">
        <f t="shared" si="450"/>
        <v>0</v>
      </c>
      <c r="AW372" s="1427">
        <f t="shared" si="421"/>
        <v>0</v>
      </c>
      <c r="AX372" s="1427">
        <f t="shared" si="451"/>
        <v>0</v>
      </c>
      <c r="AY372" s="1427">
        <f t="shared" si="422"/>
        <v>0</v>
      </c>
      <c r="AZ372" s="1427">
        <f t="shared" si="452"/>
        <v>0</v>
      </c>
      <c r="BA372" s="1427">
        <f t="shared" si="423"/>
        <v>0</v>
      </c>
      <c r="BB372" s="1427">
        <f t="shared" si="453"/>
        <v>0</v>
      </c>
      <c r="BC372" s="1427">
        <f t="shared" si="424"/>
        <v>0</v>
      </c>
      <c r="BD372" s="1436">
        <f t="shared" si="436"/>
        <v>1</v>
      </c>
    </row>
    <row r="373" spans="1:56" ht="78" customHeight="1" x14ac:dyDescent="0.3">
      <c r="A373" s="1461" t="s">
        <v>3081</v>
      </c>
      <c r="B373" s="1457"/>
      <c r="C373" s="1442" t="s">
        <v>759</v>
      </c>
      <c r="D373" s="1465" t="s">
        <v>519</v>
      </c>
      <c r="E373" s="1388" t="s">
        <v>760</v>
      </c>
      <c r="F373" s="1465">
        <v>2016</v>
      </c>
      <c r="G373" s="1388" t="s">
        <v>761</v>
      </c>
      <c r="H373" s="1463">
        <v>5569</v>
      </c>
      <c r="I373" s="1476">
        <f t="shared" si="459"/>
        <v>5569</v>
      </c>
      <c r="J373" s="1460"/>
      <c r="K373" s="1460"/>
      <c r="L373" s="1460"/>
      <c r="M373" s="1460"/>
      <c r="N373" s="1460">
        <v>5100</v>
      </c>
      <c r="O373" s="1460">
        <f t="shared" si="454"/>
        <v>5100</v>
      </c>
      <c r="P373" s="1460">
        <v>5100</v>
      </c>
      <c r="Q373" s="1460">
        <f t="shared" si="455"/>
        <v>5100</v>
      </c>
      <c r="R373" s="1454"/>
      <c r="S373" s="1454"/>
      <c r="T373" s="1460">
        <v>5100</v>
      </c>
      <c r="U373" s="1460">
        <f t="shared" si="456"/>
        <v>5100</v>
      </c>
      <c r="V373" s="1454"/>
      <c r="W373" s="1454"/>
      <c r="X373" s="1460">
        <v>5100</v>
      </c>
      <c r="Y373" s="1460">
        <f t="shared" si="457"/>
        <v>5100</v>
      </c>
      <c r="Z373" s="1460">
        <v>0</v>
      </c>
      <c r="AA373" s="1460">
        <v>0</v>
      </c>
      <c r="AB373" s="1460">
        <v>5100</v>
      </c>
      <c r="AC373" s="1460">
        <v>5100</v>
      </c>
      <c r="AD373" s="1460"/>
      <c r="AE373" s="1460"/>
      <c r="AF373" s="1383">
        <f t="shared" si="438"/>
        <v>5100</v>
      </c>
      <c r="AG373" s="1383">
        <f t="shared" si="439"/>
        <v>5100</v>
      </c>
      <c r="AH373" s="1383">
        <f t="shared" ref="AH373:AH433" si="460">SUM(AI373:AM373)</f>
        <v>4800</v>
      </c>
      <c r="AI373" s="1383">
        <v>4800</v>
      </c>
      <c r="AJ373" s="1383"/>
      <c r="AK373" s="1383"/>
      <c r="AL373" s="1383"/>
      <c r="AM373" s="1383"/>
      <c r="AN373" s="1388"/>
      <c r="AO373" s="1388"/>
      <c r="AP373" s="1431">
        <f t="shared" si="406"/>
        <v>0</v>
      </c>
      <c r="AQ373" s="1431">
        <f t="shared" si="458"/>
        <v>1</v>
      </c>
      <c r="AR373" s="1434">
        <f t="shared" si="408"/>
        <v>0</v>
      </c>
      <c r="AS373" s="1434"/>
      <c r="AT373" s="1427">
        <f t="shared" si="449"/>
        <v>1</v>
      </c>
      <c r="AV373" s="1427">
        <f t="shared" si="450"/>
        <v>0</v>
      </c>
      <c r="AW373" s="1427">
        <f t="shared" si="421"/>
        <v>0</v>
      </c>
      <c r="AX373" s="1427">
        <f t="shared" si="451"/>
        <v>0</v>
      </c>
      <c r="AY373" s="1427">
        <f t="shared" si="422"/>
        <v>0</v>
      </c>
      <c r="AZ373" s="1427">
        <f t="shared" si="452"/>
        <v>0</v>
      </c>
      <c r="BA373" s="1427">
        <f t="shared" si="423"/>
        <v>0</v>
      </c>
      <c r="BB373" s="1427">
        <f t="shared" si="453"/>
        <v>0</v>
      </c>
      <c r="BC373" s="1427">
        <f t="shared" si="424"/>
        <v>0</v>
      </c>
      <c r="BD373" s="1436">
        <f t="shared" si="436"/>
        <v>1</v>
      </c>
    </row>
    <row r="374" spans="1:56" ht="78" customHeight="1" x14ac:dyDescent="0.3">
      <c r="A374" s="1461" t="s">
        <v>3082</v>
      </c>
      <c r="B374" s="1457"/>
      <c r="C374" s="1442" t="s">
        <v>762</v>
      </c>
      <c r="D374" s="1465" t="s">
        <v>146</v>
      </c>
      <c r="E374" s="1388" t="s">
        <v>763</v>
      </c>
      <c r="F374" s="1465">
        <v>2016</v>
      </c>
      <c r="G374" s="1484" t="s">
        <v>764</v>
      </c>
      <c r="H374" s="1463">
        <v>1628</v>
      </c>
      <c r="I374" s="1476">
        <f t="shared" si="459"/>
        <v>1628</v>
      </c>
      <c r="J374" s="1460"/>
      <c r="K374" s="1460"/>
      <c r="L374" s="1460"/>
      <c r="M374" s="1460"/>
      <c r="N374" s="1460">
        <v>1550</v>
      </c>
      <c r="O374" s="1460">
        <f t="shared" si="454"/>
        <v>1550</v>
      </c>
      <c r="P374" s="1460">
        <v>1550</v>
      </c>
      <c r="Q374" s="1460">
        <f t="shared" si="455"/>
        <v>1550</v>
      </c>
      <c r="R374" s="1454"/>
      <c r="S374" s="1454"/>
      <c r="T374" s="1460">
        <v>1550</v>
      </c>
      <c r="U374" s="1460">
        <f t="shared" si="456"/>
        <v>1550</v>
      </c>
      <c r="V374" s="1454"/>
      <c r="W374" s="1454"/>
      <c r="X374" s="1460">
        <v>1550</v>
      </c>
      <c r="Y374" s="1460">
        <f t="shared" si="457"/>
        <v>1550</v>
      </c>
      <c r="Z374" s="1460">
        <v>0</v>
      </c>
      <c r="AA374" s="1460">
        <v>0</v>
      </c>
      <c r="AB374" s="1460">
        <v>1550</v>
      </c>
      <c r="AC374" s="1460">
        <v>1550</v>
      </c>
      <c r="AD374" s="1460"/>
      <c r="AE374" s="1460"/>
      <c r="AF374" s="1383">
        <f t="shared" si="438"/>
        <v>1550</v>
      </c>
      <c r="AG374" s="1383">
        <f t="shared" si="439"/>
        <v>1550</v>
      </c>
      <c r="AH374" s="1383">
        <f t="shared" si="460"/>
        <v>1400</v>
      </c>
      <c r="AI374" s="1383">
        <v>1400</v>
      </c>
      <c r="AJ374" s="1383"/>
      <c r="AK374" s="1383"/>
      <c r="AL374" s="1383"/>
      <c r="AM374" s="1383"/>
      <c r="AN374" s="1388"/>
      <c r="AO374" s="1388"/>
      <c r="AP374" s="1431">
        <f t="shared" si="406"/>
        <v>0</v>
      </c>
      <c r="AQ374" s="1431">
        <f t="shared" si="458"/>
        <v>1</v>
      </c>
      <c r="AR374" s="1434">
        <f t="shared" si="408"/>
        <v>0</v>
      </c>
      <c r="AS374" s="1434"/>
      <c r="AT374" s="1427">
        <f t="shared" si="449"/>
        <v>1</v>
      </c>
      <c r="AV374" s="1427">
        <f t="shared" si="450"/>
        <v>0</v>
      </c>
      <c r="AW374" s="1427">
        <f t="shared" si="421"/>
        <v>0</v>
      </c>
      <c r="AX374" s="1427">
        <f t="shared" si="451"/>
        <v>0</v>
      </c>
      <c r="AY374" s="1427">
        <f t="shared" si="422"/>
        <v>0</v>
      </c>
      <c r="AZ374" s="1427">
        <f t="shared" si="452"/>
        <v>0</v>
      </c>
      <c r="BA374" s="1427">
        <f t="shared" si="423"/>
        <v>0</v>
      </c>
      <c r="BB374" s="1427">
        <f t="shared" si="453"/>
        <v>0</v>
      </c>
      <c r="BC374" s="1427">
        <f t="shared" si="424"/>
        <v>0</v>
      </c>
      <c r="BD374" s="1436">
        <f t="shared" si="436"/>
        <v>1</v>
      </c>
    </row>
    <row r="375" spans="1:56" ht="80.25" customHeight="1" x14ac:dyDescent="0.3">
      <c r="A375" s="1461" t="s">
        <v>3083</v>
      </c>
      <c r="B375" s="1457"/>
      <c r="C375" s="1442" t="s">
        <v>766</v>
      </c>
      <c r="D375" s="1465" t="s">
        <v>205</v>
      </c>
      <c r="E375" s="1388" t="s">
        <v>767</v>
      </c>
      <c r="F375" s="1465">
        <v>2016</v>
      </c>
      <c r="G375" s="1484" t="s">
        <v>768</v>
      </c>
      <c r="H375" s="1463">
        <v>1718</v>
      </c>
      <c r="I375" s="1476">
        <f t="shared" si="459"/>
        <v>1718</v>
      </c>
      <c r="J375" s="1460"/>
      <c r="K375" s="1460"/>
      <c r="L375" s="1460"/>
      <c r="M375" s="1460"/>
      <c r="N375" s="1460">
        <v>1640</v>
      </c>
      <c r="O375" s="1460">
        <f t="shared" si="454"/>
        <v>1640</v>
      </c>
      <c r="P375" s="1460">
        <v>1640</v>
      </c>
      <c r="Q375" s="1460">
        <f t="shared" si="455"/>
        <v>1640</v>
      </c>
      <c r="R375" s="1454"/>
      <c r="S375" s="1454"/>
      <c r="T375" s="1460">
        <v>1640</v>
      </c>
      <c r="U375" s="1460">
        <f t="shared" si="456"/>
        <v>1640</v>
      </c>
      <c r="V375" s="1454"/>
      <c r="W375" s="1454"/>
      <c r="X375" s="1460">
        <v>1640</v>
      </c>
      <c r="Y375" s="1460">
        <f t="shared" si="457"/>
        <v>1640</v>
      </c>
      <c r="Z375" s="1460">
        <v>0</v>
      </c>
      <c r="AA375" s="1460">
        <v>0</v>
      </c>
      <c r="AB375" s="1460">
        <v>1640</v>
      </c>
      <c r="AC375" s="1460">
        <v>1640</v>
      </c>
      <c r="AD375" s="1460"/>
      <c r="AE375" s="1460"/>
      <c r="AF375" s="1383">
        <f t="shared" si="438"/>
        <v>1640</v>
      </c>
      <c r="AG375" s="1383">
        <f t="shared" si="439"/>
        <v>1640</v>
      </c>
      <c r="AH375" s="1383">
        <f t="shared" si="460"/>
        <v>1400</v>
      </c>
      <c r="AI375" s="1383">
        <v>1400</v>
      </c>
      <c r="AJ375" s="1383"/>
      <c r="AK375" s="1383"/>
      <c r="AL375" s="1383"/>
      <c r="AM375" s="1383"/>
      <c r="AN375" s="1388"/>
      <c r="AO375" s="1388"/>
      <c r="AP375" s="1431">
        <f t="shared" si="406"/>
        <v>0</v>
      </c>
      <c r="AQ375" s="1431">
        <f t="shared" si="458"/>
        <v>1</v>
      </c>
      <c r="AR375" s="1434">
        <f t="shared" si="408"/>
        <v>0</v>
      </c>
      <c r="AS375" s="1434"/>
      <c r="AT375" s="1427">
        <f t="shared" si="449"/>
        <v>1</v>
      </c>
      <c r="AV375" s="1427">
        <f t="shared" si="450"/>
        <v>0</v>
      </c>
      <c r="AW375" s="1427">
        <f t="shared" si="421"/>
        <v>0</v>
      </c>
      <c r="AX375" s="1427">
        <f t="shared" si="451"/>
        <v>0</v>
      </c>
      <c r="AY375" s="1427">
        <f t="shared" si="422"/>
        <v>0</v>
      </c>
      <c r="AZ375" s="1427">
        <f t="shared" si="452"/>
        <v>0</v>
      </c>
      <c r="BA375" s="1427">
        <f t="shared" si="423"/>
        <v>0</v>
      </c>
      <c r="BB375" s="1427">
        <f t="shared" si="453"/>
        <v>0</v>
      </c>
      <c r="BC375" s="1427">
        <f t="shared" si="424"/>
        <v>0</v>
      </c>
      <c r="BD375" s="1436">
        <f t="shared" si="436"/>
        <v>1</v>
      </c>
    </row>
    <row r="376" spans="1:56" ht="68.25" customHeight="1" x14ac:dyDescent="0.3">
      <c r="A376" s="1461" t="s">
        <v>3084</v>
      </c>
      <c r="B376" s="1457"/>
      <c r="C376" s="1442" t="s">
        <v>769</v>
      </c>
      <c r="D376" s="1388" t="s">
        <v>336</v>
      </c>
      <c r="E376" s="1388" t="s">
        <v>770</v>
      </c>
      <c r="F376" s="1465" t="s">
        <v>199</v>
      </c>
      <c r="G376" s="1388" t="s">
        <v>771</v>
      </c>
      <c r="H376" s="1463">
        <v>13583</v>
      </c>
      <c r="I376" s="1476">
        <f t="shared" si="459"/>
        <v>13583</v>
      </c>
      <c r="J376" s="1460"/>
      <c r="K376" s="1460"/>
      <c r="L376" s="1460"/>
      <c r="M376" s="1460"/>
      <c r="N376" s="1460">
        <v>11530</v>
      </c>
      <c r="O376" s="1460">
        <f t="shared" si="454"/>
        <v>11530</v>
      </c>
      <c r="P376" s="1460">
        <v>11530</v>
      </c>
      <c r="Q376" s="1460">
        <f t="shared" si="455"/>
        <v>11530</v>
      </c>
      <c r="R376" s="1454"/>
      <c r="S376" s="1454"/>
      <c r="T376" s="1460">
        <v>11530</v>
      </c>
      <c r="U376" s="1460">
        <f t="shared" si="456"/>
        <v>11530</v>
      </c>
      <c r="V376" s="1454"/>
      <c r="W376" s="1454"/>
      <c r="X376" s="1460">
        <v>11530</v>
      </c>
      <c r="Y376" s="1460">
        <f t="shared" si="457"/>
        <v>11530</v>
      </c>
      <c r="Z376" s="1460">
        <v>0</v>
      </c>
      <c r="AA376" s="1460">
        <v>0</v>
      </c>
      <c r="AB376" s="1460">
        <v>11530</v>
      </c>
      <c r="AC376" s="1460">
        <v>11530</v>
      </c>
      <c r="AD376" s="1460"/>
      <c r="AE376" s="1460"/>
      <c r="AF376" s="1383">
        <f t="shared" si="438"/>
        <v>11530</v>
      </c>
      <c r="AG376" s="1383">
        <f t="shared" si="439"/>
        <v>11530</v>
      </c>
      <c r="AH376" s="1383">
        <f t="shared" si="460"/>
        <v>12000</v>
      </c>
      <c r="AI376" s="1383">
        <v>8000</v>
      </c>
      <c r="AJ376" s="1383">
        <v>4000</v>
      </c>
      <c r="AK376" s="1383"/>
      <c r="AL376" s="1383"/>
      <c r="AM376" s="1383"/>
      <c r="AN376" s="1464"/>
      <c r="AO376" s="1464">
        <v>1323</v>
      </c>
      <c r="AP376" s="1431">
        <f t="shared" si="406"/>
        <v>0</v>
      </c>
      <c r="AQ376" s="1431">
        <f t="shared" si="458"/>
        <v>1</v>
      </c>
      <c r="AR376" s="1434">
        <f t="shared" si="408"/>
        <v>0</v>
      </c>
      <c r="AS376" s="1434"/>
      <c r="AT376" s="1427">
        <f t="shared" si="449"/>
        <v>1</v>
      </c>
      <c r="AV376" s="1427">
        <f t="shared" si="450"/>
        <v>0</v>
      </c>
      <c r="AW376" s="1427">
        <f t="shared" si="421"/>
        <v>0</v>
      </c>
      <c r="AX376" s="1427">
        <f t="shared" si="451"/>
        <v>0</v>
      </c>
      <c r="AY376" s="1427">
        <f t="shared" si="422"/>
        <v>0</v>
      </c>
      <c r="AZ376" s="1427">
        <f t="shared" si="452"/>
        <v>0</v>
      </c>
      <c r="BA376" s="1427">
        <f t="shared" si="423"/>
        <v>0</v>
      </c>
      <c r="BB376" s="1427">
        <f t="shared" si="453"/>
        <v>0</v>
      </c>
      <c r="BC376" s="1427">
        <f t="shared" si="424"/>
        <v>0</v>
      </c>
      <c r="BD376" s="1436">
        <f t="shared" si="436"/>
        <v>1</v>
      </c>
    </row>
    <row r="377" spans="1:56" ht="61.5" customHeight="1" x14ac:dyDescent="0.3">
      <c r="A377" s="1461" t="s">
        <v>3085</v>
      </c>
      <c r="B377" s="1457"/>
      <c r="C377" s="1442" t="s">
        <v>772</v>
      </c>
      <c r="D377" s="1388" t="s">
        <v>336</v>
      </c>
      <c r="E377" s="1388" t="s">
        <v>773</v>
      </c>
      <c r="F377" s="1465">
        <v>2016</v>
      </c>
      <c r="G377" s="1388" t="s">
        <v>774</v>
      </c>
      <c r="H377" s="1463">
        <v>1139</v>
      </c>
      <c r="I377" s="1476">
        <f t="shared" si="459"/>
        <v>1139</v>
      </c>
      <c r="J377" s="1460"/>
      <c r="K377" s="1460"/>
      <c r="L377" s="1460"/>
      <c r="M377" s="1460"/>
      <c r="N377" s="1460">
        <v>980</v>
      </c>
      <c r="O377" s="1460">
        <f t="shared" si="454"/>
        <v>980</v>
      </c>
      <c r="P377" s="1460">
        <v>980</v>
      </c>
      <c r="Q377" s="1460">
        <f t="shared" si="455"/>
        <v>980</v>
      </c>
      <c r="R377" s="1454"/>
      <c r="S377" s="1454"/>
      <c r="T377" s="1460">
        <v>980</v>
      </c>
      <c r="U377" s="1460">
        <f t="shared" si="456"/>
        <v>980</v>
      </c>
      <c r="V377" s="1454"/>
      <c r="W377" s="1454"/>
      <c r="X377" s="1460">
        <v>980</v>
      </c>
      <c r="Y377" s="1460">
        <f t="shared" si="457"/>
        <v>980</v>
      </c>
      <c r="Z377" s="1460">
        <v>0</v>
      </c>
      <c r="AA377" s="1460">
        <v>0</v>
      </c>
      <c r="AB377" s="1460">
        <v>980</v>
      </c>
      <c r="AC377" s="1460">
        <v>980</v>
      </c>
      <c r="AD377" s="1460"/>
      <c r="AE377" s="1460"/>
      <c r="AF377" s="1383">
        <f t="shared" si="438"/>
        <v>980</v>
      </c>
      <c r="AG377" s="1383">
        <f t="shared" si="439"/>
        <v>980</v>
      </c>
      <c r="AH377" s="1383">
        <f t="shared" si="460"/>
        <v>900</v>
      </c>
      <c r="AI377" s="1383">
        <v>900</v>
      </c>
      <c r="AJ377" s="1383"/>
      <c r="AK377" s="1383"/>
      <c r="AL377" s="1383"/>
      <c r="AM377" s="1383"/>
      <c r="AN377" s="1464"/>
      <c r="AO377" s="1464"/>
      <c r="AP377" s="1431">
        <f t="shared" si="406"/>
        <v>0</v>
      </c>
      <c r="AQ377" s="1431">
        <f t="shared" si="458"/>
        <v>1</v>
      </c>
      <c r="AR377" s="1434">
        <f t="shared" si="408"/>
        <v>0</v>
      </c>
      <c r="AS377" s="1434"/>
      <c r="AT377" s="1427">
        <f t="shared" si="449"/>
        <v>1</v>
      </c>
      <c r="AV377" s="1427">
        <f t="shared" si="450"/>
        <v>0</v>
      </c>
      <c r="AW377" s="1427">
        <f t="shared" si="421"/>
        <v>0</v>
      </c>
      <c r="AX377" s="1427">
        <f t="shared" si="451"/>
        <v>0</v>
      </c>
      <c r="AY377" s="1427">
        <f t="shared" si="422"/>
        <v>0</v>
      </c>
      <c r="AZ377" s="1427">
        <f t="shared" si="452"/>
        <v>0</v>
      </c>
      <c r="BA377" s="1427">
        <f t="shared" si="423"/>
        <v>0</v>
      </c>
      <c r="BB377" s="1427">
        <f t="shared" si="453"/>
        <v>0</v>
      </c>
      <c r="BC377" s="1427">
        <f t="shared" si="424"/>
        <v>0</v>
      </c>
      <c r="BD377" s="1436">
        <f t="shared" si="436"/>
        <v>1</v>
      </c>
    </row>
    <row r="378" spans="1:56" ht="83.25" customHeight="1" x14ac:dyDescent="0.3">
      <c r="A378" s="1461" t="s">
        <v>3086</v>
      </c>
      <c r="B378" s="1457"/>
      <c r="C378" s="1442" t="s">
        <v>775</v>
      </c>
      <c r="D378" s="1388" t="s">
        <v>336</v>
      </c>
      <c r="E378" s="1388" t="s">
        <v>2704</v>
      </c>
      <c r="F378" s="1465" t="s">
        <v>97</v>
      </c>
      <c r="G378" s="1484" t="s">
        <v>776</v>
      </c>
      <c r="H378" s="1460">
        <v>11694</v>
      </c>
      <c r="I378" s="1476">
        <f t="shared" si="459"/>
        <v>11694</v>
      </c>
      <c r="J378" s="1460"/>
      <c r="K378" s="1460"/>
      <c r="L378" s="1460"/>
      <c r="M378" s="1460"/>
      <c r="N378" s="1460">
        <v>11100</v>
      </c>
      <c r="O378" s="1460">
        <f t="shared" si="454"/>
        <v>11100</v>
      </c>
      <c r="P378" s="1460">
        <v>11100</v>
      </c>
      <c r="Q378" s="1460">
        <f t="shared" si="455"/>
        <v>11100</v>
      </c>
      <c r="R378" s="1454"/>
      <c r="S378" s="1454"/>
      <c r="T378" s="1460">
        <v>11100</v>
      </c>
      <c r="U378" s="1460">
        <f t="shared" si="456"/>
        <v>11100</v>
      </c>
      <c r="V378" s="1454"/>
      <c r="W378" s="1454"/>
      <c r="X378" s="1460">
        <v>11100</v>
      </c>
      <c r="Y378" s="1460">
        <f t="shared" si="457"/>
        <v>11100</v>
      </c>
      <c r="Z378" s="1460">
        <v>0</v>
      </c>
      <c r="AA378" s="1460">
        <v>0</v>
      </c>
      <c r="AB378" s="1460">
        <v>11100</v>
      </c>
      <c r="AC378" s="1460">
        <v>11100</v>
      </c>
      <c r="AD378" s="1460"/>
      <c r="AE378" s="1460"/>
      <c r="AF378" s="1383">
        <f t="shared" si="438"/>
        <v>11100</v>
      </c>
      <c r="AG378" s="1383">
        <f t="shared" si="439"/>
        <v>11100</v>
      </c>
      <c r="AH378" s="1383">
        <f t="shared" si="460"/>
        <v>10460</v>
      </c>
      <c r="AI378" s="1383">
        <v>8000</v>
      </c>
      <c r="AJ378" s="1383">
        <v>2460</v>
      </c>
      <c r="AK378" s="1383"/>
      <c r="AL378" s="1383"/>
      <c r="AM378" s="1383"/>
      <c r="AN378" s="1464"/>
      <c r="AO378" s="1464">
        <v>178</v>
      </c>
      <c r="AP378" s="1431">
        <f t="shared" si="406"/>
        <v>0</v>
      </c>
      <c r="AQ378" s="1431">
        <f t="shared" si="458"/>
        <v>1</v>
      </c>
      <c r="AR378" s="1434">
        <f t="shared" si="408"/>
        <v>0</v>
      </c>
      <c r="AS378" s="1434"/>
      <c r="AT378" s="1427">
        <f t="shared" si="449"/>
        <v>1</v>
      </c>
      <c r="AV378" s="1427">
        <f t="shared" si="450"/>
        <v>0</v>
      </c>
      <c r="AW378" s="1427">
        <f t="shared" si="421"/>
        <v>0</v>
      </c>
      <c r="AX378" s="1427">
        <f t="shared" si="451"/>
        <v>0</v>
      </c>
      <c r="AY378" s="1427">
        <f t="shared" si="422"/>
        <v>0</v>
      </c>
      <c r="AZ378" s="1427">
        <f t="shared" si="452"/>
        <v>0</v>
      </c>
      <c r="BA378" s="1427">
        <f t="shared" si="423"/>
        <v>0</v>
      </c>
      <c r="BB378" s="1427">
        <f t="shared" si="453"/>
        <v>0</v>
      </c>
      <c r="BC378" s="1427">
        <f t="shared" si="424"/>
        <v>0</v>
      </c>
      <c r="BD378" s="1436">
        <f t="shared" si="436"/>
        <v>1</v>
      </c>
    </row>
    <row r="379" spans="1:56" ht="78" customHeight="1" x14ac:dyDescent="0.3">
      <c r="A379" s="1461" t="s">
        <v>3087</v>
      </c>
      <c r="B379" s="1457"/>
      <c r="C379" s="1442" t="s">
        <v>777</v>
      </c>
      <c r="D379" s="1388" t="s">
        <v>336</v>
      </c>
      <c r="E379" s="1388" t="s">
        <v>778</v>
      </c>
      <c r="F379" s="1465">
        <v>2016</v>
      </c>
      <c r="G379" s="1388" t="s">
        <v>779</v>
      </c>
      <c r="H379" s="1463">
        <v>2996</v>
      </c>
      <c r="I379" s="1476">
        <f t="shared" si="459"/>
        <v>2996</v>
      </c>
      <c r="J379" s="1460"/>
      <c r="K379" s="1460"/>
      <c r="L379" s="1460"/>
      <c r="M379" s="1460"/>
      <c r="N379" s="1460">
        <v>2850</v>
      </c>
      <c r="O379" s="1460">
        <f t="shared" si="454"/>
        <v>2850</v>
      </c>
      <c r="P379" s="1460">
        <f>Q379</f>
        <v>2923</v>
      </c>
      <c r="Q379" s="1460">
        <v>2923</v>
      </c>
      <c r="R379" s="1454">
        <f>T379-O379</f>
        <v>73</v>
      </c>
      <c r="S379" s="1454"/>
      <c r="T379" s="1460">
        <f>U379</f>
        <v>2923</v>
      </c>
      <c r="U379" s="1460">
        <v>2923</v>
      </c>
      <c r="V379" s="1454"/>
      <c r="W379" s="1454"/>
      <c r="X379" s="1460">
        <f>Y379</f>
        <v>2923</v>
      </c>
      <c r="Y379" s="1460">
        <v>2923</v>
      </c>
      <c r="Z379" s="1460">
        <v>0</v>
      </c>
      <c r="AA379" s="1460">
        <v>0</v>
      </c>
      <c r="AB379" s="1460">
        <v>2923</v>
      </c>
      <c r="AC379" s="1460">
        <v>2923</v>
      </c>
      <c r="AD379" s="1460"/>
      <c r="AE379" s="1460"/>
      <c r="AF379" s="1383">
        <f t="shared" si="438"/>
        <v>2923</v>
      </c>
      <c r="AG379" s="1383">
        <f t="shared" si="439"/>
        <v>2923</v>
      </c>
      <c r="AH379" s="1383">
        <f t="shared" si="460"/>
        <v>2600</v>
      </c>
      <c r="AI379" s="1383">
        <v>2600</v>
      </c>
      <c r="AJ379" s="1383"/>
      <c r="AK379" s="1383"/>
      <c r="AL379" s="1383"/>
      <c r="AM379" s="1383"/>
      <c r="AN379" s="1464"/>
      <c r="AO379" s="1464"/>
      <c r="AP379" s="1431">
        <f t="shared" si="406"/>
        <v>0</v>
      </c>
      <c r="AQ379" s="1431">
        <f t="shared" si="458"/>
        <v>1</v>
      </c>
      <c r="AR379" s="1434">
        <f t="shared" si="408"/>
        <v>0</v>
      </c>
      <c r="AS379" s="1434"/>
      <c r="AT379" s="1427">
        <f t="shared" si="449"/>
        <v>1</v>
      </c>
      <c r="AV379" s="1427">
        <f t="shared" si="450"/>
        <v>0</v>
      </c>
      <c r="AW379" s="1427">
        <f t="shared" si="421"/>
        <v>0</v>
      </c>
      <c r="AX379" s="1427">
        <f t="shared" si="451"/>
        <v>0</v>
      </c>
      <c r="AY379" s="1427">
        <f t="shared" si="422"/>
        <v>0</v>
      </c>
      <c r="AZ379" s="1427">
        <f t="shared" si="452"/>
        <v>1</v>
      </c>
      <c r="BA379" s="1427">
        <f t="shared" si="423"/>
        <v>73</v>
      </c>
      <c r="BB379" s="1427">
        <f t="shared" si="453"/>
        <v>0</v>
      </c>
      <c r="BC379" s="1427">
        <f t="shared" si="424"/>
        <v>0</v>
      </c>
      <c r="BD379" s="1436">
        <f t="shared" si="436"/>
        <v>1</v>
      </c>
    </row>
    <row r="380" spans="1:56" ht="135.75" customHeight="1" x14ac:dyDescent="0.3">
      <c r="A380" s="1461" t="s">
        <v>3088</v>
      </c>
      <c r="B380" s="1461" t="s">
        <v>3077</v>
      </c>
      <c r="C380" s="1442" t="s">
        <v>780</v>
      </c>
      <c r="D380" s="1388" t="s">
        <v>336</v>
      </c>
      <c r="E380" s="1388" t="s">
        <v>781</v>
      </c>
      <c r="F380" s="1465">
        <v>2016</v>
      </c>
      <c r="G380" s="1388" t="s">
        <v>782</v>
      </c>
      <c r="H380" s="1463">
        <v>2860</v>
      </c>
      <c r="I380" s="1476">
        <f t="shared" si="459"/>
        <v>2860</v>
      </c>
      <c r="J380" s="1460"/>
      <c r="K380" s="1460"/>
      <c r="L380" s="1460"/>
      <c r="M380" s="1460"/>
      <c r="N380" s="1460">
        <v>2590</v>
      </c>
      <c r="O380" s="1460">
        <f t="shared" si="454"/>
        <v>2590</v>
      </c>
      <c r="P380" s="1460">
        <v>2590</v>
      </c>
      <c r="Q380" s="1460">
        <f t="shared" si="455"/>
        <v>2590</v>
      </c>
      <c r="R380" s="1454"/>
      <c r="S380" s="1454"/>
      <c r="T380" s="1460">
        <v>2590</v>
      </c>
      <c r="U380" s="1460">
        <f t="shared" ref="U380:U391" si="461">T380</f>
        <v>2590</v>
      </c>
      <c r="V380" s="1454"/>
      <c r="W380" s="1454"/>
      <c r="X380" s="1460">
        <v>2590</v>
      </c>
      <c r="Y380" s="1460">
        <f t="shared" ref="Y380:Y391" si="462">X380</f>
        <v>2590</v>
      </c>
      <c r="Z380" s="1460">
        <v>0</v>
      </c>
      <c r="AA380" s="1460">
        <v>0</v>
      </c>
      <c r="AB380" s="1460">
        <v>2305</v>
      </c>
      <c r="AC380" s="1460">
        <v>2305</v>
      </c>
      <c r="AD380" s="1460"/>
      <c r="AE380" s="1525"/>
      <c r="AF380" s="1383">
        <f t="shared" si="438"/>
        <v>2305</v>
      </c>
      <c r="AG380" s="1383">
        <f t="shared" si="439"/>
        <v>2305</v>
      </c>
      <c r="AH380" s="1383">
        <f t="shared" si="460"/>
        <v>2250</v>
      </c>
      <c r="AI380" s="1383">
        <v>2250</v>
      </c>
      <c r="AJ380" s="1383"/>
      <c r="AK380" s="1383"/>
      <c r="AL380" s="1383"/>
      <c r="AM380" s="1383"/>
      <c r="AN380" s="1464"/>
      <c r="AO380" s="1464"/>
      <c r="AP380" s="1431">
        <f t="shared" si="406"/>
        <v>0</v>
      </c>
      <c r="AQ380" s="1431">
        <f t="shared" si="458"/>
        <v>1</v>
      </c>
      <c r="AR380" s="1434">
        <f t="shared" si="408"/>
        <v>0</v>
      </c>
      <c r="AS380" s="1434"/>
      <c r="AT380" s="1427">
        <f t="shared" si="449"/>
        <v>1</v>
      </c>
      <c r="AV380" s="1427">
        <f t="shared" si="450"/>
        <v>0</v>
      </c>
      <c r="AW380" s="1427">
        <f t="shared" si="421"/>
        <v>0</v>
      </c>
      <c r="AX380" s="1427">
        <f t="shared" si="451"/>
        <v>0</v>
      </c>
      <c r="AY380" s="1427">
        <f t="shared" si="422"/>
        <v>0</v>
      </c>
      <c r="AZ380" s="1427">
        <f t="shared" si="452"/>
        <v>0</v>
      </c>
      <c r="BA380" s="1427">
        <f t="shared" si="423"/>
        <v>0</v>
      </c>
      <c r="BB380" s="1427">
        <f t="shared" si="453"/>
        <v>0</v>
      </c>
      <c r="BC380" s="1427">
        <f t="shared" si="424"/>
        <v>0</v>
      </c>
      <c r="BD380" s="1436">
        <f t="shared" si="436"/>
        <v>1</v>
      </c>
    </row>
    <row r="381" spans="1:56" ht="62.25" customHeight="1" x14ac:dyDescent="0.3">
      <c r="A381" s="1461" t="s">
        <v>3089</v>
      </c>
      <c r="B381" s="1457"/>
      <c r="C381" s="1442" t="s">
        <v>783</v>
      </c>
      <c r="D381" s="1388" t="s">
        <v>336</v>
      </c>
      <c r="E381" s="1388" t="s">
        <v>784</v>
      </c>
      <c r="F381" s="1465">
        <v>2016</v>
      </c>
      <c r="G381" s="1388" t="s">
        <v>785</v>
      </c>
      <c r="H381" s="1463">
        <v>3296</v>
      </c>
      <c r="I381" s="1476">
        <f t="shared" si="459"/>
        <v>3296</v>
      </c>
      <c r="J381" s="1460"/>
      <c r="K381" s="1460"/>
      <c r="L381" s="1460"/>
      <c r="M381" s="1460"/>
      <c r="N381" s="1460">
        <v>3140</v>
      </c>
      <c r="O381" s="1460">
        <f t="shared" si="454"/>
        <v>3140</v>
      </c>
      <c r="P381" s="1460">
        <v>3140</v>
      </c>
      <c r="Q381" s="1460">
        <f t="shared" si="455"/>
        <v>3140</v>
      </c>
      <c r="R381" s="1454"/>
      <c r="S381" s="1454"/>
      <c r="T381" s="1460">
        <v>3140</v>
      </c>
      <c r="U381" s="1460">
        <f t="shared" si="461"/>
        <v>3140</v>
      </c>
      <c r="V381" s="1454"/>
      <c r="W381" s="1454"/>
      <c r="X381" s="1460">
        <v>3140</v>
      </c>
      <c r="Y381" s="1460">
        <f t="shared" si="462"/>
        <v>3140</v>
      </c>
      <c r="Z381" s="1460">
        <v>0</v>
      </c>
      <c r="AA381" s="1460">
        <v>0</v>
      </c>
      <c r="AB381" s="1460">
        <v>3140</v>
      </c>
      <c r="AC381" s="1460">
        <v>3140</v>
      </c>
      <c r="AD381" s="1460"/>
      <c r="AE381" s="1460"/>
      <c r="AF381" s="1383">
        <f t="shared" si="438"/>
        <v>3140</v>
      </c>
      <c r="AG381" s="1383">
        <f t="shared" si="439"/>
        <v>3140</v>
      </c>
      <c r="AH381" s="1383">
        <f t="shared" si="460"/>
        <v>3620</v>
      </c>
      <c r="AI381" s="1383">
        <v>3620</v>
      </c>
      <c r="AJ381" s="1383"/>
      <c r="AK381" s="1383"/>
      <c r="AL381" s="1383"/>
      <c r="AM381" s="1383"/>
      <c r="AN381" s="1464"/>
      <c r="AO381" s="1464"/>
      <c r="AP381" s="1431">
        <f t="shared" si="406"/>
        <v>0</v>
      </c>
      <c r="AQ381" s="1431">
        <f t="shared" si="458"/>
        <v>1</v>
      </c>
      <c r="AR381" s="1434">
        <f t="shared" si="408"/>
        <v>0</v>
      </c>
      <c r="AS381" s="1434"/>
      <c r="AT381" s="1427">
        <f t="shared" si="449"/>
        <v>1</v>
      </c>
      <c r="AV381" s="1427">
        <f t="shared" si="450"/>
        <v>0</v>
      </c>
      <c r="AW381" s="1427">
        <f t="shared" si="421"/>
        <v>0</v>
      </c>
      <c r="AX381" s="1427">
        <f t="shared" si="451"/>
        <v>0</v>
      </c>
      <c r="AY381" s="1427">
        <f t="shared" si="422"/>
        <v>0</v>
      </c>
      <c r="AZ381" s="1427">
        <f t="shared" si="452"/>
        <v>0</v>
      </c>
      <c r="BA381" s="1427">
        <f t="shared" si="423"/>
        <v>0</v>
      </c>
      <c r="BB381" s="1427">
        <f t="shared" si="453"/>
        <v>0</v>
      </c>
      <c r="BC381" s="1427">
        <f t="shared" si="424"/>
        <v>0</v>
      </c>
      <c r="BD381" s="1436">
        <f t="shared" si="436"/>
        <v>1</v>
      </c>
    </row>
    <row r="382" spans="1:56" ht="61.5" customHeight="1" x14ac:dyDescent="0.3">
      <c r="A382" s="1461" t="s">
        <v>3090</v>
      </c>
      <c r="B382" s="1457"/>
      <c r="C382" s="1442" t="s">
        <v>786</v>
      </c>
      <c r="D382" s="1388"/>
      <c r="E382" s="1388" t="s">
        <v>787</v>
      </c>
      <c r="F382" s="1465">
        <v>2016</v>
      </c>
      <c r="G382" s="1388" t="s">
        <v>788</v>
      </c>
      <c r="H382" s="1463">
        <v>1326</v>
      </c>
      <c r="I382" s="1476">
        <f t="shared" si="459"/>
        <v>1326</v>
      </c>
      <c r="J382" s="1460"/>
      <c r="K382" s="1460"/>
      <c r="L382" s="1460"/>
      <c r="M382" s="1460"/>
      <c r="N382" s="1460">
        <v>1260</v>
      </c>
      <c r="O382" s="1460">
        <f t="shared" si="454"/>
        <v>1260</v>
      </c>
      <c r="P382" s="1460">
        <v>1260</v>
      </c>
      <c r="Q382" s="1460">
        <f t="shared" si="455"/>
        <v>1260</v>
      </c>
      <c r="R382" s="1454"/>
      <c r="S382" s="1454"/>
      <c r="T382" s="1460">
        <v>1260</v>
      </c>
      <c r="U382" s="1460">
        <f t="shared" si="461"/>
        <v>1260</v>
      </c>
      <c r="V382" s="1454"/>
      <c r="W382" s="1454"/>
      <c r="X382" s="1460">
        <v>1260</v>
      </c>
      <c r="Y382" s="1460">
        <f t="shared" si="462"/>
        <v>1260</v>
      </c>
      <c r="Z382" s="1460">
        <v>0</v>
      </c>
      <c r="AA382" s="1460">
        <v>0</v>
      </c>
      <c r="AB382" s="1460">
        <v>1260</v>
      </c>
      <c r="AC382" s="1460">
        <v>1260</v>
      </c>
      <c r="AD382" s="1460"/>
      <c r="AE382" s="1460"/>
      <c r="AF382" s="1383">
        <f t="shared" si="438"/>
        <v>1260</v>
      </c>
      <c r="AG382" s="1383">
        <f t="shared" si="439"/>
        <v>1260</v>
      </c>
      <c r="AH382" s="1383">
        <f t="shared" si="460"/>
        <v>1000</v>
      </c>
      <c r="AI382" s="1383">
        <v>1000</v>
      </c>
      <c r="AJ382" s="1383"/>
      <c r="AK382" s="1383"/>
      <c r="AL382" s="1383"/>
      <c r="AM382" s="1383"/>
      <c r="AN382" s="1464"/>
      <c r="AO382" s="1464"/>
      <c r="AP382" s="1431">
        <f t="shared" si="406"/>
        <v>0</v>
      </c>
      <c r="AQ382" s="1431">
        <f t="shared" si="458"/>
        <v>1</v>
      </c>
      <c r="AR382" s="1434">
        <f t="shared" si="408"/>
        <v>0</v>
      </c>
      <c r="AS382" s="1434"/>
      <c r="AT382" s="1427">
        <f t="shared" si="449"/>
        <v>1</v>
      </c>
      <c r="AV382" s="1427">
        <f t="shared" si="450"/>
        <v>0</v>
      </c>
      <c r="AW382" s="1427">
        <f t="shared" si="421"/>
        <v>0</v>
      </c>
      <c r="AX382" s="1427">
        <f t="shared" si="451"/>
        <v>0</v>
      </c>
      <c r="AY382" s="1427">
        <f t="shared" si="422"/>
        <v>0</v>
      </c>
      <c r="AZ382" s="1427">
        <f t="shared" si="452"/>
        <v>0</v>
      </c>
      <c r="BA382" s="1427">
        <f t="shared" si="423"/>
        <v>0</v>
      </c>
      <c r="BB382" s="1427">
        <f t="shared" si="453"/>
        <v>0</v>
      </c>
      <c r="BC382" s="1427">
        <f t="shared" si="424"/>
        <v>0</v>
      </c>
      <c r="BD382" s="1436">
        <f t="shared" si="436"/>
        <v>1</v>
      </c>
    </row>
    <row r="383" spans="1:56" ht="60.75" customHeight="1" x14ac:dyDescent="0.3">
      <c r="A383" s="1461" t="s">
        <v>3091</v>
      </c>
      <c r="B383" s="1457"/>
      <c r="C383" s="1442" t="s">
        <v>789</v>
      </c>
      <c r="D383" s="1388"/>
      <c r="E383" s="1388" t="s">
        <v>787</v>
      </c>
      <c r="F383" s="1465">
        <v>2016</v>
      </c>
      <c r="G383" s="1388" t="s">
        <v>790</v>
      </c>
      <c r="H383" s="1463">
        <v>779</v>
      </c>
      <c r="I383" s="1476">
        <f t="shared" si="459"/>
        <v>779</v>
      </c>
      <c r="J383" s="1460"/>
      <c r="K383" s="1460"/>
      <c r="L383" s="1460"/>
      <c r="M383" s="1460"/>
      <c r="N383" s="1460">
        <v>740</v>
      </c>
      <c r="O383" s="1460">
        <f t="shared" si="454"/>
        <v>740</v>
      </c>
      <c r="P383" s="1460">
        <v>740</v>
      </c>
      <c r="Q383" s="1460">
        <f t="shared" si="455"/>
        <v>740</v>
      </c>
      <c r="R383" s="1454"/>
      <c r="S383" s="1454"/>
      <c r="T383" s="1460">
        <v>740</v>
      </c>
      <c r="U383" s="1460">
        <f t="shared" si="461"/>
        <v>740</v>
      </c>
      <c r="V383" s="1454"/>
      <c r="W383" s="1454"/>
      <c r="X383" s="1460">
        <v>740</v>
      </c>
      <c r="Y383" s="1460">
        <f t="shared" si="462"/>
        <v>740</v>
      </c>
      <c r="Z383" s="1460">
        <v>0</v>
      </c>
      <c r="AA383" s="1460">
        <v>0</v>
      </c>
      <c r="AB383" s="1460">
        <v>740</v>
      </c>
      <c r="AC383" s="1460">
        <v>740</v>
      </c>
      <c r="AD383" s="1460"/>
      <c r="AE383" s="1460"/>
      <c r="AF383" s="1383">
        <f t="shared" si="438"/>
        <v>740</v>
      </c>
      <c r="AG383" s="1383">
        <f t="shared" si="439"/>
        <v>740</v>
      </c>
      <c r="AH383" s="1383">
        <f t="shared" si="460"/>
        <v>500</v>
      </c>
      <c r="AI383" s="1383">
        <v>500</v>
      </c>
      <c r="AJ383" s="1383"/>
      <c r="AK383" s="1383"/>
      <c r="AL383" s="1383"/>
      <c r="AM383" s="1383"/>
      <c r="AN383" s="1464"/>
      <c r="AO383" s="1464"/>
      <c r="AP383" s="1431">
        <f t="shared" si="406"/>
        <v>0</v>
      </c>
      <c r="AQ383" s="1431">
        <f t="shared" si="458"/>
        <v>1</v>
      </c>
      <c r="AR383" s="1434">
        <f t="shared" si="408"/>
        <v>0</v>
      </c>
      <c r="AS383" s="1434"/>
      <c r="AT383" s="1427">
        <f t="shared" si="449"/>
        <v>1</v>
      </c>
      <c r="AV383" s="1427">
        <f t="shared" si="450"/>
        <v>0</v>
      </c>
      <c r="AW383" s="1427">
        <f t="shared" si="421"/>
        <v>0</v>
      </c>
      <c r="AX383" s="1427">
        <f t="shared" si="451"/>
        <v>0</v>
      </c>
      <c r="AY383" s="1427">
        <f t="shared" si="422"/>
        <v>0</v>
      </c>
      <c r="AZ383" s="1427">
        <f t="shared" si="452"/>
        <v>0</v>
      </c>
      <c r="BA383" s="1427">
        <f t="shared" si="423"/>
        <v>0</v>
      </c>
      <c r="BB383" s="1427">
        <f t="shared" si="453"/>
        <v>0</v>
      </c>
      <c r="BC383" s="1427">
        <f t="shared" si="424"/>
        <v>0</v>
      </c>
      <c r="BD383" s="1436">
        <f t="shared" si="436"/>
        <v>1</v>
      </c>
    </row>
    <row r="384" spans="1:56" ht="59.25" customHeight="1" x14ac:dyDescent="0.3">
      <c r="A384" s="1461" t="s">
        <v>3092</v>
      </c>
      <c r="B384" s="1457"/>
      <c r="C384" s="1442" t="s">
        <v>791</v>
      </c>
      <c r="D384" s="1388" t="s">
        <v>336</v>
      </c>
      <c r="E384" s="1388" t="s">
        <v>787</v>
      </c>
      <c r="F384" s="1465">
        <v>2016</v>
      </c>
      <c r="G384" s="1388" t="s">
        <v>792</v>
      </c>
      <c r="H384" s="1463">
        <v>2014</v>
      </c>
      <c r="I384" s="1476">
        <f t="shared" si="459"/>
        <v>2014</v>
      </c>
      <c r="J384" s="1460"/>
      <c r="K384" s="1460"/>
      <c r="L384" s="1460"/>
      <c r="M384" s="1460"/>
      <c r="N384" s="1460">
        <v>1920</v>
      </c>
      <c r="O384" s="1460">
        <f t="shared" si="454"/>
        <v>1920</v>
      </c>
      <c r="P384" s="1460">
        <v>1920</v>
      </c>
      <c r="Q384" s="1460">
        <f t="shared" si="455"/>
        <v>1920</v>
      </c>
      <c r="R384" s="1454"/>
      <c r="S384" s="1454"/>
      <c r="T384" s="1460">
        <v>1920</v>
      </c>
      <c r="U384" s="1460">
        <f t="shared" si="461"/>
        <v>1920</v>
      </c>
      <c r="V384" s="1454"/>
      <c r="W384" s="1454"/>
      <c r="X384" s="1460">
        <v>1920</v>
      </c>
      <c r="Y384" s="1460">
        <f t="shared" si="462"/>
        <v>1920</v>
      </c>
      <c r="Z384" s="1460">
        <v>0</v>
      </c>
      <c r="AA384" s="1460">
        <v>0</v>
      </c>
      <c r="AB384" s="1460">
        <v>1920</v>
      </c>
      <c r="AC384" s="1460">
        <v>1920</v>
      </c>
      <c r="AD384" s="1460"/>
      <c r="AE384" s="1460"/>
      <c r="AF384" s="1383">
        <f t="shared" si="438"/>
        <v>1920</v>
      </c>
      <c r="AG384" s="1383">
        <f t="shared" si="439"/>
        <v>1920</v>
      </c>
      <c r="AH384" s="1383">
        <f t="shared" si="460"/>
        <v>1450</v>
      </c>
      <c r="AI384" s="1383">
        <v>1450</v>
      </c>
      <c r="AJ384" s="1383"/>
      <c r="AK384" s="1383"/>
      <c r="AL384" s="1383"/>
      <c r="AM384" s="1383"/>
      <c r="AN384" s="1464"/>
      <c r="AO384" s="1464"/>
      <c r="AP384" s="1431">
        <f t="shared" si="406"/>
        <v>0</v>
      </c>
      <c r="AQ384" s="1431">
        <f t="shared" si="458"/>
        <v>1</v>
      </c>
      <c r="AR384" s="1434">
        <f t="shared" si="408"/>
        <v>0</v>
      </c>
      <c r="AS384" s="1434"/>
      <c r="AT384" s="1427">
        <f t="shared" si="449"/>
        <v>1</v>
      </c>
      <c r="AV384" s="1427">
        <f t="shared" si="450"/>
        <v>0</v>
      </c>
      <c r="AW384" s="1427">
        <f t="shared" si="421"/>
        <v>0</v>
      </c>
      <c r="AX384" s="1427">
        <f t="shared" si="451"/>
        <v>0</v>
      </c>
      <c r="AY384" s="1427">
        <f t="shared" si="422"/>
        <v>0</v>
      </c>
      <c r="AZ384" s="1427">
        <f t="shared" si="452"/>
        <v>0</v>
      </c>
      <c r="BA384" s="1427">
        <f t="shared" si="423"/>
        <v>0</v>
      </c>
      <c r="BB384" s="1427">
        <f t="shared" si="453"/>
        <v>0</v>
      </c>
      <c r="BC384" s="1427">
        <f t="shared" si="424"/>
        <v>0</v>
      </c>
      <c r="BD384" s="1436">
        <f t="shared" si="436"/>
        <v>1</v>
      </c>
    </row>
    <row r="385" spans="1:56" ht="60.75" customHeight="1" x14ac:dyDescent="0.3">
      <c r="A385" s="1461" t="s">
        <v>3093</v>
      </c>
      <c r="B385" s="1457"/>
      <c r="C385" s="1442" t="s">
        <v>793</v>
      </c>
      <c r="D385" s="1388" t="s">
        <v>336</v>
      </c>
      <c r="E385" s="1388" t="s">
        <v>794</v>
      </c>
      <c r="F385" s="1465">
        <v>2016</v>
      </c>
      <c r="G385" s="1388" t="s">
        <v>795</v>
      </c>
      <c r="H385" s="1463">
        <v>534</v>
      </c>
      <c r="I385" s="1476">
        <f t="shared" si="459"/>
        <v>534</v>
      </c>
      <c r="J385" s="1460"/>
      <c r="K385" s="1460"/>
      <c r="L385" s="1460"/>
      <c r="M385" s="1460"/>
      <c r="N385" s="1460">
        <v>530</v>
      </c>
      <c r="O385" s="1460">
        <f t="shared" si="454"/>
        <v>530</v>
      </c>
      <c r="P385" s="1460">
        <v>530</v>
      </c>
      <c r="Q385" s="1460">
        <f t="shared" si="455"/>
        <v>530</v>
      </c>
      <c r="R385" s="1454"/>
      <c r="S385" s="1454"/>
      <c r="T385" s="1460">
        <v>530</v>
      </c>
      <c r="U385" s="1460">
        <f t="shared" si="461"/>
        <v>530</v>
      </c>
      <c r="V385" s="1454"/>
      <c r="W385" s="1454"/>
      <c r="X385" s="1460">
        <v>530</v>
      </c>
      <c r="Y385" s="1460">
        <f t="shared" si="462"/>
        <v>530</v>
      </c>
      <c r="Z385" s="1460">
        <v>0</v>
      </c>
      <c r="AA385" s="1460">
        <v>0</v>
      </c>
      <c r="AB385" s="1460">
        <v>530</v>
      </c>
      <c r="AC385" s="1460">
        <v>530</v>
      </c>
      <c r="AD385" s="1460"/>
      <c r="AE385" s="1460"/>
      <c r="AF385" s="1383">
        <f t="shared" si="438"/>
        <v>530</v>
      </c>
      <c r="AG385" s="1383">
        <f t="shared" si="439"/>
        <v>530</v>
      </c>
      <c r="AH385" s="1383">
        <f t="shared" si="460"/>
        <v>400</v>
      </c>
      <c r="AI385" s="1383">
        <v>400</v>
      </c>
      <c r="AJ385" s="1383"/>
      <c r="AK385" s="1383"/>
      <c r="AL385" s="1383"/>
      <c r="AM385" s="1383"/>
      <c r="AN385" s="1464"/>
      <c r="AO385" s="1464"/>
      <c r="AP385" s="1431">
        <f t="shared" si="406"/>
        <v>0</v>
      </c>
      <c r="AQ385" s="1431">
        <f t="shared" si="458"/>
        <v>1</v>
      </c>
      <c r="AR385" s="1434">
        <f t="shared" si="408"/>
        <v>0</v>
      </c>
      <c r="AS385" s="1434"/>
      <c r="AT385" s="1427">
        <f t="shared" si="449"/>
        <v>1</v>
      </c>
      <c r="AV385" s="1427">
        <f t="shared" si="450"/>
        <v>0</v>
      </c>
      <c r="AW385" s="1427">
        <f t="shared" si="421"/>
        <v>0</v>
      </c>
      <c r="AX385" s="1427">
        <f t="shared" si="451"/>
        <v>0</v>
      </c>
      <c r="AY385" s="1427">
        <f t="shared" si="422"/>
        <v>0</v>
      </c>
      <c r="AZ385" s="1427">
        <f t="shared" si="452"/>
        <v>0</v>
      </c>
      <c r="BA385" s="1427">
        <f t="shared" si="423"/>
        <v>0</v>
      </c>
      <c r="BB385" s="1427">
        <f t="shared" si="453"/>
        <v>0</v>
      </c>
      <c r="BC385" s="1427">
        <f t="shared" si="424"/>
        <v>0</v>
      </c>
      <c r="BD385" s="1436">
        <f t="shared" si="436"/>
        <v>1</v>
      </c>
    </row>
    <row r="386" spans="1:56" ht="77.25" customHeight="1" x14ac:dyDescent="0.3">
      <c r="A386" s="1461" t="s">
        <v>3094</v>
      </c>
      <c r="B386" s="1457"/>
      <c r="C386" s="1442" t="s">
        <v>796</v>
      </c>
      <c r="D386" s="1388" t="s">
        <v>336</v>
      </c>
      <c r="E386" s="1388" t="s">
        <v>797</v>
      </c>
      <c r="F386" s="1465"/>
      <c r="G386" s="1388" t="s">
        <v>798</v>
      </c>
      <c r="H386" s="1463">
        <v>1566</v>
      </c>
      <c r="I386" s="1476">
        <f t="shared" si="459"/>
        <v>1566</v>
      </c>
      <c r="J386" s="1460"/>
      <c r="K386" s="1460"/>
      <c r="L386" s="1460"/>
      <c r="M386" s="1460"/>
      <c r="N386" s="1460">
        <v>1500</v>
      </c>
      <c r="O386" s="1460">
        <f t="shared" si="454"/>
        <v>1500</v>
      </c>
      <c r="P386" s="1460">
        <v>1500</v>
      </c>
      <c r="Q386" s="1460">
        <f t="shared" si="455"/>
        <v>1500</v>
      </c>
      <c r="R386" s="1454"/>
      <c r="S386" s="1454"/>
      <c r="T386" s="1460">
        <v>1500</v>
      </c>
      <c r="U386" s="1460">
        <f t="shared" si="461"/>
        <v>1500</v>
      </c>
      <c r="V386" s="1454"/>
      <c r="W386" s="1454"/>
      <c r="X386" s="1460">
        <v>1500</v>
      </c>
      <c r="Y386" s="1460">
        <f t="shared" si="462"/>
        <v>1500</v>
      </c>
      <c r="Z386" s="1460">
        <v>0</v>
      </c>
      <c r="AA386" s="1460">
        <v>0</v>
      </c>
      <c r="AB386" s="1460">
        <v>1500</v>
      </c>
      <c r="AC386" s="1460">
        <v>1500</v>
      </c>
      <c r="AD386" s="1460"/>
      <c r="AE386" s="1460"/>
      <c r="AF386" s="1383">
        <f t="shared" si="438"/>
        <v>1500</v>
      </c>
      <c r="AG386" s="1383">
        <f t="shared" si="439"/>
        <v>1500</v>
      </c>
      <c r="AH386" s="1383">
        <f t="shared" si="460"/>
        <v>1100</v>
      </c>
      <c r="AI386" s="1383">
        <v>1100</v>
      </c>
      <c r="AJ386" s="1383"/>
      <c r="AK386" s="1383"/>
      <c r="AL386" s="1383"/>
      <c r="AM386" s="1383"/>
      <c r="AN386" s="1464"/>
      <c r="AO386" s="1464"/>
      <c r="AP386" s="1431">
        <f t="shared" si="406"/>
        <v>0</v>
      </c>
      <c r="AQ386" s="1431">
        <f t="shared" si="458"/>
        <v>1</v>
      </c>
      <c r="AR386" s="1434">
        <f t="shared" si="408"/>
        <v>0</v>
      </c>
      <c r="AS386" s="1434"/>
      <c r="AT386" s="1427">
        <f t="shared" si="449"/>
        <v>1</v>
      </c>
      <c r="AV386" s="1427">
        <f t="shared" si="450"/>
        <v>0</v>
      </c>
      <c r="AW386" s="1427">
        <f t="shared" si="421"/>
        <v>0</v>
      </c>
      <c r="AX386" s="1427">
        <f t="shared" si="451"/>
        <v>0</v>
      </c>
      <c r="AY386" s="1427">
        <f t="shared" si="422"/>
        <v>0</v>
      </c>
      <c r="AZ386" s="1427">
        <f t="shared" si="452"/>
        <v>0</v>
      </c>
      <c r="BA386" s="1427">
        <f t="shared" si="423"/>
        <v>0</v>
      </c>
      <c r="BB386" s="1427">
        <f t="shared" si="453"/>
        <v>0</v>
      </c>
      <c r="BC386" s="1427">
        <f t="shared" si="424"/>
        <v>0</v>
      </c>
      <c r="BD386" s="1436">
        <f t="shared" si="436"/>
        <v>1</v>
      </c>
    </row>
    <row r="387" spans="1:56" ht="56.25" x14ac:dyDescent="0.3">
      <c r="A387" s="1461" t="s">
        <v>3095</v>
      </c>
      <c r="B387" s="1457"/>
      <c r="C387" s="1442" t="s">
        <v>799</v>
      </c>
      <c r="D387" s="1388" t="s">
        <v>336</v>
      </c>
      <c r="E387" s="1388" t="s">
        <v>787</v>
      </c>
      <c r="F387" s="1465">
        <v>2016</v>
      </c>
      <c r="G387" s="1388" t="s">
        <v>800</v>
      </c>
      <c r="H387" s="1463">
        <v>497</v>
      </c>
      <c r="I387" s="1476">
        <f t="shared" si="459"/>
        <v>497</v>
      </c>
      <c r="J387" s="1460"/>
      <c r="K387" s="1460"/>
      <c r="L387" s="1460"/>
      <c r="M387" s="1460"/>
      <c r="N387" s="1460">
        <v>480</v>
      </c>
      <c r="O387" s="1460">
        <f t="shared" si="454"/>
        <v>480</v>
      </c>
      <c r="P387" s="1460">
        <v>480</v>
      </c>
      <c r="Q387" s="1460">
        <f t="shared" si="455"/>
        <v>480</v>
      </c>
      <c r="R387" s="1454"/>
      <c r="S387" s="1454"/>
      <c r="T387" s="1460">
        <v>480</v>
      </c>
      <c r="U387" s="1460">
        <f t="shared" si="461"/>
        <v>480</v>
      </c>
      <c r="V387" s="1454"/>
      <c r="W387" s="1454"/>
      <c r="X387" s="1460">
        <v>480</v>
      </c>
      <c r="Y387" s="1460">
        <f t="shared" si="462"/>
        <v>480</v>
      </c>
      <c r="Z387" s="1460">
        <v>0</v>
      </c>
      <c r="AA387" s="1460">
        <v>0</v>
      </c>
      <c r="AB387" s="1460">
        <v>480</v>
      </c>
      <c r="AC387" s="1460">
        <v>480</v>
      </c>
      <c r="AD387" s="1460"/>
      <c r="AE387" s="1460"/>
      <c r="AF387" s="1383">
        <f t="shared" si="438"/>
        <v>480</v>
      </c>
      <c r="AG387" s="1383">
        <f t="shared" si="439"/>
        <v>480</v>
      </c>
      <c r="AH387" s="1383">
        <f t="shared" si="460"/>
        <v>350</v>
      </c>
      <c r="AI387" s="1383">
        <v>350</v>
      </c>
      <c r="AJ387" s="1383"/>
      <c r="AK387" s="1383"/>
      <c r="AL387" s="1383"/>
      <c r="AM387" s="1383"/>
      <c r="AN387" s="1464"/>
      <c r="AO387" s="1464"/>
      <c r="AP387" s="1431">
        <f t="shared" si="406"/>
        <v>0</v>
      </c>
      <c r="AQ387" s="1431">
        <f t="shared" si="458"/>
        <v>1</v>
      </c>
      <c r="AR387" s="1434">
        <f t="shared" si="408"/>
        <v>0</v>
      </c>
      <c r="AS387" s="1434"/>
      <c r="AT387" s="1427">
        <f t="shared" si="449"/>
        <v>1</v>
      </c>
      <c r="AV387" s="1427">
        <f t="shared" si="450"/>
        <v>0</v>
      </c>
      <c r="AW387" s="1427">
        <f t="shared" si="421"/>
        <v>0</v>
      </c>
      <c r="AX387" s="1427">
        <f t="shared" si="451"/>
        <v>0</v>
      </c>
      <c r="AY387" s="1427">
        <f t="shared" si="422"/>
        <v>0</v>
      </c>
      <c r="AZ387" s="1427">
        <f t="shared" si="452"/>
        <v>0</v>
      </c>
      <c r="BA387" s="1427">
        <f t="shared" si="423"/>
        <v>0</v>
      </c>
      <c r="BB387" s="1427">
        <f t="shared" si="453"/>
        <v>0</v>
      </c>
      <c r="BC387" s="1427">
        <f t="shared" si="424"/>
        <v>0</v>
      </c>
      <c r="BD387" s="1436">
        <f t="shared" si="436"/>
        <v>1</v>
      </c>
    </row>
    <row r="388" spans="1:56" ht="93" customHeight="1" x14ac:dyDescent="0.3">
      <c r="A388" s="1461" t="s">
        <v>3096</v>
      </c>
      <c r="B388" s="1457"/>
      <c r="C388" s="1442" t="s">
        <v>801</v>
      </c>
      <c r="D388" s="1388" t="s">
        <v>336</v>
      </c>
      <c r="E388" s="1388" t="s">
        <v>3472</v>
      </c>
      <c r="F388" s="1465">
        <v>2016</v>
      </c>
      <c r="G388" s="1388" t="s">
        <v>803</v>
      </c>
      <c r="H388" s="1463">
        <v>3392</v>
      </c>
      <c r="I388" s="1476">
        <f t="shared" si="459"/>
        <v>3392</v>
      </c>
      <c r="J388" s="1460"/>
      <c r="K388" s="1460"/>
      <c r="L388" s="1460"/>
      <c r="M388" s="1460"/>
      <c r="N388" s="1460">
        <v>3230</v>
      </c>
      <c r="O388" s="1460">
        <f t="shared" si="454"/>
        <v>3230</v>
      </c>
      <c r="P388" s="1460">
        <v>3230</v>
      </c>
      <c r="Q388" s="1460">
        <f t="shared" si="455"/>
        <v>3230</v>
      </c>
      <c r="R388" s="1454"/>
      <c r="S388" s="1454"/>
      <c r="T388" s="1460">
        <v>3230</v>
      </c>
      <c r="U388" s="1460">
        <f t="shared" si="461"/>
        <v>3230</v>
      </c>
      <c r="V388" s="1454"/>
      <c r="W388" s="1454"/>
      <c r="X388" s="1460">
        <v>3230</v>
      </c>
      <c r="Y388" s="1460">
        <f t="shared" si="462"/>
        <v>3230</v>
      </c>
      <c r="Z388" s="1460">
        <v>0</v>
      </c>
      <c r="AA388" s="1460">
        <v>0</v>
      </c>
      <c r="AB388" s="1460">
        <v>3230</v>
      </c>
      <c r="AC388" s="1460">
        <v>3230</v>
      </c>
      <c r="AD388" s="1460"/>
      <c r="AE388" s="1460"/>
      <c r="AF388" s="1383">
        <f t="shared" si="438"/>
        <v>3230</v>
      </c>
      <c r="AG388" s="1383">
        <f t="shared" si="439"/>
        <v>3230</v>
      </c>
      <c r="AH388" s="1383">
        <f t="shared" si="460"/>
        <v>3020</v>
      </c>
      <c r="AI388" s="1383">
        <v>3020</v>
      </c>
      <c r="AJ388" s="1383"/>
      <c r="AK388" s="1383"/>
      <c r="AL388" s="1383"/>
      <c r="AM388" s="1383"/>
      <c r="AN388" s="1464"/>
      <c r="AO388" s="1464"/>
      <c r="AP388" s="1431">
        <f t="shared" si="406"/>
        <v>0</v>
      </c>
      <c r="AQ388" s="1431">
        <f t="shared" si="458"/>
        <v>1</v>
      </c>
      <c r="AR388" s="1434">
        <f t="shared" si="408"/>
        <v>0</v>
      </c>
      <c r="AS388" s="1434"/>
      <c r="AT388" s="1427">
        <f t="shared" si="449"/>
        <v>1</v>
      </c>
      <c r="AV388" s="1427">
        <f t="shared" si="450"/>
        <v>0</v>
      </c>
      <c r="AW388" s="1427">
        <f t="shared" si="421"/>
        <v>0</v>
      </c>
      <c r="AX388" s="1427">
        <f t="shared" si="451"/>
        <v>0</v>
      </c>
      <c r="AY388" s="1427">
        <f t="shared" si="422"/>
        <v>0</v>
      </c>
      <c r="AZ388" s="1427">
        <f t="shared" si="452"/>
        <v>0</v>
      </c>
      <c r="BA388" s="1427">
        <f t="shared" si="423"/>
        <v>0</v>
      </c>
      <c r="BB388" s="1427">
        <f t="shared" si="453"/>
        <v>0</v>
      </c>
      <c r="BC388" s="1427">
        <f t="shared" si="424"/>
        <v>0</v>
      </c>
      <c r="BD388" s="1436">
        <f t="shared" si="436"/>
        <v>1</v>
      </c>
    </row>
    <row r="389" spans="1:56" ht="59.25" customHeight="1" x14ac:dyDescent="0.3">
      <c r="A389" s="1461" t="s">
        <v>3097</v>
      </c>
      <c r="B389" s="1457"/>
      <c r="C389" s="1442" t="s">
        <v>804</v>
      </c>
      <c r="D389" s="1388" t="s">
        <v>336</v>
      </c>
      <c r="E389" s="1388" t="s">
        <v>787</v>
      </c>
      <c r="F389" s="1465">
        <v>2016</v>
      </c>
      <c r="G389" s="1388" t="s">
        <v>805</v>
      </c>
      <c r="H389" s="1463">
        <v>2082</v>
      </c>
      <c r="I389" s="1476">
        <f t="shared" si="459"/>
        <v>2082</v>
      </c>
      <c r="J389" s="1460"/>
      <c r="K389" s="1460"/>
      <c r="L389" s="1460"/>
      <c r="M389" s="1460"/>
      <c r="N389" s="1460">
        <v>1980</v>
      </c>
      <c r="O389" s="1460">
        <f t="shared" si="454"/>
        <v>1980</v>
      </c>
      <c r="P389" s="1460">
        <v>1980</v>
      </c>
      <c r="Q389" s="1460">
        <f t="shared" si="455"/>
        <v>1980</v>
      </c>
      <c r="R389" s="1454"/>
      <c r="S389" s="1454"/>
      <c r="T389" s="1460">
        <v>1980</v>
      </c>
      <c r="U389" s="1460">
        <f t="shared" si="461"/>
        <v>1980</v>
      </c>
      <c r="V389" s="1454"/>
      <c r="W389" s="1454"/>
      <c r="X389" s="1460">
        <v>1980</v>
      </c>
      <c r="Y389" s="1460">
        <f t="shared" si="462"/>
        <v>1980</v>
      </c>
      <c r="Z389" s="1460">
        <v>0</v>
      </c>
      <c r="AA389" s="1460">
        <v>0</v>
      </c>
      <c r="AB389" s="1460">
        <v>1980</v>
      </c>
      <c r="AC389" s="1460">
        <v>1980</v>
      </c>
      <c r="AD389" s="1460"/>
      <c r="AE389" s="1460"/>
      <c r="AF389" s="1383">
        <f t="shared" si="438"/>
        <v>1980</v>
      </c>
      <c r="AG389" s="1383">
        <f t="shared" si="439"/>
        <v>1980</v>
      </c>
      <c r="AH389" s="1383">
        <f t="shared" si="460"/>
        <v>1600</v>
      </c>
      <c r="AI389" s="1383">
        <v>1600</v>
      </c>
      <c r="AJ389" s="1383"/>
      <c r="AK389" s="1383"/>
      <c r="AL389" s="1383"/>
      <c r="AM389" s="1383"/>
      <c r="AN389" s="1464"/>
      <c r="AO389" s="1464"/>
      <c r="AP389" s="1431">
        <f t="shared" si="406"/>
        <v>0</v>
      </c>
      <c r="AQ389" s="1431">
        <f t="shared" si="458"/>
        <v>1</v>
      </c>
      <c r="AR389" s="1434">
        <f t="shared" si="408"/>
        <v>0</v>
      </c>
      <c r="AS389" s="1434"/>
      <c r="AT389" s="1427">
        <f t="shared" si="449"/>
        <v>1</v>
      </c>
      <c r="AV389" s="1427">
        <f t="shared" si="450"/>
        <v>0</v>
      </c>
      <c r="AW389" s="1427">
        <f t="shared" ref="AW389:AW420" si="463">IF(AV389=1,O389,0)</f>
        <v>0</v>
      </c>
      <c r="AX389" s="1427">
        <f t="shared" si="451"/>
        <v>0</v>
      </c>
      <c r="AY389" s="1427">
        <f t="shared" ref="AY389:AY420" si="464">IF(AX389=1,Q389,0)</f>
        <v>0</v>
      </c>
      <c r="AZ389" s="1427">
        <f t="shared" si="452"/>
        <v>0</v>
      </c>
      <c r="BA389" s="1427">
        <f t="shared" ref="BA389:BA420" si="465">IF(AZ389=1,R389,0)</f>
        <v>0</v>
      </c>
      <c r="BB389" s="1427">
        <f t="shared" si="453"/>
        <v>0</v>
      </c>
      <c r="BC389" s="1427">
        <f t="shared" ref="BC389:BC405" si="466">IF(BB389=1,S389,0)</f>
        <v>0</v>
      </c>
      <c r="BD389" s="1436">
        <f t="shared" si="436"/>
        <v>1</v>
      </c>
    </row>
    <row r="390" spans="1:56" ht="59.25" customHeight="1" x14ac:dyDescent="0.3">
      <c r="A390" s="1461" t="s">
        <v>3098</v>
      </c>
      <c r="B390" s="1457"/>
      <c r="C390" s="1442" t="s">
        <v>806</v>
      </c>
      <c r="D390" s="1388" t="s">
        <v>336</v>
      </c>
      <c r="E390" s="1388" t="s">
        <v>787</v>
      </c>
      <c r="F390" s="1465">
        <v>2016</v>
      </c>
      <c r="G390" s="1388" t="s">
        <v>807</v>
      </c>
      <c r="H390" s="1463">
        <v>4980</v>
      </c>
      <c r="I390" s="1476">
        <f t="shared" si="459"/>
        <v>4980</v>
      </c>
      <c r="J390" s="1460"/>
      <c r="K390" s="1460"/>
      <c r="L390" s="1460"/>
      <c r="M390" s="1460"/>
      <c r="N390" s="1460">
        <v>3430</v>
      </c>
      <c r="O390" s="1460">
        <f t="shared" si="454"/>
        <v>3430</v>
      </c>
      <c r="P390" s="1460">
        <v>3430</v>
      </c>
      <c r="Q390" s="1460">
        <f t="shared" si="455"/>
        <v>3430</v>
      </c>
      <c r="R390" s="1454"/>
      <c r="S390" s="1454"/>
      <c r="T390" s="1460">
        <v>3430</v>
      </c>
      <c r="U390" s="1460">
        <f t="shared" si="461"/>
        <v>3430</v>
      </c>
      <c r="V390" s="1454"/>
      <c r="W390" s="1454"/>
      <c r="X390" s="1460">
        <v>3430</v>
      </c>
      <c r="Y390" s="1460">
        <f t="shared" si="462"/>
        <v>3430</v>
      </c>
      <c r="Z390" s="1460">
        <v>0</v>
      </c>
      <c r="AA390" s="1460">
        <v>0</v>
      </c>
      <c r="AB390" s="1460">
        <v>3430</v>
      </c>
      <c r="AC390" s="1460">
        <v>3430</v>
      </c>
      <c r="AD390" s="1460"/>
      <c r="AE390" s="1460"/>
      <c r="AF390" s="1383">
        <f t="shared" si="438"/>
        <v>3430</v>
      </c>
      <c r="AG390" s="1383">
        <f t="shared" si="439"/>
        <v>3430</v>
      </c>
      <c r="AH390" s="1383">
        <f t="shared" si="460"/>
        <v>3200</v>
      </c>
      <c r="AI390" s="1383">
        <v>3200</v>
      </c>
      <c r="AJ390" s="1383"/>
      <c r="AK390" s="1383"/>
      <c r="AL390" s="1383"/>
      <c r="AM390" s="1383"/>
      <c r="AN390" s="1464"/>
      <c r="AO390" s="1464"/>
      <c r="AP390" s="1431">
        <f t="shared" si="406"/>
        <v>0</v>
      </c>
      <c r="AQ390" s="1431">
        <f t="shared" si="458"/>
        <v>1</v>
      </c>
      <c r="AR390" s="1434">
        <f t="shared" si="408"/>
        <v>0</v>
      </c>
      <c r="AS390" s="1434"/>
      <c r="AT390" s="1427">
        <f t="shared" si="449"/>
        <v>1</v>
      </c>
      <c r="AV390" s="1427">
        <f t="shared" si="450"/>
        <v>0</v>
      </c>
      <c r="AW390" s="1427">
        <f t="shared" si="463"/>
        <v>0</v>
      </c>
      <c r="AX390" s="1427">
        <f t="shared" si="451"/>
        <v>0</v>
      </c>
      <c r="AY390" s="1427">
        <f t="shared" si="464"/>
        <v>0</v>
      </c>
      <c r="AZ390" s="1427">
        <f t="shared" si="452"/>
        <v>0</v>
      </c>
      <c r="BA390" s="1427">
        <f t="shared" si="465"/>
        <v>0</v>
      </c>
      <c r="BB390" s="1427">
        <f t="shared" si="453"/>
        <v>0</v>
      </c>
      <c r="BC390" s="1427">
        <f t="shared" si="466"/>
        <v>0</v>
      </c>
      <c r="BD390" s="1436">
        <f t="shared" si="436"/>
        <v>1</v>
      </c>
    </row>
    <row r="391" spans="1:56" ht="84" customHeight="1" x14ac:dyDescent="0.3">
      <c r="A391" s="1461" t="s">
        <v>3099</v>
      </c>
      <c r="B391" s="1457"/>
      <c r="C391" s="1442" t="s">
        <v>808</v>
      </c>
      <c r="D391" s="1388" t="s">
        <v>336</v>
      </c>
      <c r="E391" s="1388" t="s">
        <v>3471</v>
      </c>
      <c r="F391" s="1465">
        <v>2016</v>
      </c>
      <c r="G391" s="1388" t="s">
        <v>810</v>
      </c>
      <c r="H391" s="1463">
        <v>4228</v>
      </c>
      <c r="I391" s="1476">
        <f t="shared" si="459"/>
        <v>4228</v>
      </c>
      <c r="J391" s="1460"/>
      <c r="K391" s="1460"/>
      <c r="L391" s="1460"/>
      <c r="M391" s="1460"/>
      <c r="N391" s="1460">
        <v>4050</v>
      </c>
      <c r="O391" s="1460">
        <f t="shared" si="454"/>
        <v>4050</v>
      </c>
      <c r="P391" s="1460">
        <v>4050</v>
      </c>
      <c r="Q391" s="1460">
        <f t="shared" si="455"/>
        <v>4050</v>
      </c>
      <c r="R391" s="1454"/>
      <c r="S391" s="1454"/>
      <c r="T391" s="1460">
        <v>4050</v>
      </c>
      <c r="U391" s="1460">
        <f t="shared" si="461"/>
        <v>4050</v>
      </c>
      <c r="V391" s="1454"/>
      <c r="W391" s="1454"/>
      <c r="X391" s="1460">
        <v>4050</v>
      </c>
      <c r="Y391" s="1460">
        <f t="shared" si="462"/>
        <v>4050</v>
      </c>
      <c r="Z391" s="1460">
        <v>0</v>
      </c>
      <c r="AA391" s="1460">
        <v>0</v>
      </c>
      <c r="AB391" s="1460">
        <v>4050</v>
      </c>
      <c r="AC391" s="1460">
        <v>4050</v>
      </c>
      <c r="AD391" s="1460"/>
      <c r="AE391" s="1460"/>
      <c r="AF391" s="1383">
        <f t="shared" si="438"/>
        <v>4050</v>
      </c>
      <c r="AG391" s="1383">
        <f t="shared" si="439"/>
        <v>4050</v>
      </c>
      <c r="AH391" s="1383">
        <f t="shared" si="460"/>
        <v>4009</v>
      </c>
      <c r="AI391" s="1383">
        <v>4009</v>
      </c>
      <c r="AJ391" s="1383"/>
      <c r="AK391" s="1383"/>
      <c r="AL391" s="1383"/>
      <c r="AM391" s="1383"/>
      <c r="AN391" s="1464"/>
      <c r="AO391" s="1464"/>
      <c r="AP391" s="1431">
        <f t="shared" si="406"/>
        <v>0</v>
      </c>
      <c r="AQ391" s="1431">
        <f t="shared" si="458"/>
        <v>1</v>
      </c>
      <c r="AR391" s="1434">
        <f t="shared" si="408"/>
        <v>0</v>
      </c>
      <c r="AS391" s="1434"/>
      <c r="AT391" s="1427">
        <f t="shared" si="449"/>
        <v>1</v>
      </c>
      <c r="AV391" s="1427">
        <f t="shared" si="450"/>
        <v>0</v>
      </c>
      <c r="AW391" s="1427">
        <f t="shared" si="463"/>
        <v>0</v>
      </c>
      <c r="AX391" s="1427">
        <f t="shared" si="451"/>
        <v>0</v>
      </c>
      <c r="AY391" s="1427">
        <f t="shared" si="464"/>
        <v>0</v>
      </c>
      <c r="AZ391" s="1427">
        <f t="shared" si="452"/>
        <v>0</v>
      </c>
      <c r="BA391" s="1427">
        <f t="shared" si="465"/>
        <v>0</v>
      </c>
      <c r="BB391" s="1427">
        <f t="shared" si="453"/>
        <v>0</v>
      </c>
      <c r="BC391" s="1427">
        <f t="shared" si="466"/>
        <v>0</v>
      </c>
      <c r="BD391" s="1436">
        <f t="shared" si="436"/>
        <v>1</v>
      </c>
    </row>
    <row r="392" spans="1:56" ht="42" customHeight="1" x14ac:dyDescent="0.3">
      <c r="A392" s="1461" t="s">
        <v>3100</v>
      </c>
      <c r="B392" s="1457"/>
      <c r="C392" s="1458" t="s">
        <v>811</v>
      </c>
      <c r="D392" s="1388" t="s">
        <v>95</v>
      </c>
      <c r="E392" s="1465"/>
      <c r="F392" s="1465">
        <v>2017</v>
      </c>
      <c r="G392" s="1465"/>
      <c r="H392" s="1463">
        <v>10000</v>
      </c>
      <c r="I392" s="1463">
        <v>3000</v>
      </c>
      <c r="J392" s="1460"/>
      <c r="K392" s="1460"/>
      <c r="L392" s="1460"/>
      <c r="M392" s="1460"/>
      <c r="N392" s="1463">
        <v>3000</v>
      </c>
      <c r="O392" s="1463">
        <v>3000</v>
      </c>
      <c r="P392" s="1463">
        <v>3000</v>
      </c>
      <c r="Q392" s="1463">
        <v>3000</v>
      </c>
      <c r="R392" s="1454"/>
      <c r="S392" s="1454"/>
      <c r="T392" s="1463">
        <v>3000</v>
      </c>
      <c r="U392" s="1463">
        <v>3000</v>
      </c>
      <c r="V392" s="1454"/>
      <c r="W392" s="1454"/>
      <c r="X392" s="1463">
        <v>3000</v>
      </c>
      <c r="Y392" s="1463">
        <v>3000</v>
      </c>
      <c r="Z392" s="1460">
        <v>0</v>
      </c>
      <c r="AA392" s="1460">
        <v>0</v>
      </c>
      <c r="AB392" s="1460">
        <v>3000</v>
      </c>
      <c r="AC392" s="1460">
        <v>3000</v>
      </c>
      <c r="AD392" s="1460"/>
      <c r="AE392" s="1460"/>
      <c r="AF392" s="1383">
        <f t="shared" si="438"/>
        <v>3000</v>
      </c>
      <c r="AG392" s="1383">
        <f t="shared" si="439"/>
        <v>3000</v>
      </c>
      <c r="AH392" s="1383">
        <f t="shared" si="460"/>
        <v>3000</v>
      </c>
      <c r="AI392" s="1383"/>
      <c r="AJ392" s="1383">
        <v>3000</v>
      </c>
      <c r="AK392" s="1383"/>
      <c r="AL392" s="1383"/>
      <c r="AM392" s="1383"/>
      <c r="AN392" s="1504"/>
      <c r="AO392" s="1504"/>
      <c r="AP392" s="1431">
        <f t="shared" si="406"/>
        <v>0</v>
      </c>
      <c r="AQ392" s="1431">
        <f t="shared" si="458"/>
        <v>1</v>
      </c>
      <c r="AR392" s="1434">
        <f t="shared" si="408"/>
        <v>0</v>
      </c>
      <c r="AS392" s="1434"/>
      <c r="AT392" s="1427">
        <f t="shared" si="449"/>
        <v>1</v>
      </c>
      <c r="AV392" s="1427">
        <f t="shared" si="450"/>
        <v>0</v>
      </c>
      <c r="AW392" s="1427">
        <f t="shared" si="463"/>
        <v>0</v>
      </c>
      <c r="AX392" s="1427">
        <f t="shared" si="451"/>
        <v>0</v>
      </c>
      <c r="AY392" s="1427">
        <f t="shared" si="464"/>
        <v>0</v>
      </c>
      <c r="AZ392" s="1427">
        <f t="shared" si="452"/>
        <v>0</v>
      </c>
      <c r="BA392" s="1427">
        <f t="shared" si="465"/>
        <v>0</v>
      </c>
      <c r="BB392" s="1427">
        <f t="shared" si="453"/>
        <v>0</v>
      </c>
      <c r="BC392" s="1427">
        <f t="shared" si="466"/>
        <v>0</v>
      </c>
      <c r="BD392" s="1436">
        <f t="shared" si="436"/>
        <v>1</v>
      </c>
    </row>
    <row r="393" spans="1:56" ht="42.75" customHeight="1" x14ac:dyDescent="0.3">
      <c r="A393" s="1461" t="s">
        <v>3101</v>
      </c>
      <c r="B393" s="1457"/>
      <c r="C393" s="1458" t="s">
        <v>813</v>
      </c>
      <c r="D393" s="1388" t="s">
        <v>146</v>
      </c>
      <c r="E393" s="1465"/>
      <c r="F393" s="1465">
        <v>2017</v>
      </c>
      <c r="G393" s="1465"/>
      <c r="H393" s="1463">
        <v>10000</v>
      </c>
      <c r="I393" s="1463">
        <v>3000</v>
      </c>
      <c r="J393" s="1460"/>
      <c r="K393" s="1460"/>
      <c r="L393" s="1460"/>
      <c r="M393" s="1460"/>
      <c r="N393" s="1463">
        <v>3000</v>
      </c>
      <c r="O393" s="1463">
        <v>3000</v>
      </c>
      <c r="P393" s="1463">
        <v>3000</v>
      </c>
      <c r="Q393" s="1463">
        <v>3000</v>
      </c>
      <c r="R393" s="1454"/>
      <c r="S393" s="1454"/>
      <c r="T393" s="1463">
        <v>3000</v>
      </c>
      <c r="U393" s="1463">
        <v>3000</v>
      </c>
      <c r="V393" s="1454"/>
      <c r="W393" s="1454"/>
      <c r="X393" s="1463">
        <v>3000</v>
      </c>
      <c r="Y393" s="1463">
        <v>3000</v>
      </c>
      <c r="Z393" s="1460">
        <v>0</v>
      </c>
      <c r="AA393" s="1460">
        <v>0</v>
      </c>
      <c r="AB393" s="1460">
        <v>3000</v>
      </c>
      <c r="AC393" s="1460">
        <v>3000</v>
      </c>
      <c r="AD393" s="1460"/>
      <c r="AE393" s="1460"/>
      <c r="AF393" s="1383">
        <f t="shared" si="438"/>
        <v>3000</v>
      </c>
      <c r="AG393" s="1383">
        <f t="shared" si="439"/>
        <v>3000</v>
      </c>
      <c r="AH393" s="1383">
        <f t="shared" si="460"/>
        <v>3000</v>
      </c>
      <c r="AI393" s="1383"/>
      <c r="AJ393" s="1383">
        <v>3000</v>
      </c>
      <c r="AK393" s="1383"/>
      <c r="AL393" s="1383"/>
      <c r="AM393" s="1383"/>
      <c r="AN393" s="1504"/>
      <c r="AO393" s="1504"/>
      <c r="AP393" s="1431">
        <f t="shared" si="406"/>
        <v>0</v>
      </c>
      <c r="AQ393" s="1431">
        <f t="shared" si="458"/>
        <v>1</v>
      </c>
      <c r="AR393" s="1434">
        <f t="shared" si="408"/>
        <v>0</v>
      </c>
      <c r="AS393" s="1434"/>
      <c r="AT393" s="1427">
        <f t="shared" si="449"/>
        <v>1</v>
      </c>
      <c r="AV393" s="1427">
        <f t="shared" si="450"/>
        <v>0</v>
      </c>
      <c r="AW393" s="1427">
        <f t="shared" si="463"/>
        <v>0</v>
      </c>
      <c r="AX393" s="1427">
        <f t="shared" si="451"/>
        <v>0</v>
      </c>
      <c r="AY393" s="1427">
        <f t="shared" si="464"/>
        <v>0</v>
      </c>
      <c r="AZ393" s="1427">
        <f t="shared" si="452"/>
        <v>0</v>
      </c>
      <c r="BA393" s="1427">
        <f t="shared" si="465"/>
        <v>0</v>
      </c>
      <c r="BB393" s="1427">
        <f t="shared" si="453"/>
        <v>0</v>
      </c>
      <c r="BC393" s="1427">
        <f t="shared" si="466"/>
        <v>0</v>
      </c>
      <c r="BD393" s="1436">
        <f t="shared" si="436"/>
        <v>1</v>
      </c>
    </row>
    <row r="394" spans="1:56" ht="75" x14ac:dyDescent="0.3">
      <c r="A394" s="1461" t="s">
        <v>3102</v>
      </c>
      <c r="B394" s="1457"/>
      <c r="C394" s="1458" t="s">
        <v>814</v>
      </c>
      <c r="D394" s="1388" t="s">
        <v>336</v>
      </c>
      <c r="E394" s="1388" t="s">
        <v>815</v>
      </c>
      <c r="F394" s="1465">
        <v>2017</v>
      </c>
      <c r="G394" s="1388" t="s">
        <v>816</v>
      </c>
      <c r="H394" s="1463">
        <v>4834</v>
      </c>
      <c r="I394" s="1463">
        <v>4834</v>
      </c>
      <c r="J394" s="1460"/>
      <c r="K394" s="1460"/>
      <c r="L394" s="1460"/>
      <c r="M394" s="1460"/>
      <c r="N394" s="1463">
        <v>4500</v>
      </c>
      <c r="O394" s="1463">
        <v>4500</v>
      </c>
      <c r="P394" s="1463">
        <v>4500</v>
      </c>
      <c r="Q394" s="1463">
        <v>4500</v>
      </c>
      <c r="R394" s="1454"/>
      <c r="S394" s="1454"/>
      <c r="T394" s="1463">
        <v>4500</v>
      </c>
      <c r="U394" s="1463">
        <v>4500</v>
      </c>
      <c r="V394" s="1454"/>
      <c r="W394" s="1454"/>
      <c r="X394" s="1463">
        <v>4500</v>
      </c>
      <c r="Y394" s="1463">
        <v>4500</v>
      </c>
      <c r="Z394" s="1460">
        <v>0</v>
      </c>
      <c r="AA394" s="1460">
        <v>0</v>
      </c>
      <c r="AB394" s="1460">
        <v>4500</v>
      </c>
      <c r="AC394" s="1460">
        <v>4500</v>
      </c>
      <c r="AD394" s="1460"/>
      <c r="AE394" s="1460"/>
      <c r="AF394" s="1383">
        <f t="shared" si="438"/>
        <v>4500</v>
      </c>
      <c r="AG394" s="1383">
        <f t="shared" si="439"/>
        <v>4500</v>
      </c>
      <c r="AH394" s="1383">
        <f t="shared" si="460"/>
        <v>4000</v>
      </c>
      <c r="AI394" s="1383"/>
      <c r="AJ394" s="1383">
        <v>4000</v>
      </c>
      <c r="AK394" s="1383"/>
      <c r="AL394" s="1383"/>
      <c r="AM394" s="1383"/>
      <c r="AN394" s="1464"/>
      <c r="AO394" s="1464"/>
      <c r="AP394" s="1431">
        <f t="shared" si="406"/>
        <v>0</v>
      </c>
      <c r="AQ394" s="1431">
        <f t="shared" si="458"/>
        <v>1</v>
      </c>
      <c r="AR394" s="1434">
        <f t="shared" si="408"/>
        <v>0</v>
      </c>
      <c r="AS394" s="1434"/>
      <c r="AT394" s="1427">
        <f t="shared" si="449"/>
        <v>1</v>
      </c>
      <c r="AV394" s="1427">
        <f t="shared" si="450"/>
        <v>0</v>
      </c>
      <c r="AW394" s="1427">
        <f t="shared" si="463"/>
        <v>0</v>
      </c>
      <c r="AX394" s="1427">
        <f t="shared" si="451"/>
        <v>0</v>
      </c>
      <c r="AY394" s="1427">
        <f t="shared" si="464"/>
        <v>0</v>
      </c>
      <c r="AZ394" s="1427">
        <f t="shared" si="452"/>
        <v>0</v>
      </c>
      <c r="BA394" s="1427">
        <f t="shared" si="465"/>
        <v>0</v>
      </c>
      <c r="BB394" s="1427">
        <f t="shared" si="453"/>
        <v>0</v>
      </c>
      <c r="BC394" s="1427">
        <f t="shared" si="466"/>
        <v>0</v>
      </c>
      <c r="BD394" s="1436">
        <f t="shared" si="436"/>
        <v>1</v>
      </c>
    </row>
    <row r="395" spans="1:56" ht="75" x14ac:dyDescent="0.3">
      <c r="A395" s="1461" t="s">
        <v>3103</v>
      </c>
      <c r="B395" s="1457"/>
      <c r="C395" s="1458" t="s">
        <v>817</v>
      </c>
      <c r="D395" s="1388" t="s">
        <v>95</v>
      </c>
      <c r="E395" s="1388" t="s">
        <v>818</v>
      </c>
      <c r="F395" s="1465">
        <v>2017</v>
      </c>
      <c r="G395" s="1388" t="s">
        <v>819</v>
      </c>
      <c r="H395" s="1443">
        <v>4046</v>
      </c>
      <c r="I395" s="1443">
        <v>4046</v>
      </c>
      <c r="J395" s="1460"/>
      <c r="K395" s="1460"/>
      <c r="L395" s="1460"/>
      <c r="M395" s="1460"/>
      <c r="N395" s="1460">
        <v>3800</v>
      </c>
      <c r="O395" s="1460">
        <v>3800</v>
      </c>
      <c r="P395" s="1460">
        <v>3800</v>
      </c>
      <c r="Q395" s="1460">
        <v>3800</v>
      </c>
      <c r="R395" s="1454"/>
      <c r="S395" s="1454"/>
      <c r="T395" s="1460">
        <v>3800</v>
      </c>
      <c r="U395" s="1460">
        <v>3800</v>
      </c>
      <c r="V395" s="1454"/>
      <c r="W395" s="1454"/>
      <c r="X395" s="1460">
        <v>3800</v>
      </c>
      <c r="Y395" s="1460">
        <v>3800</v>
      </c>
      <c r="Z395" s="1460">
        <v>0</v>
      </c>
      <c r="AA395" s="1460">
        <v>0</v>
      </c>
      <c r="AB395" s="1460">
        <v>3800</v>
      </c>
      <c r="AC395" s="1460">
        <v>3800</v>
      </c>
      <c r="AD395" s="1460"/>
      <c r="AE395" s="1460"/>
      <c r="AF395" s="1383">
        <f t="shared" si="438"/>
        <v>3800</v>
      </c>
      <c r="AG395" s="1383">
        <f t="shared" si="439"/>
        <v>3800</v>
      </c>
      <c r="AH395" s="1383">
        <f t="shared" si="460"/>
        <v>3200</v>
      </c>
      <c r="AI395" s="1383"/>
      <c r="AJ395" s="1383">
        <v>3200</v>
      </c>
      <c r="AK395" s="1383"/>
      <c r="AL395" s="1383"/>
      <c r="AM395" s="1383"/>
      <c r="AN395" s="1464"/>
      <c r="AO395" s="1464"/>
      <c r="AP395" s="1431">
        <f t="shared" si="406"/>
        <v>0</v>
      </c>
      <c r="AQ395" s="1431">
        <f t="shared" si="458"/>
        <v>1</v>
      </c>
      <c r="AR395" s="1434">
        <f t="shared" si="408"/>
        <v>0</v>
      </c>
      <c r="AS395" s="1434"/>
      <c r="AT395" s="1427">
        <f t="shared" si="449"/>
        <v>1</v>
      </c>
      <c r="AV395" s="1427">
        <f t="shared" si="450"/>
        <v>0</v>
      </c>
      <c r="AW395" s="1427">
        <f t="shared" si="463"/>
        <v>0</v>
      </c>
      <c r="AX395" s="1427">
        <f t="shared" si="451"/>
        <v>0</v>
      </c>
      <c r="AY395" s="1427">
        <f t="shared" si="464"/>
        <v>0</v>
      </c>
      <c r="AZ395" s="1427">
        <f t="shared" si="452"/>
        <v>0</v>
      </c>
      <c r="BA395" s="1427">
        <f t="shared" si="465"/>
        <v>0</v>
      </c>
      <c r="BB395" s="1427">
        <f t="shared" si="453"/>
        <v>0</v>
      </c>
      <c r="BC395" s="1427">
        <f t="shared" si="466"/>
        <v>0</v>
      </c>
      <c r="BD395" s="1436">
        <f t="shared" ref="BD395:BD426" si="467">IF(I395-Y395&gt;=0,1,0)</f>
        <v>1</v>
      </c>
    </row>
    <row r="396" spans="1:56" ht="65.25" customHeight="1" x14ac:dyDescent="0.3">
      <c r="A396" s="1461" t="s">
        <v>3104</v>
      </c>
      <c r="B396" s="1457"/>
      <c r="C396" s="1458" t="s">
        <v>820</v>
      </c>
      <c r="D396" s="1388" t="s">
        <v>104</v>
      </c>
      <c r="E396" s="1388" t="s">
        <v>821</v>
      </c>
      <c r="F396" s="1465">
        <v>2017</v>
      </c>
      <c r="G396" s="1388" t="s">
        <v>822</v>
      </c>
      <c r="H396" s="1443">
        <v>2324</v>
      </c>
      <c r="I396" s="1443">
        <v>2324</v>
      </c>
      <c r="J396" s="1460"/>
      <c r="K396" s="1460"/>
      <c r="L396" s="1460"/>
      <c r="M396" s="1460"/>
      <c r="N396" s="1460">
        <v>2100</v>
      </c>
      <c r="O396" s="1460">
        <v>2100</v>
      </c>
      <c r="P396" s="1460">
        <v>2100</v>
      </c>
      <c r="Q396" s="1460">
        <v>2100</v>
      </c>
      <c r="R396" s="1454"/>
      <c r="S396" s="1454"/>
      <c r="T396" s="1460">
        <v>2100</v>
      </c>
      <c r="U396" s="1460">
        <v>2100</v>
      </c>
      <c r="V396" s="1454"/>
      <c r="W396" s="1454"/>
      <c r="X396" s="1460">
        <v>2100</v>
      </c>
      <c r="Y396" s="1460">
        <v>2100</v>
      </c>
      <c r="Z396" s="1460">
        <v>0</v>
      </c>
      <c r="AA396" s="1460">
        <v>0</v>
      </c>
      <c r="AB396" s="1460">
        <v>2100</v>
      </c>
      <c r="AC396" s="1460">
        <v>2100</v>
      </c>
      <c r="AD396" s="1460"/>
      <c r="AE396" s="1460"/>
      <c r="AF396" s="1383">
        <f t="shared" si="438"/>
        <v>2100</v>
      </c>
      <c r="AG396" s="1383">
        <f t="shared" si="439"/>
        <v>2100</v>
      </c>
      <c r="AH396" s="1383">
        <f t="shared" si="460"/>
        <v>2200</v>
      </c>
      <c r="AI396" s="1383"/>
      <c r="AJ396" s="1383">
        <v>2200</v>
      </c>
      <c r="AK396" s="1383"/>
      <c r="AL396" s="1383"/>
      <c r="AM396" s="1383"/>
      <c r="AN396" s="1464"/>
      <c r="AO396" s="1464">
        <v>85</v>
      </c>
      <c r="AP396" s="1431">
        <f t="shared" si="406"/>
        <v>0</v>
      </c>
      <c r="AQ396" s="1431">
        <f t="shared" si="458"/>
        <v>1</v>
      </c>
      <c r="AR396" s="1434">
        <f t="shared" si="408"/>
        <v>0</v>
      </c>
      <c r="AS396" s="1434"/>
      <c r="AT396" s="1427">
        <f t="shared" si="449"/>
        <v>1</v>
      </c>
      <c r="AV396" s="1427">
        <f t="shared" si="450"/>
        <v>0</v>
      </c>
      <c r="AW396" s="1427">
        <f t="shared" si="463"/>
        <v>0</v>
      </c>
      <c r="AX396" s="1427">
        <f t="shared" si="451"/>
        <v>0</v>
      </c>
      <c r="AY396" s="1427">
        <f t="shared" si="464"/>
        <v>0</v>
      </c>
      <c r="AZ396" s="1427">
        <f t="shared" si="452"/>
        <v>0</v>
      </c>
      <c r="BA396" s="1427">
        <f t="shared" si="465"/>
        <v>0</v>
      </c>
      <c r="BB396" s="1427">
        <f t="shared" si="453"/>
        <v>0</v>
      </c>
      <c r="BC396" s="1427">
        <f t="shared" si="466"/>
        <v>0</v>
      </c>
      <c r="BD396" s="1436">
        <f t="shared" si="467"/>
        <v>1</v>
      </c>
    </row>
    <row r="397" spans="1:56" ht="78" customHeight="1" x14ac:dyDescent="0.3">
      <c r="A397" s="1461" t="s">
        <v>3105</v>
      </c>
      <c r="B397" s="1457"/>
      <c r="C397" s="1442" t="s">
        <v>823</v>
      </c>
      <c r="D397" s="1388" t="s">
        <v>336</v>
      </c>
      <c r="E397" s="1388" t="s">
        <v>824</v>
      </c>
      <c r="F397" s="1465">
        <v>2017</v>
      </c>
      <c r="G397" s="1388" t="s">
        <v>825</v>
      </c>
      <c r="H397" s="1444">
        <v>1031</v>
      </c>
      <c r="I397" s="1444">
        <v>1031</v>
      </c>
      <c r="J397" s="1460"/>
      <c r="K397" s="1460"/>
      <c r="L397" s="1460"/>
      <c r="M397" s="1460"/>
      <c r="N397" s="1460">
        <v>980</v>
      </c>
      <c r="O397" s="1460">
        <v>980</v>
      </c>
      <c r="P397" s="1460">
        <v>980</v>
      </c>
      <c r="Q397" s="1460">
        <v>980</v>
      </c>
      <c r="R397" s="1454"/>
      <c r="S397" s="1454"/>
      <c r="T397" s="1460">
        <v>980</v>
      </c>
      <c r="U397" s="1460">
        <v>980</v>
      </c>
      <c r="V397" s="1454"/>
      <c r="W397" s="1454"/>
      <c r="X397" s="1460">
        <v>980</v>
      </c>
      <c r="Y397" s="1460">
        <v>980</v>
      </c>
      <c r="Z397" s="1460">
        <v>0</v>
      </c>
      <c r="AA397" s="1460">
        <v>0</v>
      </c>
      <c r="AB397" s="1460">
        <v>980</v>
      </c>
      <c r="AC397" s="1460">
        <v>980</v>
      </c>
      <c r="AD397" s="1460"/>
      <c r="AE397" s="1460"/>
      <c r="AF397" s="1383">
        <f t="shared" si="438"/>
        <v>980</v>
      </c>
      <c r="AG397" s="1383">
        <f t="shared" si="439"/>
        <v>980</v>
      </c>
      <c r="AH397" s="1383">
        <f t="shared" si="460"/>
        <v>800</v>
      </c>
      <c r="AI397" s="1383"/>
      <c r="AJ397" s="1383">
        <v>800</v>
      </c>
      <c r="AK397" s="1383"/>
      <c r="AL397" s="1383"/>
      <c r="AM397" s="1383"/>
      <c r="AN397" s="1464"/>
      <c r="AO397" s="1464">
        <v>170</v>
      </c>
      <c r="AP397" s="1431">
        <f t="shared" si="406"/>
        <v>0</v>
      </c>
      <c r="AQ397" s="1431">
        <f t="shared" si="458"/>
        <v>1</v>
      </c>
      <c r="AR397" s="1434">
        <f t="shared" si="408"/>
        <v>0</v>
      </c>
      <c r="AS397" s="1434"/>
      <c r="AT397" s="1427">
        <f t="shared" si="449"/>
        <v>1</v>
      </c>
      <c r="AV397" s="1427">
        <f t="shared" si="450"/>
        <v>0</v>
      </c>
      <c r="AW397" s="1427">
        <f t="shared" si="463"/>
        <v>0</v>
      </c>
      <c r="AX397" s="1427">
        <f t="shared" si="451"/>
        <v>0</v>
      </c>
      <c r="AY397" s="1427">
        <f t="shared" si="464"/>
        <v>0</v>
      </c>
      <c r="AZ397" s="1427">
        <f t="shared" si="452"/>
        <v>0</v>
      </c>
      <c r="BA397" s="1427">
        <f t="shared" si="465"/>
        <v>0</v>
      </c>
      <c r="BB397" s="1427">
        <f t="shared" si="453"/>
        <v>0</v>
      </c>
      <c r="BC397" s="1427">
        <f t="shared" si="466"/>
        <v>0</v>
      </c>
      <c r="BD397" s="1436">
        <f t="shared" si="467"/>
        <v>1</v>
      </c>
    </row>
    <row r="398" spans="1:56" ht="59.25" customHeight="1" x14ac:dyDescent="0.3">
      <c r="A398" s="1461" t="s">
        <v>3106</v>
      </c>
      <c r="B398" s="1457"/>
      <c r="C398" s="1458" t="s">
        <v>826</v>
      </c>
      <c r="D398" s="1388" t="s">
        <v>336</v>
      </c>
      <c r="E398" s="1388" t="s">
        <v>827</v>
      </c>
      <c r="F398" s="1465">
        <v>2017</v>
      </c>
      <c r="G398" s="1388" t="s">
        <v>828</v>
      </c>
      <c r="H398" s="1463">
        <v>873</v>
      </c>
      <c r="I398" s="1463">
        <v>873</v>
      </c>
      <c r="J398" s="1460"/>
      <c r="K398" s="1460"/>
      <c r="L398" s="1460"/>
      <c r="M398" s="1460"/>
      <c r="N398" s="1460">
        <v>830</v>
      </c>
      <c r="O398" s="1460">
        <v>830</v>
      </c>
      <c r="P398" s="1460">
        <v>830</v>
      </c>
      <c r="Q398" s="1460">
        <v>830</v>
      </c>
      <c r="R398" s="1454"/>
      <c r="S398" s="1454"/>
      <c r="T398" s="1460">
        <v>830</v>
      </c>
      <c r="U398" s="1460">
        <v>830</v>
      </c>
      <c r="V398" s="1454"/>
      <c r="W398" s="1454"/>
      <c r="X398" s="1460">
        <v>830</v>
      </c>
      <c r="Y398" s="1460">
        <v>830</v>
      </c>
      <c r="Z398" s="1460">
        <v>0</v>
      </c>
      <c r="AA398" s="1460">
        <v>0</v>
      </c>
      <c r="AB398" s="1460">
        <v>830</v>
      </c>
      <c r="AC398" s="1460">
        <v>830</v>
      </c>
      <c r="AD398" s="1460"/>
      <c r="AE398" s="1460"/>
      <c r="AF398" s="1383">
        <f t="shared" si="438"/>
        <v>830</v>
      </c>
      <c r="AG398" s="1383">
        <f t="shared" si="439"/>
        <v>830</v>
      </c>
      <c r="AH398" s="1383">
        <f t="shared" si="460"/>
        <v>700</v>
      </c>
      <c r="AI398" s="1383"/>
      <c r="AJ398" s="1383">
        <v>700</v>
      </c>
      <c r="AK398" s="1383"/>
      <c r="AL398" s="1383"/>
      <c r="AM398" s="1383"/>
      <c r="AN398" s="1464"/>
      <c r="AO398" s="1464"/>
      <c r="AP398" s="1431">
        <f t="shared" si="406"/>
        <v>0</v>
      </c>
      <c r="AQ398" s="1431">
        <f t="shared" si="458"/>
        <v>1</v>
      </c>
      <c r="AR398" s="1434">
        <f t="shared" si="408"/>
        <v>0</v>
      </c>
      <c r="AS398" s="1434"/>
      <c r="AT398" s="1427">
        <f t="shared" si="449"/>
        <v>1</v>
      </c>
      <c r="AV398" s="1427">
        <f t="shared" si="450"/>
        <v>0</v>
      </c>
      <c r="AW398" s="1427">
        <f t="shared" si="463"/>
        <v>0</v>
      </c>
      <c r="AX398" s="1427">
        <f t="shared" si="451"/>
        <v>0</v>
      </c>
      <c r="AY398" s="1427">
        <f t="shared" si="464"/>
        <v>0</v>
      </c>
      <c r="AZ398" s="1427">
        <f t="shared" si="452"/>
        <v>0</v>
      </c>
      <c r="BA398" s="1427">
        <f t="shared" si="465"/>
        <v>0</v>
      </c>
      <c r="BB398" s="1427">
        <f t="shared" si="453"/>
        <v>0</v>
      </c>
      <c r="BC398" s="1427">
        <f t="shared" si="466"/>
        <v>0</v>
      </c>
      <c r="BD398" s="1436">
        <f t="shared" si="467"/>
        <v>1</v>
      </c>
    </row>
    <row r="399" spans="1:56" ht="75" x14ac:dyDescent="0.3">
      <c r="A399" s="1461" t="s">
        <v>3107</v>
      </c>
      <c r="B399" s="1457"/>
      <c r="C399" s="1442" t="s">
        <v>829</v>
      </c>
      <c r="D399" s="1388" t="s">
        <v>95</v>
      </c>
      <c r="E399" s="1388" t="s">
        <v>830</v>
      </c>
      <c r="F399" s="1465">
        <v>2017</v>
      </c>
      <c r="G399" s="1388" t="s">
        <v>831</v>
      </c>
      <c r="H399" s="1444">
        <v>2885</v>
      </c>
      <c r="I399" s="1444">
        <v>2885</v>
      </c>
      <c r="J399" s="1460"/>
      <c r="K399" s="1460"/>
      <c r="L399" s="1460"/>
      <c r="M399" s="1460"/>
      <c r="N399" s="1460">
        <v>2700</v>
      </c>
      <c r="O399" s="1460">
        <v>2700</v>
      </c>
      <c r="P399" s="1460">
        <v>2700</v>
      </c>
      <c r="Q399" s="1460">
        <v>2700</v>
      </c>
      <c r="R399" s="1454"/>
      <c r="S399" s="1454"/>
      <c r="T399" s="1460">
        <v>2700</v>
      </c>
      <c r="U399" s="1460">
        <v>2700</v>
      </c>
      <c r="V399" s="1454"/>
      <c r="W399" s="1454"/>
      <c r="X399" s="1460">
        <v>2700</v>
      </c>
      <c r="Y399" s="1460">
        <v>2700</v>
      </c>
      <c r="Z399" s="1460">
        <v>0</v>
      </c>
      <c r="AA399" s="1460">
        <v>0</v>
      </c>
      <c r="AB399" s="1460">
        <v>2700</v>
      </c>
      <c r="AC399" s="1460">
        <v>2700</v>
      </c>
      <c r="AD399" s="1460"/>
      <c r="AE399" s="1460"/>
      <c r="AF399" s="1383">
        <f t="shared" si="438"/>
        <v>2700</v>
      </c>
      <c r="AG399" s="1383">
        <f t="shared" si="439"/>
        <v>2700</v>
      </c>
      <c r="AH399" s="1383">
        <f t="shared" si="460"/>
        <v>2209</v>
      </c>
      <c r="AI399" s="1383"/>
      <c r="AJ399" s="1383">
        <v>2209</v>
      </c>
      <c r="AK399" s="1383"/>
      <c r="AL399" s="1383"/>
      <c r="AM399" s="1383"/>
      <c r="AN399" s="1464"/>
      <c r="AO399" s="1464"/>
      <c r="AP399" s="1431">
        <f t="shared" si="406"/>
        <v>0</v>
      </c>
      <c r="AQ399" s="1431">
        <f t="shared" si="458"/>
        <v>1</v>
      </c>
      <c r="AR399" s="1434">
        <f t="shared" si="408"/>
        <v>0</v>
      </c>
      <c r="AS399" s="1434"/>
      <c r="AT399" s="1427">
        <f t="shared" si="449"/>
        <v>1</v>
      </c>
      <c r="AV399" s="1427">
        <f t="shared" si="450"/>
        <v>0</v>
      </c>
      <c r="AW399" s="1427">
        <f t="shared" si="463"/>
        <v>0</v>
      </c>
      <c r="AX399" s="1427">
        <f t="shared" si="451"/>
        <v>0</v>
      </c>
      <c r="AY399" s="1427">
        <f t="shared" si="464"/>
        <v>0</v>
      </c>
      <c r="AZ399" s="1427">
        <f t="shared" si="452"/>
        <v>0</v>
      </c>
      <c r="BA399" s="1427">
        <f t="shared" si="465"/>
        <v>0</v>
      </c>
      <c r="BB399" s="1427">
        <f t="shared" si="453"/>
        <v>0</v>
      </c>
      <c r="BC399" s="1427">
        <f t="shared" si="466"/>
        <v>0</v>
      </c>
      <c r="BD399" s="1436">
        <f t="shared" si="467"/>
        <v>1</v>
      </c>
    </row>
    <row r="400" spans="1:56" ht="75" x14ac:dyDescent="0.3">
      <c r="A400" s="1461" t="s">
        <v>3108</v>
      </c>
      <c r="B400" s="1457"/>
      <c r="C400" s="1442" t="s">
        <v>832</v>
      </c>
      <c r="D400" s="1388" t="s">
        <v>205</v>
      </c>
      <c r="E400" s="1388" t="s">
        <v>833</v>
      </c>
      <c r="F400" s="1465">
        <v>2017</v>
      </c>
      <c r="G400" s="1388" t="s">
        <v>834</v>
      </c>
      <c r="H400" s="1444">
        <v>3083</v>
      </c>
      <c r="I400" s="1444">
        <v>3083</v>
      </c>
      <c r="J400" s="1460"/>
      <c r="K400" s="1460"/>
      <c r="L400" s="1460"/>
      <c r="M400" s="1460"/>
      <c r="N400" s="1460">
        <v>3000</v>
      </c>
      <c r="O400" s="1460">
        <v>3000</v>
      </c>
      <c r="P400" s="1460">
        <v>3000</v>
      </c>
      <c r="Q400" s="1460">
        <v>3000</v>
      </c>
      <c r="R400" s="1454"/>
      <c r="S400" s="1454"/>
      <c r="T400" s="1460">
        <v>3000</v>
      </c>
      <c r="U400" s="1460">
        <v>3000</v>
      </c>
      <c r="V400" s="1454"/>
      <c r="W400" s="1454"/>
      <c r="X400" s="1460">
        <v>3000</v>
      </c>
      <c r="Y400" s="1460">
        <v>3000</v>
      </c>
      <c r="Z400" s="1460">
        <v>0</v>
      </c>
      <c r="AA400" s="1460">
        <v>0</v>
      </c>
      <c r="AB400" s="1460">
        <v>3000</v>
      </c>
      <c r="AC400" s="1460">
        <v>3000</v>
      </c>
      <c r="AD400" s="1460"/>
      <c r="AE400" s="1460"/>
      <c r="AF400" s="1383">
        <f t="shared" si="438"/>
        <v>3000</v>
      </c>
      <c r="AG400" s="1383">
        <f t="shared" si="439"/>
        <v>3000</v>
      </c>
      <c r="AH400" s="1383">
        <f t="shared" si="460"/>
        <v>2500</v>
      </c>
      <c r="AI400" s="1383"/>
      <c r="AJ400" s="1383">
        <v>2500</v>
      </c>
      <c r="AK400" s="1383"/>
      <c r="AL400" s="1383"/>
      <c r="AM400" s="1383"/>
      <c r="AN400" s="1464"/>
      <c r="AO400" s="1464"/>
      <c r="AP400" s="1431">
        <f t="shared" si="406"/>
        <v>0</v>
      </c>
      <c r="AQ400" s="1431">
        <f t="shared" si="458"/>
        <v>1</v>
      </c>
      <c r="AR400" s="1434">
        <f t="shared" si="408"/>
        <v>0</v>
      </c>
      <c r="AS400" s="1434"/>
      <c r="AT400" s="1427">
        <f t="shared" si="449"/>
        <v>1</v>
      </c>
      <c r="AV400" s="1427">
        <f t="shared" si="450"/>
        <v>0</v>
      </c>
      <c r="AW400" s="1427">
        <f t="shared" si="463"/>
        <v>0</v>
      </c>
      <c r="AX400" s="1427">
        <f t="shared" si="451"/>
        <v>0</v>
      </c>
      <c r="AY400" s="1427">
        <f t="shared" si="464"/>
        <v>0</v>
      </c>
      <c r="AZ400" s="1427">
        <f t="shared" si="452"/>
        <v>0</v>
      </c>
      <c r="BA400" s="1427">
        <f t="shared" si="465"/>
        <v>0</v>
      </c>
      <c r="BB400" s="1427">
        <f t="shared" si="453"/>
        <v>0</v>
      </c>
      <c r="BC400" s="1427">
        <f t="shared" si="466"/>
        <v>0</v>
      </c>
      <c r="BD400" s="1436">
        <f t="shared" si="467"/>
        <v>1</v>
      </c>
    </row>
    <row r="401" spans="1:56" ht="60.75" customHeight="1" x14ac:dyDescent="0.3">
      <c r="A401" s="1461" t="s">
        <v>3109</v>
      </c>
      <c r="B401" s="1457"/>
      <c r="C401" s="1442" t="s">
        <v>835</v>
      </c>
      <c r="D401" s="1388" t="s">
        <v>146</v>
      </c>
      <c r="E401" s="1388" t="s">
        <v>836</v>
      </c>
      <c r="F401" s="1465">
        <v>2017</v>
      </c>
      <c r="G401" s="1388" t="s">
        <v>837</v>
      </c>
      <c r="H401" s="1444">
        <v>3349</v>
      </c>
      <c r="I401" s="1444">
        <v>3349</v>
      </c>
      <c r="J401" s="1460"/>
      <c r="K401" s="1460"/>
      <c r="L401" s="1460"/>
      <c r="M401" s="1460"/>
      <c r="N401" s="1460">
        <v>3200</v>
      </c>
      <c r="O401" s="1460">
        <v>3200</v>
      </c>
      <c r="P401" s="1460">
        <v>3200</v>
      </c>
      <c r="Q401" s="1460">
        <v>3200</v>
      </c>
      <c r="R401" s="1454"/>
      <c r="S401" s="1454"/>
      <c r="T401" s="1460">
        <v>3200</v>
      </c>
      <c r="U401" s="1460">
        <v>3200</v>
      </c>
      <c r="V401" s="1454"/>
      <c r="W401" s="1454"/>
      <c r="X401" s="1460">
        <v>3200</v>
      </c>
      <c r="Y401" s="1460">
        <v>3200</v>
      </c>
      <c r="Z401" s="1460">
        <v>0</v>
      </c>
      <c r="AA401" s="1460">
        <v>0</v>
      </c>
      <c r="AB401" s="1460">
        <v>3200</v>
      </c>
      <c r="AC401" s="1460">
        <v>3200</v>
      </c>
      <c r="AD401" s="1460"/>
      <c r="AE401" s="1460"/>
      <c r="AF401" s="1383">
        <f t="shared" si="438"/>
        <v>3200</v>
      </c>
      <c r="AG401" s="1383">
        <f t="shared" si="439"/>
        <v>3200</v>
      </c>
      <c r="AH401" s="1383">
        <f t="shared" si="460"/>
        <v>2500</v>
      </c>
      <c r="AI401" s="1383"/>
      <c r="AJ401" s="1383">
        <v>2500</v>
      </c>
      <c r="AK401" s="1383"/>
      <c r="AL401" s="1383"/>
      <c r="AM401" s="1383"/>
      <c r="AN401" s="1464"/>
      <c r="AO401" s="1464"/>
      <c r="AP401" s="1431">
        <f t="shared" si="406"/>
        <v>0</v>
      </c>
      <c r="AQ401" s="1431">
        <f t="shared" si="458"/>
        <v>1</v>
      </c>
      <c r="AR401" s="1434">
        <f t="shared" si="408"/>
        <v>0</v>
      </c>
      <c r="AS401" s="1434"/>
      <c r="AT401" s="1427">
        <f t="shared" si="449"/>
        <v>1</v>
      </c>
      <c r="AV401" s="1427">
        <f t="shared" ref="AV401:AV421" si="468">IF(Q401=0,1,0)</f>
        <v>0</v>
      </c>
      <c r="AW401" s="1427">
        <f t="shared" si="463"/>
        <v>0</v>
      </c>
      <c r="AX401" s="1427">
        <f t="shared" ref="AX401:AX421" si="469">IF(O401=0,1,0)</f>
        <v>0</v>
      </c>
      <c r="AY401" s="1427">
        <f t="shared" si="464"/>
        <v>0</v>
      </c>
      <c r="AZ401" s="1427">
        <f t="shared" ref="AZ401:AZ420" si="470">IF(R401=0,0,1)</f>
        <v>0</v>
      </c>
      <c r="BA401" s="1427">
        <f t="shared" si="465"/>
        <v>0</v>
      </c>
      <c r="BB401" s="1427">
        <f t="shared" si="453"/>
        <v>0</v>
      </c>
      <c r="BC401" s="1427">
        <f t="shared" si="466"/>
        <v>0</v>
      </c>
      <c r="BD401" s="1436">
        <f t="shared" si="467"/>
        <v>1</v>
      </c>
    </row>
    <row r="402" spans="1:56" ht="79.5" customHeight="1" x14ac:dyDescent="0.3">
      <c r="A402" s="1461" t="s">
        <v>3110</v>
      </c>
      <c r="B402" s="1457"/>
      <c r="C402" s="1442" t="s">
        <v>838</v>
      </c>
      <c r="D402" s="1388" t="s">
        <v>194</v>
      </c>
      <c r="E402" s="1388" t="s">
        <v>839</v>
      </c>
      <c r="F402" s="1465">
        <v>2017</v>
      </c>
      <c r="G402" s="1388" t="s">
        <v>840</v>
      </c>
      <c r="H402" s="1444">
        <v>2958</v>
      </c>
      <c r="I402" s="1444">
        <v>2958</v>
      </c>
      <c r="J402" s="1460"/>
      <c r="K402" s="1460"/>
      <c r="L402" s="1460"/>
      <c r="M402" s="1460"/>
      <c r="N402" s="1460">
        <v>2800</v>
      </c>
      <c r="O402" s="1460">
        <v>2800</v>
      </c>
      <c r="P402" s="1460">
        <v>2800</v>
      </c>
      <c r="Q402" s="1460">
        <v>2800</v>
      </c>
      <c r="R402" s="1454"/>
      <c r="S402" s="1454"/>
      <c r="T402" s="1460">
        <v>2800</v>
      </c>
      <c r="U402" s="1460">
        <v>2800</v>
      </c>
      <c r="V402" s="1454"/>
      <c r="W402" s="1454"/>
      <c r="X402" s="1460">
        <v>2800</v>
      </c>
      <c r="Y402" s="1460">
        <v>2800</v>
      </c>
      <c r="Z402" s="1460">
        <v>0</v>
      </c>
      <c r="AA402" s="1460">
        <v>0</v>
      </c>
      <c r="AB402" s="1460">
        <v>2800</v>
      </c>
      <c r="AC402" s="1460">
        <v>2800</v>
      </c>
      <c r="AD402" s="1460"/>
      <c r="AE402" s="1460"/>
      <c r="AF402" s="1383">
        <f t="shared" si="438"/>
        <v>2800</v>
      </c>
      <c r="AG402" s="1383">
        <f t="shared" si="439"/>
        <v>2800</v>
      </c>
      <c r="AH402" s="1383">
        <f t="shared" si="460"/>
        <v>2350</v>
      </c>
      <c r="AI402" s="1383"/>
      <c r="AJ402" s="1383">
        <v>2350</v>
      </c>
      <c r="AK402" s="1383"/>
      <c r="AL402" s="1383"/>
      <c r="AM402" s="1383"/>
      <c r="AN402" s="1464"/>
      <c r="AO402" s="1464"/>
      <c r="AP402" s="1431">
        <f t="shared" ref="AP402:AP436" si="471">IF(AG402-AC402=0,0,1)</f>
        <v>0</v>
      </c>
      <c r="AQ402" s="1431">
        <f t="shared" ref="AQ402:AQ426" si="472">IF(Y402=0,0,1)</f>
        <v>1</v>
      </c>
      <c r="AR402" s="1434">
        <f t="shared" si="408"/>
        <v>0</v>
      </c>
      <c r="AS402" s="1434"/>
      <c r="AT402" s="1427">
        <f t="shared" si="449"/>
        <v>1</v>
      </c>
      <c r="AV402" s="1427">
        <f t="shared" si="468"/>
        <v>0</v>
      </c>
      <c r="AW402" s="1427">
        <f t="shared" si="463"/>
        <v>0</v>
      </c>
      <c r="AX402" s="1427">
        <f t="shared" si="469"/>
        <v>0</v>
      </c>
      <c r="AY402" s="1427">
        <f t="shared" si="464"/>
        <v>0</v>
      </c>
      <c r="AZ402" s="1427">
        <f t="shared" si="470"/>
        <v>0</v>
      </c>
      <c r="BA402" s="1427">
        <f t="shared" si="465"/>
        <v>0</v>
      </c>
      <c r="BB402" s="1427">
        <f t="shared" si="453"/>
        <v>0</v>
      </c>
      <c r="BC402" s="1427">
        <f t="shared" si="466"/>
        <v>0</v>
      </c>
      <c r="BD402" s="1436">
        <f t="shared" si="467"/>
        <v>1</v>
      </c>
    </row>
    <row r="403" spans="1:56" ht="100.5" customHeight="1" x14ac:dyDescent="0.3">
      <c r="A403" s="1461" t="s">
        <v>3111</v>
      </c>
      <c r="B403" s="1457"/>
      <c r="C403" s="1458" t="s">
        <v>841</v>
      </c>
      <c r="D403" s="1381" t="s">
        <v>526</v>
      </c>
      <c r="E403" s="1388" t="s">
        <v>842</v>
      </c>
      <c r="F403" s="1465">
        <v>2017</v>
      </c>
      <c r="G403" s="1388" t="s">
        <v>843</v>
      </c>
      <c r="H403" s="1383">
        <v>1305</v>
      </c>
      <c r="I403" s="1383">
        <v>1305</v>
      </c>
      <c r="J403" s="1460"/>
      <c r="K403" s="1460"/>
      <c r="L403" s="1460"/>
      <c r="M403" s="1460"/>
      <c r="N403" s="1460">
        <v>1200</v>
      </c>
      <c r="O403" s="1460">
        <v>1200</v>
      </c>
      <c r="P403" s="1460">
        <v>1200</v>
      </c>
      <c r="Q403" s="1460">
        <v>1200</v>
      </c>
      <c r="R403" s="1454"/>
      <c r="S403" s="1454"/>
      <c r="T403" s="1460">
        <v>1200</v>
      </c>
      <c r="U403" s="1460">
        <v>1200</v>
      </c>
      <c r="V403" s="1454"/>
      <c r="W403" s="1454"/>
      <c r="X403" s="1460">
        <v>1200</v>
      </c>
      <c r="Y403" s="1460">
        <v>1200</v>
      </c>
      <c r="Z403" s="1460">
        <v>0</v>
      </c>
      <c r="AA403" s="1460">
        <v>0</v>
      </c>
      <c r="AB403" s="1460">
        <v>1200</v>
      </c>
      <c r="AC403" s="1460">
        <v>1200</v>
      </c>
      <c r="AD403" s="1460"/>
      <c r="AE403" s="1460"/>
      <c r="AF403" s="1383">
        <f t="shared" si="438"/>
        <v>1200</v>
      </c>
      <c r="AG403" s="1383">
        <f t="shared" si="439"/>
        <v>1200</v>
      </c>
      <c r="AH403" s="1383">
        <f t="shared" si="460"/>
        <v>900</v>
      </c>
      <c r="AI403" s="1383"/>
      <c r="AJ403" s="1383">
        <v>900</v>
      </c>
      <c r="AK403" s="1383"/>
      <c r="AL403" s="1383"/>
      <c r="AM403" s="1383"/>
      <c r="AN403" s="1464"/>
      <c r="AO403" s="1464"/>
      <c r="AP403" s="1431">
        <f t="shared" si="471"/>
        <v>0</v>
      </c>
      <c r="AQ403" s="1431">
        <f t="shared" si="472"/>
        <v>1</v>
      </c>
      <c r="AR403" s="1434">
        <f t="shared" si="408"/>
        <v>0</v>
      </c>
      <c r="AS403" s="1434"/>
      <c r="AT403" s="1427">
        <f t="shared" si="449"/>
        <v>1</v>
      </c>
      <c r="AV403" s="1427">
        <f t="shared" si="468"/>
        <v>0</v>
      </c>
      <c r="AW403" s="1427">
        <f t="shared" si="463"/>
        <v>0</v>
      </c>
      <c r="AX403" s="1427">
        <f t="shared" si="469"/>
        <v>0</v>
      </c>
      <c r="AY403" s="1427">
        <f t="shared" si="464"/>
        <v>0</v>
      </c>
      <c r="AZ403" s="1427">
        <f t="shared" si="470"/>
        <v>0</v>
      </c>
      <c r="BA403" s="1427">
        <f t="shared" si="465"/>
        <v>0</v>
      </c>
      <c r="BB403" s="1427">
        <f t="shared" si="453"/>
        <v>0</v>
      </c>
      <c r="BC403" s="1427">
        <f t="shared" si="466"/>
        <v>0</v>
      </c>
      <c r="BD403" s="1436">
        <f t="shared" si="467"/>
        <v>1</v>
      </c>
    </row>
    <row r="404" spans="1:56" ht="93.75" x14ac:dyDescent="0.3">
      <c r="A404" s="1461" t="s">
        <v>3112</v>
      </c>
      <c r="B404" s="1457"/>
      <c r="C404" s="1442" t="s">
        <v>844</v>
      </c>
      <c r="D404" s="1388" t="s">
        <v>845</v>
      </c>
      <c r="E404" s="1388" t="s">
        <v>846</v>
      </c>
      <c r="F404" s="1465">
        <v>2017</v>
      </c>
      <c r="G404" s="1388" t="s">
        <v>847</v>
      </c>
      <c r="H404" s="1444">
        <v>6456</v>
      </c>
      <c r="I404" s="1444">
        <v>6456</v>
      </c>
      <c r="J404" s="1460"/>
      <c r="K404" s="1460"/>
      <c r="L404" s="1460"/>
      <c r="M404" s="1460"/>
      <c r="N404" s="1460">
        <v>6100</v>
      </c>
      <c r="O404" s="1460">
        <v>6100</v>
      </c>
      <c r="P404" s="1460">
        <v>6100</v>
      </c>
      <c r="Q404" s="1460">
        <v>6100</v>
      </c>
      <c r="R404" s="1454"/>
      <c r="S404" s="1454"/>
      <c r="T404" s="1460">
        <v>6100</v>
      </c>
      <c r="U404" s="1460">
        <v>6100</v>
      </c>
      <c r="V404" s="1454"/>
      <c r="W404" s="1454"/>
      <c r="X404" s="1460">
        <v>6100</v>
      </c>
      <c r="Y404" s="1460">
        <v>6100</v>
      </c>
      <c r="Z404" s="1460">
        <v>0</v>
      </c>
      <c r="AA404" s="1460">
        <v>0</v>
      </c>
      <c r="AB404" s="1460">
        <v>6100</v>
      </c>
      <c r="AC404" s="1460">
        <v>6100</v>
      </c>
      <c r="AD404" s="1460"/>
      <c r="AE404" s="1460"/>
      <c r="AF404" s="1383">
        <f t="shared" si="438"/>
        <v>6100</v>
      </c>
      <c r="AG404" s="1383">
        <f t="shared" si="439"/>
        <v>6100</v>
      </c>
      <c r="AH404" s="1383">
        <f t="shared" si="460"/>
        <v>5500</v>
      </c>
      <c r="AI404" s="1383"/>
      <c r="AJ404" s="1383">
        <v>5500</v>
      </c>
      <c r="AK404" s="1383"/>
      <c r="AL404" s="1383"/>
      <c r="AM404" s="1383"/>
      <c r="AN404" s="1464"/>
      <c r="AO404" s="1464">
        <v>170</v>
      </c>
      <c r="AP404" s="1431">
        <f t="shared" si="471"/>
        <v>0</v>
      </c>
      <c r="AQ404" s="1431">
        <f t="shared" si="472"/>
        <v>1</v>
      </c>
      <c r="AR404" s="1434">
        <f t="shared" si="408"/>
        <v>0</v>
      </c>
      <c r="AS404" s="1434"/>
      <c r="AT404" s="1427">
        <f t="shared" si="449"/>
        <v>1</v>
      </c>
      <c r="AV404" s="1427">
        <f t="shared" si="468"/>
        <v>0</v>
      </c>
      <c r="AW404" s="1427">
        <f t="shared" si="463"/>
        <v>0</v>
      </c>
      <c r="AX404" s="1427">
        <f t="shared" si="469"/>
        <v>0</v>
      </c>
      <c r="AY404" s="1427">
        <f t="shared" si="464"/>
        <v>0</v>
      </c>
      <c r="AZ404" s="1427">
        <f t="shared" si="470"/>
        <v>0</v>
      </c>
      <c r="BA404" s="1427">
        <f t="shared" si="465"/>
        <v>0</v>
      </c>
      <c r="BB404" s="1427">
        <f t="shared" si="453"/>
        <v>0</v>
      </c>
      <c r="BC404" s="1427">
        <f t="shared" si="466"/>
        <v>0</v>
      </c>
      <c r="BD404" s="1436">
        <f t="shared" si="467"/>
        <v>1</v>
      </c>
    </row>
    <row r="405" spans="1:56" ht="56.25" x14ac:dyDescent="0.3">
      <c r="A405" s="1461" t="s">
        <v>3113</v>
      </c>
      <c r="B405" s="1457"/>
      <c r="C405" s="1458" t="s">
        <v>848</v>
      </c>
      <c r="D405" s="1388" t="s">
        <v>58</v>
      </c>
      <c r="E405" s="1388" t="s">
        <v>849</v>
      </c>
      <c r="F405" s="1465">
        <v>2017</v>
      </c>
      <c r="G405" s="1388" t="s">
        <v>850</v>
      </c>
      <c r="H405" s="1463">
        <v>1587</v>
      </c>
      <c r="I405" s="1463">
        <v>1587</v>
      </c>
      <c r="J405" s="1460"/>
      <c r="K405" s="1460"/>
      <c r="L405" s="1460"/>
      <c r="M405" s="1460"/>
      <c r="N405" s="1460">
        <v>1500</v>
      </c>
      <c r="O405" s="1460">
        <v>1500</v>
      </c>
      <c r="P405" s="1460">
        <v>1500</v>
      </c>
      <c r="Q405" s="1460">
        <v>1500</v>
      </c>
      <c r="R405" s="1454"/>
      <c r="S405" s="1454"/>
      <c r="T405" s="1460">
        <v>1500</v>
      </c>
      <c r="U405" s="1460">
        <v>1500</v>
      </c>
      <c r="V405" s="1454"/>
      <c r="W405" s="1454"/>
      <c r="X405" s="1460">
        <v>1500</v>
      </c>
      <c r="Y405" s="1460">
        <v>1500</v>
      </c>
      <c r="Z405" s="1460">
        <v>0</v>
      </c>
      <c r="AA405" s="1460">
        <v>0</v>
      </c>
      <c r="AB405" s="1460">
        <v>1500</v>
      </c>
      <c r="AC405" s="1460">
        <v>1500</v>
      </c>
      <c r="AD405" s="1460"/>
      <c r="AE405" s="1460"/>
      <c r="AF405" s="1383">
        <f t="shared" si="438"/>
        <v>1500</v>
      </c>
      <c r="AG405" s="1383">
        <f t="shared" si="439"/>
        <v>1500</v>
      </c>
      <c r="AH405" s="1383">
        <f t="shared" si="460"/>
        <v>1300</v>
      </c>
      <c r="AI405" s="1383"/>
      <c r="AJ405" s="1383">
        <v>1300</v>
      </c>
      <c r="AK405" s="1383"/>
      <c r="AL405" s="1383"/>
      <c r="AM405" s="1383"/>
      <c r="AN405" s="1464"/>
      <c r="AO405" s="1464"/>
      <c r="AP405" s="1431">
        <f t="shared" si="471"/>
        <v>0</v>
      </c>
      <c r="AQ405" s="1431">
        <f t="shared" si="472"/>
        <v>1</v>
      </c>
      <c r="AR405" s="1434">
        <f t="shared" si="408"/>
        <v>0</v>
      </c>
      <c r="AS405" s="1434"/>
      <c r="AT405" s="1427">
        <f t="shared" si="449"/>
        <v>1</v>
      </c>
      <c r="AV405" s="1427">
        <f t="shared" si="468"/>
        <v>0</v>
      </c>
      <c r="AW405" s="1427">
        <f t="shared" si="463"/>
        <v>0</v>
      </c>
      <c r="AX405" s="1427">
        <f t="shared" si="469"/>
        <v>0</v>
      </c>
      <c r="AY405" s="1427">
        <f t="shared" si="464"/>
        <v>0</v>
      </c>
      <c r="AZ405" s="1427">
        <f t="shared" si="470"/>
        <v>0</v>
      </c>
      <c r="BA405" s="1427">
        <f t="shared" si="465"/>
        <v>0</v>
      </c>
      <c r="BB405" s="1427">
        <f t="shared" si="453"/>
        <v>0</v>
      </c>
      <c r="BC405" s="1427">
        <f t="shared" si="466"/>
        <v>0</v>
      </c>
      <c r="BD405" s="1436">
        <f t="shared" si="467"/>
        <v>1</v>
      </c>
    </row>
    <row r="406" spans="1:56" ht="114.75" customHeight="1" x14ac:dyDescent="0.3">
      <c r="A406" s="1461" t="s">
        <v>3114</v>
      </c>
      <c r="B406" s="1457"/>
      <c r="C406" s="1442" t="s">
        <v>851</v>
      </c>
      <c r="D406" s="1388" t="s">
        <v>852</v>
      </c>
      <c r="E406" s="1388" t="s">
        <v>853</v>
      </c>
      <c r="F406" s="1465" t="s">
        <v>461</v>
      </c>
      <c r="G406" s="1465"/>
      <c r="H406" s="1444">
        <v>10000</v>
      </c>
      <c r="I406" s="1444">
        <v>10000</v>
      </c>
      <c r="J406" s="1460"/>
      <c r="K406" s="1460"/>
      <c r="L406" s="1460"/>
      <c r="M406" s="1460"/>
      <c r="N406" s="1460">
        <v>500</v>
      </c>
      <c r="O406" s="1460">
        <v>500</v>
      </c>
      <c r="P406" s="1460"/>
      <c r="Q406" s="1460"/>
      <c r="R406" s="1454"/>
      <c r="S406" s="1454">
        <f>O406</f>
        <v>500</v>
      </c>
      <c r="T406" s="1460"/>
      <c r="U406" s="1460"/>
      <c r="V406" s="1454"/>
      <c r="W406" s="1454"/>
      <c r="X406" s="1460"/>
      <c r="Y406" s="1460"/>
      <c r="Z406" s="1460">
        <v>0</v>
      </c>
      <c r="AA406" s="1460">
        <v>0</v>
      </c>
      <c r="AB406" s="1460">
        <v>0</v>
      </c>
      <c r="AC406" s="1460">
        <v>0</v>
      </c>
      <c r="AD406" s="1460"/>
      <c r="AE406" s="1460"/>
      <c r="AF406" s="1383">
        <f t="shared" si="438"/>
        <v>0</v>
      </c>
      <c r="AG406" s="1383">
        <f t="shared" si="439"/>
        <v>0</v>
      </c>
      <c r="AH406" s="1383">
        <f t="shared" si="460"/>
        <v>0</v>
      </c>
      <c r="AI406" s="1383"/>
      <c r="AJ406" s="1383"/>
      <c r="AK406" s="1383"/>
      <c r="AL406" s="1383"/>
      <c r="AM406" s="1383"/>
      <c r="AN406" s="1388"/>
      <c r="AO406" s="1388"/>
      <c r="AP406" s="1431">
        <f t="shared" si="471"/>
        <v>0</v>
      </c>
      <c r="AQ406" s="1431">
        <f t="shared" si="472"/>
        <v>0</v>
      </c>
      <c r="AR406" s="1434">
        <f t="shared" si="408"/>
        <v>0</v>
      </c>
      <c r="AS406" s="1434"/>
      <c r="AT406" s="1427">
        <f t="shared" si="449"/>
        <v>1</v>
      </c>
      <c r="AV406" s="1427">
        <f t="shared" si="468"/>
        <v>1</v>
      </c>
      <c r="AW406" s="1427">
        <f t="shared" si="463"/>
        <v>500</v>
      </c>
      <c r="AX406" s="1427">
        <f t="shared" si="469"/>
        <v>0</v>
      </c>
      <c r="AY406" s="1427">
        <f t="shared" si="464"/>
        <v>0</v>
      </c>
      <c r="AZ406" s="1427">
        <f t="shared" si="470"/>
        <v>0</v>
      </c>
      <c r="BA406" s="1427">
        <f t="shared" si="465"/>
        <v>0</v>
      </c>
      <c r="BD406" s="1436">
        <f t="shared" si="467"/>
        <v>1</v>
      </c>
    </row>
    <row r="407" spans="1:56" ht="56.25" x14ac:dyDescent="0.3">
      <c r="A407" s="1461" t="s">
        <v>3115</v>
      </c>
      <c r="B407" s="1461" t="s">
        <v>3078</v>
      </c>
      <c r="C407" s="1442" t="s">
        <v>854</v>
      </c>
      <c r="D407" s="1388" t="s">
        <v>70</v>
      </c>
      <c r="E407" s="1465"/>
      <c r="F407" s="1465" t="s">
        <v>461</v>
      </c>
      <c r="G407" s="1388" t="s">
        <v>855</v>
      </c>
      <c r="H407" s="1444">
        <f>I407</f>
        <v>8578</v>
      </c>
      <c r="I407" s="1444">
        <v>8578</v>
      </c>
      <c r="J407" s="1460"/>
      <c r="K407" s="1460"/>
      <c r="L407" s="1460"/>
      <c r="M407" s="1460"/>
      <c r="N407" s="1460">
        <v>7700</v>
      </c>
      <c r="O407" s="1460">
        <v>7700</v>
      </c>
      <c r="P407" s="1460">
        <v>7700</v>
      </c>
      <c r="Q407" s="1460">
        <v>7700</v>
      </c>
      <c r="R407" s="1454"/>
      <c r="S407" s="1454"/>
      <c r="T407" s="1460">
        <v>7700</v>
      </c>
      <c r="U407" s="1460">
        <v>7700</v>
      </c>
      <c r="V407" s="1454"/>
      <c r="W407" s="1454"/>
      <c r="X407" s="1460">
        <v>7700</v>
      </c>
      <c r="Y407" s="1460">
        <v>7700</v>
      </c>
      <c r="Z407" s="1460">
        <v>0</v>
      </c>
      <c r="AA407" s="1460">
        <v>0</v>
      </c>
      <c r="AB407" s="1460">
        <v>7542</v>
      </c>
      <c r="AC407" s="1460">
        <v>7542</v>
      </c>
      <c r="AD407" s="1460"/>
      <c r="AE407" s="1525"/>
      <c r="AF407" s="1383">
        <f t="shared" si="438"/>
        <v>7542</v>
      </c>
      <c r="AG407" s="1383">
        <f t="shared" si="439"/>
        <v>7542</v>
      </c>
      <c r="AH407" s="1383">
        <f t="shared" si="460"/>
        <v>7500</v>
      </c>
      <c r="AI407" s="1383"/>
      <c r="AJ407" s="1383"/>
      <c r="AK407" s="1383">
        <v>5000</v>
      </c>
      <c r="AL407" s="1383">
        <v>2500</v>
      </c>
      <c r="AM407" s="1383"/>
      <c r="AN407" s="1464"/>
      <c r="AO407" s="1464"/>
      <c r="AP407" s="1431">
        <f t="shared" si="471"/>
        <v>0</v>
      </c>
      <c r="AQ407" s="1431">
        <f t="shared" si="472"/>
        <v>1</v>
      </c>
      <c r="AR407" s="1434">
        <f t="shared" si="408"/>
        <v>0</v>
      </c>
      <c r="AS407" s="1434"/>
      <c r="AT407" s="1427">
        <f t="shared" si="449"/>
        <v>1</v>
      </c>
      <c r="AV407" s="1427">
        <f t="shared" si="468"/>
        <v>0</v>
      </c>
      <c r="AW407" s="1427">
        <f t="shared" si="463"/>
        <v>0</v>
      </c>
      <c r="AX407" s="1427">
        <f t="shared" si="469"/>
        <v>0</v>
      </c>
      <c r="AY407" s="1427">
        <f t="shared" si="464"/>
        <v>0</v>
      </c>
      <c r="AZ407" s="1427">
        <f t="shared" si="470"/>
        <v>0</v>
      </c>
      <c r="BA407" s="1427">
        <f t="shared" si="465"/>
        <v>0</v>
      </c>
      <c r="BB407" s="1427">
        <f>IF(S407=0,0,1)</f>
        <v>0</v>
      </c>
      <c r="BC407" s="1427">
        <f>IF(BB407=1,S407,0)</f>
        <v>0</v>
      </c>
      <c r="BD407" s="1436">
        <f t="shared" si="467"/>
        <v>1</v>
      </c>
    </row>
    <row r="408" spans="1:56" ht="101.25" customHeight="1" x14ac:dyDescent="0.3">
      <c r="A408" s="1461" t="s">
        <v>3116</v>
      </c>
      <c r="B408" s="1457"/>
      <c r="C408" s="1458" t="s">
        <v>856</v>
      </c>
      <c r="D408" s="1388" t="s">
        <v>112</v>
      </c>
      <c r="E408" s="1465" t="s">
        <v>2320</v>
      </c>
      <c r="F408" s="1465" t="s">
        <v>461</v>
      </c>
      <c r="G408" s="1388" t="s">
        <v>2321</v>
      </c>
      <c r="H408" s="1443">
        <f>I408</f>
        <v>2836</v>
      </c>
      <c r="I408" s="1443">
        <v>2836</v>
      </c>
      <c r="J408" s="1460"/>
      <c r="K408" s="1460"/>
      <c r="L408" s="1460"/>
      <c r="M408" s="1460"/>
      <c r="N408" s="1460">
        <v>1900</v>
      </c>
      <c r="O408" s="1460">
        <v>1900</v>
      </c>
      <c r="P408" s="1460">
        <v>2700</v>
      </c>
      <c r="Q408" s="1460">
        <v>2700</v>
      </c>
      <c r="R408" s="1454">
        <f>T408-O408</f>
        <v>800</v>
      </c>
      <c r="S408" s="1454"/>
      <c r="T408" s="1460">
        <v>2700</v>
      </c>
      <c r="U408" s="1460">
        <v>2700</v>
      </c>
      <c r="V408" s="1454"/>
      <c r="W408" s="1454"/>
      <c r="X408" s="1460">
        <v>2700</v>
      </c>
      <c r="Y408" s="1460">
        <v>2700</v>
      </c>
      <c r="Z408" s="1460">
        <v>0</v>
      </c>
      <c r="AA408" s="1460">
        <v>0</v>
      </c>
      <c r="AB408" s="1460">
        <v>2700</v>
      </c>
      <c r="AC408" s="1460">
        <v>2700</v>
      </c>
      <c r="AD408" s="1460"/>
      <c r="AE408" s="1460"/>
      <c r="AF408" s="1383">
        <f t="shared" si="438"/>
        <v>2700</v>
      </c>
      <c r="AG408" s="1383">
        <f t="shared" si="439"/>
        <v>2700</v>
      </c>
      <c r="AH408" s="1383">
        <f t="shared" si="460"/>
        <v>2400</v>
      </c>
      <c r="AI408" s="1383"/>
      <c r="AJ408" s="1383"/>
      <c r="AK408" s="1383">
        <v>2400</v>
      </c>
      <c r="AL408" s="1383"/>
      <c r="AM408" s="1383"/>
      <c r="AN408" s="1381"/>
      <c r="AO408" s="1381"/>
      <c r="AP408" s="1431">
        <f t="shared" si="471"/>
        <v>0</v>
      </c>
      <c r="AQ408" s="1431">
        <f t="shared" si="472"/>
        <v>1</v>
      </c>
      <c r="AR408" s="1434">
        <f t="shared" si="408"/>
        <v>0</v>
      </c>
      <c r="AS408" s="1434"/>
      <c r="AT408" s="1427">
        <f t="shared" si="449"/>
        <v>1</v>
      </c>
      <c r="AV408" s="1427">
        <f t="shared" si="468"/>
        <v>0</v>
      </c>
      <c r="AW408" s="1427">
        <f t="shared" si="463"/>
        <v>0</v>
      </c>
      <c r="AX408" s="1427">
        <f t="shared" si="469"/>
        <v>0</v>
      </c>
      <c r="AY408" s="1427">
        <f t="shared" si="464"/>
        <v>0</v>
      </c>
      <c r="AZ408" s="1427">
        <f t="shared" si="470"/>
        <v>1</v>
      </c>
      <c r="BA408" s="1427">
        <f t="shared" si="465"/>
        <v>800</v>
      </c>
      <c r="BB408" s="1427">
        <f>IF(S408=0,0,1)</f>
        <v>0</v>
      </c>
      <c r="BC408" s="1427">
        <f>IF(BB408=1,S408,0)</f>
        <v>0</v>
      </c>
      <c r="BD408" s="1436">
        <f t="shared" si="467"/>
        <v>1</v>
      </c>
    </row>
    <row r="409" spans="1:56" ht="96.75" customHeight="1" x14ac:dyDescent="0.3">
      <c r="A409" s="1461" t="s">
        <v>3117</v>
      </c>
      <c r="B409" s="1457"/>
      <c r="C409" s="1458" t="s">
        <v>857</v>
      </c>
      <c r="D409" s="1388" t="s">
        <v>58</v>
      </c>
      <c r="E409" s="1465"/>
      <c r="F409" s="1465" t="s">
        <v>461</v>
      </c>
      <c r="G409" s="1388" t="s">
        <v>2484</v>
      </c>
      <c r="H409" s="1443">
        <v>3000</v>
      </c>
      <c r="I409" s="1443">
        <v>3000</v>
      </c>
      <c r="J409" s="1460"/>
      <c r="K409" s="1460"/>
      <c r="L409" s="1460"/>
      <c r="M409" s="1460"/>
      <c r="N409" s="1460">
        <v>2860</v>
      </c>
      <c r="O409" s="1460">
        <v>2860</v>
      </c>
      <c r="P409" s="1460">
        <v>2860</v>
      </c>
      <c r="Q409" s="1460">
        <v>2860</v>
      </c>
      <c r="R409" s="1454"/>
      <c r="S409" s="1454"/>
      <c r="T409" s="1460">
        <v>2860</v>
      </c>
      <c r="U409" s="1460">
        <v>2860</v>
      </c>
      <c r="V409" s="1454"/>
      <c r="W409" s="1454"/>
      <c r="X409" s="1460">
        <v>2860</v>
      </c>
      <c r="Y409" s="1460">
        <v>2860</v>
      </c>
      <c r="Z409" s="1460">
        <v>0</v>
      </c>
      <c r="AA409" s="1460">
        <v>0</v>
      </c>
      <c r="AB409" s="1460">
        <v>2860</v>
      </c>
      <c r="AC409" s="1460">
        <v>2860</v>
      </c>
      <c r="AD409" s="1460"/>
      <c r="AE409" s="1460"/>
      <c r="AF409" s="1383">
        <f t="shared" si="438"/>
        <v>2860</v>
      </c>
      <c r="AG409" s="1383">
        <f t="shared" si="439"/>
        <v>2860</v>
      </c>
      <c r="AH409" s="1383">
        <f t="shared" si="460"/>
        <v>2493</v>
      </c>
      <c r="AI409" s="1383"/>
      <c r="AJ409" s="1383"/>
      <c r="AK409" s="1383">
        <v>2450</v>
      </c>
      <c r="AL409" s="1383">
        <v>43</v>
      </c>
      <c r="AM409" s="1383"/>
      <c r="AN409" s="1464"/>
      <c r="AO409" s="1464"/>
      <c r="AP409" s="1431">
        <f t="shared" si="471"/>
        <v>0</v>
      </c>
      <c r="AQ409" s="1431">
        <f t="shared" si="472"/>
        <v>1</v>
      </c>
      <c r="AR409" s="1434">
        <f t="shared" si="408"/>
        <v>0</v>
      </c>
      <c r="AS409" s="1434"/>
      <c r="AT409" s="1427">
        <f t="shared" si="449"/>
        <v>1</v>
      </c>
      <c r="AV409" s="1427">
        <f t="shared" si="468"/>
        <v>0</v>
      </c>
      <c r="AW409" s="1427">
        <f t="shared" si="463"/>
        <v>0</v>
      </c>
      <c r="AX409" s="1427">
        <f t="shared" si="469"/>
        <v>0</v>
      </c>
      <c r="AY409" s="1427">
        <f t="shared" si="464"/>
        <v>0</v>
      </c>
      <c r="AZ409" s="1427">
        <f t="shared" si="470"/>
        <v>0</v>
      </c>
      <c r="BA409" s="1427">
        <f t="shared" si="465"/>
        <v>0</v>
      </c>
      <c r="BB409" s="1427">
        <f>IF(S409=0,0,1)</f>
        <v>0</v>
      </c>
      <c r="BC409" s="1427">
        <f>IF(BB409=1,S409,0)</f>
        <v>0</v>
      </c>
      <c r="BD409" s="1436">
        <f t="shared" si="467"/>
        <v>1</v>
      </c>
    </row>
    <row r="410" spans="1:56" ht="78" customHeight="1" x14ac:dyDescent="0.3">
      <c r="A410" s="1461" t="s">
        <v>3118</v>
      </c>
      <c r="B410" s="1457"/>
      <c r="C410" s="1458" t="s">
        <v>858</v>
      </c>
      <c r="D410" s="1388" t="s">
        <v>104</v>
      </c>
      <c r="E410" s="1465"/>
      <c r="F410" s="1465" t="s">
        <v>116</v>
      </c>
      <c r="G410" s="1388" t="s">
        <v>2616</v>
      </c>
      <c r="H410" s="1443">
        <f>I410</f>
        <v>4074</v>
      </c>
      <c r="I410" s="1443">
        <v>4074</v>
      </c>
      <c r="J410" s="1460"/>
      <c r="K410" s="1460"/>
      <c r="L410" s="1460"/>
      <c r="M410" s="1460"/>
      <c r="N410" s="1460">
        <v>3800</v>
      </c>
      <c r="O410" s="1460">
        <v>3800</v>
      </c>
      <c r="P410" s="1460">
        <v>3800</v>
      </c>
      <c r="Q410" s="1460">
        <v>3800</v>
      </c>
      <c r="R410" s="1454"/>
      <c r="S410" s="1454"/>
      <c r="T410" s="1460">
        <v>3800</v>
      </c>
      <c r="U410" s="1460">
        <v>3800</v>
      </c>
      <c r="V410" s="1454"/>
      <c r="W410" s="1454"/>
      <c r="X410" s="1460">
        <v>3800</v>
      </c>
      <c r="Y410" s="1460">
        <v>3800</v>
      </c>
      <c r="Z410" s="1460">
        <v>0</v>
      </c>
      <c r="AA410" s="1460">
        <v>0</v>
      </c>
      <c r="AB410" s="1460">
        <v>3800</v>
      </c>
      <c r="AC410" s="1460">
        <v>3800</v>
      </c>
      <c r="AD410" s="1460"/>
      <c r="AE410" s="1460"/>
      <c r="AF410" s="1383">
        <f t="shared" si="438"/>
        <v>3800</v>
      </c>
      <c r="AG410" s="1383">
        <f t="shared" si="439"/>
        <v>3800</v>
      </c>
      <c r="AH410" s="1383">
        <f t="shared" si="460"/>
        <v>3600</v>
      </c>
      <c r="AI410" s="1383"/>
      <c r="AJ410" s="1383"/>
      <c r="AK410" s="1383">
        <v>3600</v>
      </c>
      <c r="AL410" s="1383"/>
      <c r="AM410" s="1383"/>
      <c r="AN410" s="1464"/>
      <c r="AO410" s="1464">
        <v>97</v>
      </c>
      <c r="AP410" s="1431">
        <f t="shared" si="471"/>
        <v>0</v>
      </c>
      <c r="AQ410" s="1431">
        <f t="shared" si="472"/>
        <v>1</v>
      </c>
      <c r="AR410" s="1434">
        <f t="shared" si="408"/>
        <v>0</v>
      </c>
      <c r="AS410" s="1434"/>
      <c r="AT410" s="1427">
        <f t="shared" si="449"/>
        <v>1</v>
      </c>
      <c r="AV410" s="1427">
        <f t="shared" si="468"/>
        <v>0</v>
      </c>
      <c r="AW410" s="1427">
        <f t="shared" si="463"/>
        <v>0</v>
      </c>
      <c r="AX410" s="1427">
        <f t="shared" si="469"/>
        <v>0</v>
      </c>
      <c r="AY410" s="1427">
        <f t="shared" si="464"/>
        <v>0</v>
      </c>
      <c r="AZ410" s="1427">
        <f t="shared" si="470"/>
        <v>0</v>
      </c>
      <c r="BA410" s="1427">
        <f t="shared" si="465"/>
        <v>0</v>
      </c>
      <c r="BB410" s="1427">
        <f>IF(S410=0,0,1)</f>
        <v>0</v>
      </c>
      <c r="BC410" s="1427">
        <f>IF(BB410=1,S410,0)</f>
        <v>0</v>
      </c>
      <c r="BD410" s="1436">
        <f t="shared" si="467"/>
        <v>1</v>
      </c>
    </row>
    <row r="411" spans="1:56" ht="64.5" customHeight="1" x14ac:dyDescent="0.3">
      <c r="A411" s="1461" t="s">
        <v>3119</v>
      </c>
      <c r="B411" s="1457"/>
      <c r="C411" s="1458" t="s">
        <v>860</v>
      </c>
      <c r="D411" s="1388" t="s">
        <v>104</v>
      </c>
      <c r="E411" s="1465"/>
      <c r="F411" s="1465" t="s">
        <v>116</v>
      </c>
      <c r="G411" s="1388"/>
      <c r="H411" s="1443">
        <v>14000</v>
      </c>
      <c r="I411" s="1443">
        <v>14000</v>
      </c>
      <c r="J411" s="1460"/>
      <c r="K411" s="1460"/>
      <c r="L411" s="1460"/>
      <c r="M411" s="1460"/>
      <c r="N411" s="1460">
        <v>10420</v>
      </c>
      <c r="O411" s="1460">
        <v>10420</v>
      </c>
      <c r="P411" s="1460"/>
      <c r="Q411" s="1460"/>
      <c r="R411" s="1454"/>
      <c r="S411" s="1454">
        <f>O411</f>
        <v>10420</v>
      </c>
      <c r="T411" s="1460"/>
      <c r="U411" s="1460"/>
      <c r="V411" s="1454"/>
      <c r="W411" s="1454"/>
      <c r="X411" s="1460"/>
      <c r="Y411" s="1460"/>
      <c r="Z411" s="1460">
        <v>0</v>
      </c>
      <c r="AA411" s="1460">
        <v>0</v>
      </c>
      <c r="AB411" s="1460">
        <v>0</v>
      </c>
      <c r="AC411" s="1460">
        <v>0</v>
      </c>
      <c r="AD411" s="1460"/>
      <c r="AE411" s="1460"/>
      <c r="AF411" s="1383">
        <f t="shared" si="438"/>
        <v>0</v>
      </c>
      <c r="AG411" s="1383">
        <f t="shared" si="439"/>
        <v>0</v>
      </c>
      <c r="AH411" s="1383">
        <f t="shared" si="460"/>
        <v>0</v>
      </c>
      <c r="AI411" s="1383"/>
      <c r="AJ411" s="1383"/>
      <c r="AK411" s="1383"/>
      <c r="AL411" s="1383"/>
      <c r="AM411" s="1383"/>
      <c r="AN411" s="1381"/>
      <c r="AO411" s="1381"/>
      <c r="AP411" s="1431">
        <f t="shared" si="471"/>
        <v>0</v>
      </c>
      <c r="AQ411" s="1431">
        <f t="shared" si="472"/>
        <v>0</v>
      </c>
      <c r="AR411" s="1434">
        <f t="shared" si="408"/>
        <v>0</v>
      </c>
      <c r="AS411" s="1434"/>
      <c r="AT411" s="1427">
        <f t="shared" si="449"/>
        <v>1</v>
      </c>
      <c r="AV411" s="1427">
        <f t="shared" si="468"/>
        <v>1</v>
      </c>
      <c r="AW411" s="1427">
        <f t="shared" si="463"/>
        <v>10420</v>
      </c>
      <c r="AX411" s="1427">
        <f t="shared" si="469"/>
        <v>0</v>
      </c>
      <c r="AY411" s="1427">
        <f t="shared" si="464"/>
        <v>0</v>
      </c>
      <c r="AZ411" s="1427">
        <f t="shared" si="470"/>
        <v>0</v>
      </c>
      <c r="BA411" s="1427">
        <f t="shared" si="465"/>
        <v>0</v>
      </c>
      <c r="BD411" s="1436">
        <f t="shared" si="467"/>
        <v>1</v>
      </c>
    </row>
    <row r="412" spans="1:56" ht="61.5" customHeight="1" x14ac:dyDescent="0.3">
      <c r="A412" s="1461" t="s">
        <v>3120</v>
      </c>
      <c r="B412" s="1457"/>
      <c r="C412" s="1458" t="s">
        <v>861</v>
      </c>
      <c r="D412" s="1388" t="s">
        <v>104</v>
      </c>
      <c r="E412" s="1465"/>
      <c r="F412" s="1465" t="s">
        <v>116</v>
      </c>
      <c r="G412" s="1388" t="s">
        <v>2485</v>
      </c>
      <c r="H412" s="1443">
        <v>2600</v>
      </c>
      <c r="I412" s="1443">
        <v>2600</v>
      </c>
      <c r="J412" s="1460"/>
      <c r="K412" s="1460"/>
      <c r="L412" s="1460"/>
      <c r="M412" s="1460"/>
      <c r="N412" s="1460">
        <v>2480</v>
      </c>
      <c r="O412" s="1460">
        <v>2480</v>
      </c>
      <c r="P412" s="1460">
        <v>2480</v>
      </c>
      <c r="Q412" s="1460">
        <v>2480</v>
      </c>
      <c r="R412" s="1454"/>
      <c r="S412" s="1454"/>
      <c r="T412" s="1460">
        <v>2480</v>
      </c>
      <c r="U412" s="1460">
        <v>2480</v>
      </c>
      <c r="V412" s="1454"/>
      <c r="W412" s="1454"/>
      <c r="X412" s="1460">
        <v>2480</v>
      </c>
      <c r="Y412" s="1460">
        <v>2480</v>
      </c>
      <c r="Z412" s="1460">
        <v>0</v>
      </c>
      <c r="AA412" s="1460">
        <v>0</v>
      </c>
      <c r="AB412" s="1460">
        <v>2480</v>
      </c>
      <c r="AC412" s="1460">
        <v>2480</v>
      </c>
      <c r="AD412" s="1460"/>
      <c r="AE412" s="1460"/>
      <c r="AF412" s="1383">
        <f t="shared" si="438"/>
        <v>2480</v>
      </c>
      <c r="AG412" s="1383">
        <f t="shared" si="439"/>
        <v>2480</v>
      </c>
      <c r="AH412" s="1383">
        <f t="shared" si="460"/>
        <v>2150</v>
      </c>
      <c r="AI412" s="1383"/>
      <c r="AJ412" s="1383"/>
      <c r="AK412" s="1383">
        <v>2150</v>
      </c>
      <c r="AL412" s="1383"/>
      <c r="AM412" s="1383"/>
      <c r="AN412" s="1464"/>
      <c r="AO412" s="1464"/>
      <c r="AP412" s="1431">
        <f t="shared" si="471"/>
        <v>0</v>
      </c>
      <c r="AQ412" s="1431">
        <f t="shared" si="472"/>
        <v>1</v>
      </c>
      <c r="AR412" s="1434">
        <f t="shared" si="408"/>
        <v>0</v>
      </c>
      <c r="AS412" s="1434"/>
      <c r="AT412" s="1427">
        <f t="shared" si="449"/>
        <v>1</v>
      </c>
      <c r="AV412" s="1427">
        <f t="shared" si="468"/>
        <v>0</v>
      </c>
      <c r="AW412" s="1427">
        <f t="shared" si="463"/>
        <v>0</v>
      </c>
      <c r="AX412" s="1427">
        <f t="shared" si="469"/>
        <v>0</v>
      </c>
      <c r="AY412" s="1427">
        <f t="shared" si="464"/>
        <v>0</v>
      </c>
      <c r="AZ412" s="1427">
        <f t="shared" si="470"/>
        <v>0</v>
      </c>
      <c r="BA412" s="1427">
        <f t="shared" si="465"/>
        <v>0</v>
      </c>
      <c r="BB412" s="1427">
        <f>IF(S412=0,0,1)</f>
        <v>0</v>
      </c>
      <c r="BC412" s="1427">
        <f>IF(BB412=1,S412,0)</f>
        <v>0</v>
      </c>
      <c r="BD412" s="1436">
        <f t="shared" si="467"/>
        <v>1</v>
      </c>
    </row>
    <row r="413" spans="1:56" ht="62.25" customHeight="1" x14ac:dyDescent="0.3">
      <c r="A413" s="1461" t="s">
        <v>3121</v>
      </c>
      <c r="B413" s="1457"/>
      <c r="C413" s="1458" t="s">
        <v>862</v>
      </c>
      <c r="D413" s="1388" t="s">
        <v>104</v>
      </c>
      <c r="E413" s="1465"/>
      <c r="F413" s="1465" t="s">
        <v>116</v>
      </c>
      <c r="G413" s="1388" t="s">
        <v>863</v>
      </c>
      <c r="H413" s="1443">
        <f>I413</f>
        <v>10860</v>
      </c>
      <c r="I413" s="1443">
        <v>10860</v>
      </c>
      <c r="J413" s="1460"/>
      <c r="K413" s="1460"/>
      <c r="L413" s="1460"/>
      <c r="M413" s="1460"/>
      <c r="N413" s="1460">
        <v>10000</v>
      </c>
      <c r="O413" s="1460">
        <v>10000</v>
      </c>
      <c r="P413" s="1460">
        <v>10000</v>
      </c>
      <c r="Q413" s="1460">
        <v>10000</v>
      </c>
      <c r="R413" s="1454"/>
      <c r="S413" s="1454"/>
      <c r="T413" s="1460">
        <v>10000</v>
      </c>
      <c r="U413" s="1460">
        <v>10000</v>
      </c>
      <c r="V413" s="1454"/>
      <c r="W413" s="1454"/>
      <c r="X413" s="1460">
        <v>10000</v>
      </c>
      <c r="Y413" s="1460">
        <v>10000</v>
      </c>
      <c r="Z413" s="1460">
        <v>0</v>
      </c>
      <c r="AA413" s="1460">
        <v>0</v>
      </c>
      <c r="AB413" s="1460">
        <v>10000</v>
      </c>
      <c r="AC413" s="1460">
        <v>10000</v>
      </c>
      <c r="AD413" s="1460"/>
      <c r="AE413" s="1460"/>
      <c r="AF413" s="1383">
        <f t="shared" si="438"/>
        <v>10000</v>
      </c>
      <c r="AG413" s="1383">
        <f t="shared" si="439"/>
        <v>10000</v>
      </c>
      <c r="AH413" s="1383">
        <f t="shared" si="460"/>
        <v>10000</v>
      </c>
      <c r="AI413" s="1383"/>
      <c r="AJ413" s="1383"/>
      <c r="AK413" s="1383">
        <v>8000</v>
      </c>
      <c r="AL413" s="1383">
        <v>2000</v>
      </c>
      <c r="AM413" s="1383"/>
      <c r="AN413" s="1464"/>
      <c r="AO413" s="1464"/>
      <c r="AP413" s="1431">
        <f t="shared" si="471"/>
        <v>0</v>
      </c>
      <c r="AQ413" s="1431">
        <f t="shared" si="472"/>
        <v>1</v>
      </c>
      <c r="AR413" s="1434">
        <f t="shared" si="408"/>
        <v>0</v>
      </c>
      <c r="AS413" s="1434"/>
      <c r="AT413" s="1427">
        <f t="shared" si="449"/>
        <v>1</v>
      </c>
      <c r="AV413" s="1427">
        <f t="shared" si="468"/>
        <v>0</v>
      </c>
      <c r="AW413" s="1427">
        <f t="shared" si="463"/>
        <v>0</v>
      </c>
      <c r="AX413" s="1427">
        <f t="shared" si="469"/>
        <v>0</v>
      </c>
      <c r="AY413" s="1427">
        <f t="shared" si="464"/>
        <v>0</v>
      </c>
      <c r="AZ413" s="1427">
        <f t="shared" si="470"/>
        <v>0</v>
      </c>
      <c r="BA413" s="1427">
        <f t="shared" si="465"/>
        <v>0</v>
      </c>
      <c r="BB413" s="1427">
        <f>IF(S413=0,0,1)</f>
        <v>0</v>
      </c>
      <c r="BC413" s="1427">
        <f>IF(BB413=1,S413,0)</f>
        <v>0</v>
      </c>
      <c r="BD413" s="1436">
        <f t="shared" si="467"/>
        <v>1</v>
      </c>
    </row>
    <row r="414" spans="1:56" ht="63.75" customHeight="1" x14ac:dyDescent="0.3">
      <c r="A414" s="1461" t="s">
        <v>3122</v>
      </c>
      <c r="B414" s="1461" t="s">
        <v>3079</v>
      </c>
      <c r="C414" s="1458" t="s">
        <v>864</v>
      </c>
      <c r="D414" s="1388" t="s">
        <v>95</v>
      </c>
      <c r="E414" s="1465"/>
      <c r="F414" s="1465">
        <v>2020</v>
      </c>
      <c r="G414" s="1388" t="s">
        <v>2486</v>
      </c>
      <c r="H414" s="1443">
        <v>750</v>
      </c>
      <c r="I414" s="1443">
        <v>750</v>
      </c>
      <c r="J414" s="1460"/>
      <c r="K414" s="1460"/>
      <c r="L414" s="1460"/>
      <c r="M414" s="1460"/>
      <c r="N414" s="1460">
        <v>710</v>
      </c>
      <c r="O414" s="1460">
        <v>710</v>
      </c>
      <c r="P414" s="1460">
        <v>710</v>
      </c>
      <c r="Q414" s="1460">
        <v>710</v>
      </c>
      <c r="R414" s="1454"/>
      <c r="S414" s="1454"/>
      <c r="T414" s="1460">
        <v>710</v>
      </c>
      <c r="U414" s="1460">
        <v>710</v>
      </c>
      <c r="V414" s="1454"/>
      <c r="W414" s="1454"/>
      <c r="X414" s="1460">
        <v>710</v>
      </c>
      <c r="Y414" s="1460">
        <v>710</v>
      </c>
      <c r="Z414" s="1460"/>
      <c r="AA414" s="1460"/>
      <c r="AB414" s="1460">
        <v>600</v>
      </c>
      <c r="AC414" s="1460">
        <v>600</v>
      </c>
      <c r="AD414" s="1460"/>
      <c r="AE414" s="1525"/>
      <c r="AF414" s="1383">
        <f t="shared" si="438"/>
        <v>600</v>
      </c>
      <c r="AG414" s="1383">
        <f t="shared" si="439"/>
        <v>600</v>
      </c>
      <c r="AH414" s="1383">
        <f t="shared" si="460"/>
        <v>600</v>
      </c>
      <c r="AI414" s="1383"/>
      <c r="AJ414" s="1383"/>
      <c r="AK414" s="1383"/>
      <c r="AL414" s="1383">
        <v>600</v>
      </c>
      <c r="AM414" s="1383">
        <f>110-110</f>
        <v>0</v>
      </c>
      <c r="AN414" s="1464"/>
      <c r="AO414" s="1464"/>
      <c r="AP414" s="1431">
        <f t="shared" si="471"/>
        <v>0</v>
      </c>
      <c r="AQ414" s="1431">
        <f t="shared" si="472"/>
        <v>1</v>
      </c>
      <c r="AR414" s="1434">
        <f t="shared" si="408"/>
        <v>0</v>
      </c>
      <c r="AS414" s="1434"/>
      <c r="AT414" s="1427">
        <f t="shared" si="449"/>
        <v>1</v>
      </c>
      <c r="AV414" s="1427">
        <f t="shared" si="468"/>
        <v>0</v>
      </c>
      <c r="AW414" s="1427">
        <f t="shared" si="463"/>
        <v>0</v>
      </c>
      <c r="AX414" s="1427">
        <f t="shared" si="469"/>
        <v>0</v>
      </c>
      <c r="AY414" s="1427">
        <f t="shared" si="464"/>
        <v>0</v>
      </c>
      <c r="AZ414" s="1427">
        <f t="shared" si="470"/>
        <v>0</v>
      </c>
      <c r="BA414" s="1427">
        <f t="shared" si="465"/>
        <v>0</v>
      </c>
      <c r="BB414" s="1427">
        <f>IF(S414=0,0,1)</f>
        <v>0</v>
      </c>
      <c r="BC414" s="1427">
        <f>IF(BB414=1,S414,0)</f>
        <v>0</v>
      </c>
      <c r="BD414" s="1436">
        <f t="shared" si="467"/>
        <v>1</v>
      </c>
    </row>
    <row r="415" spans="1:56" ht="59.25" customHeight="1" x14ac:dyDescent="0.3">
      <c r="A415" s="1461" t="s">
        <v>3123</v>
      </c>
      <c r="B415" s="1457"/>
      <c r="C415" s="1458" t="s">
        <v>865</v>
      </c>
      <c r="D415" s="1388" t="s">
        <v>104</v>
      </c>
      <c r="E415" s="1465"/>
      <c r="F415" s="1465">
        <v>2020</v>
      </c>
      <c r="G415" s="1388" t="s">
        <v>2322</v>
      </c>
      <c r="H415" s="1443">
        <f>I415</f>
        <v>675</v>
      </c>
      <c r="I415" s="1443">
        <v>675</v>
      </c>
      <c r="J415" s="1460"/>
      <c r="K415" s="1460"/>
      <c r="L415" s="1460"/>
      <c r="M415" s="1460"/>
      <c r="N415" s="1460">
        <v>240</v>
      </c>
      <c r="O415" s="1460">
        <v>240</v>
      </c>
      <c r="P415" s="1460">
        <f>Q415</f>
        <v>675</v>
      </c>
      <c r="Q415" s="1460">
        <v>675</v>
      </c>
      <c r="R415" s="1454">
        <f>T415-O415</f>
        <v>435</v>
      </c>
      <c r="S415" s="1454"/>
      <c r="T415" s="1460">
        <f>U415</f>
        <v>675</v>
      </c>
      <c r="U415" s="1460">
        <v>675</v>
      </c>
      <c r="V415" s="1454"/>
      <c r="W415" s="1525">
        <v>-75</v>
      </c>
      <c r="X415" s="1460">
        <f>Y415</f>
        <v>600</v>
      </c>
      <c r="Y415" s="1460">
        <f>U415+W415</f>
        <v>600</v>
      </c>
      <c r="Z415" s="1460"/>
      <c r="AA415" s="1460"/>
      <c r="AB415" s="1460">
        <v>600</v>
      </c>
      <c r="AC415" s="1460">
        <v>600</v>
      </c>
      <c r="AD415" s="1460"/>
      <c r="AE415" s="1460"/>
      <c r="AF415" s="1383">
        <f t="shared" si="438"/>
        <v>600</v>
      </c>
      <c r="AG415" s="1383">
        <f t="shared" si="439"/>
        <v>600</v>
      </c>
      <c r="AH415" s="1383">
        <f t="shared" si="460"/>
        <v>600</v>
      </c>
      <c r="AI415" s="1383"/>
      <c r="AJ415" s="1383"/>
      <c r="AK415" s="1383"/>
      <c r="AL415" s="1383"/>
      <c r="AM415" s="1383">
        <v>600</v>
      </c>
      <c r="AN415" s="1381"/>
      <c r="AO415" s="1381"/>
      <c r="AP415" s="1431">
        <f t="shared" si="471"/>
        <v>0</v>
      </c>
      <c r="AQ415" s="1431">
        <f t="shared" si="472"/>
        <v>1</v>
      </c>
      <c r="AR415" s="1434">
        <f t="shared" si="408"/>
        <v>0</v>
      </c>
      <c r="AS415" s="1434"/>
      <c r="AT415" s="1427">
        <f t="shared" si="449"/>
        <v>1</v>
      </c>
      <c r="AV415" s="1427">
        <f t="shared" si="468"/>
        <v>0</v>
      </c>
      <c r="AW415" s="1427">
        <f t="shared" si="463"/>
        <v>0</v>
      </c>
      <c r="AX415" s="1427">
        <f t="shared" si="469"/>
        <v>0</v>
      </c>
      <c r="AY415" s="1427">
        <f t="shared" si="464"/>
        <v>0</v>
      </c>
      <c r="AZ415" s="1427">
        <f t="shared" si="470"/>
        <v>1</v>
      </c>
      <c r="BA415" s="1427">
        <f t="shared" si="465"/>
        <v>435</v>
      </c>
      <c r="BB415" s="1427">
        <f>IF(S415=0,0,1)</f>
        <v>0</v>
      </c>
      <c r="BC415" s="1427">
        <f>IF(BB415=1,S415,0)</f>
        <v>0</v>
      </c>
      <c r="BD415" s="1436">
        <f t="shared" si="467"/>
        <v>1</v>
      </c>
    </row>
    <row r="416" spans="1:56" ht="63" customHeight="1" x14ac:dyDescent="0.3">
      <c r="A416" s="1461" t="s">
        <v>3124</v>
      </c>
      <c r="B416" s="1457"/>
      <c r="C416" s="1458" t="s">
        <v>866</v>
      </c>
      <c r="D416" s="1388" t="s">
        <v>58</v>
      </c>
      <c r="E416" s="1465"/>
      <c r="F416" s="1465">
        <v>2020</v>
      </c>
      <c r="G416" s="1388" t="s">
        <v>867</v>
      </c>
      <c r="H416" s="1443">
        <v>500</v>
      </c>
      <c r="I416" s="1443">
        <v>500</v>
      </c>
      <c r="J416" s="1460"/>
      <c r="K416" s="1460"/>
      <c r="L416" s="1460"/>
      <c r="M416" s="1460"/>
      <c r="N416" s="1460">
        <v>480</v>
      </c>
      <c r="O416" s="1460">
        <v>480</v>
      </c>
      <c r="P416" s="1460">
        <v>480</v>
      </c>
      <c r="Q416" s="1460">
        <v>480</v>
      </c>
      <c r="R416" s="1454"/>
      <c r="S416" s="1454"/>
      <c r="T416" s="1460">
        <v>480</v>
      </c>
      <c r="U416" s="1460">
        <v>480</v>
      </c>
      <c r="V416" s="1454"/>
      <c r="W416" s="1454"/>
      <c r="X416" s="1460">
        <v>480</v>
      </c>
      <c r="Y416" s="1460">
        <v>480</v>
      </c>
      <c r="Z416" s="1460"/>
      <c r="AA416" s="1460"/>
      <c r="AB416" s="1460">
        <v>480</v>
      </c>
      <c r="AC416" s="1460">
        <v>480</v>
      </c>
      <c r="AD416" s="1460"/>
      <c r="AE416" s="1460"/>
      <c r="AF416" s="1383">
        <f t="shared" si="438"/>
        <v>480</v>
      </c>
      <c r="AG416" s="1383">
        <f t="shared" si="439"/>
        <v>480</v>
      </c>
      <c r="AH416" s="1383">
        <f t="shared" si="460"/>
        <v>480</v>
      </c>
      <c r="AI416" s="1383"/>
      <c r="AJ416" s="1383"/>
      <c r="AK416" s="1383"/>
      <c r="AL416" s="1383">
        <v>420</v>
      </c>
      <c r="AM416" s="1383">
        <v>60</v>
      </c>
      <c r="AN416" s="1464"/>
      <c r="AO416" s="1464"/>
      <c r="AP416" s="1431">
        <f t="shared" si="471"/>
        <v>0</v>
      </c>
      <c r="AQ416" s="1431">
        <f t="shared" si="472"/>
        <v>1</v>
      </c>
      <c r="AR416" s="1434">
        <f t="shared" si="408"/>
        <v>0</v>
      </c>
      <c r="AS416" s="1434"/>
      <c r="AT416" s="1427">
        <f t="shared" si="449"/>
        <v>1</v>
      </c>
      <c r="AV416" s="1427">
        <f t="shared" si="468"/>
        <v>0</v>
      </c>
      <c r="AW416" s="1427">
        <f t="shared" si="463"/>
        <v>0</v>
      </c>
      <c r="AX416" s="1427">
        <f t="shared" si="469"/>
        <v>0</v>
      </c>
      <c r="AY416" s="1427">
        <f t="shared" si="464"/>
        <v>0</v>
      </c>
      <c r="AZ416" s="1427">
        <f t="shared" si="470"/>
        <v>0</v>
      </c>
      <c r="BA416" s="1427">
        <f t="shared" si="465"/>
        <v>0</v>
      </c>
      <c r="BB416" s="1427">
        <f>IF(S416=0,0,1)</f>
        <v>0</v>
      </c>
      <c r="BC416" s="1427">
        <f>IF(BB416=1,S416,0)</f>
        <v>0</v>
      </c>
      <c r="BD416" s="1436">
        <f t="shared" si="467"/>
        <v>1</v>
      </c>
    </row>
    <row r="417" spans="1:56 16366:16383" ht="42.75" customHeight="1" x14ac:dyDescent="0.3">
      <c r="A417" s="1461" t="s">
        <v>3125</v>
      </c>
      <c r="B417" s="1457"/>
      <c r="C417" s="1458" t="s">
        <v>868</v>
      </c>
      <c r="D417" s="1388" t="s">
        <v>104</v>
      </c>
      <c r="E417" s="1465"/>
      <c r="F417" s="1465">
        <v>2020</v>
      </c>
      <c r="G417" s="1465"/>
      <c r="H417" s="1443">
        <v>1500</v>
      </c>
      <c r="I417" s="1443">
        <v>1500</v>
      </c>
      <c r="J417" s="1460"/>
      <c r="K417" s="1460"/>
      <c r="L417" s="1460"/>
      <c r="M417" s="1460"/>
      <c r="N417" s="1460">
        <v>1300</v>
      </c>
      <c r="O417" s="1460">
        <v>1300</v>
      </c>
      <c r="P417" s="1460"/>
      <c r="Q417" s="1460"/>
      <c r="R417" s="1454"/>
      <c r="S417" s="1454">
        <f>O417</f>
        <v>1300</v>
      </c>
      <c r="T417" s="1460"/>
      <c r="U417" s="1460"/>
      <c r="V417" s="1454"/>
      <c r="W417" s="1454"/>
      <c r="X417" s="1460"/>
      <c r="Y417" s="1460"/>
      <c r="Z417" s="1460"/>
      <c r="AA417" s="1460"/>
      <c r="AB417" s="1460">
        <v>0</v>
      </c>
      <c r="AC417" s="1460">
        <v>0</v>
      </c>
      <c r="AD417" s="1460"/>
      <c r="AE417" s="1460"/>
      <c r="AF417" s="1383">
        <f t="shared" si="438"/>
        <v>0</v>
      </c>
      <c r="AG417" s="1383">
        <f t="shared" si="439"/>
        <v>0</v>
      </c>
      <c r="AH417" s="1383">
        <f t="shared" si="460"/>
        <v>0</v>
      </c>
      <c r="AI417" s="1383"/>
      <c r="AJ417" s="1383"/>
      <c r="AK417" s="1383"/>
      <c r="AL417" s="1383"/>
      <c r="AM417" s="1383"/>
      <c r="AN417" s="1381"/>
      <c r="AO417" s="1381"/>
      <c r="AP417" s="1431">
        <f t="shared" si="471"/>
        <v>0</v>
      </c>
      <c r="AQ417" s="1431">
        <f t="shared" si="472"/>
        <v>0</v>
      </c>
      <c r="AR417" s="1434">
        <f t="shared" si="408"/>
        <v>0</v>
      </c>
      <c r="AS417" s="1434"/>
      <c r="AT417" s="1427">
        <f t="shared" si="449"/>
        <v>1</v>
      </c>
      <c r="AV417" s="1427">
        <f t="shared" si="468"/>
        <v>1</v>
      </c>
      <c r="AW417" s="1427">
        <f t="shared" si="463"/>
        <v>1300</v>
      </c>
      <c r="AX417" s="1427">
        <f t="shared" si="469"/>
        <v>0</v>
      </c>
      <c r="AY417" s="1427">
        <f t="shared" si="464"/>
        <v>0</v>
      </c>
      <c r="AZ417" s="1427">
        <f t="shared" si="470"/>
        <v>0</v>
      </c>
      <c r="BA417" s="1427">
        <f t="shared" si="465"/>
        <v>0</v>
      </c>
      <c r="BD417" s="1436">
        <f t="shared" si="467"/>
        <v>1</v>
      </c>
    </row>
    <row r="418" spans="1:56 16366:16383" ht="63.75" customHeight="1" x14ac:dyDescent="0.3">
      <c r="A418" s="1461" t="s">
        <v>3126</v>
      </c>
      <c r="B418" s="1461" t="s">
        <v>3080</v>
      </c>
      <c r="C418" s="1458" t="s">
        <v>869</v>
      </c>
      <c r="D418" s="1482" t="s">
        <v>58</v>
      </c>
      <c r="E418" s="1465"/>
      <c r="F418" s="1465">
        <v>2020</v>
      </c>
      <c r="G418" s="1388" t="s">
        <v>2487</v>
      </c>
      <c r="H418" s="1443">
        <v>2500</v>
      </c>
      <c r="I418" s="1443">
        <v>2500</v>
      </c>
      <c r="J418" s="1460"/>
      <c r="K418" s="1460"/>
      <c r="L418" s="1460"/>
      <c r="M418" s="1460"/>
      <c r="N418" s="1460">
        <v>2200</v>
      </c>
      <c r="O418" s="1460">
        <v>2200</v>
      </c>
      <c r="P418" s="1460">
        <v>2200</v>
      </c>
      <c r="Q418" s="1460">
        <v>2200</v>
      </c>
      <c r="R418" s="1454"/>
      <c r="S418" s="1454"/>
      <c r="T418" s="1460">
        <v>2200</v>
      </c>
      <c r="U418" s="1460">
        <v>2200</v>
      </c>
      <c r="V418" s="1454"/>
      <c r="W418" s="1454"/>
      <c r="X418" s="1460">
        <v>2200</v>
      </c>
      <c r="Y418" s="1460">
        <v>2200</v>
      </c>
      <c r="Z418" s="1460"/>
      <c r="AA418" s="1460"/>
      <c r="AB418" s="1460">
        <v>1978</v>
      </c>
      <c r="AC418" s="1460">
        <v>1978</v>
      </c>
      <c r="AD418" s="1460"/>
      <c r="AE418" s="1525"/>
      <c r="AF418" s="1383">
        <f t="shared" si="438"/>
        <v>1978</v>
      </c>
      <c r="AG418" s="1383">
        <f t="shared" si="439"/>
        <v>1978</v>
      </c>
      <c r="AH418" s="1383">
        <f t="shared" si="460"/>
        <v>1974</v>
      </c>
      <c r="AI418" s="1383"/>
      <c r="AJ418" s="1383"/>
      <c r="AK418" s="1383"/>
      <c r="AL418" s="1383">
        <v>1756</v>
      </c>
      <c r="AM418" s="1383">
        <f>440-222</f>
        <v>218</v>
      </c>
      <c r="AN418" s="1464"/>
      <c r="AO418" s="1464"/>
      <c r="AP418" s="1431">
        <f t="shared" si="471"/>
        <v>0</v>
      </c>
      <c r="AQ418" s="1431">
        <f t="shared" si="472"/>
        <v>1</v>
      </c>
      <c r="AR418" s="1434">
        <f t="shared" ref="AR418:AR421" si="473">AP418</f>
        <v>0</v>
      </c>
      <c r="AS418" s="1434"/>
      <c r="AT418" s="1427">
        <f t="shared" si="449"/>
        <v>1</v>
      </c>
      <c r="AV418" s="1427">
        <f t="shared" si="468"/>
        <v>0</v>
      </c>
      <c r="AW418" s="1427">
        <f t="shared" si="463"/>
        <v>0</v>
      </c>
      <c r="AX418" s="1427">
        <f t="shared" si="469"/>
        <v>0</v>
      </c>
      <c r="AY418" s="1427">
        <f t="shared" si="464"/>
        <v>0</v>
      </c>
      <c r="AZ418" s="1427">
        <f t="shared" si="470"/>
        <v>0</v>
      </c>
      <c r="BA418" s="1427">
        <f t="shared" si="465"/>
        <v>0</v>
      </c>
      <c r="BB418" s="1427">
        <f>IF(S418=0,0,1)</f>
        <v>0</v>
      </c>
      <c r="BC418" s="1427">
        <f>IF(BB418=1,S418,0)</f>
        <v>0</v>
      </c>
      <c r="BD418" s="1436">
        <f t="shared" si="467"/>
        <v>1</v>
      </c>
    </row>
    <row r="419" spans="1:56 16366:16383" ht="58.5" customHeight="1" x14ac:dyDescent="0.3">
      <c r="A419" s="1461" t="s">
        <v>3127</v>
      </c>
      <c r="B419" s="1457"/>
      <c r="C419" s="1458" t="s">
        <v>870</v>
      </c>
      <c r="D419" s="1388" t="s">
        <v>104</v>
      </c>
      <c r="E419" s="1465"/>
      <c r="F419" s="1465">
        <v>2020</v>
      </c>
      <c r="G419" s="1388" t="s">
        <v>2488</v>
      </c>
      <c r="H419" s="1443">
        <v>1500</v>
      </c>
      <c r="I419" s="1443">
        <v>1500</v>
      </c>
      <c r="J419" s="1460"/>
      <c r="K419" s="1460"/>
      <c r="L419" s="1460"/>
      <c r="M419" s="1460"/>
      <c r="N419" s="1460"/>
      <c r="O419" s="1460"/>
      <c r="P419" s="1460">
        <f>Q419</f>
        <v>1300</v>
      </c>
      <c r="Q419" s="1460">
        <v>1300</v>
      </c>
      <c r="R419" s="1454">
        <f>T419-O419</f>
        <v>1300</v>
      </c>
      <c r="S419" s="1454"/>
      <c r="T419" s="1460">
        <f>U419</f>
        <v>1300</v>
      </c>
      <c r="U419" s="1460">
        <v>1300</v>
      </c>
      <c r="V419" s="1454"/>
      <c r="W419" s="1454"/>
      <c r="X419" s="1460">
        <f>Y419</f>
        <v>1300</v>
      </c>
      <c r="Y419" s="1460">
        <v>1300</v>
      </c>
      <c r="Z419" s="1460"/>
      <c r="AA419" s="1460"/>
      <c r="AB419" s="1460">
        <v>1300</v>
      </c>
      <c r="AC419" s="1460">
        <v>1300</v>
      </c>
      <c r="AD419" s="1460"/>
      <c r="AE419" s="1460"/>
      <c r="AF419" s="1383">
        <f t="shared" si="438"/>
        <v>1300</v>
      </c>
      <c r="AG419" s="1383">
        <f t="shared" si="439"/>
        <v>1300</v>
      </c>
      <c r="AH419" s="1383">
        <f t="shared" si="460"/>
        <v>1300</v>
      </c>
      <c r="AI419" s="1383"/>
      <c r="AJ419" s="1383"/>
      <c r="AK419" s="1383"/>
      <c r="AL419" s="1383"/>
      <c r="AM419" s="1383">
        <v>1300</v>
      </c>
      <c r="AN419" s="1381"/>
      <c r="AO419" s="1381"/>
      <c r="AP419" s="1431">
        <f t="shared" si="471"/>
        <v>0</v>
      </c>
      <c r="AQ419" s="1431">
        <f t="shared" si="472"/>
        <v>1</v>
      </c>
      <c r="AR419" s="1434">
        <f t="shared" si="473"/>
        <v>0</v>
      </c>
      <c r="AS419" s="1434"/>
      <c r="AT419" s="1427">
        <f t="shared" si="449"/>
        <v>1</v>
      </c>
      <c r="AV419" s="1427">
        <f t="shared" si="468"/>
        <v>0</v>
      </c>
      <c r="AW419" s="1427">
        <f t="shared" si="463"/>
        <v>0</v>
      </c>
      <c r="AX419" s="1427">
        <f t="shared" si="469"/>
        <v>1</v>
      </c>
      <c r="AY419" s="1427">
        <f t="shared" si="464"/>
        <v>1300</v>
      </c>
      <c r="AZ419" s="1427">
        <f t="shared" si="470"/>
        <v>1</v>
      </c>
      <c r="BA419" s="1427">
        <f t="shared" si="465"/>
        <v>1300</v>
      </c>
      <c r="BD419" s="1436">
        <f t="shared" si="467"/>
        <v>1</v>
      </c>
    </row>
    <row r="420" spans="1:56 16366:16383" ht="62.25" customHeight="1" x14ac:dyDescent="0.3">
      <c r="A420" s="1461" t="s">
        <v>3128</v>
      </c>
      <c r="B420" s="1457"/>
      <c r="C420" s="1458" t="s">
        <v>872</v>
      </c>
      <c r="D420" s="1482" t="s">
        <v>104</v>
      </c>
      <c r="E420" s="1465" t="s">
        <v>873</v>
      </c>
      <c r="F420" s="1465" t="s">
        <v>101</v>
      </c>
      <c r="G420" s="1388" t="s">
        <v>874</v>
      </c>
      <c r="H420" s="1443">
        <f>13170000*27000/1000000</f>
        <v>355590</v>
      </c>
      <c r="I420" s="1443">
        <f>3470000*27000/1000000</f>
        <v>93690</v>
      </c>
      <c r="J420" s="1460"/>
      <c r="K420" s="1460"/>
      <c r="L420" s="1460"/>
      <c r="M420" s="1460"/>
      <c r="N420" s="1460">
        <f>H420</f>
        <v>355590</v>
      </c>
      <c r="O420" s="1460">
        <v>20000</v>
      </c>
      <c r="P420" s="1460">
        <f>N420</f>
        <v>355590</v>
      </c>
      <c r="Q420" s="1460">
        <v>20000</v>
      </c>
      <c r="R420" s="1454"/>
      <c r="S420" s="1454"/>
      <c r="T420" s="1460">
        <f>P420</f>
        <v>355590</v>
      </c>
      <c r="U420" s="1460">
        <v>20000</v>
      </c>
      <c r="V420" s="1454">
        <v>7000</v>
      </c>
      <c r="W420" s="1454"/>
      <c r="X420" s="1460">
        <f>T420</f>
        <v>355590</v>
      </c>
      <c r="Y420" s="1460">
        <f>V420+U420</f>
        <v>27000</v>
      </c>
      <c r="Z420" s="1460"/>
      <c r="AA420" s="1460"/>
      <c r="AB420" s="1460">
        <v>355590</v>
      </c>
      <c r="AC420" s="1460">
        <v>27000</v>
      </c>
      <c r="AD420" s="1460"/>
      <c r="AE420" s="1460"/>
      <c r="AF420" s="1383">
        <f>AB420</f>
        <v>355590</v>
      </c>
      <c r="AG420" s="1383">
        <f t="shared" si="439"/>
        <v>27000</v>
      </c>
      <c r="AH420" s="1383">
        <f t="shared" si="460"/>
        <v>44411</v>
      </c>
      <c r="AI420" s="1383"/>
      <c r="AJ420" s="1383"/>
      <c r="AK420" s="1383">
        <v>17411</v>
      </c>
      <c r="AL420" s="1383">
        <v>27000</v>
      </c>
      <c r="AM420" s="1383"/>
      <c r="AN420" s="1381"/>
      <c r="AO420" s="1381"/>
      <c r="AP420" s="1431">
        <f t="shared" si="471"/>
        <v>0</v>
      </c>
      <c r="AQ420" s="1431">
        <f t="shared" si="472"/>
        <v>1</v>
      </c>
      <c r="AR420" s="1434">
        <f t="shared" si="473"/>
        <v>0</v>
      </c>
      <c r="AS420" s="1434"/>
      <c r="AT420" s="1427">
        <f t="shared" si="449"/>
        <v>1</v>
      </c>
      <c r="AV420" s="1427">
        <f t="shared" si="468"/>
        <v>0</v>
      </c>
      <c r="AW420" s="1427">
        <f t="shared" si="463"/>
        <v>0</v>
      </c>
      <c r="AX420" s="1427">
        <f t="shared" si="469"/>
        <v>0</v>
      </c>
      <c r="AY420" s="1427">
        <f t="shared" si="464"/>
        <v>0</v>
      </c>
      <c r="AZ420" s="1427">
        <f t="shared" si="470"/>
        <v>0</v>
      </c>
      <c r="BA420" s="1427">
        <f t="shared" si="465"/>
        <v>0</v>
      </c>
      <c r="BB420" s="1427">
        <f>IF(S420=0,0,1)</f>
        <v>0</v>
      </c>
      <c r="BC420" s="1427">
        <f>IF(BB420=1,S420,0)</f>
        <v>0</v>
      </c>
      <c r="BD420" s="1436">
        <f t="shared" si="467"/>
        <v>1</v>
      </c>
    </row>
    <row r="421" spans="1:56 16366:16383" ht="81.75" customHeight="1" x14ac:dyDescent="0.3">
      <c r="A421" s="1461" t="s">
        <v>3129</v>
      </c>
      <c r="B421" s="1461" t="s">
        <v>3081</v>
      </c>
      <c r="C421" s="1458" t="s">
        <v>876</v>
      </c>
      <c r="D421" s="1388" t="s">
        <v>176</v>
      </c>
      <c r="E421" s="1388"/>
      <c r="F421" s="1388" t="s">
        <v>141</v>
      </c>
      <c r="G421" s="1388" t="s">
        <v>877</v>
      </c>
      <c r="H421" s="1444">
        <v>101065</v>
      </c>
      <c r="I421" s="1476">
        <v>16822</v>
      </c>
      <c r="J421" s="1460"/>
      <c r="K421" s="1460"/>
      <c r="L421" s="1460"/>
      <c r="M421" s="1460"/>
      <c r="N421" s="1463"/>
      <c r="O421" s="1460"/>
      <c r="P421" s="1463">
        <v>91065</v>
      </c>
      <c r="Q421" s="1460">
        <f>I421</f>
        <v>16822</v>
      </c>
      <c r="R421" s="1454">
        <f>U421</f>
        <v>16822</v>
      </c>
      <c r="S421" s="1454"/>
      <c r="T421" s="1463">
        <v>91065</v>
      </c>
      <c r="U421" s="1460">
        <f>Q421</f>
        <v>16822</v>
      </c>
      <c r="V421" s="1454"/>
      <c r="W421" s="1454"/>
      <c r="X421" s="1463">
        <v>91065</v>
      </c>
      <c r="Y421" s="1460">
        <f>U421</f>
        <v>16822</v>
      </c>
      <c r="Z421" s="1460"/>
      <c r="AA421" s="1460"/>
      <c r="AB421" s="1460">
        <v>91065</v>
      </c>
      <c r="AC421" s="1460">
        <v>6919</v>
      </c>
      <c r="AD421" s="1460"/>
      <c r="AE421" s="1525"/>
      <c r="AF421" s="1383">
        <f>AB421</f>
        <v>91065</v>
      </c>
      <c r="AG421" s="1383">
        <f t="shared" si="439"/>
        <v>6919</v>
      </c>
      <c r="AH421" s="1383">
        <f t="shared" si="460"/>
        <v>6919</v>
      </c>
      <c r="AI421" s="1383"/>
      <c r="AJ421" s="1383"/>
      <c r="AK421" s="1383"/>
      <c r="AL421" s="1383">
        <v>739</v>
      </c>
      <c r="AM421" s="1383">
        <f>16083-9903</f>
        <v>6180</v>
      </c>
      <c r="AN421" s="1381"/>
      <c r="AO421" s="1381"/>
      <c r="AP421" s="1431">
        <f t="shared" si="471"/>
        <v>0</v>
      </c>
      <c r="AQ421" s="1431">
        <f t="shared" si="472"/>
        <v>1</v>
      </c>
      <c r="AR421" s="1434">
        <f t="shared" si="473"/>
        <v>0</v>
      </c>
      <c r="AS421" s="1434">
        <f>SUM(V422:V426)</f>
        <v>15300</v>
      </c>
      <c r="AT421" s="1427">
        <f t="shared" si="449"/>
        <v>1</v>
      </c>
      <c r="AV421" s="1427">
        <f t="shared" si="468"/>
        <v>0</v>
      </c>
      <c r="AW421" s="1427">
        <f t="shared" ref="AW421" si="474">IF(AV421=1,O421,0)</f>
        <v>0</v>
      </c>
      <c r="AX421" s="1427">
        <f t="shared" si="469"/>
        <v>1</v>
      </c>
      <c r="AY421" s="1427">
        <f t="shared" ref="AY421" si="475">IF(AX421=1,Q421,0)</f>
        <v>16822</v>
      </c>
      <c r="BB421" s="1427">
        <f>IF(S421=0,0,1)</f>
        <v>0</v>
      </c>
      <c r="BC421" s="1427">
        <f>IF(BB421=1,S421,0)</f>
        <v>0</v>
      </c>
      <c r="BD421" s="1436">
        <f t="shared" si="467"/>
        <v>1</v>
      </c>
    </row>
    <row r="422" spans="1:56 16366:16383" ht="58.5" customHeight="1" x14ac:dyDescent="0.3">
      <c r="A422" s="1461" t="s">
        <v>3130</v>
      </c>
      <c r="B422" s="1461" t="s">
        <v>3082</v>
      </c>
      <c r="C422" s="1505" t="s">
        <v>2146</v>
      </c>
      <c r="D422" s="1388" t="s">
        <v>58</v>
      </c>
      <c r="E422" s="1388" t="s">
        <v>398</v>
      </c>
      <c r="F422" s="1388" t="s">
        <v>290</v>
      </c>
      <c r="G422" s="1388" t="s">
        <v>2558</v>
      </c>
      <c r="H422" s="1444">
        <f>I422</f>
        <v>7000</v>
      </c>
      <c r="I422" s="1506">
        <v>7000</v>
      </c>
      <c r="J422" s="1460"/>
      <c r="K422" s="1460"/>
      <c r="L422" s="1460"/>
      <c r="M422" s="1460"/>
      <c r="N422" s="1463"/>
      <c r="O422" s="1460"/>
      <c r="P422" s="1463"/>
      <c r="Q422" s="1460"/>
      <c r="R422" s="1454"/>
      <c r="S422" s="1454"/>
      <c r="T422" s="1463"/>
      <c r="U422" s="1460"/>
      <c r="V422" s="1454">
        <f>I422*0.9</f>
        <v>6300</v>
      </c>
      <c r="W422" s="1454"/>
      <c r="X422" s="1463">
        <f>Y422</f>
        <v>6300</v>
      </c>
      <c r="Y422" s="1460">
        <f>V422+U422</f>
        <v>6300</v>
      </c>
      <c r="Z422" s="1460"/>
      <c r="AA422" s="1460"/>
      <c r="AB422" s="1460">
        <v>4000</v>
      </c>
      <c r="AC422" s="1460">
        <v>4000</v>
      </c>
      <c r="AD422" s="1460"/>
      <c r="AE422" s="1525"/>
      <c r="AF422" s="1383">
        <f t="shared" si="438"/>
        <v>4000</v>
      </c>
      <c r="AG422" s="1383">
        <f t="shared" si="439"/>
        <v>4000</v>
      </c>
      <c r="AH422" s="1383">
        <f t="shared" si="460"/>
        <v>4000</v>
      </c>
      <c r="AI422" s="1383"/>
      <c r="AJ422" s="1383"/>
      <c r="AK422" s="1383"/>
      <c r="AL422" s="1383"/>
      <c r="AM422" s="1383">
        <f>5200-1200</f>
        <v>4000</v>
      </c>
      <c r="AN422" s="1381"/>
      <c r="AO422" s="1381"/>
      <c r="AP422" s="1431">
        <f t="shared" si="471"/>
        <v>0</v>
      </c>
      <c r="AQ422" s="1431">
        <f t="shared" si="472"/>
        <v>1</v>
      </c>
      <c r="AR422" s="1434"/>
      <c r="AS422" s="1434"/>
      <c r="BD422" s="1436">
        <f t="shared" si="467"/>
        <v>1</v>
      </c>
    </row>
    <row r="423" spans="1:56 16366:16383" ht="42" customHeight="1" x14ac:dyDescent="0.3">
      <c r="A423" s="1461" t="s">
        <v>3131</v>
      </c>
      <c r="B423" s="1457"/>
      <c r="C423" s="1505" t="s">
        <v>2437</v>
      </c>
      <c r="D423" s="1388" t="s">
        <v>146</v>
      </c>
      <c r="E423" s="1388"/>
      <c r="F423" s="1388" t="s">
        <v>290</v>
      </c>
      <c r="G423" s="1388"/>
      <c r="H423" s="1444">
        <v>30000</v>
      </c>
      <c r="I423" s="1506">
        <v>3000</v>
      </c>
      <c r="J423" s="1460"/>
      <c r="K423" s="1460"/>
      <c r="L423" s="1460"/>
      <c r="M423" s="1460"/>
      <c r="N423" s="1463"/>
      <c r="O423" s="1460"/>
      <c r="P423" s="1463"/>
      <c r="Q423" s="1460"/>
      <c r="R423" s="1454"/>
      <c r="S423" s="1454"/>
      <c r="T423" s="1463"/>
      <c r="U423" s="1460"/>
      <c r="V423" s="1454">
        <v>3000</v>
      </c>
      <c r="W423" s="1454"/>
      <c r="X423" s="1463">
        <f t="shared" ref="X423:X426" si="476">Y423</f>
        <v>3000</v>
      </c>
      <c r="Y423" s="1460">
        <f t="shared" ref="Y423:Y425" si="477">V423+U423</f>
        <v>3000</v>
      </c>
      <c r="Z423" s="1460"/>
      <c r="AA423" s="1460"/>
      <c r="AB423" s="1460">
        <v>3000</v>
      </c>
      <c r="AC423" s="1460">
        <v>3000</v>
      </c>
      <c r="AD423" s="1460"/>
      <c r="AE423" s="1460"/>
      <c r="AF423" s="1383">
        <f t="shared" si="438"/>
        <v>3000</v>
      </c>
      <c r="AG423" s="1383">
        <f t="shared" si="439"/>
        <v>3000</v>
      </c>
      <c r="AH423" s="1383">
        <f t="shared" si="460"/>
        <v>0</v>
      </c>
      <c r="AI423" s="1383"/>
      <c r="AJ423" s="1383"/>
      <c r="AK423" s="1383"/>
      <c r="AL423" s="1383"/>
      <c r="AM423" s="1383"/>
      <c r="AN423" s="1381"/>
      <c r="AO423" s="1381"/>
      <c r="AP423" s="1431">
        <f t="shared" si="471"/>
        <v>0</v>
      </c>
      <c r="AQ423" s="1431">
        <f t="shared" si="472"/>
        <v>1</v>
      </c>
      <c r="AR423" s="1434"/>
      <c r="AS423" s="1434">
        <f>1045178-AI16</f>
        <v>0</v>
      </c>
      <c r="BD423" s="1436">
        <f t="shared" si="467"/>
        <v>1</v>
      </c>
    </row>
    <row r="424" spans="1:56 16366:16383" ht="37.5" x14ac:dyDescent="0.3">
      <c r="A424" s="1461" t="s">
        <v>3132</v>
      </c>
      <c r="B424" s="1457"/>
      <c r="C424" s="1505" t="s">
        <v>2438</v>
      </c>
      <c r="D424" s="1388" t="s">
        <v>95</v>
      </c>
      <c r="E424" s="1388"/>
      <c r="F424" s="1388" t="s">
        <v>290</v>
      </c>
      <c r="G424" s="1388"/>
      <c r="H424" s="1444">
        <v>30000</v>
      </c>
      <c r="I424" s="1506">
        <v>3000</v>
      </c>
      <c r="J424" s="1460"/>
      <c r="K424" s="1460"/>
      <c r="L424" s="1460"/>
      <c r="M424" s="1460"/>
      <c r="N424" s="1463"/>
      <c r="O424" s="1460"/>
      <c r="P424" s="1463"/>
      <c r="Q424" s="1460"/>
      <c r="R424" s="1454"/>
      <c r="S424" s="1454"/>
      <c r="T424" s="1463"/>
      <c r="U424" s="1460"/>
      <c r="V424" s="1454">
        <v>3000</v>
      </c>
      <c r="W424" s="1454"/>
      <c r="X424" s="1463">
        <f t="shared" si="476"/>
        <v>3000</v>
      </c>
      <c r="Y424" s="1460">
        <f t="shared" si="477"/>
        <v>3000</v>
      </c>
      <c r="Z424" s="1460"/>
      <c r="AA424" s="1460"/>
      <c r="AB424" s="1460">
        <v>3000</v>
      </c>
      <c r="AC424" s="1460">
        <v>3000</v>
      </c>
      <c r="AD424" s="1460"/>
      <c r="AE424" s="1460"/>
      <c r="AF424" s="1383">
        <f t="shared" si="438"/>
        <v>3000</v>
      </c>
      <c r="AG424" s="1383">
        <f t="shared" si="439"/>
        <v>3000</v>
      </c>
      <c r="AH424" s="1383">
        <f t="shared" si="460"/>
        <v>0</v>
      </c>
      <c r="AI424" s="1383"/>
      <c r="AJ424" s="1383"/>
      <c r="AK424" s="1383"/>
      <c r="AL424" s="1383"/>
      <c r="AM424" s="1383"/>
      <c r="AN424" s="1381"/>
      <c r="AO424" s="1381"/>
      <c r="AP424" s="1431">
        <f t="shared" si="471"/>
        <v>0</v>
      </c>
      <c r="AQ424" s="1431">
        <f t="shared" si="472"/>
        <v>1</v>
      </c>
      <c r="AR424" s="1434"/>
      <c r="AS424" s="1434"/>
      <c r="BD424" s="1436">
        <f t="shared" si="467"/>
        <v>1</v>
      </c>
    </row>
    <row r="425" spans="1:56 16366:16383" ht="40.5" customHeight="1" x14ac:dyDescent="0.3">
      <c r="A425" s="1461" t="s">
        <v>3133</v>
      </c>
      <c r="B425" s="1457"/>
      <c r="C425" s="1505" t="s">
        <v>2439</v>
      </c>
      <c r="D425" s="1388" t="s">
        <v>58</v>
      </c>
      <c r="E425" s="1388"/>
      <c r="F425" s="1388" t="s">
        <v>290</v>
      </c>
      <c r="G425" s="1388"/>
      <c r="H425" s="1444">
        <v>30000</v>
      </c>
      <c r="I425" s="1506">
        <v>3000</v>
      </c>
      <c r="J425" s="1460"/>
      <c r="K425" s="1460"/>
      <c r="L425" s="1460"/>
      <c r="M425" s="1460"/>
      <c r="N425" s="1463"/>
      <c r="O425" s="1460"/>
      <c r="P425" s="1463"/>
      <c r="Q425" s="1460"/>
      <c r="R425" s="1454"/>
      <c r="S425" s="1454"/>
      <c r="T425" s="1463"/>
      <c r="U425" s="1460"/>
      <c r="V425" s="1454">
        <v>3000</v>
      </c>
      <c r="W425" s="1454"/>
      <c r="X425" s="1463">
        <f t="shared" si="476"/>
        <v>3000</v>
      </c>
      <c r="Y425" s="1460">
        <f t="shared" si="477"/>
        <v>3000</v>
      </c>
      <c r="Z425" s="1460"/>
      <c r="AA425" s="1460"/>
      <c r="AB425" s="1460">
        <v>3000</v>
      </c>
      <c r="AC425" s="1460">
        <v>3000</v>
      </c>
      <c r="AD425" s="1460"/>
      <c r="AE425" s="1460"/>
      <c r="AF425" s="1383">
        <f t="shared" si="438"/>
        <v>3000</v>
      </c>
      <c r="AG425" s="1383">
        <f t="shared" si="439"/>
        <v>3000</v>
      </c>
      <c r="AH425" s="1383">
        <f t="shared" si="460"/>
        <v>0</v>
      </c>
      <c r="AI425" s="1383"/>
      <c r="AJ425" s="1383"/>
      <c r="AK425" s="1383"/>
      <c r="AL425" s="1383"/>
      <c r="AM425" s="1383"/>
      <c r="AN425" s="1381"/>
      <c r="AO425" s="1381"/>
      <c r="AP425" s="1431">
        <f t="shared" si="471"/>
        <v>0</v>
      </c>
      <c r="AQ425" s="1431">
        <f t="shared" si="472"/>
        <v>1</v>
      </c>
      <c r="AR425" s="1434"/>
      <c r="AS425" s="1434"/>
      <c r="BD425" s="1436">
        <f t="shared" si="467"/>
        <v>1</v>
      </c>
    </row>
    <row r="426" spans="1:56 16366:16383" ht="29.25" customHeight="1" x14ac:dyDescent="0.3">
      <c r="A426" s="1461" t="s">
        <v>3134</v>
      </c>
      <c r="B426" s="1457"/>
      <c r="C426" s="1505" t="s">
        <v>2436</v>
      </c>
      <c r="D426" s="1388" t="s">
        <v>176</v>
      </c>
      <c r="E426" s="1388"/>
      <c r="F426" s="1388" t="s">
        <v>290</v>
      </c>
      <c r="G426" s="1388"/>
      <c r="H426" s="1444">
        <f>I426</f>
        <v>31000</v>
      </c>
      <c r="I426" s="1476">
        <v>31000</v>
      </c>
      <c r="J426" s="1460"/>
      <c r="K426" s="1460"/>
      <c r="L426" s="1460"/>
      <c r="M426" s="1460"/>
      <c r="N426" s="1463"/>
      <c r="O426" s="1460"/>
      <c r="P426" s="1463"/>
      <c r="Q426" s="1460"/>
      <c r="R426" s="1454"/>
      <c r="S426" s="1454"/>
      <c r="T426" s="1463">
        <v>30000</v>
      </c>
      <c r="U426" s="1460">
        <v>30000</v>
      </c>
      <c r="V426" s="1454"/>
      <c r="W426" s="1525">
        <v>-30000</v>
      </c>
      <c r="X426" s="1463">
        <f t="shared" si="476"/>
        <v>0</v>
      </c>
      <c r="Y426" s="1460">
        <f>U426+W426</f>
        <v>0</v>
      </c>
      <c r="Z426" s="1460"/>
      <c r="AA426" s="1460"/>
      <c r="AB426" s="1460">
        <v>0</v>
      </c>
      <c r="AC426" s="1460">
        <v>0</v>
      </c>
      <c r="AD426" s="1460"/>
      <c r="AE426" s="1460"/>
      <c r="AF426" s="1383">
        <f t="shared" si="438"/>
        <v>0</v>
      </c>
      <c r="AG426" s="1383">
        <f t="shared" si="439"/>
        <v>0</v>
      </c>
      <c r="AH426" s="1383">
        <f t="shared" si="460"/>
        <v>0</v>
      </c>
      <c r="AI426" s="1383"/>
      <c r="AJ426" s="1383"/>
      <c r="AK426" s="1383"/>
      <c r="AL426" s="1383"/>
      <c r="AM426" s="1383"/>
      <c r="AN426" s="1381"/>
      <c r="AO426" s="1381"/>
      <c r="AP426" s="1431">
        <f t="shared" si="471"/>
        <v>0</v>
      </c>
      <c r="AQ426" s="1431">
        <f t="shared" si="472"/>
        <v>0</v>
      </c>
      <c r="AR426" s="1434"/>
      <c r="AS426" s="1434"/>
      <c r="BD426" s="1436">
        <f t="shared" si="467"/>
        <v>1</v>
      </c>
    </row>
    <row r="427" spans="1:56 16366:16383" ht="80.25" customHeight="1" x14ac:dyDescent="0.3">
      <c r="A427" s="1461" t="s">
        <v>3135</v>
      </c>
      <c r="B427" s="1457"/>
      <c r="C427" s="1505" t="s">
        <v>2643</v>
      </c>
      <c r="D427" s="1388"/>
      <c r="E427" s="1388"/>
      <c r="F427" s="1388">
        <v>2020</v>
      </c>
      <c r="G427" s="1388"/>
      <c r="H427" s="1444">
        <v>13800</v>
      </c>
      <c r="I427" s="1476">
        <v>13800</v>
      </c>
      <c r="J427" s="1460"/>
      <c r="K427" s="1460"/>
      <c r="L427" s="1460"/>
      <c r="M427" s="1460"/>
      <c r="N427" s="1463"/>
      <c r="O427" s="1460"/>
      <c r="P427" s="1463"/>
      <c r="Q427" s="1460"/>
      <c r="R427" s="1454"/>
      <c r="S427" s="1454"/>
      <c r="T427" s="1463"/>
      <c r="U427" s="1460"/>
      <c r="V427" s="1454"/>
      <c r="W427" s="1490"/>
      <c r="X427" s="1463"/>
      <c r="Y427" s="1460"/>
      <c r="Z427" s="1460">
        <v>12000</v>
      </c>
      <c r="AA427" s="1460"/>
      <c r="AB427" s="1460">
        <v>12000</v>
      </c>
      <c r="AC427" s="1460">
        <v>12000</v>
      </c>
      <c r="AD427" s="1460"/>
      <c r="AE427" s="1460"/>
      <c r="AF427" s="1383">
        <f t="shared" si="438"/>
        <v>12000</v>
      </c>
      <c r="AG427" s="1383">
        <f t="shared" si="439"/>
        <v>12000</v>
      </c>
      <c r="AH427" s="1383">
        <f t="shared" si="460"/>
        <v>0</v>
      </c>
      <c r="AI427" s="1383"/>
      <c r="AJ427" s="1383"/>
      <c r="AK427" s="1383"/>
      <c r="AL427" s="1383"/>
      <c r="AM427" s="1383"/>
      <c r="AN427" s="1381" t="s">
        <v>2723</v>
      </c>
      <c r="AO427" s="1381"/>
      <c r="AP427" s="1431">
        <f t="shared" si="471"/>
        <v>0</v>
      </c>
      <c r="AQ427" s="1431"/>
      <c r="AR427" s="1434"/>
      <c r="AS427" s="1434"/>
      <c r="BD427" s="1436"/>
    </row>
    <row r="428" spans="1:56 16366:16383" ht="90.75" customHeight="1" x14ac:dyDescent="0.3">
      <c r="A428" s="1461" t="s">
        <v>3136</v>
      </c>
      <c r="B428" s="1457"/>
      <c r="C428" s="1621" t="s">
        <v>2013</v>
      </c>
      <c r="D428" s="1608" t="s">
        <v>205</v>
      </c>
      <c r="E428" s="1608" t="s">
        <v>2014</v>
      </c>
      <c r="F428" s="1646">
        <v>2016</v>
      </c>
      <c r="G428" s="1829" t="s">
        <v>2015</v>
      </c>
      <c r="H428" s="1666">
        <v>782</v>
      </c>
      <c r="I428" s="1796">
        <f t="shared" ref="I428:I429" si="478">H428</f>
        <v>782</v>
      </c>
      <c r="J428" s="1830"/>
      <c r="K428" s="1830"/>
      <c r="L428" s="1830"/>
      <c r="M428" s="1830"/>
      <c r="N428" s="1831">
        <v>740</v>
      </c>
      <c r="O428" s="1796">
        <f t="shared" ref="O428:O429" si="479">N428</f>
        <v>740</v>
      </c>
      <c r="P428" s="1831">
        <v>740</v>
      </c>
      <c r="Q428" s="1796">
        <f t="shared" ref="Q428:Q429" si="480">P428</f>
        <v>740</v>
      </c>
      <c r="R428" s="1796"/>
      <c r="S428" s="1796"/>
      <c r="T428" s="1831">
        <v>740</v>
      </c>
      <c r="U428" s="1796">
        <f t="shared" ref="U428:U429" si="481">T428</f>
        <v>740</v>
      </c>
      <c r="V428" s="1796"/>
      <c r="W428" s="1796"/>
      <c r="X428" s="1831">
        <f t="shared" ref="X428:X429" si="482">Y428</f>
        <v>740</v>
      </c>
      <c r="Y428" s="1831">
        <f t="shared" ref="Y428:Y429" si="483">U428+V428+W428</f>
        <v>740</v>
      </c>
      <c r="Z428" s="1831"/>
      <c r="AA428" s="1831"/>
      <c r="AB428" s="1831">
        <v>740</v>
      </c>
      <c r="AC428" s="1831">
        <v>740</v>
      </c>
      <c r="AD428" s="1460"/>
      <c r="AE428" s="1460"/>
      <c r="AF428" s="1831">
        <f t="shared" ref="AF428:AF429" si="484">AG428</f>
        <v>740</v>
      </c>
      <c r="AG428" s="1831">
        <f t="shared" ref="AG428:AG429" si="485">AC428+AD428+AE428</f>
        <v>740</v>
      </c>
      <c r="AH428" s="1383">
        <f>AI428+AJ428+AK428+AL428+AM428</f>
        <v>500</v>
      </c>
      <c r="AI428" s="1383">
        <v>500</v>
      </c>
      <c r="AJ428" s="1383"/>
      <c r="AK428" s="1383"/>
      <c r="AL428" s="1383"/>
      <c r="AM428" s="1383"/>
      <c r="AN428" s="1381"/>
      <c r="AO428" s="1381"/>
      <c r="AP428" s="1431">
        <f t="shared" si="471"/>
        <v>0</v>
      </c>
      <c r="AQ428" s="1431"/>
      <c r="AR428" s="1434"/>
      <c r="AS428" s="1434"/>
      <c r="BD428" s="1436"/>
    </row>
    <row r="429" spans="1:56 16366:16383" ht="90.75" customHeight="1" x14ac:dyDescent="0.3">
      <c r="A429" s="1461" t="s">
        <v>3137</v>
      </c>
      <c r="B429" s="1457"/>
      <c r="C429" s="1621" t="s">
        <v>2016</v>
      </c>
      <c r="D429" s="1608" t="s">
        <v>2017</v>
      </c>
      <c r="E429" s="1608"/>
      <c r="F429" s="1646">
        <v>2016</v>
      </c>
      <c r="G429" s="1829" t="s">
        <v>2018</v>
      </c>
      <c r="H429" s="1666">
        <v>537</v>
      </c>
      <c r="I429" s="1796">
        <f t="shared" si="478"/>
        <v>537</v>
      </c>
      <c r="J429" s="1830"/>
      <c r="K429" s="1830"/>
      <c r="L429" s="1830"/>
      <c r="M429" s="1830"/>
      <c r="N429" s="1831">
        <v>500</v>
      </c>
      <c r="O429" s="1796">
        <f t="shared" si="479"/>
        <v>500</v>
      </c>
      <c r="P429" s="1831">
        <v>500</v>
      </c>
      <c r="Q429" s="1796">
        <f t="shared" si="480"/>
        <v>500</v>
      </c>
      <c r="R429" s="1796"/>
      <c r="S429" s="1796"/>
      <c r="T429" s="1831">
        <v>500</v>
      </c>
      <c r="U429" s="1796">
        <f t="shared" si="481"/>
        <v>500</v>
      </c>
      <c r="V429" s="1796"/>
      <c r="W429" s="1796"/>
      <c r="X429" s="1831">
        <f t="shared" si="482"/>
        <v>500</v>
      </c>
      <c r="Y429" s="1831">
        <f t="shared" si="483"/>
        <v>500</v>
      </c>
      <c r="Z429" s="1831"/>
      <c r="AA429" s="1831"/>
      <c r="AB429" s="1831">
        <v>500</v>
      </c>
      <c r="AC429" s="1831">
        <v>500</v>
      </c>
      <c r="AD429" s="1460"/>
      <c r="AE429" s="1460"/>
      <c r="AF429" s="1831">
        <f t="shared" si="484"/>
        <v>500</v>
      </c>
      <c r="AG429" s="1831">
        <f t="shared" si="485"/>
        <v>500</v>
      </c>
      <c r="AH429" s="1383">
        <f>AI429+AJ429+AK429+AL429+AM429</f>
        <v>37</v>
      </c>
      <c r="AI429" s="1383">
        <v>37</v>
      </c>
      <c r="AJ429" s="1383"/>
      <c r="AK429" s="1383"/>
      <c r="AL429" s="1383"/>
      <c r="AM429" s="1383"/>
      <c r="AN429" s="1381" t="s">
        <v>2761</v>
      </c>
      <c r="AO429" s="1381"/>
      <c r="AP429" s="1431">
        <f t="shared" si="471"/>
        <v>0</v>
      </c>
      <c r="AQ429" s="1431"/>
      <c r="AR429" s="1434"/>
      <c r="AS429" s="1434"/>
      <c r="BD429" s="1436"/>
    </row>
    <row r="430" spans="1:56 16366:16383" ht="42" customHeight="1" x14ac:dyDescent="0.3">
      <c r="A430" s="1826" t="s">
        <v>3138</v>
      </c>
      <c r="B430" s="1826" t="s">
        <v>3138</v>
      </c>
      <c r="C430" s="1446" t="s">
        <v>3484</v>
      </c>
      <c r="D430" s="1388"/>
      <c r="E430" s="1507"/>
      <c r="F430" s="1388"/>
      <c r="G430" s="1421"/>
      <c r="H430" s="1508">
        <f t="shared" ref="H430:I430" si="486">SUM(H431:H433)</f>
        <v>449959</v>
      </c>
      <c r="I430" s="1508">
        <f t="shared" si="486"/>
        <v>192028</v>
      </c>
      <c r="J430" s="1509"/>
      <c r="K430" s="1509"/>
      <c r="L430" s="1509"/>
      <c r="M430" s="1509"/>
      <c r="N430" s="1463"/>
      <c r="O430" s="1460"/>
      <c r="P430" s="1463"/>
      <c r="Q430" s="1460"/>
      <c r="R430" s="1454"/>
      <c r="S430" s="1454"/>
      <c r="T430" s="1510"/>
      <c r="U430" s="1509"/>
      <c r="V430" s="1508">
        <f>SUM(V431:V433)</f>
        <v>59000</v>
      </c>
      <c r="W430" s="1508"/>
      <c r="X430" s="1508">
        <f t="shared" ref="X430:Y430" si="487">SUM(X431:X433)</f>
        <v>59000</v>
      </c>
      <c r="Y430" s="1508">
        <f t="shared" si="487"/>
        <v>59000</v>
      </c>
      <c r="Z430" s="1460"/>
      <c r="AA430" s="1460"/>
      <c r="AB430" s="1508">
        <v>35000</v>
      </c>
      <c r="AC430" s="1508">
        <v>35000</v>
      </c>
      <c r="AD430" s="1508">
        <f t="shared" ref="AD430:AM430" si="488">SUM(AD431:AD433)</f>
        <v>0</v>
      </c>
      <c r="AE430" s="1508">
        <f t="shared" si="488"/>
        <v>-9690</v>
      </c>
      <c r="AF430" s="1508">
        <f t="shared" si="488"/>
        <v>25310</v>
      </c>
      <c r="AG430" s="1508">
        <f t="shared" si="488"/>
        <v>25310</v>
      </c>
      <c r="AH430" s="1508">
        <f t="shared" si="488"/>
        <v>35000</v>
      </c>
      <c r="AI430" s="1508">
        <f t="shared" si="488"/>
        <v>0</v>
      </c>
      <c r="AJ430" s="1508">
        <f t="shared" si="488"/>
        <v>0</v>
      </c>
      <c r="AK430" s="1508">
        <f t="shared" si="488"/>
        <v>0</v>
      </c>
      <c r="AL430" s="1508">
        <f t="shared" si="488"/>
        <v>0</v>
      </c>
      <c r="AM430" s="1508">
        <f t="shared" si="488"/>
        <v>35000</v>
      </c>
      <c r="AN430" s="1381"/>
      <c r="AO430" s="1381"/>
      <c r="AP430" s="1431">
        <f t="shared" si="471"/>
        <v>1</v>
      </c>
      <c r="AQ430" s="1431">
        <f>IF(Y430=0,0,1)</f>
        <v>1</v>
      </c>
      <c r="AR430" s="1434"/>
      <c r="AS430" s="1434"/>
      <c r="BD430" s="1436">
        <f>IF(I430-Y430&gt;=0,1,0)</f>
        <v>1</v>
      </c>
    </row>
    <row r="431" spans="1:56 16366:16383" ht="85.5" customHeight="1" x14ac:dyDescent="0.3">
      <c r="A431" s="1524" t="s">
        <v>3139</v>
      </c>
      <c r="B431" s="1457"/>
      <c r="C431" s="1458" t="s">
        <v>2580</v>
      </c>
      <c r="D431" s="1388" t="s">
        <v>2348</v>
      </c>
      <c r="E431" s="1388" t="s">
        <v>2411</v>
      </c>
      <c r="F431" s="1388" t="s">
        <v>151</v>
      </c>
      <c r="G431" s="1388" t="s">
        <v>2570</v>
      </c>
      <c r="H431" s="1444">
        <f>I431</f>
        <v>107730</v>
      </c>
      <c r="I431" s="1476">
        <v>107730</v>
      </c>
      <c r="J431" s="1509"/>
      <c r="K431" s="1509"/>
      <c r="L431" s="1509"/>
      <c r="M431" s="1509"/>
      <c r="N431" s="1463"/>
      <c r="O431" s="1460"/>
      <c r="P431" s="1463"/>
      <c r="Q431" s="1460"/>
      <c r="R431" s="1454"/>
      <c r="S431" s="1454"/>
      <c r="T431" s="1510"/>
      <c r="U431" s="1509"/>
      <c r="V431" s="1454">
        <v>25000</v>
      </c>
      <c r="W431" s="1454"/>
      <c r="X431" s="1463">
        <f>Y431</f>
        <v>25000</v>
      </c>
      <c r="Y431" s="1460">
        <f>V431</f>
        <v>25000</v>
      </c>
      <c r="Z431" s="1460"/>
      <c r="AA431" s="1460"/>
      <c r="AB431" s="1460">
        <v>25000</v>
      </c>
      <c r="AC431" s="1460">
        <v>25000</v>
      </c>
      <c r="AD431" s="1460"/>
      <c r="AE431" s="1460"/>
      <c r="AF431" s="1383">
        <f t="shared" ref="AF431:AF435" si="489">AG431</f>
        <v>25000</v>
      </c>
      <c r="AG431" s="1383">
        <f t="shared" ref="AG431:AG435" si="490">AC431+AD431+AE431</f>
        <v>25000</v>
      </c>
      <c r="AH431" s="1383">
        <f t="shared" si="460"/>
        <v>25000</v>
      </c>
      <c r="AI431" s="1383"/>
      <c r="AJ431" s="1383"/>
      <c r="AK431" s="1383"/>
      <c r="AL431" s="1383"/>
      <c r="AM431" s="1383">
        <v>25000</v>
      </c>
      <c r="AN431" s="1381"/>
      <c r="AO431" s="1381"/>
      <c r="AP431" s="1431">
        <f t="shared" si="471"/>
        <v>0</v>
      </c>
      <c r="AQ431" s="1431">
        <f>IF(Y431=0,0,1)</f>
        <v>1</v>
      </c>
      <c r="AR431" s="1434"/>
      <c r="AS431" s="1434"/>
      <c r="BD431" s="1436">
        <f>IF(I431-Y431&gt;=0,1,0)</f>
        <v>1</v>
      </c>
    </row>
    <row r="432" spans="1:56 16366:16383" ht="150" x14ac:dyDescent="0.3">
      <c r="A432" s="1524" t="s">
        <v>3140</v>
      </c>
      <c r="B432" s="1524" t="s">
        <v>3139</v>
      </c>
      <c r="C432" s="1718" t="s">
        <v>2402</v>
      </c>
      <c r="D432" s="1388" t="s">
        <v>205</v>
      </c>
      <c r="E432" s="1507" t="s">
        <v>2403</v>
      </c>
      <c r="F432" s="1388" t="s">
        <v>168</v>
      </c>
      <c r="G432" s="1421" t="s">
        <v>2404</v>
      </c>
      <c r="H432" s="1422">
        <v>282629</v>
      </c>
      <c r="I432" s="1423">
        <v>24698</v>
      </c>
      <c r="J432" s="1509"/>
      <c r="K432" s="1509"/>
      <c r="L432" s="1509"/>
      <c r="M432" s="1509"/>
      <c r="N432" s="1463"/>
      <c r="O432" s="1460"/>
      <c r="P432" s="1463"/>
      <c r="Q432" s="1460"/>
      <c r="R432" s="1454"/>
      <c r="S432" s="1454"/>
      <c r="T432" s="1510"/>
      <c r="U432" s="1509"/>
      <c r="V432" s="1454">
        <v>24000</v>
      </c>
      <c r="W432" s="1454"/>
      <c r="X432" s="1463">
        <v>24000</v>
      </c>
      <c r="Y432" s="1460">
        <v>24000</v>
      </c>
      <c r="Z432" s="1460"/>
      <c r="AA432" s="1460"/>
      <c r="AB432" s="1460">
        <v>0</v>
      </c>
      <c r="AC432" s="1460">
        <v>0</v>
      </c>
      <c r="AD432" s="1460"/>
      <c r="AE432" s="1525"/>
      <c r="AF432" s="1383">
        <f t="shared" si="489"/>
        <v>0</v>
      </c>
      <c r="AG432" s="1383">
        <f t="shared" si="490"/>
        <v>0</v>
      </c>
      <c r="AH432" s="1383">
        <f t="shared" si="460"/>
        <v>0</v>
      </c>
      <c r="AI432" s="1383"/>
      <c r="AJ432" s="1383"/>
      <c r="AK432" s="1383"/>
      <c r="AL432" s="1383"/>
      <c r="AM432" s="1383">
        <f>10000+14000-24000</f>
        <v>0</v>
      </c>
      <c r="AN432" s="1381"/>
      <c r="AO432" s="1381"/>
      <c r="AP432" s="1431">
        <f t="shared" si="471"/>
        <v>0</v>
      </c>
      <c r="AQ432" s="1431">
        <f>IF(Y432=0,0,1)</f>
        <v>1</v>
      </c>
      <c r="AR432" s="1434"/>
      <c r="AS432" s="1434"/>
      <c r="BD432" s="1436">
        <f>IF(I432-Y432&gt;=0,1,0)</f>
        <v>1</v>
      </c>
      <c r="XEL432" s="1719"/>
      <c r="XEM432" s="1720"/>
      <c r="XEN432" s="1721"/>
      <c r="XEO432" s="1721"/>
      <c r="XEP432" s="1721"/>
      <c r="XEQ432" s="1721"/>
      <c r="XER432" s="1722"/>
      <c r="XES432" s="1723"/>
      <c r="XET432" s="1724"/>
      <c r="XEU432" s="1724"/>
      <c r="XEV432" s="1724"/>
      <c r="XEW432" s="1724"/>
      <c r="XEX432" s="1725"/>
      <c r="XEY432" s="1724"/>
      <c r="XEZ432" s="1726"/>
      <c r="XFA432" s="1726"/>
      <c r="XFB432" s="1725"/>
      <c r="XFC432" s="1724"/>
    </row>
    <row r="433" spans="1:56" ht="27" customHeight="1" x14ac:dyDescent="0.3">
      <c r="A433" s="1524" t="s">
        <v>3141</v>
      </c>
      <c r="B433" s="1457"/>
      <c r="C433" s="1505" t="s">
        <v>2435</v>
      </c>
      <c r="D433" s="1388" t="s">
        <v>176</v>
      </c>
      <c r="E433" s="1388"/>
      <c r="F433" s="1388" t="s">
        <v>151</v>
      </c>
      <c r="G433" s="1388"/>
      <c r="H433" s="1444">
        <f>I433</f>
        <v>59600</v>
      </c>
      <c r="I433" s="1476">
        <v>59600</v>
      </c>
      <c r="J433" s="1460"/>
      <c r="K433" s="1460"/>
      <c r="L433" s="1460"/>
      <c r="M433" s="1460"/>
      <c r="N433" s="1463"/>
      <c r="O433" s="1460"/>
      <c r="P433" s="1463"/>
      <c r="Q433" s="1460"/>
      <c r="R433" s="1454"/>
      <c r="S433" s="1454"/>
      <c r="T433" s="1463"/>
      <c r="U433" s="1460"/>
      <c r="V433" s="1454">
        <v>10000</v>
      </c>
      <c r="W433" s="1454"/>
      <c r="X433" s="1463">
        <v>10000</v>
      </c>
      <c r="Y433" s="1460">
        <v>10000</v>
      </c>
      <c r="Z433" s="1460"/>
      <c r="AA433" s="1460"/>
      <c r="AB433" s="1460">
        <v>10000</v>
      </c>
      <c r="AC433" s="1460">
        <v>10000</v>
      </c>
      <c r="AD433" s="1460"/>
      <c r="AE433" s="1916">
        <v>-9690</v>
      </c>
      <c r="AF433" s="1383">
        <f t="shared" si="489"/>
        <v>310</v>
      </c>
      <c r="AG433" s="1383">
        <f t="shared" si="490"/>
        <v>310</v>
      </c>
      <c r="AH433" s="1383">
        <f t="shared" si="460"/>
        <v>10000</v>
      </c>
      <c r="AI433" s="1383"/>
      <c r="AJ433" s="1383"/>
      <c r="AK433" s="1383"/>
      <c r="AL433" s="1383"/>
      <c r="AM433" s="1383">
        <v>10000</v>
      </c>
      <c r="AN433" s="1381"/>
      <c r="AO433" s="1381"/>
      <c r="AP433" s="1431">
        <f t="shared" si="471"/>
        <v>1</v>
      </c>
      <c r="AQ433" s="1431">
        <f>IF(Y433=0,0,1)</f>
        <v>1</v>
      </c>
      <c r="AR433" s="1434"/>
      <c r="AS433" s="1434"/>
      <c r="BD433" s="1436">
        <f>IF(I433-Y433&gt;=0,1,0)</f>
        <v>1</v>
      </c>
    </row>
    <row r="434" spans="1:56" ht="26.25" customHeight="1" x14ac:dyDescent="0.3">
      <c r="A434" s="1437" t="s">
        <v>879</v>
      </c>
      <c r="B434" s="1437"/>
      <c r="C434" s="1438" t="s">
        <v>2325</v>
      </c>
      <c r="D434" s="1381"/>
      <c r="E434" s="1381"/>
      <c r="F434" s="1381"/>
      <c r="G434" s="1381"/>
      <c r="H434" s="1439"/>
      <c r="I434" s="1439"/>
      <c r="J434" s="1439"/>
      <c r="K434" s="1439"/>
      <c r="L434" s="1439"/>
      <c r="M434" s="1439"/>
      <c r="N434" s="1439">
        <f>O434</f>
        <v>145000</v>
      </c>
      <c r="O434" s="1439">
        <v>145000</v>
      </c>
      <c r="P434" s="1439">
        <f>Q434</f>
        <v>145000</v>
      </c>
      <c r="Q434" s="1439">
        <v>145000</v>
      </c>
      <c r="R434" s="1439"/>
      <c r="S434" s="1439">
        <v>65000</v>
      </c>
      <c r="T434" s="1439">
        <v>182320</v>
      </c>
      <c r="U434" s="1439">
        <v>182320</v>
      </c>
      <c r="V434" s="1439">
        <v>6500</v>
      </c>
      <c r="W434" s="1439"/>
      <c r="X434" s="1439">
        <f>Y434</f>
        <v>188820</v>
      </c>
      <c r="Y434" s="1439">
        <f>V434+U434</f>
        <v>188820</v>
      </c>
      <c r="Z434" s="1439"/>
      <c r="AA434" s="1439"/>
      <c r="AB434" s="1511">
        <v>188820</v>
      </c>
      <c r="AC434" s="1511">
        <v>188820</v>
      </c>
      <c r="AD434" s="1918">
        <v>1544</v>
      </c>
      <c r="AE434" s="1511"/>
      <c r="AF434" s="1383">
        <f t="shared" si="489"/>
        <v>190364</v>
      </c>
      <c r="AG434" s="1383">
        <f t="shared" si="490"/>
        <v>190364</v>
      </c>
      <c r="AH434" s="1383"/>
      <c r="AI434" s="1383"/>
      <c r="AJ434" s="1383"/>
      <c r="AK434" s="1383"/>
      <c r="AL434" s="1383"/>
      <c r="AM434" s="1383"/>
      <c r="AN434" s="1440"/>
      <c r="AO434" s="1440"/>
      <c r="AP434" s="1431">
        <f t="shared" si="471"/>
        <v>1</v>
      </c>
      <c r="AQ434" s="1431">
        <f>IF(Y434=0,0,1)</f>
        <v>1</v>
      </c>
      <c r="AR434" s="1434"/>
      <c r="AS434" s="1434"/>
      <c r="AT434" s="1435">
        <f>U434+V434-W434</f>
        <v>188820</v>
      </c>
      <c r="BD434" s="1436"/>
    </row>
    <row r="435" spans="1:56" s="1517" customFormat="1" ht="27" customHeight="1" x14ac:dyDescent="0.3">
      <c r="A435" s="1437" t="s">
        <v>881</v>
      </c>
      <c r="B435" s="1437"/>
      <c r="C435" s="1512" t="s">
        <v>1956</v>
      </c>
      <c r="D435" s="1448"/>
      <c r="E435" s="1448"/>
      <c r="F435" s="1448"/>
      <c r="G435" s="1448"/>
      <c r="H435" s="1466"/>
      <c r="I435" s="1466"/>
      <c r="J435" s="1450"/>
      <c r="K435" s="1450"/>
      <c r="L435" s="1450"/>
      <c r="M435" s="1450"/>
      <c r="N435" s="1450"/>
      <c r="O435" s="1450"/>
      <c r="P435" s="1450"/>
      <c r="Q435" s="1450"/>
      <c r="R435" s="1513"/>
      <c r="S435" s="1513"/>
      <c r="T435" s="1450"/>
      <c r="U435" s="1450"/>
      <c r="V435" s="1513"/>
      <c r="W435" s="1513"/>
      <c r="X435" s="1439">
        <f>Y435</f>
        <v>0</v>
      </c>
      <c r="Y435" s="1439">
        <v>0</v>
      </c>
      <c r="Z435" s="1514"/>
      <c r="AA435" s="1514"/>
      <c r="AB435" s="1514">
        <v>0</v>
      </c>
      <c r="AC435" s="1514">
        <v>0</v>
      </c>
      <c r="AD435" s="1514"/>
      <c r="AE435" s="1514"/>
      <c r="AF435" s="1383">
        <f t="shared" si="489"/>
        <v>0</v>
      </c>
      <c r="AG435" s="1383">
        <f t="shared" si="490"/>
        <v>0</v>
      </c>
      <c r="AH435" s="1383">
        <f t="shared" ref="AH435" si="491">SUM(AI435:AM435)</f>
        <v>0</v>
      </c>
      <c r="AI435" s="1383"/>
      <c r="AJ435" s="1383"/>
      <c r="AK435" s="1383"/>
      <c r="AL435" s="1383"/>
      <c r="AM435" s="1383"/>
      <c r="AN435" s="1466"/>
      <c r="AO435" s="1466"/>
      <c r="AP435" s="1431">
        <f t="shared" si="471"/>
        <v>0</v>
      </c>
      <c r="AQ435" s="1515">
        <v>1</v>
      </c>
      <c r="AR435" s="1516"/>
      <c r="AS435" s="1516"/>
      <c r="AT435" s="1516"/>
      <c r="AU435" s="1516"/>
      <c r="AV435" s="1516"/>
      <c r="AW435" s="1516"/>
      <c r="AX435" s="1516"/>
      <c r="AY435" s="1516"/>
      <c r="AZ435" s="1516"/>
      <c r="BA435" s="1516"/>
      <c r="BB435" s="1516"/>
      <c r="BC435" s="1516"/>
      <c r="BD435" s="1436"/>
    </row>
    <row r="436" spans="1:56" ht="11.25" customHeight="1" x14ac:dyDescent="0.3">
      <c r="A436" s="1483"/>
      <c r="B436" s="1489"/>
      <c r="C436" s="1518"/>
      <c r="D436" s="1381"/>
      <c r="E436" s="1381"/>
      <c r="F436" s="1381"/>
      <c r="G436" s="1381"/>
      <c r="H436" s="1440"/>
      <c r="I436" s="1440"/>
      <c r="J436" s="1455"/>
      <c r="K436" s="1455"/>
      <c r="L436" s="1455"/>
      <c r="M436" s="1455"/>
      <c r="N436" s="1455"/>
      <c r="O436" s="1455"/>
      <c r="P436" s="1455"/>
      <c r="Q436" s="1455"/>
      <c r="R436" s="1519"/>
      <c r="S436" s="1519"/>
      <c r="T436" s="1455"/>
      <c r="U436" s="1455"/>
      <c r="V436" s="1519"/>
      <c r="W436" s="1519"/>
      <c r="X436" s="1455"/>
      <c r="Y436" s="1455"/>
      <c r="Z436" s="1520"/>
      <c r="AA436" s="1520"/>
      <c r="AB436" s="1520"/>
      <c r="AC436" s="1520"/>
      <c r="AD436" s="1520"/>
      <c r="AE436" s="1520"/>
      <c r="AF436" s="1520"/>
      <c r="AG436" s="1520"/>
      <c r="AH436" s="1383">
        <f t="shared" ref="AH436" si="492">SUM(AI436:AM436)</f>
        <v>0</v>
      </c>
      <c r="AI436" s="1520"/>
      <c r="AJ436" s="1520"/>
      <c r="AK436" s="1520"/>
      <c r="AL436" s="1520"/>
      <c r="AM436" s="1520"/>
      <c r="AN436" s="1440"/>
      <c r="AO436" s="1440"/>
      <c r="AP436" s="1431">
        <f t="shared" si="471"/>
        <v>0</v>
      </c>
      <c r="AQ436" s="1431">
        <v>1</v>
      </c>
      <c r="BD436" s="1331">
        <v>1</v>
      </c>
    </row>
    <row r="437" spans="1:56" hidden="1" x14ac:dyDescent="0.3">
      <c r="AR437" s="1326">
        <f>SUM(AR16:AR436)</f>
        <v>984068</v>
      </c>
      <c r="AS437" s="1326"/>
      <c r="AT437" s="1326">
        <f>SUM(AT16:AT436)</f>
        <v>19123263.299999997</v>
      </c>
      <c r="AU437" s="1326"/>
      <c r="AV437" s="1326">
        <f t="shared" ref="AV437:BC437" si="493">SUM(AV16:AV436)</f>
        <v>24</v>
      </c>
      <c r="AW437" s="1326">
        <f t="shared" si="493"/>
        <v>238929.2</v>
      </c>
      <c r="AX437" s="1326">
        <f t="shared" si="493"/>
        <v>21</v>
      </c>
      <c r="AY437" s="1326">
        <f t="shared" si="493"/>
        <v>258440.1</v>
      </c>
      <c r="AZ437" s="1326">
        <f t="shared" si="493"/>
        <v>29</v>
      </c>
      <c r="BA437" s="1326">
        <f t="shared" si="493"/>
        <v>1176706</v>
      </c>
      <c r="BB437" s="1326">
        <f t="shared" si="493"/>
        <v>31</v>
      </c>
      <c r="BC437" s="1326">
        <f t="shared" si="493"/>
        <v>203190.39999999999</v>
      </c>
    </row>
    <row r="438" spans="1:56" hidden="1" x14ac:dyDescent="0.3">
      <c r="P438" s="1436"/>
      <c r="Q438" s="1436"/>
      <c r="R438" s="1436"/>
      <c r="S438" s="1436"/>
      <c r="T438" s="1436"/>
      <c r="U438" s="1436"/>
      <c r="V438" s="1436"/>
      <c r="W438" s="1436"/>
      <c r="X438" s="1436"/>
      <c r="Y438" s="1436"/>
      <c r="AH438" s="1436">
        <f>AG16-AH16</f>
        <v>866724.09999999963</v>
      </c>
      <c r="BB438" s="1434"/>
    </row>
    <row r="439" spans="1:56" hidden="1" x14ac:dyDescent="0.3">
      <c r="P439" s="1436"/>
      <c r="T439" s="1436"/>
      <c r="X439" s="1436"/>
      <c r="AD439" s="1716">
        <f>AD16+AE16</f>
        <v>0</v>
      </c>
      <c r="AG439" s="1716"/>
      <c r="AN439" s="2040"/>
      <c r="AO439" s="1844"/>
      <c r="AP439" s="1327" t="s">
        <v>883</v>
      </c>
      <c r="AQ439" s="1327"/>
      <c r="AR439" s="1844"/>
      <c r="AS439" s="1844"/>
      <c r="AT439" s="1844"/>
      <c r="AU439" s="1844"/>
      <c r="AV439" s="1844"/>
      <c r="AW439" s="1326">
        <f>AW437+BC437</f>
        <v>442119.6</v>
      </c>
      <c r="AX439" s="1844"/>
      <c r="AY439" s="1326"/>
      <c r="AZ439" s="1844" t="s">
        <v>884</v>
      </c>
      <c r="BA439" s="1844"/>
      <c r="BB439" s="1326">
        <v>155000</v>
      </c>
      <c r="BC439" s="1844" t="s">
        <v>885</v>
      </c>
    </row>
    <row r="440" spans="1:56" hidden="1" x14ac:dyDescent="0.3">
      <c r="AD440" s="1716"/>
      <c r="AN440" s="2040"/>
      <c r="AO440" s="1844"/>
      <c r="AP440" s="1327" t="s">
        <v>886</v>
      </c>
      <c r="AQ440" s="1327"/>
      <c r="AR440" s="1844"/>
      <c r="AS440" s="1844"/>
      <c r="AT440" s="1844"/>
      <c r="AU440" s="1844"/>
      <c r="AV440" s="1844"/>
      <c r="AW440" s="1326">
        <f>AY437+BA437</f>
        <v>1435146.1</v>
      </c>
      <c r="AX440" s="1844"/>
      <c r="AY440" s="1844"/>
      <c r="AZ440" s="1844"/>
      <c r="BA440" s="1844"/>
      <c r="BB440" s="1326">
        <v>579440</v>
      </c>
      <c r="BC440" s="1844" t="s">
        <v>887</v>
      </c>
    </row>
    <row r="441" spans="1:56" ht="37.5" hidden="1" x14ac:dyDescent="0.3">
      <c r="AF441" s="1438" t="s">
        <v>2325</v>
      </c>
      <c r="AH441" s="1383">
        <f t="shared" ref="AH441" si="494">SUM(AI441:AM441)</f>
        <v>274552</v>
      </c>
      <c r="AI441" s="1383">
        <v>51258</v>
      </c>
      <c r="AJ441" s="1383">
        <v>45309</v>
      </c>
      <c r="AK441" s="1383">
        <v>87827</v>
      </c>
      <c r="AL441" s="1383">
        <v>48745</v>
      </c>
      <c r="AM441" s="1383">
        <v>41413</v>
      </c>
      <c r="AN441" s="2040"/>
      <c r="AO441" s="1844"/>
      <c r="AP441" s="1327" t="s">
        <v>888</v>
      </c>
      <c r="AQ441" s="1327"/>
      <c r="AR441" s="1844"/>
      <c r="AS441" s="1844"/>
      <c r="AT441" s="1844"/>
      <c r="AU441" s="1844"/>
      <c r="AV441" s="1844"/>
      <c r="AW441" s="1326">
        <f>AW440-AW439</f>
        <v>993026.50000000012</v>
      </c>
      <c r="AX441" s="1844"/>
      <c r="AY441" s="1844"/>
      <c r="AZ441" s="1844"/>
      <c r="BA441" s="1844"/>
      <c r="BB441" s="1326">
        <f>SUM(BB439:BB440)</f>
        <v>734440</v>
      </c>
      <c r="BC441" s="1326" t="s">
        <v>889</v>
      </c>
    </row>
    <row r="442" spans="1:56" x14ac:dyDescent="0.3">
      <c r="AD442" s="1716"/>
      <c r="AN442" s="1522"/>
      <c r="AO442" s="1522"/>
      <c r="AP442" s="1844"/>
      <c r="AQ442" s="1844"/>
      <c r="AR442" s="1844"/>
      <c r="AS442" s="1844"/>
      <c r="AT442" s="1844"/>
      <c r="AU442" s="1844"/>
      <c r="AV442" s="1844"/>
      <c r="AW442" s="1326">
        <v>5000</v>
      </c>
      <c r="AX442" s="1844"/>
      <c r="AY442" s="1844"/>
      <c r="AZ442" s="1844"/>
      <c r="BA442" s="1844"/>
      <c r="BB442" s="1326"/>
      <c r="BC442" s="1844"/>
    </row>
    <row r="443" spans="1:56" x14ac:dyDescent="0.3">
      <c r="AD443" s="1716"/>
      <c r="AN443" s="1523"/>
      <c r="AO443" s="1523"/>
      <c r="AP443" s="1844"/>
      <c r="AQ443" s="1844"/>
      <c r="AR443" s="1844"/>
      <c r="AS443" s="1844"/>
      <c r="AT443" s="1844"/>
      <c r="AU443" s="1844"/>
      <c r="AV443" s="1326"/>
      <c r="AW443" s="1326">
        <f>AW442+AW441</f>
        <v>998026.50000000012</v>
      </c>
      <c r="AX443" s="1844"/>
      <c r="AY443" s="1844"/>
      <c r="AZ443" s="1844"/>
      <c r="BA443" s="1844"/>
      <c r="BB443" s="1326"/>
      <c r="BC443" s="1844"/>
    </row>
    <row r="444" spans="1:56" x14ac:dyDescent="0.3">
      <c r="R444" s="1436"/>
      <c r="V444" s="1436"/>
      <c r="AN444" s="1523"/>
      <c r="AO444" s="1523"/>
      <c r="AP444" s="1844"/>
      <c r="AQ444" s="1844"/>
      <c r="AR444" s="1844"/>
      <c r="AS444" s="1844"/>
      <c r="AT444" s="1844"/>
      <c r="AU444" s="1844"/>
      <c r="AV444" s="1844"/>
      <c r="AW444" s="1844"/>
      <c r="AX444" s="1844"/>
      <c r="AY444" s="1844"/>
      <c r="AZ444" s="1844"/>
      <c r="BA444" s="1844"/>
      <c r="BB444" s="1844"/>
      <c r="BC444" s="1844"/>
    </row>
    <row r="445" spans="1:56" x14ac:dyDescent="0.3">
      <c r="R445" s="1436"/>
      <c r="V445" s="1436"/>
      <c r="AN445" s="1523"/>
      <c r="AO445" s="1523"/>
      <c r="AP445" s="1844"/>
      <c r="AQ445" s="1844"/>
      <c r="AR445" s="1844"/>
      <c r="AS445" s="1844"/>
      <c r="AT445" s="1844"/>
      <c r="AU445" s="1844"/>
      <c r="AV445" s="1844"/>
      <c r="AW445" s="1326">
        <f>AW439+AW443</f>
        <v>1440146.1</v>
      </c>
      <c r="AX445" s="1844"/>
      <c r="AY445" s="1844"/>
      <c r="AZ445" s="1844"/>
      <c r="BA445" s="1844"/>
      <c r="BB445" s="1844"/>
      <c r="BC445" s="1844"/>
    </row>
    <row r="448" spans="1:56" x14ac:dyDescent="0.3">
      <c r="AW448" s="1434"/>
    </row>
    <row r="449" spans="49:49" x14ac:dyDescent="0.3">
      <c r="AW449" s="1434"/>
    </row>
  </sheetData>
  <autoFilter ref="AP15:AP441"/>
  <mergeCells count="75">
    <mergeCell ref="BD10:BD14"/>
    <mergeCell ref="B10:B14"/>
    <mergeCell ref="V10:W11"/>
    <mergeCell ref="V12:V14"/>
    <mergeCell ref="W12:W14"/>
    <mergeCell ref="N12:N14"/>
    <mergeCell ref="O12:O14"/>
    <mergeCell ref="P12:P14"/>
    <mergeCell ref="Q12:Q14"/>
    <mergeCell ref="R12:R14"/>
    <mergeCell ref="S12:S14"/>
    <mergeCell ref="T12:T14"/>
    <mergeCell ref="U12:U14"/>
    <mergeCell ref="X12:X14"/>
    <mergeCell ref="Y12:Y14"/>
    <mergeCell ref="G12:G14"/>
    <mergeCell ref="AN439:AN441"/>
    <mergeCell ref="Z12:Z14"/>
    <mergeCell ref="AA12:AA14"/>
    <mergeCell ref="AB12:AB14"/>
    <mergeCell ref="AC12:AC14"/>
    <mergeCell ref="AN10:AN14"/>
    <mergeCell ref="AD12:AD14"/>
    <mergeCell ref="AE12:AE14"/>
    <mergeCell ref="AF12:AF14"/>
    <mergeCell ref="AG12:AG14"/>
    <mergeCell ref="J12:J14"/>
    <mergeCell ref="K12:K14"/>
    <mergeCell ref="L12:L14"/>
    <mergeCell ref="M12:M14"/>
    <mergeCell ref="H13:H14"/>
    <mergeCell ref="I13:I14"/>
    <mergeCell ref="AR10:AR14"/>
    <mergeCell ref="AT10:AT14"/>
    <mergeCell ref="AV10:AW10"/>
    <mergeCell ref="AX10:AY10"/>
    <mergeCell ref="BB10:BC10"/>
    <mergeCell ref="AV11:AV14"/>
    <mergeCell ref="AW11:AW14"/>
    <mergeCell ref="AX11:AX14"/>
    <mergeCell ref="AY11:AY14"/>
    <mergeCell ref="AZ11:AZ14"/>
    <mergeCell ref="BA11:BA14"/>
    <mergeCell ref="BB11:BB14"/>
    <mergeCell ref="BC11:BC14"/>
    <mergeCell ref="AZ10:BA10"/>
    <mergeCell ref="AQ10:AQ14"/>
    <mergeCell ref="AD10:AE11"/>
    <mergeCell ref="AF10:AG11"/>
    <mergeCell ref="Z10:AA11"/>
    <mergeCell ref="AB10:AC11"/>
    <mergeCell ref="AP10:AP14"/>
    <mergeCell ref="AO10:AO14"/>
    <mergeCell ref="A7:AN7"/>
    <mergeCell ref="A9:AN9"/>
    <mergeCell ref="A10:A14"/>
    <mergeCell ref="C10:C14"/>
    <mergeCell ref="D10:D14"/>
    <mergeCell ref="E10:E14"/>
    <mergeCell ref="F10:F14"/>
    <mergeCell ref="G10:I11"/>
    <mergeCell ref="J10:K11"/>
    <mergeCell ref="L10:M11"/>
    <mergeCell ref="N10:O11"/>
    <mergeCell ref="P10:Q11"/>
    <mergeCell ref="R10:S11"/>
    <mergeCell ref="T10:U11"/>
    <mergeCell ref="X10:Y11"/>
    <mergeCell ref="H12:I12"/>
    <mergeCell ref="A6:AN6"/>
    <mergeCell ref="A1:AN1"/>
    <mergeCell ref="A2:AN2"/>
    <mergeCell ref="A3:AN3"/>
    <mergeCell ref="A4:AN4"/>
    <mergeCell ref="A5:AN5"/>
  </mergeCells>
  <pageMargins left="0.32" right="0.17" top="0.49" bottom="0.45" header="0.31496062992126" footer="0.196850393700787"/>
  <pageSetup paperSize="9" scale="46" fitToHeight="0" orientation="landscape" r:id="rId1"/>
  <headerFooter differentOddEven="1" differentFirst="1">
    <oddHeader>&amp;C&amp;"Times New Roman,Regular"&amp;14&amp;P</oddHeader>
    <evenHeader>&amp;C&amp;"Times New Roman,Regular"&amp;14&amp;P</even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AB251108C330488A1A42BE8AE39165" ma:contentTypeVersion="1" ma:contentTypeDescription="Create a new document." ma:contentTypeScope="" ma:versionID="962f7dc7f0c6a03cdd1b43444bfab3f2">
  <xsd:schema xmlns:xsd="http://www.w3.org/2001/XMLSchema" xmlns:xs="http://www.w3.org/2001/XMLSchema" xmlns:p="http://schemas.microsoft.com/office/2006/metadata/properties" xmlns:ns1="http://schemas.microsoft.com/sharepoint/v3" targetNamespace="http://schemas.microsoft.com/office/2006/metadata/properties" ma:root="true" ma:fieldsID="48c5b5cd9b8d25ff6dd15848836f427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8792969-6745-456B-80F1-F250145FD5B8}"/>
</file>

<file path=customXml/itemProps2.xml><?xml version="1.0" encoding="utf-8"?>
<ds:datastoreItem xmlns:ds="http://schemas.openxmlformats.org/officeDocument/2006/customXml" ds:itemID="{E37630DE-61A8-4191-8EA7-ACF0D1E5897B}"/>
</file>

<file path=customXml/itemProps3.xml><?xml version="1.0" encoding="utf-8"?>
<ds:datastoreItem xmlns:ds="http://schemas.openxmlformats.org/officeDocument/2006/customXml" ds:itemID="{D5F68C66-B4B2-42A1-B68D-4D0E1CCF4D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29</vt:i4>
      </vt:variant>
    </vt:vector>
  </HeadingPairs>
  <TitlesOfParts>
    <vt:vector size="47" baseType="lpstr">
      <vt:lpstr>DC TINH</vt:lpstr>
      <vt:lpstr>DC HTMT</vt:lpstr>
      <vt:lpstr>TH VON - TTr</vt:lpstr>
      <vt:lpstr>DC TINH (TTr)</vt:lpstr>
      <vt:lpstr>DC HTMT(TTR)</vt:lpstr>
      <vt:lpstr>TH VON - QĐDC (2)</vt:lpstr>
      <vt:lpstr>thong ke</vt:lpstr>
      <vt:lpstr>TH VON </vt:lpstr>
      <vt:lpstr>DC TINH (NQ)</vt:lpstr>
      <vt:lpstr>DC HTMT(NQ) (2)</vt:lpstr>
      <vt:lpstr>HTCK(NQ) (2)</vt:lpstr>
      <vt:lpstr>BOI CHI</vt:lpstr>
      <vt:lpstr>DC HTMT(NQ)</vt:lpstr>
      <vt:lpstr>HTCK(NQ)</vt:lpstr>
      <vt:lpstr>TINH-KG CTDT</vt:lpstr>
      <vt:lpstr>HUYEN-KG CTDT</vt:lpstr>
      <vt:lpstr>nhu cau bo sung</vt:lpstr>
      <vt:lpstr>BOI CHI 1</vt:lpstr>
      <vt:lpstr>'BOI CHI'!Print_Area</vt:lpstr>
      <vt:lpstr>'DC HTMT'!Print_Area</vt:lpstr>
      <vt:lpstr>'DC HTMT(NQ)'!Print_Area</vt:lpstr>
      <vt:lpstr>'DC HTMT(NQ) (2)'!Print_Area</vt:lpstr>
      <vt:lpstr>'DC HTMT(TTR)'!Print_Area</vt:lpstr>
      <vt:lpstr>'DC TINH'!Print_Area</vt:lpstr>
      <vt:lpstr>'DC TINH (NQ)'!Print_Area</vt:lpstr>
      <vt:lpstr>'DC TINH (TTr)'!Print_Area</vt:lpstr>
      <vt:lpstr>'HTCK(NQ)'!Print_Area</vt:lpstr>
      <vt:lpstr>'HTCK(NQ) (2)'!Print_Area</vt:lpstr>
      <vt:lpstr>'HUYEN-KG CTDT'!Print_Area</vt:lpstr>
      <vt:lpstr>'TH VON '!Print_Area</vt:lpstr>
      <vt:lpstr>'TINH-KG CTDT'!Print_Area</vt:lpstr>
      <vt:lpstr>'BOI CHI 1'!Print_Titles</vt:lpstr>
      <vt:lpstr>'DC HTMT'!Print_Titles</vt:lpstr>
      <vt:lpstr>'DC HTMT(NQ)'!Print_Titles</vt:lpstr>
      <vt:lpstr>'DC HTMT(NQ) (2)'!Print_Titles</vt:lpstr>
      <vt:lpstr>'DC HTMT(TTR)'!Print_Titles</vt:lpstr>
      <vt:lpstr>'DC TINH'!Print_Titles</vt:lpstr>
      <vt:lpstr>'DC TINH (NQ)'!Print_Titles</vt:lpstr>
      <vt:lpstr>'DC TINH (TTr)'!Print_Titles</vt:lpstr>
      <vt:lpstr>'HTCK(NQ)'!Print_Titles</vt:lpstr>
      <vt:lpstr>'HTCK(NQ) (2)'!Print_Titles</vt:lpstr>
      <vt:lpstr>'HUYEN-KG CTDT'!Print_Titles</vt:lpstr>
      <vt:lpstr>'nhu cau bo sung'!Print_Titles</vt:lpstr>
      <vt:lpstr>'TH VON '!Print_Titles</vt:lpstr>
      <vt:lpstr>'TH VON - QĐDC (2)'!Print_Titles</vt:lpstr>
      <vt:lpstr>'TH VON - TTr'!Print_Titles</vt:lpstr>
      <vt:lpstr>'thong ke'!Print_Titles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LY</cp:lastModifiedBy>
  <cp:lastPrinted>2020-10-02T04:08:57Z</cp:lastPrinted>
  <dcterms:created xsi:type="dcterms:W3CDTF">2018-10-29T03:28:02Z</dcterms:created>
  <dcterms:modified xsi:type="dcterms:W3CDTF">2020-10-07T04:02:45Z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0x010100CDAB251108C330488A1A42BE8AE39165</vt:lpwstr>
  </property>
</Properties>
</file>